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LIEBE\Desktop\PCP\Planos de produção\Novos planos\"/>
    </mc:Choice>
  </mc:AlternateContent>
  <xr:revisionPtr revIDLastSave="0" documentId="8_{95D794D8-7F5E-4F29-B184-6D9DE0C0C34B}" xr6:coauthVersionLast="47" xr6:coauthVersionMax="47" xr10:uidLastSave="{00000000-0000-0000-0000-000000000000}"/>
  <bookViews>
    <workbookView xWindow="-120" yWindow="-120" windowWidth="20730" windowHeight="11160" firstSheet="11" activeTab="11" xr2:uid="{00000000-000D-0000-FFFF-FFFF00000000}"/>
  </bookViews>
  <sheets>
    <sheet name="Plano mestre 95 % 2025 5% - (4)" sheetId="27" state="hidden" r:id="rId1"/>
    <sheet name="Plano mestre 95 % 2025 5% - (3)" sheetId="26" state="hidden" r:id="rId2"/>
    <sheet name="Plano mestre 2025 4 oficina (2)" sheetId="29" state="hidden" r:id="rId3"/>
    <sheet name="Plano mestre 2026 2027" sheetId="30" state="hidden" r:id="rId4"/>
    <sheet name="Plano mestre 2026 2027 base" sheetId="32" state="hidden" r:id="rId5"/>
    <sheet name="Plano mestre 26-27 - 23 gru" sheetId="34" state="hidden" r:id="rId6"/>
    <sheet name="Plano mestre 26-27 - sem sabado" sheetId="33" state="hidden" r:id="rId7"/>
    <sheet name="Plano mestre 26-27 - 22 grupo" sheetId="35" state="hidden" r:id="rId8"/>
    <sheet name="Plano 26-27 - 21 grupos " sheetId="37" state="hidden" r:id="rId9"/>
    <sheet name="Plano  26-27 - 20 grupos c sab " sheetId="38" state="hidden" r:id="rId10"/>
    <sheet name="Plano  26-27 - 20 dias de feria" sheetId="40" state="hidden" r:id="rId11"/>
    <sheet name="Plano  26-27 -cenario 1 " sheetId="39" r:id="rId12"/>
    <sheet name="grupos" sheetId="31" r:id="rId13"/>
    <sheet name="Plano mestre 2025 4 oficina" sheetId="22" state="hidden" r:id="rId14"/>
    <sheet name="Plano mestre 2025 4 oficinas" sheetId="28" state="hidden" r:id="rId15"/>
    <sheet name="Planilha1" sheetId="25" state="hidden" r:id="rId16"/>
    <sheet name="Meta multimarca 95%" sheetId="2" state="hidden" r:id="rId17"/>
    <sheet name="Plano mestre 95 % 2025 5% - (2)" sheetId="23" state="hidden" r:id="rId18"/>
    <sheet name="Plano mestre  2025 prod 7200" sheetId="16" state="hidden" r:id="rId19"/>
    <sheet name="ESTOQUE IDEAL DISPONIVEL" sheetId="21" state="hidden" r:id="rId20"/>
    <sheet name="ESTOQUE MINIMO" sheetId="24" state="hidden" r:id="rId21"/>
    <sheet name="Resumo Necessidade de Produção" sheetId="18" state="hidden" r:id="rId22"/>
    <sheet name="Resumo cobertura 40+" sheetId="19" state="hidden" r:id="rId23"/>
    <sheet name="GIRO GERAL" sheetId="17" state="hidden" r:id="rId24"/>
    <sheet name="Plano mestre 95 % 2025 5%" sheetId="14" state="hidden" r:id="rId25"/>
    <sheet name="Necessidade de Podução" sheetId="15" state="hidden" r:id="rId26"/>
    <sheet name="Plano mestre 95 % 2025 10%" sheetId="13" state="hidden" r:id="rId27"/>
    <sheet name="Plano mestre 95 %" sheetId="11" state="hidden" r:id="rId28"/>
    <sheet name="Plano mestre 90 % " sheetId="12" state="hidden" r:id="rId29"/>
    <sheet name="Plano mestre" sheetId="8" state="hidden" r:id="rId30"/>
    <sheet name="Plano mestre +15%" sheetId="9" state="hidden" r:id="rId31"/>
    <sheet name="Página11" sheetId="3" state="hidden" r:id="rId32"/>
    <sheet name="Meta multimarca 90%" sheetId="4" state="hidden" r:id="rId33"/>
    <sheet name="Meta multimarca 100%" sheetId="5" state="hidden" r:id="rId34"/>
    <sheet name="Cenário sem parada no carnaval" sheetId="6" state="hidden" r:id="rId35"/>
    <sheet name="Cenário para 5 dias completo" sheetId="7" state="hidden" r:id="rId36"/>
    <sheet name="META  EM PEÇAS" sheetId="10" state="hidden" r:id="rId37"/>
  </sheets>
  <definedNames>
    <definedName name="_xlnm._FilterDatabase" localSheetId="12" hidden="1">grupos!$P$3:$U$28</definedName>
    <definedName name="_xlnm._FilterDatabase" localSheetId="22" hidden="1">'Resumo cobertura 40+'!$A$1:$P$1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8" roundtripDataChecksum="X7FVSy5+Y4MockRBpfWloGITu6lbqpafjTQquWqw81c="/>
    </ext>
  </extLst>
</workbook>
</file>

<file path=xl/calcChain.xml><?xml version="1.0" encoding="utf-8"?>
<calcChain xmlns="http://schemas.openxmlformats.org/spreadsheetml/2006/main">
  <c r="DJ73" i="39" l="1"/>
  <c r="DJ39" i="39"/>
  <c r="DJ81" i="39"/>
  <c r="DL123" i="39"/>
  <c r="DL39" i="39"/>
  <c r="DM123" i="39"/>
  <c r="DN123" i="39"/>
  <c r="DO123" i="39"/>
  <c r="DP123" i="39"/>
  <c r="DQ123" i="39"/>
  <c r="DR123" i="39"/>
  <c r="DL8" i="39"/>
  <c r="DL8" i="40"/>
  <c r="DM8" i="40"/>
  <c r="DD122" i="40"/>
  <c r="DC122" i="40"/>
  <c r="DB122" i="40"/>
  <c r="DA122" i="40"/>
  <c r="CZ122" i="40"/>
  <c r="CY122" i="40"/>
  <c r="CX122" i="40"/>
  <c r="C111" i="40"/>
  <c r="C109" i="40"/>
  <c r="C114" i="40" s="1"/>
  <c r="DV102" i="40"/>
  <c r="DH102" i="40"/>
  <c r="DW101" i="40"/>
  <c r="DV101" i="40"/>
  <c r="DU101" i="40"/>
  <c r="DT101" i="40"/>
  <c r="DS101" i="40"/>
  <c r="DR101" i="40"/>
  <c r="DQ101" i="40"/>
  <c r="DP101" i="40"/>
  <c r="DO101" i="40"/>
  <c r="DN101" i="40"/>
  <c r="DM101" i="40"/>
  <c r="DL101" i="40"/>
  <c r="DI101" i="40"/>
  <c r="DH101" i="40"/>
  <c r="DG101" i="40"/>
  <c r="DF101" i="40"/>
  <c r="DE101" i="40"/>
  <c r="DD101" i="40"/>
  <c r="DC101" i="40"/>
  <c r="DB101" i="40"/>
  <c r="DA101" i="40"/>
  <c r="CZ101" i="40"/>
  <c r="CY101" i="40"/>
  <c r="CX101" i="40"/>
  <c r="DW100" i="40"/>
  <c r="DO100" i="40"/>
  <c r="DN100" i="40"/>
  <c r="DM100" i="40"/>
  <c r="DL100" i="40"/>
  <c r="DI100" i="40"/>
  <c r="DA100" i="40"/>
  <c r="CZ100" i="40"/>
  <c r="CY100" i="40"/>
  <c r="CX100" i="40"/>
  <c r="CU100" i="40"/>
  <c r="CS99" i="40"/>
  <c r="DW98" i="40"/>
  <c r="DV98" i="40"/>
  <c r="DU98" i="40"/>
  <c r="DT98" i="40"/>
  <c r="DS98" i="40"/>
  <c r="DR98" i="40"/>
  <c r="DQ98" i="40"/>
  <c r="DP98" i="40"/>
  <c r="DO98" i="40"/>
  <c r="DN98" i="40"/>
  <c r="DM98" i="40"/>
  <c r="DL98" i="40"/>
  <c r="CU98" i="40"/>
  <c r="CT98" i="40"/>
  <c r="CS98" i="40"/>
  <c r="CQ98" i="40"/>
  <c r="CP98" i="40"/>
  <c r="CO98" i="40"/>
  <c r="K95" i="40"/>
  <c r="J95" i="40"/>
  <c r="I95" i="40"/>
  <c r="H95" i="40"/>
  <c r="G95" i="40"/>
  <c r="F95" i="40"/>
  <c r="E95" i="40"/>
  <c r="D95" i="40"/>
  <c r="P95" i="40" s="1"/>
  <c r="CS94" i="40"/>
  <c r="BT93" i="40"/>
  <c r="BF93" i="40"/>
  <c r="AL93" i="40"/>
  <c r="AK93" i="40"/>
  <c r="AJ93" i="40"/>
  <c r="AI93" i="40"/>
  <c r="AH93" i="40"/>
  <c r="AG93" i="40"/>
  <c r="AF93" i="40"/>
  <c r="AR93" i="40" s="1"/>
  <c r="BT92" i="40"/>
  <c r="BB92" i="40"/>
  <c r="BF92" i="40" s="1"/>
  <c r="AR92" i="40"/>
  <c r="DM91" i="40"/>
  <c r="DL91" i="40"/>
  <c r="DI91" i="40"/>
  <c r="DH91" i="40"/>
  <c r="DG91" i="40"/>
  <c r="DF91" i="40"/>
  <c r="DE91" i="40"/>
  <c r="DD91" i="40"/>
  <c r="DC91" i="40"/>
  <c r="DB91" i="40"/>
  <c r="CM91" i="40"/>
  <c r="CL91" i="40"/>
  <c r="CK91" i="40"/>
  <c r="CG91" i="40"/>
  <c r="CD91" i="40"/>
  <c r="CC91" i="40"/>
  <c r="CB91" i="40"/>
  <c r="BQ91" i="40"/>
  <c r="BQ94" i="40" s="1"/>
  <c r="BP91" i="40"/>
  <c r="BO91" i="40"/>
  <c r="BN91" i="40"/>
  <c r="BM91" i="40"/>
  <c r="BL91" i="40"/>
  <c r="BK91" i="40"/>
  <c r="BJ91" i="40"/>
  <c r="BI91" i="40"/>
  <c r="BH91" i="40"/>
  <c r="BE91" i="40"/>
  <c r="BE94" i="40" s="1"/>
  <c r="BD91" i="40"/>
  <c r="BD94" i="40" s="1"/>
  <c r="BC91" i="40"/>
  <c r="BB91" i="40"/>
  <c r="BA91" i="40"/>
  <c r="AZ91" i="40"/>
  <c r="AY91" i="40"/>
  <c r="AX91" i="40"/>
  <c r="AW91" i="40"/>
  <c r="AV91" i="40"/>
  <c r="AU91" i="40"/>
  <c r="AT91" i="40"/>
  <c r="AQ91" i="40"/>
  <c r="AP91" i="40"/>
  <c r="AO91" i="40"/>
  <c r="AN91" i="40"/>
  <c r="AM91" i="40"/>
  <c r="AD91" i="40"/>
  <c r="P91" i="40"/>
  <c r="CN89" i="40"/>
  <c r="BE89" i="40"/>
  <c r="BD89" i="40"/>
  <c r="DW88" i="40"/>
  <c r="DV88" i="40"/>
  <c r="DU88" i="40"/>
  <c r="DT88" i="40"/>
  <c r="DS88" i="40"/>
  <c r="DR88" i="40"/>
  <c r="DQ88" i="40"/>
  <c r="DP88" i="40"/>
  <c r="DO88" i="40"/>
  <c r="DN88" i="40"/>
  <c r="DM88" i="40"/>
  <c r="DL88" i="40"/>
  <c r="DJ88" i="40"/>
  <c r="CS88" i="40"/>
  <c r="CR88" i="40"/>
  <c r="CQ88" i="40"/>
  <c r="CP88" i="40"/>
  <c r="CO88" i="40"/>
  <c r="CN88" i="40"/>
  <c r="CM88" i="40"/>
  <c r="CL88" i="40"/>
  <c r="CK88" i="40"/>
  <c r="CJ88" i="40"/>
  <c r="BS88" i="40"/>
  <c r="BT88" i="40" s="1"/>
  <c r="BF88" i="40"/>
  <c r="AR88" i="40"/>
  <c r="DA87" i="40"/>
  <c r="CZ87" i="40"/>
  <c r="CL87" i="40"/>
  <c r="BX87" i="40"/>
  <c r="BW87" i="40"/>
  <c r="BV87" i="40"/>
  <c r="BT87" i="40"/>
  <c r="BF87" i="40"/>
  <c r="AR87" i="40"/>
  <c r="DE86" i="40"/>
  <c r="DF86" i="40" s="1"/>
  <c r="DG86" i="40" s="1"/>
  <c r="DH86" i="40" s="1"/>
  <c r="DI86" i="40" s="1"/>
  <c r="CR86" i="40"/>
  <c r="CR98" i="40" s="1"/>
  <c r="CC86" i="40"/>
  <c r="BS86" i="40"/>
  <c r="BO86" i="40"/>
  <c r="BN86" i="40"/>
  <c r="BM86" i="40"/>
  <c r="BL86" i="40"/>
  <c r="BK86" i="40"/>
  <c r="BJ86" i="40"/>
  <c r="BI86" i="40"/>
  <c r="BH86" i="40"/>
  <c r="BE86" i="40"/>
  <c r="BD86" i="40"/>
  <c r="BA86" i="40"/>
  <c r="AL86" i="40"/>
  <c r="AK86" i="40"/>
  <c r="AJ86" i="40"/>
  <c r="AI86" i="40"/>
  <c r="AH86" i="40"/>
  <c r="AG86" i="40"/>
  <c r="AF86" i="40"/>
  <c r="AR86" i="40" s="1"/>
  <c r="AC86" i="40"/>
  <c r="AB86" i="40"/>
  <c r="AA86" i="40"/>
  <c r="Z86" i="40"/>
  <c r="Y86" i="40"/>
  <c r="X86" i="40"/>
  <c r="W86" i="40"/>
  <c r="V86" i="40"/>
  <c r="U86" i="40"/>
  <c r="T86" i="40"/>
  <c r="S86" i="40"/>
  <c r="R86" i="40"/>
  <c r="BX85" i="40"/>
  <c r="BW85" i="40"/>
  <c r="BV85" i="40"/>
  <c r="BR85" i="40"/>
  <c r="BR86" i="40" s="1"/>
  <c r="BQ85" i="40"/>
  <c r="BQ86" i="40" s="1"/>
  <c r="BP85" i="40"/>
  <c r="BC85" i="40"/>
  <c r="BB85" i="40"/>
  <c r="AY85" i="40"/>
  <c r="AX85" i="40"/>
  <c r="AW85" i="40"/>
  <c r="AV85" i="40"/>
  <c r="AU85" i="40"/>
  <c r="AU86" i="40" s="1"/>
  <c r="BF86" i="40" s="1"/>
  <c r="AT85" i="40"/>
  <c r="BF85" i="40" s="1"/>
  <c r="AQ85" i="40"/>
  <c r="AP85" i="40"/>
  <c r="AO85" i="40"/>
  <c r="AN85" i="40"/>
  <c r="AM85" i="40"/>
  <c r="AR85" i="40" s="1"/>
  <c r="P85" i="40"/>
  <c r="DW84" i="40"/>
  <c r="DV84" i="40"/>
  <c r="DU84" i="40"/>
  <c r="DT84" i="40"/>
  <c r="DS84" i="40"/>
  <c r="DR84" i="40"/>
  <c r="DQ84" i="40"/>
  <c r="DP84" i="40"/>
  <c r="DO84" i="40"/>
  <c r="DN84" i="40"/>
  <c r="DM84" i="40"/>
  <c r="DL84" i="40"/>
  <c r="DX84" i="40" s="1"/>
  <c r="DI84" i="40"/>
  <c r="DH84" i="40"/>
  <c r="DG84" i="40"/>
  <c r="DF84" i="40"/>
  <c r="DE84" i="40"/>
  <c r="DD84" i="40"/>
  <c r="DC84" i="40"/>
  <c r="DB84" i="40"/>
  <c r="DA84" i="40"/>
  <c r="CZ84" i="40"/>
  <c r="CY84" i="40"/>
  <c r="CX84" i="40"/>
  <c r="DJ84" i="40" s="1"/>
  <c r="CU84" i="40"/>
  <c r="CT84" i="40"/>
  <c r="DX83" i="40"/>
  <c r="DJ83" i="40"/>
  <c r="DA82" i="40"/>
  <c r="CZ82" i="40"/>
  <c r="CU82" i="40"/>
  <c r="CL82" i="40"/>
  <c r="BX82" i="40"/>
  <c r="BX88" i="40" s="1"/>
  <c r="BW82" i="40"/>
  <c r="BW88" i="40" s="1"/>
  <c r="BV82" i="40"/>
  <c r="BS82" i="40"/>
  <c r="BP82" i="40"/>
  <c r="BO82" i="40"/>
  <c r="BN82" i="40"/>
  <c r="BM82" i="40"/>
  <c r="BL82" i="40"/>
  <c r="BK82" i="40"/>
  <c r="BJ82" i="40"/>
  <c r="BI82" i="40"/>
  <c r="BH82" i="40"/>
  <c r="BC82" i="40"/>
  <c r="BB82" i="40"/>
  <c r="BA82" i="40"/>
  <c r="AZ82" i="40"/>
  <c r="AY82" i="40"/>
  <c r="AX82" i="40"/>
  <c r="AW82" i="40"/>
  <c r="AV82" i="40"/>
  <c r="AU82" i="40"/>
  <c r="AT82" i="40"/>
  <c r="AQ82" i="40"/>
  <c r="AP82" i="40"/>
  <c r="AO82" i="40"/>
  <c r="AN82" i="40"/>
  <c r="AM82" i="40"/>
  <c r="AL82" i="40"/>
  <c r="AK82" i="40"/>
  <c r="AJ82" i="40"/>
  <c r="AI82" i="40"/>
  <c r="AH82" i="40"/>
  <c r="AG82" i="40"/>
  <c r="AF82" i="40"/>
  <c r="AD82" i="40"/>
  <c r="P82" i="40"/>
  <c r="CZ81" i="40"/>
  <c r="CU81" i="40"/>
  <c r="DW80" i="40"/>
  <c r="DV80" i="40"/>
  <c r="DU80" i="40"/>
  <c r="DT80" i="40"/>
  <c r="DS80" i="40"/>
  <c r="DR80" i="40"/>
  <c r="DQ80" i="40"/>
  <c r="DP80" i="40"/>
  <c r="DO80" i="40"/>
  <c r="DN80" i="40"/>
  <c r="DM80" i="40"/>
  <c r="DL80" i="40"/>
  <c r="DX80" i="40" s="1"/>
  <c r="DI80" i="40"/>
  <c r="DH80" i="40"/>
  <c r="DG80" i="40"/>
  <c r="DF80" i="40"/>
  <c r="DE80" i="40"/>
  <c r="DD80" i="40"/>
  <c r="DC80" i="40"/>
  <c r="DB80" i="40"/>
  <c r="DA80" i="40"/>
  <c r="CZ80" i="40"/>
  <c r="CY80" i="40"/>
  <c r="CX80" i="40"/>
  <c r="DJ80" i="40" s="1"/>
  <c r="CU80" i="40"/>
  <c r="CT80" i="40"/>
  <c r="DW79" i="40"/>
  <c r="DV79" i="40"/>
  <c r="DU79" i="40"/>
  <c r="DT79" i="40"/>
  <c r="DS79" i="40"/>
  <c r="DR79" i="40"/>
  <c r="DQ79" i="40"/>
  <c r="DP79" i="40"/>
  <c r="DO79" i="40"/>
  <c r="DN79" i="40"/>
  <c r="DM79" i="40"/>
  <c r="DL79" i="40"/>
  <c r="DI79" i="40"/>
  <c r="DH79" i="40"/>
  <c r="DG79" i="40"/>
  <c r="DA79" i="40"/>
  <c r="CZ79" i="40"/>
  <c r="CY79" i="40"/>
  <c r="CX79" i="40"/>
  <c r="DW78" i="40"/>
  <c r="DV78" i="40"/>
  <c r="DU78" i="40"/>
  <c r="DT78" i="40"/>
  <c r="DS78" i="40"/>
  <c r="DR78" i="40"/>
  <c r="DQ78" i="40"/>
  <c r="DP78" i="40"/>
  <c r="DO78" i="40"/>
  <c r="DN78" i="40"/>
  <c r="DM78" i="40"/>
  <c r="DL78" i="40"/>
  <c r="DX78" i="40" s="1"/>
  <c r="DI78" i="40"/>
  <c r="DH78" i="40"/>
  <c r="DG78" i="40"/>
  <c r="DF78" i="40"/>
  <c r="DF96" i="40" s="1"/>
  <c r="DE78" i="40"/>
  <c r="DE96" i="40" s="1"/>
  <c r="DD78" i="40"/>
  <c r="DD96" i="40" s="1"/>
  <c r="DC78" i="40"/>
  <c r="DC96" i="40" s="1"/>
  <c r="DB78" i="40"/>
  <c r="DB96" i="40" s="1"/>
  <c r="DA78" i="40"/>
  <c r="CZ78" i="40"/>
  <c r="CY78" i="40"/>
  <c r="CX78" i="40"/>
  <c r="DJ78" i="40" s="1"/>
  <c r="CR77" i="40"/>
  <c r="CQ77" i="40"/>
  <c r="CP77" i="40"/>
  <c r="CO77" i="40"/>
  <c r="CN77" i="40"/>
  <c r="CM77" i="40"/>
  <c r="CL77" i="40"/>
  <c r="CK77" i="40"/>
  <c r="CH77" i="40"/>
  <c r="CV77" i="40" s="1"/>
  <c r="DW76" i="40"/>
  <c r="DV76" i="40"/>
  <c r="DU76" i="40"/>
  <c r="DT76" i="40"/>
  <c r="DS76" i="40"/>
  <c r="DR76" i="40"/>
  <c r="DQ76" i="40"/>
  <c r="DP76" i="40"/>
  <c r="DO76" i="40"/>
  <c r="DN76" i="40"/>
  <c r="DM76" i="40"/>
  <c r="DL76" i="40"/>
  <c r="DX76" i="40" s="1"/>
  <c r="DI76" i="40"/>
  <c r="DH76" i="40"/>
  <c r="DG76" i="40"/>
  <c r="DF76" i="40"/>
  <c r="DE76" i="40"/>
  <c r="DD76" i="40"/>
  <c r="DC76" i="40"/>
  <c r="DB76" i="40"/>
  <c r="DA76" i="40"/>
  <c r="CZ76" i="40"/>
  <c r="CY76" i="40"/>
  <c r="CX76" i="40"/>
  <c r="DJ76" i="40" s="1"/>
  <c r="CW76" i="40"/>
  <c r="AQ75" i="40"/>
  <c r="AP75" i="40"/>
  <c r="AO75" i="40"/>
  <c r="AN75" i="40"/>
  <c r="AM75" i="40"/>
  <c r="AL75" i="40"/>
  <c r="AK75" i="40"/>
  <c r="AJ75" i="40"/>
  <c r="AI75" i="40"/>
  <c r="AH75" i="40"/>
  <c r="AG75" i="40"/>
  <c r="AF75" i="40"/>
  <c r="AR75" i="40" s="1"/>
  <c r="CG74" i="40"/>
  <c r="CF74" i="40"/>
  <c r="CE74" i="40"/>
  <c r="CD74" i="40"/>
  <c r="CC74" i="40"/>
  <c r="CB74" i="40"/>
  <c r="DQ73" i="40"/>
  <c r="DP73" i="40"/>
  <c r="DO73" i="40"/>
  <c r="DN73" i="40"/>
  <c r="DM73" i="40"/>
  <c r="DL73" i="40"/>
  <c r="DI73" i="40"/>
  <c r="DW73" i="40" s="1"/>
  <c r="CT73" i="40"/>
  <c r="CS73" i="40"/>
  <c r="CR73" i="40"/>
  <c r="CQ73" i="40"/>
  <c r="CP73" i="40"/>
  <c r="CO73" i="40"/>
  <c r="CN73" i="40"/>
  <c r="CL73" i="40"/>
  <c r="CK73" i="40"/>
  <c r="CJ73" i="40"/>
  <c r="CH73" i="40"/>
  <c r="BQ73" i="40"/>
  <c r="BP73" i="40"/>
  <c r="BO73" i="40"/>
  <c r="BN73" i="40"/>
  <c r="BM73" i="40"/>
  <c r="BL73" i="40"/>
  <c r="BK73" i="40"/>
  <c r="BJ73" i="40"/>
  <c r="BI73" i="40"/>
  <c r="BH73" i="40"/>
  <c r="BT73" i="40" s="1"/>
  <c r="CH72" i="40"/>
  <c r="BT72" i="40"/>
  <c r="BB72" i="40"/>
  <c r="AR72" i="40"/>
  <c r="CH71" i="40"/>
  <c r="BQ71" i="40"/>
  <c r="AM71" i="40"/>
  <c r="AL71" i="40"/>
  <c r="AK71" i="40"/>
  <c r="AJ71" i="40"/>
  <c r="AI71" i="40"/>
  <c r="AH71" i="40"/>
  <c r="AG71" i="40"/>
  <c r="AF71" i="40"/>
  <c r="CH70" i="40"/>
  <c r="BT70" i="40"/>
  <c r="BF70" i="40"/>
  <c r="AR70" i="40"/>
  <c r="CM69" i="40"/>
  <c r="CL69" i="40"/>
  <c r="CK69" i="40"/>
  <c r="CJ69" i="40"/>
  <c r="BQ69" i="40"/>
  <c r="BP69" i="40"/>
  <c r="BO69" i="40"/>
  <c r="BN69" i="40"/>
  <c r="BM69" i="40"/>
  <c r="BL69" i="40"/>
  <c r="BK69" i="40"/>
  <c r="BJ69" i="40"/>
  <c r="BI69" i="40"/>
  <c r="BH69" i="40"/>
  <c r="BE69" i="40"/>
  <c r="BD69" i="40"/>
  <c r="BC69" i="40"/>
  <c r="BB69" i="40"/>
  <c r="BA69" i="40"/>
  <c r="AZ69" i="40"/>
  <c r="AY69" i="40"/>
  <c r="AX69" i="40"/>
  <c r="AW69" i="40"/>
  <c r="AV69" i="40"/>
  <c r="AU69" i="40"/>
  <c r="AT69" i="40"/>
  <c r="AQ69" i="40"/>
  <c r="AP69" i="40"/>
  <c r="AO69" i="40"/>
  <c r="AN69" i="40"/>
  <c r="AM69" i="40"/>
  <c r="AL69" i="40"/>
  <c r="AK69" i="40"/>
  <c r="AJ69" i="40"/>
  <c r="AI69" i="40"/>
  <c r="AH69" i="40"/>
  <c r="AG69" i="40"/>
  <c r="AF69" i="40"/>
  <c r="BF68" i="40"/>
  <c r="AR68" i="40"/>
  <c r="AD68" i="40"/>
  <c r="P68" i="40"/>
  <c r="BN67" i="40"/>
  <c r="BM67" i="40"/>
  <c r="BL67" i="40"/>
  <c r="BK67" i="40"/>
  <c r="BJ67" i="40"/>
  <c r="BI67" i="40"/>
  <c r="BH67" i="40"/>
  <c r="BA67" i="40"/>
  <c r="AZ67" i="40"/>
  <c r="AY67" i="40"/>
  <c r="AX67" i="40"/>
  <c r="AW67" i="40"/>
  <c r="AV67" i="40"/>
  <c r="AU67" i="40"/>
  <c r="AT67" i="40"/>
  <c r="BT66" i="40"/>
  <c r="BB66" i="40"/>
  <c r="AR66" i="40"/>
  <c r="BQ65" i="40"/>
  <c r="BQ67" i="40" s="1"/>
  <c r="BP65" i="40"/>
  <c r="BP67" i="40" s="1"/>
  <c r="BO65" i="40"/>
  <c r="BE65" i="40"/>
  <c r="BE67" i="40" s="1"/>
  <c r="BD65" i="40"/>
  <c r="BD67" i="40" s="1"/>
  <c r="BC65" i="40"/>
  <c r="BC67" i="40" s="1"/>
  <c r="BB65" i="40"/>
  <c r="BF65" i="40" s="1"/>
  <c r="CV64" i="40"/>
  <c r="BN64" i="40"/>
  <c r="BM64" i="40"/>
  <c r="BL64" i="40"/>
  <c r="BK64" i="40"/>
  <c r="BJ64" i="40"/>
  <c r="BI64" i="40"/>
  <c r="BH64" i="40"/>
  <c r="BT64" i="40" s="1"/>
  <c r="DL63" i="40"/>
  <c r="DX63" i="40" s="1"/>
  <c r="DJ63" i="40"/>
  <c r="CU63" i="40"/>
  <c r="CT63" i="40"/>
  <c r="CS63" i="40"/>
  <c r="CR63" i="40"/>
  <c r="CQ63" i="40"/>
  <c r="CP63" i="40"/>
  <c r="CO63" i="40"/>
  <c r="CN63" i="40"/>
  <c r="CM63" i="40"/>
  <c r="CL63" i="40"/>
  <c r="CK63" i="40"/>
  <c r="CJ63" i="40"/>
  <c r="CV63" i="40" s="1"/>
  <c r="BT63" i="40"/>
  <c r="BE63" i="40"/>
  <c r="BE73" i="40" s="1"/>
  <c r="BD63" i="40"/>
  <c r="BD73" i="40" s="1"/>
  <c r="BC63" i="40"/>
  <c r="BC73" i="40" s="1"/>
  <c r="BB63" i="40"/>
  <c r="BB64" i="40" s="1"/>
  <c r="BA63" i="40"/>
  <c r="AZ63" i="40"/>
  <c r="AZ73" i="40" s="1"/>
  <c r="AY63" i="40"/>
  <c r="AY73" i="40" s="1"/>
  <c r="AX63" i="40"/>
  <c r="AX73" i="40" s="1"/>
  <c r="AW63" i="40"/>
  <c r="AW73" i="40" s="1"/>
  <c r="AV63" i="40"/>
  <c r="AV73" i="40" s="1"/>
  <c r="AU63" i="40"/>
  <c r="AU73" i="40" s="1"/>
  <c r="AT63" i="40"/>
  <c r="AQ63" i="40"/>
  <c r="AP63" i="40"/>
  <c r="AO63" i="40"/>
  <c r="AO73" i="40" s="1"/>
  <c r="AN63" i="40"/>
  <c r="AN73" i="40" s="1"/>
  <c r="AM63" i="40"/>
  <c r="AM73" i="40" s="1"/>
  <c r="AL63" i="40"/>
  <c r="AK63" i="40"/>
  <c r="AK73" i="40" s="1"/>
  <c r="AJ63" i="40"/>
  <c r="AJ73" i="40" s="1"/>
  <c r="AI63" i="40"/>
  <c r="AI73" i="40" s="1"/>
  <c r="AG63" i="40"/>
  <c r="AG73" i="40" s="1"/>
  <c r="AF63" i="40"/>
  <c r="AC63" i="40"/>
  <c r="AB63" i="40"/>
  <c r="AA63" i="40"/>
  <c r="Z63" i="40"/>
  <c r="Y63" i="40"/>
  <c r="X63" i="40"/>
  <c r="W63" i="40"/>
  <c r="R63" i="40"/>
  <c r="O63" i="40"/>
  <c r="N63" i="40"/>
  <c r="M63" i="40"/>
  <c r="L63" i="40"/>
  <c r="K63" i="40"/>
  <c r="J63" i="40"/>
  <c r="I63" i="40"/>
  <c r="H63" i="40"/>
  <c r="G63" i="40"/>
  <c r="F63" i="40"/>
  <c r="E63" i="40"/>
  <c r="D63" i="40"/>
  <c r="P63" i="40" s="1"/>
  <c r="CU62" i="40"/>
  <c r="CT62" i="40"/>
  <c r="CS62" i="40"/>
  <c r="CR62" i="40"/>
  <c r="CQ62" i="40"/>
  <c r="CP62" i="40"/>
  <c r="CO62" i="40"/>
  <c r="CN62" i="40"/>
  <c r="CM62" i="40"/>
  <c r="CL62" i="40"/>
  <c r="CK62" i="40"/>
  <c r="CJ62" i="40"/>
  <c r="BT62" i="40"/>
  <c r="BF62" i="40"/>
  <c r="AR62" i="40"/>
  <c r="AD62" i="40"/>
  <c r="P62" i="40"/>
  <c r="CU61" i="40"/>
  <c r="CT61" i="40"/>
  <c r="CS61" i="40"/>
  <c r="CR61" i="40"/>
  <c r="CQ61" i="40"/>
  <c r="CP61" i="40"/>
  <c r="CO61" i="40"/>
  <c r="CN61" i="40"/>
  <c r="CM61" i="40"/>
  <c r="CL61" i="40"/>
  <c r="CK61" i="40"/>
  <c r="CJ61" i="40"/>
  <c r="BF61" i="40"/>
  <c r="BF60" i="40"/>
  <c r="AR60" i="40"/>
  <c r="BF59" i="40"/>
  <c r="AR59" i="40"/>
  <c r="BF58" i="40"/>
  <c r="AR58" i="40"/>
  <c r="CG57" i="40"/>
  <c r="CF57" i="40"/>
  <c r="CE57" i="40"/>
  <c r="CD57" i="40"/>
  <c r="CC57" i="40"/>
  <c r="CB57" i="40"/>
  <c r="CA57" i="40"/>
  <c r="BZ57" i="40"/>
  <c r="BY57" i="40"/>
  <c r="BX57" i="40"/>
  <c r="BW57" i="40"/>
  <c r="BW63" i="40" s="1"/>
  <c r="BV57" i="40"/>
  <c r="BT57" i="40"/>
  <c r="BF57" i="40"/>
  <c r="AH57" i="40"/>
  <c r="AR57" i="40" s="1"/>
  <c r="CG56" i="40"/>
  <c r="CF56" i="40"/>
  <c r="CE56" i="40"/>
  <c r="CD56" i="40"/>
  <c r="CC56" i="40"/>
  <c r="CB56" i="40"/>
  <c r="CA56" i="40"/>
  <c r="BZ56" i="40"/>
  <c r="BY56" i="40"/>
  <c r="BX56" i="40"/>
  <c r="CH56" i="40" s="1"/>
  <c r="BF56" i="40"/>
  <c r="AH56" i="40"/>
  <c r="AR56" i="40" s="1"/>
  <c r="AD56" i="40"/>
  <c r="CG55" i="40"/>
  <c r="CF55" i="40"/>
  <c r="CE55" i="40"/>
  <c r="CD55" i="40"/>
  <c r="CC55" i="40"/>
  <c r="CB55" i="40"/>
  <c r="CA55" i="40"/>
  <c r="BZ55" i="40"/>
  <c r="BY55" i="40"/>
  <c r="BX55" i="40"/>
  <c r="CH55" i="40" s="1"/>
  <c r="BF55" i="40"/>
  <c r="AH55" i="40"/>
  <c r="AR55" i="40" s="1"/>
  <c r="AD55" i="40"/>
  <c r="CG54" i="40"/>
  <c r="CF54" i="40"/>
  <c r="CE54" i="40"/>
  <c r="CD54" i="40"/>
  <c r="CC54" i="40"/>
  <c r="CB54" i="40"/>
  <c r="CA54" i="40"/>
  <c r="BZ54" i="40"/>
  <c r="BY54" i="40"/>
  <c r="BX54" i="40"/>
  <c r="CH54" i="40" s="1"/>
  <c r="BF54" i="40"/>
  <c r="AH54" i="40"/>
  <c r="AR54" i="40" s="1"/>
  <c r="AD54" i="40"/>
  <c r="P54" i="40"/>
  <c r="CG53" i="40"/>
  <c r="CF53" i="40"/>
  <c r="CE53" i="40"/>
  <c r="CD53" i="40"/>
  <c r="CC53" i="40"/>
  <c r="CB53" i="40"/>
  <c r="CA53" i="40"/>
  <c r="BZ53" i="40"/>
  <c r="BY53" i="40"/>
  <c r="BX53" i="40"/>
  <c r="CH53" i="40" s="1"/>
  <c r="BF53" i="40"/>
  <c r="AH53" i="40"/>
  <c r="AR53" i="40" s="1"/>
  <c r="AD53" i="40"/>
  <c r="P53" i="40"/>
  <c r="CG52" i="40"/>
  <c r="CF52" i="40"/>
  <c r="CE52" i="40"/>
  <c r="CD52" i="40"/>
  <c r="CC52" i="40"/>
  <c r="CB52" i="40"/>
  <c r="CA52" i="40"/>
  <c r="BZ52" i="40"/>
  <c r="BY52" i="40"/>
  <c r="BX52" i="40"/>
  <c r="CH52" i="40" s="1"/>
  <c r="BF52" i="40"/>
  <c r="AH52" i="40"/>
  <c r="AR52" i="40" s="1"/>
  <c r="AD52" i="40"/>
  <c r="P52" i="40"/>
  <c r="CG51" i="40"/>
  <c r="CF51" i="40"/>
  <c r="CE51" i="40"/>
  <c r="CD51" i="40"/>
  <c r="CC51" i="40"/>
  <c r="CB51" i="40"/>
  <c r="CA51" i="40"/>
  <c r="BZ51" i="40"/>
  <c r="BY51" i="40"/>
  <c r="BX51" i="40"/>
  <c r="CH51" i="40" s="1"/>
  <c r="BF51" i="40"/>
  <c r="AH51" i="40"/>
  <c r="AD51" i="40"/>
  <c r="P51" i="40"/>
  <c r="CG50" i="40"/>
  <c r="CF50" i="40"/>
  <c r="CE50" i="40"/>
  <c r="CD50" i="40"/>
  <c r="CC50" i="40"/>
  <c r="CB50" i="40"/>
  <c r="CA50" i="40"/>
  <c r="BZ50" i="40"/>
  <c r="BY50" i="40"/>
  <c r="BX50" i="40"/>
  <c r="CH50" i="40" s="1"/>
  <c r="BF50" i="40"/>
  <c r="AR50" i="40"/>
  <c r="U50" i="40"/>
  <c r="T50" i="40"/>
  <c r="AD50" i="40" s="1"/>
  <c r="P50" i="40"/>
  <c r="CG49" i="40"/>
  <c r="CF49" i="40"/>
  <c r="CE49" i="40"/>
  <c r="CD49" i="40"/>
  <c r="CC49" i="40"/>
  <c r="CB49" i="40"/>
  <c r="CA49" i="40"/>
  <c r="BZ49" i="40"/>
  <c r="BY49" i="40"/>
  <c r="BX49" i="40"/>
  <c r="CH49" i="40" s="1"/>
  <c r="BF49" i="40"/>
  <c r="AR49" i="40"/>
  <c r="T49" i="40"/>
  <c r="AD49" i="40" s="1"/>
  <c r="P49" i="40"/>
  <c r="CG48" i="40"/>
  <c r="CF48" i="40"/>
  <c r="CE48" i="40"/>
  <c r="CD48" i="40"/>
  <c r="CC48" i="40"/>
  <c r="CB48" i="40"/>
  <c r="CA48" i="40"/>
  <c r="BZ48" i="40"/>
  <c r="BY48" i="40"/>
  <c r="BX48" i="40"/>
  <c r="CH48" i="40" s="1"/>
  <c r="BF48" i="40"/>
  <c r="AR48" i="40"/>
  <c r="U48" i="40"/>
  <c r="T48" i="40"/>
  <c r="S48" i="40"/>
  <c r="AD48" i="40" s="1"/>
  <c r="P48" i="40"/>
  <c r="CG47" i="40"/>
  <c r="CF47" i="40"/>
  <c r="CE47" i="40"/>
  <c r="CD47" i="40"/>
  <c r="CC47" i="40"/>
  <c r="CB47" i="40"/>
  <c r="CA47" i="40"/>
  <c r="BZ47" i="40"/>
  <c r="BY47" i="40"/>
  <c r="BX47" i="40"/>
  <c r="CH47" i="40" s="1"/>
  <c r="BF47" i="40"/>
  <c r="AR47" i="40"/>
  <c r="AD47" i="40"/>
  <c r="P47" i="40"/>
  <c r="CG46" i="40"/>
  <c r="CF46" i="40"/>
  <c r="CE46" i="40"/>
  <c r="CD46" i="40"/>
  <c r="CC46" i="40"/>
  <c r="CB46" i="40"/>
  <c r="CA46" i="40"/>
  <c r="BZ46" i="40"/>
  <c r="BY46" i="40"/>
  <c r="BX46" i="40"/>
  <c r="CH46" i="40" s="1"/>
  <c r="BF46" i="40"/>
  <c r="AR46" i="40"/>
  <c r="V46" i="40"/>
  <c r="V63" i="40" s="1"/>
  <c r="U46" i="40"/>
  <c r="AD46" i="40" s="1"/>
  <c r="P46" i="40"/>
  <c r="CG45" i="40"/>
  <c r="CF45" i="40"/>
  <c r="CE45" i="40"/>
  <c r="CD45" i="40"/>
  <c r="CC45" i="40"/>
  <c r="CB45" i="40"/>
  <c r="CA45" i="40"/>
  <c r="BZ45" i="40"/>
  <c r="BY45" i="40"/>
  <c r="BX45" i="40"/>
  <c r="CH45" i="40" s="1"/>
  <c r="BF45" i="40"/>
  <c r="AR45" i="40"/>
  <c r="T45" i="40"/>
  <c r="S45" i="40"/>
  <c r="P45" i="40"/>
  <c r="CG44" i="40"/>
  <c r="CF44" i="40"/>
  <c r="CE44" i="40"/>
  <c r="CD44" i="40"/>
  <c r="CC44" i="40"/>
  <c r="CB44" i="40"/>
  <c r="CA44" i="40"/>
  <c r="BZ44" i="40"/>
  <c r="BY44" i="40"/>
  <c r="BX44" i="40"/>
  <c r="CH44" i="40" s="1"/>
  <c r="BF44" i="40"/>
  <c r="AR44" i="40"/>
  <c r="AD44" i="40"/>
  <c r="P44" i="40"/>
  <c r="CG43" i="40"/>
  <c r="CF43" i="40"/>
  <c r="CE43" i="40"/>
  <c r="CD43" i="40"/>
  <c r="CC43" i="40"/>
  <c r="CB43" i="40"/>
  <c r="CA43" i="40"/>
  <c r="BZ43" i="40"/>
  <c r="BY43" i="40"/>
  <c r="BX43" i="40"/>
  <c r="CH43" i="40" s="1"/>
  <c r="BF43" i="40"/>
  <c r="AR43" i="40"/>
  <c r="U43" i="40"/>
  <c r="T43" i="40"/>
  <c r="AD43" i="40" s="1"/>
  <c r="P43" i="40"/>
  <c r="CG42" i="40"/>
  <c r="CG63" i="40" s="1"/>
  <c r="CF42" i="40"/>
  <c r="CF63" i="40" s="1"/>
  <c r="CE42" i="40"/>
  <c r="CE63" i="40" s="1"/>
  <c r="CE64" i="40" s="1"/>
  <c r="CD42" i="40"/>
  <c r="CD63" i="40" s="1"/>
  <c r="CD64" i="40" s="1"/>
  <c r="CC42" i="40"/>
  <c r="CC63" i="40" s="1"/>
  <c r="CC64" i="40" s="1"/>
  <c r="CB42" i="40"/>
  <c r="CB63" i="40" s="1"/>
  <c r="CA42" i="40"/>
  <c r="CA63" i="40" s="1"/>
  <c r="BZ42" i="40"/>
  <c r="BZ63" i="40" s="1"/>
  <c r="BY42" i="40"/>
  <c r="BY63" i="40" s="1"/>
  <c r="BX42" i="40"/>
  <c r="BX63" i="40" s="1"/>
  <c r="BF42" i="40"/>
  <c r="AR42" i="40"/>
  <c r="U42" i="40"/>
  <c r="U63" i="40" s="1"/>
  <c r="T42" i="40"/>
  <c r="P42" i="40"/>
  <c r="DJ40" i="40"/>
  <c r="DW39" i="40"/>
  <c r="DV39" i="40"/>
  <c r="DU39" i="40"/>
  <c r="DT39" i="40"/>
  <c r="DS39" i="40"/>
  <c r="DR39" i="40"/>
  <c r="DQ39" i="40"/>
  <c r="DP39" i="40"/>
  <c r="DO39" i="40"/>
  <c r="DN39" i="40"/>
  <c r="DM39" i="40"/>
  <c r="DL39" i="40"/>
  <c r="DX39" i="40" s="1"/>
  <c r="DI39" i="40"/>
  <c r="DW40" i="40" s="1"/>
  <c r="DH39" i="40"/>
  <c r="DV40" i="40" s="1"/>
  <c r="DG39" i="40"/>
  <c r="DU40" i="40" s="1"/>
  <c r="DF39" i="40"/>
  <c r="DT40" i="40" s="1"/>
  <c r="DE39" i="40"/>
  <c r="DS40" i="40" s="1"/>
  <c r="DX40" i="40" s="1"/>
  <c r="DD39" i="40"/>
  <c r="DC39" i="40"/>
  <c r="DB39" i="40"/>
  <c r="DA39" i="40"/>
  <c r="CZ39" i="40"/>
  <c r="CY39" i="40"/>
  <c r="CX39" i="40"/>
  <c r="DJ39" i="40" s="1"/>
  <c r="CP39" i="40"/>
  <c r="CJ39" i="40"/>
  <c r="CI39" i="40"/>
  <c r="CG39" i="40"/>
  <c r="CF39" i="40"/>
  <c r="CF65" i="40" s="1"/>
  <c r="CE39" i="40"/>
  <c r="CE65" i="40" s="1"/>
  <c r="CD39" i="40"/>
  <c r="CD65" i="40" s="1"/>
  <c r="CC39" i="40"/>
  <c r="CC65" i="40" s="1"/>
  <c r="CB39" i="40"/>
  <c r="CB65" i="40" s="1"/>
  <c r="CA39" i="40"/>
  <c r="CA65" i="40" s="1"/>
  <c r="BZ39" i="40"/>
  <c r="BZ65" i="40" s="1"/>
  <c r="BY39" i="40"/>
  <c r="BY65" i="40" s="1"/>
  <c r="BX39" i="40"/>
  <c r="BX65" i="40" s="1"/>
  <c r="BW39" i="40"/>
  <c r="BW65" i="40" s="1"/>
  <c r="BV39" i="40"/>
  <c r="BV65" i="40" s="1"/>
  <c r="BS39" i="40"/>
  <c r="BR39" i="40"/>
  <c r="BQ39" i="40"/>
  <c r="BE39" i="40"/>
  <c r="BE71" i="40" s="1"/>
  <c r="BD39" i="40"/>
  <c r="BD71" i="40" s="1"/>
  <c r="BC39" i="40"/>
  <c r="BC71" i="40" s="1"/>
  <c r="BB39" i="40"/>
  <c r="BB71" i="40" s="1"/>
  <c r="BA39" i="40"/>
  <c r="BA71" i="40" s="1"/>
  <c r="AZ39" i="40"/>
  <c r="AZ71" i="40" s="1"/>
  <c r="AY39" i="40"/>
  <c r="AY71" i="40" s="1"/>
  <c r="AX39" i="40"/>
  <c r="AX71" i="40" s="1"/>
  <c r="AW39" i="40"/>
  <c r="AW71" i="40" s="1"/>
  <c r="AV39" i="40"/>
  <c r="AV71" i="40" s="1"/>
  <c r="AU39" i="40"/>
  <c r="AU71" i="40" s="1"/>
  <c r="AT39" i="40"/>
  <c r="U39" i="40"/>
  <c r="AD39" i="40" s="1"/>
  <c r="P39" i="40"/>
  <c r="CQ38" i="40"/>
  <c r="CK38" i="40"/>
  <c r="AQ38" i="40"/>
  <c r="AQ39" i="40" s="1"/>
  <c r="AQ71" i="40" s="1"/>
  <c r="AP38" i="40"/>
  <c r="AP39" i="40" s="1"/>
  <c r="AP71" i="40" s="1"/>
  <c r="AO38" i="40"/>
  <c r="AO39" i="40" s="1"/>
  <c r="AO71" i="40" s="1"/>
  <c r="AN38" i="40"/>
  <c r="AN39" i="40" s="1"/>
  <c r="CV37" i="40"/>
  <c r="CG37" i="40"/>
  <c r="CF37" i="40"/>
  <c r="CE37" i="40"/>
  <c r="CD37" i="40"/>
  <c r="CC37" i="40"/>
  <c r="CB37" i="40"/>
  <c r="CA37" i="40"/>
  <c r="BZ37" i="40"/>
  <c r="BY37" i="40"/>
  <c r="BX37" i="40"/>
  <c r="BW37" i="40"/>
  <c r="BV37" i="40"/>
  <c r="CH37" i="40" s="1"/>
  <c r="BQ37" i="40"/>
  <c r="BT37" i="40" s="1"/>
  <c r="BF37" i="40"/>
  <c r="DX36" i="40"/>
  <c r="DW36" i="40"/>
  <c r="DV36" i="40"/>
  <c r="DU36" i="40"/>
  <c r="DT36" i="40"/>
  <c r="DS36" i="40"/>
  <c r="DR36" i="40"/>
  <c r="DQ36" i="40"/>
  <c r="DP36" i="40"/>
  <c r="DO36" i="40"/>
  <c r="DN36" i="40"/>
  <c r="DM36" i="40"/>
  <c r="DL36" i="40"/>
  <c r="CG36" i="40"/>
  <c r="CF36" i="40"/>
  <c r="CE36" i="40"/>
  <c r="CD36" i="40"/>
  <c r="CC36" i="40"/>
  <c r="CB36" i="40"/>
  <c r="CA36" i="40"/>
  <c r="BZ36" i="40"/>
  <c r="BY36" i="40"/>
  <c r="BX36" i="40"/>
  <c r="BW36" i="40"/>
  <c r="BP36" i="40"/>
  <c r="BO36" i="40"/>
  <c r="BN36" i="40"/>
  <c r="BM36" i="40"/>
  <c r="BL36" i="40"/>
  <c r="BK36" i="40"/>
  <c r="BJ36" i="40"/>
  <c r="BI36" i="40"/>
  <c r="BH36" i="40"/>
  <c r="BE36" i="40"/>
  <c r="BD36" i="40"/>
  <c r="BC36" i="40"/>
  <c r="BB36" i="40"/>
  <c r="AZ36" i="40"/>
  <c r="AY36" i="40"/>
  <c r="DW35" i="40"/>
  <c r="DQ35" i="40"/>
  <c r="DP35" i="40"/>
  <c r="DO35" i="40"/>
  <c r="DN35" i="40"/>
  <c r="DM35" i="40"/>
  <c r="DL35" i="40"/>
  <c r="DI35" i="40"/>
  <c r="DI119" i="40" s="1"/>
  <c r="DC35" i="40"/>
  <c r="DC119" i="40" s="1"/>
  <c r="DB35" i="40"/>
  <c r="DB119" i="40" s="1"/>
  <c r="DA35" i="40"/>
  <c r="DA119" i="40" s="1"/>
  <c r="CZ35" i="40"/>
  <c r="CZ119" i="40" s="1"/>
  <c r="CY35" i="40"/>
  <c r="CY119" i="40" s="1"/>
  <c r="CX35" i="40"/>
  <c r="CP35" i="40"/>
  <c r="CJ35" i="40"/>
  <c r="CG35" i="40"/>
  <c r="CG78" i="40" s="1"/>
  <c r="CF35" i="40"/>
  <c r="CF78" i="40" s="1"/>
  <c r="CE35" i="40"/>
  <c r="CE78" i="40" s="1"/>
  <c r="CD35" i="40"/>
  <c r="CD78" i="40" s="1"/>
  <c r="CC35" i="40"/>
  <c r="CC78" i="40" s="1"/>
  <c r="CB35" i="40"/>
  <c r="CB78" i="40" s="1"/>
  <c r="CA35" i="40"/>
  <c r="CA78" i="40" s="1"/>
  <c r="BZ35" i="40"/>
  <c r="BZ78" i="40" s="1"/>
  <c r="BY35" i="40"/>
  <c r="BY78" i="40" s="1"/>
  <c r="BX35" i="40"/>
  <c r="BX78" i="40" s="1"/>
  <c r="BW35" i="40"/>
  <c r="BW78" i="40" s="1"/>
  <c r="BV35" i="40"/>
  <c r="BR35" i="40"/>
  <c r="BS65" i="40" s="1"/>
  <c r="CG65" i="40" s="1"/>
  <c r="BQ35" i="40"/>
  <c r="BQ95" i="40" s="1"/>
  <c r="BP35" i="40"/>
  <c r="BO35" i="40"/>
  <c r="BN35" i="40"/>
  <c r="BM35" i="40"/>
  <c r="BL35" i="40"/>
  <c r="BK35" i="40"/>
  <c r="BJ35" i="40"/>
  <c r="BI35" i="40"/>
  <c r="BH35" i="40"/>
  <c r="BT35" i="40" s="1"/>
  <c r="BE35" i="40"/>
  <c r="BE95" i="40" s="1"/>
  <c r="BD35" i="40"/>
  <c r="BD95" i="40" s="1"/>
  <c r="BC35" i="40"/>
  <c r="BB35" i="40"/>
  <c r="BA35" i="40"/>
  <c r="AZ35" i="40"/>
  <c r="AY35" i="40"/>
  <c r="AX35" i="40"/>
  <c r="AW35" i="40"/>
  <c r="AV35" i="40"/>
  <c r="AU35" i="40"/>
  <c r="AT35" i="40"/>
  <c r="BF35" i="40" s="1"/>
  <c r="AQ35" i="40"/>
  <c r="AP35" i="40"/>
  <c r="AO35" i="40"/>
  <c r="AN35" i="40"/>
  <c r="AM35" i="40"/>
  <c r="AL35" i="40"/>
  <c r="AK35" i="40"/>
  <c r="AJ35" i="40"/>
  <c r="AI35" i="40"/>
  <c r="AG35" i="40"/>
  <c r="AF35" i="40"/>
  <c r="AC35" i="40"/>
  <c r="AC95" i="40" s="1"/>
  <c r="AB35" i="40"/>
  <c r="AB95" i="40" s="1"/>
  <c r="AA35" i="40"/>
  <c r="AA95" i="40" s="1"/>
  <c r="Z35" i="40"/>
  <c r="Z95" i="40" s="1"/>
  <c r="Y35" i="40"/>
  <c r="Y95" i="40" s="1"/>
  <c r="X35" i="40"/>
  <c r="X95" i="40" s="1"/>
  <c r="W35" i="40"/>
  <c r="W95" i="40" s="1"/>
  <c r="V35" i="40"/>
  <c r="V95" i="40" s="1"/>
  <c r="U35" i="40"/>
  <c r="U95" i="40" s="1"/>
  <c r="R35" i="40"/>
  <c r="P35" i="40"/>
  <c r="O35" i="40"/>
  <c r="O95" i="40" s="1"/>
  <c r="N35" i="40"/>
  <c r="N95" i="40" s="1"/>
  <c r="M35" i="40"/>
  <c r="M95" i="40" s="1"/>
  <c r="L35" i="40"/>
  <c r="L95" i="40" s="1"/>
  <c r="K35" i="40"/>
  <c r="J35" i="40"/>
  <c r="I35" i="40"/>
  <c r="H35" i="40"/>
  <c r="G35" i="40"/>
  <c r="F35" i="40"/>
  <c r="E35" i="40"/>
  <c r="D35" i="40"/>
  <c r="CM34" i="40"/>
  <c r="CL34" i="40"/>
  <c r="CK34" i="40"/>
  <c r="CJ34" i="40"/>
  <c r="CG34" i="40"/>
  <c r="CF34" i="40"/>
  <c r="CE34" i="40"/>
  <c r="CD34" i="40"/>
  <c r="CC34" i="40"/>
  <c r="CB34" i="40"/>
  <c r="CA34" i="40"/>
  <c r="BZ34" i="40"/>
  <c r="BY34" i="40"/>
  <c r="BX34" i="40"/>
  <c r="BW34" i="40"/>
  <c r="BV34" i="40"/>
  <c r="CM32" i="40"/>
  <c r="CL32" i="40"/>
  <c r="CK32" i="40"/>
  <c r="CJ32" i="40"/>
  <c r="BG31" i="40"/>
  <c r="CG30" i="40"/>
  <c r="CF30" i="40"/>
  <c r="CF31" i="40" s="1"/>
  <c r="CE30" i="40"/>
  <c r="CE31" i="40" s="1"/>
  <c r="CD30" i="40"/>
  <c r="CD31" i="40" s="1"/>
  <c r="CC30" i="40"/>
  <c r="CC31" i="40" s="1"/>
  <c r="CB30" i="40"/>
  <c r="CB31" i="40" s="1"/>
  <c r="CA30" i="40"/>
  <c r="CA31" i="40" s="1"/>
  <c r="BZ30" i="40"/>
  <c r="BZ31" i="40" s="1"/>
  <c r="BY30" i="40"/>
  <c r="BY31" i="40" s="1"/>
  <c r="BX30" i="40"/>
  <c r="BX31" i="40" s="1"/>
  <c r="BW30" i="40"/>
  <c r="BW31" i="40" s="1"/>
  <c r="BV30" i="40"/>
  <c r="BV31" i="40" s="1"/>
  <c r="BS30" i="40"/>
  <c r="BR30" i="40"/>
  <c r="BR31" i="40" s="1"/>
  <c r="BQ30" i="40"/>
  <c r="BQ31" i="40" s="1"/>
  <c r="BP30" i="40"/>
  <c r="BP31" i="40" s="1"/>
  <c r="BO30" i="40"/>
  <c r="BO31" i="40" s="1"/>
  <c r="BN30" i="40"/>
  <c r="BN31" i="40" s="1"/>
  <c r="BM30" i="40"/>
  <c r="BM31" i="40" s="1"/>
  <c r="BL30" i="40"/>
  <c r="BL31" i="40" s="1"/>
  <c r="BK30" i="40"/>
  <c r="BK31" i="40" s="1"/>
  <c r="BJ30" i="40"/>
  <c r="BJ31" i="40" s="1"/>
  <c r="BI30" i="40"/>
  <c r="BI31" i="40" s="1"/>
  <c r="BH30" i="40"/>
  <c r="BH31" i="40" s="1"/>
  <c r="BE30" i="40"/>
  <c r="BE31" i="40" s="1"/>
  <c r="BD30" i="40"/>
  <c r="BD31" i="40" s="1"/>
  <c r="BC30" i="40"/>
  <c r="BC31" i="40" s="1"/>
  <c r="BB30" i="40"/>
  <c r="BB31" i="40" s="1"/>
  <c r="BA30" i="40"/>
  <c r="BA31" i="40" s="1"/>
  <c r="AZ30" i="40"/>
  <c r="AZ31" i="40" s="1"/>
  <c r="AY30" i="40"/>
  <c r="AY31" i="40" s="1"/>
  <c r="AX30" i="40"/>
  <c r="AX31" i="40" s="1"/>
  <c r="AW30" i="40"/>
  <c r="AW31" i="40" s="1"/>
  <c r="AV30" i="40"/>
  <c r="AV31" i="40" s="1"/>
  <c r="AU30" i="40"/>
  <c r="AU31" i="40" s="1"/>
  <c r="AT30" i="40"/>
  <c r="AQ30" i="40"/>
  <c r="AP30" i="40"/>
  <c r="AP31" i="40" s="1"/>
  <c r="AO30" i="40"/>
  <c r="AO31" i="40" s="1"/>
  <c r="AN30" i="40"/>
  <c r="AN31" i="40" s="1"/>
  <c r="AM30" i="40"/>
  <c r="AM31" i="40" s="1"/>
  <c r="AL30" i="40"/>
  <c r="AL31" i="40" s="1"/>
  <c r="AK30" i="40"/>
  <c r="AK31" i="40" s="1"/>
  <c r="AJ30" i="40"/>
  <c r="AJ31" i="40" s="1"/>
  <c r="AI30" i="40"/>
  <c r="AI31" i="40" s="1"/>
  <c r="AH30" i="40"/>
  <c r="AH31" i="40" s="1"/>
  <c r="AG30" i="40"/>
  <c r="AG31" i="40" s="1"/>
  <c r="AF30" i="40"/>
  <c r="AF31" i="40" s="1"/>
  <c r="AC30" i="40"/>
  <c r="AB30" i="40"/>
  <c r="AA30" i="40"/>
  <c r="Z30" i="40"/>
  <c r="Y30" i="40"/>
  <c r="X30" i="40"/>
  <c r="AD30" i="40" s="1"/>
  <c r="W30" i="40"/>
  <c r="V30" i="40"/>
  <c r="U30" i="40"/>
  <c r="T30" i="40"/>
  <c r="S30" i="40"/>
  <c r="R30" i="40"/>
  <c r="O30" i="40"/>
  <c r="N30" i="40"/>
  <c r="M30" i="40"/>
  <c r="L30" i="40"/>
  <c r="K30" i="40"/>
  <c r="J30" i="40"/>
  <c r="P30" i="40" s="1"/>
  <c r="H30" i="40"/>
  <c r="G30" i="40"/>
  <c r="F30" i="40"/>
  <c r="E30" i="40"/>
  <c r="D30" i="40"/>
  <c r="CH27" i="40"/>
  <c r="BT27" i="40"/>
  <c r="BF27" i="40"/>
  <c r="AR27" i="40"/>
  <c r="CH26" i="40"/>
  <c r="BT26" i="40"/>
  <c r="BF26" i="40"/>
  <c r="AR26" i="40"/>
  <c r="CH25" i="40"/>
  <c r="BT25" i="40"/>
  <c r="BF25" i="40"/>
  <c r="AR25" i="40"/>
  <c r="CI24" i="40"/>
  <c r="CI26" i="40" s="1"/>
  <c r="CH24" i="40"/>
  <c r="BT24" i="40"/>
  <c r="BF24" i="40"/>
  <c r="AR24" i="40"/>
  <c r="U24" i="40"/>
  <c r="CZ23" i="40"/>
  <c r="DA23" i="40" s="1"/>
  <c r="DB23" i="40" s="1"/>
  <c r="DC23" i="40" s="1"/>
  <c r="DD23" i="40" s="1"/>
  <c r="DE23" i="40" s="1"/>
  <c r="DF23" i="40" s="1"/>
  <c r="DG23" i="40" s="1"/>
  <c r="DH23" i="40" s="1"/>
  <c r="DI23" i="40" s="1"/>
  <c r="DL23" i="40" s="1"/>
  <c r="DM23" i="40" s="1"/>
  <c r="DN23" i="40" s="1"/>
  <c r="DO23" i="40" s="1"/>
  <c r="DP23" i="40" s="1"/>
  <c r="DQ23" i="40" s="1"/>
  <c r="DR23" i="40" s="1"/>
  <c r="DS23" i="40" s="1"/>
  <c r="DT23" i="40" s="1"/>
  <c r="DU23" i="40" s="1"/>
  <c r="DV23" i="40" s="1"/>
  <c r="DW23" i="40" s="1"/>
  <c r="CT23" i="40"/>
  <c r="CU23" i="40" s="1"/>
  <c r="DB22" i="40"/>
  <c r="DC22" i="40" s="1"/>
  <c r="DD22" i="40" s="1"/>
  <c r="DE22" i="40" s="1"/>
  <c r="DF22" i="40" s="1"/>
  <c r="DG22" i="40" s="1"/>
  <c r="DH22" i="40" s="1"/>
  <c r="DI22" i="40" s="1"/>
  <c r="DL22" i="40" s="1"/>
  <c r="DM22" i="40" s="1"/>
  <c r="DN22" i="40" s="1"/>
  <c r="DO22" i="40" s="1"/>
  <c r="DP22" i="40" s="1"/>
  <c r="DQ22" i="40" s="1"/>
  <c r="DR22" i="40" s="1"/>
  <c r="DS22" i="40" s="1"/>
  <c r="DT22" i="40" s="1"/>
  <c r="DU22" i="40" s="1"/>
  <c r="DV22" i="40" s="1"/>
  <c r="DW22" i="40" s="1"/>
  <c r="CT22" i="40"/>
  <c r="CU22" i="40" s="1"/>
  <c r="CS21" i="40"/>
  <c r="CH21" i="40"/>
  <c r="CH34" i="40" s="1"/>
  <c r="BT21" i="40"/>
  <c r="BF21" i="40"/>
  <c r="AR21" i="40"/>
  <c r="I21" i="40"/>
  <c r="I30" i="40" s="1"/>
  <c r="CZ20" i="40"/>
  <c r="DW19" i="40"/>
  <c r="DV19" i="40"/>
  <c r="DU19" i="40"/>
  <c r="DT19" i="40"/>
  <c r="DS19" i="40"/>
  <c r="DR19" i="40"/>
  <c r="DQ19" i="40"/>
  <c r="DP19" i="40"/>
  <c r="DO19" i="40"/>
  <c r="DN19" i="40"/>
  <c r="DM19" i="40"/>
  <c r="DL19" i="40"/>
  <c r="DI19" i="40"/>
  <c r="DH19" i="40"/>
  <c r="DG19" i="40"/>
  <c r="DF19" i="40"/>
  <c r="DE19" i="40"/>
  <c r="DD19" i="40"/>
  <c r="DC19" i="40"/>
  <c r="DB19" i="40"/>
  <c r="DA19" i="40"/>
  <c r="CZ19" i="40"/>
  <c r="CY19" i="40"/>
  <c r="CX19" i="40"/>
  <c r="CU19" i="40"/>
  <c r="CT19" i="40"/>
  <c r="CS19" i="40"/>
  <c r="DA18" i="40"/>
  <c r="CZ18" i="40"/>
  <c r="CY18" i="40"/>
  <c r="CX18" i="40"/>
  <c r="CS18" i="40"/>
  <c r="DW16" i="40"/>
  <c r="CH12" i="40"/>
  <c r="CM11" i="40"/>
  <c r="CL11" i="40"/>
  <c r="CH11" i="40"/>
  <c r="CG11" i="40"/>
  <c r="CG32" i="40" s="1"/>
  <c r="CH32" i="40" s="1"/>
  <c r="CF11" i="40"/>
  <c r="CF32" i="40" s="1"/>
  <c r="CE11" i="40"/>
  <c r="CE32" i="40" s="1"/>
  <c r="CD11" i="40"/>
  <c r="CD32" i="40" s="1"/>
  <c r="CC11" i="40"/>
  <c r="CC32" i="40" s="1"/>
  <c r="CB11" i="40"/>
  <c r="CB32" i="40" s="1"/>
  <c r="CA11" i="40"/>
  <c r="CA32" i="40" s="1"/>
  <c r="BZ11" i="40"/>
  <c r="BZ32" i="40" s="1"/>
  <c r="BY11" i="40"/>
  <c r="BY32" i="40" s="1"/>
  <c r="BX11" i="40"/>
  <c r="BX32" i="40" s="1"/>
  <c r="BW11" i="40"/>
  <c r="BW32" i="40" s="1"/>
  <c r="BV11" i="40"/>
  <c r="BV32" i="40" s="1"/>
  <c r="BS11" i="40"/>
  <c r="BR11" i="40"/>
  <c r="BQ11" i="40"/>
  <c r="BP11" i="40"/>
  <c r="BO11" i="40"/>
  <c r="BN11" i="40"/>
  <c r="BM11" i="40"/>
  <c r="BL11" i="40"/>
  <c r="BK11" i="40"/>
  <c r="BJ11" i="40"/>
  <c r="BI11" i="40"/>
  <c r="BH11" i="40"/>
  <c r="BE11" i="40"/>
  <c r="BD11" i="40"/>
  <c r="BC11" i="40"/>
  <c r="BB11" i="40"/>
  <c r="BA11" i="40"/>
  <c r="AZ11" i="40"/>
  <c r="AY11" i="40"/>
  <c r="AX11" i="40"/>
  <c r="AW11" i="40"/>
  <c r="AV11" i="40"/>
  <c r="AU11" i="40"/>
  <c r="AT11" i="40"/>
  <c r="AQ11" i="40"/>
  <c r="AP11" i="40"/>
  <c r="AO11" i="40"/>
  <c r="AN11" i="40"/>
  <c r="AM11" i="40"/>
  <c r="AL11" i="40"/>
  <c r="AK11" i="40"/>
  <c r="AJ11" i="40"/>
  <c r="AI11" i="40"/>
  <c r="AH11" i="40"/>
  <c r="AG11" i="40"/>
  <c r="AF11" i="40"/>
  <c r="AC11" i="40"/>
  <c r="AB11" i="40"/>
  <c r="AA11" i="40"/>
  <c r="Z11" i="40"/>
  <c r="Y11" i="40"/>
  <c r="X11" i="40"/>
  <c r="W11" i="40"/>
  <c r="V11" i="40"/>
  <c r="U11" i="40"/>
  <c r="T11" i="40"/>
  <c r="S11" i="40"/>
  <c r="R11" i="40"/>
  <c r="O11" i="40"/>
  <c r="N11" i="40"/>
  <c r="M11" i="40"/>
  <c r="L11" i="40"/>
  <c r="K11" i="40"/>
  <c r="J11" i="40"/>
  <c r="I11" i="40"/>
  <c r="H11" i="40"/>
  <c r="G11" i="40"/>
  <c r="F11" i="40"/>
  <c r="E11" i="40"/>
  <c r="D11" i="40"/>
  <c r="DW8" i="40"/>
  <c r="DV8" i="40"/>
  <c r="DU8" i="40"/>
  <c r="DT8" i="40"/>
  <c r="DS8" i="40"/>
  <c r="DR8" i="40"/>
  <c r="DQ8" i="40"/>
  <c r="DP8" i="40"/>
  <c r="DO8" i="40"/>
  <c r="DN8" i="40"/>
  <c r="DH8" i="40"/>
  <c r="DG8" i="40"/>
  <c r="DF8" i="40"/>
  <c r="DE8" i="40"/>
  <c r="DD8" i="40"/>
  <c r="DC8" i="40"/>
  <c r="DB8" i="40"/>
  <c r="CY8" i="40"/>
  <c r="CX8" i="40"/>
  <c r="CT8" i="40"/>
  <c r="CT82" i="40" s="1"/>
  <c r="CS8" i="40"/>
  <c r="CR8" i="40"/>
  <c r="CR82" i="40" s="1"/>
  <c r="CQ8" i="40"/>
  <c r="CQ82" i="40" s="1"/>
  <c r="CP8" i="40"/>
  <c r="CP82" i="40" s="1"/>
  <c r="CO8" i="40"/>
  <c r="CN8" i="40"/>
  <c r="CM8" i="40"/>
  <c r="CK8" i="40"/>
  <c r="CJ8" i="40"/>
  <c r="CG8" i="40"/>
  <c r="CF8" i="40"/>
  <c r="CE8" i="40"/>
  <c r="CD8" i="40"/>
  <c r="CC8" i="40"/>
  <c r="CB8" i="40"/>
  <c r="CA8" i="40"/>
  <c r="BZ8" i="40"/>
  <c r="BY8" i="40"/>
  <c r="C8" i="40"/>
  <c r="C7" i="40"/>
  <c r="C6" i="40"/>
  <c r="C5" i="40"/>
  <c r="C4" i="40"/>
  <c r="DM39" i="39"/>
  <c r="DM35" i="39" s="1"/>
  <c r="DR39" i="39"/>
  <c r="DR35" i="39" s="1"/>
  <c r="DQ39" i="39"/>
  <c r="DP39" i="39"/>
  <c r="DP35" i="39" s="1"/>
  <c r="DO39" i="39"/>
  <c r="DO35" i="39" s="1"/>
  <c r="DN39" i="39"/>
  <c r="DE39" i="39"/>
  <c r="DF39" i="39"/>
  <c r="DG39" i="39"/>
  <c r="BT21" i="39"/>
  <c r="CH21" i="39"/>
  <c r="BT24" i="39"/>
  <c r="CH24" i="39"/>
  <c r="CI24" i="39"/>
  <c r="BT25" i="39"/>
  <c r="CH25" i="39"/>
  <c r="BT26" i="39"/>
  <c r="CH26" i="39"/>
  <c r="CI26" i="39"/>
  <c r="BT27" i="39"/>
  <c r="CH27" i="39"/>
  <c r="BH30" i="39"/>
  <c r="BI30" i="39"/>
  <c r="BJ30" i="39"/>
  <c r="BK30" i="39"/>
  <c r="BL30" i="39"/>
  <c r="BM30" i="39"/>
  <c r="BN30" i="39"/>
  <c r="BO30" i="39"/>
  <c r="BP30" i="39"/>
  <c r="BQ30" i="39"/>
  <c r="BR30" i="39"/>
  <c r="BS30" i="39"/>
  <c r="BT30" i="39"/>
  <c r="BV30" i="39"/>
  <c r="BW30" i="39"/>
  <c r="BX30" i="39"/>
  <c r="BY30" i="39"/>
  <c r="BZ30" i="39"/>
  <c r="CA30" i="39"/>
  <c r="CB30" i="39"/>
  <c r="CC30" i="39"/>
  <c r="CD30" i="39"/>
  <c r="CE30" i="39"/>
  <c r="CF30" i="39"/>
  <c r="CG30" i="39"/>
  <c r="CH30" i="39"/>
  <c r="BH31" i="39"/>
  <c r="BI31" i="39"/>
  <c r="BJ31" i="39"/>
  <c r="BK31" i="39"/>
  <c r="BL31" i="39"/>
  <c r="BM31" i="39"/>
  <c r="BN31" i="39"/>
  <c r="BO31" i="39"/>
  <c r="BP31" i="39"/>
  <c r="BQ31" i="39"/>
  <c r="BR31" i="39"/>
  <c r="BS31" i="39"/>
  <c r="BT31" i="39"/>
  <c r="BV31" i="39"/>
  <c r="BW31" i="39"/>
  <c r="BX31" i="39"/>
  <c r="BY31" i="39"/>
  <c r="BZ31" i="39"/>
  <c r="CA31" i="39"/>
  <c r="CB31" i="39"/>
  <c r="CC31" i="39"/>
  <c r="CD31" i="39"/>
  <c r="CE31" i="39"/>
  <c r="CF31" i="39"/>
  <c r="CG31" i="39"/>
  <c r="CH31" i="39"/>
  <c r="BV34" i="39"/>
  <c r="BW34" i="39"/>
  <c r="BX34" i="39"/>
  <c r="BY34" i="39"/>
  <c r="BZ34" i="39"/>
  <c r="CA34" i="39"/>
  <c r="CB34" i="39"/>
  <c r="CC34" i="39"/>
  <c r="CD34" i="39"/>
  <c r="CE34" i="39"/>
  <c r="CF34" i="39"/>
  <c r="CG34" i="39"/>
  <c r="CH34" i="39"/>
  <c r="BQ35" i="39"/>
  <c r="BR35" i="39"/>
  <c r="BH36" i="39"/>
  <c r="BH35" i="39" s="1"/>
  <c r="BI36" i="39"/>
  <c r="BI35" i="39" s="1"/>
  <c r="BJ36" i="39"/>
  <c r="BJ35" i="39" s="1"/>
  <c r="BK36" i="39"/>
  <c r="BK35" i="39" s="1"/>
  <c r="BL36" i="39"/>
  <c r="BL35" i="39" s="1"/>
  <c r="BM36" i="39"/>
  <c r="BM35" i="39" s="1"/>
  <c r="BN36" i="39"/>
  <c r="BN35" i="39" s="1"/>
  <c r="BO36" i="39"/>
  <c r="BO35" i="39" s="1"/>
  <c r="BP36" i="39"/>
  <c r="BP35" i="39" s="1"/>
  <c r="BT36" i="39"/>
  <c r="BQ37" i="39"/>
  <c r="BT37" i="39"/>
  <c r="BH39" i="39"/>
  <c r="BI39" i="39"/>
  <c r="BJ39" i="39"/>
  <c r="BK39" i="39"/>
  <c r="BL39" i="39"/>
  <c r="BM39" i="39"/>
  <c r="BN39" i="39"/>
  <c r="BO39" i="39"/>
  <c r="BP39" i="39"/>
  <c r="BQ39" i="39"/>
  <c r="BR39" i="39"/>
  <c r="BS39" i="39"/>
  <c r="BT39" i="39"/>
  <c r="BV39" i="39"/>
  <c r="BW39" i="39"/>
  <c r="BX39" i="39"/>
  <c r="BY39" i="39"/>
  <c r="BZ39" i="39"/>
  <c r="CA39" i="39"/>
  <c r="CB39" i="39"/>
  <c r="CC39" i="39"/>
  <c r="CD39" i="39"/>
  <c r="CE39" i="39"/>
  <c r="CF39" i="39"/>
  <c r="CG39" i="39"/>
  <c r="CI39" i="39"/>
  <c r="BX42" i="39"/>
  <c r="BY42" i="39"/>
  <c r="BZ42" i="39"/>
  <c r="CA42" i="39"/>
  <c r="CB42" i="39"/>
  <c r="CC42" i="39"/>
  <c r="CD42" i="39"/>
  <c r="CE42" i="39"/>
  <c r="CF42" i="39"/>
  <c r="CG42" i="39"/>
  <c r="BX43" i="39"/>
  <c r="BY43" i="39"/>
  <c r="BZ43" i="39"/>
  <c r="CA43" i="39"/>
  <c r="CB43" i="39"/>
  <c r="CC43" i="39"/>
  <c r="CD43" i="39"/>
  <c r="CE43" i="39"/>
  <c r="CF43" i="39"/>
  <c r="CG43" i="39"/>
  <c r="CH43" i="39"/>
  <c r="BX44" i="39"/>
  <c r="BY44" i="39"/>
  <c r="BZ44" i="39"/>
  <c r="CA44" i="39"/>
  <c r="CB44" i="39"/>
  <c r="CC44" i="39"/>
  <c r="CD44" i="39"/>
  <c r="CE44" i="39"/>
  <c r="CF44" i="39"/>
  <c r="CG44" i="39"/>
  <c r="CH44" i="39"/>
  <c r="BX45" i="39"/>
  <c r="BY45" i="39"/>
  <c r="BZ45" i="39"/>
  <c r="CA45" i="39"/>
  <c r="CB45" i="39"/>
  <c r="CC45" i="39"/>
  <c r="CD45" i="39"/>
  <c r="CE45" i="39"/>
  <c r="CF45" i="39"/>
  <c r="CG45" i="39"/>
  <c r="CH45" i="39"/>
  <c r="BX46" i="39"/>
  <c r="BY46" i="39"/>
  <c r="BZ46" i="39"/>
  <c r="CA46" i="39"/>
  <c r="CB46" i="39"/>
  <c r="CC46" i="39"/>
  <c r="CD46" i="39"/>
  <c r="CE46" i="39"/>
  <c r="CF46" i="39"/>
  <c r="CG46" i="39"/>
  <c r="CH46" i="39"/>
  <c r="BX47" i="39"/>
  <c r="BY47" i="39"/>
  <c r="BZ47" i="39"/>
  <c r="CA47" i="39"/>
  <c r="CB47" i="39"/>
  <c r="CC47" i="39"/>
  <c r="CD47" i="39"/>
  <c r="CE47" i="39"/>
  <c r="CF47" i="39"/>
  <c r="CG47" i="39"/>
  <c r="CH47" i="39"/>
  <c r="BX48" i="39"/>
  <c r="BY48" i="39"/>
  <c r="BZ48" i="39"/>
  <c r="CA48" i="39"/>
  <c r="CB48" i="39"/>
  <c r="CC48" i="39"/>
  <c r="CD48" i="39"/>
  <c r="CE48" i="39"/>
  <c r="CF48" i="39"/>
  <c r="CG48" i="39"/>
  <c r="CH48" i="39"/>
  <c r="BX49" i="39"/>
  <c r="BY49" i="39"/>
  <c r="BZ49" i="39"/>
  <c r="CA49" i="39"/>
  <c r="CB49" i="39"/>
  <c r="CC49" i="39"/>
  <c r="CD49" i="39"/>
  <c r="CE49" i="39"/>
  <c r="CF49" i="39"/>
  <c r="CG49" i="39"/>
  <c r="CH49" i="39"/>
  <c r="BX50" i="39"/>
  <c r="BY50" i="39"/>
  <c r="BZ50" i="39"/>
  <c r="CA50" i="39"/>
  <c r="CB50" i="39"/>
  <c r="CC50" i="39"/>
  <c r="CD50" i="39"/>
  <c r="CE50" i="39"/>
  <c r="CF50" i="39"/>
  <c r="CG50" i="39"/>
  <c r="CH50" i="39"/>
  <c r="BX51" i="39"/>
  <c r="BY51" i="39"/>
  <c r="BZ51" i="39"/>
  <c r="CA51" i="39"/>
  <c r="CB51" i="39"/>
  <c r="CC51" i="39"/>
  <c r="CD51" i="39"/>
  <c r="CE51" i="39"/>
  <c r="CF51" i="39"/>
  <c r="CG51" i="39"/>
  <c r="CH51" i="39"/>
  <c r="BX52" i="39"/>
  <c r="BY52" i="39"/>
  <c r="BZ52" i="39"/>
  <c r="CA52" i="39"/>
  <c r="CB52" i="39"/>
  <c r="CC52" i="39"/>
  <c r="CD52" i="39"/>
  <c r="CE52" i="39"/>
  <c r="CF52" i="39"/>
  <c r="CG52" i="39"/>
  <c r="CH52" i="39"/>
  <c r="BX53" i="39"/>
  <c r="BY53" i="39"/>
  <c r="BZ53" i="39"/>
  <c r="CA53" i="39"/>
  <c r="CB53" i="39"/>
  <c r="CC53" i="39"/>
  <c r="CD53" i="39"/>
  <c r="CE53" i="39"/>
  <c r="CF53" i="39"/>
  <c r="CG53" i="39"/>
  <c r="CH53" i="39"/>
  <c r="BX54" i="39"/>
  <c r="BY54" i="39"/>
  <c r="BZ54" i="39"/>
  <c r="CA54" i="39"/>
  <c r="CB54" i="39"/>
  <c r="CC54" i="39"/>
  <c r="CD54" i="39"/>
  <c r="CE54" i="39"/>
  <c r="CF54" i="39"/>
  <c r="CG54" i="39"/>
  <c r="CH54" i="39"/>
  <c r="BX55" i="39"/>
  <c r="BY55" i="39"/>
  <c r="BZ55" i="39"/>
  <c r="CA55" i="39"/>
  <c r="CB55" i="39"/>
  <c r="CC55" i="39"/>
  <c r="CD55" i="39"/>
  <c r="CE55" i="39"/>
  <c r="CF55" i="39"/>
  <c r="CG55" i="39"/>
  <c r="CH55" i="39"/>
  <c r="BX56" i="39"/>
  <c r="BY56" i="39"/>
  <c r="BZ56" i="39"/>
  <c r="CA56" i="39"/>
  <c r="CB56" i="39"/>
  <c r="CC56" i="39"/>
  <c r="CD56" i="39"/>
  <c r="CE56" i="39"/>
  <c r="CF56" i="39"/>
  <c r="CG56" i="39"/>
  <c r="CH56" i="39"/>
  <c r="BT57" i="39"/>
  <c r="BV57" i="39"/>
  <c r="BW57" i="39"/>
  <c r="BX57" i="39"/>
  <c r="BY57" i="39"/>
  <c r="BZ57" i="39"/>
  <c r="CA57" i="39"/>
  <c r="CB57" i="39"/>
  <c r="CC57" i="39"/>
  <c r="CD57" i="39"/>
  <c r="CE57" i="39"/>
  <c r="CF57" i="39"/>
  <c r="CG57" i="39"/>
  <c r="CH57" i="39"/>
  <c r="BT62" i="39"/>
  <c r="BT63" i="39"/>
  <c r="BV63" i="39"/>
  <c r="BW63" i="39"/>
  <c r="BX63" i="39"/>
  <c r="BY63" i="39"/>
  <c r="BZ63" i="39"/>
  <c r="CA63" i="39"/>
  <c r="CB63" i="39"/>
  <c r="CC63" i="39"/>
  <c r="CD63" i="39"/>
  <c r="CE63" i="39"/>
  <c r="CF63" i="39"/>
  <c r="CG63" i="39"/>
  <c r="CH63" i="39"/>
  <c r="BH64" i="39"/>
  <c r="BI64" i="39"/>
  <c r="BJ64" i="39"/>
  <c r="BK64" i="39"/>
  <c r="BL64" i="39"/>
  <c r="BM64" i="39"/>
  <c r="BN64" i="39"/>
  <c r="BT64" i="39"/>
  <c r="CC64" i="39"/>
  <c r="CD64" i="39"/>
  <c r="CE64" i="39"/>
  <c r="BO65" i="39"/>
  <c r="BP65" i="39"/>
  <c r="BQ65" i="39"/>
  <c r="BR65" i="39"/>
  <c r="BS65" i="39"/>
  <c r="BT65" i="39"/>
  <c r="BV65" i="39"/>
  <c r="BW65" i="39"/>
  <c r="BX65" i="39"/>
  <c r="BY65" i="39"/>
  <c r="BZ65" i="39"/>
  <c r="CA65" i="39"/>
  <c r="CB65" i="39"/>
  <c r="CC65" i="39"/>
  <c r="CD65" i="39"/>
  <c r="CE65" i="39"/>
  <c r="CF65" i="39"/>
  <c r="CG65" i="39"/>
  <c r="BT66" i="39"/>
  <c r="BH67" i="39"/>
  <c r="BI67" i="39"/>
  <c r="BJ67" i="39"/>
  <c r="BK67" i="39"/>
  <c r="BL67" i="39"/>
  <c r="BM67" i="39"/>
  <c r="BN67" i="39"/>
  <c r="BO67" i="39"/>
  <c r="BP67" i="39"/>
  <c r="BQ67" i="39"/>
  <c r="BT67" i="39"/>
  <c r="BH69" i="39"/>
  <c r="BI69" i="39"/>
  <c r="BJ69" i="39"/>
  <c r="BK69" i="39"/>
  <c r="BL69" i="39"/>
  <c r="BM69" i="39"/>
  <c r="BN69" i="39"/>
  <c r="BO69" i="39"/>
  <c r="BP69" i="39"/>
  <c r="BQ69" i="39"/>
  <c r="BT69" i="39"/>
  <c r="BT70" i="39"/>
  <c r="CH70" i="39"/>
  <c r="BH71" i="39"/>
  <c r="BI71" i="39"/>
  <c r="BJ71" i="39"/>
  <c r="BK71" i="39"/>
  <c r="BL71" i="39"/>
  <c r="BM71" i="39"/>
  <c r="BN71" i="39"/>
  <c r="BO71" i="39"/>
  <c r="BP71" i="39"/>
  <c r="BQ71" i="39"/>
  <c r="BT71" i="39"/>
  <c r="CH71" i="39"/>
  <c r="BT72" i="39"/>
  <c r="CI63" i="39" s="1"/>
  <c r="CH72" i="39"/>
  <c r="BH73" i="39"/>
  <c r="BI73" i="39"/>
  <c r="BJ73" i="39"/>
  <c r="BK73" i="39"/>
  <c r="BL73" i="39"/>
  <c r="BM73" i="39"/>
  <c r="BN73" i="39"/>
  <c r="BO73" i="39"/>
  <c r="BP73" i="39"/>
  <c r="BQ73" i="39"/>
  <c r="BT73" i="39"/>
  <c r="CH73" i="39"/>
  <c r="DI34" i="38"/>
  <c r="DF38" i="38"/>
  <c r="DT40" i="39"/>
  <c r="DT123" i="39" s="1"/>
  <c r="DT39" i="39" s="1"/>
  <c r="DU40" i="39"/>
  <c r="DU123" i="39" s="1"/>
  <c r="DU39" i="39" s="1"/>
  <c r="DS40" i="39"/>
  <c r="DS123" i="39" s="1"/>
  <c r="DS39" i="39" s="1"/>
  <c r="DL38" i="38"/>
  <c r="DI39" i="39"/>
  <c r="DW40" i="39" s="1"/>
  <c r="DW123" i="39" s="1"/>
  <c r="DW39" i="39" s="1"/>
  <c r="DH39" i="39"/>
  <c r="DV40" i="39" s="1"/>
  <c r="DV123" i="39" s="1"/>
  <c r="DV39" i="39" s="1"/>
  <c r="DD39" i="39"/>
  <c r="DC39" i="39"/>
  <c r="DB39" i="39"/>
  <c r="DA39" i="39"/>
  <c r="CZ39" i="39"/>
  <c r="CY39" i="39"/>
  <c r="CX39" i="39"/>
  <c r="CX38" i="38"/>
  <c r="DP72" i="38"/>
  <c r="DL34" i="38"/>
  <c r="DM38" i="38"/>
  <c r="DN38" i="38"/>
  <c r="DO38" i="38"/>
  <c r="DP38" i="38"/>
  <c r="DQ38" i="38"/>
  <c r="DR38" i="38"/>
  <c r="DS38" i="38"/>
  <c r="DT38" i="38"/>
  <c r="DU38" i="38"/>
  <c r="DV38" i="38"/>
  <c r="DW38" i="38"/>
  <c r="DD122" i="39"/>
  <c r="DC122" i="39"/>
  <c r="DB122" i="39"/>
  <c r="DA122" i="39"/>
  <c r="CZ122" i="39"/>
  <c r="CY122" i="39"/>
  <c r="CX122" i="39"/>
  <c r="C111" i="39"/>
  <c r="C109" i="39"/>
  <c r="C114" i="39" s="1"/>
  <c r="DV102" i="39"/>
  <c r="DH102" i="39"/>
  <c r="DW101" i="39"/>
  <c r="DV101" i="39"/>
  <c r="DU101" i="39"/>
  <c r="DT101" i="39"/>
  <c r="DS101" i="39"/>
  <c r="DR101" i="39"/>
  <c r="DQ101" i="39"/>
  <c r="DP101" i="39"/>
  <c r="DO101" i="39"/>
  <c r="DN101" i="39"/>
  <c r="DM101" i="39"/>
  <c r="DL101" i="39"/>
  <c r="DI101" i="39"/>
  <c r="DH101" i="39"/>
  <c r="DG101" i="39"/>
  <c r="DF101" i="39"/>
  <c r="DE101" i="39"/>
  <c r="DD101" i="39"/>
  <c r="DC101" i="39"/>
  <c r="DB101" i="39"/>
  <c r="DA101" i="39"/>
  <c r="CZ101" i="39"/>
  <c r="CY101" i="39"/>
  <c r="CX101" i="39"/>
  <c r="DW100" i="39"/>
  <c r="DO100" i="39"/>
  <c r="DN100" i="39"/>
  <c r="DM100" i="39"/>
  <c r="DL100" i="39"/>
  <c r="DI100" i="39"/>
  <c r="DA100" i="39"/>
  <c r="CZ100" i="39"/>
  <c r="CY100" i="39"/>
  <c r="CX100" i="39"/>
  <c r="CU100" i="39"/>
  <c r="CS99" i="39"/>
  <c r="DW98" i="39"/>
  <c r="DV98" i="39"/>
  <c r="DU98" i="39"/>
  <c r="DT98" i="39"/>
  <c r="DS98" i="39"/>
  <c r="DR98" i="39"/>
  <c r="DQ98" i="39"/>
  <c r="DP98" i="39"/>
  <c r="DO98" i="39"/>
  <c r="DN98" i="39"/>
  <c r="DM98" i="39"/>
  <c r="DL98" i="39"/>
  <c r="CU98" i="39"/>
  <c r="CT98" i="39"/>
  <c r="CS98" i="39"/>
  <c r="CQ98" i="39"/>
  <c r="CP98" i="39"/>
  <c r="CO98" i="39"/>
  <c r="K95" i="39"/>
  <c r="J95" i="39"/>
  <c r="I95" i="39"/>
  <c r="H95" i="39"/>
  <c r="G95" i="39"/>
  <c r="F95" i="39"/>
  <c r="E95" i="39"/>
  <c r="D95" i="39"/>
  <c r="P95" i="39" s="1"/>
  <c r="CS94" i="39"/>
  <c r="BT93" i="39"/>
  <c r="BF93" i="39"/>
  <c r="AL93" i="39"/>
  <c r="AK93" i="39"/>
  <c r="AJ93" i="39"/>
  <c r="AI93" i="39"/>
  <c r="AH93" i="39"/>
  <c r="AG93" i="39"/>
  <c r="AF93" i="39"/>
  <c r="AR93" i="39" s="1"/>
  <c r="BT92" i="39"/>
  <c r="BB92" i="39"/>
  <c r="BF92" i="39" s="1"/>
  <c r="AR92" i="39"/>
  <c r="DM91" i="39"/>
  <c r="DL91" i="39"/>
  <c r="DI91" i="39"/>
  <c r="DH91" i="39"/>
  <c r="DG91" i="39"/>
  <c r="DF91" i="39"/>
  <c r="DE91" i="39"/>
  <c r="DD91" i="39"/>
  <c r="DC91" i="39"/>
  <c r="DB91" i="39"/>
  <c r="CM91" i="39"/>
  <c r="CL91" i="39"/>
  <c r="CK91" i="39"/>
  <c r="CG91" i="39"/>
  <c r="CD91" i="39"/>
  <c r="CC91" i="39"/>
  <c r="CB91" i="39"/>
  <c r="BQ91" i="39"/>
  <c r="BQ94" i="39" s="1"/>
  <c r="BP91" i="39"/>
  <c r="BO91" i="39"/>
  <c r="BN91" i="39"/>
  <c r="BM91" i="39"/>
  <c r="BL91" i="39"/>
  <c r="BK91" i="39"/>
  <c r="BJ91" i="39"/>
  <c r="BI91" i="39"/>
  <c r="BH91" i="39"/>
  <c r="BE91" i="39"/>
  <c r="BE94" i="39" s="1"/>
  <c r="BD91" i="39"/>
  <c r="BD94" i="39" s="1"/>
  <c r="BC91" i="39"/>
  <c r="BB91" i="39"/>
  <c r="BA91" i="39"/>
  <c r="AZ91" i="39"/>
  <c r="AY91" i="39"/>
  <c r="AX91" i="39"/>
  <c r="AW91" i="39"/>
  <c r="AV91" i="39"/>
  <c r="AU91" i="39"/>
  <c r="AT91" i="39"/>
  <c r="AQ91" i="39"/>
  <c r="AP91" i="39"/>
  <c r="AO91" i="39"/>
  <c r="AN91" i="39"/>
  <c r="AM91" i="39"/>
  <c r="AD91" i="39"/>
  <c r="P91" i="39"/>
  <c r="CN89" i="39"/>
  <c r="BE89" i="39"/>
  <c r="BD89" i="39"/>
  <c r="DW88" i="39"/>
  <c r="DV88" i="39"/>
  <c r="DU88" i="39"/>
  <c r="DT88" i="39"/>
  <c r="DS88" i="39"/>
  <c r="DR88" i="39"/>
  <c r="DQ88" i="39"/>
  <c r="DP88" i="39"/>
  <c r="DO88" i="39"/>
  <c r="DN88" i="39"/>
  <c r="DM88" i="39"/>
  <c r="DL88" i="39"/>
  <c r="DJ88" i="39"/>
  <c r="CS88" i="39"/>
  <c r="CR88" i="39"/>
  <c r="CQ88" i="39"/>
  <c r="CP88" i="39"/>
  <c r="CO88" i="39"/>
  <c r="CN88" i="39"/>
  <c r="CM88" i="39"/>
  <c r="CL88" i="39"/>
  <c r="CK88" i="39"/>
  <c r="CJ88" i="39"/>
  <c r="BS88" i="39"/>
  <c r="BT88" i="39" s="1"/>
  <c r="BF88" i="39"/>
  <c r="AR88" i="39"/>
  <c r="DA87" i="39"/>
  <c r="CZ87" i="39"/>
  <c r="CL87" i="39"/>
  <c r="BX87" i="39"/>
  <c r="BW87" i="39"/>
  <c r="BV87" i="39"/>
  <c r="BT87" i="39"/>
  <c r="BF87" i="39"/>
  <c r="AR87" i="39"/>
  <c r="DE86" i="39"/>
  <c r="DF86" i="39" s="1"/>
  <c r="DG86" i="39" s="1"/>
  <c r="DH86" i="39" s="1"/>
  <c r="DI86" i="39" s="1"/>
  <c r="CR86" i="39"/>
  <c r="CR98" i="39" s="1"/>
  <c r="CC86" i="39"/>
  <c r="BS86" i="39"/>
  <c r="BO86" i="39"/>
  <c r="BN86" i="39"/>
  <c r="BM86" i="39"/>
  <c r="BL86" i="39"/>
  <c r="BK86" i="39"/>
  <c r="BJ86" i="39"/>
  <c r="BI86" i="39"/>
  <c r="BH86" i="39"/>
  <c r="BE86" i="39"/>
  <c r="BD86" i="39"/>
  <c r="BA86" i="39"/>
  <c r="AL86" i="39"/>
  <c r="AK86" i="39"/>
  <c r="AJ86" i="39"/>
  <c r="AI86" i="39"/>
  <c r="AH86" i="39"/>
  <c r="AG86" i="39"/>
  <c r="AF86" i="39"/>
  <c r="AR86" i="39" s="1"/>
  <c r="AC86" i="39"/>
  <c r="AB86" i="39"/>
  <c r="AA86" i="39"/>
  <c r="Z86" i="39"/>
  <c r="Y86" i="39"/>
  <c r="X86" i="39"/>
  <c r="W86" i="39"/>
  <c r="V86" i="39"/>
  <c r="U86" i="39"/>
  <c r="T86" i="39"/>
  <c r="S86" i="39"/>
  <c r="R86" i="39"/>
  <c r="BX85" i="39"/>
  <c r="BW85" i="39"/>
  <c r="BV85" i="39"/>
  <c r="BR85" i="39"/>
  <c r="BR86" i="39" s="1"/>
  <c r="BQ85" i="39"/>
  <c r="BQ86" i="39" s="1"/>
  <c r="BP85" i="39"/>
  <c r="BC85" i="39"/>
  <c r="BB85" i="39"/>
  <c r="AY85" i="39"/>
  <c r="AX85" i="39"/>
  <c r="AW85" i="39"/>
  <c r="AV85" i="39"/>
  <c r="AU85" i="39"/>
  <c r="AU86" i="39" s="1"/>
  <c r="BF86" i="39" s="1"/>
  <c r="AT85" i="39"/>
  <c r="BF85" i="39" s="1"/>
  <c r="AQ85" i="39"/>
  <c r="AP85" i="39"/>
  <c r="AO85" i="39"/>
  <c r="AN85" i="39"/>
  <c r="AM85" i="39"/>
  <c r="AR85" i="39" s="1"/>
  <c r="P85" i="39"/>
  <c r="DW84" i="39"/>
  <c r="DV84" i="39"/>
  <c r="DU84" i="39"/>
  <c r="DT84" i="39"/>
  <c r="DS84" i="39"/>
  <c r="DR84" i="39"/>
  <c r="DQ84" i="39"/>
  <c r="DP84" i="39"/>
  <c r="DO84" i="39"/>
  <c r="DN84" i="39"/>
  <c r="DM84" i="39"/>
  <c r="DL84" i="39"/>
  <c r="DX84" i="39" s="1"/>
  <c r="DI84" i="39"/>
  <c r="DH84" i="39"/>
  <c r="DG84" i="39"/>
  <c r="DF84" i="39"/>
  <c r="DE84" i="39"/>
  <c r="DD84" i="39"/>
  <c r="DC84" i="39"/>
  <c r="DB84" i="39"/>
  <c r="DA84" i="39"/>
  <c r="CZ84" i="39"/>
  <c r="CY84" i="39"/>
  <c r="CX84" i="39"/>
  <c r="DJ84" i="39" s="1"/>
  <c r="CU84" i="39"/>
  <c r="CT84" i="39"/>
  <c r="DX83" i="39"/>
  <c r="DJ83" i="39"/>
  <c r="DA82" i="39"/>
  <c r="CZ82" i="39"/>
  <c r="CU82" i="39"/>
  <c r="CL82" i="39"/>
  <c r="BX82" i="39"/>
  <c r="BX88" i="39" s="1"/>
  <c r="BW82" i="39"/>
  <c r="BW88" i="39" s="1"/>
  <c r="BV82" i="39"/>
  <c r="BS82" i="39"/>
  <c r="BP82" i="39"/>
  <c r="BO82" i="39"/>
  <c r="BN82" i="39"/>
  <c r="BM82" i="39"/>
  <c r="BL82" i="39"/>
  <c r="BK82" i="39"/>
  <c r="BJ82" i="39"/>
  <c r="BI82" i="39"/>
  <c r="BH82" i="39"/>
  <c r="BC82" i="39"/>
  <c r="BB82" i="39"/>
  <c r="BA82" i="39"/>
  <c r="AZ82" i="39"/>
  <c r="AY82" i="39"/>
  <c r="AX82" i="39"/>
  <c r="AW82" i="39"/>
  <c r="AV82" i="39"/>
  <c r="AU82" i="39"/>
  <c r="AT82" i="39"/>
  <c r="AQ82" i="39"/>
  <c r="AP82" i="39"/>
  <c r="AO82" i="39"/>
  <c r="AN82" i="39"/>
  <c r="AM82" i="39"/>
  <c r="AL82" i="39"/>
  <c r="AK82" i="39"/>
  <c r="AJ82" i="39"/>
  <c r="AI82" i="39"/>
  <c r="AH82" i="39"/>
  <c r="AG82" i="39"/>
  <c r="AF82" i="39"/>
  <c r="AD82" i="39"/>
  <c r="P82" i="39"/>
  <c r="CZ81" i="39"/>
  <c r="CU81" i="39"/>
  <c r="DW80" i="39"/>
  <c r="DV80" i="39"/>
  <c r="DU80" i="39"/>
  <c r="DT80" i="39"/>
  <c r="DS80" i="39"/>
  <c r="DR80" i="39"/>
  <c r="DQ80" i="39"/>
  <c r="DP80" i="39"/>
  <c r="DO80" i="39"/>
  <c r="DN80" i="39"/>
  <c r="DM80" i="39"/>
  <c r="DL80" i="39"/>
  <c r="DX80" i="39" s="1"/>
  <c r="DI80" i="39"/>
  <c r="DH80" i="39"/>
  <c r="DG80" i="39"/>
  <c r="DF80" i="39"/>
  <c r="DE80" i="39"/>
  <c r="DD80" i="39"/>
  <c r="DC80" i="39"/>
  <c r="DB80" i="39"/>
  <c r="DA80" i="39"/>
  <c r="CZ80" i="39"/>
  <c r="CY80" i="39"/>
  <c r="CX80" i="39"/>
  <c r="DJ80" i="39" s="1"/>
  <c r="CU80" i="39"/>
  <c r="CT80" i="39"/>
  <c r="DW79" i="39"/>
  <c r="DV79" i="39"/>
  <c r="DU79" i="39"/>
  <c r="DT79" i="39"/>
  <c r="DS79" i="39"/>
  <c r="DR79" i="39"/>
  <c r="DQ79" i="39"/>
  <c r="DP79" i="39"/>
  <c r="DO79" i="39"/>
  <c r="DN79" i="39"/>
  <c r="DM79" i="39"/>
  <c r="DL79" i="39"/>
  <c r="DI79" i="39"/>
  <c r="DH79" i="39"/>
  <c r="DG79" i="39"/>
  <c r="DA79" i="39"/>
  <c r="CZ79" i="39"/>
  <c r="CY79" i="39"/>
  <c r="CX79" i="39"/>
  <c r="DW78" i="39"/>
  <c r="DV78" i="39"/>
  <c r="DU78" i="39"/>
  <c r="DT78" i="39"/>
  <c r="DS78" i="39"/>
  <c r="DR78" i="39"/>
  <c r="DQ78" i="39"/>
  <c r="DP78" i="39"/>
  <c r="DO78" i="39"/>
  <c r="DN78" i="39"/>
  <c r="DM78" i="39"/>
  <c r="DL78" i="39"/>
  <c r="DI78" i="39"/>
  <c r="DH78" i="39"/>
  <c r="DG78" i="39"/>
  <c r="DF78" i="39"/>
  <c r="DF96" i="39" s="1"/>
  <c r="DE78" i="39"/>
  <c r="DE96" i="39" s="1"/>
  <c r="DD78" i="39"/>
  <c r="DD96" i="39" s="1"/>
  <c r="DC78" i="39"/>
  <c r="DC96" i="39" s="1"/>
  <c r="DB78" i="39"/>
  <c r="DB96" i="39" s="1"/>
  <c r="DA78" i="39"/>
  <c r="CZ78" i="39"/>
  <c r="CY78" i="39"/>
  <c r="CX78" i="39"/>
  <c r="DJ78" i="39" s="1"/>
  <c r="CR77" i="39"/>
  <c r="CQ77" i="39"/>
  <c r="CP77" i="39"/>
  <c r="CO77" i="39"/>
  <c r="CN77" i="39"/>
  <c r="CM77" i="39"/>
  <c r="CL77" i="39"/>
  <c r="CK77" i="39"/>
  <c r="CH77" i="39"/>
  <c r="CV77" i="39" s="1"/>
  <c r="DW76" i="39"/>
  <c r="DV76" i="39"/>
  <c r="DU76" i="39"/>
  <c r="DT76" i="39"/>
  <c r="DS76" i="39"/>
  <c r="DR76" i="39"/>
  <c r="DQ76" i="39"/>
  <c r="DP76" i="39"/>
  <c r="DO76" i="39"/>
  <c r="DN76" i="39"/>
  <c r="DM76" i="39"/>
  <c r="DL76" i="39"/>
  <c r="DX76" i="39" s="1"/>
  <c r="DI76" i="39"/>
  <c r="DH76" i="39"/>
  <c r="DG76" i="39"/>
  <c r="DF76" i="39"/>
  <c r="DE76" i="39"/>
  <c r="DD76" i="39"/>
  <c r="DC76" i="39"/>
  <c r="DB76" i="39"/>
  <c r="DA76" i="39"/>
  <c r="CZ76" i="39"/>
  <c r="CY76" i="39"/>
  <c r="CX76" i="39"/>
  <c r="DJ76" i="39" s="1"/>
  <c r="CW76" i="39"/>
  <c r="AQ75" i="39"/>
  <c r="AP75" i="39"/>
  <c r="AO75" i="39"/>
  <c r="AN75" i="39"/>
  <c r="AM75" i="39"/>
  <c r="AL75" i="39"/>
  <c r="AK75" i="39"/>
  <c r="AJ75" i="39"/>
  <c r="AI75" i="39"/>
  <c r="AH75" i="39"/>
  <c r="AG75" i="39"/>
  <c r="AF75" i="39"/>
  <c r="AR75" i="39" s="1"/>
  <c r="CG74" i="39"/>
  <c r="CF74" i="39"/>
  <c r="CE74" i="39"/>
  <c r="CD74" i="39"/>
  <c r="CC74" i="39"/>
  <c r="CB74" i="39"/>
  <c r="DI73" i="39"/>
  <c r="DW73" i="39" s="1"/>
  <c r="CT73" i="39"/>
  <c r="CS73" i="39"/>
  <c r="CR73" i="39"/>
  <c r="CQ73" i="39"/>
  <c r="CP73" i="39"/>
  <c r="CO73" i="39"/>
  <c r="CN73" i="39"/>
  <c r="CL73" i="39"/>
  <c r="CK73" i="39"/>
  <c r="CJ73" i="39"/>
  <c r="BB72" i="39"/>
  <c r="AR72" i="39"/>
  <c r="AM71" i="39"/>
  <c r="AL71" i="39"/>
  <c r="AK71" i="39"/>
  <c r="AJ71" i="39"/>
  <c r="AI71" i="39"/>
  <c r="AH71" i="39"/>
  <c r="AG71" i="39"/>
  <c r="AF71" i="39"/>
  <c r="BF70" i="39"/>
  <c r="AR70" i="39"/>
  <c r="CM69" i="39"/>
  <c r="CL69" i="39"/>
  <c r="CK69" i="39"/>
  <c r="CJ69" i="39"/>
  <c r="BE69" i="39"/>
  <c r="BD69" i="39"/>
  <c r="BC69" i="39"/>
  <c r="BB69" i="39"/>
  <c r="BA69" i="39"/>
  <c r="AZ69" i="39"/>
  <c r="AY69" i="39"/>
  <c r="AX69" i="39"/>
  <c r="AW69" i="39"/>
  <c r="AV69" i="39"/>
  <c r="AU69" i="39"/>
  <c r="AT69" i="39"/>
  <c r="AQ69" i="39"/>
  <c r="AP69" i="39"/>
  <c r="AO69" i="39"/>
  <c r="AN69" i="39"/>
  <c r="AM69" i="39"/>
  <c r="AL69" i="39"/>
  <c r="AK69" i="39"/>
  <c r="AJ69" i="39"/>
  <c r="AI69" i="39"/>
  <c r="AH69" i="39"/>
  <c r="AG69" i="39"/>
  <c r="AF69" i="39"/>
  <c r="BF68" i="39"/>
  <c r="AR68" i="39"/>
  <c r="AD68" i="39"/>
  <c r="P68" i="39"/>
  <c r="BA67" i="39"/>
  <c r="AZ67" i="39"/>
  <c r="AY67" i="39"/>
  <c r="AX67" i="39"/>
  <c r="AW67" i="39"/>
  <c r="AV67" i="39"/>
  <c r="AU67" i="39"/>
  <c r="AT67" i="39"/>
  <c r="BB66" i="39"/>
  <c r="AR66" i="39"/>
  <c r="BE65" i="39"/>
  <c r="BE67" i="39" s="1"/>
  <c r="BD65" i="39"/>
  <c r="BD67" i="39" s="1"/>
  <c r="BC65" i="39"/>
  <c r="BC67" i="39" s="1"/>
  <c r="BB65" i="39"/>
  <c r="BF65" i="39" s="1"/>
  <c r="CV64" i="39"/>
  <c r="DL63" i="39"/>
  <c r="DX63" i="39" s="1"/>
  <c r="DJ63" i="39"/>
  <c r="CU63" i="39"/>
  <c r="CT63" i="39"/>
  <c r="CS63" i="39"/>
  <c r="CR63" i="39"/>
  <c r="CQ63" i="39"/>
  <c r="CP63" i="39"/>
  <c r="CO63" i="39"/>
  <c r="CN63" i="39"/>
  <c r="CM63" i="39"/>
  <c r="CL63" i="39"/>
  <c r="CK63" i="39"/>
  <c r="CJ63" i="39"/>
  <c r="CV63" i="39" s="1"/>
  <c r="BE63" i="39"/>
  <c r="BE73" i="39" s="1"/>
  <c r="BD63" i="39"/>
  <c r="BD73" i="39" s="1"/>
  <c r="BC63" i="39"/>
  <c r="BC73" i="39" s="1"/>
  <c r="BB63" i="39"/>
  <c r="BB64" i="39" s="1"/>
  <c r="BA63" i="39"/>
  <c r="AZ63" i="39"/>
  <c r="AZ73" i="39" s="1"/>
  <c r="AY63" i="39"/>
  <c r="AY73" i="39" s="1"/>
  <c r="AX63" i="39"/>
  <c r="AX73" i="39" s="1"/>
  <c r="AW63" i="39"/>
  <c r="AW73" i="39" s="1"/>
  <c r="AV63" i="39"/>
  <c r="AV73" i="39" s="1"/>
  <c r="AU63" i="39"/>
  <c r="AU73" i="39" s="1"/>
  <c r="AT63" i="39"/>
  <c r="AQ63" i="39"/>
  <c r="AP63" i="39"/>
  <c r="AO63" i="39"/>
  <c r="AO73" i="39" s="1"/>
  <c r="AN63" i="39"/>
  <c r="AN73" i="39" s="1"/>
  <c r="AM63" i="39"/>
  <c r="AM73" i="39" s="1"/>
  <c r="AL63" i="39"/>
  <c r="AK63" i="39"/>
  <c r="AK73" i="39" s="1"/>
  <c r="AJ63" i="39"/>
  <c r="AJ73" i="39" s="1"/>
  <c r="AI63" i="39"/>
  <c r="AI73" i="39" s="1"/>
  <c r="AG63" i="39"/>
  <c r="AG73" i="39" s="1"/>
  <c r="AF63" i="39"/>
  <c r="AC63" i="39"/>
  <c r="AB63" i="39"/>
  <c r="AA63" i="39"/>
  <c r="Z63" i="39"/>
  <c r="Y63" i="39"/>
  <c r="X63" i="39"/>
  <c r="W63" i="39"/>
  <c r="R63" i="39"/>
  <c r="O63" i="39"/>
  <c r="N63" i="39"/>
  <c r="M63" i="39"/>
  <c r="L63" i="39"/>
  <c r="K63" i="39"/>
  <c r="J63" i="39"/>
  <c r="I63" i="39"/>
  <c r="H63" i="39"/>
  <c r="G63" i="39"/>
  <c r="F63" i="39"/>
  <c r="E63" i="39"/>
  <c r="D63" i="39"/>
  <c r="P63" i="39" s="1"/>
  <c r="CU62" i="39"/>
  <c r="CT62" i="39"/>
  <c r="CS62" i="39"/>
  <c r="CR62" i="39"/>
  <c r="CQ62" i="39"/>
  <c r="CP62" i="39"/>
  <c r="CO62" i="39"/>
  <c r="CN62" i="39"/>
  <c r="CM62" i="39"/>
  <c r="CL62" i="39"/>
  <c r="CK62" i="39"/>
  <c r="CJ62" i="39"/>
  <c r="BF62" i="39"/>
  <c r="AR62" i="39"/>
  <c r="AD62" i="39"/>
  <c r="P62" i="39"/>
  <c r="CU61" i="39"/>
  <c r="CT61" i="39"/>
  <c r="CS61" i="39"/>
  <c r="CR61" i="39"/>
  <c r="CQ61" i="39"/>
  <c r="CP61" i="39"/>
  <c r="CO61" i="39"/>
  <c r="CN61" i="39"/>
  <c r="CM61" i="39"/>
  <c r="CL61" i="39"/>
  <c r="CK61" i="39"/>
  <c r="CJ61" i="39"/>
  <c r="BF61" i="39"/>
  <c r="BF60" i="39"/>
  <c r="AR60" i="39"/>
  <c r="BF59" i="39"/>
  <c r="AR59" i="39"/>
  <c r="BF58" i="39"/>
  <c r="AR58" i="39"/>
  <c r="BF57" i="39"/>
  <c r="AH57" i="39"/>
  <c r="AR57" i="39" s="1"/>
  <c r="BF56" i="39"/>
  <c r="AH56" i="39"/>
  <c r="AR56" i="39" s="1"/>
  <c r="AD56" i="39"/>
  <c r="BF55" i="39"/>
  <c r="AH55" i="39"/>
  <c r="AR55" i="39" s="1"/>
  <c r="AD55" i="39"/>
  <c r="BF54" i="39"/>
  <c r="AH54" i="39"/>
  <c r="AR54" i="39" s="1"/>
  <c r="AD54" i="39"/>
  <c r="P54" i="39"/>
  <c r="BF53" i="39"/>
  <c r="AH53" i="39"/>
  <c r="AR53" i="39" s="1"/>
  <c r="AD53" i="39"/>
  <c r="P53" i="39"/>
  <c r="BF52" i="39"/>
  <c r="AH52" i="39"/>
  <c r="AR52" i="39" s="1"/>
  <c r="AD52" i="39"/>
  <c r="P52" i="39"/>
  <c r="BF51" i="39"/>
  <c r="AH51" i="39"/>
  <c r="AD51" i="39"/>
  <c r="P51" i="39"/>
  <c r="BF50" i="39"/>
  <c r="AR50" i="39"/>
  <c r="U50" i="39"/>
  <c r="T50" i="39"/>
  <c r="AD50" i="39" s="1"/>
  <c r="P50" i="39"/>
  <c r="BF49" i="39"/>
  <c r="AR49" i="39"/>
  <c r="T49" i="39"/>
  <c r="AD49" i="39" s="1"/>
  <c r="P49" i="39"/>
  <c r="BF48" i="39"/>
  <c r="AR48" i="39"/>
  <c r="U48" i="39"/>
  <c r="T48" i="39"/>
  <c r="S48" i="39"/>
  <c r="AD48" i="39" s="1"/>
  <c r="P48" i="39"/>
  <c r="BF47" i="39"/>
  <c r="AR47" i="39"/>
  <c r="AD47" i="39"/>
  <c r="P47" i="39"/>
  <c r="BF46" i="39"/>
  <c r="AR46" i="39"/>
  <c r="V46" i="39"/>
  <c r="V63" i="39" s="1"/>
  <c r="U46" i="39"/>
  <c r="AD46" i="39" s="1"/>
  <c r="P46" i="39"/>
  <c r="BF45" i="39"/>
  <c r="AR45" i="39"/>
  <c r="T45" i="39"/>
  <c r="S45" i="39"/>
  <c r="P45" i="39"/>
  <c r="BF44" i="39"/>
  <c r="AR44" i="39"/>
  <c r="AD44" i="39"/>
  <c r="P44" i="39"/>
  <c r="BF43" i="39"/>
  <c r="AR43" i="39"/>
  <c r="U43" i="39"/>
  <c r="T43" i="39"/>
  <c r="AD43" i="39" s="1"/>
  <c r="P43" i="39"/>
  <c r="BF42" i="39"/>
  <c r="AR42" i="39"/>
  <c r="U42" i="39"/>
  <c r="U63" i="39" s="1"/>
  <c r="T42" i="39"/>
  <c r="P42" i="39"/>
  <c r="DX40" i="39"/>
  <c r="DJ40" i="39"/>
  <c r="CP39" i="39"/>
  <c r="CJ39" i="39"/>
  <c r="BE39" i="39"/>
  <c r="BE71" i="39" s="1"/>
  <c r="BD39" i="39"/>
  <c r="BD71" i="39" s="1"/>
  <c r="BC39" i="39"/>
  <c r="BC71" i="39" s="1"/>
  <c r="BB39" i="39"/>
  <c r="BB71" i="39" s="1"/>
  <c r="BA39" i="39"/>
  <c r="BA71" i="39" s="1"/>
  <c r="AZ39" i="39"/>
  <c r="AZ71" i="39" s="1"/>
  <c r="AY39" i="39"/>
  <c r="AY71" i="39" s="1"/>
  <c r="AX39" i="39"/>
  <c r="AX71" i="39" s="1"/>
  <c r="AW39" i="39"/>
  <c r="AW71" i="39" s="1"/>
  <c r="AV39" i="39"/>
  <c r="AV71" i="39" s="1"/>
  <c r="AU39" i="39"/>
  <c r="AU71" i="39" s="1"/>
  <c r="AT39" i="39"/>
  <c r="U39" i="39"/>
  <c r="AD39" i="39" s="1"/>
  <c r="P39" i="39"/>
  <c r="CQ38" i="39"/>
  <c r="CK38" i="39"/>
  <c r="AQ38" i="39"/>
  <c r="AQ39" i="39" s="1"/>
  <c r="AQ71" i="39" s="1"/>
  <c r="AP38" i="39"/>
  <c r="AP39" i="39" s="1"/>
  <c r="AP71" i="39" s="1"/>
  <c r="AO38" i="39"/>
  <c r="AO39" i="39" s="1"/>
  <c r="AO71" i="39" s="1"/>
  <c r="AN38" i="39"/>
  <c r="AN39" i="39" s="1"/>
  <c r="CV37" i="39"/>
  <c r="BF37" i="39"/>
  <c r="DX36" i="39"/>
  <c r="DW36" i="39"/>
  <c r="DV36" i="39"/>
  <c r="DU36" i="39"/>
  <c r="DT36" i="39"/>
  <c r="DS36" i="39"/>
  <c r="DR36" i="39"/>
  <c r="DQ36" i="39"/>
  <c r="DP36" i="39"/>
  <c r="DO36" i="39"/>
  <c r="DN36" i="39"/>
  <c r="DM36" i="39"/>
  <c r="DL36" i="39"/>
  <c r="BE36" i="39"/>
  <c r="BD36" i="39"/>
  <c r="BC36" i="39"/>
  <c r="BB36" i="39"/>
  <c r="AZ36" i="39"/>
  <c r="AY36" i="39"/>
  <c r="DI35" i="39"/>
  <c r="DI119" i="39" s="1"/>
  <c r="DB35" i="39"/>
  <c r="DB119" i="39" s="1"/>
  <c r="DA35" i="39"/>
  <c r="DA119" i="39" s="1"/>
  <c r="CZ35" i="39"/>
  <c r="CZ119" i="39" s="1"/>
  <c r="CY35" i="39"/>
  <c r="CY119" i="39" s="1"/>
  <c r="CX35" i="39"/>
  <c r="CP35" i="39"/>
  <c r="CJ35" i="39"/>
  <c r="BQ95" i="39"/>
  <c r="BE35" i="39"/>
  <c r="BE95" i="39" s="1"/>
  <c r="BD35" i="39"/>
  <c r="BD95" i="39" s="1"/>
  <c r="BC35" i="39"/>
  <c r="BB35" i="39"/>
  <c r="BA35" i="39"/>
  <c r="AZ35" i="39"/>
  <c r="AY35" i="39"/>
  <c r="AX35" i="39"/>
  <c r="AW35" i="39"/>
  <c r="AV35" i="39"/>
  <c r="AU35" i="39"/>
  <c r="AT35" i="39"/>
  <c r="AQ35" i="39"/>
  <c r="AP35" i="39"/>
  <c r="AO35" i="39"/>
  <c r="AN35" i="39"/>
  <c r="AM35" i="39"/>
  <c r="AL35" i="39"/>
  <c r="AK35" i="39"/>
  <c r="AJ35" i="39"/>
  <c r="AI35" i="39"/>
  <c r="AG35" i="39"/>
  <c r="AF35" i="39"/>
  <c r="AC35" i="39"/>
  <c r="AC95" i="39" s="1"/>
  <c r="AB35" i="39"/>
  <c r="AB95" i="39" s="1"/>
  <c r="AA35" i="39"/>
  <c r="AA95" i="39" s="1"/>
  <c r="Z35" i="39"/>
  <c r="Z95" i="39" s="1"/>
  <c r="Y35" i="39"/>
  <c r="Y95" i="39" s="1"/>
  <c r="X35" i="39"/>
  <c r="X95" i="39" s="1"/>
  <c r="W35" i="39"/>
  <c r="W95" i="39" s="1"/>
  <c r="V35" i="39"/>
  <c r="V95" i="39" s="1"/>
  <c r="U35" i="39"/>
  <c r="U95" i="39" s="1"/>
  <c r="R35" i="39"/>
  <c r="P35" i="39"/>
  <c r="O35" i="39"/>
  <c r="O95" i="39" s="1"/>
  <c r="N35" i="39"/>
  <c r="N95" i="39" s="1"/>
  <c r="M35" i="39"/>
  <c r="M95" i="39" s="1"/>
  <c r="L35" i="39"/>
  <c r="L95" i="39" s="1"/>
  <c r="K35" i="39"/>
  <c r="J35" i="39"/>
  <c r="I35" i="39"/>
  <c r="H35" i="39"/>
  <c r="G35" i="39"/>
  <c r="F35" i="39"/>
  <c r="E35" i="39"/>
  <c r="D35" i="39"/>
  <c r="CM34" i="39"/>
  <c r="CL34" i="39"/>
  <c r="CK34" i="39"/>
  <c r="CJ34" i="39"/>
  <c r="CM32" i="39"/>
  <c r="CL32" i="39"/>
  <c r="CK32" i="39"/>
  <c r="CJ32" i="39"/>
  <c r="BE30" i="39"/>
  <c r="BE31" i="39" s="1"/>
  <c r="BD30" i="39"/>
  <c r="BD31" i="39" s="1"/>
  <c r="BC30" i="39"/>
  <c r="BC31" i="39" s="1"/>
  <c r="BB30" i="39"/>
  <c r="BB31" i="39" s="1"/>
  <c r="BA30" i="39"/>
  <c r="BA31" i="39" s="1"/>
  <c r="AZ30" i="39"/>
  <c r="AZ31" i="39" s="1"/>
  <c r="AY30" i="39"/>
  <c r="AY31" i="39" s="1"/>
  <c r="AX30" i="39"/>
  <c r="AX31" i="39" s="1"/>
  <c r="AW30" i="39"/>
  <c r="AW31" i="39" s="1"/>
  <c r="AV30" i="39"/>
  <c r="AV31" i="39" s="1"/>
  <c r="AU30" i="39"/>
  <c r="AU31" i="39" s="1"/>
  <c r="AT30" i="39"/>
  <c r="AQ30" i="39"/>
  <c r="AP30" i="39"/>
  <c r="AP31" i="39" s="1"/>
  <c r="AO30" i="39"/>
  <c r="AO31" i="39" s="1"/>
  <c r="AN30" i="39"/>
  <c r="AN31" i="39" s="1"/>
  <c r="AM30" i="39"/>
  <c r="AM31" i="39" s="1"/>
  <c r="AL30" i="39"/>
  <c r="AL31" i="39" s="1"/>
  <c r="AK30" i="39"/>
  <c r="AK31" i="39" s="1"/>
  <c r="AJ30" i="39"/>
  <c r="AJ31" i="39" s="1"/>
  <c r="AI30" i="39"/>
  <c r="AI31" i="39" s="1"/>
  <c r="AH30" i="39"/>
  <c r="AH31" i="39" s="1"/>
  <c r="AG30" i="39"/>
  <c r="AG31" i="39" s="1"/>
  <c r="AF30" i="39"/>
  <c r="AF31" i="39" s="1"/>
  <c r="AC30" i="39"/>
  <c r="AB30" i="39"/>
  <c r="AA30" i="39"/>
  <c r="Z30" i="39"/>
  <c r="Y30" i="39"/>
  <c r="X30" i="39"/>
  <c r="AD30" i="39" s="1"/>
  <c r="W30" i="39"/>
  <c r="V30" i="39"/>
  <c r="U30" i="39"/>
  <c r="T30" i="39"/>
  <c r="S30" i="39"/>
  <c r="R30" i="39"/>
  <c r="O30" i="39"/>
  <c r="N30" i="39"/>
  <c r="M30" i="39"/>
  <c r="L30" i="39"/>
  <c r="K30" i="39"/>
  <c r="J30" i="39"/>
  <c r="P30" i="39" s="1"/>
  <c r="H30" i="39"/>
  <c r="G30" i="39"/>
  <c r="F30" i="39"/>
  <c r="E30" i="39"/>
  <c r="D30" i="39"/>
  <c r="BF27" i="39"/>
  <c r="AR27" i="39"/>
  <c r="BF26" i="39"/>
  <c r="AR26" i="39"/>
  <c r="BF25" i="39"/>
  <c r="AR25" i="39"/>
  <c r="BF24" i="39"/>
  <c r="AR24" i="39"/>
  <c r="U24" i="39"/>
  <c r="CZ23" i="39"/>
  <c r="DA23" i="39" s="1"/>
  <c r="DB23" i="39" s="1"/>
  <c r="DC23" i="39" s="1"/>
  <c r="DD23" i="39" s="1"/>
  <c r="DE23" i="39" s="1"/>
  <c r="DF23" i="39" s="1"/>
  <c r="DG23" i="39" s="1"/>
  <c r="DH23" i="39" s="1"/>
  <c r="DI23" i="39" s="1"/>
  <c r="DL23" i="39" s="1"/>
  <c r="DM23" i="39" s="1"/>
  <c r="DN23" i="39" s="1"/>
  <c r="DO23" i="39" s="1"/>
  <c r="DP23" i="39" s="1"/>
  <c r="DQ23" i="39" s="1"/>
  <c r="DR23" i="39" s="1"/>
  <c r="DS23" i="39" s="1"/>
  <c r="DT23" i="39" s="1"/>
  <c r="DU23" i="39" s="1"/>
  <c r="DV23" i="39" s="1"/>
  <c r="DW23" i="39" s="1"/>
  <c r="CT23" i="39"/>
  <c r="CU23" i="39" s="1"/>
  <c r="DB22" i="39"/>
  <c r="DC22" i="39" s="1"/>
  <c r="DD22" i="39" s="1"/>
  <c r="DE22" i="39" s="1"/>
  <c r="DF22" i="39" s="1"/>
  <c r="DG22" i="39" s="1"/>
  <c r="DH22" i="39" s="1"/>
  <c r="DI22" i="39" s="1"/>
  <c r="DL22" i="39" s="1"/>
  <c r="DM22" i="39" s="1"/>
  <c r="DN22" i="39" s="1"/>
  <c r="DO22" i="39" s="1"/>
  <c r="DP22" i="39" s="1"/>
  <c r="DQ22" i="39" s="1"/>
  <c r="DR22" i="39" s="1"/>
  <c r="DS22" i="39" s="1"/>
  <c r="DT22" i="39" s="1"/>
  <c r="DU22" i="39" s="1"/>
  <c r="DV22" i="39" s="1"/>
  <c r="DW22" i="39" s="1"/>
  <c r="CT22" i="39"/>
  <c r="CU22" i="39" s="1"/>
  <c r="CS21" i="39"/>
  <c r="BF21" i="39"/>
  <c r="AR21" i="39"/>
  <c r="I21" i="39"/>
  <c r="I30" i="39" s="1"/>
  <c r="CZ20" i="39"/>
  <c r="DW19" i="39"/>
  <c r="DV19" i="39"/>
  <c r="DU19" i="39"/>
  <c r="DT19" i="39"/>
  <c r="DS19" i="39"/>
  <c r="DR19" i="39"/>
  <c r="DQ19" i="39"/>
  <c r="DP19" i="39"/>
  <c r="DO19" i="39"/>
  <c r="DN19" i="39"/>
  <c r="DM19" i="39"/>
  <c r="DL19" i="39"/>
  <c r="DI19" i="39"/>
  <c r="DH19" i="39"/>
  <c r="DG19" i="39"/>
  <c r="DF19" i="39"/>
  <c r="DE19" i="39"/>
  <c r="DD19" i="39"/>
  <c r="DC19" i="39"/>
  <c r="DB19" i="39"/>
  <c r="DA19" i="39"/>
  <c r="CZ19" i="39"/>
  <c r="CY19" i="39"/>
  <c r="CX19" i="39"/>
  <c r="CU19" i="39"/>
  <c r="CT19" i="39"/>
  <c r="CS19" i="39"/>
  <c r="DA18" i="39"/>
  <c r="CZ18" i="39"/>
  <c r="CY18" i="39"/>
  <c r="CX18" i="39"/>
  <c r="CS18" i="39"/>
  <c r="DW16" i="39"/>
  <c r="CH12" i="39"/>
  <c r="CM11" i="39"/>
  <c r="CL11" i="39"/>
  <c r="CH11" i="39"/>
  <c r="CG11" i="39"/>
  <c r="CG32" i="39" s="1"/>
  <c r="CH32" i="39" s="1"/>
  <c r="CF11" i="39"/>
  <c r="CF32" i="39" s="1"/>
  <c r="CE11" i="39"/>
  <c r="CE32" i="39" s="1"/>
  <c r="CD11" i="39"/>
  <c r="CD32" i="39" s="1"/>
  <c r="CC11" i="39"/>
  <c r="CC32" i="39" s="1"/>
  <c r="CB11" i="39"/>
  <c r="CB32" i="39" s="1"/>
  <c r="CA11" i="39"/>
  <c r="CA32" i="39" s="1"/>
  <c r="BZ11" i="39"/>
  <c r="BZ32" i="39" s="1"/>
  <c r="BY11" i="39"/>
  <c r="BY32" i="39" s="1"/>
  <c r="BX11" i="39"/>
  <c r="BX32" i="39" s="1"/>
  <c r="BW11" i="39"/>
  <c r="BW32" i="39" s="1"/>
  <c r="BV11" i="39"/>
  <c r="BV32" i="39" s="1"/>
  <c r="BS11" i="39"/>
  <c r="BR11" i="39"/>
  <c r="BQ11" i="39"/>
  <c r="BP11" i="39"/>
  <c r="BO11" i="39"/>
  <c r="BN11" i="39"/>
  <c r="BM11" i="39"/>
  <c r="BL11" i="39"/>
  <c r="BK11" i="39"/>
  <c r="BJ11" i="39"/>
  <c r="BI11" i="39"/>
  <c r="BH11" i="39"/>
  <c r="BE11" i="39"/>
  <c r="BD11" i="39"/>
  <c r="BC11" i="39"/>
  <c r="BB11" i="39"/>
  <c r="BA11" i="39"/>
  <c r="AZ11" i="39"/>
  <c r="AY11" i="39"/>
  <c r="AX11" i="39"/>
  <c r="AW11" i="39"/>
  <c r="AV11" i="39"/>
  <c r="AU11" i="39"/>
  <c r="AT11" i="39"/>
  <c r="AQ11" i="39"/>
  <c r="AP11" i="39"/>
  <c r="AO11" i="39"/>
  <c r="AN11" i="39"/>
  <c r="AM11" i="39"/>
  <c r="AL11" i="39"/>
  <c r="AK11" i="39"/>
  <c r="AJ11" i="39"/>
  <c r="AI11" i="39"/>
  <c r="AH11" i="39"/>
  <c r="AG11" i="39"/>
  <c r="AF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DW8" i="39"/>
  <c r="DV8" i="39"/>
  <c r="DU8" i="39"/>
  <c r="DT8" i="39"/>
  <c r="DS8" i="39"/>
  <c r="DR8" i="39"/>
  <c r="DQ8" i="39"/>
  <c r="DP8" i="39"/>
  <c r="DO8" i="39"/>
  <c r="DN8" i="39"/>
  <c r="DH8" i="39"/>
  <c r="DG8" i="39"/>
  <c r="DF8" i="39"/>
  <c r="DE8" i="39"/>
  <c r="DD8" i="39"/>
  <c r="DC8" i="39"/>
  <c r="DB8" i="39"/>
  <c r="CY8" i="39"/>
  <c r="CX8" i="39"/>
  <c r="CT8" i="39"/>
  <c r="CT82" i="39" s="1"/>
  <c r="CS8" i="39"/>
  <c r="CR8" i="39"/>
  <c r="CR82" i="39" s="1"/>
  <c r="CQ8" i="39"/>
  <c r="CQ82" i="39" s="1"/>
  <c r="CP8" i="39"/>
  <c r="CP82" i="39" s="1"/>
  <c r="CO8" i="39"/>
  <c r="CN8" i="39"/>
  <c r="CM8" i="39"/>
  <c r="CK8" i="39"/>
  <c r="CJ8" i="39"/>
  <c r="CG8" i="39"/>
  <c r="CF8" i="39"/>
  <c r="CE8" i="39"/>
  <c r="CD8" i="39"/>
  <c r="CC8" i="39"/>
  <c r="CB8" i="39"/>
  <c r="CA8" i="39"/>
  <c r="BZ8" i="39"/>
  <c r="BY8" i="39"/>
  <c r="C8" i="39"/>
  <c r="C7" i="39"/>
  <c r="C6" i="39"/>
  <c r="C5" i="39"/>
  <c r="C4" i="39"/>
  <c r="DJ80" i="38"/>
  <c r="DJ72" i="38"/>
  <c r="CY121" i="38"/>
  <c r="CZ121" i="38"/>
  <c r="DA121" i="38"/>
  <c r="DB121" i="38"/>
  <c r="DC121" i="38"/>
  <c r="DD121" i="38"/>
  <c r="CX121" i="38"/>
  <c r="DF34" i="38"/>
  <c r="CX34" i="38"/>
  <c r="CX118" i="38" s="1"/>
  <c r="U24" i="31"/>
  <c r="CY38" i="38"/>
  <c r="CZ38" i="38"/>
  <c r="CZ34" i="38" s="1"/>
  <c r="CZ118" i="38" s="1"/>
  <c r="DA38" i="38"/>
  <c r="DA34" i="38" s="1"/>
  <c r="DA118" i="38" s="1"/>
  <c r="DB38" i="38"/>
  <c r="DB34" i="38" s="1"/>
  <c r="DB118" i="38" s="1"/>
  <c r="DC72" i="38"/>
  <c r="CX75" i="38"/>
  <c r="DW72" i="38"/>
  <c r="DV72" i="38"/>
  <c r="DU72" i="38"/>
  <c r="DT72" i="38"/>
  <c r="DS72" i="38"/>
  <c r="DR72" i="38"/>
  <c r="DQ72" i="38"/>
  <c r="DO72" i="38"/>
  <c r="DN72" i="38"/>
  <c r="DM72" i="38"/>
  <c r="DL72" i="38"/>
  <c r="DL62" i="38"/>
  <c r="DB84" i="38"/>
  <c r="DB20" i="38"/>
  <c r="DC20" i="38"/>
  <c r="DC19" i="38" s="1"/>
  <c r="DB80" i="38"/>
  <c r="V26" i="31"/>
  <c r="S28" i="31"/>
  <c r="W23" i="31"/>
  <c r="X23" i="31" s="1"/>
  <c r="W24" i="31"/>
  <c r="X24" i="31" s="1"/>
  <c r="C110" i="38"/>
  <c r="C108" i="38"/>
  <c r="C113" i="38" s="1"/>
  <c r="DV101" i="38"/>
  <c r="DH101" i="38"/>
  <c r="DW100" i="38"/>
  <c r="DV100" i="38"/>
  <c r="DU100" i="38"/>
  <c r="DT100" i="38"/>
  <c r="DS100" i="38"/>
  <c r="DR100" i="38"/>
  <c r="DQ100" i="38"/>
  <c r="DP100" i="38"/>
  <c r="DO100" i="38"/>
  <c r="DN100" i="38"/>
  <c r="DM100" i="38"/>
  <c r="DL100" i="38"/>
  <c r="DI100" i="38"/>
  <c r="DH100" i="38"/>
  <c r="DG100" i="38"/>
  <c r="DF100" i="38"/>
  <c r="DE100" i="38"/>
  <c r="DD100" i="38"/>
  <c r="DC100" i="38"/>
  <c r="DB100" i="38"/>
  <c r="DA100" i="38"/>
  <c r="CZ100" i="38"/>
  <c r="CY100" i="38"/>
  <c r="CX100" i="38"/>
  <c r="DW99" i="38"/>
  <c r="DO99" i="38"/>
  <c r="DN99" i="38"/>
  <c r="DM99" i="38"/>
  <c r="DL99" i="38"/>
  <c r="DI99" i="38"/>
  <c r="DA99" i="38"/>
  <c r="CZ99" i="38"/>
  <c r="CY99" i="38"/>
  <c r="CX99" i="38"/>
  <c r="CU99" i="38"/>
  <c r="CS98" i="38"/>
  <c r="DW97" i="38"/>
  <c r="DV97" i="38"/>
  <c r="DU97" i="38"/>
  <c r="DT97" i="38"/>
  <c r="DS97" i="38"/>
  <c r="DR97" i="38"/>
  <c r="DQ97" i="38"/>
  <c r="DP97" i="38"/>
  <c r="DO97" i="38"/>
  <c r="DN97" i="38"/>
  <c r="DM97" i="38"/>
  <c r="DL97" i="38"/>
  <c r="CU97" i="38"/>
  <c r="CT97" i="38"/>
  <c r="CS97" i="38"/>
  <c r="CQ97" i="38"/>
  <c r="CP97" i="38"/>
  <c r="CO97" i="38"/>
  <c r="K94" i="38"/>
  <c r="J94" i="38"/>
  <c r="I94" i="38"/>
  <c r="H94" i="38"/>
  <c r="G94" i="38"/>
  <c r="F94" i="38"/>
  <c r="E94" i="38"/>
  <c r="D94" i="38"/>
  <c r="P94" i="38" s="1"/>
  <c r="CS93" i="38"/>
  <c r="BT92" i="38"/>
  <c r="BF92" i="38"/>
  <c r="AL92" i="38"/>
  <c r="AK92" i="38"/>
  <c r="AJ92" i="38"/>
  <c r="AI92" i="38"/>
  <c r="AH92" i="38"/>
  <c r="AG92" i="38"/>
  <c r="AF92" i="38"/>
  <c r="AR92" i="38" s="1"/>
  <c r="BT91" i="38"/>
  <c r="BB91" i="38"/>
  <c r="BF91" i="38" s="1"/>
  <c r="AR91" i="38"/>
  <c r="DM90" i="38"/>
  <c r="DL90" i="38"/>
  <c r="DI90" i="38"/>
  <c r="DH90" i="38"/>
  <c r="DG90" i="38"/>
  <c r="DF90" i="38"/>
  <c r="DE90" i="38"/>
  <c r="DD90" i="38"/>
  <c r="DC90" i="38"/>
  <c r="DB90" i="38"/>
  <c r="CM90" i="38"/>
  <c r="CL90" i="38"/>
  <c r="CK90" i="38"/>
  <c r="CG90" i="38"/>
  <c r="CD90" i="38"/>
  <c r="CC90" i="38"/>
  <c r="CB90" i="38"/>
  <c r="BQ90" i="38"/>
  <c r="BQ93" i="38" s="1"/>
  <c r="BP90" i="38"/>
  <c r="BO90" i="38"/>
  <c r="BN90" i="38"/>
  <c r="BM90" i="38"/>
  <c r="BL90" i="38"/>
  <c r="BK90" i="38"/>
  <c r="BJ90" i="38"/>
  <c r="BI90" i="38"/>
  <c r="BH90" i="38"/>
  <c r="BE90" i="38"/>
  <c r="BE93" i="38" s="1"/>
  <c r="BD90" i="38"/>
  <c r="BD93" i="38" s="1"/>
  <c r="BC90" i="38"/>
  <c r="BB90" i="38"/>
  <c r="BA90" i="38"/>
  <c r="AZ90" i="38"/>
  <c r="AY90" i="38"/>
  <c r="AX90" i="38"/>
  <c r="AW90" i="38"/>
  <c r="AV90" i="38"/>
  <c r="AU90" i="38"/>
  <c r="AT90" i="38"/>
  <c r="AQ90" i="38"/>
  <c r="AP90" i="38"/>
  <c r="AO90" i="38"/>
  <c r="AN90" i="38"/>
  <c r="AM90" i="38"/>
  <c r="AD90" i="38"/>
  <c r="P90" i="38"/>
  <c r="CN88" i="38"/>
  <c r="BE88" i="38"/>
  <c r="BD88" i="38"/>
  <c r="DW87" i="38"/>
  <c r="DV87" i="38"/>
  <c r="DU87" i="38"/>
  <c r="DT87" i="38"/>
  <c r="DS87" i="38"/>
  <c r="DR87" i="38"/>
  <c r="DQ87" i="38"/>
  <c r="DP87" i="38"/>
  <c r="DO87" i="38"/>
  <c r="DN87" i="38"/>
  <c r="DM87" i="38"/>
  <c r="DL87" i="38"/>
  <c r="DJ87" i="38"/>
  <c r="CS87" i="38"/>
  <c r="CR87" i="38"/>
  <c r="CQ87" i="38"/>
  <c r="CP87" i="38"/>
  <c r="CO87" i="38"/>
  <c r="CN87" i="38"/>
  <c r="CM87" i="38"/>
  <c r="CL87" i="38"/>
  <c r="CK87" i="38"/>
  <c r="CJ87" i="38"/>
  <c r="BS87" i="38"/>
  <c r="BT87" i="38" s="1"/>
  <c r="BF87" i="38"/>
  <c r="AR87" i="38"/>
  <c r="DA86" i="38"/>
  <c r="CZ86" i="38"/>
  <c r="CL86" i="38"/>
  <c r="BX86" i="38"/>
  <c r="BW86" i="38"/>
  <c r="BV86" i="38"/>
  <c r="BT86" i="38"/>
  <c r="BF86" i="38"/>
  <c r="AR86" i="38"/>
  <c r="DE85" i="38"/>
  <c r="DF85" i="38" s="1"/>
  <c r="DG85" i="38" s="1"/>
  <c r="DH85" i="38" s="1"/>
  <c r="DI85" i="38" s="1"/>
  <c r="DL85" i="38" s="1"/>
  <c r="DM85" i="38" s="1"/>
  <c r="DN85" i="38" s="1"/>
  <c r="DO85" i="38" s="1"/>
  <c r="DP85" i="38" s="1"/>
  <c r="DQ85" i="38" s="1"/>
  <c r="DR85" i="38" s="1"/>
  <c r="DS85" i="38" s="1"/>
  <c r="DT85" i="38" s="1"/>
  <c r="DU85" i="38" s="1"/>
  <c r="DV85" i="38" s="1"/>
  <c r="DW85" i="38" s="1"/>
  <c r="CR85" i="38"/>
  <c r="CR97" i="38" s="1"/>
  <c r="CC85" i="38"/>
  <c r="BS85" i="38"/>
  <c r="BO85" i="38"/>
  <c r="BN85" i="38"/>
  <c r="BM85" i="38"/>
  <c r="BL85" i="38"/>
  <c r="BK85" i="38"/>
  <c r="BJ85" i="38"/>
  <c r="BI85" i="38"/>
  <c r="BH85" i="38"/>
  <c r="BE85" i="38"/>
  <c r="BD85" i="38"/>
  <c r="BA85" i="38"/>
  <c r="AL85" i="38"/>
  <c r="AK85" i="38"/>
  <c r="AJ85" i="38"/>
  <c r="AI85" i="38"/>
  <c r="AH85" i="38"/>
  <c r="AG85" i="38"/>
  <c r="AF85" i="38"/>
  <c r="AR85" i="38" s="1"/>
  <c r="AC85" i="38"/>
  <c r="AB85" i="38"/>
  <c r="AA85" i="38"/>
  <c r="Z85" i="38"/>
  <c r="Y85" i="38"/>
  <c r="X85" i="38"/>
  <c r="W85" i="38"/>
  <c r="V85" i="38"/>
  <c r="U85" i="38"/>
  <c r="T85" i="38"/>
  <c r="S85" i="38"/>
  <c r="R85" i="38"/>
  <c r="BX84" i="38"/>
  <c r="BW84" i="38"/>
  <c r="BV84" i="38"/>
  <c r="BR84" i="38"/>
  <c r="BR85" i="38" s="1"/>
  <c r="BQ84" i="38"/>
  <c r="BQ85" i="38" s="1"/>
  <c r="BP84" i="38"/>
  <c r="BC84" i="38"/>
  <c r="BB84" i="38"/>
  <c r="AY84" i="38"/>
  <c r="AX84" i="38"/>
  <c r="AW84" i="38"/>
  <c r="AV84" i="38"/>
  <c r="AU84" i="38"/>
  <c r="AU85" i="38" s="1"/>
  <c r="BF85" i="38" s="1"/>
  <c r="AT84" i="38"/>
  <c r="BF84" i="38" s="1"/>
  <c r="AQ84" i="38"/>
  <c r="AP84" i="38"/>
  <c r="AO84" i="38"/>
  <c r="AN84" i="38"/>
  <c r="AM84" i="38"/>
  <c r="AR84" i="38" s="1"/>
  <c r="P84" i="38"/>
  <c r="DW83" i="38"/>
  <c r="DV83" i="38"/>
  <c r="DU83" i="38"/>
  <c r="DT83" i="38"/>
  <c r="DS83" i="38"/>
  <c r="DR83" i="38"/>
  <c r="DQ83" i="38"/>
  <c r="DP83" i="38"/>
  <c r="DO83" i="38"/>
  <c r="DN83" i="38"/>
  <c r="DM83" i="38"/>
  <c r="DL83" i="38"/>
  <c r="DX83" i="38" s="1"/>
  <c r="DI83" i="38"/>
  <c r="DH83" i="38"/>
  <c r="DG83" i="38"/>
  <c r="DF83" i="38"/>
  <c r="DE83" i="38"/>
  <c r="DD83" i="38"/>
  <c r="DC83" i="38"/>
  <c r="DB83" i="38"/>
  <c r="DA83" i="38"/>
  <c r="CZ83" i="38"/>
  <c r="CY83" i="38"/>
  <c r="CX83" i="38"/>
  <c r="DJ83" i="38" s="1"/>
  <c r="CU83" i="38"/>
  <c r="CT83" i="38"/>
  <c r="DY82" i="38"/>
  <c r="DX82" i="38"/>
  <c r="DJ82" i="38"/>
  <c r="DA81" i="38"/>
  <c r="CZ81" i="38"/>
  <c r="CU81" i="38"/>
  <c r="CL81" i="38"/>
  <c r="BX81" i="38"/>
  <c r="BX87" i="38" s="1"/>
  <c r="BW81" i="38"/>
  <c r="BW87" i="38" s="1"/>
  <c r="BV81" i="38"/>
  <c r="BS81" i="38"/>
  <c r="BP81" i="38"/>
  <c r="BO81" i="38"/>
  <c r="BN81" i="38"/>
  <c r="BM81" i="38"/>
  <c r="BL81" i="38"/>
  <c r="BK81" i="38"/>
  <c r="BJ81" i="38"/>
  <c r="BI81" i="38"/>
  <c r="BH81" i="38"/>
  <c r="BC81" i="38"/>
  <c r="BB81" i="38"/>
  <c r="BA81" i="38"/>
  <c r="AZ81" i="38"/>
  <c r="AY81" i="38"/>
  <c r="AX81" i="38"/>
  <c r="AW81" i="38"/>
  <c r="AV81" i="38"/>
  <c r="AU81" i="38"/>
  <c r="AT81" i="38"/>
  <c r="AQ81" i="38"/>
  <c r="AP81" i="38"/>
  <c r="AO81" i="38"/>
  <c r="AN81" i="38"/>
  <c r="AM81" i="38"/>
  <c r="AL81" i="38"/>
  <c r="AK81" i="38"/>
  <c r="AJ81" i="38"/>
  <c r="AI81" i="38"/>
  <c r="AH81" i="38"/>
  <c r="AG81" i="38"/>
  <c r="AF81" i="38"/>
  <c r="AD81" i="38"/>
  <c r="P81" i="38"/>
  <c r="CZ80" i="38"/>
  <c r="CU80" i="38"/>
  <c r="DW79" i="38"/>
  <c r="DV79" i="38"/>
  <c r="DU79" i="38"/>
  <c r="DT79" i="38"/>
  <c r="DS79" i="38"/>
  <c r="DR79" i="38"/>
  <c r="DQ79" i="38"/>
  <c r="DP79" i="38"/>
  <c r="DO79" i="38"/>
  <c r="DN79" i="38"/>
  <c r="DM79" i="38"/>
  <c r="DL79" i="38"/>
  <c r="DX79" i="38" s="1"/>
  <c r="DI79" i="38"/>
  <c r="DH79" i="38"/>
  <c r="DG79" i="38"/>
  <c r="DF79" i="38"/>
  <c r="DE79" i="38"/>
  <c r="DD79" i="38"/>
  <c r="DC79" i="38"/>
  <c r="DB79" i="38"/>
  <c r="DA79" i="38"/>
  <c r="CZ79" i="38"/>
  <c r="CY79" i="38"/>
  <c r="CX79" i="38"/>
  <c r="DJ79" i="38" s="1"/>
  <c r="CU79" i="38"/>
  <c r="CT79" i="38"/>
  <c r="DW78" i="38"/>
  <c r="DV78" i="38"/>
  <c r="DU78" i="38"/>
  <c r="DT78" i="38"/>
  <c r="DS78" i="38"/>
  <c r="DR78" i="38"/>
  <c r="DQ78" i="38"/>
  <c r="DP78" i="38"/>
  <c r="DO78" i="38"/>
  <c r="DN78" i="38"/>
  <c r="DM78" i="38"/>
  <c r="DL78" i="38"/>
  <c r="DI78" i="38"/>
  <c r="DH78" i="38"/>
  <c r="DG78" i="38"/>
  <c r="DA78" i="38"/>
  <c r="CZ78" i="38"/>
  <c r="CY78" i="38"/>
  <c r="CX78" i="38"/>
  <c r="DW77" i="38"/>
  <c r="DV77" i="38"/>
  <c r="DU77" i="38"/>
  <c r="DT77" i="38"/>
  <c r="DS77" i="38"/>
  <c r="DR77" i="38"/>
  <c r="DQ77" i="38"/>
  <c r="DP77" i="38"/>
  <c r="DO77" i="38"/>
  <c r="DN77" i="38"/>
  <c r="DM77" i="38"/>
  <c r="DL77" i="38"/>
  <c r="DI77" i="38"/>
  <c r="DH77" i="38"/>
  <c r="DG77" i="38"/>
  <c r="DF77" i="38"/>
  <c r="DF95" i="38" s="1"/>
  <c r="DE77" i="38"/>
  <c r="DE95" i="38" s="1"/>
  <c r="DD77" i="38"/>
  <c r="DD95" i="38" s="1"/>
  <c r="DC77" i="38"/>
  <c r="DC95" i="38" s="1"/>
  <c r="DB77" i="38"/>
  <c r="DB95" i="38" s="1"/>
  <c r="DA77" i="38"/>
  <c r="CZ77" i="38"/>
  <c r="CY77" i="38"/>
  <c r="CX77" i="38"/>
  <c r="DJ77" i="38" s="1"/>
  <c r="CR76" i="38"/>
  <c r="CQ76" i="38"/>
  <c r="CP76" i="38"/>
  <c r="CO76" i="38"/>
  <c r="CN76" i="38"/>
  <c r="CM76" i="38"/>
  <c r="CL76" i="38"/>
  <c r="CK76" i="38"/>
  <c r="CH76" i="38"/>
  <c r="CV76" i="38" s="1"/>
  <c r="DW75" i="38"/>
  <c r="DV75" i="38"/>
  <c r="DU75" i="38"/>
  <c r="DT75" i="38"/>
  <c r="DS75" i="38"/>
  <c r="DR75" i="38"/>
  <c r="DQ75" i="38"/>
  <c r="DP75" i="38"/>
  <c r="DO75" i="38"/>
  <c r="DN75" i="38"/>
  <c r="DM75" i="38"/>
  <c r="DL75" i="38"/>
  <c r="DX75" i="38" s="1"/>
  <c r="DI75" i="38"/>
  <c r="DH75" i="38"/>
  <c r="DG75" i="38"/>
  <c r="DF75" i="38"/>
  <c r="DE75" i="38"/>
  <c r="DD75" i="38"/>
  <c r="DC75" i="38"/>
  <c r="DB75" i="38"/>
  <c r="DA75" i="38"/>
  <c r="CZ75" i="38"/>
  <c r="CY75" i="38"/>
  <c r="DJ75" i="38"/>
  <c r="CW75" i="38"/>
  <c r="AQ74" i="38"/>
  <c r="AP74" i="38"/>
  <c r="AO74" i="38"/>
  <c r="AN74" i="38"/>
  <c r="AM74" i="38"/>
  <c r="AL74" i="38"/>
  <c r="AK74" i="38"/>
  <c r="AJ74" i="38"/>
  <c r="AI74" i="38"/>
  <c r="AH74" i="38"/>
  <c r="AG74" i="38"/>
  <c r="AF74" i="38"/>
  <c r="AR74" i="38" s="1"/>
  <c r="CG73" i="38"/>
  <c r="CF73" i="38"/>
  <c r="CE73" i="38"/>
  <c r="CD73" i="38"/>
  <c r="CC73" i="38"/>
  <c r="CB73" i="38"/>
  <c r="DI72" i="38"/>
  <c r="CT72" i="38"/>
  <c r="CS72" i="38"/>
  <c r="CR72" i="38"/>
  <c r="CQ72" i="38"/>
  <c r="CP72" i="38"/>
  <c r="CO72" i="38"/>
  <c r="CN72" i="38"/>
  <c r="CL72" i="38"/>
  <c r="CK72" i="38"/>
  <c r="CJ72" i="38"/>
  <c r="CH72" i="38"/>
  <c r="BQ72" i="38"/>
  <c r="BP72" i="38"/>
  <c r="BO72" i="38"/>
  <c r="BN72" i="38"/>
  <c r="BM72" i="38"/>
  <c r="BL72" i="38"/>
  <c r="BK72" i="38"/>
  <c r="BJ72" i="38"/>
  <c r="BI72" i="38"/>
  <c r="BH72" i="38"/>
  <c r="BT72" i="38" s="1"/>
  <c r="CH71" i="38"/>
  <c r="BT71" i="38"/>
  <c r="BB71" i="38"/>
  <c r="AR71" i="38"/>
  <c r="CH70" i="38"/>
  <c r="BQ70" i="38"/>
  <c r="AM70" i="38"/>
  <c r="AL70" i="38"/>
  <c r="AK70" i="38"/>
  <c r="AJ70" i="38"/>
  <c r="AI70" i="38"/>
  <c r="AH70" i="38"/>
  <c r="AG70" i="38"/>
  <c r="AF70" i="38"/>
  <c r="CH69" i="38"/>
  <c r="BT69" i="38"/>
  <c r="BF69" i="38"/>
  <c r="AR69" i="38"/>
  <c r="CM68" i="38"/>
  <c r="CL68" i="38"/>
  <c r="CK68" i="38"/>
  <c r="CJ68" i="38"/>
  <c r="BQ68" i="38"/>
  <c r="BP68" i="38"/>
  <c r="BO68" i="38"/>
  <c r="BN68" i="38"/>
  <c r="BM68" i="38"/>
  <c r="BL68" i="38"/>
  <c r="BK68" i="38"/>
  <c r="BJ68" i="38"/>
  <c r="BI68" i="38"/>
  <c r="BH68" i="38"/>
  <c r="BE68" i="38"/>
  <c r="BD68" i="38"/>
  <c r="BC68" i="38"/>
  <c r="BB68" i="38"/>
  <c r="BA68" i="38"/>
  <c r="AZ68" i="38"/>
  <c r="AY68" i="38"/>
  <c r="AX68" i="38"/>
  <c r="AW68" i="38"/>
  <c r="AV68" i="38"/>
  <c r="AU68" i="38"/>
  <c r="AT68" i="38"/>
  <c r="AQ68" i="38"/>
  <c r="AP68" i="38"/>
  <c r="AO68" i="38"/>
  <c r="AN68" i="38"/>
  <c r="AM68" i="38"/>
  <c r="AL68" i="38"/>
  <c r="AK68" i="38"/>
  <c r="AJ68" i="38"/>
  <c r="AI68" i="38"/>
  <c r="AH68" i="38"/>
  <c r="AG68" i="38"/>
  <c r="AF68" i="38"/>
  <c r="BF67" i="38"/>
  <c r="AR67" i="38"/>
  <c r="AD67" i="38"/>
  <c r="P67" i="38"/>
  <c r="BN66" i="38"/>
  <c r="BM66" i="38"/>
  <c r="BL66" i="38"/>
  <c r="BK66" i="38"/>
  <c r="BJ66" i="38"/>
  <c r="BI66" i="38"/>
  <c r="BH66" i="38"/>
  <c r="BA66" i="38"/>
  <c r="AZ66" i="38"/>
  <c r="AY66" i="38"/>
  <c r="AX66" i="38"/>
  <c r="AW66" i="38"/>
  <c r="AV66" i="38"/>
  <c r="AU66" i="38"/>
  <c r="AT66" i="38"/>
  <c r="BT65" i="38"/>
  <c r="BB65" i="38"/>
  <c r="AR65" i="38"/>
  <c r="BQ64" i="38"/>
  <c r="BQ66" i="38" s="1"/>
  <c r="BP64" i="38"/>
  <c r="BP66" i="38" s="1"/>
  <c r="BO64" i="38"/>
  <c r="BE64" i="38"/>
  <c r="BE66" i="38" s="1"/>
  <c r="BD64" i="38"/>
  <c r="BD66" i="38" s="1"/>
  <c r="BC64" i="38"/>
  <c r="BC66" i="38" s="1"/>
  <c r="BB64" i="38"/>
  <c r="BF64" i="38" s="1"/>
  <c r="CV63" i="38"/>
  <c r="BN63" i="38"/>
  <c r="BM63" i="38"/>
  <c r="BL63" i="38"/>
  <c r="BK63" i="38"/>
  <c r="BJ63" i="38"/>
  <c r="BI63" i="38"/>
  <c r="BH63" i="38"/>
  <c r="BT63" i="38" s="1"/>
  <c r="DX62" i="38"/>
  <c r="DJ62" i="38"/>
  <c r="CU62" i="38"/>
  <c r="CT62" i="38"/>
  <c r="CS62" i="38"/>
  <c r="CR62" i="38"/>
  <c r="CQ62" i="38"/>
  <c r="CP62" i="38"/>
  <c r="CO62" i="38"/>
  <c r="CN62" i="38"/>
  <c r="CM62" i="38"/>
  <c r="CL62" i="38"/>
  <c r="CK62" i="38"/>
  <c r="CJ62" i="38"/>
  <c r="CV62" i="38" s="1"/>
  <c r="BT62" i="38"/>
  <c r="BE62" i="38"/>
  <c r="BE72" i="38" s="1"/>
  <c r="BD62" i="38"/>
  <c r="BD72" i="38" s="1"/>
  <c r="BC62" i="38"/>
  <c r="BC72" i="38" s="1"/>
  <c r="BB62" i="38"/>
  <c r="BB63" i="38" s="1"/>
  <c r="BA62" i="38"/>
  <c r="AZ62" i="38"/>
  <c r="AZ72" i="38" s="1"/>
  <c r="AY62" i="38"/>
  <c r="AY72" i="38" s="1"/>
  <c r="AX62" i="38"/>
  <c r="AX72" i="38" s="1"/>
  <c r="AW62" i="38"/>
  <c r="AW72" i="38" s="1"/>
  <c r="AV62" i="38"/>
  <c r="AV72" i="38" s="1"/>
  <c r="AU62" i="38"/>
  <c r="AU72" i="38" s="1"/>
  <c r="AT62" i="38"/>
  <c r="AQ62" i="38"/>
  <c r="AP62" i="38"/>
  <c r="AO62" i="38"/>
  <c r="AO72" i="38" s="1"/>
  <c r="AN62" i="38"/>
  <c r="AN72" i="38" s="1"/>
  <c r="AM62" i="38"/>
  <c r="AM72" i="38" s="1"/>
  <c r="AL62" i="38"/>
  <c r="AK62" i="38"/>
  <c r="AK72" i="38" s="1"/>
  <c r="AJ62" i="38"/>
  <c r="AJ72" i="38" s="1"/>
  <c r="AI62" i="38"/>
  <c r="AI72" i="38" s="1"/>
  <c r="AG62" i="38"/>
  <c r="AG72" i="38" s="1"/>
  <c r="AF62" i="38"/>
  <c r="AC62" i="38"/>
  <c r="AB62" i="38"/>
  <c r="AA62" i="38"/>
  <c r="Z62" i="38"/>
  <c r="Y62" i="38"/>
  <c r="X62" i="38"/>
  <c r="W62" i="38"/>
  <c r="R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P62" i="38" s="1"/>
  <c r="CU61" i="38"/>
  <c r="CT61" i="38"/>
  <c r="CS61" i="38"/>
  <c r="CR61" i="38"/>
  <c r="CQ61" i="38"/>
  <c r="CP61" i="38"/>
  <c r="CO61" i="38"/>
  <c r="CN61" i="38"/>
  <c r="CM61" i="38"/>
  <c r="CL61" i="38"/>
  <c r="CK61" i="38"/>
  <c r="CJ61" i="38"/>
  <c r="BT61" i="38"/>
  <c r="BF61" i="38"/>
  <c r="AR61" i="38"/>
  <c r="AD61" i="38"/>
  <c r="P61" i="38"/>
  <c r="CU60" i="38"/>
  <c r="CT60" i="38"/>
  <c r="CS60" i="38"/>
  <c r="CR60" i="38"/>
  <c r="CQ60" i="38"/>
  <c r="CP60" i="38"/>
  <c r="CO60" i="38"/>
  <c r="CN60" i="38"/>
  <c r="CM60" i="38"/>
  <c r="CL60" i="38"/>
  <c r="CK60" i="38"/>
  <c r="CJ60" i="38"/>
  <c r="BF60" i="38"/>
  <c r="BF59" i="38"/>
  <c r="AR59" i="38"/>
  <c r="BF58" i="38"/>
  <c r="AR58" i="38"/>
  <c r="BF57" i="38"/>
  <c r="AR57" i="38"/>
  <c r="CG56" i="38"/>
  <c r="CF56" i="38"/>
  <c r="CE56" i="38"/>
  <c r="CD56" i="38"/>
  <c r="CC56" i="38"/>
  <c r="CB56" i="38"/>
  <c r="CA56" i="38"/>
  <c r="BZ56" i="38"/>
  <c r="BY56" i="38"/>
  <c r="BX56" i="38"/>
  <c r="BW56" i="38"/>
  <c r="BW62" i="38" s="1"/>
  <c r="BV56" i="38"/>
  <c r="BT56" i="38"/>
  <c r="BF56" i="38"/>
  <c r="AH56" i="38"/>
  <c r="AR56" i="38" s="1"/>
  <c r="CG55" i="38"/>
  <c r="CF55" i="38"/>
  <c r="CE55" i="38"/>
  <c r="CD55" i="38"/>
  <c r="CC55" i="38"/>
  <c r="CB55" i="38"/>
  <c r="CA55" i="38"/>
  <c r="BZ55" i="38"/>
  <c r="BY55" i="38"/>
  <c r="BX55" i="38"/>
  <c r="CH55" i="38" s="1"/>
  <c r="BF55" i="38"/>
  <c r="AH55" i="38"/>
  <c r="AR55" i="38" s="1"/>
  <c r="AD55" i="38"/>
  <c r="CG54" i="38"/>
  <c r="CF54" i="38"/>
  <c r="CE54" i="38"/>
  <c r="CD54" i="38"/>
  <c r="CC54" i="38"/>
  <c r="CB54" i="38"/>
  <c r="CA54" i="38"/>
  <c r="BZ54" i="38"/>
  <c r="BY54" i="38"/>
  <c r="BX54" i="38"/>
  <c r="CH54" i="38" s="1"/>
  <c r="BF54" i="38"/>
  <c r="AH54" i="38"/>
  <c r="AR54" i="38" s="1"/>
  <c r="AD54" i="38"/>
  <c r="CG53" i="38"/>
  <c r="CF53" i="38"/>
  <c r="CE53" i="38"/>
  <c r="CD53" i="38"/>
  <c r="CC53" i="38"/>
  <c r="CB53" i="38"/>
  <c r="CA53" i="38"/>
  <c r="BZ53" i="38"/>
  <c r="BY53" i="38"/>
  <c r="BX53" i="38"/>
  <c r="CH53" i="38" s="1"/>
  <c r="BF53" i="38"/>
  <c r="AH53" i="38"/>
  <c r="AR53" i="38" s="1"/>
  <c r="AD53" i="38"/>
  <c r="P53" i="38"/>
  <c r="CG52" i="38"/>
  <c r="CF52" i="38"/>
  <c r="CE52" i="38"/>
  <c r="CD52" i="38"/>
  <c r="CC52" i="38"/>
  <c r="CB52" i="38"/>
  <c r="CA52" i="38"/>
  <c r="BZ52" i="38"/>
  <c r="BY52" i="38"/>
  <c r="BX52" i="38"/>
  <c r="CH52" i="38" s="1"/>
  <c r="BF52" i="38"/>
  <c r="AH52" i="38"/>
  <c r="AR52" i="38" s="1"/>
  <c r="AD52" i="38"/>
  <c r="P52" i="38"/>
  <c r="CG51" i="38"/>
  <c r="CF51" i="38"/>
  <c r="CE51" i="38"/>
  <c r="CD51" i="38"/>
  <c r="CC51" i="38"/>
  <c r="CB51" i="38"/>
  <c r="CA51" i="38"/>
  <c r="BZ51" i="38"/>
  <c r="BY51" i="38"/>
  <c r="BX51" i="38"/>
  <c r="CH51" i="38" s="1"/>
  <c r="BF51" i="38"/>
  <c r="AH51" i="38"/>
  <c r="AR51" i="38" s="1"/>
  <c r="AD51" i="38"/>
  <c r="P51" i="38"/>
  <c r="CG50" i="38"/>
  <c r="CF50" i="38"/>
  <c r="CE50" i="38"/>
  <c r="CD50" i="38"/>
  <c r="CC50" i="38"/>
  <c r="CB50" i="38"/>
  <c r="CA50" i="38"/>
  <c r="BZ50" i="38"/>
  <c r="BY50" i="38"/>
  <c r="BX50" i="38"/>
  <c r="CH50" i="38" s="1"/>
  <c r="BF50" i="38"/>
  <c r="AH50" i="38"/>
  <c r="AD50" i="38"/>
  <c r="P50" i="38"/>
  <c r="CG49" i="38"/>
  <c r="CF49" i="38"/>
  <c r="CE49" i="38"/>
  <c r="CD49" i="38"/>
  <c r="CC49" i="38"/>
  <c r="CB49" i="38"/>
  <c r="CA49" i="38"/>
  <c r="BZ49" i="38"/>
  <c r="BY49" i="38"/>
  <c r="BX49" i="38"/>
  <c r="CH49" i="38" s="1"/>
  <c r="BF49" i="38"/>
  <c r="AR49" i="38"/>
  <c r="U49" i="38"/>
  <c r="T49" i="38"/>
  <c r="AD49" i="38" s="1"/>
  <c r="P49" i="38"/>
  <c r="CG48" i="38"/>
  <c r="CF48" i="38"/>
  <c r="CE48" i="38"/>
  <c r="CD48" i="38"/>
  <c r="CC48" i="38"/>
  <c r="CB48" i="38"/>
  <c r="CA48" i="38"/>
  <c r="BZ48" i="38"/>
  <c r="BY48" i="38"/>
  <c r="BX48" i="38"/>
  <c r="CH48" i="38" s="1"/>
  <c r="BF48" i="38"/>
  <c r="AR48" i="38"/>
  <c r="T48" i="38"/>
  <c r="AD48" i="38" s="1"/>
  <c r="P48" i="38"/>
  <c r="CG47" i="38"/>
  <c r="CF47" i="38"/>
  <c r="CE47" i="38"/>
  <c r="CD47" i="38"/>
  <c r="CC47" i="38"/>
  <c r="CB47" i="38"/>
  <c r="CA47" i="38"/>
  <c r="BZ47" i="38"/>
  <c r="BY47" i="38"/>
  <c r="BX47" i="38"/>
  <c r="CH47" i="38" s="1"/>
  <c r="BF47" i="38"/>
  <c r="AR47" i="38"/>
  <c r="U47" i="38"/>
  <c r="T47" i="38"/>
  <c r="S47" i="38"/>
  <c r="AD47" i="38" s="1"/>
  <c r="P47" i="38"/>
  <c r="CG46" i="38"/>
  <c r="CF46" i="38"/>
  <c r="CE46" i="38"/>
  <c r="CD46" i="38"/>
  <c r="CC46" i="38"/>
  <c r="CB46" i="38"/>
  <c r="CA46" i="38"/>
  <c r="BZ46" i="38"/>
  <c r="BY46" i="38"/>
  <c r="BX46" i="38"/>
  <c r="CH46" i="38" s="1"/>
  <c r="BF46" i="38"/>
  <c r="AR46" i="38"/>
  <c r="AD46" i="38"/>
  <c r="P46" i="38"/>
  <c r="CG45" i="38"/>
  <c r="CF45" i="38"/>
  <c r="CE45" i="38"/>
  <c r="CD45" i="38"/>
  <c r="CC45" i="38"/>
  <c r="CB45" i="38"/>
  <c r="CA45" i="38"/>
  <c r="BZ45" i="38"/>
  <c r="BY45" i="38"/>
  <c r="BX45" i="38"/>
  <c r="CH45" i="38" s="1"/>
  <c r="BF45" i="38"/>
  <c r="AR45" i="38"/>
  <c r="V45" i="38"/>
  <c r="V62" i="38" s="1"/>
  <c r="U45" i="38"/>
  <c r="AD45" i="38" s="1"/>
  <c r="P45" i="38"/>
  <c r="CG44" i="38"/>
  <c r="CF44" i="38"/>
  <c r="CE44" i="38"/>
  <c r="CD44" i="38"/>
  <c r="CC44" i="38"/>
  <c r="CB44" i="38"/>
  <c r="CA44" i="38"/>
  <c r="BZ44" i="38"/>
  <c r="BY44" i="38"/>
  <c r="BX44" i="38"/>
  <c r="CH44" i="38" s="1"/>
  <c r="BF44" i="38"/>
  <c r="AR44" i="38"/>
  <c r="T44" i="38"/>
  <c r="S44" i="38"/>
  <c r="P44" i="38"/>
  <c r="CG43" i="38"/>
  <c r="CF43" i="38"/>
  <c r="CE43" i="38"/>
  <c r="CD43" i="38"/>
  <c r="CC43" i="38"/>
  <c r="CB43" i="38"/>
  <c r="CA43" i="38"/>
  <c r="BZ43" i="38"/>
  <c r="BY43" i="38"/>
  <c r="BX43" i="38"/>
  <c r="CH43" i="38" s="1"/>
  <c r="BF43" i="38"/>
  <c r="AR43" i="38"/>
  <c r="AD43" i="38"/>
  <c r="P43" i="38"/>
  <c r="CG42" i="38"/>
  <c r="CF42" i="38"/>
  <c r="CE42" i="38"/>
  <c r="CD42" i="38"/>
  <c r="CC42" i="38"/>
  <c r="CB42" i="38"/>
  <c r="CA42" i="38"/>
  <c r="BZ42" i="38"/>
  <c r="BY42" i="38"/>
  <c r="BX42" i="38"/>
  <c r="CH42" i="38" s="1"/>
  <c r="BF42" i="38"/>
  <c r="AR42" i="38"/>
  <c r="U42" i="38"/>
  <c r="T42" i="38"/>
  <c r="AD42" i="38" s="1"/>
  <c r="P42" i="38"/>
  <c r="CG41" i="38"/>
  <c r="CG62" i="38" s="1"/>
  <c r="CF41" i="38"/>
  <c r="CF62" i="38" s="1"/>
  <c r="CE41" i="38"/>
  <c r="CE62" i="38" s="1"/>
  <c r="CE63" i="38" s="1"/>
  <c r="CD41" i="38"/>
  <c r="CD62" i="38" s="1"/>
  <c r="CD63" i="38" s="1"/>
  <c r="CC41" i="38"/>
  <c r="CC62" i="38" s="1"/>
  <c r="CC63" i="38" s="1"/>
  <c r="CB41" i="38"/>
  <c r="CB62" i="38" s="1"/>
  <c r="CA41" i="38"/>
  <c r="CA62" i="38" s="1"/>
  <c r="BZ41" i="38"/>
  <c r="BZ62" i="38" s="1"/>
  <c r="BY41" i="38"/>
  <c r="BY62" i="38" s="1"/>
  <c r="BX41" i="38"/>
  <c r="BX62" i="38" s="1"/>
  <c r="BF41" i="38"/>
  <c r="AR41" i="38"/>
  <c r="U41" i="38"/>
  <c r="U62" i="38" s="1"/>
  <c r="T41" i="38"/>
  <c r="P41" i="38"/>
  <c r="DX39" i="38"/>
  <c r="DJ39" i="38"/>
  <c r="DI38" i="38"/>
  <c r="DH38" i="38"/>
  <c r="DG38" i="38"/>
  <c r="DE38" i="38"/>
  <c r="DD38" i="38"/>
  <c r="DC38" i="38"/>
  <c r="CP38" i="38"/>
  <c r="CJ38" i="38"/>
  <c r="CI38" i="38"/>
  <c r="CG38" i="38"/>
  <c r="CF38" i="38"/>
  <c r="CF64" i="38" s="1"/>
  <c r="CE38" i="38"/>
  <c r="CE64" i="38" s="1"/>
  <c r="CD38" i="38"/>
  <c r="CD64" i="38" s="1"/>
  <c r="CC38" i="38"/>
  <c r="CC64" i="38" s="1"/>
  <c r="CB38" i="38"/>
  <c r="CB64" i="38" s="1"/>
  <c r="CA38" i="38"/>
  <c r="CA64" i="38" s="1"/>
  <c r="BZ38" i="38"/>
  <c r="BZ64" i="38" s="1"/>
  <c r="BY38" i="38"/>
  <c r="BY64" i="38" s="1"/>
  <c r="BX38" i="38"/>
  <c r="BX64" i="38" s="1"/>
  <c r="BW38" i="38"/>
  <c r="BW64" i="38" s="1"/>
  <c r="BV38" i="38"/>
  <c r="BV64" i="38" s="1"/>
  <c r="BS38" i="38"/>
  <c r="BR38" i="38"/>
  <c r="BQ38" i="38"/>
  <c r="BE38" i="38"/>
  <c r="BE70" i="38" s="1"/>
  <c r="BD38" i="38"/>
  <c r="BD70" i="38" s="1"/>
  <c r="BC38" i="38"/>
  <c r="BC70" i="38" s="1"/>
  <c r="BB38" i="38"/>
  <c r="BB70" i="38" s="1"/>
  <c r="BA38" i="38"/>
  <c r="BA70" i="38" s="1"/>
  <c r="AZ38" i="38"/>
  <c r="AZ70" i="38" s="1"/>
  <c r="AY38" i="38"/>
  <c r="AY70" i="38" s="1"/>
  <c r="AX38" i="38"/>
  <c r="AX70" i="38" s="1"/>
  <c r="AW38" i="38"/>
  <c r="AW70" i="38" s="1"/>
  <c r="AV38" i="38"/>
  <c r="AV70" i="38" s="1"/>
  <c r="AU38" i="38"/>
  <c r="AU70" i="38" s="1"/>
  <c r="AT38" i="38"/>
  <c r="U38" i="38"/>
  <c r="AD38" i="38" s="1"/>
  <c r="P38" i="38"/>
  <c r="CQ37" i="38"/>
  <c r="CK37" i="38"/>
  <c r="AQ37" i="38"/>
  <c r="AQ38" i="38" s="1"/>
  <c r="AQ70" i="38" s="1"/>
  <c r="AP37" i="38"/>
  <c r="AP38" i="38" s="1"/>
  <c r="AP70" i="38" s="1"/>
  <c r="AO37" i="38"/>
  <c r="AO38" i="38" s="1"/>
  <c r="AO70" i="38" s="1"/>
  <c r="AN37" i="38"/>
  <c r="AN38" i="38" s="1"/>
  <c r="CV36" i="38"/>
  <c r="CG36" i="38"/>
  <c r="CF36" i="38"/>
  <c r="CE36" i="38"/>
  <c r="CD36" i="38"/>
  <c r="CC36" i="38"/>
  <c r="CB36" i="38"/>
  <c r="CA36" i="38"/>
  <c r="BZ36" i="38"/>
  <c r="BY36" i="38"/>
  <c r="BX36" i="38"/>
  <c r="BW36" i="38"/>
  <c r="BV36" i="38"/>
  <c r="CH36" i="38" s="1"/>
  <c r="BQ36" i="38"/>
  <c r="BT36" i="38" s="1"/>
  <c r="BF36" i="38"/>
  <c r="DX35" i="38"/>
  <c r="DW35" i="38"/>
  <c r="DV35" i="38"/>
  <c r="DU35" i="38"/>
  <c r="DT35" i="38"/>
  <c r="DS35" i="38"/>
  <c r="DR35" i="38"/>
  <c r="DQ35" i="38"/>
  <c r="DP35" i="38"/>
  <c r="DO35" i="38"/>
  <c r="DN35" i="38"/>
  <c r="DM35" i="38"/>
  <c r="DL35" i="38"/>
  <c r="CG35" i="38"/>
  <c r="CF35" i="38"/>
  <c r="CE35" i="38"/>
  <c r="CD35" i="38"/>
  <c r="CC35" i="38"/>
  <c r="CB35" i="38"/>
  <c r="CA35" i="38"/>
  <c r="BZ35" i="38"/>
  <c r="BY35" i="38"/>
  <c r="BX35" i="38"/>
  <c r="BW35" i="38"/>
  <c r="BP35" i="38"/>
  <c r="BO35" i="38"/>
  <c r="BN35" i="38"/>
  <c r="BM35" i="38"/>
  <c r="BL35" i="38"/>
  <c r="BK35" i="38"/>
  <c r="BJ35" i="38"/>
  <c r="BI35" i="38"/>
  <c r="BH35" i="38"/>
  <c r="BE35" i="38"/>
  <c r="BD35" i="38"/>
  <c r="BC35" i="38"/>
  <c r="BB35" i="38"/>
  <c r="AZ35" i="38"/>
  <c r="AY35" i="38"/>
  <c r="DW34" i="38"/>
  <c r="DN34" i="38"/>
  <c r="DM34" i="38"/>
  <c r="DI118" i="38"/>
  <c r="CP34" i="38"/>
  <c r="CJ34" i="38"/>
  <c r="CG34" i="38"/>
  <c r="CG77" i="38" s="1"/>
  <c r="CF34" i="38"/>
  <c r="CF77" i="38" s="1"/>
  <c r="CE34" i="38"/>
  <c r="CE77" i="38" s="1"/>
  <c r="CD34" i="38"/>
  <c r="CD77" i="38" s="1"/>
  <c r="CC34" i="38"/>
  <c r="CC77" i="38" s="1"/>
  <c r="CB34" i="38"/>
  <c r="CB77" i="38" s="1"/>
  <c r="CA34" i="38"/>
  <c r="CA77" i="38" s="1"/>
  <c r="BZ34" i="38"/>
  <c r="BZ77" i="38" s="1"/>
  <c r="BY34" i="38"/>
  <c r="BY77" i="38" s="1"/>
  <c r="BX34" i="38"/>
  <c r="BX77" i="38" s="1"/>
  <c r="BW34" i="38"/>
  <c r="BW77" i="38" s="1"/>
  <c r="BV34" i="38"/>
  <c r="BR34" i="38"/>
  <c r="BS64" i="38" s="1"/>
  <c r="CG64" i="38" s="1"/>
  <c r="BQ34" i="38"/>
  <c r="BQ94" i="38" s="1"/>
  <c r="BP34" i="38"/>
  <c r="BO34" i="38"/>
  <c r="BN34" i="38"/>
  <c r="BM34" i="38"/>
  <c r="BL34" i="38"/>
  <c r="BK34" i="38"/>
  <c r="BJ34" i="38"/>
  <c r="BI34" i="38"/>
  <c r="BH34" i="38"/>
  <c r="BT34" i="38" s="1"/>
  <c r="BE34" i="38"/>
  <c r="BE94" i="38" s="1"/>
  <c r="BD34" i="38"/>
  <c r="BD94" i="38" s="1"/>
  <c r="BC34" i="38"/>
  <c r="BB34" i="38"/>
  <c r="BA34" i="38"/>
  <c r="AZ34" i="38"/>
  <c r="AY34" i="38"/>
  <c r="AX34" i="38"/>
  <c r="AW34" i="38"/>
  <c r="AV34" i="38"/>
  <c r="AU34" i="38"/>
  <c r="AT34" i="38"/>
  <c r="BF34" i="38" s="1"/>
  <c r="AQ34" i="38"/>
  <c r="AP34" i="38"/>
  <c r="AO34" i="38"/>
  <c r="AN34" i="38"/>
  <c r="AM34" i="38"/>
  <c r="AL34" i="38"/>
  <c r="AK34" i="38"/>
  <c r="AJ34" i="38"/>
  <c r="AI34" i="38"/>
  <c r="AG34" i="38"/>
  <c r="AF34" i="38"/>
  <c r="AC34" i="38"/>
  <c r="AC94" i="38" s="1"/>
  <c r="AB34" i="38"/>
  <c r="AB94" i="38" s="1"/>
  <c r="AA34" i="38"/>
  <c r="AA94" i="38" s="1"/>
  <c r="Z34" i="38"/>
  <c r="Z94" i="38" s="1"/>
  <c r="Y34" i="38"/>
  <c r="Y94" i="38" s="1"/>
  <c r="X34" i="38"/>
  <c r="X94" i="38" s="1"/>
  <c r="W34" i="38"/>
  <c r="W94" i="38" s="1"/>
  <c r="V34" i="38"/>
  <c r="V94" i="38" s="1"/>
  <c r="U34" i="38"/>
  <c r="U94" i="38" s="1"/>
  <c r="R34" i="38"/>
  <c r="P34" i="38"/>
  <c r="O34" i="38"/>
  <c r="O94" i="38" s="1"/>
  <c r="N34" i="38"/>
  <c r="N94" i="38" s="1"/>
  <c r="M34" i="38"/>
  <c r="M94" i="38" s="1"/>
  <c r="L34" i="38"/>
  <c r="L94" i="38" s="1"/>
  <c r="K34" i="38"/>
  <c r="J34" i="38"/>
  <c r="I34" i="38"/>
  <c r="H34" i="38"/>
  <c r="G34" i="38"/>
  <c r="F34" i="38"/>
  <c r="E34" i="38"/>
  <c r="D34" i="38"/>
  <c r="CM33" i="38"/>
  <c r="CL33" i="38"/>
  <c r="CK33" i="38"/>
  <c r="CJ33" i="38"/>
  <c r="CG33" i="38"/>
  <c r="CF33" i="38"/>
  <c r="CE33" i="38"/>
  <c r="CD33" i="38"/>
  <c r="CC33" i="38"/>
  <c r="CB33" i="38"/>
  <c r="CA33" i="38"/>
  <c r="BZ33" i="38"/>
  <c r="BY33" i="38"/>
  <c r="BX33" i="38"/>
  <c r="BW33" i="38"/>
  <c r="BV33" i="38"/>
  <c r="CM31" i="38"/>
  <c r="CL31" i="38"/>
  <c r="CK31" i="38"/>
  <c r="CJ31" i="38"/>
  <c r="BG30" i="38"/>
  <c r="CG29" i="38"/>
  <c r="CF29" i="38"/>
  <c r="CF30" i="38" s="1"/>
  <c r="CE29" i="38"/>
  <c r="CE30" i="38" s="1"/>
  <c r="CD29" i="38"/>
  <c r="CD30" i="38" s="1"/>
  <c r="CC29" i="38"/>
  <c r="CC30" i="38" s="1"/>
  <c r="CB29" i="38"/>
  <c r="CB30" i="38" s="1"/>
  <c r="CA29" i="38"/>
  <c r="CA30" i="38" s="1"/>
  <c r="BZ29" i="38"/>
  <c r="BZ30" i="38" s="1"/>
  <c r="BY29" i="38"/>
  <c r="BY30" i="38" s="1"/>
  <c r="BX29" i="38"/>
  <c r="BX30" i="38" s="1"/>
  <c r="BW29" i="38"/>
  <c r="BW30" i="38" s="1"/>
  <c r="BV29" i="38"/>
  <c r="BV30" i="38" s="1"/>
  <c r="BS29" i="38"/>
  <c r="BR29" i="38"/>
  <c r="BR30" i="38" s="1"/>
  <c r="BQ29" i="38"/>
  <c r="BQ30" i="38" s="1"/>
  <c r="BP29" i="38"/>
  <c r="BP30" i="38" s="1"/>
  <c r="BO29" i="38"/>
  <c r="BO30" i="38" s="1"/>
  <c r="BN29" i="38"/>
  <c r="BN30" i="38" s="1"/>
  <c r="BM29" i="38"/>
  <c r="BM30" i="38" s="1"/>
  <c r="BL29" i="38"/>
  <c r="BL30" i="38" s="1"/>
  <c r="BK29" i="38"/>
  <c r="BK30" i="38" s="1"/>
  <c r="BJ29" i="38"/>
  <c r="BJ30" i="38" s="1"/>
  <c r="BI29" i="38"/>
  <c r="BI30" i="38" s="1"/>
  <c r="BH29" i="38"/>
  <c r="BH30" i="38" s="1"/>
  <c r="BE29" i="38"/>
  <c r="BE30" i="38" s="1"/>
  <c r="BD29" i="38"/>
  <c r="BD30" i="38" s="1"/>
  <c r="BC29" i="38"/>
  <c r="BC30" i="38" s="1"/>
  <c r="BB29" i="38"/>
  <c r="BB30" i="38" s="1"/>
  <c r="BA29" i="38"/>
  <c r="BA30" i="38" s="1"/>
  <c r="AZ29" i="38"/>
  <c r="AZ30" i="38" s="1"/>
  <c r="AY29" i="38"/>
  <c r="AY30" i="38" s="1"/>
  <c r="AX29" i="38"/>
  <c r="AX30" i="38" s="1"/>
  <c r="AW29" i="38"/>
  <c r="AW30" i="38" s="1"/>
  <c r="AV29" i="38"/>
  <c r="AV30" i="38" s="1"/>
  <c r="AU29" i="38"/>
  <c r="AU30" i="38" s="1"/>
  <c r="AT29" i="38"/>
  <c r="AQ29" i="38"/>
  <c r="AP29" i="38"/>
  <c r="AP30" i="38" s="1"/>
  <c r="AO29" i="38"/>
  <c r="AO30" i="38" s="1"/>
  <c r="AN29" i="38"/>
  <c r="AN30" i="38" s="1"/>
  <c r="AM29" i="38"/>
  <c r="AM30" i="38" s="1"/>
  <c r="AL29" i="38"/>
  <c r="AL30" i="38" s="1"/>
  <c r="AK29" i="38"/>
  <c r="AK30" i="38" s="1"/>
  <c r="AJ29" i="38"/>
  <c r="AJ30" i="38" s="1"/>
  <c r="AI29" i="38"/>
  <c r="AI30" i="38" s="1"/>
  <c r="AH29" i="38"/>
  <c r="AH30" i="38" s="1"/>
  <c r="AG29" i="38"/>
  <c r="AG30" i="38" s="1"/>
  <c r="AF29" i="38"/>
  <c r="AF30" i="38" s="1"/>
  <c r="AC29" i="38"/>
  <c r="AB29" i="38"/>
  <c r="AA29" i="38"/>
  <c r="Z29" i="38"/>
  <c r="Y29" i="38"/>
  <c r="X29" i="38"/>
  <c r="AD29" i="38" s="1"/>
  <c r="W29" i="38"/>
  <c r="V29" i="38"/>
  <c r="U29" i="38"/>
  <c r="T29" i="38"/>
  <c r="S29" i="38"/>
  <c r="R29" i="38"/>
  <c r="O29" i="38"/>
  <c r="N29" i="38"/>
  <c r="M29" i="38"/>
  <c r="L29" i="38"/>
  <c r="K29" i="38"/>
  <c r="J29" i="38"/>
  <c r="P29" i="38" s="1"/>
  <c r="H29" i="38"/>
  <c r="G29" i="38"/>
  <c r="F29" i="38"/>
  <c r="E29" i="38"/>
  <c r="D29" i="38"/>
  <c r="CH26" i="38"/>
  <c r="BT26" i="38"/>
  <c r="BF26" i="38"/>
  <c r="AR26" i="38"/>
  <c r="CH25" i="38"/>
  <c r="BT25" i="38"/>
  <c r="BF25" i="38"/>
  <c r="AR25" i="38"/>
  <c r="CH24" i="38"/>
  <c r="BT24" i="38"/>
  <c r="BF24" i="38"/>
  <c r="AR24" i="38"/>
  <c r="CI23" i="38"/>
  <c r="CI25" i="38" s="1"/>
  <c r="CH23" i="38"/>
  <c r="BT23" i="38"/>
  <c r="BF23" i="38"/>
  <c r="AR23" i="38"/>
  <c r="U23" i="38"/>
  <c r="CZ22" i="38"/>
  <c r="DA22" i="38" s="1"/>
  <c r="DB22" i="38" s="1"/>
  <c r="DC22" i="38" s="1"/>
  <c r="DD22" i="38" s="1"/>
  <c r="DE22" i="38" s="1"/>
  <c r="DF22" i="38" s="1"/>
  <c r="DG22" i="38" s="1"/>
  <c r="DH22" i="38" s="1"/>
  <c r="DI22" i="38" s="1"/>
  <c r="DL22" i="38" s="1"/>
  <c r="DM22" i="38" s="1"/>
  <c r="DN22" i="38" s="1"/>
  <c r="DO22" i="38" s="1"/>
  <c r="DP22" i="38" s="1"/>
  <c r="DQ22" i="38" s="1"/>
  <c r="DR22" i="38" s="1"/>
  <c r="DS22" i="38" s="1"/>
  <c r="DT22" i="38" s="1"/>
  <c r="DU22" i="38" s="1"/>
  <c r="DV22" i="38" s="1"/>
  <c r="DW22" i="38" s="1"/>
  <c r="CT22" i="38"/>
  <c r="CU22" i="38" s="1"/>
  <c r="DB21" i="38"/>
  <c r="DC21" i="38" s="1"/>
  <c r="DD21" i="38" s="1"/>
  <c r="DE21" i="38" s="1"/>
  <c r="DF21" i="38" s="1"/>
  <c r="DG21" i="38" s="1"/>
  <c r="DH21" i="38" s="1"/>
  <c r="DI21" i="38" s="1"/>
  <c r="DL21" i="38" s="1"/>
  <c r="DM21" i="38" s="1"/>
  <c r="DN21" i="38" s="1"/>
  <c r="DO21" i="38" s="1"/>
  <c r="DP21" i="38" s="1"/>
  <c r="DQ21" i="38" s="1"/>
  <c r="DR21" i="38" s="1"/>
  <c r="DS21" i="38" s="1"/>
  <c r="DT21" i="38" s="1"/>
  <c r="DU21" i="38" s="1"/>
  <c r="DV21" i="38" s="1"/>
  <c r="DW21" i="38" s="1"/>
  <c r="CT21" i="38"/>
  <c r="CU21" i="38" s="1"/>
  <c r="CS20" i="38"/>
  <c r="CH20" i="38"/>
  <c r="CH33" i="38" s="1"/>
  <c r="BT20" i="38"/>
  <c r="BF20" i="38"/>
  <c r="AR20" i="38"/>
  <c r="I20" i="38"/>
  <c r="I29" i="38" s="1"/>
  <c r="CZ19" i="38"/>
  <c r="DW18" i="38"/>
  <c r="DV18" i="38"/>
  <c r="DU18" i="38"/>
  <c r="DT18" i="38"/>
  <c r="DS18" i="38"/>
  <c r="DR18" i="38"/>
  <c r="DQ18" i="38"/>
  <c r="DP18" i="38"/>
  <c r="DO18" i="38"/>
  <c r="DN18" i="38"/>
  <c r="DM18" i="38"/>
  <c r="DL18" i="38"/>
  <c r="DI18" i="38"/>
  <c r="DH18" i="38"/>
  <c r="DG18" i="38"/>
  <c r="DF18" i="38"/>
  <c r="DE18" i="38"/>
  <c r="DD18" i="38"/>
  <c r="DC18" i="38"/>
  <c r="DB18" i="38"/>
  <c r="DA18" i="38"/>
  <c r="CZ18" i="38"/>
  <c r="CY18" i="38"/>
  <c r="CX18" i="38"/>
  <c r="CU18" i="38"/>
  <c r="CT18" i="38"/>
  <c r="CS18" i="38"/>
  <c r="DA17" i="38"/>
  <c r="CZ17" i="38"/>
  <c r="CY17" i="38"/>
  <c r="CX17" i="38"/>
  <c r="CS17" i="38"/>
  <c r="DW15" i="38"/>
  <c r="CH11" i="38"/>
  <c r="CM10" i="38"/>
  <c r="CL10" i="38"/>
  <c r="CH10" i="38"/>
  <c r="CG10" i="38"/>
  <c r="CG31" i="38" s="1"/>
  <c r="CH31" i="38" s="1"/>
  <c r="CF10" i="38"/>
  <c r="CF31" i="38" s="1"/>
  <c r="CE10" i="38"/>
  <c r="CE31" i="38" s="1"/>
  <c r="CD10" i="38"/>
  <c r="CD31" i="38" s="1"/>
  <c r="CC10" i="38"/>
  <c r="CC31" i="38" s="1"/>
  <c r="CB10" i="38"/>
  <c r="CB31" i="38" s="1"/>
  <c r="CA10" i="38"/>
  <c r="CA31" i="38" s="1"/>
  <c r="BZ10" i="38"/>
  <c r="BZ31" i="38" s="1"/>
  <c r="BY10" i="38"/>
  <c r="BY31" i="38" s="1"/>
  <c r="BX10" i="38"/>
  <c r="BX31" i="38" s="1"/>
  <c r="BW10" i="38"/>
  <c r="BW31" i="38" s="1"/>
  <c r="BV10" i="38"/>
  <c r="BV31" i="38" s="1"/>
  <c r="BS10" i="38"/>
  <c r="BR10" i="38"/>
  <c r="BQ10" i="38"/>
  <c r="BP10" i="38"/>
  <c r="BO10" i="38"/>
  <c r="BN10" i="38"/>
  <c r="BM10" i="38"/>
  <c r="BL10" i="38"/>
  <c r="BK10" i="38"/>
  <c r="BJ10" i="38"/>
  <c r="BI10" i="38"/>
  <c r="BH10" i="38"/>
  <c r="BE10" i="38"/>
  <c r="BD10" i="38"/>
  <c r="BC10" i="38"/>
  <c r="BB10" i="38"/>
  <c r="BA10" i="38"/>
  <c r="AZ10" i="38"/>
  <c r="AY10" i="38"/>
  <c r="AX10" i="38"/>
  <c r="AW10" i="38"/>
  <c r="AV10" i="38"/>
  <c r="AU10" i="38"/>
  <c r="AT10" i="38"/>
  <c r="AQ10" i="38"/>
  <c r="AP10" i="38"/>
  <c r="AO10" i="38"/>
  <c r="AN10" i="38"/>
  <c r="AM10" i="38"/>
  <c r="AL10" i="38"/>
  <c r="AK10" i="38"/>
  <c r="AJ10" i="38"/>
  <c r="AI10" i="38"/>
  <c r="AH10" i="38"/>
  <c r="AG10" i="38"/>
  <c r="AF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O10" i="38"/>
  <c r="N10" i="38"/>
  <c r="M10" i="38"/>
  <c r="L10" i="38"/>
  <c r="K10" i="38"/>
  <c r="J10" i="38"/>
  <c r="I10" i="38"/>
  <c r="H10" i="38"/>
  <c r="G10" i="38"/>
  <c r="F10" i="38"/>
  <c r="E10" i="38"/>
  <c r="D10" i="38"/>
  <c r="DW7" i="38"/>
  <c r="DV7" i="38"/>
  <c r="DU7" i="38"/>
  <c r="DT7" i="38"/>
  <c r="DS7" i="38"/>
  <c r="DR7" i="38"/>
  <c r="DQ7" i="38"/>
  <c r="DP7" i="38"/>
  <c r="DO7" i="38"/>
  <c r="DN7" i="38"/>
  <c r="DM7" i="38"/>
  <c r="DL7" i="38"/>
  <c r="DI7" i="38"/>
  <c r="DH7" i="38"/>
  <c r="DG7" i="38"/>
  <c r="DF7" i="38"/>
  <c r="DE7" i="38"/>
  <c r="DD7" i="38"/>
  <c r="DC7" i="38"/>
  <c r="DB7" i="38"/>
  <c r="CY7" i="38"/>
  <c r="CX7" i="38"/>
  <c r="CT7" i="38"/>
  <c r="CT81" i="38" s="1"/>
  <c r="CS7" i="38"/>
  <c r="CR7" i="38"/>
  <c r="CR81" i="38" s="1"/>
  <c r="CQ7" i="38"/>
  <c r="CQ81" i="38" s="1"/>
  <c r="CP7" i="38"/>
  <c r="CP81" i="38" s="1"/>
  <c r="CO7" i="38"/>
  <c r="CN7" i="38"/>
  <c r="CM7" i="38"/>
  <c r="CK7" i="38"/>
  <c r="CJ7" i="38"/>
  <c r="CG7" i="38"/>
  <c r="CF7" i="38"/>
  <c r="CE7" i="38"/>
  <c r="CD7" i="38"/>
  <c r="CC7" i="38"/>
  <c r="CB7" i="38"/>
  <c r="CA7" i="38"/>
  <c r="BZ7" i="38"/>
  <c r="BY7" i="38"/>
  <c r="C7" i="38"/>
  <c r="C6" i="38"/>
  <c r="C5" i="38"/>
  <c r="C4" i="38"/>
  <c r="C3" i="38"/>
  <c r="DD21" i="37"/>
  <c r="DB20" i="37"/>
  <c r="DB21" i="37"/>
  <c r="DB19" i="37" s="1"/>
  <c r="C110" i="37"/>
  <c r="C108" i="37"/>
  <c r="C113" i="37" s="1"/>
  <c r="DV101" i="37"/>
  <c r="DH101" i="37"/>
  <c r="DW100" i="37"/>
  <c r="DV100" i="37"/>
  <c r="DU100" i="37"/>
  <c r="DT100" i="37"/>
  <c r="DS100" i="37"/>
  <c r="DR100" i="37"/>
  <c r="DQ100" i="37"/>
  <c r="DP100" i="37"/>
  <c r="DO100" i="37"/>
  <c r="DN100" i="37"/>
  <c r="DM100" i="37"/>
  <c r="DL100" i="37"/>
  <c r="DI100" i="37"/>
  <c r="DH100" i="37"/>
  <c r="DG100" i="37"/>
  <c r="DF100" i="37"/>
  <c r="DE100" i="37"/>
  <c r="DD100" i="37"/>
  <c r="DC100" i="37"/>
  <c r="DB100" i="37"/>
  <c r="DA100" i="37"/>
  <c r="CZ100" i="37"/>
  <c r="CY100" i="37"/>
  <c r="CX100" i="37"/>
  <c r="DW99" i="37"/>
  <c r="DO99" i="37"/>
  <c r="DN99" i="37"/>
  <c r="DM99" i="37"/>
  <c r="DL99" i="37"/>
  <c r="DI99" i="37"/>
  <c r="DA99" i="37"/>
  <c r="CZ99" i="37"/>
  <c r="CY99" i="37"/>
  <c r="CX99" i="37"/>
  <c r="CU99" i="37"/>
  <c r="CS98" i="37"/>
  <c r="DW97" i="37"/>
  <c r="DV97" i="37"/>
  <c r="DU97" i="37"/>
  <c r="DT97" i="37"/>
  <c r="DS97" i="37"/>
  <c r="DR97" i="37"/>
  <c r="DQ97" i="37"/>
  <c r="DP97" i="37"/>
  <c r="DO97" i="37"/>
  <c r="DN97" i="37"/>
  <c r="DM97" i="37"/>
  <c r="DL97" i="37"/>
  <c r="CU97" i="37"/>
  <c r="CT97" i="37"/>
  <c r="CS97" i="37"/>
  <c r="CQ97" i="37"/>
  <c r="CP97" i="37"/>
  <c r="CO97" i="37"/>
  <c r="K94" i="37"/>
  <c r="J94" i="37"/>
  <c r="I94" i="37"/>
  <c r="H94" i="37"/>
  <c r="G94" i="37"/>
  <c r="F94" i="37"/>
  <c r="E94" i="37"/>
  <c r="D94" i="37"/>
  <c r="P94" i="37" s="1"/>
  <c r="CS93" i="37"/>
  <c r="BT92" i="37"/>
  <c r="BF92" i="37"/>
  <c r="AL92" i="37"/>
  <c r="AK92" i="37"/>
  <c r="AJ92" i="37"/>
  <c r="AI92" i="37"/>
  <c r="AH92" i="37"/>
  <c r="AG92" i="37"/>
  <c r="AF92" i="37"/>
  <c r="AR92" i="37" s="1"/>
  <c r="BT91" i="37"/>
  <c r="BB91" i="37"/>
  <c r="BF91" i="37" s="1"/>
  <c r="AR91" i="37"/>
  <c r="DM90" i="37"/>
  <c r="DL90" i="37"/>
  <c r="DI90" i="37"/>
  <c r="DH90" i="37"/>
  <c r="DG90" i="37"/>
  <c r="DF90" i="37"/>
  <c r="DE90" i="37"/>
  <c r="DD90" i="37"/>
  <c r="DC90" i="37"/>
  <c r="DB90" i="37"/>
  <c r="CM90" i="37"/>
  <c r="CL90" i="37"/>
  <c r="CK90" i="37"/>
  <c r="CG90" i="37"/>
  <c r="CD90" i="37"/>
  <c r="CC90" i="37"/>
  <c r="CB90" i="37"/>
  <c r="BQ90" i="37"/>
  <c r="BQ93" i="37" s="1"/>
  <c r="BP90" i="37"/>
  <c r="BO90" i="37"/>
  <c r="BN90" i="37"/>
  <c r="BM90" i="37"/>
  <c r="BL90" i="37"/>
  <c r="BK90" i="37"/>
  <c r="BJ90" i="37"/>
  <c r="BI90" i="37"/>
  <c r="BH90" i="37"/>
  <c r="BE90" i="37"/>
  <c r="BE93" i="37" s="1"/>
  <c r="BD90" i="37"/>
  <c r="BD93" i="37" s="1"/>
  <c r="BC90" i="37"/>
  <c r="BB90" i="37"/>
  <c r="BA90" i="37"/>
  <c r="AZ90" i="37"/>
  <c r="AY90" i="37"/>
  <c r="AX90" i="37"/>
  <c r="AW90" i="37"/>
  <c r="AV90" i="37"/>
  <c r="AU90" i="37"/>
  <c r="AT90" i="37"/>
  <c r="AQ90" i="37"/>
  <c r="AP90" i="37"/>
  <c r="AO90" i="37"/>
  <c r="AN90" i="37"/>
  <c r="AM90" i="37"/>
  <c r="AD90" i="37"/>
  <c r="P90" i="37"/>
  <c r="CN88" i="37"/>
  <c r="BE88" i="37"/>
  <c r="BD88" i="37"/>
  <c r="DW87" i="37"/>
  <c r="DV87" i="37"/>
  <c r="DU87" i="37"/>
  <c r="DT87" i="37"/>
  <c r="DS87" i="37"/>
  <c r="DR87" i="37"/>
  <c r="DQ87" i="37"/>
  <c r="DP87" i="37"/>
  <c r="DO87" i="37"/>
  <c r="DN87" i="37"/>
  <c r="DM87" i="37"/>
  <c r="DL87" i="37"/>
  <c r="DJ87" i="37"/>
  <c r="CS87" i="37"/>
  <c r="CR87" i="37"/>
  <c r="CQ87" i="37"/>
  <c r="CP87" i="37"/>
  <c r="CO87" i="37"/>
  <c r="CN87" i="37"/>
  <c r="CM87" i="37"/>
  <c r="CL87" i="37"/>
  <c r="CK87" i="37"/>
  <c r="CJ87" i="37"/>
  <c r="BS87" i="37"/>
  <c r="BT87" i="37" s="1"/>
  <c r="BF87" i="37"/>
  <c r="AR87" i="37"/>
  <c r="DA86" i="37"/>
  <c r="CZ86" i="37"/>
  <c r="CL86" i="37"/>
  <c r="BX86" i="37"/>
  <c r="BW86" i="37"/>
  <c r="BV86" i="37"/>
  <c r="BT86" i="37"/>
  <c r="BF86" i="37"/>
  <c r="AR86" i="37"/>
  <c r="DE85" i="37"/>
  <c r="DF85" i="37" s="1"/>
  <c r="DG85" i="37" s="1"/>
  <c r="DH85" i="37" s="1"/>
  <c r="DI85" i="37" s="1"/>
  <c r="DL85" i="37" s="1"/>
  <c r="DM85" i="37" s="1"/>
  <c r="DN85" i="37" s="1"/>
  <c r="DO85" i="37" s="1"/>
  <c r="DP85" i="37" s="1"/>
  <c r="DQ85" i="37" s="1"/>
  <c r="DR85" i="37" s="1"/>
  <c r="DS85" i="37" s="1"/>
  <c r="DT85" i="37" s="1"/>
  <c r="DU85" i="37" s="1"/>
  <c r="DV85" i="37" s="1"/>
  <c r="DW85" i="37" s="1"/>
  <c r="DC85" i="37"/>
  <c r="CR85" i="37"/>
  <c r="CR97" i="37" s="1"/>
  <c r="CC85" i="37"/>
  <c r="BS85" i="37"/>
  <c r="BO85" i="37"/>
  <c r="BN85" i="37"/>
  <c r="BM85" i="37"/>
  <c r="BL85" i="37"/>
  <c r="BK85" i="37"/>
  <c r="BJ85" i="37"/>
  <c r="BI85" i="37"/>
  <c r="BH85" i="37"/>
  <c r="BE85" i="37"/>
  <c r="BD85" i="37"/>
  <c r="BA85" i="37"/>
  <c r="AL85" i="37"/>
  <c r="AK85" i="37"/>
  <c r="AJ85" i="37"/>
  <c r="AI85" i="37"/>
  <c r="AH85" i="37"/>
  <c r="AG85" i="37"/>
  <c r="AF85" i="37"/>
  <c r="AR85" i="37" s="1"/>
  <c r="AC85" i="37"/>
  <c r="AB85" i="37"/>
  <c r="AA85" i="37"/>
  <c r="Z85" i="37"/>
  <c r="Y85" i="37"/>
  <c r="X85" i="37"/>
  <c r="W85" i="37"/>
  <c r="V85" i="37"/>
  <c r="U85" i="37"/>
  <c r="T85" i="37"/>
  <c r="S85" i="37"/>
  <c r="R85" i="37"/>
  <c r="BX84" i="37"/>
  <c r="BW84" i="37"/>
  <c r="BV84" i="37"/>
  <c r="BR84" i="37"/>
  <c r="BR85" i="37" s="1"/>
  <c r="BQ84" i="37"/>
  <c r="BQ85" i="37" s="1"/>
  <c r="BP84" i="37"/>
  <c r="BC84" i="37"/>
  <c r="BB84" i="37"/>
  <c r="AY84" i="37"/>
  <c r="AX84" i="37"/>
  <c r="AW84" i="37"/>
  <c r="AV84" i="37"/>
  <c r="AU84" i="37"/>
  <c r="AU85" i="37" s="1"/>
  <c r="BF85" i="37" s="1"/>
  <c r="AT84" i="37"/>
  <c r="BF84" i="37" s="1"/>
  <c r="AQ84" i="37"/>
  <c r="AP84" i="37"/>
  <c r="AO84" i="37"/>
  <c r="AN84" i="37"/>
  <c r="AM84" i="37"/>
  <c r="AR84" i="37" s="1"/>
  <c r="P84" i="37"/>
  <c r="DW83" i="37"/>
  <c r="DV83" i="37"/>
  <c r="DU83" i="37"/>
  <c r="DT83" i="37"/>
  <c r="DS83" i="37"/>
  <c r="DR83" i="37"/>
  <c r="DQ83" i="37"/>
  <c r="DP83" i="37"/>
  <c r="DO83" i="37"/>
  <c r="DN83" i="37"/>
  <c r="DM83" i="37"/>
  <c r="DL83" i="37"/>
  <c r="DX83" i="37" s="1"/>
  <c r="DI83" i="37"/>
  <c r="DH83" i="37"/>
  <c r="DG83" i="37"/>
  <c r="DF83" i="37"/>
  <c r="DE83" i="37"/>
  <c r="DD83" i="37"/>
  <c r="DC83" i="37"/>
  <c r="DB83" i="37"/>
  <c r="DA83" i="37"/>
  <c r="CZ83" i="37"/>
  <c r="CY83" i="37"/>
  <c r="CX83" i="37"/>
  <c r="DJ83" i="37" s="1"/>
  <c r="CU83" i="37"/>
  <c r="CT83" i="37"/>
  <c r="DY82" i="37"/>
  <c r="DX82" i="37"/>
  <c r="DJ82" i="37"/>
  <c r="DA81" i="37"/>
  <c r="CZ81" i="37"/>
  <c r="CU81" i="37"/>
  <c r="CL81" i="37"/>
  <c r="BX81" i="37"/>
  <c r="BX87" i="37" s="1"/>
  <c r="BW81" i="37"/>
  <c r="BW87" i="37" s="1"/>
  <c r="BV81" i="37"/>
  <c r="BS81" i="37"/>
  <c r="BP81" i="37"/>
  <c r="BO81" i="37"/>
  <c r="BN81" i="37"/>
  <c r="BM81" i="37"/>
  <c r="BL81" i="37"/>
  <c r="BK81" i="37"/>
  <c r="BJ81" i="37"/>
  <c r="BI81" i="37"/>
  <c r="BH81" i="37"/>
  <c r="BC81" i="37"/>
  <c r="BB81" i="37"/>
  <c r="BA81" i="37"/>
  <c r="AZ81" i="37"/>
  <c r="AY81" i="37"/>
  <c r="AX81" i="37"/>
  <c r="AW81" i="37"/>
  <c r="AV81" i="37"/>
  <c r="AU81" i="37"/>
  <c r="AT81" i="37"/>
  <c r="AQ81" i="37"/>
  <c r="AP81" i="37"/>
  <c r="AO81" i="37"/>
  <c r="AN81" i="37"/>
  <c r="AM81" i="37"/>
  <c r="AL81" i="37"/>
  <c r="AK81" i="37"/>
  <c r="AJ81" i="37"/>
  <c r="AI81" i="37"/>
  <c r="AH81" i="37"/>
  <c r="AG81" i="37"/>
  <c r="AF81" i="37"/>
  <c r="AD81" i="37"/>
  <c r="P81" i="37"/>
  <c r="CZ80" i="37"/>
  <c r="CU80" i="37"/>
  <c r="DW79" i="37"/>
  <c r="DV79" i="37"/>
  <c r="DU79" i="37"/>
  <c r="DT79" i="37"/>
  <c r="DS79" i="37"/>
  <c r="DR79" i="37"/>
  <c r="DQ79" i="37"/>
  <c r="DP79" i="37"/>
  <c r="DO79" i="37"/>
  <c r="DN79" i="37"/>
  <c r="DM79" i="37"/>
  <c r="DL79" i="37"/>
  <c r="DX79" i="37" s="1"/>
  <c r="DI79" i="37"/>
  <c r="DH79" i="37"/>
  <c r="DG79" i="37"/>
  <c r="DF79" i="37"/>
  <c r="DE79" i="37"/>
  <c r="DD79" i="37"/>
  <c r="DC79" i="37"/>
  <c r="DB79" i="37"/>
  <c r="DA79" i="37"/>
  <c r="CZ79" i="37"/>
  <c r="CY79" i="37"/>
  <c r="CX79" i="37"/>
  <c r="DJ79" i="37" s="1"/>
  <c r="CU79" i="37"/>
  <c r="CT79" i="37"/>
  <c r="DW78" i="37"/>
  <c r="DV78" i="37"/>
  <c r="DU78" i="37"/>
  <c r="DT78" i="37"/>
  <c r="DS78" i="37"/>
  <c r="DR78" i="37"/>
  <c r="DQ78" i="37"/>
  <c r="DP78" i="37"/>
  <c r="DO78" i="37"/>
  <c r="DN78" i="37"/>
  <c r="DM78" i="37"/>
  <c r="DL78" i="37"/>
  <c r="DI78" i="37"/>
  <c r="DH78" i="37"/>
  <c r="DG78" i="37"/>
  <c r="DA78" i="37"/>
  <c r="CZ78" i="37"/>
  <c r="CY78" i="37"/>
  <c r="CX78" i="37"/>
  <c r="DW77" i="37"/>
  <c r="DV77" i="37"/>
  <c r="DU77" i="37"/>
  <c r="DT77" i="37"/>
  <c r="DS77" i="37"/>
  <c r="DR77" i="37"/>
  <c r="DQ77" i="37"/>
  <c r="DP77" i="37"/>
  <c r="DO77" i="37"/>
  <c r="DN77" i="37"/>
  <c r="DM77" i="37"/>
  <c r="DL77" i="37"/>
  <c r="DI77" i="37"/>
  <c r="DH77" i="37"/>
  <c r="DG77" i="37"/>
  <c r="DF77" i="37"/>
  <c r="DF95" i="37" s="1"/>
  <c r="DE77" i="37"/>
  <c r="DE95" i="37" s="1"/>
  <c r="DD77" i="37"/>
  <c r="DD95" i="37" s="1"/>
  <c r="DC77" i="37"/>
  <c r="DC95" i="37" s="1"/>
  <c r="DB77" i="37"/>
  <c r="DB95" i="37" s="1"/>
  <c r="DA77" i="37"/>
  <c r="CZ77" i="37"/>
  <c r="CY77" i="37"/>
  <c r="CX77" i="37"/>
  <c r="DJ77" i="37" s="1"/>
  <c r="CR76" i="37"/>
  <c r="CQ76" i="37"/>
  <c r="CP76" i="37"/>
  <c r="CO76" i="37"/>
  <c r="CN76" i="37"/>
  <c r="CM76" i="37"/>
  <c r="CL76" i="37"/>
  <c r="CK76" i="37"/>
  <c r="CH76" i="37"/>
  <c r="CV76" i="37" s="1"/>
  <c r="DW75" i="37"/>
  <c r="DV75" i="37"/>
  <c r="DU75" i="37"/>
  <c r="DT75" i="37"/>
  <c r="DS75" i="37"/>
  <c r="DR75" i="37"/>
  <c r="DQ75" i="37"/>
  <c r="DP75" i="37"/>
  <c r="DO75" i="37"/>
  <c r="DN75" i="37"/>
  <c r="DM75" i="37"/>
  <c r="DL75" i="37"/>
  <c r="DX75" i="37" s="1"/>
  <c r="DI75" i="37"/>
  <c r="DH75" i="37"/>
  <c r="DG75" i="37"/>
  <c r="DF75" i="37"/>
  <c r="DE75" i="37"/>
  <c r="DD75" i="37"/>
  <c r="DC75" i="37"/>
  <c r="DB75" i="37"/>
  <c r="DA75" i="37"/>
  <c r="CZ75" i="37"/>
  <c r="CY75" i="37"/>
  <c r="CX75" i="37"/>
  <c r="DJ75" i="37" s="1"/>
  <c r="CW75" i="37"/>
  <c r="AQ74" i="37"/>
  <c r="AP74" i="37"/>
  <c r="AO74" i="37"/>
  <c r="AN74" i="37"/>
  <c r="AM74" i="37"/>
  <c r="AL74" i="37"/>
  <c r="AK74" i="37"/>
  <c r="AJ74" i="37"/>
  <c r="AI74" i="37"/>
  <c r="AH74" i="37"/>
  <c r="AG74" i="37"/>
  <c r="AF74" i="37"/>
  <c r="AR74" i="37" s="1"/>
  <c r="CG73" i="37"/>
  <c r="CF73" i="37"/>
  <c r="CE73" i="37"/>
  <c r="CD73" i="37"/>
  <c r="CC73" i="37"/>
  <c r="CB73" i="37"/>
  <c r="DN72" i="37"/>
  <c r="DM72" i="37"/>
  <c r="DL72" i="37"/>
  <c r="DI72" i="37"/>
  <c r="DW72" i="37" s="1"/>
  <c r="DA72" i="37"/>
  <c r="CT72" i="37"/>
  <c r="CS72" i="37"/>
  <c r="CR72" i="37"/>
  <c r="CQ72" i="37"/>
  <c r="CP72" i="37"/>
  <c r="CO72" i="37"/>
  <c r="CN72" i="37"/>
  <c r="CL72" i="37"/>
  <c r="CK72" i="37"/>
  <c r="CJ72" i="37"/>
  <c r="CH72" i="37"/>
  <c r="BQ72" i="37"/>
  <c r="BP72" i="37"/>
  <c r="BO72" i="37"/>
  <c r="BN72" i="37"/>
  <c r="BM72" i="37"/>
  <c r="BL72" i="37"/>
  <c r="BK72" i="37"/>
  <c r="BJ72" i="37"/>
  <c r="BI72" i="37"/>
  <c r="BH72" i="37"/>
  <c r="BT72" i="37" s="1"/>
  <c r="CH71" i="37"/>
  <c r="BT71" i="37"/>
  <c r="BB71" i="37"/>
  <c r="AR71" i="37"/>
  <c r="CH70" i="37"/>
  <c r="BQ70" i="37"/>
  <c r="AM70" i="37"/>
  <c r="AL70" i="37"/>
  <c r="AK70" i="37"/>
  <c r="AJ70" i="37"/>
  <c r="AI70" i="37"/>
  <c r="AH70" i="37"/>
  <c r="AG70" i="37"/>
  <c r="AF70" i="37"/>
  <c r="CH69" i="37"/>
  <c r="BT69" i="37"/>
  <c r="BF69" i="37"/>
  <c r="AR69" i="37"/>
  <c r="CM68" i="37"/>
  <c r="CL68" i="37"/>
  <c r="CK68" i="37"/>
  <c r="CJ68" i="37"/>
  <c r="BQ68" i="37"/>
  <c r="BP68" i="37"/>
  <c r="BO68" i="37"/>
  <c r="BN68" i="37"/>
  <c r="BM68" i="37"/>
  <c r="BL68" i="37"/>
  <c r="BK68" i="37"/>
  <c r="BJ68" i="37"/>
  <c r="BI68" i="37"/>
  <c r="BH68" i="37"/>
  <c r="BE68" i="37"/>
  <c r="BD68" i="37"/>
  <c r="BC68" i="37"/>
  <c r="BB68" i="37"/>
  <c r="BA68" i="37"/>
  <c r="AZ68" i="37"/>
  <c r="AY68" i="37"/>
  <c r="AX68" i="37"/>
  <c r="AW68" i="37"/>
  <c r="AV68" i="37"/>
  <c r="AU68" i="37"/>
  <c r="AT68" i="37"/>
  <c r="AQ68" i="37"/>
  <c r="AP68" i="37"/>
  <c r="AO68" i="37"/>
  <c r="AN68" i="37"/>
  <c r="AM68" i="37"/>
  <c r="AL68" i="37"/>
  <c r="AK68" i="37"/>
  <c r="AJ68" i="37"/>
  <c r="AI68" i="37"/>
  <c r="AH68" i="37"/>
  <c r="AG68" i="37"/>
  <c r="AF68" i="37"/>
  <c r="BF67" i="37"/>
  <c r="AR67" i="37"/>
  <c r="AD67" i="37"/>
  <c r="P67" i="37"/>
  <c r="BN66" i="37"/>
  <c r="BM66" i="37"/>
  <c r="BL66" i="37"/>
  <c r="BK66" i="37"/>
  <c r="BJ66" i="37"/>
  <c r="BI66" i="37"/>
  <c r="BH66" i="37"/>
  <c r="BA66" i="37"/>
  <c r="AZ66" i="37"/>
  <c r="AY66" i="37"/>
  <c r="AX66" i="37"/>
  <c r="AW66" i="37"/>
  <c r="AV66" i="37"/>
  <c r="AU66" i="37"/>
  <c r="AT66" i="37"/>
  <c r="BT65" i="37"/>
  <c r="BB65" i="37"/>
  <c r="AR65" i="37"/>
  <c r="BQ64" i="37"/>
  <c r="BQ66" i="37" s="1"/>
  <c r="BP64" i="37"/>
  <c r="BP66" i="37" s="1"/>
  <c r="BO64" i="37"/>
  <c r="BE64" i="37"/>
  <c r="BE66" i="37" s="1"/>
  <c r="BD64" i="37"/>
  <c r="BD66" i="37" s="1"/>
  <c r="BC64" i="37"/>
  <c r="BC66" i="37" s="1"/>
  <c r="BB64" i="37"/>
  <c r="BF64" i="37" s="1"/>
  <c r="CV63" i="37"/>
  <c r="BN63" i="37"/>
  <c r="BM63" i="37"/>
  <c r="BL63" i="37"/>
  <c r="BK63" i="37"/>
  <c r="BJ63" i="37"/>
  <c r="BI63" i="37"/>
  <c r="BH63" i="37"/>
  <c r="BT63" i="37" s="1"/>
  <c r="DX62" i="37"/>
  <c r="DJ62" i="37"/>
  <c r="CU62" i="37"/>
  <c r="CT62" i="37"/>
  <c r="CS62" i="37"/>
  <c r="CR62" i="37"/>
  <c r="CQ62" i="37"/>
  <c r="CP62" i="37"/>
  <c r="CO62" i="37"/>
  <c r="CN62" i="37"/>
  <c r="CM62" i="37"/>
  <c r="CL62" i="37"/>
  <c r="CK62" i="37"/>
  <c r="CJ62" i="37"/>
  <c r="CV62" i="37" s="1"/>
  <c r="BT62" i="37"/>
  <c r="BE62" i="37"/>
  <c r="BE72" i="37" s="1"/>
  <c r="BD62" i="37"/>
  <c r="BD72" i="37" s="1"/>
  <c r="BC62" i="37"/>
  <c r="BC72" i="37" s="1"/>
  <c r="BB62" i="37"/>
  <c r="BB63" i="37" s="1"/>
  <c r="BA62" i="37"/>
  <c r="AZ62" i="37"/>
  <c r="AZ72" i="37" s="1"/>
  <c r="AY62" i="37"/>
  <c r="AY72" i="37" s="1"/>
  <c r="AX62" i="37"/>
  <c r="AX72" i="37" s="1"/>
  <c r="AW62" i="37"/>
  <c r="AW72" i="37" s="1"/>
  <c r="AV62" i="37"/>
  <c r="AV72" i="37" s="1"/>
  <c r="AU62" i="37"/>
  <c r="AU72" i="37" s="1"/>
  <c r="AT62" i="37"/>
  <c r="AQ62" i="37"/>
  <c r="AP62" i="37"/>
  <c r="AO62" i="37"/>
  <c r="AO72" i="37" s="1"/>
  <c r="AN62" i="37"/>
  <c r="AN72" i="37" s="1"/>
  <c r="AM62" i="37"/>
  <c r="AM72" i="37" s="1"/>
  <c r="AL62" i="37"/>
  <c r="AK62" i="37"/>
  <c r="AK72" i="37" s="1"/>
  <c r="AJ62" i="37"/>
  <c r="AJ72" i="37" s="1"/>
  <c r="AI62" i="37"/>
  <c r="AI72" i="37" s="1"/>
  <c r="AG62" i="37"/>
  <c r="AG72" i="37" s="1"/>
  <c r="AF62" i="37"/>
  <c r="AC62" i="37"/>
  <c r="AB62" i="37"/>
  <c r="AA62" i="37"/>
  <c r="Z62" i="37"/>
  <c r="Y62" i="37"/>
  <c r="X62" i="37"/>
  <c r="W62" i="37"/>
  <c r="R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P62" i="37" s="1"/>
  <c r="CU61" i="37"/>
  <c r="CT61" i="37"/>
  <c r="CS61" i="37"/>
  <c r="CR61" i="37"/>
  <c r="CQ61" i="37"/>
  <c r="CP61" i="37"/>
  <c r="CO61" i="37"/>
  <c r="CN61" i="37"/>
  <c r="CM61" i="37"/>
  <c r="CL61" i="37"/>
  <c r="CK61" i="37"/>
  <c r="CJ61" i="37"/>
  <c r="BT61" i="37"/>
  <c r="BF61" i="37"/>
  <c r="AR61" i="37"/>
  <c r="AD61" i="37"/>
  <c r="P61" i="37"/>
  <c r="CU60" i="37"/>
  <c r="CT60" i="37"/>
  <c r="CS60" i="37"/>
  <c r="CR60" i="37"/>
  <c r="CQ60" i="37"/>
  <c r="CP60" i="37"/>
  <c r="CO60" i="37"/>
  <c r="CN60" i="37"/>
  <c r="CM60" i="37"/>
  <c r="CL60" i="37"/>
  <c r="CK60" i="37"/>
  <c r="CJ60" i="37"/>
  <c r="BF60" i="37"/>
  <c r="BF59" i="37"/>
  <c r="AR59" i="37"/>
  <c r="BF58" i="37"/>
  <c r="AR58" i="37"/>
  <c r="BF57" i="37"/>
  <c r="AR57" i="37"/>
  <c r="CG56" i="37"/>
  <c r="CF56" i="37"/>
  <c r="CE56" i="37"/>
  <c r="CD56" i="37"/>
  <c r="CC56" i="37"/>
  <c r="CB56" i="37"/>
  <c r="CA56" i="37"/>
  <c r="BZ56" i="37"/>
  <c r="BY56" i="37"/>
  <c r="BX56" i="37"/>
  <c r="BW56" i="37"/>
  <c r="BW62" i="37" s="1"/>
  <c r="BV56" i="37"/>
  <c r="BT56" i="37"/>
  <c r="BF56" i="37"/>
  <c r="AH56" i="37"/>
  <c r="AR56" i="37" s="1"/>
  <c r="CG55" i="37"/>
  <c r="CF55" i="37"/>
  <c r="CE55" i="37"/>
  <c r="CD55" i="37"/>
  <c r="CC55" i="37"/>
  <c r="CB55" i="37"/>
  <c r="CA55" i="37"/>
  <c r="BZ55" i="37"/>
  <c r="BY55" i="37"/>
  <c r="BX55" i="37"/>
  <c r="CH55" i="37" s="1"/>
  <c r="BF55" i="37"/>
  <c r="AH55" i="37"/>
  <c r="AR55" i="37" s="1"/>
  <c r="AD55" i="37"/>
  <c r="CG54" i="37"/>
  <c r="CF54" i="37"/>
  <c r="CE54" i="37"/>
  <c r="CD54" i="37"/>
  <c r="CC54" i="37"/>
  <c r="CB54" i="37"/>
  <c r="CA54" i="37"/>
  <c r="BZ54" i="37"/>
  <c r="BY54" i="37"/>
  <c r="BX54" i="37"/>
  <c r="CH54" i="37" s="1"/>
  <c r="BF54" i="37"/>
  <c r="AH54" i="37"/>
  <c r="AR54" i="37" s="1"/>
  <c r="AD54" i="37"/>
  <c r="CG53" i="37"/>
  <c r="CF53" i="37"/>
  <c r="CE53" i="37"/>
  <c r="CD53" i="37"/>
  <c r="CC53" i="37"/>
  <c r="CB53" i="37"/>
  <c r="CA53" i="37"/>
  <c r="BZ53" i="37"/>
  <c r="BY53" i="37"/>
  <c r="BX53" i="37"/>
  <c r="CH53" i="37" s="1"/>
  <c r="BF53" i="37"/>
  <c r="AH53" i="37"/>
  <c r="AR53" i="37" s="1"/>
  <c r="AD53" i="37"/>
  <c r="P53" i="37"/>
  <c r="CG52" i="37"/>
  <c r="CF52" i="37"/>
  <c r="CE52" i="37"/>
  <c r="CD52" i="37"/>
  <c r="CC52" i="37"/>
  <c r="CB52" i="37"/>
  <c r="CA52" i="37"/>
  <c r="BZ52" i="37"/>
  <c r="BY52" i="37"/>
  <c r="BX52" i="37"/>
  <c r="CH52" i="37" s="1"/>
  <c r="BF52" i="37"/>
  <c r="AH52" i="37"/>
  <c r="AR52" i="37" s="1"/>
  <c r="AD52" i="37"/>
  <c r="P52" i="37"/>
  <c r="CG51" i="37"/>
  <c r="CF51" i="37"/>
  <c r="CE51" i="37"/>
  <c r="CD51" i="37"/>
  <c r="CC51" i="37"/>
  <c r="CB51" i="37"/>
  <c r="CA51" i="37"/>
  <c r="BZ51" i="37"/>
  <c r="BY51" i="37"/>
  <c r="BX51" i="37"/>
  <c r="CH51" i="37" s="1"/>
  <c r="BF51" i="37"/>
  <c r="AH51" i="37"/>
  <c r="AR51" i="37" s="1"/>
  <c r="AD51" i="37"/>
  <c r="P51" i="37"/>
  <c r="CG50" i="37"/>
  <c r="CF50" i="37"/>
  <c r="CE50" i="37"/>
  <c r="CD50" i="37"/>
  <c r="CC50" i="37"/>
  <c r="CB50" i="37"/>
  <c r="CA50" i="37"/>
  <c r="BZ50" i="37"/>
  <c r="BY50" i="37"/>
  <c r="BX50" i="37"/>
  <c r="CH50" i="37" s="1"/>
  <c r="BF50" i="37"/>
  <c r="AH50" i="37"/>
  <c r="AD50" i="37"/>
  <c r="P50" i="37"/>
  <c r="CG49" i="37"/>
  <c r="CF49" i="37"/>
  <c r="CE49" i="37"/>
  <c r="CD49" i="37"/>
  <c r="CC49" i="37"/>
  <c r="CB49" i="37"/>
  <c r="CA49" i="37"/>
  <c r="BZ49" i="37"/>
  <c r="BY49" i="37"/>
  <c r="BX49" i="37"/>
  <c r="CH49" i="37" s="1"/>
  <c r="BF49" i="37"/>
  <c r="AR49" i="37"/>
  <c r="U49" i="37"/>
  <c r="T49" i="37"/>
  <c r="AD49" i="37" s="1"/>
  <c r="P49" i="37"/>
  <c r="CG48" i="37"/>
  <c r="CF48" i="37"/>
  <c r="CE48" i="37"/>
  <c r="CD48" i="37"/>
  <c r="CC48" i="37"/>
  <c r="CB48" i="37"/>
  <c r="CA48" i="37"/>
  <c r="BZ48" i="37"/>
  <c r="BY48" i="37"/>
  <c r="BX48" i="37"/>
  <c r="CH48" i="37" s="1"/>
  <c r="BF48" i="37"/>
  <c r="AR48" i="37"/>
  <c r="T48" i="37"/>
  <c r="AD48" i="37" s="1"/>
  <c r="P48" i="37"/>
  <c r="CG47" i="37"/>
  <c r="CF47" i="37"/>
  <c r="CE47" i="37"/>
  <c r="CD47" i="37"/>
  <c r="CC47" i="37"/>
  <c r="CB47" i="37"/>
  <c r="CA47" i="37"/>
  <c r="BZ47" i="37"/>
  <c r="BY47" i="37"/>
  <c r="BX47" i="37"/>
  <c r="CH47" i="37" s="1"/>
  <c r="BF47" i="37"/>
  <c r="AR47" i="37"/>
  <c r="U47" i="37"/>
  <c r="T47" i="37"/>
  <c r="S47" i="37"/>
  <c r="AD47" i="37" s="1"/>
  <c r="P47" i="37"/>
  <c r="CG46" i="37"/>
  <c r="CF46" i="37"/>
  <c r="CE46" i="37"/>
  <c r="CD46" i="37"/>
  <c r="CC46" i="37"/>
  <c r="CB46" i="37"/>
  <c r="CA46" i="37"/>
  <c r="BZ46" i="37"/>
  <c r="BY46" i="37"/>
  <c r="BX46" i="37"/>
  <c r="CH46" i="37" s="1"/>
  <c r="BF46" i="37"/>
  <c r="AR46" i="37"/>
  <c r="AD46" i="37"/>
  <c r="P46" i="37"/>
  <c r="CG45" i="37"/>
  <c r="CF45" i="37"/>
  <c r="CE45" i="37"/>
  <c r="CD45" i="37"/>
  <c r="CC45" i="37"/>
  <c r="CB45" i="37"/>
  <c r="CA45" i="37"/>
  <c r="BZ45" i="37"/>
  <c r="BY45" i="37"/>
  <c r="BX45" i="37"/>
  <c r="CH45" i="37" s="1"/>
  <c r="BF45" i="37"/>
  <c r="AR45" i="37"/>
  <c r="V45" i="37"/>
  <c r="V62" i="37" s="1"/>
  <c r="U45" i="37"/>
  <c r="AD45" i="37" s="1"/>
  <c r="P45" i="37"/>
  <c r="CG44" i="37"/>
  <c r="CF44" i="37"/>
  <c r="CE44" i="37"/>
  <c r="CD44" i="37"/>
  <c r="CC44" i="37"/>
  <c r="CB44" i="37"/>
  <c r="CA44" i="37"/>
  <c r="BZ44" i="37"/>
  <c r="BY44" i="37"/>
  <c r="BX44" i="37"/>
  <c r="CH44" i="37" s="1"/>
  <c r="BF44" i="37"/>
  <c r="AR44" i="37"/>
  <c r="T44" i="37"/>
  <c r="S44" i="37"/>
  <c r="P44" i="37"/>
  <c r="CG43" i="37"/>
  <c r="CF43" i="37"/>
  <c r="CE43" i="37"/>
  <c r="CD43" i="37"/>
  <c r="CC43" i="37"/>
  <c r="CB43" i="37"/>
  <c r="CA43" i="37"/>
  <c r="BZ43" i="37"/>
  <c r="BY43" i="37"/>
  <c r="BX43" i="37"/>
  <c r="CH43" i="37" s="1"/>
  <c r="BF43" i="37"/>
  <c r="AR43" i="37"/>
  <c r="AD43" i="37"/>
  <c r="P43" i="37"/>
  <c r="CG42" i="37"/>
  <c r="CF42" i="37"/>
  <c r="CE42" i="37"/>
  <c r="CD42" i="37"/>
  <c r="CC42" i="37"/>
  <c r="CB42" i="37"/>
  <c r="CA42" i="37"/>
  <c r="BZ42" i="37"/>
  <c r="BY42" i="37"/>
  <c r="BX42" i="37"/>
  <c r="CH42" i="37" s="1"/>
  <c r="BF42" i="37"/>
  <c r="AR42" i="37"/>
  <c r="U42" i="37"/>
  <c r="T42" i="37"/>
  <c r="AD42" i="37" s="1"/>
  <c r="P42" i="37"/>
  <c r="CG41" i="37"/>
  <c r="CG62" i="37" s="1"/>
  <c r="CF41" i="37"/>
  <c r="CF62" i="37" s="1"/>
  <c r="CE41" i="37"/>
  <c r="CE62" i="37" s="1"/>
  <c r="CE63" i="37" s="1"/>
  <c r="CD41" i="37"/>
  <c r="CD62" i="37" s="1"/>
  <c r="CD63" i="37" s="1"/>
  <c r="CC41" i="37"/>
  <c r="CC62" i="37" s="1"/>
  <c r="CC63" i="37" s="1"/>
  <c r="CB41" i="37"/>
  <c r="CB62" i="37" s="1"/>
  <c r="CA41" i="37"/>
  <c r="CA62" i="37" s="1"/>
  <c r="BZ41" i="37"/>
  <c r="BZ62" i="37" s="1"/>
  <c r="BY41" i="37"/>
  <c r="BY62" i="37" s="1"/>
  <c r="BX41" i="37"/>
  <c r="BX62" i="37" s="1"/>
  <c r="BF41" i="37"/>
  <c r="AR41" i="37"/>
  <c r="U41" i="37"/>
  <c r="U62" i="37" s="1"/>
  <c r="T41" i="37"/>
  <c r="P41" i="37"/>
  <c r="DX39" i="37"/>
  <c r="DJ39" i="37"/>
  <c r="DN38" i="37"/>
  <c r="DM38" i="37"/>
  <c r="DL38" i="37"/>
  <c r="DI38" i="37"/>
  <c r="DW38" i="37" s="1"/>
  <c r="DH38" i="37"/>
  <c r="DV38" i="37" s="1"/>
  <c r="DG38" i="37"/>
  <c r="DU38" i="37" s="1"/>
  <c r="DF38" i="37"/>
  <c r="DT38" i="37" s="1"/>
  <c r="DE38" i="37"/>
  <c r="DS38" i="37" s="1"/>
  <c r="DD38" i="37"/>
  <c r="DR38" i="37" s="1"/>
  <c r="DC38" i="37"/>
  <c r="DQ38" i="37" s="1"/>
  <c r="DB38" i="37"/>
  <c r="DP38" i="37" s="1"/>
  <c r="DA38" i="37"/>
  <c r="CP38" i="37"/>
  <c r="CJ38" i="37"/>
  <c r="CI38" i="37"/>
  <c r="CG38" i="37"/>
  <c r="CF38" i="37"/>
  <c r="CF64" i="37" s="1"/>
  <c r="CE38" i="37"/>
  <c r="CE64" i="37" s="1"/>
  <c r="CD38" i="37"/>
  <c r="CD64" i="37" s="1"/>
  <c r="CC38" i="37"/>
  <c r="CC64" i="37" s="1"/>
  <c r="CB38" i="37"/>
  <c r="CB64" i="37" s="1"/>
  <c r="CA38" i="37"/>
  <c r="CA64" i="37" s="1"/>
  <c r="BZ38" i="37"/>
  <c r="BZ64" i="37" s="1"/>
  <c r="BY38" i="37"/>
  <c r="BY64" i="37" s="1"/>
  <c r="BX38" i="37"/>
  <c r="BX64" i="37" s="1"/>
  <c r="BW38" i="37"/>
  <c r="BW64" i="37" s="1"/>
  <c r="BV38" i="37"/>
  <c r="BV64" i="37" s="1"/>
  <c r="BS38" i="37"/>
  <c r="BR38" i="37"/>
  <c r="BQ38" i="37"/>
  <c r="BE38" i="37"/>
  <c r="BE70" i="37" s="1"/>
  <c r="BD38" i="37"/>
  <c r="BD70" i="37" s="1"/>
  <c r="BC38" i="37"/>
  <c r="BC70" i="37" s="1"/>
  <c r="BB38" i="37"/>
  <c r="BB70" i="37" s="1"/>
  <c r="BA38" i="37"/>
  <c r="BA70" i="37" s="1"/>
  <c r="AZ38" i="37"/>
  <c r="AZ70" i="37" s="1"/>
  <c r="AY38" i="37"/>
  <c r="AY70" i="37" s="1"/>
  <c r="AX38" i="37"/>
  <c r="AX70" i="37" s="1"/>
  <c r="AW38" i="37"/>
  <c r="AW70" i="37" s="1"/>
  <c r="AV38" i="37"/>
  <c r="AV70" i="37" s="1"/>
  <c r="AU38" i="37"/>
  <c r="AU70" i="37" s="1"/>
  <c r="AT38" i="37"/>
  <c r="U38" i="37"/>
  <c r="AD38" i="37" s="1"/>
  <c r="P38" i="37"/>
  <c r="CQ37" i="37"/>
  <c r="CK37" i="37"/>
  <c r="AQ37" i="37"/>
  <c r="AQ38" i="37" s="1"/>
  <c r="AQ70" i="37" s="1"/>
  <c r="AP37" i="37"/>
  <c r="AP38" i="37" s="1"/>
  <c r="AP70" i="37" s="1"/>
  <c r="AO37" i="37"/>
  <c r="AO38" i="37" s="1"/>
  <c r="AO70" i="37" s="1"/>
  <c r="AN37" i="37"/>
  <c r="AN38" i="37" s="1"/>
  <c r="CV36" i="37"/>
  <c r="CG36" i="37"/>
  <c r="CF36" i="37"/>
  <c r="CE36" i="37"/>
  <c r="CD36" i="37"/>
  <c r="CC36" i="37"/>
  <c r="CB36" i="37"/>
  <c r="CA36" i="37"/>
  <c r="BZ36" i="37"/>
  <c r="BY36" i="37"/>
  <c r="BX36" i="37"/>
  <c r="BW36" i="37"/>
  <c r="BV36" i="37"/>
  <c r="CH36" i="37" s="1"/>
  <c r="BQ36" i="37"/>
  <c r="BT36" i="37" s="1"/>
  <c r="BF36" i="37"/>
  <c r="DX35" i="37"/>
  <c r="DW35" i="37"/>
  <c r="DV35" i="37"/>
  <c r="DU35" i="37"/>
  <c r="DT35" i="37"/>
  <c r="DS35" i="37"/>
  <c r="DR35" i="37"/>
  <c r="DQ35" i="37"/>
  <c r="DP35" i="37"/>
  <c r="DO35" i="37"/>
  <c r="DN35" i="37"/>
  <c r="DM35" i="37"/>
  <c r="DL35" i="37"/>
  <c r="CG35" i="37"/>
  <c r="CF35" i="37"/>
  <c r="CE35" i="37"/>
  <c r="CD35" i="37"/>
  <c r="CC35" i="37"/>
  <c r="CB35" i="37"/>
  <c r="CA35" i="37"/>
  <c r="BZ35" i="37"/>
  <c r="BY35" i="37"/>
  <c r="BX35" i="37"/>
  <c r="BW35" i="37"/>
  <c r="BP35" i="37"/>
  <c r="BO35" i="37"/>
  <c r="BN35" i="37"/>
  <c r="BM35" i="37"/>
  <c r="BL35" i="37"/>
  <c r="BK35" i="37"/>
  <c r="BJ35" i="37"/>
  <c r="BI35" i="37"/>
  <c r="BH35" i="37"/>
  <c r="BE35" i="37"/>
  <c r="BD35" i="37"/>
  <c r="BC35" i="37"/>
  <c r="BB35" i="37"/>
  <c r="AZ35" i="37"/>
  <c r="AY35" i="37"/>
  <c r="DW34" i="37"/>
  <c r="DN34" i="37"/>
  <c r="DM34" i="37"/>
  <c r="DL34" i="37"/>
  <c r="DI34" i="37"/>
  <c r="CZ34" i="37"/>
  <c r="CP34" i="37"/>
  <c r="CJ34" i="37"/>
  <c r="CG34" i="37"/>
  <c r="CG77" i="37" s="1"/>
  <c r="CF34" i="37"/>
  <c r="CF77" i="37" s="1"/>
  <c r="CE34" i="37"/>
  <c r="CE77" i="37" s="1"/>
  <c r="CD34" i="37"/>
  <c r="CD77" i="37" s="1"/>
  <c r="CC34" i="37"/>
  <c r="CC77" i="37" s="1"/>
  <c r="CB34" i="37"/>
  <c r="CB77" i="37" s="1"/>
  <c r="CA34" i="37"/>
  <c r="CA77" i="37" s="1"/>
  <c r="BZ34" i="37"/>
  <c r="BZ77" i="37" s="1"/>
  <c r="BY34" i="37"/>
  <c r="BY77" i="37" s="1"/>
  <c r="BX34" i="37"/>
  <c r="BX77" i="37" s="1"/>
  <c r="BW34" i="37"/>
  <c r="BW77" i="37" s="1"/>
  <c r="BV34" i="37"/>
  <c r="BR34" i="37"/>
  <c r="BS64" i="37" s="1"/>
  <c r="CG64" i="37" s="1"/>
  <c r="BQ34" i="37"/>
  <c r="BQ94" i="37" s="1"/>
  <c r="BP34" i="37"/>
  <c r="BO34" i="37"/>
  <c r="BN34" i="37"/>
  <c r="BM34" i="37"/>
  <c r="BL34" i="37"/>
  <c r="BK34" i="37"/>
  <c r="BJ34" i="37"/>
  <c r="BI34" i="37"/>
  <c r="BH34" i="37"/>
  <c r="BT34" i="37" s="1"/>
  <c r="BE34" i="37"/>
  <c r="BE94" i="37" s="1"/>
  <c r="BD34" i="37"/>
  <c r="BD94" i="37" s="1"/>
  <c r="BC34" i="37"/>
  <c r="BB34" i="37"/>
  <c r="BA34" i="37"/>
  <c r="AZ34" i="37"/>
  <c r="AY34" i="37"/>
  <c r="AX34" i="37"/>
  <c r="AW34" i="37"/>
  <c r="AV34" i="37"/>
  <c r="AU34" i="37"/>
  <c r="AT34" i="37"/>
  <c r="BF34" i="37" s="1"/>
  <c r="AQ34" i="37"/>
  <c r="AP34" i="37"/>
  <c r="AO34" i="37"/>
  <c r="AN34" i="37"/>
  <c r="AM34" i="37"/>
  <c r="AL34" i="37"/>
  <c r="AK34" i="37"/>
  <c r="AJ34" i="37"/>
  <c r="AI34" i="37"/>
  <c r="AG34" i="37"/>
  <c r="AF34" i="37"/>
  <c r="AC34" i="37"/>
  <c r="AC94" i="37" s="1"/>
  <c r="AB34" i="37"/>
  <c r="AB94" i="37" s="1"/>
  <c r="AA34" i="37"/>
  <c r="AA94" i="37" s="1"/>
  <c r="Z34" i="37"/>
  <c r="Z94" i="37" s="1"/>
  <c r="Y34" i="37"/>
  <c r="Y94" i="37" s="1"/>
  <c r="X34" i="37"/>
  <c r="X94" i="37" s="1"/>
  <c r="W34" i="37"/>
  <c r="W94" i="37" s="1"/>
  <c r="V34" i="37"/>
  <c r="V94" i="37" s="1"/>
  <c r="U34" i="37"/>
  <c r="U94" i="37" s="1"/>
  <c r="R34" i="37"/>
  <c r="P34" i="37"/>
  <c r="O34" i="37"/>
  <c r="O94" i="37" s="1"/>
  <c r="N34" i="37"/>
  <c r="N94" i="37" s="1"/>
  <c r="M34" i="37"/>
  <c r="M94" i="37" s="1"/>
  <c r="L34" i="37"/>
  <c r="L94" i="37" s="1"/>
  <c r="K34" i="37"/>
  <c r="J34" i="37"/>
  <c r="I34" i="37"/>
  <c r="H34" i="37"/>
  <c r="G34" i="37"/>
  <c r="F34" i="37"/>
  <c r="E34" i="37"/>
  <c r="D34" i="37"/>
  <c r="CM33" i="37"/>
  <c r="CL33" i="37"/>
  <c r="CK33" i="37"/>
  <c r="CJ33" i="37"/>
  <c r="CG33" i="37"/>
  <c r="CF33" i="37"/>
  <c r="CE33" i="37"/>
  <c r="CD33" i="37"/>
  <c r="CC33" i="37"/>
  <c r="CB33" i="37"/>
  <c r="CA33" i="37"/>
  <c r="BZ33" i="37"/>
  <c r="BY33" i="37"/>
  <c r="BX33" i="37"/>
  <c r="BW33" i="37"/>
  <c r="BV33" i="37"/>
  <c r="CM31" i="37"/>
  <c r="CL31" i="37"/>
  <c r="CK31" i="37"/>
  <c r="CJ31" i="37"/>
  <c r="BG30" i="37"/>
  <c r="CG29" i="37"/>
  <c r="CF29" i="37"/>
  <c r="CF30" i="37" s="1"/>
  <c r="CE29" i="37"/>
  <c r="CE30" i="37" s="1"/>
  <c r="CD29" i="37"/>
  <c r="CD30" i="37" s="1"/>
  <c r="CC29" i="37"/>
  <c r="CC30" i="37" s="1"/>
  <c r="CB29" i="37"/>
  <c r="CB30" i="37" s="1"/>
  <c r="CA29" i="37"/>
  <c r="CA30" i="37" s="1"/>
  <c r="BZ29" i="37"/>
  <c r="BZ30" i="37" s="1"/>
  <c r="BY29" i="37"/>
  <c r="BY30" i="37" s="1"/>
  <c r="BX29" i="37"/>
  <c r="BX30" i="37" s="1"/>
  <c r="BW29" i="37"/>
  <c r="BW30" i="37" s="1"/>
  <c r="BV29" i="37"/>
  <c r="BV30" i="37" s="1"/>
  <c r="BS29" i="37"/>
  <c r="BR29" i="37"/>
  <c r="BR30" i="37" s="1"/>
  <c r="BQ29" i="37"/>
  <c r="BQ30" i="37" s="1"/>
  <c r="BP29" i="37"/>
  <c r="BP30" i="37" s="1"/>
  <c r="BO29" i="37"/>
  <c r="BO30" i="37" s="1"/>
  <c r="BN29" i="37"/>
  <c r="BN30" i="37" s="1"/>
  <c r="BM29" i="37"/>
  <c r="BM30" i="37" s="1"/>
  <c r="BL29" i="37"/>
  <c r="BL30" i="37" s="1"/>
  <c r="BK29" i="37"/>
  <c r="BK30" i="37" s="1"/>
  <c r="BJ29" i="37"/>
  <c r="BJ30" i="37" s="1"/>
  <c r="BI29" i="37"/>
  <c r="BI30" i="37" s="1"/>
  <c r="BH29" i="37"/>
  <c r="BH30" i="37" s="1"/>
  <c r="BE29" i="37"/>
  <c r="BE30" i="37" s="1"/>
  <c r="BD29" i="37"/>
  <c r="BD30" i="37" s="1"/>
  <c r="BC29" i="37"/>
  <c r="BC30" i="37" s="1"/>
  <c r="BB29" i="37"/>
  <c r="BB30" i="37" s="1"/>
  <c r="BA29" i="37"/>
  <c r="BA30" i="37" s="1"/>
  <c r="AZ29" i="37"/>
  <c r="AZ30" i="37" s="1"/>
  <c r="AY29" i="37"/>
  <c r="AY30" i="37" s="1"/>
  <c r="AX29" i="37"/>
  <c r="AX30" i="37" s="1"/>
  <c r="AW29" i="37"/>
  <c r="AW30" i="37" s="1"/>
  <c r="AV29" i="37"/>
  <c r="AV30" i="37" s="1"/>
  <c r="AU29" i="37"/>
  <c r="AU30" i="37" s="1"/>
  <c r="AT29" i="37"/>
  <c r="AQ29" i="37"/>
  <c r="AP29" i="37"/>
  <c r="AP30" i="37" s="1"/>
  <c r="AO29" i="37"/>
  <c r="AO30" i="37" s="1"/>
  <c r="AN29" i="37"/>
  <c r="AN30" i="37" s="1"/>
  <c r="AM29" i="37"/>
  <c r="AM30" i="37" s="1"/>
  <c r="AL29" i="37"/>
  <c r="AL30" i="37" s="1"/>
  <c r="AK29" i="37"/>
  <c r="AK30" i="37" s="1"/>
  <c r="AJ29" i="37"/>
  <c r="AJ30" i="37" s="1"/>
  <c r="AI29" i="37"/>
  <c r="AI30" i="37" s="1"/>
  <c r="AH29" i="37"/>
  <c r="AH30" i="37" s="1"/>
  <c r="AG29" i="37"/>
  <c r="AG30" i="37" s="1"/>
  <c r="AF29" i="37"/>
  <c r="AF30" i="37" s="1"/>
  <c r="AC29" i="37"/>
  <c r="AB29" i="37"/>
  <c r="AA29" i="37"/>
  <c r="Z29" i="37"/>
  <c r="Y29" i="37"/>
  <c r="X29" i="37"/>
  <c r="AD29" i="37" s="1"/>
  <c r="W29" i="37"/>
  <c r="V29" i="37"/>
  <c r="U29" i="37"/>
  <c r="T29" i="37"/>
  <c r="S29" i="37"/>
  <c r="R29" i="37"/>
  <c r="O29" i="37"/>
  <c r="N29" i="37"/>
  <c r="M29" i="37"/>
  <c r="L29" i="37"/>
  <c r="K29" i="37"/>
  <c r="J29" i="37"/>
  <c r="P29" i="37" s="1"/>
  <c r="H29" i="37"/>
  <c r="G29" i="37"/>
  <c r="F29" i="37"/>
  <c r="E29" i="37"/>
  <c r="D29" i="37"/>
  <c r="CH26" i="37"/>
  <c r="BT26" i="37"/>
  <c r="BF26" i="37"/>
  <c r="AR26" i="37"/>
  <c r="CH25" i="37"/>
  <c r="BT25" i="37"/>
  <c r="BF25" i="37"/>
  <c r="AR25" i="37"/>
  <c r="CH24" i="37"/>
  <c r="BT24" i="37"/>
  <c r="BF24" i="37"/>
  <c r="AR24" i="37"/>
  <c r="CI23" i="37"/>
  <c r="CI25" i="37" s="1"/>
  <c r="CH23" i="37"/>
  <c r="BT23" i="37"/>
  <c r="BF23" i="37"/>
  <c r="AR23" i="37"/>
  <c r="U23" i="37"/>
  <c r="CZ22" i="37"/>
  <c r="DA22" i="37" s="1"/>
  <c r="DB22" i="37" s="1"/>
  <c r="DC22" i="37" s="1"/>
  <c r="DD22" i="37" s="1"/>
  <c r="DE22" i="37" s="1"/>
  <c r="DF22" i="37" s="1"/>
  <c r="DG22" i="37" s="1"/>
  <c r="DH22" i="37" s="1"/>
  <c r="DI22" i="37" s="1"/>
  <c r="DL22" i="37" s="1"/>
  <c r="DM22" i="37" s="1"/>
  <c r="DN22" i="37" s="1"/>
  <c r="DO22" i="37" s="1"/>
  <c r="DP22" i="37" s="1"/>
  <c r="DQ22" i="37" s="1"/>
  <c r="DR22" i="37" s="1"/>
  <c r="DS22" i="37" s="1"/>
  <c r="DT22" i="37" s="1"/>
  <c r="DU22" i="37" s="1"/>
  <c r="DV22" i="37" s="1"/>
  <c r="DW22" i="37" s="1"/>
  <c r="CT22" i="37"/>
  <c r="CU22" i="37" s="1"/>
  <c r="DC21" i="37"/>
  <c r="DE21" i="37" s="1"/>
  <c r="DF21" i="37" s="1"/>
  <c r="CT21" i="37"/>
  <c r="CU21" i="37" s="1"/>
  <c r="CS20" i="37"/>
  <c r="CH20" i="37"/>
  <c r="CH33" i="37" s="1"/>
  <c r="BT20" i="37"/>
  <c r="BF20" i="37"/>
  <c r="AR20" i="37"/>
  <c r="I20" i="37"/>
  <c r="I29" i="37" s="1"/>
  <c r="CZ19" i="37"/>
  <c r="DF18" i="37"/>
  <c r="DE18" i="37"/>
  <c r="DD18" i="37"/>
  <c r="DC18" i="37"/>
  <c r="DB18" i="37"/>
  <c r="DA18" i="37"/>
  <c r="CZ18" i="37"/>
  <c r="CY18" i="37"/>
  <c r="CX18" i="37"/>
  <c r="CU18" i="37"/>
  <c r="CT18" i="37"/>
  <c r="CS18" i="37"/>
  <c r="DA17" i="37"/>
  <c r="CZ17" i="37"/>
  <c r="CY17" i="37"/>
  <c r="CX17" i="37"/>
  <c r="CS17" i="37"/>
  <c r="DW15" i="37"/>
  <c r="DI15" i="37"/>
  <c r="CH11" i="37"/>
  <c r="CM10" i="37"/>
  <c r="CL10" i="37"/>
  <c r="CH10" i="37"/>
  <c r="CG10" i="37"/>
  <c r="CG31" i="37" s="1"/>
  <c r="CH31" i="37" s="1"/>
  <c r="CF10" i="37"/>
  <c r="CF31" i="37" s="1"/>
  <c r="CE10" i="37"/>
  <c r="CE31" i="37" s="1"/>
  <c r="CD10" i="37"/>
  <c r="CD31" i="37" s="1"/>
  <c r="CC10" i="37"/>
  <c r="CC31" i="37" s="1"/>
  <c r="CB10" i="37"/>
  <c r="CB31" i="37" s="1"/>
  <c r="CA10" i="37"/>
  <c r="CA31" i="37" s="1"/>
  <c r="BZ10" i="37"/>
  <c r="BZ31" i="37" s="1"/>
  <c r="BY10" i="37"/>
  <c r="BY31" i="37" s="1"/>
  <c r="BX10" i="37"/>
  <c r="BX31" i="37" s="1"/>
  <c r="BW10" i="37"/>
  <c r="BW31" i="37" s="1"/>
  <c r="BV10" i="37"/>
  <c r="BV31" i="37" s="1"/>
  <c r="BS10" i="37"/>
  <c r="BR10" i="37"/>
  <c r="BQ10" i="37"/>
  <c r="BP10" i="37"/>
  <c r="BO10" i="37"/>
  <c r="BN10" i="37"/>
  <c r="BM10" i="37"/>
  <c r="BL10" i="37"/>
  <c r="BK10" i="37"/>
  <c r="BJ10" i="37"/>
  <c r="BI10" i="37"/>
  <c r="BH10" i="37"/>
  <c r="BE10" i="37"/>
  <c r="BD10" i="37"/>
  <c r="BC10" i="37"/>
  <c r="BB10" i="37"/>
  <c r="BA10" i="37"/>
  <c r="AZ10" i="37"/>
  <c r="AY10" i="37"/>
  <c r="AX10" i="37"/>
  <c r="AW10" i="37"/>
  <c r="AV10" i="37"/>
  <c r="AU10" i="37"/>
  <c r="AT10" i="37"/>
  <c r="AQ10" i="37"/>
  <c r="AP10" i="37"/>
  <c r="AO10" i="37"/>
  <c r="AN10" i="37"/>
  <c r="AM10" i="37"/>
  <c r="AL10" i="37"/>
  <c r="AK10" i="37"/>
  <c r="AJ10" i="37"/>
  <c r="AI10" i="37"/>
  <c r="AH10" i="37"/>
  <c r="AG10" i="37"/>
  <c r="AF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DW7" i="37"/>
  <c r="DV7" i="37"/>
  <c r="DU7" i="37"/>
  <c r="DT7" i="37"/>
  <c r="DS7" i="37"/>
  <c r="DR7" i="37"/>
  <c r="DQ7" i="37"/>
  <c r="DP7" i="37"/>
  <c r="DO7" i="37"/>
  <c r="DN7" i="37"/>
  <c r="DM7" i="37"/>
  <c r="DL7" i="37"/>
  <c r="DI7" i="37"/>
  <c r="DH7" i="37"/>
  <c r="DG7" i="37"/>
  <c r="DF7" i="37"/>
  <c r="DE7" i="37"/>
  <c r="DD7" i="37"/>
  <c r="DC7" i="37"/>
  <c r="DB7" i="37"/>
  <c r="CY7" i="37"/>
  <c r="CX7" i="37"/>
  <c r="CT7" i="37"/>
  <c r="CT81" i="37" s="1"/>
  <c r="CS7" i="37"/>
  <c r="CR7" i="37"/>
  <c r="CR81" i="37" s="1"/>
  <c r="CQ7" i="37"/>
  <c r="CQ81" i="37" s="1"/>
  <c r="CP7" i="37"/>
  <c r="CP81" i="37" s="1"/>
  <c r="CO7" i="37"/>
  <c r="CN7" i="37"/>
  <c r="CM7" i="37"/>
  <c r="CK7" i="37"/>
  <c r="CJ7" i="37"/>
  <c r="CG7" i="37"/>
  <c r="CF7" i="37"/>
  <c r="CE7" i="37"/>
  <c r="CD7" i="37"/>
  <c r="CC7" i="37"/>
  <c r="CB7" i="37"/>
  <c r="CA7" i="37"/>
  <c r="BZ7" i="37"/>
  <c r="BY7" i="37"/>
  <c r="C7" i="37"/>
  <c r="C6" i="37"/>
  <c r="C5" i="37"/>
  <c r="C4" i="37"/>
  <c r="C3" i="37"/>
  <c r="T28" i="31"/>
  <c r="F22" i="31"/>
  <c r="F21" i="31"/>
  <c r="DL11" i="34"/>
  <c r="DL19" i="34"/>
  <c r="DF85" i="34"/>
  <c r="DG85" i="34" s="1"/>
  <c r="DH85" i="34" s="1"/>
  <c r="DI85" i="34" s="1"/>
  <c r="DH85" i="33"/>
  <c r="DI85" i="33" s="1"/>
  <c r="DG85" i="33"/>
  <c r="DF85" i="33"/>
  <c r="C110" i="35"/>
  <c r="C108" i="35"/>
  <c r="C113" i="35" s="1"/>
  <c r="DV101" i="35"/>
  <c r="DH101" i="35"/>
  <c r="DW100" i="35"/>
  <c r="DV100" i="35"/>
  <c r="DU100" i="35"/>
  <c r="DT100" i="35"/>
  <c r="DS100" i="35"/>
  <c r="DR100" i="35"/>
  <c r="DQ100" i="35"/>
  <c r="DP100" i="35"/>
  <c r="DO100" i="35"/>
  <c r="DN100" i="35"/>
  <c r="DM100" i="35"/>
  <c r="DL100" i="35"/>
  <c r="DI100" i="35"/>
  <c r="DH100" i="35"/>
  <c r="DG100" i="35"/>
  <c r="DF100" i="35"/>
  <c r="DE100" i="35"/>
  <c r="DD100" i="35"/>
  <c r="DC100" i="35"/>
  <c r="DB100" i="35"/>
  <c r="DA100" i="35"/>
  <c r="CZ100" i="35"/>
  <c r="CY100" i="35"/>
  <c r="CX100" i="35"/>
  <c r="DW99" i="35"/>
  <c r="DO99" i="35"/>
  <c r="DN99" i="35"/>
  <c r="DM99" i="35"/>
  <c r="DL99" i="35"/>
  <c r="DI99" i="35"/>
  <c r="DA99" i="35"/>
  <c r="CZ99" i="35"/>
  <c r="CY99" i="35"/>
  <c r="CX99" i="35"/>
  <c r="CU99" i="35"/>
  <c r="CS98" i="35"/>
  <c r="DW97" i="35"/>
  <c r="DV97" i="35"/>
  <c r="DU97" i="35"/>
  <c r="DT97" i="35"/>
  <c r="DS97" i="35"/>
  <c r="DR97" i="35"/>
  <c r="DQ97" i="35"/>
  <c r="DP97" i="35"/>
  <c r="DO97" i="35"/>
  <c r="DN97" i="35"/>
  <c r="DM97" i="35"/>
  <c r="DL97" i="35"/>
  <c r="CU97" i="35"/>
  <c r="CT97" i="35"/>
  <c r="CS97" i="35"/>
  <c r="CQ97" i="35"/>
  <c r="CP97" i="35"/>
  <c r="CO97" i="35"/>
  <c r="K94" i="35"/>
  <c r="J94" i="35"/>
  <c r="I94" i="35"/>
  <c r="H94" i="35"/>
  <c r="G94" i="35"/>
  <c r="F94" i="35"/>
  <c r="E94" i="35"/>
  <c r="D94" i="35"/>
  <c r="P94" i="35" s="1"/>
  <c r="CS93" i="35"/>
  <c r="BT92" i="35"/>
  <c r="BF92" i="35"/>
  <c r="AL92" i="35"/>
  <c r="AK92" i="35"/>
  <c r="AJ92" i="35"/>
  <c r="AI92" i="35"/>
  <c r="AH92" i="35"/>
  <c r="AG92" i="35"/>
  <c r="AF92" i="35"/>
  <c r="AR92" i="35" s="1"/>
  <c r="BT91" i="35"/>
  <c r="BB91" i="35"/>
  <c r="BF91" i="35" s="1"/>
  <c r="AR91" i="35"/>
  <c r="DM90" i="35"/>
  <c r="DL90" i="35"/>
  <c r="DI90" i="35"/>
  <c r="DH90" i="35"/>
  <c r="DG90" i="35"/>
  <c r="DF90" i="35"/>
  <c r="DE90" i="35"/>
  <c r="DD90" i="35"/>
  <c r="DC90" i="35"/>
  <c r="DB90" i="35"/>
  <c r="CM90" i="35"/>
  <c r="CL90" i="35"/>
  <c r="CK90" i="35"/>
  <c r="CG90" i="35"/>
  <c r="CD90" i="35"/>
  <c r="CC90" i="35"/>
  <c r="CB90" i="35"/>
  <c r="BQ90" i="35"/>
  <c r="BQ93" i="35" s="1"/>
  <c r="BP90" i="35"/>
  <c r="BO90" i="35"/>
  <c r="BN90" i="35"/>
  <c r="BM90" i="35"/>
  <c r="BL90" i="35"/>
  <c r="BK90" i="35"/>
  <c r="BJ90" i="35"/>
  <c r="BI90" i="35"/>
  <c r="BH90" i="35"/>
  <c r="BE90" i="35"/>
  <c r="BE93" i="35" s="1"/>
  <c r="BD90" i="35"/>
  <c r="BD93" i="35" s="1"/>
  <c r="BC90" i="35"/>
  <c r="BB90" i="35"/>
  <c r="BA90" i="35"/>
  <c r="AZ90" i="35"/>
  <c r="AY90" i="35"/>
  <c r="AX90" i="35"/>
  <c r="AW90" i="35"/>
  <c r="AV90" i="35"/>
  <c r="AU90" i="35"/>
  <c r="AT90" i="35"/>
  <c r="AQ90" i="35"/>
  <c r="AP90" i="35"/>
  <c r="AO90" i="35"/>
  <c r="AN90" i="35"/>
  <c r="AM90" i="35"/>
  <c r="AD90" i="35"/>
  <c r="P90" i="35"/>
  <c r="CN88" i="35"/>
  <c r="BE88" i="35"/>
  <c r="BD88" i="35"/>
  <c r="DW87" i="35"/>
  <c r="DV87" i="35"/>
  <c r="DU87" i="35"/>
  <c r="DT87" i="35"/>
  <c r="DS87" i="35"/>
  <c r="DR87" i="35"/>
  <c r="DQ87" i="35"/>
  <c r="DP87" i="35"/>
  <c r="DO87" i="35"/>
  <c r="DN87" i="35"/>
  <c r="DM87" i="35"/>
  <c r="DL87" i="35"/>
  <c r="DJ87" i="35"/>
  <c r="CS87" i="35"/>
  <c r="CR87" i="35"/>
  <c r="CQ87" i="35"/>
  <c r="CP87" i="35"/>
  <c r="CO87" i="35"/>
  <c r="CN87" i="35"/>
  <c r="CM87" i="35"/>
  <c r="CL87" i="35"/>
  <c r="CK87" i="35"/>
  <c r="CJ87" i="35"/>
  <c r="BS87" i="35"/>
  <c r="BT87" i="35" s="1"/>
  <c r="BF87" i="35"/>
  <c r="AR87" i="35"/>
  <c r="DA86" i="35"/>
  <c r="CZ86" i="35"/>
  <c r="CL86" i="35"/>
  <c r="BX86" i="35"/>
  <c r="BW86" i="35"/>
  <c r="BV86" i="35"/>
  <c r="BT86" i="35"/>
  <c r="BF86" i="35"/>
  <c r="AR86" i="35"/>
  <c r="DG85" i="35"/>
  <c r="DH85" i="35" s="1"/>
  <c r="DI85" i="35" s="1"/>
  <c r="DL85" i="35" s="1"/>
  <c r="DM85" i="35" s="1"/>
  <c r="DN85" i="35" s="1"/>
  <c r="DO85" i="35" s="1"/>
  <c r="DP85" i="35" s="1"/>
  <c r="DQ85" i="35" s="1"/>
  <c r="DR85" i="35" s="1"/>
  <c r="DS85" i="35" s="1"/>
  <c r="DT85" i="35" s="1"/>
  <c r="DU85" i="35" s="1"/>
  <c r="DV85" i="35" s="1"/>
  <c r="DW85" i="35" s="1"/>
  <c r="CR85" i="35"/>
  <c r="CR97" i="35" s="1"/>
  <c r="CC85" i="35"/>
  <c r="BS85" i="35"/>
  <c r="BO85" i="35"/>
  <c r="BN85" i="35"/>
  <c r="BM85" i="35"/>
  <c r="BL85" i="35"/>
  <c r="BK85" i="35"/>
  <c r="BJ85" i="35"/>
  <c r="BI85" i="35"/>
  <c r="BH85" i="35"/>
  <c r="BE85" i="35"/>
  <c r="BD85" i="35"/>
  <c r="BA85" i="35"/>
  <c r="AL85" i="35"/>
  <c r="AK85" i="35"/>
  <c r="AJ85" i="35"/>
  <c r="AI85" i="35"/>
  <c r="AH85" i="35"/>
  <c r="AG85" i="35"/>
  <c r="AF85" i="35"/>
  <c r="AR85" i="35" s="1"/>
  <c r="AC85" i="35"/>
  <c r="AB85" i="35"/>
  <c r="AA85" i="35"/>
  <c r="Z85" i="35"/>
  <c r="Y85" i="35"/>
  <c r="X85" i="35"/>
  <c r="W85" i="35"/>
  <c r="V85" i="35"/>
  <c r="U85" i="35"/>
  <c r="T85" i="35"/>
  <c r="S85" i="35"/>
  <c r="R85" i="35"/>
  <c r="BX84" i="35"/>
  <c r="BW84" i="35"/>
  <c r="BV84" i="35"/>
  <c r="BR84" i="35"/>
  <c r="BR85" i="35" s="1"/>
  <c r="BQ84" i="35"/>
  <c r="BQ85" i="35" s="1"/>
  <c r="BP84" i="35"/>
  <c r="BC84" i="35"/>
  <c r="BB84" i="35"/>
  <c r="AY84" i="35"/>
  <c r="AX84" i="35"/>
  <c r="AW84" i="35"/>
  <c r="AV84" i="35"/>
  <c r="AU84" i="35"/>
  <c r="AU85" i="35" s="1"/>
  <c r="BF85" i="35" s="1"/>
  <c r="AT84" i="35"/>
  <c r="BF84" i="35" s="1"/>
  <c r="AQ84" i="35"/>
  <c r="AP84" i="35"/>
  <c r="AO84" i="35"/>
  <c r="AN84" i="35"/>
  <c r="AM84" i="35"/>
  <c r="AR84" i="35" s="1"/>
  <c r="P84" i="35"/>
  <c r="DW83" i="35"/>
  <c r="DV83" i="35"/>
  <c r="DU83" i="35"/>
  <c r="DT83" i="35"/>
  <c r="DS83" i="35"/>
  <c r="DR83" i="35"/>
  <c r="DQ83" i="35"/>
  <c r="DP83" i="35"/>
  <c r="DO83" i="35"/>
  <c r="DN83" i="35"/>
  <c r="DM83" i="35"/>
  <c r="DL83" i="35"/>
  <c r="DX83" i="35" s="1"/>
  <c r="DI83" i="35"/>
  <c r="DH83" i="35"/>
  <c r="DG83" i="35"/>
  <c r="DF83" i="35"/>
  <c r="DE83" i="35"/>
  <c r="DD83" i="35"/>
  <c r="DC83" i="35"/>
  <c r="DB83" i="35"/>
  <c r="DA83" i="35"/>
  <c r="CZ83" i="35"/>
  <c r="CY83" i="35"/>
  <c r="CX83" i="35"/>
  <c r="DJ83" i="35" s="1"/>
  <c r="CU83" i="35"/>
  <c r="CT83" i="35"/>
  <c r="DY82" i="35"/>
  <c r="DX82" i="35"/>
  <c r="DJ82" i="35"/>
  <c r="DA81" i="35"/>
  <c r="CZ81" i="35"/>
  <c r="CU81" i="35"/>
  <c r="CL81" i="35"/>
  <c r="BX81" i="35"/>
  <c r="BX87" i="35" s="1"/>
  <c r="BW81" i="35"/>
  <c r="BW87" i="35" s="1"/>
  <c r="BV81" i="35"/>
  <c r="BS81" i="35"/>
  <c r="BP81" i="35"/>
  <c r="BO81" i="35"/>
  <c r="BN81" i="35"/>
  <c r="BM81" i="35"/>
  <c r="BL81" i="35"/>
  <c r="BK81" i="35"/>
  <c r="BJ81" i="35"/>
  <c r="BI81" i="35"/>
  <c r="BH81" i="35"/>
  <c r="BC81" i="35"/>
  <c r="BB81" i="35"/>
  <c r="BA81" i="35"/>
  <c r="AZ81" i="35"/>
  <c r="AY81" i="35"/>
  <c r="AX81" i="35"/>
  <c r="AW81" i="35"/>
  <c r="AV81" i="35"/>
  <c r="AU81" i="35"/>
  <c r="AT81" i="35"/>
  <c r="AQ81" i="35"/>
  <c r="AP81" i="35"/>
  <c r="AO81" i="35"/>
  <c r="AN81" i="35"/>
  <c r="AM81" i="35"/>
  <c r="AL81" i="35"/>
  <c r="AK81" i="35"/>
  <c r="AJ81" i="35"/>
  <c r="AI81" i="35"/>
  <c r="AH81" i="35"/>
  <c r="AG81" i="35"/>
  <c r="AF81" i="35"/>
  <c r="AD81" i="35"/>
  <c r="P81" i="35"/>
  <c r="DA80" i="35"/>
  <c r="CZ80" i="35"/>
  <c r="CU80" i="35"/>
  <c r="DW79" i="35"/>
  <c r="DV79" i="35"/>
  <c r="DU79" i="35"/>
  <c r="DT79" i="35"/>
  <c r="DS79" i="35"/>
  <c r="DR79" i="35"/>
  <c r="DQ79" i="35"/>
  <c r="DP79" i="35"/>
  <c r="DO79" i="35"/>
  <c r="DN79" i="35"/>
  <c r="DM79" i="35"/>
  <c r="DL79" i="35"/>
  <c r="DX79" i="35" s="1"/>
  <c r="DI79" i="35"/>
  <c r="DH79" i="35"/>
  <c r="DG79" i="35"/>
  <c r="DF79" i="35"/>
  <c r="DE79" i="35"/>
  <c r="DD79" i="35"/>
  <c r="DC79" i="35"/>
  <c r="DB79" i="35"/>
  <c r="DA79" i="35"/>
  <c r="CZ79" i="35"/>
  <c r="CY79" i="35"/>
  <c r="CX79" i="35"/>
  <c r="DJ79" i="35" s="1"/>
  <c r="CU79" i="35"/>
  <c r="CT79" i="35"/>
  <c r="DW78" i="35"/>
  <c r="DV78" i="35"/>
  <c r="DU78" i="35"/>
  <c r="DT78" i="35"/>
  <c r="DS78" i="35"/>
  <c r="DR78" i="35"/>
  <c r="DQ78" i="35"/>
  <c r="DP78" i="35"/>
  <c r="DO78" i="35"/>
  <c r="DN78" i="35"/>
  <c r="DM78" i="35"/>
  <c r="DL78" i="35"/>
  <c r="DI78" i="35"/>
  <c r="DH78" i="35"/>
  <c r="DG78" i="35"/>
  <c r="DA78" i="35"/>
  <c r="CZ78" i="35"/>
  <c r="CY78" i="35"/>
  <c r="CX78" i="35"/>
  <c r="DW77" i="35"/>
  <c r="DV77" i="35"/>
  <c r="DU77" i="35"/>
  <c r="DT77" i="35"/>
  <c r="DS77" i="35"/>
  <c r="DR77" i="35"/>
  <c r="DQ77" i="35"/>
  <c r="DP77" i="35"/>
  <c r="DO77" i="35"/>
  <c r="DN77" i="35"/>
  <c r="DM77" i="35"/>
  <c r="DL77" i="35"/>
  <c r="DI77" i="35"/>
  <c r="DH77" i="35"/>
  <c r="DG77" i="35"/>
  <c r="DF77" i="35"/>
  <c r="DF95" i="35" s="1"/>
  <c r="DE77" i="35"/>
  <c r="DE95" i="35" s="1"/>
  <c r="DD77" i="35"/>
  <c r="DD95" i="35" s="1"/>
  <c r="DC77" i="35"/>
  <c r="DC95" i="35" s="1"/>
  <c r="DB77" i="35"/>
  <c r="DB95" i="35" s="1"/>
  <c r="DA77" i="35"/>
  <c r="CZ77" i="35"/>
  <c r="CY77" i="35"/>
  <c r="CX77" i="35"/>
  <c r="CR76" i="35"/>
  <c r="CQ76" i="35"/>
  <c r="CP76" i="35"/>
  <c r="CO76" i="35"/>
  <c r="CN76" i="35"/>
  <c r="CM76" i="35"/>
  <c r="CL76" i="35"/>
  <c r="CK76" i="35"/>
  <c r="CH76" i="35"/>
  <c r="CV76" i="35" s="1"/>
  <c r="DW75" i="35"/>
  <c r="DV75" i="35"/>
  <c r="DU75" i="35"/>
  <c r="DT75" i="35"/>
  <c r="DS75" i="35"/>
  <c r="DR75" i="35"/>
  <c r="DQ75" i="35"/>
  <c r="DP75" i="35"/>
  <c r="DO75" i="35"/>
  <c r="DN75" i="35"/>
  <c r="DM75" i="35"/>
  <c r="DL75" i="35"/>
  <c r="DX75" i="35" s="1"/>
  <c r="DI75" i="35"/>
  <c r="DH75" i="35"/>
  <c r="DG75" i="35"/>
  <c r="DF75" i="35"/>
  <c r="DE75" i="35"/>
  <c r="DD75" i="35"/>
  <c r="DC75" i="35"/>
  <c r="DB75" i="35"/>
  <c r="DA75" i="35"/>
  <c r="CZ75" i="35"/>
  <c r="CY75" i="35"/>
  <c r="CX75" i="35"/>
  <c r="DJ75" i="35" s="1"/>
  <c r="CW75" i="35"/>
  <c r="AQ74" i="35"/>
  <c r="AP74" i="35"/>
  <c r="AO74" i="35"/>
  <c r="AN74" i="35"/>
  <c r="AM74" i="35"/>
  <c r="AL74" i="35"/>
  <c r="AK74" i="35"/>
  <c r="AJ74" i="35"/>
  <c r="AI74" i="35"/>
  <c r="AH74" i="35"/>
  <c r="AG74" i="35"/>
  <c r="AF74" i="35"/>
  <c r="AR74" i="35" s="1"/>
  <c r="CG73" i="35"/>
  <c r="CF73" i="35"/>
  <c r="CE73" i="35"/>
  <c r="CD73" i="35"/>
  <c r="CC73" i="35"/>
  <c r="CB73" i="35"/>
  <c r="DN72" i="35"/>
  <c r="DM72" i="35"/>
  <c r="DL72" i="35"/>
  <c r="DI72" i="35"/>
  <c r="DW72" i="35" s="1"/>
  <c r="DA72" i="35"/>
  <c r="CT72" i="35"/>
  <c r="CS72" i="35"/>
  <c r="CR72" i="35"/>
  <c r="CQ72" i="35"/>
  <c r="CP72" i="35"/>
  <c r="CO72" i="35"/>
  <c r="CN72" i="35"/>
  <c r="CL72" i="35"/>
  <c r="CK72" i="35"/>
  <c r="CJ72" i="35"/>
  <c r="CH72" i="35"/>
  <c r="BQ72" i="35"/>
  <c r="BP72" i="35"/>
  <c r="BO72" i="35"/>
  <c r="BN72" i="35"/>
  <c r="BM72" i="35"/>
  <c r="BL72" i="35"/>
  <c r="BK72" i="35"/>
  <c r="BJ72" i="35"/>
  <c r="BI72" i="35"/>
  <c r="BH72" i="35"/>
  <c r="BT72" i="35" s="1"/>
  <c r="CH71" i="35"/>
  <c r="BT71" i="35"/>
  <c r="BB71" i="35"/>
  <c r="AR71" i="35"/>
  <c r="CH70" i="35"/>
  <c r="BQ70" i="35"/>
  <c r="AM70" i="35"/>
  <c r="AL70" i="35"/>
  <c r="AK70" i="35"/>
  <c r="AJ70" i="35"/>
  <c r="AI70" i="35"/>
  <c r="AH70" i="35"/>
  <c r="AG70" i="35"/>
  <c r="AF70" i="35"/>
  <c r="CH69" i="35"/>
  <c r="BT69" i="35"/>
  <c r="BF69" i="35"/>
  <c r="AR69" i="35"/>
  <c r="CM68" i="35"/>
  <c r="CL68" i="35"/>
  <c r="CK68" i="35"/>
  <c r="CJ68" i="35"/>
  <c r="BQ68" i="35"/>
  <c r="BP68" i="35"/>
  <c r="BO68" i="35"/>
  <c r="BN68" i="35"/>
  <c r="BM68" i="35"/>
  <c r="BL68" i="35"/>
  <c r="BK68" i="35"/>
  <c r="BJ68" i="35"/>
  <c r="BI68" i="35"/>
  <c r="BH68" i="35"/>
  <c r="BE68" i="35"/>
  <c r="BD68" i="35"/>
  <c r="BC68" i="35"/>
  <c r="BB68" i="35"/>
  <c r="BA68" i="35"/>
  <c r="AZ68" i="35"/>
  <c r="AY68" i="35"/>
  <c r="AX68" i="35"/>
  <c r="AW68" i="35"/>
  <c r="AV68" i="35"/>
  <c r="AU68" i="35"/>
  <c r="AT68" i="35"/>
  <c r="AQ68" i="35"/>
  <c r="AP68" i="35"/>
  <c r="AO68" i="35"/>
  <c r="AN68" i="35"/>
  <c r="AM68" i="35"/>
  <c r="AL68" i="35"/>
  <c r="AK68" i="35"/>
  <c r="AJ68" i="35"/>
  <c r="AI68" i="35"/>
  <c r="AH68" i="35"/>
  <c r="AG68" i="35"/>
  <c r="AF68" i="35"/>
  <c r="BF67" i="35"/>
  <c r="AR67" i="35"/>
  <c r="AD67" i="35"/>
  <c r="P67" i="35"/>
  <c r="BN66" i="35"/>
  <c r="BM66" i="35"/>
  <c r="BL66" i="35"/>
  <c r="BK66" i="35"/>
  <c r="BJ66" i="35"/>
  <c r="BI66" i="35"/>
  <c r="BH66" i="35"/>
  <c r="BA66" i="35"/>
  <c r="AZ66" i="35"/>
  <c r="AY66" i="35"/>
  <c r="AX66" i="35"/>
  <c r="AW66" i="35"/>
  <c r="AV66" i="35"/>
  <c r="AU66" i="35"/>
  <c r="AT66" i="35"/>
  <c r="BT65" i="35"/>
  <c r="BB65" i="35"/>
  <c r="AR65" i="35"/>
  <c r="BQ64" i="35"/>
  <c r="BQ66" i="35" s="1"/>
  <c r="BP64" i="35"/>
  <c r="BP66" i="35" s="1"/>
  <c r="BO64" i="35"/>
  <c r="BE64" i="35"/>
  <c r="BE66" i="35" s="1"/>
  <c r="BD64" i="35"/>
  <c r="BD66" i="35" s="1"/>
  <c r="BC64" i="35"/>
  <c r="BC66" i="35" s="1"/>
  <c r="BB64" i="35"/>
  <c r="BF64" i="35" s="1"/>
  <c r="CV63" i="35"/>
  <c r="BN63" i="35"/>
  <c r="BM63" i="35"/>
  <c r="BL63" i="35"/>
  <c r="BK63" i="35"/>
  <c r="BJ63" i="35"/>
  <c r="BI63" i="35"/>
  <c r="BH63" i="35"/>
  <c r="BT63" i="35" s="1"/>
  <c r="DX62" i="35"/>
  <c r="DJ62" i="35"/>
  <c r="CU62" i="35"/>
  <c r="CT62" i="35"/>
  <c r="CS62" i="35"/>
  <c r="CR62" i="35"/>
  <c r="CQ62" i="35"/>
  <c r="CP62" i="35"/>
  <c r="CO62" i="35"/>
  <c r="CN62" i="35"/>
  <c r="CM62" i="35"/>
  <c r="CL62" i="35"/>
  <c r="CK62" i="35"/>
  <c r="CJ62" i="35"/>
  <c r="CV62" i="35" s="1"/>
  <c r="BT62" i="35"/>
  <c r="BE62" i="35"/>
  <c r="BE72" i="35" s="1"/>
  <c r="BD62" i="35"/>
  <c r="BD72" i="35" s="1"/>
  <c r="BC62" i="35"/>
  <c r="BC72" i="35" s="1"/>
  <c r="BB62" i="35"/>
  <c r="BB63" i="35" s="1"/>
  <c r="BA62" i="35"/>
  <c r="AZ62" i="35"/>
  <c r="AZ72" i="35" s="1"/>
  <c r="AY62" i="35"/>
  <c r="AY72" i="35" s="1"/>
  <c r="AX62" i="35"/>
  <c r="AX72" i="35" s="1"/>
  <c r="AW62" i="35"/>
  <c r="AW72" i="35" s="1"/>
  <c r="AV62" i="35"/>
  <c r="AV72" i="35" s="1"/>
  <c r="AU62" i="35"/>
  <c r="AU72" i="35" s="1"/>
  <c r="AT62" i="35"/>
  <c r="AQ62" i="35"/>
  <c r="AP62" i="35"/>
  <c r="AO62" i="35"/>
  <c r="AO72" i="35" s="1"/>
  <c r="AN62" i="35"/>
  <c r="AN72" i="35" s="1"/>
  <c r="AM62" i="35"/>
  <c r="AM72" i="35" s="1"/>
  <c r="AL62" i="35"/>
  <c r="AK62" i="35"/>
  <c r="AK72" i="35" s="1"/>
  <c r="AJ62" i="35"/>
  <c r="AJ72" i="35" s="1"/>
  <c r="AI62" i="35"/>
  <c r="AI72" i="35" s="1"/>
  <c r="AG62" i="35"/>
  <c r="AG72" i="35" s="1"/>
  <c r="AF62" i="35"/>
  <c r="AC62" i="35"/>
  <c r="AB62" i="35"/>
  <c r="AA62" i="35"/>
  <c r="Z62" i="35"/>
  <c r="Y62" i="35"/>
  <c r="X62" i="35"/>
  <c r="W62" i="35"/>
  <c r="R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P62" i="35" s="1"/>
  <c r="CU61" i="35"/>
  <c r="CT61" i="35"/>
  <c r="CS61" i="35"/>
  <c r="CR61" i="35"/>
  <c r="CQ61" i="35"/>
  <c r="CP61" i="35"/>
  <c r="CO61" i="35"/>
  <c r="CN61" i="35"/>
  <c r="CM61" i="35"/>
  <c r="CL61" i="35"/>
  <c r="CK61" i="35"/>
  <c r="CJ61" i="35"/>
  <c r="BT61" i="35"/>
  <c r="BF61" i="35"/>
  <c r="AR61" i="35"/>
  <c r="AD61" i="35"/>
  <c r="P61" i="35"/>
  <c r="CU60" i="35"/>
  <c r="CT60" i="35"/>
  <c r="CS60" i="35"/>
  <c r="CR60" i="35"/>
  <c r="CQ60" i="35"/>
  <c r="CP60" i="35"/>
  <c r="CO60" i="35"/>
  <c r="CN60" i="35"/>
  <c r="CM60" i="35"/>
  <c r="CL60" i="35"/>
  <c r="CK60" i="35"/>
  <c r="CJ60" i="35"/>
  <c r="BF60" i="35"/>
  <c r="BF59" i="35"/>
  <c r="AR59" i="35"/>
  <c r="BF58" i="35"/>
  <c r="AR58" i="35"/>
  <c r="BF57" i="35"/>
  <c r="AR57" i="35"/>
  <c r="CG56" i="35"/>
  <c r="CF56" i="35"/>
  <c r="CE56" i="35"/>
  <c r="CD56" i="35"/>
  <c r="CC56" i="35"/>
  <c r="CB56" i="35"/>
  <c r="CA56" i="35"/>
  <c r="BZ56" i="35"/>
  <c r="BY56" i="35"/>
  <c r="BX56" i="35"/>
  <c r="BW56" i="35"/>
  <c r="BW62" i="35" s="1"/>
  <c r="BV56" i="35"/>
  <c r="BT56" i="35"/>
  <c r="BF56" i="35"/>
  <c r="AH56" i="35"/>
  <c r="AR56" i="35" s="1"/>
  <c r="CG55" i="35"/>
  <c r="CF55" i="35"/>
  <c r="CE55" i="35"/>
  <c r="CD55" i="35"/>
  <c r="CC55" i="35"/>
  <c r="CB55" i="35"/>
  <c r="CA55" i="35"/>
  <c r="BZ55" i="35"/>
  <c r="BY55" i="35"/>
  <c r="BX55" i="35"/>
  <c r="CH55" i="35" s="1"/>
  <c r="BF55" i="35"/>
  <c r="AH55" i="35"/>
  <c r="AR55" i="35" s="1"/>
  <c r="AD55" i="35"/>
  <c r="CG54" i="35"/>
  <c r="CF54" i="35"/>
  <c r="CE54" i="35"/>
  <c r="CD54" i="35"/>
  <c r="CC54" i="35"/>
  <c r="CB54" i="35"/>
  <c r="CA54" i="35"/>
  <c r="BZ54" i="35"/>
  <c r="BY54" i="35"/>
  <c r="BX54" i="35"/>
  <c r="CH54" i="35" s="1"/>
  <c r="BF54" i="35"/>
  <c r="AH54" i="35"/>
  <c r="AR54" i="35" s="1"/>
  <c r="AD54" i="35"/>
  <c r="CG53" i="35"/>
  <c r="CF53" i="35"/>
  <c r="CE53" i="35"/>
  <c r="CD53" i="35"/>
  <c r="CC53" i="35"/>
  <c r="CB53" i="35"/>
  <c r="CA53" i="35"/>
  <c r="BZ53" i="35"/>
  <c r="BY53" i="35"/>
  <c r="BX53" i="35"/>
  <c r="CH53" i="35" s="1"/>
  <c r="BF53" i="35"/>
  <c r="AH53" i="35"/>
  <c r="AR53" i="35" s="1"/>
  <c r="AD53" i="35"/>
  <c r="P53" i="35"/>
  <c r="CG52" i="35"/>
  <c r="CF52" i="35"/>
  <c r="CE52" i="35"/>
  <c r="CD52" i="35"/>
  <c r="CC52" i="35"/>
  <c r="CB52" i="35"/>
  <c r="CA52" i="35"/>
  <c r="BZ52" i="35"/>
  <c r="BY52" i="35"/>
  <c r="BX52" i="35"/>
  <c r="CH52" i="35" s="1"/>
  <c r="BF52" i="35"/>
  <c r="AH52" i="35"/>
  <c r="AR52" i="35" s="1"/>
  <c r="AD52" i="35"/>
  <c r="P52" i="35"/>
  <c r="CG51" i="35"/>
  <c r="CF51" i="35"/>
  <c r="CE51" i="35"/>
  <c r="CD51" i="35"/>
  <c r="CC51" i="35"/>
  <c r="CB51" i="35"/>
  <c r="CA51" i="35"/>
  <c r="BZ51" i="35"/>
  <c r="BY51" i="35"/>
  <c r="BX51" i="35"/>
  <c r="CH51" i="35" s="1"/>
  <c r="BF51" i="35"/>
  <c r="AH51" i="35"/>
  <c r="AR51" i="35" s="1"/>
  <c r="AD51" i="35"/>
  <c r="P51" i="35"/>
  <c r="CG50" i="35"/>
  <c r="CF50" i="35"/>
  <c r="CE50" i="35"/>
  <c r="CD50" i="35"/>
  <c r="CC50" i="35"/>
  <c r="CB50" i="35"/>
  <c r="CA50" i="35"/>
  <c r="BZ50" i="35"/>
  <c r="BY50" i="35"/>
  <c r="BX50" i="35"/>
  <c r="CH50" i="35" s="1"/>
  <c r="BF50" i="35"/>
  <c r="AH50" i="35"/>
  <c r="AD50" i="35"/>
  <c r="P50" i="35"/>
  <c r="CG49" i="35"/>
  <c r="CF49" i="35"/>
  <c r="CE49" i="35"/>
  <c r="CD49" i="35"/>
  <c r="CC49" i="35"/>
  <c r="CB49" i="35"/>
  <c r="CA49" i="35"/>
  <c r="BZ49" i="35"/>
  <c r="BY49" i="35"/>
  <c r="BX49" i="35"/>
  <c r="CH49" i="35" s="1"/>
  <c r="BF49" i="35"/>
  <c r="AR49" i="35"/>
  <c r="U49" i="35"/>
  <c r="T49" i="35"/>
  <c r="AD49" i="35" s="1"/>
  <c r="P49" i="35"/>
  <c r="CG48" i="35"/>
  <c r="CF48" i="35"/>
  <c r="CE48" i="35"/>
  <c r="CD48" i="35"/>
  <c r="CC48" i="35"/>
  <c r="CB48" i="35"/>
  <c r="CA48" i="35"/>
  <c r="BZ48" i="35"/>
  <c r="BY48" i="35"/>
  <c r="BX48" i="35"/>
  <c r="CH48" i="35" s="1"/>
  <c r="BF48" i="35"/>
  <c r="AR48" i="35"/>
  <c r="T48" i="35"/>
  <c r="AD48" i="35" s="1"/>
  <c r="P48" i="35"/>
  <c r="CG47" i="35"/>
  <c r="CF47" i="35"/>
  <c r="CE47" i="35"/>
  <c r="CD47" i="35"/>
  <c r="CC47" i="35"/>
  <c r="CB47" i="35"/>
  <c r="CA47" i="35"/>
  <c r="BZ47" i="35"/>
  <c r="BY47" i="35"/>
  <c r="BX47" i="35"/>
  <c r="CH47" i="35" s="1"/>
  <c r="BF47" i="35"/>
  <c r="AR47" i="35"/>
  <c r="U47" i="35"/>
  <c r="T47" i="35"/>
  <c r="S47" i="35"/>
  <c r="AD47" i="35" s="1"/>
  <c r="P47" i="35"/>
  <c r="CG46" i="35"/>
  <c r="CF46" i="35"/>
  <c r="CE46" i="35"/>
  <c r="CD46" i="35"/>
  <c r="CC46" i="35"/>
  <c r="CB46" i="35"/>
  <c r="CA46" i="35"/>
  <c r="BZ46" i="35"/>
  <c r="BY46" i="35"/>
  <c r="BX46" i="35"/>
  <c r="CH46" i="35" s="1"/>
  <c r="BF46" i="35"/>
  <c r="AR46" i="35"/>
  <c r="AD46" i="35"/>
  <c r="P46" i="35"/>
  <c r="CG45" i="35"/>
  <c r="CF45" i="35"/>
  <c r="CE45" i="35"/>
  <c r="CD45" i="35"/>
  <c r="CC45" i="35"/>
  <c r="CB45" i="35"/>
  <c r="CA45" i="35"/>
  <c r="BZ45" i="35"/>
  <c r="BY45" i="35"/>
  <c r="BX45" i="35"/>
  <c r="CH45" i="35" s="1"/>
  <c r="BF45" i="35"/>
  <c r="AR45" i="35"/>
  <c r="V45" i="35"/>
  <c r="V62" i="35" s="1"/>
  <c r="U45" i="35"/>
  <c r="AD45" i="35" s="1"/>
  <c r="P45" i="35"/>
  <c r="CG44" i="35"/>
  <c r="CF44" i="35"/>
  <c r="CE44" i="35"/>
  <c r="CD44" i="35"/>
  <c r="CC44" i="35"/>
  <c r="CB44" i="35"/>
  <c r="CA44" i="35"/>
  <c r="BZ44" i="35"/>
  <c r="BY44" i="35"/>
  <c r="BX44" i="35"/>
  <c r="CH44" i="35" s="1"/>
  <c r="BF44" i="35"/>
  <c r="AR44" i="35"/>
  <c r="T44" i="35"/>
  <c r="S44" i="35"/>
  <c r="P44" i="35"/>
  <c r="CG43" i="35"/>
  <c r="CF43" i="35"/>
  <c r="CE43" i="35"/>
  <c r="CD43" i="35"/>
  <c r="CC43" i="35"/>
  <c r="CB43" i="35"/>
  <c r="CA43" i="35"/>
  <c r="BZ43" i="35"/>
  <c r="BY43" i="35"/>
  <c r="BX43" i="35"/>
  <c r="CH43" i="35" s="1"/>
  <c r="BF43" i="35"/>
  <c r="AR43" i="35"/>
  <c r="AD43" i="35"/>
  <c r="P43" i="35"/>
  <c r="CG42" i="35"/>
  <c r="CF42" i="35"/>
  <c r="CE42" i="35"/>
  <c r="CD42" i="35"/>
  <c r="CC42" i="35"/>
  <c r="CB42" i="35"/>
  <c r="CA42" i="35"/>
  <c r="BZ42" i="35"/>
  <c r="BY42" i="35"/>
  <c r="BX42" i="35"/>
  <c r="CH42" i="35" s="1"/>
  <c r="BF42" i="35"/>
  <c r="AR42" i="35"/>
  <c r="U42" i="35"/>
  <c r="T42" i="35"/>
  <c r="AD42" i="35" s="1"/>
  <c r="P42" i="35"/>
  <c r="CG41" i="35"/>
  <c r="CG62" i="35" s="1"/>
  <c r="CF41" i="35"/>
  <c r="CF62" i="35" s="1"/>
  <c r="CE41" i="35"/>
  <c r="CE62" i="35" s="1"/>
  <c r="CE63" i="35" s="1"/>
  <c r="CD41" i="35"/>
  <c r="CD62" i="35" s="1"/>
  <c r="CD63" i="35" s="1"/>
  <c r="CC41" i="35"/>
  <c r="CC62" i="35" s="1"/>
  <c r="CC63" i="35" s="1"/>
  <c r="CB41" i="35"/>
  <c r="CB62" i="35" s="1"/>
  <c r="CA41" i="35"/>
  <c r="CA62" i="35" s="1"/>
  <c r="BZ41" i="35"/>
  <c r="BZ62" i="35" s="1"/>
  <c r="BY41" i="35"/>
  <c r="BY62" i="35" s="1"/>
  <c r="BX41" i="35"/>
  <c r="BX62" i="35" s="1"/>
  <c r="BF41" i="35"/>
  <c r="AR41" i="35"/>
  <c r="U41" i="35"/>
  <c r="U62" i="35" s="1"/>
  <c r="T41" i="35"/>
  <c r="P41" i="35"/>
  <c r="DX39" i="35"/>
  <c r="DJ39" i="35"/>
  <c r="DN38" i="35"/>
  <c r="DM38" i="35"/>
  <c r="DL38" i="35"/>
  <c r="DI38" i="35"/>
  <c r="DW38" i="35" s="1"/>
  <c r="DH38" i="35"/>
  <c r="DV38" i="35" s="1"/>
  <c r="DG38" i="35"/>
  <c r="DU38" i="35" s="1"/>
  <c r="DF38" i="35"/>
  <c r="DT38" i="35" s="1"/>
  <c r="DE38" i="35"/>
  <c r="DS38" i="35" s="1"/>
  <c r="DD38" i="35"/>
  <c r="DR38" i="35" s="1"/>
  <c r="DC38" i="35"/>
  <c r="DQ38" i="35" s="1"/>
  <c r="DB38" i="35"/>
  <c r="DP38" i="35" s="1"/>
  <c r="DA38" i="35"/>
  <c r="CP38" i="35"/>
  <c r="CJ38" i="35"/>
  <c r="CI38" i="35"/>
  <c r="CG38" i="35"/>
  <c r="CF38" i="35"/>
  <c r="CF64" i="35" s="1"/>
  <c r="CE38" i="35"/>
  <c r="CE64" i="35" s="1"/>
  <c r="CD38" i="35"/>
  <c r="CD64" i="35" s="1"/>
  <c r="CC38" i="35"/>
  <c r="CC64" i="35" s="1"/>
  <c r="CB38" i="35"/>
  <c r="CB64" i="35" s="1"/>
  <c r="CA38" i="35"/>
  <c r="CA64" i="35" s="1"/>
  <c r="BZ38" i="35"/>
  <c r="BZ64" i="35" s="1"/>
  <c r="BY38" i="35"/>
  <c r="BY64" i="35" s="1"/>
  <c r="BX38" i="35"/>
  <c r="BX64" i="35" s="1"/>
  <c r="BW38" i="35"/>
  <c r="BW64" i="35" s="1"/>
  <c r="BV38" i="35"/>
  <c r="BV64" i="35" s="1"/>
  <c r="BS38" i="35"/>
  <c r="BR38" i="35"/>
  <c r="BQ38" i="35"/>
  <c r="BE38" i="35"/>
  <c r="BE70" i="35" s="1"/>
  <c r="BD38" i="35"/>
  <c r="BD70" i="35" s="1"/>
  <c r="BC38" i="35"/>
  <c r="BC70" i="35" s="1"/>
  <c r="BB38" i="35"/>
  <c r="BB70" i="35" s="1"/>
  <c r="BA38" i="35"/>
  <c r="BA70" i="35" s="1"/>
  <c r="AZ38" i="35"/>
  <c r="AZ70" i="35" s="1"/>
  <c r="AY38" i="35"/>
  <c r="AY70" i="35" s="1"/>
  <c r="AX38" i="35"/>
  <c r="AX70" i="35" s="1"/>
  <c r="AW38" i="35"/>
  <c r="AW70" i="35" s="1"/>
  <c r="AV38" i="35"/>
  <c r="AV70" i="35" s="1"/>
  <c r="AU38" i="35"/>
  <c r="AU70" i="35" s="1"/>
  <c r="AT38" i="35"/>
  <c r="U38" i="35"/>
  <c r="AD38" i="35" s="1"/>
  <c r="P38" i="35"/>
  <c r="CQ37" i="35"/>
  <c r="CK37" i="35"/>
  <c r="AQ37" i="35"/>
  <c r="AQ38" i="35" s="1"/>
  <c r="AQ70" i="35" s="1"/>
  <c r="AP37" i="35"/>
  <c r="AP38" i="35" s="1"/>
  <c r="AP70" i="35" s="1"/>
  <c r="AO37" i="35"/>
  <c r="AO38" i="35" s="1"/>
  <c r="AO70" i="35" s="1"/>
  <c r="AN37" i="35"/>
  <c r="AN38" i="35" s="1"/>
  <c r="CV36" i="35"/>
  <c r="CG36" i="35"/>
  <c r="CF36" i="35"/>
  <c r="CE36" i="35"/>
  <c r="CD36" i="35"/>
  <c r="CC36" i="35"/>
  <c r="CB36" i="35"/>
  <c r="CA36" i="35"/>
  <c r="BZ36" i="35"/>
  <c r="BY36" i="35"/>
  <c r="BX36" i="35"/>
  <c r="BW36" i="35"/>
  <c r="BV36" i="35"/>
  <c r="CH36" i="35" s="1"/>
  <c r="BQ36" i="35"/>
  <c r="BT36" i="35" s="1"/>
  <c r="BF36" i="35"/>
  <c r="DX35" i="35"/>
  <c r="DW35" i="35"/>
  <c r="DV35" i="35"/>
  <c r="DU35" i="35"/>
  <c r="DT35" i="35"/>
  <c r="DS35" i="35"/>
  <c r="DR35" i="35"/>
  <c r="DQ35" i="35"/>
  <c r="DP35" i="35"/>
  <c r="DO35" i="35"/>
  <c r="DN35" i="35"/>
  <c r="DM35" i="35"/>
  <c r="DL35" i="35"/>
  <c r="CG35" i="35"/>
  <c r="CF35" i="35"/>
  <c r="CE35" i="35"/>
  <c r="CD35" i="35"/>
  <c r="CC35" i="35"/>
  <c r="CB35" i="35"/>
  <c r="CA35" i="35"/>
  <c r="BZ35" i="35"/>
  <c r="BY35" i="35"/>
  <c r="BX35" i="35"/>
  <c r="BW35" i="35"/>
  <c r="BP35" i="35"/>
  <c r="BO35" i="35"/>
  <c r="BN35" i="35"/>
  <c r="BM35" i="35"/>
  <c r="BL35" i="35"/>
  <c r="BK35" i="35"/>
  <c r="BJ35" i="35"/>
  <c r="BI35" i="35"/>
  <c r="BH35" i="35"/>
  <c r="BE35" i="35"/>
  <c r="BD35" i="35"/>
  <c r="BC35" i="35"/>
  <c r="BB35" i="35"/>
  <c r="AZ35" i="35"/>
  <c r="AY35" i="35"/>
  <c r="DW34" i="35"/>
  <c r="DN34" i="35"/>
  <c r="DM34" i="35"/>
  <c r="DL34" i="35"/>
  <c r="DI34" i="35"/>
  <c r="CZ34" i="35"/>
  <c r="CP34" i="35"/>
  <c r="CJ34" i="35"/>
  <c r="CG34" i="35"/>
  <c r="CG77" i="35" s="1"/>
  <c r="CF34" i="35"/>
  <c r="CF77" i="35" s="1"/>
  <c r="CE34" i="35"/>
  <c r="CE77" i="35" s="1"/>
  <c r="CD34" i="35"/>
  <c r="CD77" i="35" s="1"/>
  <c r="CC34" i="35"/>
  <c r="CC77" i="35" s="1"/>
  <c r="CB34" i="35"/>
  <c r="CB77" i="35" s="1"/>
  <c r="CA34" i="35"/>
  <c r="CA77" i="35" s="1"/>
  <c r="BZ34" i="35"/>
  <c r="BZ77" i="35" s="1"/>
  <c r="BY34" i="35"/>
  <c r="BY77" i="35" s="1"/>
  <c r="BX34" i="35"/>
  <c r="BX77" i="35" s="1"/>
  <c r="BW34" i="35"/>
  <c r="BW77" i="35" s="1"/>
  <c r="BV34" i="35"/>
  <c r="BR34" i="35"/>
  <c r="BS64" i="35" s="1"/>
  <c r="CG64" i="35" s="1"/>
  <c r="BQ34" i="35"/>
  <c r="BQ94" i="35" s="1"/>
  <c r="BP34" i="35"/>
  <c r="BO34" i="35"/>
  <c r="BN34" i="35"/>
  <c r="BM34" i="35"/>
  <c r="BL34" i="35"/>
  <c r="BK34" i="35"/>
  <c r="BJ34" i="35"/>
  <c r="BI34" i="35"/>
  <c r="BH34" i="35"/>
  <c r="BT34" i="35" s="1"/>
  <c r="BE34" i="35"/>
  <c r="BE94" i="35" s="1"/>
  <c r="BD34" i="35"/>
  <c r="BD94" i="35" s="1"/>
  <c r="BC34" i="35"/>
  <c r="BB34" i="35"/>
  <c r="BA34" i="35"/>
  <c r="AZ34" i="35"/>
  <c r="AY34" i="35"/>
  <c r="AX34" i="35"/>
  <c r="AW34" i="35"/>
  <c r="AV34" i="35"/>
  <c r="AU34" i="35"/>
  <c r="AT34" i="35"/>
  <c r="BF34" i="35" s="1"/>
  <c r="AQ34" i="35"/>
  <c r="AP34" i="35"/>
  <c r="AO34" i="35"/>
  <c r="AN34" i="35"/>
  <c r="AM34" i="35"/>
  <c r="AL34" i="35"/>
  <c r="AK34" i="35"/>
  <c r="AJ34" i="35"/>
  <c r="AI34" i="35"/>
  <c r="AG34" i="35"/>
  <c r="AF34" i="35"/>
  <c r="AC34" i="35"/>
  <c r="AC94" i="35" s="1"/>
  <c r="AB34" i="35"/>
  <c r="AB94" i="35" s="1"/>
  <c r="AA34" i="35"/>
  <c r="AA94" i="35" s="1"/>
  <c r="Z34" i="35"/>
  <c r="Z94" i="35" s="1"/>
  <c r="Y34" i="35"/>
  <c r="Y94" i="35" s="1"/>
  <c r="X34" i="35"/>
  <c r="X94" i="35" s="1"/>
  <c r="W34" i="35"/>
  <c r="W94" i="35" s="1"/>
  <c r="V34" i="35"/>
  <c r="V94" i="35" s="1"/>
  <c r="U34" i="35"/>
  <c r="U94" i="35" s="1"/>
  <c r="R34" i="35"/>
  <c r="P34" i="35"/>
  <c r="O34" i="35"/>
  <c r="O94" i="35" s="1"/>
  <c r="N34" i="35"/>
  <c r="N94" i="35" s="1"/>
  <c r="M34" i="35"/>
  <c r="M94" i="35" s="1"/>
  <c r="L34" i="35"/>
  <c r="L94" i="35" s="1"/>
  <c r="K34" i="35"/>
  <c r="J34" i="35"/>
  <c r="I34" i="35"/>
  <c r="H34" i="35"/>
  <c r="G34" i="35"/>
  <c r="F34" i="35"/>
  <c r="E34" i="35"/>
  <c r="D34" i="35"/>
  <c r="CM33" i="35"/>
  <c r="CL33" i="35"/>
  <c r="CK33" i="35"/>
  <c r="CJ33" i="35"/>
  <c r="CG33" i="35"/>
  <c r="CF33" i="35"/>
  <c r="CE33" i="35"/>
  <c r="CD33" i="35"/>
  <c r="CC33" i="35"/>
  <c r="CB33" i="35"/>
  <c r="CA33" i="35"/>
  <c r="BZ33" i="35"/>
  <c r="BY33" i="35"/>
  <c r="BX33" i="35"/>
  <c r="BW33" i="35"/>
  <c r="BV33" i="35"/>
  <c r="CM31" i="35"/>
  <c r="CL31" i="35"/>
  <c r="CK31" i="35"/>
  <c r="CJ31" i="35"/>
  <c r="BG30" i="35"/>
  <c r="CG29" i="35"/>
  <c r="CF29" i="35"/>
  <c r="CF30" i="35" s="1"/>
  <c r="CE29" i="35"/>
  <c r="CE30" i="35" s="1"/>
  <c r="CD29" i="35"/>
  <c r="CD30" i="35" s="1"/>
  <c r="CC29" i="35"/>
  <c r="CC30" i="35" s="1"/>
  <c r="CB29" i="35"/>
  <c r="CB30" i="35" s="1"/>
  <c r="CA29" i="35"/>
  <c r="CA30" i="35" s="1"/>
  <c r="BZ29" i="35"/>
  <c r="BZ30" i="35" s="1"/>
  <c r="BY29" i="35"/>
  <c r="BY30" i="35" s="1"/>
  <c r="BX29" i="35"/>
  <c r="BX30" i="35" s="1"/>
  <c r="BW29" i="35"/>
  <c r="BW30" i="35" s="1"/>
  <c r="BV29" i="35"/>
  <c r="BV30" i="35" s="1"/>
  <c r="BS29" i="35"/>
  <c r="BR29" i="35"/>
  <c r="BR30" i="35" s="1"/>
  <c r="BQ29" i="35"/>
  <c r="BQ30" i="35" s="1"/>
  <c r="BP29" i="35"/>
  <c r="BP30" i="35" s="1"/>
  <c r="BO29" i="35"/>
  <c r="BO30" i="35" s="1"/>
  <c r="BN29" i="35"/>
  <c r="BN30" i="35" s="1"/>
  <c r="BM29" i="35"/>
  <c r="BM30" i="35" s="1"/>
  <c r="BL29" i="35"/>
  <c r="BL30" i="35" s="1"/>
  <c r="BK29" i="35"/>
  <c r="BK30" i="35" s="1"/>
  <c r="BJ29" i="35"/>
  <c r="BJ30" i="35" s="1"/>
  <c r="BI29" i="35"/>
  <c r="BI30" i="35" s="1"/>
  <c r="BH29" i="35"/>
  <c r="BH30" i="35" s="1"/>
  <c r="BE29" i="35"/>
  <c r="BE30" i="35" s="1"/>
  <c r="BD29" i="35"/>
  <c r="BD30" i="35" s="1"/>
  <c r="BC29" i="35"/>
  <c r="BC30" i="35" s="1"/>
  <c r="BB29" i="35"/>
  <c r="BB30" i="35" s="1"/>
  <c r="BA29" i="35"/>
  <c r="BA30" i="35" s="1"/>
  <c r="AZ29" i="35"/>
  <c r="AZ30" i="35" s="1"/>
  <c r="AY29" i="35"/>
  <c r="AY30" i="35" s="1"/>
  <c r="AX29" i="35"/>
  <c r="AX30" i="35" s="1"/>
  <c r="AW29" i="35"/>
  <c r="AW30" i="35" s="1"/>
  <c r="AV29" i="35"/>
  <c r="AV30" i="35" s="1"/>
  <c r="AU29" i="35"/>
  <c r="AU30" i="35" s="1"/>
  <c r="AT29" i="35"/>
  <c r="AQ29" i="35"/>
  <c r="AP29" i="35"/>
  <c r="AP30" i="35" s="1"/>
  <c r="AO29" i="35"/>
  <c r="AO30" i="35" s="1"/>
  <c r="AN29" i="35"/>
  <c r="AN30" i="35" s="1"/>
  <c r="AM29" i="35"/>
  <c r="AM30" i="35" s="1"/>
  <c r="AL29" i="35"/>
  <c r="AL30" i="35" s="1"/>
  <c r="AK29" i="35"/>
  <c r="AK30" i="35" s="1"/>
  <c r="AJ29" i="35"/>
  <c r="AJ30" i="35" s="1"/>
  <c r="AI29" i="35"/>
  <c r="AI30" i="35" s="1"/>
  <c r="AH29" i="35"/>
  <c r="AH30" i="35" s="1"/>
  <c r="AG29" i="35"/>
  <c r="AG30" i="35" s="1"/>
  <c r="AF29" i="35"/>
  <c r="AF30" i="35" s="1"/>
  <c r="AC29" i="35"/>
  <c r="AB29" i="35"/>
  <c r="AA29" i="35"/>
  <c r="Z29" i="35"/>
  <c r="Y29" i="35"/>
  <c r="X29" i="35"/>
  <c r="AD29" i="35" s="1"/>
  <c r="W29" i="35"/>
  <c r="V29" i="35"/>
  <c r="U29" i="35"/>
  <c r="T29" i="35"/>
  <c r="S29" i="35"/>
  <c r="R29" i="35"/>
  <c r="O29" i="35"/>
  <c r="N29" i="35"/>
  <c r="M29" i="35"/>
  <c r="L29" i="35"/>
  <c r="K29" i="35"/>
  <c r="J29" i="35"/>
  <c r="P29" i="35" s="1"/>
  <c r="H29" i="35"/>
  <c r="G29" i="35"/>
  <c r="F29" i="35"/>
  <c r="E29" i="35"/>
  <c r="D29" i="35"/>
  <c r="CH26" i="35"/>
  <c r="BT26" i="35"/>
  <c r="BF26" i="35"/>
  <c r="AR26" i="35"/>
  <c r="CH25" i="35"/>
  <c r="BT25" i="35"/>
  <c r="BF25" i="35"/>
  <c r="AR25" i="35"/>
  <c r="CH24" i="35"/>
  <c r="BT24" i="35"/>
  <c r="BF24" i="35"/>
  <c r="AR24" i="35"/>
  <c r="CI23" i="35"/>
  <c r="CI25" i="35" s="1"/>
  <c r="CH23" i="35"/>
  <c r="BT23" i="35"/>
  <c r="BF23" i="35"/>
  <c r="AR23" i="35"/>
  <c r="U23" i="35"/>
  <c r="CZ22" i="35"/>
  <c r="DA22" i="35" s="1"/>
  <c r="DB22" i="35" s="1"/>
  <c r="DC22" i="35" s="1"/>
  <c r="DD22" i="35" s="1"/>
  <c r="DE22" i="35" s="1"/>
  <c r="DF22" i="35" s="1"/>
  <c r="DG22" i="35" s="1"/>
  <c r="DH22" i="35" s="1"/>
  <c r="DI22" i="35" s="1"/>
  <c r="DL22" i="35" s="1"/>
  <c r="DM22" i="35" s="1"/>
  <c r="DN22" i="35" s="1"/>
  <c r="DO22" i="35" s="1"/>
  <c r="DP22" i="35" s="1"/>
  <c r="DQ22" i="35" s="1"/>
  <c r="DR22" i="35" s="1"/>
  <c r="DS22" i="35" s="1"/>
  <c r="DT22" i="35" s="1"/>
  <c r="DU22" i="35" s="1"/>
  <c r="DV22" i="35" s="1"/>
  <c r="DW22" i="35" s="1"/>
  <c r="CT22" i="35"/>
  <c r="CU22" i="35" s="1"/>
  <c r="DA21" i="35"/>
  <c r="DB21" i="35" s="1"/>
  <c r="DC21" i="35" s="1"/>
  <c r="DD21" i="35" s="1"/>
  <c r="DE21" i="35" s="1"/>
  <c r="DF21" i="35" s="1"/>
  <c r="DG21" i="35" s="1"/>
  <c r="DH21" i="35" s="1"/>
  <c r="DI21" i="35" s="1"/>
  <c r="DL21" i="35" s="1"/>
  <c r="DM21" i="35" s="1"/>
  <c r="DN21" i="35" s="1"/>
  <c r="DO21" i="35" s="1"/>
  <c r="DP21" i="35" s="1"/>
  <c r="DQ21" i="35" s="1"/>
  <c r="DR21" i="35" s="1"/>
  <c r="DS21" i="35" s="1"/>
  <c r="DT21" i="35" s="1"/>
  <c r="DU21" i="35" s="1"/>
  <c r="DV21" i="35" s="1"/>
  <c r="DW21" i="35" s="1"/>
  <c r="CT21" i="35"/>
  <c r="CU21" i="35" s="1"/>
  <c r="DA20" i="35"/>
  <c r="CS20" i="35"/>
  <c r="CH20" i="35"/>
  <c r="CH33" i="35" s="1"/>
  <c r="BT20" i="35"/>
  <c r="BF20" i="35"/>
  <c r="AR20" i="35"/>
  <c r="I20" i="35"/>
  <c r="I29" i="35" s="1"/>
  <c r="DA19" i="35"/>
  <c r="CZ19" i="35"/>
  <c r="DW18" i="35"/>
  <c r="DI18" i="35"/>
  <c r="DW15" i="35"/>
  <c r="DI15" i="35"/>
  <c r="DA11" i="35"/>
  <c r="CH11" i="35"/>
  <c r="CM10" i="35"/>
  <c r="CL10" i="35"/>
  <c r="CH10" i="35"/>
  <c r="CG10" i="35"/>
  <c r="CG31" i="35" s="1"/>
  <c r="CH31" i="35" s="1"/>
  <c r="CF10" i="35"/>
  <c r="CF31" i="35" s="1"/>
  <c r="CE10" i="35"/>
  <c r="CE31" i="35" s="1"/>
  <c r="CD10" i="35"/>
  <c r="CD31" i="35" s="1"/>
  <c r="CC10" i="35"/>
  <c r="CC31" i="35" s="1"/>
  <c r="CB10" i="35"/>
  <c r="CB31" i="35" s="1"/>
  <c r="CA10" i="35"/>
  <c r="CA31" i="35" s="1"/>
  <c r="BZ10" i="35"/>
  <c r="BZ31" i="35" s="1"/>
  <c r="BY10" i="35"/>
  <c r="BY31" i="35" s="1"/>
  <c r="BX10" i="35"/>
  <c r="BX31" i="35" s="1"/>
  <c r="BW10" i="35"/>
  <c r="BW31" i="35" s="1"/>
  <c r="BV10" i="35"/>
  <c r="BV31" i="35" s="1"/>
  <c r="BS10" i="35"/>
  <c r="BR10" i="35"/>
  <c r="BQ10" i="35"/>
  <c r="BP10" i="35"/>
  <c r="BO10" i="35"/>
  <c r="BN10" i="35"/>
  <c r="BM10" i="35"/>
  <c r="BL10" i="35"/>
  <c r="BK10" i="35"/>
  <c r="BJ10" i="35"/>
  <c r="BI10" i="35"/>
  <c r="BH10" i="35"/>
  <c r="BE10" i="35"/>
  <c r="BD10" i="35"/>
  <c r="BC10" i="35"/>
  <c r="BB10" i="35"/>
  <c r="BA10" i="35"/>
  <c r="AZ10" i="35"/>
  <c r="AY10" i="35"/>
  <c r="AX10" i="35"/>
  <c r="AW10" i="35"/>
  <c r="AV10" i="35"/>
  <c r="AU10" i="35"/>
  <c r="AT10" i="35"/>
  <c r="AQ10" i="35"/>
  <c r="AP10" i="35"/>
  <c r="AO10" i="35"/>
  <c r="AN10" i="35"/>
  <c r="AM10" i="35"/>
  <c r="AL10" i="35"/>
  <c r="AK10" i="35"/>
  <c r="AJ10" i="35"/>
  <c r="AI10" i="35"/>
  <c r="AH10" i="35"/>
  <c r="AG10" i="35"/>
  <c r="AF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DW7" i="35"/>
  <c r="DV7" i="35"/>
  <c r="DU7" i="35"/>
  <c r="DT7" i="35"/>
  <c r="DS7" i="35"/>
  <c r="DR7" i="35"/>
  <c r="DQ7" i="35"/>
  <c r="DP7" i="35"/>
  <c r="DO7" i="35"/>
  <c r="DN7" i="35"/>
  <c r="DM7" i="35"/>
  <c r="DL7" i="35"/>
  <c r="DI7" i="35"/>
  <c r="DH7" i="35"/>
  <c r="DG7" i="35"/>
  <c r="DF7" i="35"/>
  <c r="DE7" i="35"/>
  <c r="DD7" i="35"/>
  <c r="DC7" i="35"/>
  <c r="DB7" i="35"/>
  <c r="CY7" i="35"/>
  <c r="CX7" i="35"/>
  <c r="CT7" i="35"/>
  <c r="CT81" i="35" s="1"/>
  <c r="CS7" i="35"/>
  <c r="CR7" i="35"/>
  <c r="CR81" i="35" s="1"/>
  <c r="CQ7" i="35"/>
  <c r="CQ81" i="35" s="1"/>
  <c r="CP7" i="35"/>
  <c r="CP81" i="35" s="1"/>
  <c r="CO7" i="35"/>
  <c r="CN7" i="35"/>
  <c r="CM7" i="35"/>
  <c r="CK7" i="35"/>
  <c r="CJ7" i="35"/>
  <c r="CG7" i="35"/>
  <c r="CF7" i="35"/>
  <c r="CE7" i="35"/>
  <c r="CD7" i="35"/>
  <c r="CC7" i="35"/>
  <c r="CB7" i="35"/>
  <c r="CA7" i="35"/>
  <c r="BZ7" i="35"/>
  <c r="BY7" i="35"/>
  <c r="C7" i="35"/>
  <c r="C6" i="35"/>
  <c r="C5" i="35"/>
  <c r="C4" i="35"/>
  <c r="C3" i="35"/>
  <c r="DJ35" i="34"/>
  <c r="DJ36" i="34"/>
  <c r="DJ37" i="34"/>
  <c r="DJ38" i="34"/>
  <c r="DJ39" i="34"/>
  <c r="DJ40" i="34"/>
  <c r="DJ41" i="34"/>
  <c r="DJ42" i="34"/>
  <c r="DJ43" i="34"/>
  <c r="DJ44" i="34"/>
  <c r="DJ45" i="34"/>
  <c r="DJ46" i="34"/>
  <c r="DJ47" i="34"/>
  <c r="DJ48" i="34"/>
  <c r="DJ49" i="34"/>
  <c r="DJ50" i="34"/>
  <c r="DJ51" i="34"/>
  <c r="DJ52" i="34"/>
  <c r="DJ53" i="34"/>
  <c r="DJ54" i="34"/>
  <c r="DJ55" i="34"/>
  <c r="DJ56" i="34"/>
  <c r="DJ57" i="34"/>
  <c r="DJ58" i="34"/>
  <c r="DJ59" i="34"/>
  <c r="DJ60" i="34"/>
  <c r="DJ61" i="34"/>
  <c r="DJ62" i="34"/>
  <c r="DJ63" i="34"/>
  <c r="DJ64" i="34"/>
  <c r="DJ65" i="34"/>
  <c r="DJ66" i="34"/>
  <c r="DJ67" i="34"/>
  <c r="DJ68" i="34"/>
  <c r="DJ69" i="34"/>
  <c r="DJ70" i="34"/>
  <c r="DJ71" i="34"/>
  <c r="DJ72" i="34"/>
  <c r="DJ73" i="34"/>
  <c r="DJ74" i="34"/>
  <c r="DJ75" i="34"/>
  <c r="DJ76" i="34"/>
  <c r="DJ77" i="34"/>
  <c r="DJ78" i="34"/>
  <c r="DJ79" i="34"/>
  <c r="DJ34" i="34"/>
  <c r="CZ19" i="34"/>
  <c r="DJ34" i="33"/>
  <c r="CZ19" i="33"/>
  <c r="C110" i="34"/>
  <c r="C108" i="34"/>
  <c r="C113" i="34" s="1"/>
  <c r="DV101" i="34"/>
  <c r="DH101" i="34"/>
  <c r="DW100" i="34"/>
  <c r="DV100" i="34"/>
  <c r="DU100" i="34"/>
  <c r="DT100" i="34"/>
  <c r="DS100" i="34"/>
  <c r="DR100" i="34"/>
  <c r="DQ100" i="34"/>
  <c r="DP100" i="34"/>
  <c r="DO100" i="34"/>
  <c r="DN100" i="34"/>
  <c r="DM100" i="34"/>
  <c r="DL100" i="34"/>
  <c r="DI100" i="34"/>
  <c r="DH100" i="34"/>
  <c r="DG100" i="34"/>
  <c r="DF100" i="34"/>
  <c r="DE100" i="34"/>
  <c r="DD100" i="34"/>
  <c r="DC100" i="34"/>
  <c r="DB100" i="34"/>
  <c r="DA100" i="34"/>
  <c r="CZ100" i="34"/>
  <c r="CY100" i="34"/>
  <c r="CX100" i="34"/>
  <c r="DW99" i="34"/>
  <c r="DO99" i="34"/>
  <c r="DN99" i="34"/>
  <c r="DM99" i="34"/>
  <c r="DL99" i="34"/>
  <c r="DI99" i="34"/>
  <c r="DA99" i="34"/>
  <c r="CZ99" i="34"/>
  <c r="CY99" i="34"/>
  <c r="CX99" i="34"/>
  <c r="CU99" i="34"/>
  <c r="CS98" i="34"/>
  <c r="DW97" i="34"/>
  <c r="DV97" i="34"/>
  <c r="DU97" i="34"/>
  <c r="DT97" i="34"/>
  <c r="DS97" i="34"/>
  <c r="DR97" i="34"/>
  <c r="DQ97" i="34"/>
  <c r="DP97" i="34"/>
  <c r="DO97" i="34"/>
  <c r="DN97" i="34"/>
  <c r="DM97" i="34"/>
  <c r="DL97" i="34"/>
  <c r="CU97" i="34"/>
  <c r="CT97" i="34"/>
  <c r="CS97" i="34"/>
  <c r="CQ97" i="34"/>
  <c r="CP97" i="34"/>
  <c r="CO97" i="34"/>
  <c r="K94" i="34"/>
  <c r="J94" i="34"/>
  <c r="I94" i="34"/>
  <c r="H94" i="34"/>
  <c r="G94" i="34"/>
  <c r="F94" i="34"/>
  <c r="E94" i="34"/>
  <c r="D94" i="34"/>
  <c r="P94" i="34" s="1"/>
  <c r="CS93" i="34"/>
  <c r="BT92" i="34"/>
  <c r="BF92" i="34"/>
  <c r="AL92" i="34"/>
  <c r="AK92" i="34"/>
  <c r="AJ92" i="34"/>
  <c r="AI92" i="34"/>
  <c r="AH92" i="34"/>
  <c r="AG92" i="34"/>
  <c r="AF92" i="34"/>
  <c r="AR92" i="34" s="1"/>
  <c r="BT91" i="34"/>
  <c r="BB91" i="34"/>
  <c r="BF91" i="34" s="1"/>
  <c r="AR91" i="34"/>
  <c r="DM90" i="34"/>
  <c r="DL90" i="34"/>
  <c r="DI90" i="34"/>
  <c r="DH90" i="34"/>
  <c r="DG90" i="34"/>
  <c r="DF90" i="34"/>
  <c r="DE90" i="34"/>
  <c r="DD90" i="34"/>
  <c r="DC90" i="34"/>
  <c r="DB90" i="34"/>
  <c r="CM90" i="34"/>
  <c r="CL90" i="34"/>
  <c r="CK90" i="34"/>
  <c r="CG90" i="34"/>
  <c r="CD90" i="34"/>
  <c r="CC90" i="34"/>
  <c r="CB90" i="34"/>
  <c r="BQ90" i="34"/>
  <c r="BQ93" i="34" s="1"/>
  <c r="BP90" i="34"/>
  <c r="BO90" i="34"/>
  <c r="BN90" i="34"/>
  <c r="BM90" i="34"/>
  <c r="BL90" i="34"/>
  <c r="BK90" i="34"/>
  <c r="BJ90" i="34"/>
  <c r="BI90" i="34"/>
  <c r="BH90" i="34"/>
  <c r="BE90" i="34"/>
  <c r="BE93" i="34" s="1"/>
  <c r="BD90" i="34"/>
  <c r="BD93" i="34" s="1"/>
  <c r="BC90" i="34"/>
  <c r="BB90" i="34"/>
  <c r="BA90" i="34"/>
  <c r="AZ90" i="34"/>
  <c r="AY90" i="34"/>
  <c r="AX90" i="34"/>
  <c r="AW90" i="34"/>
  <c r="AV90" i="34"/>
  <c r="AU90" i="34"/>
  <c r="AT90" i="34"/>
  <c r="AQ90" i="34"/>
  <c r="AP90" i="34"/>
  <c r="AO90" i="34"/>
  <c r="AN90" i="34"/>
  <c r="AM90" i="34"/>
  <c r="AD90" i="34"/>
  <c r="P90" i="34"/>
  <c r="CN88" i="34"/>
  <c r="BE88" i="34"/>
  <c r="BD88" i="34"/>
  <c r="DW87" i="34"/>
  <c r="DV87" i="34"/>
  <c r="DU87" i="34"/>
  <c r="DT87" i="34"/>
  <c r="DS87" i="34"/>
  <c r="DR87" i="34"/>
  <c r="DQ87" i="34"/>
  <c r="DP87" i="34"/>
  <c r="DO87" i="34"/>
  <c r="DN87" i="34"/>
  <c r="DM87" i="34"/>
  <c r="DL87" i="34"/>
  <c r="DJ87" i="34"/>
  <c r="CS87" i="34"/>
  <c r="CR87" i="34"/>
  <c r="CQ87" i="34"/>
  <c r="CP87" i="34"/>
  <c r="CO87" i="34"/>
  <c r="CN87" i="34"/>
  <c r="CM87" i="34"/>
  <c r="CL87" i="34"/>
  <c r="CK87" i="34"/>
  <c r="CJ87" i="34"/>
  <c r="BS87" i="34"/>
  <c r="BT87" i="34" s="1"/>
  <c r="BF87" i="34"/>
  <c r="AR87" i="34"/>
  <c r="DA86" i="34"/>
  <c r="CZ86" i="34"/>
  <c r="CL86" i="34"/>
  <c r="BX86" i="34"/>
  <c r="BW86" i="34"/>
  <c r="BV86" i="34"/>
  <c r="BT86" i="34"/>
  <c r="BF86" i="34"/>
  <c r="AR86" i="34"/>
  <c r="DL85" i="34"/>
  <c r="DM85" i="34" s="1"/>
  <c r="DN85" i="34" s="1"/>
  <c r="DO85" i="34" s="1"/>
  <c r="DP85" i="34" s="1"/>
  <c r="DQ85" i="34" s="1"/>
  <c r="DR85" i="34" s="1"/>
  <c r="DS85" i="34" s="1"/>
  <c r="DT85" i="34" s="1"/>
  <c r="DU85" i="34" s="1"/>
  <c r="DV85" i="34" s="1"/>
  <c r="DW85" i="34" s="1"/>
  <c r="CR85" i="34"/>
  <c r="CR97" i="34" s="1"/>
  <c r="CC85" i="34"/>
  <c r="BS85" i="34"/>
  <c r="BO85" i="34"/>
  <c r="BN85" i="34"/>
  <c r="BM85" i="34"/>
  <c r="BL85" i="34"/>
  <c r="BK85" i="34"/>
  <c r="BJ85" i="34"/>
  <c r="BI85" i="34"/>
  <c r="BH85" i="34"/>
  <c r="BE85" i="34"/>
  <c r="BD85" i="34"/>
  <c r="BA85" i="34"/>
  <c r="AL85" i="34"/>
  <c r="AK85" i="34"/>
  <c r="AJ85" i="34"/>
  <c r="AI85" i="34"/>
  <c r="AH85" i="34"/>
  <c r="AG85" i="34"/>
  <c r="AF85" i="34"/>
  <c r="AR85" i="34" s="1"/>
  <c r="AC85" i="34"/>
  <c r="AB85" i="34"/>
  <c r="AA85" i="34"/>
  <c r="Z85" i="34"/>
  <c r="Y85" i="34"/>
  <c r="X85" i="34"/>
  <c r="W85" i="34"/>
  <c r="V85" i="34"/>
  <c r="U85" i="34"/>
  <c r="T85" i="34"/>
  <c r="S85" i="34"/>
  <c r="R85" i="34"/>
  <c r="BX84" i="34"/>
  <c r="BW84" i="34"/>
  <c r="BV84" i="34"/>
  <c r="BR84" i="34"/>
  <c r="BR85" i="34" s="1"/>
  <c r="BQ84" i="34"/>
  <c r="BQ85" i="34" s="1"/>
  <c r="BP84" i="34"/>
  <c r="BC84" i="34"/>
  <c r="BB84" i="34"/>
  <c r="AY84" i="34"/>
  <c r="AX84" i="34"/>
  <c r="AW84" i="34"/>
  <c r="AV84" i="34"/>
  <c r="AU84" i="34"/>
  <c r="AU85" i="34" s="1"/>
  <c r="BF85" i="34" s="1"/>
  <c r="AT84" i="34"/>
  <c r="BF84" i="34" s="1"/>
  <c r="AQ84" i="34"/>
  <c r="AP84" i="34"/>
  <c r="AO84" i="34"/>
  <c r="AN84" i="34"/>
  <c r="AM84" i="34"/>
  <c r="AR84" i="34" s="1"/>
  <c r="P84" i="34"/>
  <c r="DW83" i="34"/>
  <c r="DV83" i="34"/>
  <c r="DU83" i="34"/>
  <c r="DT83" i="34"/>
  <c r="DS83" i="34"/>
  <c r="DR83" i="34"/>
  <c r="DQ83" i="34"/>
  <c r="DP83" i="34"/>
  <c r="DO83" i="34"/>
  <c r="DN83" i="34"/>
  <c r="DM83" i="34"/>
  <c r="DL83" i="34"/>
  <c r="DX83" i="34" s="1"/>
  <c r="DI83" i="34"/>
  <c r="DH83" i="34"/>
  <c r="DG83" i="34"/>
  <c r="DF83" i="34"/>
  <c r="DE83" i="34"/>
  <c r="DD83" i="34"/>
  <c r="DC83" i="34"/>
  <c r="DB83" i="34"/>
  <c r="DA83" i="34"/>
  <c r="CZ83" i="34"/>
  <c r="CY83" i="34"/>
  <c r="CX83" i="34"/>
  <c r="DJ83" i="34" s="1"/>
  <c r="CU83" i="34"/>
  <c r="CT83" i="34"/>
  <c r="DY82" i="34"/>
  <c r="DX82" i="34"/>
  <c r="DK82" i="34"/>
  <c r="DJ82" i="34"/>
  <c r="DA81" i="34"/>
  <c r="CZ81" i="34"/>
  <c r="CZ80" i="34" s="1"/>
  <c r="CU81" i="34"/>
  <c r="CL81" i="34"/>
  <c r="BX81" i="34"/>
  <c r="BX87" i="34" s="1"/>
  <c r="BW81" i="34"/>
  <c r="BW87" i="34" s="1"/>
  <c r="BV81" i="34"/>
  <c r="BS81" i="34"/>
  <c r="BP81" i="34"/>
  <c r="BO81" i="34"/>
  <c r="BN81" i="34"/>
  <c r="BM81" i="34"/>
  <c r="BL81" i="34"/>
  <c r="BK81" i="34"/>
  <c r="BJ81" i="34"/>
  <c r="BI81" i="34"/>
  <c r="BH81" i="34"/>
  <c r="BC81" i="34"/>
  <c r="BB81" i="34"/>
  <c r="BA81" i="34"/>
  <c r="AZ81" i="34"/>
  <c r="AY81" i="34"/>
  <c r="AX81" i="34"/>
  <c r="AW81" i="34"/>
  <c r="AV81" i="34"/>
  <c r="AU81" i="34"/>
  <c r="AT81" i="34"/>
  <c r="AQ81" i="34"/>
  <c r="AP81" i="34"/>
  <c r="AO81" i="34"/>
  <c r="AN81" i="34"/>
  <c r="AM81" i="34"/>
  <c r="AL81" i="34"/>
  <c r="AK81" i="34"/>
  <c r="AJ81" i="34"/>
  <c r="AI81" i="34"/>
  <c r="AH81" i="34"/>
  <c r="AG81" i="34"/>
  <c r="AF81" i="34"/>
  <c r="AD81" i="34"/>
  <c r="P81" i="34"/>
  <c r="DA80" i="34"/>
  <c r="CU80" i="34"/>
  <c r="DW79" i="34"/>
  <c r="DV79" i="34"/>
  <c r="DU79" i="34"/>
  <c r="DT79" i="34"/>
  <c r="DS79" i="34"/>
  <c r="DR79" i="34"/>
  <c r="DQ79" i="34"/>
  <c r="DP79" i="34"/>
  <c r="DO79" i="34"/>
  <c r="DN79" i="34"/>
  <c r="DM79" i="34"/>
  <c r="DL79" i="34"/>
  <c r="DX79" i="34" s="1"/>
  <c r="DI79" i="34"/>
  <c r="DH79" i="34"/>
  <c r="DG79" i="34"/>
  <c r="DF79" i="34"/>
  <c r="DE79" i="34"/>
  <c r="DD79" i="34"/>
  <c r="DC79" i="34"/>
  <c r="DB79" i="34"/>
  <c r="DA79" i="34"/>
  <c r="CZ79" i="34"/>
  <c r="CY79" i="34"/>
  <c r="CX79" i="34"/>
  <c r="CU79" i="34"/>
  <c r="CT79" i="34"/>
  <c r="DW78" i="34"/>
  <c r="DV78" i="34"/>
  <c r="DU78" i="34"/>
  <c r="DT78" i="34"/>
  <c r="DS78" i="34"/>
  <c r="DR78" i="34"/>
  <c r="DQ78" i="34"/>
  <c r="DP78" i="34"/>
  <c r="DO78" i="34"/>
  <c r="DN78" i="34"/>
  <c r="DM78" i="34"/>
  <c r="DL78" i="34"/>
  <c r="DI78" i="34"/>
  <c r="DH78" i="34"/>
  <c r="DG78" i="34"/>
  <c r="DF78" i="34"/>
  <c r="DE78" i="34"/>
  <c r="DD78" i="34"/>
  <c r="DC78" i="34"/>
  <c r="DB78" i="34"/>
  <c r="DA78" i="34"/>
  <c r="DA21" i="34" s="1"/>
  <c r="CZ78" i="34"/>
  <c r="CY78" i="34"/>
  <c r="CX78" i="34"/>
  <c r="DW77" i="34"/>
  <c r="DV77" i="34"/>
  <c r="DU77" i="34"/>
  <c r="DT77" i="34"/>
  <c r="DS77" i="34"/>
  <c r="DR77" i="34"/>
  <c r="DQ77" i="34"/>
  <c r="DP77" i="34"/>
  <c r="DO77" i="34"/>
  <c r="DN77" i="34"/>
  <c r="DM77" i="34"/>
  <c r="DL77" i="34"/>
  <c r="DI77" i="34"/>
  <c r="DH77" i="34"/>
  <c r="DG77" i="34"/>
  <c r="DF77" i="34"/>
  <c r="DE77" i="34"/>
  <c r="DD77" i="34"/>
  <c r="DC77" i="34"/>
  <c r="DB77" i="34"/>
  <c r="DA77" i="34"/>
  <c r="CZ77" i="34"/>
  <c r="CY77" i="34"/>
  <c r="CX77" i="34"/>
  <c r="CR76" i="34"/>
  <c r="CQ76" i="34"/>
  <c r="CP76" i="34"/>
  <c r="CO76" i="34"/>
  <c r="CN76" i="34"/>
  <c r="CM76" i="34"/>
  <c r="CL76" i="34"/>
  <c r="CK76" i="34"/>
  <c r="CH76" i="34"/>
  <c r="CV76" i="34" s="1"/>
  <c r="DW75" i="34"/>
  <c r="DV75" i="34"/>
  <c r="DU75" i="34"/>
  <c r="DT75" i="34"/>
  <c r="DS75" i="34"/>
  <c r="DR75" i="34"/>
  <c r="DQ75" i="34"/>
  <c r="DP75" i="34"/>
  <c r="DO75" i="34"/>
  <c r="DN75" i="34"/>
  <c r="DM75" i="34"/>
  <c r="DL75" i="34"/>
  <c r="DX75" i="34" s="1"/>
  <c r="DI75" i="34"/>
  <c r="DH75" i="34"/>
  <c r="DG75" i="34"/>
  <c r="DF75" i="34"/>
  <c r="DE75" i="34"/>
  <c r="DD75" i="34"/>
  <c r="DC75" i="34"/>
  <c r="DB75" i="34"/>
  <c r="DA75" i="34"/>
  <c r="CZ75" i="34"/>
  <c r="CY75" i="34"/>
  <c r="CX75" i="34"/>
  <c r="CW75" i="34"/>
  <c r="AQ74" i="34"/>
  <c r="AP74" i="34"/>
  <c r="AO74" i="34"/>
  <c r="AN74" i="34"/>
  <c r="AM74" i="34"/>
  <c r="AL74" i="34"/>
  <c r="AK74" i="34"/>
  <c r="AJ74" i="34"/>
  <c r="AI74" i="34"/>
  <c r="AH74" i="34"/>
  <c r="AG74" i="34"/>
  <c r="AF74" i="34"/>
  <c r="AR74" i="34" s="1"/>
  <c r="CG73" i="34"/>
  <c r="CF73" i="34"/>
  <c r="CE73" i="34"/>
  <c r="CD73" i="34"/>
  <c r="CC73" i="34"/>
  <c r="CB73" i="34"/>
  <c r="DN72" i="34"/>
  <c r="DM72" i="34"/>
  <c r="DL72" i="34"/>
  <c r="DI72" i="34"/>
  <c r="DW72" i="34" s="1"/>
  <c r="DA72" i="34"/>
  <c r="CT72" i="34"/>
  <c r="CS72" i="34"/>
  <c r="CR72" i="34"/>
  <c r="CQ72" i="34"/>
  <c r="CP72" i="34"/>
  <c r="CO72" i="34"/>
  <c r="CN72" i="34"/>
  <c r="CL72" i="34"/>
  <c r="CK72" i="34"/>
  <c r="CJ72" i="34"/>
  <c r="CH72" i="34"/>
  <c r="BQ72" i="34"/>
  <c r="BP72" i="34"/>
  <c r="BO72" i="34"/>
  <c r="BN72" i="34"/>
  <c r="BM72" i="34"/>
  <c r="BL72" i="34"/>
  <c r="BK72" i="34"/>
  <c r="BJ72" i="34"/>
  <c r="BI72" i="34"/>
  <c r="BH72" i="34"/>
  <c r="BT72" i="34" s="1"/>
  <c r="CH71" i="34"/>
  <c r="BT71" i="34"/>
  <c r="BB71" i="34"/>
  <c r="AR71" i="34"/>
  <c r="CH70" i="34"/>
  <c r="BQ70" i="34"/>
  <c r="AM70" i="34"/>
  <c r="AL70" i="34"/>
  <c r="AK70" i="34"/>
  <c r="AJ70" i="34"/>
  <c r="AI70" i="34"/>
  <c r="AH70" i="34"/>
  <c r="AG70" i="34"/>
  <c r="AF70" i="34"/>
  <c r="CH69" i="34"/>
  <c r="BT69" i="34"/>
  <c r="BF69" i="34"/>
  <c r="AR69" i="34"/>
  <c r="CM68" i="34"/>
  <c r="CL68" i="34"/>
  <c r="CK68" i="34"/>
  <c r="CJ68" i="34"/>
  <c r="BQ68" i="34"/>
  <c r="BP68" i="34"/>
  <c r="BO68" i="34"/>
  <c r="BN68" i="34"/>
  <c r="BM68" i="34"/>
  <c r="BL68" i="34"/>
  <c r="BK68" i="34"/>
  <c r="BJ68" i="34"/>
  <c r="BI68" i="34"/>
  <c r="BH68" i="34"/>
  <c r="BE68" i="34"/>
  <c r="BD68" i="34"/>
  <c r="BC68" i="34"/>
  <c r="BB68" i="34"/>
  <c r="BA68" i="34"/>
  <c r="AZ68" i="34"/>
  <c r="AY68" i="34"/>
  <c r="AX68" i="34"/>
  <c r="AW68" i="34"/>
  <c r="AV68" i="34"/>
  <c r="AU68" i="34"/>
  <c r="AT68" i="34"/>
  <c r="AQ68" i="34"/>
  <c r="AP68" i="34"/>
  <c r="AO68" i="34"/>
  <c r="AN68" i="34"/>
  <c r="AM68" i="34"/>
  <c r="AL68" i="34"/>
  <c r="AK68" i="34"/>
  <c r="AJ68" i="34"/>
  <c r="AI68" i="34"/>
  <c r="AH68" i="34"/>
  <c r="AG68" i="34"/>
  <c r="AF68" i="34"/>
  <c r="BF67" i="34"/>
  <c r="AR67" i="34"/>
  <c r="AD67" i="34"/>
  <c r="P67" i="34"/>
  <c r="BN66" i="34"/>
  <c r="BM66" i="34"/>
  <c r="BL66" i="34"/>
  <c r="BK66" i="34"/>
  <c r="BJ66" i="34"/>
  <c r="BI66" i="34"/>
  <c r="BH66" i="34"/>
  <c r="BA66" i="34"/>
  <c r="AZ66" i="34"/>
  <c r="AY66" i="34"/>
  <c r="AX66" i="34"/>
  <c r="AW66" i="34"/>
  <c r="AV66" i="34"/>
  <c r="AU66" i="34"/>
  <c r="AT66" i="34"/>
  <c r="BT65" i="34"/>
  <c r="BB65" i="34"/>
  <c r="AR65" i="34"/>
  <c r="BQ64" i="34"/>
  <c r="BQ66" i="34" s="1"/>
  <c r="BP64" i="34"/>
  <c r="BP66" i="34" s="1"/>
  <c r="BO64" i="34"/>
  <c r="BE64" i="34"/>
  <c r="BE66" i="34" s="1"/>
  <c r="BD64" i="34"/>
  <c r="BD66" i="34" s="1"/>
  <c r="BC64" i="34"/>
  <c r="BC66" i="34" s="1"/>
  <c r="BB64" i="34"/>
  <c r="BF64" i="34" s="1"/>
  <c r="CV63" i="34"/>
  <c r="BN63" i="34"/>
  <c r="BM63" i="34"/>
  <c r="BL63" i="34"/>
  <c r="BK63" i="34"/>
  <c r="BJ63" i="34"/>
  <c r="BI63" i="34"/>
  <c r="BH63" i="34"/>
  <c r="BT63" i="34" s="1"/>
  <c r="DX62" i="34"/>
  <c r="CU62" i="34"/>
  <c r="CT62" i="34"/>
  <c r="CS62" i="34"/>
  <c r="CR62" i="34"/>
  <c r="CQ62" i="34"/>
  <c r="CP62" i="34"/>
  <c r="CO62" i="34"/>
  <c r="CN62" i="34"/>
  <c r="CM62" i="34"/>
  <c r="CL62" i="34"/>
  <c r="CK62" i="34"/>
  <c r="CJ62" i="34"/>
  <c r="CV62" i="34" s="1"/>
  <c r="BT62" i="34"/>
  <c r="BE62" i="34"/>
  <c r="BE72" i="34" s="1"/>
  <c r="BD62" i="34"/>
  <c r="BD72" i="34" s="1"/>
  <c r="BC62" i="34"/>
  <c r="BC72" i="34" s="1"/>
  <c r="BB62" i="34"/>
  <c r="BB63" i="34" s="1"/>
  <c r="BA62" i="34"/>
  <c r="AZ62" i="34"/>
  <c r="AZ72" i="34" s="1"/>
  <c r="AY62" i="34"/>
  <c r="AY72" i="34" s="1"/>
  <c r="AX62" i="34"/>
  <c r="AX72" i="34" s="1"/>
  <c r="AW62" i="34"/>
  <c r="AW72" i="34" s="1"/>
  <c r="AV62" i="34"/>
  <c r="AV72" i="34" s="1"/>
  <c r="AU62" i="34"/>
  <c r="AU72" i="34" s="1"/>
  <c r="AT62" i="34"/>
  <c r="AQ62" i="34"/>
  <c r="AP62" i="34"/>
  <c r="AO62" i="34"/>
  <c r="AO72" i="34" s="1"/>
  <c r="AN62" i="34"/>
  <c r="AN72" i="34" s="1"/>
  <c r="AM62" i="34"/>
  <c r="AM72" i="34" s="1"/>
  <c r="AL62" i="34"/>
  <c r="AK62" i="34"/>
  <c r="AK72" i="34" s="1"/>
  <c r="AJ62" i="34"/>
  <c r="AJ72" i="34" s="1"/>
  <c r="AI62" i="34"/>
  <c r="AI72" i="34" s="1"/>
  <c r="AG62" i="34"/>
  <c r="AG72" i="34" s="1"/>
  <c r="AF62" i="34"/>
  <c r="AC62" i="34"/>
  <c r="AB62" i="34"/>
  <c r="AA62" i="34"/>
  <c r="Z62" i="34"/>
  <c r="Y62" i="34"/>
  <c r="X62" i="34"/>
  <c r="W62" i="34"/>
  <c r="R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P62" i="34" s="1"/>
  <c r="CU61" i="34"/>
  <c r="CT61" i="34"/>
  <c r="CS61" i="34"/>
  <c r="CR61" i="34"/>
  <c r="CQ61" i="34"/>
  <c r="CP61" i="34"/>
  <c r="CO61" i="34"/>
  <c r="CN61" i="34"/>
  <c r="CM61" i="34"/>
  <c r="CL61" i="34"/>
  <c r="CK61" i="34"/>
  <c r="CJ61" i="34"/>
  <c r="BT61" i="34"/>
  <c r="BF61" i="34"/>
  <c r="AR61" i="34"/>
  <c r="AD61" i="34"/>
  <c r="P61" i="34"/>
  <c r="CU60" i="34"/>
  <c r="CT60" i="34"/>
  <c r="CS60" i="34"/>
  <c r="CR60" i="34"/>
  <c r="CQ60" i="34"/>
  <c r="CP60" i="34"/>
  <c r="CO60" i="34"/>
  <c r="CN60" i="34"/>
  <c r="CM60" i="34"/>
  <c r="CL60" i="34"/>
  <c r="CK60" i="34"/>
  <c r="CJ60" i="34"/>
  <c r="BF60" i="34"/>
  <c r="BF59" i="34"/>
  <c r="AR59" i="34"/>
  <c r="BF58" i="34"/>
  <c r="AR58" i="34"/>
  <c r="BF57" i="34"/>
  <c r="AR57" i="34"/>
  <c r="CG56" i="34"/>
  <c r="CF56" i="34"/>
  <c r="CE56" i="34"/>
  <c r="CD56" i="34"/>
  <c r="CC56" i="34"/>
  <c r="CB56" i="34"/>
  <c r="CA56" i="34"/>
  <c r="BZ56" i="34"/>
  <c r="BY56" i="34"/>
  <c r="BX56" i="34"/>
  <c r="BW56" i="34"/>
  <c r="BW62" i="34" s="1"/>
  <c r="BV56" i="34"/>
  <c r="BT56" i="34"/>
  <c r="BF56" i="34"/>
  <c r="AH56" i="34"/>
  <c r="AR56" i="34" s="1"/>
  <c r="CG55" i="34"/>
  <c r="CF55" i="34"/>
  <c r="CE55" i="34"/>
  <c r="CD55" i="34"/>
  <c r="CC55" i="34"/>
  <c r="CB55" i="34"/>
  <c r="CA55" i="34"/>
  <c r="BZ55" i="34"/>
  <c r="BY55" i="34"/>
  <c r="BX55" i="34"/>
  <c r="CH55" i="34" s="1"/>
  <c r="BF55" i="34"/>
  <c r="AH55" i="34"/>
  <c r="AR55" i="34" s="1"/>
  <c r="AD55" i="34"/>
  <c r="CG54" i="34"/>
  <c r="CF54" i="34"/>
  <c r="CE54" i="34"/>
  <c r="CD54" i="34"/>
  <c r="CC54" i="34"/>
  <c r="CB54" i="34"/>
  <c r="CA54" i="34"/>
  <c r="BZ54" i="34"/>
  <c r="BY54" i="34"/>
  <c r="BX54" i="34"/>
  <c r="CH54" i="34" s="1"/>
  <c r="BF54" i="34"/>
  <c r="AH54" i="34"/>
  <c r="AR54" i="34" s="1"/>
  <c r="AD54" i="34"/>
  <c r="CG53" i="34"/>
  <c r="CF53" i="34"/>
  <c r="CE53" i="34"/>
  <c r="CD53" i="34"/>
  <c r="CC53" i="34"/>
  <c r="CB53" i="34"/>
  <c r="CA53" i="34"/>
  <c r="BZ53" i="34"/>
  <c r="BY53" i="34"/>
  <c r="BX53" i="34"/>
  <c r="CH53" i="34" s="1"/>
  <c r="BF53" i="34"/>
  <c r="AH53" i="34"/>
  <c r="AR53" i="34" s="1"/>
  <c r="AD53" i="34"/>
  <c r="P53" i="34"/>
  <c r="CG52" i="34"/>
  <c r="CF52" i="34"/>
  <c r="CE52" i="34"/>
  <c r="CD52" i="34"/>
  <c r="CC52" i="34"/>
  <c r="CB52" i="34"/>
  <c r="CA52" i="34"/>
  <c r="BZ52" i="34"/>
  <c r="BY52" i="34"/>
  <c r="BX52" i="34"/>
  <c r="CH52" i="34" s="1"/>
  <c r="BF52" i="34"/>
  <c r="AH52" i="34"/>
  <c r="AR52" i="34" s="1"/>
  <c r="AD52" i="34"/>
  <c r="P52" i="34"/>
  <c r="CG51" i="34"/>
  <c r="CF51" i="34"/>
  <c r="CE51" i="34"/>
  <c r="CD51" i="34"/>
  <c r="CC51" i="34"/>
  <c r="CB51" i="34"/>
  <c r="CA51" i="34"/>
  <c r="BZ51" i="34"/>
  <c r="BY51" i="34"/>
  <c r="BX51" i="34"/>
  <c r="CH51" i="34" s="1"/>
  <c r="BF51" i="34"/>
  <c r="AH51" i="34"/>
  <c r="AR51" i="34" s="1"/>
  <c r="AD51" i="34"/>
  <c r="P51" i="34"/>
  <c r="CG50" i="34"/>
  <c r="CF50" i="34"/>
  <c r="CE50" i="34"/>
  <c r="CD50" i="34"/>
  <c r="CC50" i="34"/>
  <c r="CB50" i="34"/>
  <c r="CA50" i="34"/>
  <c r="BZ50" i="34"/>
  <c r="BY50" i="34"/>
  <c r="BX50" i="34"/>
  <c r="CH50" i="34" s="1"/>
  <c r="BF50" i="34"/>
  <c r="AH50" i="34"/>
  <c r="AD50" i="34"/>
  <c r="P50" i="34"/>
  <c r="CG49" i="34"/>
  <c r="CF49" i="34"/>
  <c r="CE49" i="34"/>
  <c r="CD49" i="34"/>
  <c r="CC49" i="34"/>
  <c r="CB49" i="34"/>
  <c r="CA49" i="34"/>
  <c r="BZ49" i="34"/>
  <c r="BY49" i="34"/>
  <c r="BX49" i="34"/>
  <c r="CH49" i="34" s="1"/>
  <c r="BF49" i="34"/>
  <c r="AR49" i="34"/>
  <c r="U49" i="34"/>
  <c r="T49" i="34"/>
  <c r="AD49" i="34" s="1"/>
  <c r="P49" i="34"/>
  <c r="CG48" i="34"/>
  <c r="CF48" i="34"/>
  <c r="CE48" i="34"/>
  <c r="CD48" i="34"/>
  <c r="CC48" i="34"/>
  <c r="CB48" i="34"/>
  <c r="CA48" i="34"/>
  <c r="BZ48" i="34"/>
  <c r="BY48" i="34"/>
  <c r="BX48" i="34"/>
  <c r="CH48" i="34" s="1"/>
  <c r="BF48" i="34"/>
  <c r="AR48" i="34"/>
  <c r="T48" i="34"/>
  <c r="AD48" i="34" s="1"/>
  <c r="P48" i="34"/>
  <c r="CG47" i="34"/>
  <c r="CF47" i="34"/>
  <c r="CE47" i="34"/>
  <c r="CD47" i="34"/>
  <c r="CC47" i="34"/>
  <c r="CB47" i="34"/>
  <c r="CA47" i="34"/>
  <c r="BZ47" i="34"/>
  <c r="BY47" i="34"/>
  <c r="BX47" i="34"/>
  <c r="CH47" i="34" s="1"/>
  <c r="BF47" i="34"/>
  <c r="AR47" i="34"/>
  <c r="U47" i="34"/>
  <c r="T47" i="34"/>
  <c r="S47" i="34"/>
  <c r="AD47" i="34" s="1"/>
  <c r="P47" i="34"/>
  <c r="CG46" i="34"/>
  <c r="CF46" i="34"/>
  <c r="CE46" i="34"/>
  <c r="CD46" i="34"/>
  <c r="CC46" i="34"/>
  <c r="CB46" i="34"/>
  <c r="CA46" i="34"/>
  <c r="BZ46" i="34"/>
  <c r="BY46" i="34"/>
  <c r="BX46" i="34"/>
  <c r="CH46" i="34" s="1"/>
  <c r="BF46" i="34"/>
  <c r="AR46" i="34"/>
  <c r="AD46" i="34"/>
  <c r="P46" i="34"/>
  <c r="CG45" i="34"/>
  <c r="CF45" i="34"/>
  <c r="CE45" i="34"/>
  <c r="CD45" i="34"/>
  <c r="CC45" i="34"/>
  <c r="CB45" i="34"/>
  <c r="CA45" i="34"/>
  <c r="BZ45" i="34"/>
  <c r="BY45" i="34"/>
  <c r="BX45" i="34"/>
  <c r="CH45" i="34" s="1"/>
  <c r="BF45" i="34"/>
  <c r="AR45" i="34"/>
  <c r="V45" i="34"/>
  <c r="V62" i="34" s="1"/>
  <c r="U45" i="34"/>
  <c r="AD45" i="34" s="1"/>
  <c r="P45" i="34"/>
  <c r="CG44" i="34"/>
  <c r="CF44" i="34"/>
  <c r="CE44" i="34"/>
  <c r="CD44" i="34"/>
  <c r="CC44" i="34"/>
  <c r="CB44" i="34"/>
  <c r="CA44" i="34"/>
  <c r="BZ44" i="34"/>
  <c r="BY44" i="34"/>
  <c r="BX44" i="34"/>
  <c r="CH44" i="34" s="1"/>
  <c r="BF44" i="34"/>
  <c r="AR44" i="34"/>
  <c r="T44" i="34"/>
  <c r="S44" i="34"/>
  <c r="P44" i="34"/>
  <c r="CG43" i="34"/>
  <c r="CF43" i="34"/>
  <c r="CE43" i="34"/>
  <c r="CD43" i="34"/>
  <c r="CC43" i="34"/>
  <c r="CB43" i="34"/>
  <c r="CA43" i="34"/>
  <c r="BZ43" i="34"/>
  <c r="BY43" i="34"/>
  <c r="BX43" i="34"/>
  <c r="CH43" i="34" s="1"/>
  <c r="BF43" i="34"/>
  <c r="AR43" i="34"/>
  <c r="AD43" i="34"/>
  <c r="P43" i="34"/>
  <c r="CG42" i="34"/>
  <c r="CF42" i="34"/>
  <c r="CE42" i="34"/>
  <c r="CD42" i="34"/>
  <c r="CC42" i="34"/>
  <c r="CB42" i="34"/>
  <c r="CA42" i="34"/>
  <c r="BZ42" i="34"/>
  <c r="BY42" i="34"/>
  <c r="BX42" i="34"/>
  <c r="CH42" i="34" s="1"/>
  <c r="BF42" i="34"/>
  <c r="AR42" i="34"/>
  <c r="U42" i="34"/>
  <c r="T42" i="34"/>
  <c r="AD42" i="34" s="1"/>
  <c r="P42" i="34"/>
  <c r="CG41" i="34"/>
  <c r="CG62" i="34" s="1"/>
  <c r="CF41" i="34"/>
  <c r="CF62" i="34" s="1"/>
  <c r="CE41" i="34"/>
  <c r="CE62" i="34" s="1"/>
  <c r="CE63" i="34" s="1"/>
  <c r="CD41" i="34"/>
  <c r="CD62" i="34" s="1"/>
  <c r="CD63" i="34" s="1"/>
  <c r="CC41" i="34"/>
  <c r="CC62" i="34" s="1"/>
  <c r="CC63" i="34" s="1"/>
  <c r="CB41" i="34"/>
  <c r="CB62" i="34" s="1"/>
  <c r="CA41" i="34"/>
  <c r="CA62" i="34" s="1"/>
  <c r="BZ41" i="34"/>
  <c r="BZ62" i="34" s="1"/>
  <c r="BY41" i="34"/>
  <c r="BY62" i="34" s="1"/>
  <c r="BX41" i="34"/>
  <c r="BX62" i="34" s="1"/>
  <c r="BF41" i="34"/>
  <c r="AR41" i="34"/>
  <c r="U41" i="34"/>
  <c r="U62" i="34" s="1"/>
  <c r="T41" i="34"/>
  <c r="P41" i="34"/>
  <c r="DX39" i="34"/>
  <c r="DN38" i="34"/>
  <c r="DM38" i="34"/>
  <c r="DL38" i="34"/>
  <c r="DI38" i="34"/>
  <c r="DW38" i="34" s="1"/>
  <c r="DH38" i="34"/>
  <c r="DV38" i="34" s="1"/>
  <c r="DG38" i="34"/>
  <c r="DU38" i="34" s="1"/>
  <c r="DF38" i="34"/>
  <c r="DT38" i="34" s="1"/>
  <c r="DE38" i="34"/>
  <c r="DS38" i="34" s="1"/>
  <c r="DD38" i="34"/>
  <c r="DR38" i="34" s="1"/>
  <c r="DC38" i="34"/>
  <c r="DQ38" i="34" s="1"/>
  <c r="DB38" i="34"/>
  <c r="DP38" i="34" s="1"/>
  <c r="DA38" i="34"/>
  <c r="CP38" i="34"/>
  <c r="CJ38" i="34"/>
  <c r="CI38" i="34"/>
  <c r="CG38" i="34"/>
  <c r="CF38" i="34"/>
  <c r="CF64" i="34" s="1"/>
  <c r="CE38" i="34"/>
  <c r="CE64" i="34" s="1"/>
  <c r="CD38" i="34"/>
  <c r="CD64" i="34" s="1"/>
  <c r="CC38" i="34"/>
  <c r="CC64" i="34" s="1"/>
  <c r="CB38" i="34"/>
  <c r="CB64" i="34" s="1"/>
  <c r="CA38" i="34"/>
  <c r="CA64" i="34" s="1"/>
  <c r="BZ38" i="34"/>
  <c r="BZ64" i="34" s="1"/>
  <c r="BY38" i="34"/>
  <c r="BY64" i="34" s="1"/>
  <c r="BX38" i="34"/>
  <c r="BX64" i="34" s="1"/>
  <c r="BW38" i="34"/>
  <c r="BW64" i="34" s="1"/>
  <c r="BV38" i="34"/>
  <c r="BV64" i="34" s="1"/>
  <c r="BS38" i="34"/>
  <c r="BR38" i="34"/>
  <c r="BQ38" i="34"/>
  <c r="BE38" i="34"/>
  <c r="BE70" i="34" s="1"/>
  <c r="BD38" i="34"/>
  <c r="BD70" i="34" s="1"/>
  <c r="BC38" i="34"/>
  <c r="BC70" i="34" s="1"/>
  <c r="BB38" i="34"/>
  <c r="BB70" i="34" s="1"/>
  <c r="BA38" i="34"/>
  <c r="BA70" i="34" s="1"/>
  <c r="AZ38" i="34"/>
  <c r="AZ70" i="34" s="1"/>
  <c r="AY38" i="34"/>
  <c r="AY70" i="34" s="1"/>
  <c r="AX38" i="34"/>
  <c r="AX70" i="34" s="1"/>
  <c r="AW38" i="34"/>
  <c r="AW70" i="34" s="1"/>
  <c r="AV38" i="34"/>
  <c r="AV70" i="34" s="1"/>
  <c r="AU38" i="34"/>
  <c r="AU70" i="34" s="1"/>
  <c r="AT38" i="34"/>
  <c r="U38" i="34"/>
  <c r="AD38" i="34" s="1"/>
  <c r="P38" i="34"/>
  <c r="CQ37" i="34"/>
  <c r="CK37" i="34"/>
  <c r="AQ37" i="34"/>
  <c r="AQ38" i="34" s="1"/>
  <c r="AQ70" i="34" s="1"/>
  <c r="AP37" i="34"/>
  <c r="AP38" i="34" s="1"/>
  <c r="AP70" i="34" s="1"/>
  <c r="AO37" i="34"/>
  <c r="AO38" i="34" s="1"/>
  <c r="AO70" i="34" s="1"/>
  <c r="AN37" i="34"/>
  <c r="AN38" i="34" s="1"/>
  <c r="CV36" i="34"/>
  <c r="CG36" i="34"/>
  <c r="CF36" i="34"/>
  <c r="CE36" i="34"/>
  <c r="CD36" i="34"/>
  <c r="CC36" i="34"/>
  <c r="CB36" i="34"/>
  <c r="CA36" i="34"/>
  <c r="BZ36" i="34"/>
  <c r="BY36" i="34"/>
  <c r="BX36" i="34"/>
  <c r="BW36" i="34"/>
  <c r="BV36" i="34"/>
  <c r="CH36" i="34" s="1"/>
  <c r="BQ36" i="34"/>
  <c r="BT36" i="34" s="1"/>
  <c r="BF36" i="34"/>
  <c r="DX35" i="34"/>
  <c r="DW35" i="34"/>
  <c r="DV35" i="34"/>
  <c r="DU35" i="34"/>
  <c r="DT35" i="34"/>
  <c r="DS35" i="34"/>
  <c r="DR35" i="34"/>
  <c r="DQ35" i="34"/>
  <c r="DP35" i="34"/>
  <c r="DO35" i="34"/>
  <c r="DN35" i="34"/>
  <c r="DM35" i="34"/>
  <c r="DL35" i="34"/>
  <c r="CG35" i="34"/>
  <c r="CF35" i="34"/>
  <c r="CE35" i="34"/>
  <c r="CD35" i="34"/>
  <c r="CC35" i="34"/>
  <c r="CB35" i="34"/>
  <c r="CA35" i="34"/>
  <c r="BZ35" i="34"/>
  <c r="BY35" i="34"/>
  <c r="BX35" i="34"/>
  <c r="BW35" i="34"/>
  <c r="BP35" i="34"/>
  <c r="BO35" i="34"/>
  <c r="BN35" i="34"/>
  <c r="BM35" i="34"/>
  <c r="BL35" i="34"/>
  <c r="BK35" i="34"/>
  <c r="BJ35" i="34"/>
  <c r="BI35" i="34"/>
  <c r="BH35" i="34"/>
  <c r="BE35" i="34"/>
  <c r="BD35" i="34"/>
  <c r="BC35" i="34"/>
  <c r="BB35" i="34"/>
  <c r="AZ35" i="34"/>
  <c r="AY35" i="34"/>
  <c r="DW34" i="34"/>
  <c r="DN34" i="34"/>
  <c r="DM34" i="34"/>
  <c r="DL34" i="34"/>
  <c r="DI34" i="34"/>
  <c r="CZ34" i="34"/>
  <c r="CP34" i="34"/>
  <c r="CJ34" i="34"/>
  <c r="CG34" i="34"/>
  <c r="CG77" i="34" s="1"/>
  <c r="CF34" i="34"/>
  <c r="CF77" i="34" s="1"/>
  <c r="CE34" i="34"/>
  <c r="CE77" i="34" s="1"/>
  <c r="CD34" i="34"/>
  <c r="CD77" i="34" s="1"/>
  <c r="CC34" i="34"/>
  <c r="CC77" i="34" s="1"/>
  <c r="CB34" i="34"/>
  <c r="CB77" i="34" s="1"/>
  <c r="CA34" i="34"/>
  <c r="CA77" i="34" s="1"/>
  <c r="BZ34" i="34"/>
  <c r="BZ77" i="34" s="1"/>
  <c r="BY34" i="34"/>
  <c r="BY77" i="34" s="1"/>
  <c r="BX34" i="34"/>
  <c r="BX77" i="34" s="1"/>
  <c r="BW34" i="34"/>
  <c r="BW77" i="34" s="1"/>
  <c r="BV34" i="34"/>
  <c r="BR34" i="34"/>
  <c r="BS64" i="34" s="1"/>
  <c r="CG64" i="34" s="1"/>
  <c r="BQ34" i="34"/>
  <c r="BQ94" i="34" s="1"/>
  <c r="BP34" i="34"/>
  <c r="BO34" i="34"/>
  <c r="BN34" i="34"/>
  <c r="BM34" i="34"/>
  <c r="BL34" i="34"/>
  <c r="BK34" i="34"/>
  <c r="BJ34" i="34"/>
  <c r="BI34" i="34"/>
  <c r="BH34" i="34"/>
  <c r="BT34" i="34" s="1"/>
  <c r="BE34" i="34"/>
  <c r="BE94" i="34" s="1"/>
  <c r="BD34" i="34"/>
  <c r="BD94" i="34" s="1"/>
  <c r="BC34" i="34"/>
  <c r="BB34" i="34"/>
  <c r="BA34" i="34"/>
  <c r="AZ34" i="34"/>
  <c r="AY34" i="34"/>
  <c r="AX34" i="34"/>
  <c r="AW34" i="34"/>
  <c r="AV34" i="34"/>
  <c r="AU34" i="34"/>
  <c r="AT34" i="34"/>
  <c r="BF34" i="34" s="1"/>
  <c r="AQ34" i="34"/>
  <c r="AP34" i="34"/>
  <c r="AO34" i="34"/>
  <c r="AN34" i="34"/>
  <c r="AM34" i="34"/>
  <c r="AL34" i="34"/>
  <c r="AK34" i="34"/>
  <c r="AJ34" i="34"/>
  <c r="AI34" i="34"/>
  <c r="AG34" i="34"/>
  <c r="AF34" i="34"/>
  <c r="AC34" i="34"/>
  <c r="AC94" i="34" s="1"/>
  <c r="AB34" i="34"/>
  <c r="AB94" i="34" s="1"/>
  <c r="AA34" i="34"/>
  <c r="AA94" i="34" s="1"/>
  <c r="Z34" i="34"/>
  <c r="Z94" i="34" s="1"/>
  <c r="Y34" i="34"/>
  <c r="Y94" i="34" s="1"/>
  <c r="X34" i="34"/>
  <c r="X94" i="34" s="1"/>
  <c r="W34" i="34"/>
  <c r="W94" i="34" s="1"/>
  <c r="V34" i="34"/>
  <c r="V94" i="34" s="1"/>
  <c r="U34" i="34"/>
  <c r="U94" i="34" s="1"/>
  <c r="R34" i="34"/>
  <c r="P34" i="34"/>
  <c r="O34" i="34"/>
  <c r="O94" i="34" s="1"/>
  <c r="N34" i="34"/>
  <c r="N94" i="34" s="1"/>
  <c r="M34" i="34"/>
  <c r="M94" i="34" s="1"/>
  <c r="L34" i="34"/>
  <c r="L94" i="34" s="1"/>
  <c r="K34" i="34"/>
  <c r="J34" i="34"/>
  <c r="I34" i="34"/>
  <c r="H34" i="34"/>
  <c r="G34" i="34"/>
  <c r="F34" i="34"/>
  <c r="E34" i="34"/>
  <c r="D34" i="34"/>
  <c r="CM33" i="34"/>
  <c r="CL33" i="34"/>
  <c r="CK33" i="34"/>
  <c r="CJ33" i="34"/>
  <c r="CG33" i="34"/>
  <c r="CF33" i="34"/>
  <c r="CE33" i="34"/>
  <c r="CD33" i="34"/>
  <c r="CC33" i="34"/>
  <c r="CB33" i="34"/>
  <c r="CA33" i="34"/>
  <c r="BZ33" i="34"/>
  <c r="BY33" i="34"/>
  <c r="BX33" i="34"/>
  <c r="BW33" i="34"/>
  <c r="BV33" i="34"/>
  <c r="CM31" i="34"/>
  <c r="CL31" i="34"/>
  <c r="CK31" i="34"/>
  <c r="CJ31" i="34"/>
  <c r="BG30" i="34"/>
  <c r="CG29" i="34"/>
  <c r="CF29" i="34"/>
  <c r="CF30" i="34" s="1"/>
  <c r="CE29" i="34"/>
  <c r="CE30" i="34" s="1"/>
  <c r="CD29" i="34"/>
  <c r="CD30" i="34" s="1"/>
  <c r="CC29" i="34"/>
  <c r="CC30" i="34" s="1"/>
  <c r="CB29" i="34"/>
  <c r="CB30" i="34" s="1"/>
  <c r="CA29" i="34"/>
  <c r="CA30" i="34" s="1"/>
  <c r="BZ29" i="34"/>
  <c r="BZ30" i="34" s="1"/>
  <c r="BY29" i="34"/>
  <c r="BY30" i="34" s="1"/>
  <c r="BX29" i="34"/>
  <c r="BX30" i="34" s="1"/>
  <c r="BW29" i="34"/>
  <c r="BW30" i="34" s="1"/>
  <c r="BV29" i="34"/>
  <c r="BV30" i="34" s="1"/>
  <c r="BS29" i="34"/>
  <c r="BR29" i="34"/>
  <c r="BR30" i="34" s="1"/>
  <c r="BQ29" i="34"/>
  <c r="BQ30" i="34" s="1"/>
  <c r="BP29" i="34"/>
  <c r="BP30" i="34" s="1"/>
  <c r="BO29" i="34"/>
  <c r="BO30" i="34" s="1"/>
  <c r="BN29" i="34"/>
  <c r="BN30" i="34" s="1"/>
  <c r="BM29" i="34"/>
  <c r="BM30" i="34" s="1"/>
  <c r="BL29" i="34"/>
  <c r="BL30" i="34" s="1"/>
  <c r="BK29" i="34"/>
  <c r="BK30" i="34" s="1"/>
  <c r="BJ29" i="34"/>
  <c r="BJ30" i="34" s="1"/>
  <c r="BI29" i="34"/>
  <c r="BI30" i="34" s="1"/>
  <c r="BH29" i="34"/>
  <c r="BH30" i="34" s="1"/>
  <c r="BE29" i="34"/>
  <c r="BE30" i="34" s="1"/>
  <c r="BD29" i="34"/>
  <c r="BD30" i="34" s="1"/>
  <c r="BC29" i="34"/>
  <c r="BC30" i="34" s="1"/>
  <c r="BB29" i="34"/>
  <c r="BB30" i="34" s="1"/>
  <c r="BA29" i="34"/>
  <c r="BA30" i="34" s="1"/>
  <c r="AZ29" i="34"/>
  <c r="AZ30" i="34" s="1"/>
  <c r="AY29" i="34"/>
  <c r="AY30" i="34" s="1"/>
  <c r="AX29" i="34"/>
  <c r="AX30" i="34" s="1"/>
  <c r="AW29" i="34"/>
  <c r="AW30" i="34" s="1"/>
  <c r="AV29" i="34"/>
  <c r="AV30" i="34" s="1"/>
  <c r="AU29" i="34"/>
  <c r="AU30" i="34" s="1"/>
  <c r="AT29" i="34"/>
  <c r="AQ29" i="34"/>
  <c r="AP29" i="34"/>
  <c r="AP30" i="34" s="1"/>
  <c r="AO29" i="34"/>
  <c r="AO30" i="34" s="1"/>
  <c r="AN29" i="34"/>
  <c r="AN30" i="34" s="1"/>
  <c r="AM29" i="34"/>
  <c r="AM30" i="34" s="1"/>
  <c r="AL29" i="34"/>
  <c r="AL30" i="34" s="1"/>
  <c r="AK29" i="34"/>
  <c r="AK30" i="34" s="1"/>
  <c r="AJ29" i="34"/>
  <c r="AJ30" i="34" s="1"/>
  <c r="AI29" i="34"/>
  <c r="AI30" i="34" s="1"/>
  <c r="AH29" i="34"/>
  <c r="AH30" i="34" s="1"/>
  <c r="AG29" i="34"/>
  <c r="AG30" i="34" s="1"/>
  <c r="AF29" i="34"/>
  <c r="AF30" i="34" s="1"/>
  <c r="AC29" i="34"/>
  <c r="AB29" i="34"/>
  <c r="AA29" i="34"/>
  <c r="Z29" i="34"/>
  <c r="Y29" i="34"/>
  <c r="X29" i="34"/>
  <c r="AD29" i="34" s="1"/>
  <c r="W29" i="34"/>
  <c r="V29" i="34"/>
  <c r="U29" i="34"/>
  <c r="T29" i="34"/>
  <c r="S29" i="34"/>
  <c r="R29" i="34"/>
  <c r="O29" i="34"/>
  <c r="N29" i="34"/>
  <c r="M29" i="34"/>
  <c r="L29" i="34"/>
  <c r="K29" i="34"/>
  <c r="J29" i="34"/>
  <c r="P29" i="34" s="1"/>
  <c r="H29" i="34"/>
  <c r="G29" i="34"/>
  <c r="F29" i="34"/>
  <c r="E29" i="34"/>
  <c r="D29" i="34"/>
  <c r="CH26" i="34"/>
  <c r="BT26" i="34"/>
  <c r="BF26" i="34"/>
  <c r="AR26" i="34"/>
  <c r="CH25" i="34"/>
  <c r="BT25" i="34"/>
  <c r="BF25" i="34"/>
  <c r="AR25" i="34"/>
  <c r="CH24" i="34"/>
  <c r="BT24" i="34"/>
  <c r="BF24" i="34"/>
  <c r="AR24" i="34"/>
  <c r="CI23" i="34"/>
  <c r="CI25" i="34" s="1"/>
  <c r="CH23" i="34"/>
  <c r="BT23" i="34"/>
  <c r="BF23" i="34"/>
  <c r="AR23" i="34"/>
  <c r="U23" i="34"/>
  <c r="CZ22" i="34"/>
  <c r="DA22" i="34" s="1"/>
  <c r="DB22" i="34" s="1"/>
  <c r="DC22" i="34" s="1"/>
  <c r="DD22" i="34" s="1"/>
  <c r="DE22" i="34" s="1"/>
  <c r="DF22" i="34" s="1"/>
  <c r="DG22" i="34" s="1"/>
  <c r="DH22" i="34" s="1"/>
  <c r="DI22" i="34" s="1"/>
  <c r="DL22" i="34" s="1"/>
  <c r="DM22" i="34" s="1"/>
  <c r="DN22" i="34" s="1"/>
  <c r="DO22" i="34" s="1"/>
  <c r="DP22" i="34" s="1"/>
  <c r="DQ22" i="34" s="1"/>
  <c r="DR22" i="34" s="1"/>
  <c r="DS22" i="34" s="1"/>
  <c r="DT22" i="34" s="1"/>
  <c r="DU22" i="34" s="1"/>
  <c r="DV22" i="34" s="1"/>
  <c r="DW22" i="34" s="1"/>
  <c r="CT22" i="34"/>
  <c r="CU22" i="34" s="1"/>
  <c r="DB21" i="34"/>
  <c r="DC21" i="34" s="1"/>
  <c r="DD21" i="34" s="1"/>
  <c r="DE21" i="34" s="1"/>
  <c r="DF21" i="34" s="1"/>
  <c r="DG21" i="34" s="1"/>
  <c r="DH21" i="34" s="1"/>
  <c r="DI21" i="34" s="1"/>
  <c r="DL21" i="34" s="1"/>
  <c r="DM21" i="34" s="1"/>
  <c r="DN21" i="34" s="1"/>
  <c r="DO21" i="34" s="1"/>
  <c r="DP21" i="34" s="1"/>
  <c r="DQ21" i="34" s="1"/>
  <c r="DR21" i="34" s="1"/>
  <c r="DS21" i="34" s="1"/>
  <c r="DT21" i="34" s="1"/>
  <c r="DU21" i="34" s="1"/>
  <c r="DV21" i="34" s="1"/>
  <c r="DW21" i="34" s="1"/>
  <c r="CT21" i="34"/>
  <c r="CU21" i="34" s="1"/>
  <c r="CS20" i="34"/>
  <c r="CH20" i="34"/>
  <c r="CH33" i="34" s="1"/>
  <c r="BT20" i="34"/>
  <c r="BF20" i="34"/>
  <c r="AR20" i="34"/>
  <c r="I20" i="34"/>
  <c r="I29" i="34" s="1"/>
  <c r="DW18" i="34"/>
  <c r="DI18" i="34"/>
  <c r="DW15" i="34"/>
  <c r="DI15" i="34"/>
  <c r="DA11" i="34"/>
  <c r="CH11" i="34"/>
  <c r="CM10" i="34"/>
  <c r="CL10" i="34"/>
  <c r="CH10" i="34"/>
  <c r="CG10" i="34"/>
  <c r="CG31" i="34" s="1"/>
  <c r="CH31" i="34" s="1"/>
  <c r="CF10" i="34"/>
  <c r="CF31" i="34" s="1"/>
  <c r="CE10" i="34"/>
  <c r="CE31" i="34" s="1"/>
  <c r="CD10" i="34"/>
  <c r="CD31" i="34" s="1"/>
  <c r="CC10" i="34"/>
  <c r="CC31" i="34" s="1"/>
  <c r="CB10" i="34"/>
  <c r="CB31" i="34" s="1"/>
  <c r="CA10" i="34"/>
  <c r="CA31" i="34" s="1"/>
  <c r="BZ10" i="34"/>
  <c r="BZ31" i="34" s="1"/>
  <c r="BY10" i="34"/>
  <c r="BY31" i="34" s="1"/>
  <c r="BX10" i="34"/>
  <c r="BX31" i="34" s="1"/>
  <c r="BW10" i="34"/>
  <c r="BW31" i="34" s="1"/>
  <c r="BV10" i="34"/>
  <c r="BV31" i="34" s="1"/>
  <c r="BS10" i="34"/>
  <c r="BR10" i="34"/>
  <c r="BQ10" i="34"/>
  <c r="BP10" i="34"/>
  <c r="BO10" i="34"/>
  <c r="BN10" i="34"/>
  <c r="BM10" i="34"/>
  <c r="BL10" i="34"/>
  <c r="BK10" i="34"/>
  <c r="BJ10" i="34"/>
  <c r="BI10" i="34"/>
  <c r="BH10" i="34"/>
  <c r="BE10" i="34"/>
  <c r="BD10" i="34"/>
  <c r="BC10" i="34"/>
  <c r="BB10" i="34"/>
  <c r="BA10" i="34"/>
  <c r="AZ10" i="34"/>
  <c r="AY10" i="34"/>
  <c r="AX10" i="34"/>
  <c r="AW10" i="34"/>
  <c r="AV10" i="34"/>
  <c r="AU10" i="34"/>
  <c r="AT10" i="34"/>
  <c r="AQ10" i="34"/>
  <c r="AP10" i="34"/>
  <c r="AO10" i="34"/>
  <c r="AN10" i="34"/>
  <c r="AM10" i="34"/>
  <c r="AL10" i="34"/>
  <c r="AK10" i="34"/>
  <c r="AJ10" i="34"/>
  <c r="AI10" i="34"/>
  <c r="AH10" i="34"/>
  <c r="AG10" i="34"/>
  <c r="AF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O10" i="34"/>
  <c r="N10" i="34"/>
  <c r="M10" i="34"/>
  <c r="L10" i="34"/>
  <c r="K10" i="34"/>
  <c r="J10" i="34"/>
  <c r="I10" i="34"/>
  <c r="H10" i="34"/>
  <c r="G10" i="34"/>
  <c r="F10" i="34"/>
  <c r="E10" i="34"/>
  <c r="D10" i="34"/>
  <c r="DW7" i="34"/>
  <c r="DV7" i="34"/>
  <c r="DU7" i="34"/>
  <c r="DT7" i="34"/>
  <c r="DS7" i="34"/>
  <c r="DR7" i="34"/>
  <c r="DQ7" i="34"/>
  <c r="DP7" i="34"/>
  <c r="DO7" i="34"/>
  <c r="DN7" i="34"/>
  <c r="DM7" i="34"/>
  <c r="DL7" i="34"/>
  <c r="DI7" i="34"/>
  <c r="DH7" i="34"/>
  <c r="DG7" i="34"/>
  <c r="DF7" i="34"/>
  <c r="DE7" i="34"/>
  <c r="DD7" i="34"/>
  <c r="DC7" i="34"/>
  <c r="DB7" i="34"/>
  <c r="CY7" i="34"/>
  <c r="CX7" i="34"/>
  <c r="CT7" i="34"/>
  <c r="CT81" i="34" s="1"/>
  <c r="CS7" i="34"/>
  <c r="CR7" i="34"/>
  <c r="CR81" i="34" s="1"/>
  <c r="CQ7" i="34"/>
  <c r="CQ81" i="34" s="1"/>
  <c r="CP7" i="34"/>
  <c r="CP81" i="34" s="1"/>
  <c r="CO7" i="34"/>
  <c r="CN7" i="34"/>
  <c r="CM7" i="34"/>
  <c r="CK7" i="34"/>
  <c r="CJ7" i="34"/>
  <c r="CG7" i="34"/>
  <c r="CF7" i="34"/>
  <c r="CE7" i="34"/>
  <c r="CD7" i="34"/>
  <c r="CC7" i="34"/>
  <c r="CB7" i="34"/>
  <c r="CA7" i="34"/>
  <c r="BZ7" i="34"/>
  <c r="BY7" i="34"/>
  <c r="C7" i="34"/>
  <c r="C6" i="34"/>
  <c r="C5" i="34"/>
  <c r="C4" i="34"/>
  <c r="C3" i="34"/>
  <c r="DM38" i="33"/>
  <c r="DN38" i="33"/>
  <c r="DM72" i="33"/>
  <c r="DN72" i="33"/>
  <c r="DL72" i="33"/>
  <c r="DL38" i="33"/>
  <c r="DL34" i="33"/>
  <c r="DA86" i="33"/>
  <c r="DC7" i="33"/>
  <c r="DO33" i="30"/>
  <c r="DN33" i="30"/>
  <c r="CZ34" i="33"/>
  <c r="C110" i="33"/>
  <c r="C108" i="33"/>
  <c r="C113" i="33" s="1"/>
  <c r="DV101" i="33"/>
  <c r="DH101" i="33"/>
  <c r="DW100" i="33"/>
  <c r="DV100" i="33"/>
  <c r="DU100" i="33"/>
  <c r="DT100" i="33"/>
  <c r="DS100" i="33"/>
  <c r="DR100" i="33"/>
  <c r="DQ100" i="33"/>
  <c r="DP100" i="33"/>
  <c r="DO100" i="33"/>
  <c r="DN100" i="33"/>
  <c r="DM100" i="33"/>
  <c r="DL100" i="33"/>
  <c r="DI100" i="33"/>
  <c r="DH100" i="33"/>
  <c r="DG100" i="33"/>
  <c r="DF100" i="33"/>
  <c r="DE100" i="33"/>
  <c r="DD100" i="33"/>
  <c r="DC100" i="33"/>
  <c r="DB100" i="33"/>
  <c r="DA100" i="33"/>
  <c r="CZ100" i="33"/>
  <c r="CY100" i="33"/>
  <c r="CX100" i="33"/>
  <c r="DW99" i="33"/>
  <c r="DO99" i="33"/>
  <c r="DN99" i="33"/>
  <c r="DM99" i="33"/>
  <c r="DL99" i="33"/>
  <c r="DI99" i="33"/>
  <c r="DA99" i="33"/>
  <c r="CZ99" i="33"/>
  <c r="CY99" i="33"/>
  <c r="CX99" i="33"/>
  <c r="CU99" i="33"/>
  <c r="CS98" i="33"/>
  <c r="DW97" i="33"/>
  <c r="DV97" i="33"/>
  <c r="DU97" i="33"/>
  <c r="DT97" i="33"/>
  <c r="DS97" i="33"/>
  <c r="DR97" i="33"/>
  <c r="DQ97" i="33"/>
  <c r="DP97" i="33"/>
  <c r="DO97" i="33"/>
  <c r="DN97" i="33"/>
  <c r="DM97" i="33"/>
  <c r="DL97" i="33"/>
  <c r="CU97" i="33"/>
  <c r="CT97" i="33"/>
  <c r="CS97" i="33"/>
  <c r="CQ97" i="33"/>
  <c r="CP97" i="33"/>
  <c r="CO97" i="33"/>
  <c r="K94" i="33"/>
  <c r="J94" i="33"/>
  <c r="I94" i="33"/>
  <c r="H94" i="33"/>
  <c r="G94" i="33"/>
  <c r="F94" i="33"/>
  <c r="E94" i="33"/>
  <c r="D94" i="33"/>
  <c r="P94" i="33" s="1"/>
  <c r="CS93" i="33"/>
  <c r="BT92" i="33"/>
  <c r="BF92" i="33"/>
  <c r="AL92" i="33"/>
  <c r="AK92" i="33"/>
  <c r="AJ92" i="33"/>
  <c r="AI92" i="33"/>
  <c r="AH92" i="33"/>
  <c r="AG92" i="33"/>
  <c r="AF92" i="33"/>
  <c r="AR92" i="33" s="1"/>
  <c r="BT91" i="33"/>
  <c r="BB91" i="33"/>
  <c r="BF91" i="33" s="1"/>
  <c r="AR91" i="33"/>
  <c r="DM90" i="33"/>
  <c r="DL90" i="33"/>
  <c r="DI90" i="33"/>
  <c r="DH90" i="33"/>
  <c r="DG90" i="33"/>
  <c r="DF90" i="33"/>
  <c r="DE90" i="33"/>
  <c r="DD90" i="33"/>
  <c r="DC90" i="33"/>
  <c r="DB90" i="33"/>
  <c r="CM90" i="33"/>
  <c r="CL90" i="33"/>
  <c r="CK90" i="33"/>
  <c r="CG90" i="33"/>
  <c r="CD90" i="33"/>
  <c r="CC90" i="33"/>
  <c r="CB90" i="33"/>
  <c r="BQ90" i="33"/>
  <c r="BQ93" i="33" s="1"/>
  <c r="BP90" i="33"/>
  <c r="BO90" i="33"/>
  <c r="BN90" i="33"/>
  <c r="BM90" i="33"/>
  <c r="BL90" i="33"/>
  <c r="BK90" i="33"/>
  <c r="BJ90" i="33"/>
  <c r="BI90" i="33"/>
  <c r="BH90" i="33"/>
  <c r="BE90" i="33"/>
  <c r="BE93" i="33" s="1"/>
  <c r="BD90" i="33"/>
  <c r="BD93" i="33" s="1"/>
  <c r="BC90" i="33"/>
  <c r="BB90" i="33"/>
  <c r="BA90" i="33"/>
  <c r="AZ90" i="33"/>
  <c r="AY90" i="33"/>
  <c r="AX90" i="33"/>
  <c r="AW90" i="33"/>
  <c r="AV90" i="33"/>
  <c r="AU90" i="33"/>
  <c r="AT90" i="33"/>
  <c r="AQ90" i="33"/>
  <c r="AP90" i="33"/>
  <c r="AO90" i="33"/>
  <c r="AN90" i="33"/>
  <c r="AM90" i="33"/>
  <c r="AD90" i="33"/>
  <c r="P90" i="33"/>
  <c r="CN88" i="33"/>
  <c r="BE88" i="33"/>
  <c r="BD88" i="33"/>
  <c r="DW87" i="33"/>
  <c r="DV87" i="33"/>
  <c r="DU87" i="33"/>
  <c r="DT87" i="33"/>
  <c r="DS87" i="33"/>
  <c r="DR87" i="33"/>
  <c r="DQ87" i="33"/>
  <c r="DP87" i="33"/>
  <c r="DO87" i="33"/>
  <c r="DN87" i="33"/>
  <c r="DM87" i="33"/>
  <c r="DL87" i="33"/>
  <c r="DJ87" i="33"/>
  <c r="CS87" i="33"/>
  <c r="CR87" i="33"/>
  <c r="CQ87" i="33"/>
  <c r="CP87" i="33"/>
  <c r="CO87" i="33"/>
  <c r="CN87" i="33"/>
  <c r="CM87" i="33"/>
  <c r="CL87" i="33"/>
  <c r="CK87" i="33"/>
  <c r="CJ87" i="33"/>
  <c r="BS87" i="33"/>
  <c r="BT87" i="33" s="1"/>
  <c r="BF87" i="33"/>
  <c r="AR87" i="33"/>
  <c r="CL86" i="33"/>
  <c r="BX86" i="33"/>
  <c r="BW86" i="33"/>
  <c r="BV86" i="33"/>
  <c r="BT86" i="33"/>
  <c r="BF86" i="33"/>
  <c r="AR86" i="33"/>
  <c r="DL85" i="33"/>
  <c r="DM85" i="33" s="1"/>
  <c r="DN85" i="33" s="1"/>
  <c r="DO85" i="33" s="1"/>
  <c r="DP85" i="33" s="1"/>
  <c r="DQ85" i="33" s="1"/>
  <c r="DR85" i="33" s="1"/>
  <c r="DS85" i="33" s="1"/>
  <c r="DT85" i="33" s="1"/>
  <c r="DU85" i="33" s="1"/>
  <c r="DV85" i="33" s="1"/>
  <c r="DW85" i="33" s="1"/>
  <c r="CR85" i="33"/>
  <c r="CR97" i="33" s="1"/>
  <c r="CC85" i="33"/>
  <c r="BS85" i="33"/>
  <c r="BO85" i="33"/>
  <c r="BN85" i="33"/>
  <c r="BM85" i="33"/>
  <c r="BL85" i="33"/>
  <c r="BK85" i="33"/>
  <c r="BJ85" i="33"/>
  <c r="BI85" i="33"/>
  <c r="BH85" i="33"/>
  <c r="BE85" i="33"/>
  <c r="BD85" i="33"/>
  <c r="BA85" i="33"/>
  <c r="AL85" i="33"/>
  <c r="AK85" i="33"/>
  <c r="AJ85" i="33"/>
  <c r="AI85" i="33"/>
  <c r="AH85" i="33"/>
  <c r="AG85" i="33"/>
  <c r="AF85" i="33"/>
  <c r="AR85" i="33" s="1"/>
  <c r="AC85" i="33"/>
  <c r="AB85" i="33"/>
  <c r="AA85" i="33"/>
  <c r="Z85" i="33"/>
  <c r="Y85" i="33"/>
  <c r="X85" i="33"/>
  <c r="W85" i="33"/>
  <c r="V85" i="33"/>
  <c r="U85" i="33"/>
  <c r="T85" i="33"/>
  <c r="S85" i="33"/>
  <c r="R85" i="33"/>
  <c r="BX84" i="33"/>
  <c r="BW84" i="33"/>
  <c r="BV84" i="33"/>
  <c r="BR84" i="33"/>
  <c r="BR85" i="33" s="1"/>
  <c r="BQ84" i="33"/>
  <c r="BQ85" i="33" s="1"/>
  <c r="BP84" i="33"/>
  <c r="BC84" i="33"/>
  <c r="BB84" i="33"/>
  <c r="AY84" i="33"/>
  <c r="AX84" i="33"/>
  <c r="AW84" i="33"/>
  <c r="AV84" i="33"/>
  <c r="AU84" i="33"/>
  <c r="AU85" i="33" s="1"/>
  <c r="BF85" i="33" s="1"/>
  <c r="AT84" i="33"/>
  <c r="BF84" i="33" s="1"/>
  <c r="AQ84" i="33"/>
  <c r="AP84" i="33"/>
  <c r="AO84" i="33"/>
  <c r="AN84" i="33"/>
  <c r="AM84" i="33"/>
  <c r="AR84" i="33" s="1"/>
  <c r="P84" i="33"/>
  <c r="DW83" i="33"/>
  <c r="DV83" i="33"/>
  <c r="DU83" i="33"/>
  <c r="DT83" i="33"/>
  <c r="DS83" i="33"/>
  <c r="DR83" i="33"/>
  <c r="DQ83" i="33"/>
  <c r="DP83" i="33"/>
  <c r="DO83" i="33"/>
  <c r="DN83" i="33"/>
  <c r="DM83" i="33"/>
  <c r="DL83" i="33"/>
  <c r="DX83" i="33" s="1"/>
  <c r="DI83" i="33"/>
  <c r="DH83" i="33"/>
  <c r="DG83" i="33"/>
  <c r="DF83" i="33"/>
  <c r="DE83" i="33"/>
  <c r="DD83" i="33"/>
  <c r="DC83" i="33"/>
  <c r="DB83" i="33"/>
  <c r="DA83" i="33"/>
  <c r="CZ83" i="33"/>
  <c r="CZ81" i="33" s="1"/>
  <c r="CZ80" i="33" s="1"/>
  <c r="CY83" i="33"/>
  <c r="CX83" i="33"/>
  <c r="DJ83" i="33" s="1"/>
  <c r="CU83" i="33"/>
  <c r="CT83" i="33"/>
  <c r="DY82" i="33"/>
  <c r="DX82" i="33"/>
  <c r="DJ82" i="33"/>
  <c r="CU81" i="33"/>
  <c r="CL81" i="33"/>
  <c r="BX81" i="33"/>
  <c r="BX87" i="33" s="1"/>
  <c r="BW81" i="33"/>
  <c r="BW87" i="33" s="1"/>
  <c r="BV81" i="33"/>
  <c r="BS81" i="33"/>
  <c r="BP81" i="33"/>
  <c r="BO81" i="33"/>
  <c r="BN81" i="33"/>
  <c r="BM81" i="33"/>
  <c r="BL81" i="33"/>
  <c r="BK81" i="33"/>
  <c r="BJ81" i="33"/>
  <c r="BI81" i="33"/>
  <c r="BH81" i="33"/>
  <c r="BC81" i="33"/>
  <c r="BB81" i="33"/>
  <c r="BA81" i="33"/>
  <c r="AZ81" i="33"/>
  <c r="AY81" i="33"/>
  <c r="AX81" i="33"/>
  <c r="AW81" i="33"/>
  <c r="AV81" i="33"/>
  <c r="AU81" i="33"/>
  <c r="AT81" i="33"/>
  <c r="AQ81" i="33"/>
  <c r="AP81" i="33"/>
  <c r="AO81" i="33"/>
  <c r="AN81" i="33"/>
  <c r="AM81" i="33"/>
  <c r="AL81" i="33"/>
  <c r="AK81" i="33"/>
  <c r="AJ81" i="33"/>
  <c r="AI81" i="33"/>
  <c r="AH81" i="33"/>
  <c r="AG81" i="33"/>
  <c r="AF81" i="33"/>
  <c r="AD81" i="33"/>
  <c r="P81" i="33"/>
  <c r="CU80" i="33"/>
  <c r="DW79" i="33"/>
  <c r="DV79" i="33"/>
  <c r="DU79" i="33"/>
  <c r="DT79" i="33"/>
  <c r="DS79" i="33"/>
  <c r="DR79" i="33"/>
  <c r="DQ79" i="33"/>
  <c r="DP79" i="33"/>
  <c r="DO79" i="33"/>
  <c r="DN79" i="33"/>
  <c r="DM79" i="33"/>
  <c r="DL79" i="33"/>
  <c r="DX79" i="33" s="1"/>
  <c r="DI79" i="33"/>
  <c r="DH79" i="33"/>
  <c r="DG79" i="33"/>
  <c r="DF79" i="33"/>
  <c r="DE79" i="33"/>
  <c r="DD79" i="33"/>
  <c r="DC79" i="33"/>
  <c r="DB79" i="33"/>
  <c r="DA79" i="33"/>
  <c r="CZ79" i="33"/>
  <c r="CY79" i="33"/>
  <c r="CX79" i="33"/>
  <c r="DJ79" i="33" s="1"/>
  <c r="CU79" i="33"/>
  <c r="CT79" i="33"/>
  <c r="DW78" i="33"/>
  <c r="DV78" i="33"/>
  <c r="DU78" i="33"/>
  <c r="DT78" i="33"/>
  <c r="DS78" i="33"/>
  <c r="DR78" i="33"/>
  <c r="DQ78" i="33"/>
  <c r="DP78" i="33"/>
  <c r="DO78" i="33"/>
  <c r="DN78" i="33"/>
  <c r="DM78" i="33"/>
  <c r="DL78" i="33"/>
  <c r="DI78" i="33"/>
  <c r="DH78" i="33"/>
  <c r="DG78" i="33"/>
  <c r="DA78" i="33"/>
  <c r="CZ78" i="33"/>
  <c r="CY78" i="33"/>
  <c r="CX78" i="33"/>
  <c r="DW77" i="33"/>
  <c r="DV77" i="33"/>
  <c r="DU77" i="33"/>
  <c r="DT77" i="33"/>
  <c r="DS77" i="33"/>
  <c r="DR77" i="33"/>
  <c r="DQ77" i="33"/>
  <c r="DP77" i="33"/>
  <c r="DO77" i="33"/>
  <c r="DN77" i="33"/>
  <c r="DM77" i="33"/>
  <c r="DL77" i="33"/>
  <c r="DI77" i="33"/>
  <c r="DH77" i="33"/>
  <c r="DG77" i="33"/>
  <c r="DG75" i="33" s="1"/>
  <c r="DF77" i="33"/>
  <c r="DE77" i="33"/>
  <c r="DD77" i="33"/>
  <c r="DC77" i="33"/>
  <c r="DB77" i="33"/>
  <c r="DA77" i="33"/>
  <c r="CZ77" i="33"/>
  <c r="CY77" i="33"/>
  <c r="CX77" i="33"/>
  <c r="CR76" i="33"/>
  <c r="CQ76" i="33"/>
  <c r="CP76" i="33"/>
  <c r="CO76" i="33"/>
  <c r="CN76" i="33"/>
  <c r="CM76" i="33"/>
  <c r="CL76" i="33"/>
  <c r="CK76" i="33"/>
  <c r="CH76" i="33"/>
  <c r="CV76" i="33" s="1"/>
  <c r="DW75" i="33"/>
  <c r="DV75" i="33"/>
  <c r="DU75" i="33"/>
  <c r="DT75" i="33"/>
  <c r="DS75" i="33"/>
  <c r="DR75" i="33"/>
  <c r="DQ75" i="33"/>
  <c r="DP75" i="33"/>
  <c r="DO75" i="33"/>
  <c r="DN75" i="33"/>
  <c r="DM75" i="33"/>
  <c r="DL75" i="33"/>
  <c r="DX75" i="33" s="1"/>
  <c r="DI75" i="33"/>
  <c r="DH75" i="33"/>
  <c r="DF75" i="33"/>
  <c r="DE75" i="33"/>
  <c r="DD75" i="33"/>
  <c r="DC75" i="33"/>
  <c r="DB75" i="33"/>
  <c r="DA75" i="33"/>
  <c r="CZ75" i="33"/>
  <c r="CY75" i="33"/>
  <c r="CX75" i="33"/>
  <c r="DJ75" i="33" s="1"/>
  <c r="CW75" i="33"/>
  <c r="AQ74" i="33"/>
  <c r="AP74" i="33"/>
  <c r="AO74" i="33"/>
  <c r="AN74" i="33"/>
  <c r="AM74" i="33"/>
  <c r="AL74" i="33"/>
  <c r="AK74" i="33"/>
  <c r="AJ74" i="33"/>
  <c r="AI74" i="33"/>
  <c r="AH74" i="33"/>
  <c r="AG74" i="33"/>
  <c r="AF74" i="33"/>
  <c r="AR74" i="33" s="1"/>
  <c r="CG73" i="33"/>
  <c r="CF73" i="33"/>
  <c r="CE73" i="33"/>
  <c r="CD73" i="33"/>
  <c r="CC73" i="33"/>
  <c r="CB73" i="33"/>
  <c r="DI72" i="33"/>
  <c r="DW72" i="33" s="1"/>
  <c r="DA72" i="33"/>
  <c r="DO72" i="33" s="1"/>
  <c r="CT72" i="33"/>
  <c r="CS72" i="33"/>
  <c r="DG72" i="33" s="1"/>
  <c r="DU72" i="33" s="1"/>
  <c r="CR72" i="33"/>
  <c r="CQ72" i="33"/>
  <c r="CP72" i="33"/>
  <c r="CO72" i="33"/>
  <c r="CN72" i="33"/>
  <c r="CL72" i="33"/>
  <c r="CK72" i="33"/>
  <c r="CJ72" i="33"/>
  <c r="CH72" i="33"/>
  <c r="BQ72" i="33"/>
  <c r="BP72" i="33"/>
  <c r="BO72" i="33"/>
  <c r="BN72" i="33"/>
  <c r="BM72" i="33"/>
  <c r="BL72" i="33"/>
  <c r="BK72" i="33"/>
  <c r="BJ72" i="33"/>
  <c r="BI72" i="33"/>
  <c r="BH72" i="33"/>
  <c r="BT72" i="33" s="1"/>
  <c r="CH71" i="33"/>
  <c r="BT71" i="33"/>
  <c r="BB71" i="33"/>
  <c r="AR71" i="33"/>
  <c r="CH70" i="33"/>
  <c r="BQ70" i="33"/>
  <c r="AM70" i="33"/>
  <c r="AL70" i="33"/>
  <c r="AK70" i="33"/>
  <c r="AJ70" i="33"/>
  <c r="AI70" i="33"/>
  <c r="AH70" i="33"/>
  <c r="AG70" i="33"/>
  <c r="AF70" i="33"/>
  <c r="CH69" i="33"/>
  <c r="BT69" i="33"/>
  <c r="BF69" i="33"/>
  <c r="AR69" i="33"/>
  <c r="CM68" i="33"/>
  <c r="CL68" i="33"/>
  <c r="CK68" i="33"/>
  <c r="CJ68" i="33"/>
  <c r="BQ68" i="33"/>
  <c r="BP68" i="33"/>
  <c r="BO68" i="33"/>
  <c r="BN68" i="33"/>
  <c r="BM68" i="33"/>
  <c r="BL68" i="33"/>
  <c r="BK68" i="33"/>
  <c r="BJ68" i="33"/>
  <c r="BI68" i="33"/>
  <c r="BH68" i="33"/>
  <c r="BE68" i="33"/>
  <c r="BD68" i="33"/>
  <c r="BC68" i="33"/>
  <c r="BB68" i="33"/>
  <c r="BA68" i="33"/>
  <c r="AZ68" i="33"/>
  <c r="AY68" i="33"/>
  <c r="AX68" i="33"/>
  <c r="AW68" i="33"/>
  <c r="AV68" i="33"/>
  <c r="AU68" i="33"/>
  <c r="AT68" i="33"/>
  <c r="AQ68" i="33"/>
  <c r="AP68" i="33"/>
  <c r="AO68" i="33"/>
  <c r="AN68" i="33"/>
  <c r="AM68" i="33"/>
  <c r="AL68" i="33"/>
  <c r="AK68" i="33"/>
  <c r="AJ68" i="33"/>
  <c r="AI68" i="33"/>
  <c r="AH68" i="33"/>
  <c r="AG68" i="33"/>
  <c r="AF68" i="33"/>
  <c r="BF67" i="33"/>
  <c r="AR67" i="33"/>
  <c r="AD67" i="33"/>
  <c r="P67" i="33"/>
  <c r="BN66" i="33"/>
  <c r="BM66" i="33"/>
  <c r="BL66" i="33"/>
  <c r="BK66" i="33"/>
  <c r="BJ66" i="33"/>
  <c r="BI66" i="33"/>
  <c r="BH66" i="33"/>
  <c r="BA66" i="33"/>
  <c r="AZ66" i="33"/>
  <c r="AY66" i="33"/>
  <c r="AX66" i="33"/>
  <c r="AW66" i="33"/>
  <c r="AV66" i="33"/>
  <c r="AU66" i="33"/>
  <c r="AT66" i="33"/>
  <c r="BT65" i="33"/>
  <c r="BB65" i="33"/>
  <c r="AR65" i="33"/>
  <c r="BQ64" i="33"/>
  <c r="BQ66" i="33" s="1"/>
  <c r="BP64" i="33"/>
  <c r="BP66" i="33" s="1"/>
  <c r="BO64" i="33"/>
  <c r="BE64" i="33"/>
  <c r="BE66" i="33" s="1"/>
  <c r="BD64" i="33"/>
  <c r="BD66" i="33" s="1"/>
  <c r="BC64" i="33"/>
  <c r="BC66" i="33" s="1"/>
  <c r="BB64" i="33"/>
  <c r="BF64" i="33" s="1"/>
  <c r="CV63" i="33"/>
  <c r="BN63" i="33"/>
  <c r="BM63" i="33"/>
  <c r="BL63" i="33"/>
  <c r="BK63" i="33"/>
  <c r="BJ63" i="33"/>
  <c r="BI63" i="33"/>
  <c r="BH63" i="33"/>
  <c r="BT63" i="33" s="1"/>
  <c r="DX62" i="33"/>
  <c r="DJ62" i="33"/>
  <c r="CU62" i="33"/>
  <c r="CT62" i="33"/>
  <c r="CS62" i="33"/>
  <c r="CR62" i="33"/>
  <c r="CQ62" i="33"/>
  <c r="CP62" i="33"/>
  <c r="CO62" i="33"/>
  <c r="CN62" i="33"/>
  <c r="CM62" i="33"/>
  <c r="CL62" i="33"/>
  <c r="CK62" i="33"/>
  <c r="CJ62" i="33"/>
  <c r="CV62" i="33" s="1"/>
  <c r="BT62" i="33"/>
  <c r="BE62" i="33"/>
  <c r="BE72" i="33" s="1"/>
  <c r="BD62" i="33"/>
  <c r="BD72" i="33" s="1"/>
  <c r="BC62" i="33"/>
  <c r="BC72" i="33" s="1"/>
  <c r="BB62" i="33"/>
  <c r="BB63" i="33" s="1"/>
  <c r="BA62" i="33"/>
  <c r="AZ62" i="33"/>
  <c r="AZ72" i="33" s="1"/>
  <c r="AY62" i="33"/>
  <c r="AY72" i="33" s="1"/>
  <c r="AX62" i="33"/>
  <c r="AX72" i="33" s="1"/>
  <c r="AW62" i="33"/>
  <c r="AW72" i="33" s="1"/>
  <c r="AV62" i="33"/>
  <c r="AV72" i="33" s="1"/>
  <c r="AU62" i="33"/>
  <c r="AU72" i="33" s="1"/>
  <c r="AT62" i="33"/>
  <c r="AQ62" i="33"/>
  <c r="AP62" i="33"/>
  <c r="AO62" i="33"/>
  <c r="AO72" i="33" s="1"/>
  <c r="AN62" i="33"/>
  <c r="AN72" i="33" s="1"/>
  <c r="AM62" i="33"/>
  <c r="AM72" i="33" s="1"/>
  <c r="AL62" i="33"/>
  <c r="AK62" i="33"/>
  <c r="AK72" i="33" s="1"/>
  <c r="AJ62" i="33"/>
  <c r="AJ72" i="33" s="1"/>
  <c r="AI62" i="33"/>
  <c r="AI72" i="33" s="1"/>
  <c r="AG62" i="33"/>
  <c r="AG72" i="33" s="1"/>
  <c r="AF62" i="33"/>
  <c r="AC62" i="33"/>
  <c r="AB62" i="33"/>
  <c r="AA62" i="33"/>
  <c r="Z62" i="33"/>
  <c r="Y62" i="33"/>
  <c r="X62" i="33"/>
  <c r="W62" i="33"/>
  <c r="R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P62" i="33" s="1"/>
  <c r="CU61" i="33"/>
  <c r="CT61" i="33"/>
  <c r="CS61" i="33"/>
  <c r="CR61" i="33"/>
  <c r="CQ61" i="33"/>
  <c r="CP61" i="33"/>
  <c r="CO61" i="33"/>
  <c r="CN61" i="33"/>
  <c r="CM61" i="33"/>
  <c r="CL61" i="33"/>
  <c r="CK61" i="33"/>
  <c r="CJ61" i="33"/>
  <c r="BT61" i="33"/>
  <c r="BF61" i="33"/>
  <c r="AR61" i="33"/>
  <c r="AD61" i="33"/>
  <c r="P61" i="33"/>
  <c r="CU60" i="33"/>
  <c r="CT60" i="33"/>
  <c r="CS60" i="33"/>
  <c r="CR60" i="33"/>
  <c r="CQ60" i="33"/>
  <c r="CP60" i="33"/>
  <c r="CO60" i="33"/>
  <c r="CN60" i="33"/>
  <c r="CM60" i="33"/>
  <c r="CL60" i="33"/>
  <c r="CK60" i="33"/>
  <c r="CJ60" i="33"/>
  <c r="BF60" i="33"/>
  <c r="BF59" i="33"/>
  <c r="AR59" i="33"/>
  <c r="BF58" i="33"/>
  <c r="AR58" i="33"/>
  <c r="BF57" i="33"/>
  <c r="AR57" i="33"/>
  <c r="CG56" i="33"/>
  <c r="CF56" i="33"/>
  <c r="CE56" i="33"/>
  <c r="CD56" i="33"/>
  <c r="CC56" i="33"/>
  <c r="CB56" i="33"/>
  <c r="CA56" i="33"/>
  <c r="BZ56" i="33"/>
  <c r="BY56" i="33"/>
  <c r="BX56" i="33"/>
  <c r="BW56" i="33"/>
  <c r="BW62" i="33" s="1"/>
  <c r="BV56" i="33"/>
  <c r="BT56" i="33"/>
  <c r="BF56" i="33"/>
  <c r="AH56" i="33"/>
  <c r="AR56" i="33" s="1"/>
  <c r="CG55" i="33"/>
  <c r="CF55" i="33"/>
  <c r="CE55" i="33"/>
  <c r="CD55" i="33"/>
  <c r="CC55" i="33"/>
  <c r="CB55" i="33"/>
  <c r="CA55" i="33"/>
  <c r="BZ55" i="33"/>
  <c r="BY55" i="33"/>
  <c r="BX55" i="33"/>
  <c r="CH55" i="33" s="1"/>
  <c r="BF55" i="33"/>
  <c r="AH55" i="33"/>
  <c r="AR55" i="33" s="1"/>
  <c r="AD55" i="33"/>
  <c r="CG54" i="33"/>
  <c r="CF54" i="33"/>
  <c r="CE54" i="33"/>
  <c r="CD54" i="33"/>
  <c r="CC54" i="33"/>
  <c r="CB54" i="33"/>
  <c r="CA54" i="33"/>
  <c r="BZ54" i="33"/>
  <c r="BY54" i="33"/>
  <c r="BX54" i="33"/>
  <c r="CH54" i="33" s="1"/>
  <c r="BF54" i="33"/>
  <c r="AH54" i="33"/>
  <c r="AR54" i="33" s="1"/>
  <c r="AD54" i="33"/>
  <c r="CG53" i="33"/>
  <c r="CF53" i="33"/>
  <c r="CE53" i="33"/>
  <c r="CD53" i="33"/>
  <c r="CC53" i="33"/>
  <c r="CB53" i="33"/>
  <c r="CA53" i="33"/>
  <c r="BZ53" i="33"/>
  <c r="BY53" i="33"/>
  <c r="BX53" i="33"/>
  <c r="CH53" i="33" s="1"/>
  <c r="BF53" i="33"/>
  <c r="AH53" i="33"/>
  <c r="AR53" i="33" s="1"/>
  <c r="AD53" i="33"/>
  <c r="P53" i="33"/>
  <c r="CG52" i="33"/>
  <c r="CF52" i="33"/>
  <c r="CE52" i="33"/>
  <c r="CD52" i="33"/>
  <c r="CC52" i="33"/>
  <c r="CB52" i="33"/>
  <c r="CA52" i="33"/>
  <c r="BZ52" i="33"/>
  <c r="BY52" i="33"/>
  <c r="BX52" i="33"/>
  <c r="CH52" i="33" s="1"/>
  <c r="BF52" i="33"/>
  <c r="AH52" i="33"/>
  <c r="AR52" i="33" s="1"/>
  <c r="AD52" i="33"/>
  <c r="P52" i="33"/>
  <c r="CG51" i="33"/>
  <c r="CF51" i="33"/>
  <c r="CE51" i="33"/>
  <c r="CD51" i="33"/>
  <c r="CC51" i="33"/>
  <c r="CB51" i="33"/>
  <c r="CA51" i="33"/>
  <c r="BZ51" i="33"/>
  <c r="BY51" i="33"/>
  <c r="BX51" i="33"/>
  <c r="CH51" i="33" s="1"/>
  <c r="BF51" i="33"/>
  <c r="AH51" i="33"/>
  <c r="AR51" i="33" s="1"/>
  <c r="AD51" i="33"/>
  <c r="P51" i="33"/>
  <c r="CG50" i="33"/>
  <c r="CF50" i="33"/>
  <c r="CE50" i="33"/>
  <c r="CD50" i="33"/>
  <c r="CC50" i="33"/>
  <c r="CB50" i="33"/>
  <c r="CA50" i="33"/>
  <c r="BZ50" i="33"/>
  <c r="BY50" i="33"/>
  <c r="BX50" i="33"/>
  <c r="CH50" i="33" s="1"/>
  <c r="BF50" i="33"/>
  <c r="AH50" i="33"/>
  <c r="AD50" i="33"/>
  <c r="P50" i="33"/>
  <c r="CG49" i="33"/>
  <c r="CF49" i="33"/>
  <c r="CE49" i="33"/>
  <c r="CD49" i="33"/>
  <c r="CC49" i="33"/>
  <c r="CB49" i="33"/>
  <c r="CA49" i="33"/>
  <c r="BZ49" i="33"/>
  <c r="BY49" i="33"/>
  <c r="BX49" i="33"/>
  <c r="CH49" i="33" s="1"/>
  <c r="BF49" i="33"/>
  <c r="AR49" i="33"/>
  <c r="U49" i="33"/>
  <c r="T49" i="33"/>
  <c r="AD49" i="33" s="1"/>
  <c r="P49" i="33"/>
  <c r="CG48" i="33"/>
  <c r="CF48" i="33"/>
  <c r="CE48" i="33"/>
  <c r="CD48" i="33"/>
  <c r="CC48" i="33"/>
  <c r="CB48" i="33"/>
  <c r="CA48" i="33"/>
  <c r="BZ48" i="33"/>
  <c r="BY48" i="33"/>
  <c r="BX48" i="33"/>
  <c r="CH48" i="33" s="1"/>
  <c r="BF48" i="33"/>
  <c r="AR48" i="33"/>
  <c r="T48" i="33"/>
  <c r="AD48" i="33" s="1"/>
  <c r="P48" i="33"/>
  <c r="CG47" i="33"/>
  <c r="CF47" i="33"/>
  <c r="CE47" i="33"/>
  <c r="CD47" i="33"/>
  <c r="CC47" i="33"/>
  <c r="CB47" i="33"/>
  <c r="CA47" i="33"/>
  <c r="BZ47" i="33"/>
  <c r="BY47" i="33"/>
  <c r="BX47" i="33"/>
  <c r="CH47" i="33" s="1"/>
  <c r="BF47" i="33"/>
  <c r="AR47" i="33"/>
  <c r="U47" i="33"/>
  <c r="T47" i="33"/>
  <c r="S47" i="33"/>
  <c r="AD47" i="33" s="1"/>
  <c r="P47" i="33"/>
  <c r="CG46" i="33"/>
  <c r="CF46" i="33"/>
  <c r="CE46" i="33"/>
  <c r="CD46" i="33"/>
  <c r="CC46" i="33"/>
  <c r="CB46" i="33"/>
  <c r="CA46" i="33"/>
  <c r="BZ46" i="33"/>
  <c r="BY46" i="33"/>
  <c r="BX46" i="33"/>
  <c r="CH46" i="33" s="1"/>
  <c r="BF46" i="33"/>
  <c r="AR46" i="33"/>
  <c r="AD46" i="33"/>
  <c r="P46" i="33"/>
  <c r="CG45" i="33"/>
  <c r="CF45" i="33"/>
  <c r="CE45" i="33"/>
  <c r="CD45" i="33"/>
  <c r="CC45" i="33"/>
  <c r="CB45" i="33"/>
  <c r="CA45" i="33"/>
  <c r="BZ45" i="33"/>
  <c r="BY45" i="33"/>
  <c r="BX45" i="33"/>
  <c r="CH45" i="33" s="1"/>
  <c r="BF45" i="33"/>
  <c r="AR45" i="33"/>
  <c r="V45" i="33"/>
  <c r="V62" i="33" s="1"/>
  <c r="U45" i="33"/>
  <c r="AD45" i="33" s="1"/>
  <c r="P45" i="33"/>
  <c r="CG44" i="33"/>
  <c r="CF44" i="33"/>
  <c r="CE44" i="33"/>
  <c r="CD44" i="33"/>
  <c r="CC44" i="33"/>
  <c r="CB44" i="33"/>
  <c r="CA44" i="33"/>
  <c r="BZ44" i="33"/>
  <c r="BY44" i="33"/>
  <c r="BX44" i="33"/>
  <c r="CH44" i="33" s="1"/>
  <c r="BF44" i="33"/>
  <c r="AR44" i="33"/>
  <c r="T44" i="33"/>
  <c r="S44" i="33"/>
  <c r="P44" i="33"/>
  <c r="CG43" i="33"/>
  <c r="CF43" i="33"/>
  <c r="CE43" i="33"/>
  <c r="CD43" i="33"/>
  <c r="CC43" i="33"/>
  <c r="CB43" i="33"/>
  <c r="CA43" i="33"/>
  <c r="BZ43" i="33"/>
  <c r="BY43" i="33"/>
  <c r="BX43" i="33"/>
  <c r="CH43" i="33" s="1"/>
  <c r="BF43" i="33"/>
  <c r="AR43" i="33"/>
  <c r="AD43" i="33"/>
  <c r="P43" i="33"/>
  <c r="CG42" i="33"/>
  <c r="CF42" i="33"/>
  <c r="CE42" i="33"/>
  <c r="CD42" i="33"/>
  <c r="CC42" i="33"/>
  <c r="CB42" i="33"/>
  <c r="CA42" i="33"/>
  <c r="BZ42" i="33"/>
  <c r="BY42" i="33"/>
  <c r="BX42" i="33"/>
  <c r="CH42" i="33" s="1"/>
  <c r="BF42" i="33"/>
  <c r="AR42" i="33"/>
  <c r="U42" i="33"/>
  <c r="T42" i="33"/>
  <c r="AD42" i="33" s="1"/>
  <c r="P42" i="33"/>
  <c r="CG41" i="33"/>
  <c r="CG62" i="33" s="1"/>
  <c r="CF41" i="33"/>
  <c r="CF62" i="33" s="1"/>
  <c r="CE41" i="33"/>
  <c r="CE62" i="33" s="1"/>
  <c r="CE63" i="33" s="1"/>
  <c r="CD41" i="33"/>
  <c r="CD62" i="33" s="1"/>
  <c r="CD63" i="33" s="1"/>
  <c r="CC41" i="33"/>
  <c r="CC62" i="33" s="1"/>
  <c r="CC63" i="33" s="1"/>
  <c r="CB41" i="33"/>
  <c r="CB62" i="33" s="1"/>
  <c r="CA41" i="33"/>
  <c r="CA62" i="33" s="1"/>
  <c r="BZ41" i="33"/>
  <c r="BZ62" i="33" s="1"/>
  <c r="BY41" i="33"/>
  <c r="BY62" i="33" s="1"/>
  <c r="BX41" i="33"/>
  <c r="BX62" i="33" s="1"/>
  <c r="BF41" i="33"/>
  <c r="AR41" i="33"/>
  <c r="U41" i="33"/>
  <c r="U62" i="33" s="1"/>
  <c r="T41" i="33"/>
  <c r="P41" i="33"/>
  <c r="DX39" i="33"/>
  <c r="DJ39" i="33"/>
  <c r="DI38" i="33"/>
  <c r="DW38" i="33" s="1"/>
  <c r="DH38" i="33"/>
  <c r="DV38" i="33" s="1"/>
  <c r="DG38" i="33"/>
  <c r="DF38" i="33"/>
  <c r="DT38" i="33" s="1"/>
  <c r="DE38" i="33"/>
  <c r="DD38" i="33"/>
  <c r="DR38" i="33" s="1"/>
  <c r="DC38" i="33"/>
  <c r="DQ38" i="33" s="1"/>
  <c r="DB38" i="33"/>
  <c r="DP38" i="33" s="1"/>
  <c r="DA38" i="33"/>
  <c r="DO38" i="33" s="1"/>
  <c r="DJ38" i="33"/>
  <c r="CP38" i="33"/>
  <c r="CJ38" i="33"/>
  <c r="CI38" i="33"/>
  <c r="CG38" i="33"/>
  <c r="CF38" i="33"/>
  <c r="CF64" i="33" s="1"/>
  <c r="CE38" i="33"/>
  <c r="CE64" i="33" s="1"/>
  <c r="CD38" i="33"/>
  <c r="CD64" i="33" s="1"/>
  <c r="CC38" i="33"/>
  <c r="CC64" i="33" s="1"/>
  <c r="CB38" i="33"/>
  <c r="CB64" i="33" s="1"/>
  <c r="CA38" i="33"/>
  <c r="CA64" i="33" s="1"/>
  <c r="BZ38" i="33"/>
  <c r="BZ64" i="33" s="1"/>
  <c r="BY38" i="33"/>
  <c r="BY64" i="33" s="1"/>
  <c r="BX38" i="33"/>
  <c r="BX64" i="33" s="1"/>
  <c r="BW38" i="33"/>
  <c r="BW64" i="33" s="1"/>
  <c r="BV38" i="33"/>
  <c r="BV64" i="33" s="1"/>
  <c r="BS38" i="33"/>
  <c r="BR38" i="33"/>
  <c r="BQ38" i="33"/>
  <c r="BE38" i="33"/>
  <c r="BE70" i="33" s="1"/>
  <c r="BD38" i="33"/>
  <c r="BD70" i="33" s="1"/>
  <c r="BC38" i="33"/>
  <c r="BC70" i="33" s="1"/>
  <c r="BB38" i="33"/>
  <c r="BB70" i="33" s="1"/>
  <c r="BA38" i="33"/>
  <c r="BA70" i="33" s="1"/>
  <c r="AZ38" i="33"/>
  <c r="AZ70" i="33" s="1"/>
  <c r="AY38" i="33"/>
  <c r="AY70" i="33" s="1"/>
  <c r="AX38" i="33"/>
  <c r="AX70" i="33" s="1"/>
  <c r="AW38" i="33"/>
  <c r="AW70" i="33" s="1"/>
  <c r="AV38" i="33"/>
  <c r="AV70" i="33" s="1"/>
  <c r="AU38" i="33"/>
  <c r="AU70" i="33" s="1"/>
  <c r="AT38" i="33"/>
  <c r="U38" i="33"/>
  <c r="AD38" i="33" s="1"/>
  <c r="P38" i="33"/>
  <c r="CQ37" i="33"/>
  <c r="CK37" i="33"/>
  <c r="AQ37" i="33"/>
  <c r="AQ38" i="33" s="1"/>
  <c r="AQ70" i="33" s="1"/>
  <c r="AP37" i="33"/>
  <c r="AP38" i="33" s="1"/>
  <c r="AP70" i="33" s="1"/>
  <c r="AO37" i="33"/>
  <c r="AO38" i="33" s="1"/>
  <c r="AO70" i="33" s="1"/>
  <c r="AN37" i="33"/>
  <c r="AN38" i="33" s="1"/>
  <c r="CV36" i="33"/>
  <c r="CG36" i="33"/>
  <c r="CF36" i="33"/>
  <c r="CE36" i="33"/>
  <c r="CD36" i="33"/>
  <c r="CC36" i="33"/>
  <c r="CB36" i="33"/>
  <c r="CA36" i="33"/>
  <c r="BZ36" i="33"/>
  <c r="BY36" i="33"/>
  <c r="BX36" i="33"/>
  <c r="BW36" i="33"/>
  <c r="BV36" i="33"/>
  <c r="CH36" i="33" s="1"/>
  <c r="BQ36" i="33"/>
  <c r="BT36" i="33" s="1"/>
  <c r="BF36" i="33"/>
  <c r="DX35" i="33"/>
  <c r="DW35" i="33"/>
  <c r="DV35" i="33"/>
  <c r="DU35" i="33"/>
  <c r="DT35" i="33"/>
  <c r="DS35" i="33"/>
  <c r="DR35" i="33"/>
  <c r="DQ35" i="33"/>
  <c r="DP35" i="33"/>
  <c r="DO35" i="33"/>
  <c r="DN35" i="33"/>
  <c r="DM35" i="33"/>
  <c r="DL35" i="33"/>
  <c r="CG35" i="33"/>
  <c r="CF35" i="33"/>
  <c r="CE35" i="33"/>
  <c r="CD35" i="33"/>
  <c r="CC35" i="33"/>
  <c r="CB35" i="33"/>
  <c r="CA35" i="33"/>
  <c r="BZ35" i="33"/>
  <c r="BY35" i="33"/>
  <c r="BX35" i="33"/>
  <c r="BW35" i="33"/>
  <c r="BP35" i="33"/>
  <c r="BO35" i="33"/>
  <c r="BN35" i="33"/>
  <c r="BM35" i="33"/>
  <c r="BL35" i="33"/>
  <c r="BK35" i="33"/>
  <c r="BJ35" i="33"/>
  <c r="BI35" i="33"/>
  <c r="BH35" i="33"/>
  <c r="BE35" i="33"/>
  <c r="BD35" i="33"/>
  <c r="BC35" i="33"/>
  <c r="BB35" i="33"/>
  <c r="AZ35" i="33"/>
  <c r="AY35" i="33"/>
  <c r="DW34" i="33"/>
  <c r="DO34" i="33"/>
  <c r="DI34" i="33"/>
  <c r="CP34" i="33"/>
  <c r="CJ34" i="33"/>
  <c r="CG34" i="33"/>
  <c r="CG77" i="33" s="1"/>
  <c r="CF34" i="33"/>
  <c r="CF77" i="33" s="1"/>
  <c r="CE34" i="33"/>
  <c r="CE77" i="33" s="1"/>
  <c r="CD34" i="33"/>
  <c r="CD77" i="33" s="1"/>
  <c r="CC34" i="33"/>
  <c r="CC77" i="33" s="1"/>
  <c r="CB34" i="33"/>
  <c r="CB77" i="33" s="1"/>
  <c r="CA34" i="33"/>
  <c r="CA77" i="33" s="1"/>
  <c r="BZ34" i="33"/>
  <c r="BZ77" i="33" s="1"/>
  <c r="BY34" i="33"/>
  <c r="BY77" i="33" s="1"/>
  <c r="BX34" i="33"/>
  <c r="BX77" i="33" s="1"/>
  <c r="BW34" i="33"/>
  <c r="BW77" i="33" s="1"/>
  <c r="BV34" i="33"/>
  <c r="BR34" i="33"/>
  <c r="BS64" i="33" s="1"/>
  <c r="CG64" i="33" s="1"/>
  <c r="BQ34" i="33"/>
  <c r="BQ94" i="33" s="1"/>
  <c r="BP34" i="33"/>
  <c r="BO34" i="33"/>
  <c r="BN34" i="33"/>
  <c r="BM34" i="33"/>
  <c r="BL34" i="33"/>
  <c r="BK34" i="33"/>
  <c r="BJ34" i="33"/>
  <c r="BI34" i="33"/>
  <c r="BH34" i="33"/>
  <c r="BT34" i="33" s="1"/>
  <c r="BE34" i="33"/>
  <c r="BE94" i="33" s="1"/>
  <c r="BD34" i="33"/>
  <c r="BD94" i="33" s="1"/>
  <c r="BC34" i="33"/>
  <c r="BB34" i="33"/>
  <c r="BA34" i="33"/>
  <c r="AZ34" i="33"/>
  <c r="AY34" i="33"/>
  <c r="AX34" i="33"/>
  <c r="AW34" i="33"/>
  <c r="AV34" i="33"/>
  <c r="AU34" i="33"/>
  <c r="AT34" i="33"/>
  <c r="BF34" i="33" s="1"/>
  <c r="AQ34" i="33"/>
  <c r="AP34" i="33"/>
  <c r="AO34" i="33"/>
  <c r="AN34" i="33"/>
  <c r="AM34" i="33"/>
  <c r="AL34" i="33"/>
  <c r="AK34" i="33"/>
  <c r="AJ34" i="33"/>
  <c r="AI34" i="33"/>
  <c r="AG34" i="33"/>
  <c r="AF34" i="33"/>
  <c r="AC34" i="33"/>
  <c r="AC94" i="33" s="1"/>
  <c r="AB34" i="33"/>
  <c r="AB94" i="33" s="1"/>
  <c r="AA34" i="33"/>
  <c r="AA94" i="33" s="1"/>
  <c r="Z34" i="33"/>
  <c r="Z94" i="33" s="1"/>
  <c r="Y34" i="33"/>
  <c r="Y94" i="33" s="1"/>
  <c r="X34" i="33"/>
  <c r="X94" i="33" s="1"/>
  <c r="W34" i="33"/>
  <c r="W94" i="33" s="1"/>
  <c r="V34" i="33"/>
  <c r="V94" i="33" s="1"/>
  <c r="U34" i="33"/>
  <c r="U94" i="33" s="1"/>
  <c r="R34" i="33"/>
  <c r="P34" i="33"/>
  <c r="O34" i="33"/>
  <c r="O94" i="33" s="1"/>
  <c r="N34" i="33"/>
  <c r="N94" i="33" s="1"/>
  <c r="M34" i="33"/>
  <c r="M94" i="33" s="1"/>
  <c r="L34" i="33"/>
  <c r="L94" i="33" s="1"/>
  <c r="K34" i="33"/>
  <c r="J34" i="33"/>
  <c r="I34" i="33"/>
  <c r="H34" i="33"/>
  <c r="G34" i="33"/>
  <c r="F34" i="33"/>
  <c r="E34" i="33"/>
  <c r="D34" i="33"/>
  <c r="CM33" i="33"/>
  <c r="CL33" i="33"/>
  <c r="CK33" i="33"/>
  <c r="CJ33" i="33"/>
  <c r="CG33" i="33"/>
  <c r="CF33" i="33"/>
  <c r="CE33" i="33"/>
  <c r="CD33" i="33"/>
  <c r="CC33" i="33"/>
  <c r="CB33" i="33"/>
  <c r="CA33" i="33"/>
  <c r="BZ33" i="33"/>
  <c r="BY33" i="33"/>
  <c r="BX33" i="33"/>
  <c r="BW33" i="33"/>
  <c r="BV33" i="33"/>
  <c r="CM31" i="33"/>
  <c r="CL31" i="33"/>
  <c r="CK31" i="33"/>
  <c r="CJ31" i="33"/>
  <c r="BG30" i="33"/>
  <c r="CG29" i="33"/>
  <c r="CF29" i="33"/>
  <c r="CF30" i="33" s="1"/>
  <c r="CE29" i="33"/>
  <c r="CE30" i="33" s="1"/>
  <c r="CD29" i="33"/>
  <c r="CD30" i="33" s="1"/>
  <c r="CC29" i="33"/>
  <c r="CC30" i="33" s="1"/>
  <c r="CB29" i="33"/>
  <c r="CB30" i="33" s="1"/>
  <c r="CA29" i="33"/>
  <c r="CA30" i="33" s="1"/>
  <c r="BZ29" i="33"/>
  <c r="BZ30" i="33" s="1"/>
  <c r="BY29" i="33"/>
  <c r="BY30" i="33" s="1"/>
  <c r="BX29" i="33"/>
  <c r="BX30" i="33" s="1"/>
  <c r="BW29" i="33"/>
  <c r="BW30" i="33" s="1"/>
  <c r="BV29" i="33"/>
  <c r="BV30" i="33" s="1"/>
  <c r="BS29" i="33"/>
  <c r="BR29" i="33"/>
  <c r="BR30" i="33" s="1"/>
  <c r="BQ29" i="33"/>
  <c r="BQ30" i="33" s="1"/>
  <c r="BP29" i="33"/>
  <c r="BP30" i="33" s="1"/>
  <c r="BO29" i="33"/>
  <c r="BO30" i="33" s="1"/>
  <c r="BN29" i="33"/>
  <c r="BN30" i="33" s="1"/>
  <c r="BM29" i="33"/>
  <c r="BM30" i="33" s="1"/>
  <c r="BL29" i="33"/>
  <c r="BL30" i="33" s="1"/>
  <c r="BK29" i="33"/>
  <c r="BK30" i="33" s="1"/>
  <c r="BJ29" i="33"/>
  <c r="BJ30" i="33" s="1"/>
  <c r="BI29" i="33"/>
  <c r="BI30" i="33" s="1"/>
  <c r="BH29" i="33"/>
  <c r="BH30" i="33" s="1"/>
  <c r="BE29" i="33"/>
  <c r="BE30" i="33" s="1"/>
  <c r="BD29" i="33"/>
  <c r="BD30" i="33" s="1"/>
  <c r="BC29" i="33"/>
  <c r="BC30" i="33" s="1"/>
  <c r="BB29" i="33"/>
  <c r="BB30" i="33" s="1"/>
  <c r="BA29" i="33"/>
  <c r="BA30" i="33" s="1"/>
  <c r="AZ29" i="33"/>
  <c r="AZ30" i="33" s="1"/>
  <c r="AY29" i="33"/>
  <c r="AY30" i="33" s="1"/>
  <c r="AX29" i="33"/>
  <c r="AX30" i="33" s="1"/>
  <c r="AW29" i="33"/>
  <c r="AW30" i="33" s="1"/>
  <c r="AV29" i="33"/>
  <c r="AV30" i="33" s="1"/>
  <c r="AU29" i="33"/>
  <c r="AU30" i="33" s="1"/>
  <c r="AT29" i="33"/>
  <c r="AQ29" i="33"/>
  <c r="AP29" i="33"/>
  <c r="AP30" i="33" s="1"/>
  <c r="AO29" i="33"/>
  <c r="AO30" i="33" s="1"/>
  <c r="AN29" i="33"/>
  <c r="AN30" i="33" s="1"/>
  <c r="AM29" i="33"/>
  <c r="AM30" i="33" s="1"/>
  <c r="AL29" i="33"/>
  <c r="AL30" i="33" s="1"/>
  <c r="AK29" i="33"/>
  <c r="AK30" i="33" s="1"/>
  <c r="AJ29" i="33"/>
  <c r="AJ30" i="33" s="1"/>
  <c r="AI29" i="33"/>
  <c r="AI30" i="33" s="1"/>
  <c r="AH29" i="33"/>
  <c r="AH30" i="33" s="1"/>
  <c r="AG29" i="33"/>
  <c r="AG30" i="33" s="1"/>
  <c r="AF29" i="33"/>
  <c r="AF30" i="33" s="1"/>
  <c r="AC29" i="33"/>
  <c r="AB29" i="33"/>
  <c r="AA29" i="33"/>
  <c r="Z29" i="33"/>
  <c r="Y29" i="33"/>
  <c r="X29" i="33"/>
  <c r="AD29" i="33" s="1"/>
  <c r="W29" i="33"/>
  <c r="V29" i="33"/>
  <c r="U29" i="33"/>
  <c r="T29" i="33"/>
  <c r="S29" i="33"/>
  <c r="R29" i="33"/>
  <c r="O29" i="33"/>
  <c r="N29" i="33"/>
  <c r="M29" i="33"/>
  <c r="L29" i="33"/>
  <c r="K29" i="33"/>
  <c r="J29" i="33"/>
  <c r="P29" i="33" s="1"/>
  <c r="H29" i="33"/>
  <c r="G29" i="33"/>
  <c r="F29" i="33"/>
  <c r="E29" i="33"/>
  <c r="D29" i="33"/>
  <c r="CH26" i="33"/>
  <c r="BT26" i="33"/>
  <c r="BF26" i="33"/>
  <c r="AR26" i="33"/>
  <c r="CH25" i="33"/>
  <c r="BT25" i="33"/>
  <c r="BF25" i="33"/>
  <c r="AR25" i="33"/>
  <c r="CH24" i="33"/>
  <c r="BT24" i="33"/>
  <c r="BF24" i="33"/>
  <c r="AR24" i="33"/>
  <c r="CI23" i="33"/>
  <c r="CI25" i="33" s="1"/>
  <c r="CH23" i="33"/>
  <c r="BT23" i="33"/>
  <c r="BF23" i="33"/>
  <c r="AR23" i="33"/>
  <c r="U23" i="33"/>
  <c r="CZ22" i="33"/>
  <c r="DA22" i="33" s="1"/>
  <c r="DB22" i="33" s="1"/>
  <c r="DC22" i="33" s="1"/>
  <c r="DD22" i="33" s="1"/>
  <c r="DE22" i="33" s="1"/>
  <c r="DF22" i="33" s="1"/>
  <c r="DG22" i="33" s="1"/>
  <c r="DH22" i="33" s="1"/>
  <c r="DI22" i="33" s="1"/>
  <c r="DL22" i="33" s="1"/>
  <c r="DM22" i="33" s="1"/>
  <c r="DN22" i="33" s="1"/>
  <c r="DO22" i="33" s="1"/>
  <c r="DP22" i="33" s="1"/>
  <c r="DQ22" i="33" s="1"/>
  <c r="DR22" i="33" s="1"/>
  <c r="DS22" i="33" s="1"/>
  <c r="DT22" i="33" s="1"/>
  <c r="DU22" i="33" s="1"/>
  <c r="DV22" i="33" s="1"/>
  <c r="DW22" i="33" s="1"/>
  <c r="CT22" i="33"/>
  <c r="CU22" i="33" s="1"/>
  <c r="DA21" i="33"/>
  <c r="CT21" i="33"/>
  <c r="CU21" i="33" s="1"/>
  <c r="CS20" i="33"/>
  <c r="CH20" i="33"/>
  <c r="CH33" i="33" s="1"/>
  <c r="BT20" i="33"/>
  <c r="BF20" i="33"/>
  <c r="AR20" i="33"/>
  <c r="I20" i="33"/>
  <c r="I29" i="33" s="1"/>
  <c r="DW15" i="33"/>
  <c r="DI15" i="33"/>
  <c r="CH11" i="33"/>
  <c r="CM10" i="33"/>
  <c r="CL10" i="33"/>
  <c r="CH10" i="33"/>
  <c r="CG10" i="33"/>
  <c r="CG31" i="33" s="1"/>
  <c r="CH31" i="33" s="1"/>
  <c r="CF10" i="33"/>
  <c r="CF31" i="33" s="1"/>
  <c r="CE10" i="33"/>
  <c r="CE31" i="33" s="1"/>
  <c r="CD10" i="33"/>
  <c r="CD31" i="33" s="1"/>
  <c r="CC10" i="33"/>
  <c r="CC31" i="33" s="1"/>
  <c r="CB10" i="33"/>
  <c r="CB31" i="33" s="1"/>
  <c r="CA10" i="33"/>
  <c r="CA31" i="33" s="1"/>
  <c r="BZ10" i="33"/>
  <c r="BZ31" i="33" s="1"/>
  <c r="BY10" i="33"/>
  <c r="BY31" i="33" s="1"/>
  <c r="BX10" i="33"/>
  <c r="BX31" i="33" s="1"/>
  <c r="BW10" i="33"/>
  <c r="BW31" i="33" s="1"/>
  <c r="BV10" i="33"/>
  <c r="BV31" i="33" s="1"/>
  <c r="BS10" i="33"/>
  <c r="BR10" i="33"/>
  <c r="BQ10" i="33"/>
  <c r="BP10" i="33"/>
  <c r="BO10" i="33"/>
  <c r="BN10" i="33"/>
  <c r="BM10" i="33"/>
  <c r="BL10" i="33"/>
  <c r="BK10" i="33"/>
  <c r="BJ10" i="33"/>
  <c r="BI10" i="33"/>
  <c r="BH10" i="33"/>
  <c r="BE10" i="33"/>
  <c r="BD10" i="33"/>
  <c r="BC10" i="33"/>
  <c r="BB10" i="33"/>
  <c r="BA10" i="33"/>
  <c r="AZ10" i="33"/>
  <c r="AY10" i="33"/>
  <c r="AX10" i="33"/>
  <c r="AW10" i="33"/>
  <c r="AV10" i="33"/>
  <c r="AU10" i="33"/>
  <c r="AT10" i="33"/>
  <c r="AQ10" i="33"/>
  <c r="AP10" i="33"/>
  <c r="AO10" i="33"/>
  <c r="AN10" i="33"/>
  <c r="AM10" i="33"/>
  <c r="AL10" i="33"/>
  <c r="AK10" i="33"/>
  <c r="AJ10" i="33"/>
  <c r="AI10" i="33"/>
  <c r="AH10" i="33"/>
  <c r="AG10" i="33"/>
  <c r="AF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DW7" i="33"/>
  <c r="DV7" i="33"/>
  <c r="DU7" i="33"/>
  <c r="DT7" i="33"/>
  <c r="DS7" i="33"/>
  <c r="DR7" i="33"/>
  <c r="DQ7" i="33"/>
  <c r="DP7" i="33"/>
  <c r="DO7" i="33"/>
  <c r="DN7" i="33"/>
  <c r="DM7" i="33"/>
  <c r="DL7" i="33"/>
  <c r="DI7" i="33"/>
  <c r="DH7" i="33"/>
  <c r="DG7" i="33"/>
  <c r="DF7" i="33"/>
  <c r="DE7" i="33"/>
  <c r="DD7" i="33"/>
  <c r="DB7" i="33"/>
  <c r="CY7" i="33"/>
  <c r="CX7" i="33"/>
  <c r="CT7" i="33"/>
  <c r="CT81" i="33" s="1"/>
  <c r="CS7" i="33"/>
  <c r="CR7" i="33"/>
  <c r="CR81" i="33" s="1"/>
  <c r="CQ7" i="33"/>
  <c r="CQ81" i="33" s="1"/>
  <c r="CP7" i="33"/>
  <c r="CP81" i="33" s="1"/>
  <c r="CO7" i="33"/>
  <c r="CN7" i="33"/>
  <c r="CM7" i="33"/>
  <c r="CK7" i="33"/>
  <c r="CJ7" i="33"/>
  <c r="CG7" i="33"/>
  <c r="CF7" i="33"/>
  <c r="CE7" i="33"/>
  <c r="CD7" i="33"/>
  <c r="CC7" i="33"/>
  <c r="CB7" i="33"/>
  <c r="CA7" i="33"/>
  <c r="BZ7" i="33"/>
  <c r="BY7" i="33"/>
  <c r="C7" i="33"/>
  <c r="C6" i="33"/>
  <c r="C5" i="33"/>
  <c r="C4" i="33"/>
  <c r="C3" i="33"/>
  <c r="CZ33" i="30"/>
  <c r="DL74" i="30"/>
  <c r="DL37" i="30"/>
  <c r="DL33" i="30"/>
  <c r="DL84" i="30"/>
  <c r="DJ86" i="30"/>
  <c r="CX92" i="30"/>
  <c r="CZ89" i="30"/>
  <c r="DA89" i="30"/>
  <c r="DB89" i="30"/>
  <c r="DC89" i="30"/>
  <c r="DD89" i="30"/>
  <c r="DE89" i="30"/>
  <c r="DF89" i="30"/>
  <c r="DF37" i="30"/>
  <c r="DG37" i="30"/>
  <c r="DF82" i="30"/>
  <c r="C109" i="32"/>
  <c r="C108" i="32"/>
  <c r="C107" i="32"/>
  <c r="C112" i="32" s="1"/>
  <c r="DV100" i="32"/>
  <c r="DH100" i="32"/>
  <c r="DW99" i="32"/>
  <c r="DV99" i="32"/>
  <c r="DU99" i="32"/>
  <c r="DT99" i="32"/>
  <c r="DS99" i="32"/>
  <c r="DR99" i="32"/>
  <c r="DQ99" i="32"/>
  <c r="DP99" i="32"/>
  <c r="DO99" i="32"/>
  <c r="DN99" i="32"/>
  <c r="DM99" i="32"/>
  <c r="DL99" i="32"/>
  <c r="DI99" i="32"/>
  <c r="DH99" i="32"/>
  <c r="DG99" i="32"/>
  <c r="DF99" i="32"/>
  <c r="DE99" i="32"/>
  <c r="DD99" i="32"/>
  <c r="DC99" i="32"/>
  <c r="DB99" i="32"/>
  <c r="DA99" i="32"/>
  <c r="CZ99" i="32"/>
  <c r="CY99" i="32"/>
  <c r="CX99" i="32"/>
  <c r="DW98" i="32"/>
  <c r="DO98" i="32"/>
  <c r="DN98" i="32"/>
  <c r="DM98" i="32"/>
  <c r="DL98" i="32"/>
  <c r="DI98" i="32"/>
  <c r="DA98" i="32"/>
  <c r="CZ98" i="32"/>
  <c r="CY98" i="32"/>
  <c r="CX98" i="32"/>
  <c r="CU98" i="32"/>
  <c r="CS97" i="32"/>
  <c r="DW96" i="32"/>
  <c r="DV96" i="32"/>
  <c r="DU96" i="32"/>
  <c r="DT96" i="32"/>
  <c r="DS96" i="32"/>
  <c r="DR96" i="32"/>
  <c r="DQ96" i="32"/>
  <c r="DP96" i="32"/>
  <c r="DO96" i="32"/>
  <c r="DN96" i="32"/>
  <c r="DM96" i="32"/>
  <c r="DL96" i="32"/>
  <c r="CU96" i="32"/>
  <c r="CT96" i="32"/>
  <c r="CS96" i="32"/>
  <c r="CQ96" i="32"/>
  <c r="CP96" i="32"/>
  <c r="CO96" i="32"/>
  <c r="K93" i="32"/>
  <c r="J93" i="32"/>
  <c r="I93" i="32"/>
  <c r="H93" i="32"/>
  <c r="G93" i="32"/>
  <c r="F93" i="32"/>
  <c r="E93" i="32"/>
  <c r="D93" i="32"/>
  <c r="P93" i="32" s="1"/>
  <c r="CS92" i="32"/>
  <c r="BT91" i="32"/>
  <c r="BF91" i="32"/>
  <c r="AL91" i="32"/>
  <c r="AK91" i="32"/>
  <c r="AJ91" i="32"/>
  <c r="AI91" i="32"/>
  <c r="AH91" i="32"/>
  <c r="AG91" i="32"/>
  <c r="AF91" i="32"/>
  <c r="AR91" i="32" s="1"/>
  <c r="BT90" i="32"/>
  <c r="BB90" i="32"/>
  <c r="BF90" i="32" s="1"/>
  <c r="AR90" i="32"/>
  <c r="DI89" i="32"/>
  <c r="DH89" i="32"/>
  <c r="DG89" i="32"/>
  <c r="DF89" i="32"/>
  <c r="DE89" i="32"/>
  <c r="DD89" i="32"/>
  <c r="DC89" i="32"/>
  <c r="DB89" i="32"/>
  <c r="CX89" i="32"/>
  <c r="CM89" i="32"/>
  <c r="CL89" i="32"/>
  <c r="CK89" i="32"/>
  <c r="CG89" i="32"/>
  <c r="CD89" i="32"/>
  <c r="CC89" i="32"/>
  <c r="CB89" i="32"/>
  <c r="BQ89" i="32"/>
  <c r="BQ92" i="32" s="1"/>
  <c r="BP89" i="32"/>
  <c r="BO89" i="32"/>
  <c r="BN89" i="32"/>
  <c r="BM89" i="32"/>
  <c r="BL89" i="32"/>
  <c r="BK89" i="32"/>
  <c r="BJ89" i="32"/>
  <c r="BI89" i="32"/>
  <c r="BH89" i="32"/>
  <c r="BE89" i="32"/>
  <c r="BE92" i="32" s="1"/>
  <c r="BD89" i="32"/>
  <c r="BD92" i="32" s="1"/>
  <c r="BC89" i="32"/>
  <c r="BB89" i="32"/>
  <c r="BA89" i="32"/>
  <c r="AZ89" i="32"/>
  <c r="AY89" i="32"/>
  <c r="AX89" i="32"/>
  <c r="AW89" i="32"/>
  <c r="AV89" i="32"/>
  <c r="AU89" i="32"/>
  <c r="AT89" i="32"/>
  <c r="AQ89" i="32"/>
  <c r="AP89" i="32"/>
  <c r="AO89" i="32"/>
  <c r="AN89" i="32"/>
  <c r="AM89" i="32"/>
  <c r="AD89" i="32"/>
  <c r="P89" i="32"/>
  <c r="CN87" i="32"/>
  <c r="BE87" i="32"/>
  <c r="BD87" i="32"/>
  <c r="DI86" i="32"/>
  <c r="DW86" i="32" s="1"/>
  <c r="DH86" i="32"/>
  <c r="DV86" i="32" s="1"/>
  <c r="CS86" i="32"/>
  <c r="DG86" i="32" s="1"/>
  <c r="DU86" i="32" s="1"/>
  <c r="CR86" i="32"/>
  <c r="DF86" i="32" s="1"/>
  <c r="DT86" i="32" s="1"/>
  <c r="CQ86" i="32"/>
  <c r="DE86" i="32" s="1"/>
  <c r="DS86" i="32" s="1"/>
  <c r="CP86" i="32"/>
  <c r="DD86" i="32" s="1"/>
  <c r="DR86" i="32" s="1"/>
  <c r="CO86" i="32"/>
  <c r="DC86" i="32" s="1"/>
  <c r="DQ86" i="32" s="1"/>
  <c r="CN86" i="32"/>
  <c r="DB86" i="32" s="1"/>
  <c r="DP86" i="32" s="1"/>
  <c r="CM86" i="32"/>
  <c r="DA86" i="32" s="1"/>
  <c r="DO86" i="32" s="1"/>
  <c r="CL86" i="32"/>
  <c r="CZ86" i="32" s="1"/>
  <c r="DN86" i="32" s="1"/>
  <c r="CK86" i="32"/>
  <c r="CY86" i="32" s="1"/>
  <c r="DM86" i="32" s="1"/>
  <c r="CJ86" i="32"/>
  <c r="CX86" i="32" s="1"/>
  <c r="DL86" i="32" s="1"/>
  <c r="BS86" i="32"/>
  <c r="BT86" i="32" s="1"/>
  <c r="BF86" i="32"/>
  <c r="AR86" i="32"/>
  <c r="CL85" i="32"/>
  <c r="BX85" i="32"/>
  <c r="BW85" i="32"/>
  <c r="BV85" i="32"/>
  <c r="BT85" i="32"/>
  <c r="BF85" i="32"/>
  <c r="AR85" i="32"/>
  <c r="DM84" i="32"/>
  <c r="DN84" i="32" s="1"/>
  <c r="DO84" i="32" s="1"/>
  <c r="DP84" i="32" s="1"/>
  <c r="DQ84" i="32" s="1"/>
  <c r="DR84" i="32" s="1"/>
  <c r="DS84" i="32" s="1"/>
  <c r="DT84" i="32" s="1"/>
  <c r="DU84" i="32" s="1"/>
  <c r="DV84" i="32" s="1"/>
  <c r="DW84" i="32" s="1"/>
  <c r="CY84" i="32"/>
  <c r="CZ84" i="32" s="1"/>
  <c r="DA84" i="32" s="1"/>
  <c r="DB84" i="32" s="1"/>
  <c r="DC84" i="32" s="1"/>
  <c r="DD84" i="32" s="1"/>
  <c r="DE84" i="32" s="1"/>
  <c r="DF84" i="32" s="1"/>
  <c r="DG84" i="32" s="1"/>
  <c r="DH84" i="32" s="1"/>
  <c r="DI84" i="32" s="1"/>
  <c r="CR84" i="32"/>
  <c r="CR96" i="32" s="1"/>
  <c r="CC84" i="32"/>
  <c r="BS84" i="32"/>
  <c r="BO84" i="32"/>
  <c r="BN84" i="32"/>
  <c r="BM84" i="32"/>
  <c r="BL84" i="32"/>
  <c r="BK84" i="32"/>
  <c r="BJ84" i="32"/>
  <c r="BI84" i="32"/>
  <c r="BH84" i="32"/>
  <c r="BE84" i="32"/>
  <c r="BD84" i="32"/>
  <c r="BA84" i="32"/>
  <c r="AL84" i="32"/>
  <c r="AK84" i="32"/>
  <c r="AJ84" i="32"/>
  <c r="AI84" i="32"/>
  <c r="AH84" i="32"/>
  <c r="AG84" i="32"/>
  <c r="AF84" i="32"/>
  <c r="AR84" i="32" s="1"/>
  <c r="AC84" i="32"/>
  <c r="AB84" i="32"/>
  <c r="AA84" i="32"/>
  <c r="Z84" i="32"/>
  <c r="Y84" i="32"/>
  <c r="X84" i="32"/>
  <c r="W84" i="32"/>
  <c r="V84" i="32"/>
  <c r="U84" i="32"/>
  <c r="T84" i="32"/>
  <c r="S84" i="32"/>
  <c r="R84" i="32"/>
  <c r="BX83" i="32"/>
  <c r="BW83" i="32"/>
  <c r="BV83" i="32"/>
  <c r="BR83" i="32"/>
  <c r="BR84" i="32" s="1"/>
  <c r="BQ83" i="32"/>
  <c r="BQ84" i="32" s="1"/>
  <c r="BP83" i="32"/>
  <c r="BC83" i="32"/>
  <c r="BB83" i="32"/>
  <c r="AY83" i="32"/>
  <c r="AX83" i="32"/>
  <c r="AW83" i="32"/>
  <c r="AV83" i="32"/>
  <c r="AU83" i="32"/>
  <c r="AU84" i="32" s="1"/>
  <c r="BF84" i="32" s="1"/>
  <c r="AT83" i="32"/>
  <c r="BF83" i="32" s="1"/>
  <c r="AQ83" i="32"/>
  <c r="AP83" i="32"/>
  <c r="AO83" i="32"/>
  <c r="AN83" i="32"/>
  <c r="AM83" i="32"/>
  <c r="AR83" i="32" s="1"/>
  <c r="P83" i="32"/>
  <c r="DW82" i="32"/>
  <c r="DV82" i="32"/>
  <c r="DU82" i="32"/>
  <c r="DT82" i="32"/>
  <c r="DS82" i="32"/>
  <c r="DR82" i="32"/>
  <c r="DQ82" i="32"/>
  <c r="DP82" i="32"/>
  <c r="DO82" i="32"/>
  <c r="DN82" i="32"/>
  <c r="DM82" i="32"/>
  <c r="DL82" i="32"/>
  <c r="DX82" i="32" s="1"/>
  <c r="DI82" i="32"/>
  <c r="DH82" i="32"/>
  <c r="DG82" i="32"/>
  <c r="DF82" i="32"/>
  <c r="DE82" i="32"/>
  <c r="DD82" i="32"/>
  <c r="DC82" i="32"/>
  <c r="DB82" i="32"/>
  <c r="DA82" i="32"/>
  <c r="CZ82" i="32"/>
  <c r="CY82" i="32"/>
  <c r="CX82" i="32"/>
  <c r="DJ82" i="32" s="1"/>
  <c r="CU82" i="32"/>
  <c r="CT82" i="32"/>
  <c r="DY81" i="32"/>
  <c r="DX81" i="32"/>
  <c r="DK81" i="32"/>
  <c r="DJ81" i="32"/>
  <c r="CU80" i="32"/>
  <c r="CL80" i="32"/>
  <c r="BX80" i="32"/>
  <c r="BX86" i="32" s="1"/>
  <c r="BW80" i="32"/>
  <c r="BW86" i="32" s="1"/>
  <c r="BV80" i="32"/>
  <c r="BS80" i="32"/>
  <c r="BP80" i="32"/>
  <c r="BO80" i="32"/>
  <c r="BN80" i="32"/>
  <c r="BM80" i="32"/>
  <c r="BL80" i="32"/>
  <c r="BK80" i="32"/>
  <c r="BJ80" i="32"/>
  <c r="BI80" i="32"/>
  <c r="BH80" i="32"/>
  <c r="BC80" i="32"/>
  <c r="BB80" i="32"/>
  <c r="BA80" i="32"/>
  <c r="AZ80" i="32"/>
  <c r="AY80" i="32"/>
  <c r="AX80" i="32"/>
  <c r="AW80" i="32"/>
  <c r="AV80" i="32"/>
  <c r="AU80" i="32"/>
  <c r="AT80" i="32"/>
  <c r="AQ80" i="32"/>
  <c r="AP80" i="32"/>
  <c r="AO80" i="32"/>
  <c r="AN80" i="32"/>
  <c r="AM80" i="32"/>
  <c r="AL80" i="32"/>
  <c r="AK80" i="32"/>
  <c r="AJ80" i="32"/>
  <c r="AI80" i="32"/>
  <c r="AH80" i="32"/>
  <c r="AG80" i="32"/>
  <c r="AF80" i="32"/>
  <c r="AD80" i="32"/>
  <c r="P80" i="32"/>
  <c r="CU79" i="32"/>
  <c r="DW78" i="32"/>
  <c r="DV78" i="32"/>
  <c r="DU78" i="32"/>
  <c r="DT78" i="32"/>
  <c r="DS78" i="32"/>
  <c r="DR78" i="32"/>
  <c r="DQ78" i="32"/>
  <c r="DP78" i="32"/>
  <c r="DO78" i="32"/>
  <c r="DN78" i="32"/>
  <c r="DM78" i="32"/>
  <c r="DL78" i="32"/>
  <c r="DX78" i="32" s="1"/>
  <c r="DI78" i="32"/>
  <c r="DH78" i="32"/>
  <c r="DG78" i="32"/>
  <c r="DF78" i="32"/>
  <c r="DE78" i="32"/>
  <c r="DD78" i="32"/>
  <c r="DC78" i="32"/>
  <c r="DB78" i="32"/>
  <c r="DA78" i="32"/>
  <c r="CZ78" i="32"/>
  <c r="CY78" i="32"/>
  <c r="CX78" i="32"/>
  <c r="DJ78" i="32" s="1"/>
  <c r="CU78" i="32"/>
  <c r="CT78" i="32"/>
  <c r="DW77" i="32"/>
  <c r="DV77" i="32"/>
  <c r="DU77" i="32"/>
  <c r="DT77" i="32"/>
  <c r="DS77" i="32"/>
  <c r="DR77" i="32"/>
  <c r="DQ77" i="32"/>
  <c r="DP77" i="32"/>
  <c r="DO77" i="32"/>
  <c r="DN77" i="32"/>
  <c r="DM77" i="32"/>
  <c r="DL77" i="32"/>
  <c r="DI77" i="32"/>
  <c r="DH77" i="32"/>
  <c r="DG77" i="32"/>
  <c r="DF77" i="32"/>
  <c r="DE77" i="32"/>
  <c r="DD77" i="32"/>
  <c r="DC77" i="32"/>
  <c r="DB77" i="32"/>
  <c r="DA77" i="32"/>
  <c r="CZ77" i="32"/>
  <c r="CY77" i="32"/>
  <c r="CX77" i="32"/>
  <c r="DW76" i="32"/>
  <c r="DV76" i="32"/>
  <c r="DU76" i="32"/>
  <c r="DT76" i="32"/>
  <c r="DS76" i="32"/>
  <c r="DR76" i="32"/>
  <c r="DQ76" i="32"/>
  <c r="DP76" i="32"/>
  <c r="DO76" i="32"/>
  <c r="DN76" i="32"/>
  <c r="DM76" i="32"/>
  <c r="DL76" i="32"/>
  <c r="DI76" i="32"/>
  <c r="DH76" i="32"/>
  <c r="DG76" i="32"/>
  <c r="DF76" i="32"/>
  <c r="DE76" i="32"/>
  <c r="DD76" i="32"/>
  <c r="DC76" i="32"/>
  <c r="DB76" i="32"/>
  <c r="DA76" i="32"/>
  <c r="CZ76" i="32"/>
  <c r="CY76" i="32"/>
  <c r="CX76" i="32"/>
  <c r="CR75" i="32"/>
  <c r="CQ75" i="32"/>
  <c r="CP75" i="32"/>
  <c r="CO75" i="32"/>
  <c r="CN75" i="32"/>
  <c r="CM75" i="32"/>
  <c r="CL75" i="32"/>
  <c r="CK75" i="32"/>
  <c r="CH75" i="32"/>
  <c r="CV75" i="32" s="1"/>
  <c r="DW74" i="32"/>
  <c r="DV74" i="32"/>
  <c r="DU74" i="32"/>
  <c r="DT74" i="32"/>
  <c r="DS74" i="32"/>
  <c r="DR74" i="32"/>
  <c r="DQ74" i="32"/>
  <c r="DP74" i="32"/>
  <c r="DO74" i="32"/>
  <c r="DN74" i="32"/>
  <c r="DM74" i="32"/>
  <c r="DL74" i="32"/>
  <c r="DX74" i="32" s="1"/>
  <c r="DI74" i="32"/>
  <c r="DH74" i="32"/>
  <c r="DG74" i="32"/>
  <c r="DF74" i="32"/>
  <c r="DE74" i="32"/>
  <c r="DD74" i="32"/>
  <c r="DC74" i="32"/>
  <c r="DB74" i="32"/>
  <c r="DA74" i="32"/>
  <c r="CZ74" i="32"/>
  <c r="CY74" i="32"/>
  <c r="CX74" i="32"/>
  <c r="DJ74" i="32" s="1"/>
  <c r="CW74" i="32"/>
  <c r="AQ73" i="32"/>
  <c r="AP73" i="32"/>
  <c r="AO73" i="32"/>
  <c r="AN73" i="32"/>
  <c r="AM73" i="32"/>
  <c r="AL73" i="32"/>
  <c r="AK73" i="32"/>
  <c r="AJ73" i="32"/>
  <c r="AI73" i="32"/>
  <c r="AH73" i="32"/>
  <c r="AG73" i="32"/>
  <c r="AF73" i="32"/>
  <c r="AR73" i="32" s="1"/>
  <c r="CG72" i="32"/>
  <c r="CF72" i="32"/>
  <c r="CE72" i="32"/>
  <c r="CD72" i="32"/>
  <c r="CC72" i="32"/>
  <c r="CB72" i="32"/>
  <c r="DI71" i="32"/>
  <c r="DW71" i="32" s="1"/>
  <c r="DA71" i="32"/>
  <c r="DO71" i="32" s="1"/>
  <c r="CT71" i="32"/>
  <c r="CS71" i="32"/>
  <c r="CR71" i="32"/>
  <c r="CQ71" i="32"/>
  <c r="CP71" i="32"/>
  <c r="CO71" i="32"/>
  <c r="CN71" i="32"/>
  <c r="CL71" i="32"/>
  <c r="CK71" i="32"/>
  <c r="CJ71" i="32"/>
  <c r="CH71" i="32"/>
  <c r="BQ71" i="32"/>
  <c r="BP71" i="32"/>
  <c r="BO71" i="32"/>
  <c r="BN71" i="32"/>
  <c r="BM71" i="32"/>
  <c r="BL71" i="32"/>
  <c r="BK71" i="32"/>
  <c r="BJ71" i="32"/>
  <c r="BI71" i="32"/>
  <c r="BH71" i="32"/>
  <c r="BT71" i="32" s="1"/>
  <c r="CH70" i="32"/>
  <c r="BT70" i="32"/>
  <c r="BB70" i="32"/>
  <c r="AR70" i="32"/>
  <c r="CH69" i="32"/>
  <c r="BQ69" i="32"/>
  <c r="AM69" i="32"/>
  <c r="AL69" i="32"/>
  <c r="AK69" i="32"/>
  <c r="AJ69" i="32"/>
  <c r="AI69" i="32"/>
  <c r="AH69" i="32"/>
  <c r="AG69" i="32"/>
  <c r="AF69" i="32"/>
  <c r="CH68" i="32"/>
  <c r="BT68" i="32"/>
  <c r="BF68" i="32"/>
  <c r="AR68" i="32"/>
  <c r="CM67" i="32"/>
  <c r="CL67" i="32"/>
  <c r="CK67" i="32"/>
  <c r="CJ67" i="32"/>
  <c r="BQ67" i="32"/>
  <c r="BP67" i="32"/>
  <c r="BO67" i="32"/>
  <c r="BN67" i="32"/>
  <c r="BM67" i="32"/>
  <c r="BL67" i="32"/>
  <c r="BK67" i="32"/>
  <c r="BJ67" i="32"/>
  <c r="BI67" i="32"/>
  <c r="BH67" i="32"/>
  <c r="BE67" i="32"/>
  <c r="BD67" i="32"/>
  <c r="BC67" i="32"/>
  <c r="BB67" i="32"/>
  <c r="BA67" i="32"/>
  <c r="AZ67" i="32"/>
  <c r="AY67" i="32"/>
  <c r="AX67" i="32"/>
  <c r="AW67" i="32"/>
  <c r="AV67" i="32"/>
  <c r="AU67" i="32"/>
  <c r="AT67" i="32"/>
  <c r="AQ67" i="32"/>
  <c r="AP67" i="32"/>
  <c r="AO67" i="32"/>
  <c r="AN67" i="32"/>
  <c r="AM67" i="32"/>
  <c r="AL67" i="32"/>
  <c r="AK67" i="32"/>
  <c r="AJ67" i="32"/>
  <c r="AI67" i="32"/>
  <c r="AH67" i="32"/>
  <c r="AG67" i="32"/>
  <c r="AF67" i="32"/>
  <c r="BF66" i="32"/>
  <c r="AR66" i="32"/>
  <c r="AD66" i="32"/>
  <c r="P66" i="32"/>
  <c r="BN65" i="32"/>
  <c r="BM65" i="32"/>
  <c r="BL65" i="32"/>
  <c r="BK65" i="32"/>
  <c r="BJ65" i="32"/>
  <c r="BI65" i="32"/>
  <c r="BH65" i="32"/>
  <c r="BA65" i="32"/>
  <c r="AZ65" i="32"/>
  <c r="AY65" i="32"/>
  <c r="AX65" i="32"/>
  <c r="AW65" i="32"/>
  <c r="AV65" i="32"/>
  <c r="AU65" i="32"/>
  <c r="AT65" i="32"/>
  <c r="BT64" i="32"/>
  <c r="BB64" i="32"/>
  <c r="AR64" i="32"/>
  <c r="BQ63" i="32"/>
  <c r="BQ65" i="32" s="1"/>
  <c r="BP63" i="32"/>
  <c r="BP65" i="32" s="1"/>
  <c r="BO63" i="32"/>
  <c r="BE63" i="32"/>
  <c r="BE65" i="32" s="1"/>
  <c r="BD63" i="32"/>
  <c r="BD65" i="32" s="1"/>
  <c r="BC63" i="32"/>
  <c r="BC65" i="32" s="1"/>
  <c r="BB63" i="32"/>
  <c r="BF63" i="32" s="1"/>
  <c r="CV62" i="32"/>
  <c r="BN62" i="32"/>
  <c r="BM62" i="32"/>
  <c r="BL62" i="32"/>
  <c r="BK62" i="32"/>
  <c r="BJ62" i="32"/>
  <c r="BI62" i="32"/>
  <c r="BH62" i="32"/>
  <c r="BT62" i="32" s="1"/>
  <c r="DX61" i="32"/>
  <c r="DJ61" i="32"/>
  <c r="CU61" i="32"/>
  <c r="CT61" i="32"/>
  <c r="CS61" i="32"/>
  <c r="CR61" i="32"/>
  <c r="CQ61" i="32"/>
  <c r="CP61" i="32"/>
  <c r="CO61" i="32"/>
  <c r="CN61" i="32"/>
  <c r="CM61" i="32"/>
  <c r="CL61" i="32"/>
  <c r="CK61" i="32"/>
  <c r="CJ61" i="32"/>
  <c r="CV61" i="32" s="1"/>
  <c r="BT61" i="32"/>
  <c r="BE61" i="32"/>
  <c r="BE71" i="32" s="1"/>
  <c r="BD61" i="32"/>
  <c r="BD71" i="32" s="1"/>
  <c r="BC61" i="32"/>
  <c r="BC71" i="32" s="1"/>
  <c r="BB61" i="32"/>
  <c r="BB62" i="32" s="1"/>
  <c r="BA61" i="32"/>
  <c r="AZ61" i="32"/>
  <c r="AZ71" i="32" s="1"/>
  <c r="AY61" i="32"/>
  <c r="AY71" i="32" s="1"/>
  <c r="AX61" i="32"/>
  <c r="AX71" i="32" s="1"/>
  <c r="AW61" i="32"/>
  <c r="AW71" i="32" s="1"/>
  <c r="AV61" i="32"/>
  <c r="AV71" i="32" s="1"/>
  <c r="AU61" i="32"/>
  <c r="AU71" i="32" s="1"/>
  <c r="AT61" i="32"/>
  <c r="AQ61" i="32"/>
  <c r="AP61" i="32"/>
  <c r="AO61" i="32"/>
  <c r="AO71" i="32" s="1"/>
  <c r="AN61" i="32"/>
  <c r="AN71" i="32" s="1"/>
  <c r="AM61" i="32"/>
  <c r="AM71" i="32" s="1"/>
  <c r="AL61" i="32"/>
  <c r="AK61" i="32"/>
  <c r="AK71" i="32" s="1"/>
  <c r="AJ61" i="32"/>
  <c r="AJ71" i="32" s="1"/>
  <c r="AI61" i="32"/>
  <c r="AI71" i="32" s="1"/>
  <c r="AG61" i="32"/>
  <c r="AG71" i="32" s="1"/>
  <c r="AF61" i="32"/>
  <c r="AC61" i="32"/>
  <c r="AB61" i="32"/>
  <c r="AA61" i="32"/>
  <c r="Z61" i="32"/>
  <c r="Y61" i="32"/>
  <c r="X61" i="32"/>
  <c r="W61" i="32"/>
  <c r="R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P61" i="32" s="1"/>
  <c r="CU60" i="32"/>
  <c r="CT60" i="32"/>
  <c r="CS60" i="32"/>
  <c r="CR60" i="32"/>
  <c r="CQ60" i="32"/>
  <c r="CP60" i="32"/>
  <c r="CO60" i="32"/>
  <c r="CN60" i="32"/>
  <c r="CM60" i="32"/>
  <c r="CL60" i="32"/>
  <c r="CK60" i="32"/>
  <c r="CJ60" i="32"/>
  <c r="BT60" i="32"/>
  <c r="BF60" i="32"/>
  <c r="AR60" i="32"/>
  <c r="AD60" i="32"/>
  <c r="P60" i="32"/>
  <c r="CU59" i="32"/>
  <c r="CT59" i="32"/>
  <c r="CS59" i="32"/>
  <c r="CR59" i="32"/>
  <c r="CQ59" i="32"/>
  <c r="CP59" i="32"/>
  <c r="CO59" i="32"/>
  <c r="CN59" i="32"/>
  <c r="CM59" i="32"/>
  <c r="CL59" i="32"/>
  <c r="CK59" i="32"/>
  <c r="CJ59" i="32"/>
  <c r="BF59" i="32"/>
  <c r="BF58" i="32"/>
  <c r="AR58" i="32"/>
  <c r="BF57" i="32"/>
  <c r="AR57" i="32"/>
  <c r="BF56" i="32"/>
  <c r="AR56" i="32"/>
  <c r="CG55" i="32"/>
  <c r="CF55" i="32"/>
  <c r="CE55" i="32"/>
  <c r="CD55" i="32"/>
  <c r="CC55" i="32"/>
  <c r="CB55" i="32"/>
  <c r="CA55" i="32"/>
  <c r="BZ55" i="32"/>
  <c r="BY55" i="32"/>
  <c r="BX55" i="32"/>
  <c r="BW55" i="32"/>
  <c r="BW61" i="32" s="1"/>
  <c r="BV55" i="32"/>
  <c r="BT55" i="32"/>
  <c r="BF55" i="32"/>
  <c r="AH55" i="32"/>
  <c r="AR55" i="32" s="1"/>
  <c r="CG54" i="32"/>
  <c r="CF54" i="32"/>
  <c r="CE54" i="32"/>
  <c r="CD54" i="32"/>
  <c r="CC54" i="32"/>
  <c r="CB54" i="32"/>
  <c r="CA54" i="32"/>
  <c r="BZ54" i="32"/>
  <c r="BY54" i="32"/>
  <c r="BX54" i="32"/>
  <c r="CH54" i="32" s="1"/>
  <c r="BF54" i="32"/>
  <c r="AH54" i="32"/>
  <c r="AR54" i="32" s="1"/>
  <c r="AD54" i="32"/>
  <c r="CG53" i="32"/>
  <c r="CF53" i="32"/>
  <c r="CE53" i="32"/>
  <c r="CD53" i="32"/>
  <c r="CC53" i="32"/>
  <c r="CB53" i="32"/>
  <c r="CA53" i="32"/>
  <c r="BZ53" i="32"/>
  <c r="BY53" i="32"/>
  <c r="BX53" i="32"/>
  <c r="CH53" i="32" s="1"/>
  <c r="BF53" i="32"/>
  <c r="AH53" i="32"/>
  <c r="AR53" i="32" s="1"/>
  <c r="AD53" i="32"/>
  <c r="CG52" i="32"/>
  <c r="CF52" i="32"/>
  <c r="CE52" i="32"/>
  <c r="CD52" i="32"/>
  <c r="CC52" i="32"/>
  <c r="CB52" i="32"/>
  <c r="CA52" i="32"/>
  <c r="BZ52" i="32"/>
  <c r="BY52" i="32"/>
  <c r="BX52" i="32"/>
  <c r="CH52" i="32" s="1"/>
  <c r="BF52" i="32"/>
  <c r="AH52" i="32"/>
  <c r="AR52" i="32" s="1"/>
  <c r="AD52" i="32"/>
  <c r="P52" i="32"/>
  <c r="CG51" i="32"/>
  <c r="CF51" i="32"/>
  <c r="CE51" i="32"/>
  <c r="CD51" i="32"/>
  <c r="CC51" i="32"/>
  <c r="CB51" i="32"/>
  <c r="CA51" i="32"/>
  <c r="BZ51" i="32"/>
  <c r="BY51" i="32"/>
  <c r="BX51" i="32"/>
  <c r="CH51" i="32" s="1"/>
  <c r="BF51" i="32"/>
  <c r="AH51" i="32"/>
  <c r="AR51" i="32" s="1"/>
  <c r="AD51" i="32"/>
  <c r="P51" i="32"/>
  <c r="CG50" i="32"/>
  <c r="CF50" i="32"/>
  <c r="CE50" i="32"/>
  <c r="CD50" i="32"/>
  <c r="CC50" i="32"/>
  <c r="CB50" i="32"/>
  <c r="CA50" i="32"/>
  <c r="BZ50" i="32"/>
  <c r="BY50" i="32"/>
  <c r="BX50" i="32"/>
  <c r="CH50" i="32" s="1"/>
  <c r="BF50" i="32"/>
  <c r="AH50" i="32"/>
  <c r="AR50" i="32" s="1"/>
  <c r="AD50" i="32"/>
  <c r="P50" i="32"/>
  <c r="CG49" i="32"/>
  <c r="CF49" i="32"/>
  <c r="CE49" i="32"/>
  <c r="CD49" i="32"/>
  <c r="CC49" i="32"/>
  <c r="CB49" i="32"/>
  <c r="CA49" i="32"/>
  <c r="BZ49" i="32"/>
  <c r="BY49" i="32"/>
  <c r="BX49" i="32"/>
  <c r="CH49" i="32" s="1"/>
  <c r="BF49" i="32"/>
  <c r="AH49" i="32"/>
  <c r="AD49" i="32"/>
  <c r="P49" i="32"/>
  <c r="CG48" i="32"/>
  <c r="CF48" i="32"/>
  <c r="CE48" i="32"/>
  <c r="CD48" i="32"/>
  <c r="CC48" i="32"/>
  <c r="CB48" i="32"/>
  <c r="CA48" i="32"/>
  <c r="BZ48" i="32"/>
  <c r="BY48" i="32"/>
  <c r="BX48" i="32"/>
  <c r="CH48" i="32" s="1"/>
  <c r="BF48" i="32"/>
  <c r="AR48" i="32"/>
  <c r="U48" i="32"/>
  <c r="T48" i="32"/>
  <c r="AD48" i="32" s="1"/>
  <c r="P48" i="32"/>
  <c r="CG47" i="32"/>
  <c r="CF47" i="32"/>
  <c r="CE47" i="32"/>
  <c r="CD47" i="32"/>
  <c r="CC47" i="32"/>
  <c r="CB47" i="32"/>
  <c r="CA47" i="32"/>
  <c r="BZ47" i="32"/>
  <c r="BY47" i="32"/>
  <c r="BX47" i="32"/>
  <c r="CH47" i="32" s="1"/>
  <c r="BF47" i="32"/>
  <c r="AR47" i="32"/>
  <c r="T47" i="32"/>
  <c r="AD47" i="32" s="1"/>
  <c r="P47" i="32"/>
  <c r="CG46" i="32"/>
  <c r="CF46" i="32"/>
  <c r="CE46" i="32"/>
  <c r="CD46" i="32"/>
  <c r="CC46" i="32"/>
  <c r="CB46" i="32"/>
  <c r="CA46" i="32"/>
  <c r="BZ46" i="32"/>
  <c r="BY46" i="32"/>
  <c r="BX46" i="32"/>
  <c r="CH46" i="32" s="1"/>
  <c r="BF46" i="32"/>
  <c r="AR46" i="32"/>
  <c r="U46" i="32"/>
  <c r="T46" i="32"/>
  <c r="S46" i="32"/>
  <c r="AD46" i="32" s="1"/>
  <c r="P46" i="32"/>
  <c r="CG45" i="32"/>
  <c r="CF45" i="32"/>
  <c r="CE45" i="32"/>
  <c r="CD45" i="32"/>
  <c r="CC45" i="32"/>
  <c r="CB45" i="32"/>
  <c r="CA45" i="32"/>
  <c r="BZ45" i="32"/>
  <c r="BY45" i="32"/>
  <c r="BX45" i="32"/>
  <c r="CH45" i="32" s="1"/>
  <c r="BF45" i="32"/>
  <c r="AR45" i="32"/>
  <c r="AD45" i="32"/>
  <c r="P45" i="32"/>
  <c r="CG44" i="32"/>
  <c r="CF44" i="32"/>
  <c r="CE44" i="32"/>
  <c r="CD44" i="32"/>
  <c r="CC44" i="32"/>
  <c r="CB44" i="32"/>
  <c r="CA44" i="32"/>
  <c r="BZ44" i="32"/>
  <c r="BY44" i="32"/>
  <c r="BX44" i="32"/>
  <c r="CH44" i="32" s="1"/>
  <c r="BF44" i="32"/>
  <c r="AR44" i="32"/>
  <c r="V44" i="32"/>
  <c r="V61" i="32" s="1"/>
  <c r="U44" i="32"/>
  <c r="AD44" i="32" s="1"/>
  <c r="P44" i="32"/>
  <c r="CG43" i="32"/>
  <c r="CF43" i="32"/>
  <c r="CE43" i="32"/>
  <c r="CD43" i="32"/>
  <c r="CC43" i="32"/>
  <c r="CB43" i="32"/>
  <c r="CA43" i="32"/>
  <c r="BZ43" i="32"/>
  <c r="BY43" i="32"/>
  <c r="BX43" i="32"/>
  <c r="CH43" i="32" s="1"/>
  <c r="BF43" i="32"/>
  <c r="AR43" i="32"/>
  <c r="T43" i="32"/>
  <c r="S43" i="32"/>
  <c r="P43" i="32"/>
  <c r="CG42" i="32"/>
  <c r="CF42" i="32"/>
  <c r="CE42" i="32"/>
  <c r="CD42" i="32"/>
  <c r="CC42" i="32"/>
  <c r="CB42" i="32"/>
  <c r="CA42" i="32"/>
  <c r="BZ42" i="32"/>
  <c r="BY42" i="32"/>
  <c r="BX42" i="32"/>
  <c r="CH42" i="32" s="1"/>
  <c r="BF42" i="32"/>
  <c r="AR42" i="32"/>
  <c r="AD42" i="32"/>
  <c r="P42" i="32"/>
  <c r="CG41" i="32"/>
  <c r="CF41" i="32"/>
  <c r="CE41" i="32"/>
  <c r="CD41" i="32"/>
  <c r="CC41" i="32"/>
  <c r="CB41" i="32"/>
  <c r="CA41" i="32"/>
  <c r="BZ41" i="32"/>
  <c r="BY41" i="32"/>
  <c r="BX41" i="32"/>
  <c r="CH41" i="32" s="1"/>
  <c r="BF41" i="32"/>
  <c r="AR41" i="32"/>
  <c r="U41" i="32"/>
  <c r="T41" i="32"/>
  <c r="AD41" i="32" s="1"/>
  <c r="P41" i="32"/>
  <c r="CG40" i="32"/>
  <c r="CG61" i="32" s="1"/>
  <c r="CF40" i="32"/>
  <c r="CF61" i="32" s="1"/>
  <c r="CE40" i="32"/>
  <c r="CE61" i="32" s="1"/>
  <c r="CE62" i="32" s="1"/>
  <c r="CD40" i="32"/>
  <c r="CD61" i="32" s="1"/>
  <c r="CD62" i="32" s="1"/>
  <c r="CC40" i="32"/>
  <c r="CC61" i="32" s="1"/>
  <c r="CC62" i="32" s="1"/>
  <c r="CB40" i="32"/>
  <c r="CB61" i="32" s="1"/>
  <c r="CA40" i="32"/>
  <c r="CA61" i="32" s="1"/>
  <c r="BZ40" i="32"/>
  <c r="BZ61" i="32" s="1"/>
  <c r="BY40" i="32"/>
  <c r="BY61" i="32" s="1"/>
  <c r="BX40" i="32"/>
  <c r="BX61" i="32" s="1"/>
  <c r="BF40" i="32"/>
  <c r="AR40" i="32"/>
  <c r="U40" i="32"/>
  <c r="U61" i="32" s="1"/>
  <c r="T40" i="32"/>
  <c r="P40" i="32"/>
  <c r="DX38" i="32"/>
  <c r="DJ38" i="32"/>
  <c r="DW37" i="32"/>
  <c r="DV37" i="32"/>
  <c r="DU37" i="32"/>
  <c r="DT37" i="32"/>
  <c r="DS37" i="32"/>
  <c r="DR37" i="32"/>
  <c r="DQ37" i="32"/>
  <c r="DP37" i="32"/>
  <c r="DO37" i="32"/>
  <c r="DN37" i="32"/>
  <c r="DM37" i="32"/>
  <c r="DL37" i="32"/>
  <c r="DX37" i="32" s="1"/>
  <c r="DI37" i="32"/>
  <c r="DH37" i="32"/>
  <c r="DG37" i="32"/>
  <c r="DF37" i="32"/>
  <c r="DE37" i="32"/>
  <c r="DD37" i="32"/>
  <c r="DC37" i="32"/>
  <c r="DB37" i="32"/>
  <c r="DA37" i="32"/>
  <c r="CZ37" i="32"/>
  <c r="CY37" i="32"/>
  <c r="CX37" i="32"/>
  <c r="DJ37" i="32" s="1"/>
  <c r="CP37" i="32"/>
  <c r="CJ37" i="32"/>
  <c r="CI37" i="32"/>
  <c r="CG37" i="32"/>
  <c r="CF37" i="32"/>
  <c r="CF63" i="32" s="1"/>
  <c r="CE37" i="32"/>
  <c r="CE63" i="32" s="1"/>
  <c r="CD37" i="32"/>
  <c r="CD63" i="32" s="1"/>
  <c r="CC37" i="32"/>
  <c r="CC63" i="32" s="1"/>
  <c r="CB37" i="32"/>
  <c r="CB63" i="32" s="1"/>
  <c r="CA37" i="32"/>
  <c r="CA63" i="32" s="1"/>
  <c r="BZ37" i="32"/>
  <c r="BZ63" i="32" s="1"/>
  <c r="BY37" i="32"/>
  <c r="BY63" i="32" s="1"/>
  <c r="BX37" i="32"/>
  <c r="BX63" i="32" s="1"/>
  <c r="BW37" i="32"/>
  <c r="BW63" i="32" s="1"/>
  <c r="BV37" i="32"/>
  <c r="BV63" i="32" s="1"/>
  <c r="BS37" i="32"/>
  <c r="BR37" i="32"/>
  <c r="BQ37" i="32"/>
  <c r="BE37" i="32"/>
  <c r="BE69" i="32" s="1"/>
  <c r="BD37" i="32"/>
  <c r="BD69" i="32" s="1"/>
  <c r="BC37" i="32"/>
  <c r="BC69" i="32" s="1"/>
  <c r="BB37" i="32"/>
  <c r="BB69" i="32" s="1"/>
  <c r="BA37" i="32"/>
  <c r="BA69" i="32" s="1"/>
  <c r="AZ37" i="32"/>
  <c r="AZ69" i="32" s="1"/>
  <c r="AY37" i="32"/>
  <c r="AY69" i="32" s="1"/>
  <c r="AX37" i="32"/>
  <c r="AX69" i="32" s="1"/>
  <c r="AW37" i="32"/>
  <c r="AW69" i="32" s="1"/>
  <c r="AV37" i="32"/>
  <c r="AV69" i="32" s="1"/>
  <c r="AU37" i="32"/>
  <c r="AU69" i="32" s="1"/>
  <c r="AT37" i="32"/>
  <c r="U37" i="32"/>
  <c r="AD37" i="32" s="1"/>
  <c r="P37" i="32"/>
  <c r="CQ36" i="32"/>
  <c r="CK36" i="32"/>
  <c r="AQ36" i="32"/>
  <c r="AQ37" i="32" s="1"/>
  <c r="AQ69" i="32" s="1"/>
  <c r="AP36" i="32"/>
  <c r="AP37" i="32" s="1"/>
  <c r="AP69" i="32" s="1"/>
  <c r="AO36" i="32"/>
  <c r="AO37" i="32" s="1"/>
  <c r="AO69" i="32" s="1"/>
  <c r="AN36" i="32"/>
  <c r="AN37" i="32" s="1"/>
  <c r="CV35" i="32"/>
  <c r="CG35" i="32"/>
  <c r="CF35" i="32"/>
  <c r="CE35" i="32"/>
  <c r="CD35" i="32"/>
  <c r="CC35" i="32"/>
  <c r="CB35" i="32"/>
  <c r="CA35" i="32"/>
  <c r="BZ35" i="32"/>
  <c r="BY35" i="32"/>
  <c r="BX35" i="32"/>
  <c r="BW35" i="32"/>
  <c r="BV35" i="32"/>
  <c r="CH35" i="32" s="1"/>
  <c r="BQ35" i="32"/>
  <c r="BT35" i="32" s="1"/>
  <c r="BF35" i="32"/>
  <c r="DX34" i="32"/>
  <c r="DW34" i="32"/>
  <c r="DV34" i="32"/>
  <c r="DU34" i="32"/>
  <c r="DT34" i="32"/>
  <c r="DS34" i="32"/>
  <c r="DR34" i="32"/>
  <c r="DQ34" i="32"/>
  <c r="DP34" i="32"/>
  <c r="DO34" i="32"/>
  <c r="DN34" i="32"/>
  <c r="DM34" i="32"/>
  <c r="DL34" i="32"/>
  <c r="CG34" i="32"/>
  <c r="CF34" i="32"/>
  <c r="CE34" i="32"/>
  <c r="CD34" i="32"/>
  <c r="CC34" i="32"/>
  <c r="CB34" i="32"/>
  <c r="CA34" i="32"/>
  <c r="BZ34" i="32"/>
  <c r="BY34" i="32"/>
  <c r="BX34" i="32"/>
  <c r="BW34" i="32"/>
  <c r="BP34" i="32"/>
  <c r="BO34" i="32"/>
  <c r="BN34" i="32"/>
  <c r="BM34" i="32"/>
  <c r="BL34" i="32"/>
  <c r="BK34" i="32"/>
  <c r="BJ34" i="32"/>
  <c r="BI34" i="32"/>
  <c r="BH34" i="32"/>
  <c r="BE34" i="32"/>
  <c r="BD34" i="32"/>
  <c r="BC34" i="32"/>
  <c r="BB34" i="32"/>
  <c r="AZ34" i="32"/>
  <c r="AY34" i="32"/>
  <c r="DW33" i="32"/>
  <c r="DO33" i="32"/>
  <c r="DI33" i="32"/>
  <c r="DA33" i="32"/>
  <c r="CP33" i="32"/>
  <c r="CJ33" i="32"/>
  <c r="CG33" i="32"/>
  <c r="CG76" i="32" s="1"/>
  <c r="CF33" i="32"/>
  <c r="CF76" i="32" s="1"/>
  <c r="CE33" i="32"/>
  <c r="CE76" i="32" s="1"/>
  <c r="CD33" i="32"/>
  <c r="CD76" i="32" s="1"/>
  <c r="CC33" i="32"/>
  <c r="CC76" i="32" s="1"/>
  <c r="CB33" i="32"/>
  <c r="CB76" i="32" s="1"/>
  <c r="CA33" i="32"/>
  <c r="CA76" i="32" s="1"/>
  <c r="BZ33" i="32"/>
  <c r="BZ76" i="32" s="1"/>
  <c r="BY33" i="32"/>
  <c r="BY76" i="32" s="1"/>
  <c r="BX33" i="32"/>
  <c r="BX76" i="32" s="1"/>
  <c r="BW33" i="32"/>
  <c r="BW76" i="32" s="1"/>
  <c r="BV33" i="32"/>
  <c r="BR33" i="32"/>
  <c r="BS63" i="32" s="1"/>
  <c r="CG63" i="32" s="1"/>
  <c r="BQ33" i="32"/>
  <c r="BQ93" i="32" s="1"/>
  <c r="BP33" i="32"/>
  <c r="BO33" i="32"/>
  <c r="BN33" i="32"/>
  <c r="BM33" i="32"/>
  <c r="BL33" i="32"/>
  <c r="BK33" i="32"/>
  <c r="BJ33" i="32"/>
  <c r="BI33" i="32"/>
  <c r="BH33" i="32"/>
  <c r="BT33" i="32" s="1"/>
  <c r="BE33" i="32"/>
  <c r="BE93" i="32" s="1"/>
  <c r="BD33" i="32"/>
  <c r="BD93" i="32" s="1"/>
  <c r="BC33" i="32"/>
  <c r="BB33" i="32"/>
  <c r="BA33" i="32"/>
  <c r="AZ33" i="32"/>
  <c r="AY33" i="32"/>
  <c r="AX33" i="32"/>
  <c r="AW33" i="32"/>
  <c r="AV33" i="32"/>
  <c r="AU33" i="32"/>
  <c r="AT33" i="32"/>
  <c r="BF33" i="32" s="1"/>
  <c r="AQ33" i="32"/>
  <c r="AP33" i="32"/>
  <c r="AO33" i="32"/>
  <c r="AN33" i="32"/>
  <c r="AM33" i="32"/>
  <c r="AL33" i="32"/>
  <c r="AK33" i="32"/>
  <c r="AJ33" i="32"/>
  <c r="AI33" i="32"/>
  <c r="AG33" i="32"/>
  <c r="AF33" i="32"/>
  <c r="AC33" i="32"/>
  <c r="AC93" i="32" s="1"/>
  <c r="AB33" i="32"/>
  <c r="AB93" i="32" s="1"/>
  <c r="AA33" i="32"/>
  <c r="AA93" i="32" s="1"/>
  <c r="Z33" i="32"/>
  <c r="Z93" i="32" s="1"/>
  <c r="Y33" i="32"/>
  <c r="Y93" i="32" s="1"/>
  <c r="X33" i="32"/>
  <c r="X93" i="32" s="1"/>
  <c r="W33" i="32"/>
  <c r="W93" i="32" s="1"/>
  <c r="V33" i="32"/>
  <c r="V93" i="32" s="1"/>
  <c r="U33" i="32"/>
  <c r="U93" i="32" s="1"/>
  <c r="R33" i="32"/>
  <c r="P33" i="32"/>
  <c r="O33" i="32"/>
  <c r="O93" i="32" s="1"/>
  <c r="N33" i="32"/>
  <c r="N93" i="32" s="1"/>
  <c r="M33" i="32"/>
  <c r="M93" i="32" s="1"/>
  <c r="L33" i="32"/>
  <c r="L93" i="32" s="1"/>
  <c r="K33" i="32"/>
  <c r="J33" i="32"/>
  <c r="I33" i="32"/>
  <c r="H33" i="32"/>
  <c r="G33" i="32"/>
  <c r="F33" i="32"/>
  <c r="E33" i="32"/>
  <c r="D33" i="32"/>
  <c r="CM31" i="32"/>
  <c r="CL31" i="32"/>
  <c r="CK31" i="32"/>
  <c r="CJ31" i="32"/>
  <c r="BG30" i="32"/>
  <c r="CG29" i="32"/>
  <c r="CF29" i="32"/>
  <c r="CF30" i="32" s="1"/>
  <c r="CE29" i="32"/>
  <c r="CE30" i="32" s="1"/>
  <c r="CD29" i="32"/>
  <c r="CD30" i="32" s="1"/>
  <c r="CC29" i="32"/>
  <c r="CC30" i="32" s="1"/>
  <c r="CB29" i="32"/>
  <c r="CB30" i="32" s="1"/>
  <c r="CA29" i="32"/>
  <c r="CA30" i="32" s="1"/>
  <c r="BZ29" i="32"/>
  <c r="BZ30" i="32" s="1"/>
  <c r="BY29" i="32"/>
  <c r="BY30" i="32" s="1"/>
  <c r="BX29" i="32"/>
  <c r="BX30" i="32" s="1"/>
  <c r="BW29" i="32"/>
  <c r="BW30" i="32" s="1"/>
  <c r="BV29" i="32"/>
  <c r="BV30" i="32" s="1"/>
  <c r="BS29" i="32"/>
  <c r="BR29" i="32"/>
  <c r="BR30" i="32" s="1"/>
  <c r="BQ29" i="32"/>
  <c r="BQ30" i="32" s="1"/>
  <c r="BP29" i="32"/>
  <c r="BP30" i="32" s="1"/>
  <c r="BO29" i="32"/>
  <c r="BO30" i="32" s="1"/>
  <c r="BN29" i="32"/>
  <c r="BN30" i="32" s="1"/>
  <c r="BM29" i="32"/>
  <c r="BM30" i="32" s="1"/>
  <c r="BL29" i="32"/>
  <c r="BL30" i="32" s="1"/>
  <c r="BK29" i="32"/>
  <c r="BK30" i="32" s="1"/>
  <c r="BJ29" i="32"/>
  <c r="BJ30" i="32" s="1"/>
  <c r="BI29" i="32"/>
  <c r="BI30" i="32" s="1"/>
  <c r="BH29" i="32"/>
  <c r="BH30" i="32" s="1"/>
  <c r="BE29" i="32"/>
  <c r="BE30" i="32" s="1"/>
  <c r="BD29" i="32"/>
  <c r="BD30" i="32" s="1"/>
  <c r="BC29" i="32"/>
  <c r="BC30" i="32" s="1"/>
  <c r="BB29" i="32"/>
  <c r="BB30" i="32" s="1"/>
  <c r="BA29" i="32"/>
  <c r="BA30" i="32" s="1"/>
  <c r="AZ29" i="32"/>
  <c r="AZ30" i="32" s="1"/>
  <c r="AY29" i="32"/>
  <c r="AY30" i="32" s="1"/>
  <c r="AX29" i="32"/>
  <c r="AX30" i="32" s="1"/>
  <c r="AW29" i="32"/>
  <c r="AW30" i="32" s="1"/>
  <c r="AV29" i="32"/>
  <c r="AV30" i="32" s="1"/>
  <c r="AU29" i="32"/>
  <c r="AU30" i="32" s="1"/>
  <c r="AT29" i="32"/>
  <c r="AQ29" i="32"/>
  <c r="AP29" i="32"/>
  <c r="AP30" i="32" s="1"/>
  <c r="AO29" i="32"/>
  <c r="AO30" i="32" s="1"/>
  <c r="AN29" i="32"/>
  <c r="AN30" i="32" s="1"/>
  <c r="AM29" i="32"/>
  <c r="AM30" i="32" s="1"/>
  <c r="AL29" i="32"/>
  <c r="AL30" i="32" s="1"/>
  <c r="AK29" i="32"/>
  <c r="AK30" i="32" s="1"/>
  <c r="AJ29" i="32"/>
  <c r="AJ30" i="32" s="1"/>
  <c r="AI29" i="32"/>
  <c r="AI30" i="32" s="1"/>
  <c r="AH29" i="32"/>
  <c r="AH30" i="32" s="1"/>
  <c r="AG29" i="32"/>
  <c r="AG30" i="32" s="1"/>
  <c r="AF29" i="32"/>
  <c r="AF30" i="32" s="1"/>
  <c r="AC29" i="32"/>
  <c r="AB29" i="32"/>
  <c r="AA29" i="32"/>
  <c r="Z29" i="32"/>
  <c r="Y29" i="32"/>
  <c r="X29" i="32"/>
  <c r="AD29" i="32" s="1"/>
  <c r="W29" i="32"/>
  <c r="V29" i="32"/>
  <c r="U29" i="32"/>
  <c r="T29" i="32"/>
  <c r="S29" i="32"/>
  <c r="R29" i="32"/>
  <c r="O29" i="32"/>
  <c r="N29" i="32"/>
  <c r="M29" i="32"/>
  <c r="L29" i="32"/>
  <c r="K29" i="32"/>
  <c r="J29" i="32"/>
  <c r="P29" i="32" s="1"/>
  <c r="H29" i="32"/>
  <c r="G29" i="32"/>
  <c r="F29" i="32"/>
  <c r="E29" i="32"/>
  <c r="D29" i="32"/>
  <c r="CM28" i="32"/>
  <c r="CL28" i="32"/>
  <c r="CK28" i="32"/>
  <c r="CJ28" i="32"/>
  <c r="CG28" i="32"/>
  <c r="CF28" i="32"/>
  <c r="CE28" i="32"/>
  <c r="CD28" i="32"/>
  <c r="CC28" i="32"/>
  <c r="CB28" i="32"/>
  <c r="CA28" i="32"/>
  <c r="BZ28" i="32"/>
  <c r="BY28" i="32"/>
  <c r="BX28" i="32"/>
  <c r="BW28" i="32"/>
  <c r="BV28" i="32"/>
  <c r="CH25" i="32"/>
  <c r="BT25" i="32"/>
  <c r="BF25" i="32"/>
  <c r="AR25" i="32"/>
  <c r="CH24" i="32"/>
  <c r="BT24" i="32"/>
  <c r="BF24" i="32"/>
  <c r="AR24" i="32"/>
  <c r="CH23" i="32"/>
  <c r="BT23" i="32"/>
  <c r="BF23" i="32"/>
  <c r="AR23" i="32"/>
  <c r="CI22" i="32"/>
  <c r="CI24" i="32" s="1"/>
  <c r="CH22" i="32"/>
  <c r="BT22" i="32"/>
  <c r="BF22" i="32"/>
  <c r="AR22" i="32"/>
  <c r="U22" i="32"/>
  <c r="CY21" i="32"/>
  <c r="CZ21" i="32" s="1"/>
  <c r="DA21" i="32" s="1"/>
  <c r="DB21" i="32" s="1"/>
  <c r="DC21" i="32" s="1"/>
  <c r="DD21" i="32" s="1"/>
  <c r="DE21" i="32" s="1"/>
  <c r="DF21" i="32" s="1"/>
  <c r="DG21" i="32" s="1"/>
  <c r="DH21" i="32" s="1"/>
  <c r="DI21" i="32" s="1"/>
  <c r="DL21" i="32" s="1"/>
  <c r="DM21" i="32" s="1"/>
  <c r="DN21" i="32" s="1"/>
  <c r="DO21" i="32" s="1"/>
  <c r="DP21" i="32" s="1"/>
  <c r="DQ21" i="32" s="1"/>
  <c r="DR21" i="32" s="1"/>
  <c r="DS21" i="32" s="1"/>
  <c r="DT21" i="32" s="1"/>
  <c r="DU21" i="32" s="1"/>
  <c r="DV21" i="32" s="1"/>
  <c r="DW21" i="32" s="1"/>
  <c r="CT21" i="32"/>
  <c r="CU21" i="32" s="1"/>
  <c r="CY20" i="32"/>
  <c r="CZ20" i="32" s="1"/>
  <c r="DA20" i="32" s="1"/>
  <c r="DB20" i="32" s="1"/>
  <c r="DC20" i="32" s="1"/>
  <c r="DD20" i="32" s="1"/>
  <c r="DE20" i="32" s="1"/>
  <c r="DF20" i="32" s="1"/>
  <c r="DG20" i="32" s="1"/>
  <c r="DH20" i="32" s="1"/>
  <c r="DI20" i="32" s="1"/>
  <c r="DL20" i="32" s="1"/>
  <c r="DM20" i="32" s="1"/>
  <c r="DN20" i="32" s="1"/>
  <c r="DO20" i="32" s="1"/>
  <c r="DP20" i="32" s="1"/>
  <c r="DQ20" i="32" s="1"/>
  <c r="DR20" i="32" s="1"/>
  <c r="DS20" i="32" s="1"/>
  <c r="DT20" i="32" s="1"/>
  <c r="DU20" i="32" s="1"/>
  <c r="DV20" i="32" s="1"/>
  <c r="DW20" i="32" s="1"/>
  <c r="CT20" i="32"/>
  <c r="CU20" i="32" s="1"/>
  <c r="CS19" i="32"/>
  <c r="CH19" i="32"/>
  <c r="CH28" i="32" s="1"/>
  <c r="BT19" i="32"/>
  <c r="BF19" i="32"/>
  <c r="AR19" i="32"/>
  <c r="I19" i="32"/>
  <c r="I29" i="32" s="1"/>
  <c r="DW18" i="32"/>
  <c r="DI18" i="32"/>
  <c r="DW15" i="32"/>
  <c r="DI15" i="32"/>
  <c r="CH11" i="32"/>
  <c r="CM10" i="32"/>
  <c r="CL10" i="32"/>
  <c r="CH10" i="32"/>
  <c r="CG10" i="32"/>
  <c r="CG31" i="32" s="1"/>
  <c r="CH31" i="32" s="1"/>
  <c r="CF10" i="32"/>
  <c r="CF31" i="32" s="1"/>
  <c r="CE10" i="32"/>
  <c r="CE31" i="32" s="1"/>
  <c r="CD10" i="32"/>
  <c r="CD31" i="32" s="1"/>
  <c r="CC10" i="32"/>
  <c r="CC31" i="32" s="1"/>
  <c r="CB10" i="32"/>
  <c r="CB31" i="32" s="1"/>
  <c r="CA10" i="32"/>
  <c r="CA31" i="32" s="1"/>
  <c r="BZ10" i="32"/>
  <c r="BZ31" i="32" s="1"/>
  <c r="BY10" i="32"/>
  <c r="BY31" i="32" s="1"/>
  <c r="BX10" i="32"/>
  <c r="BX31" i="32" s="1"/>
  <c r="BW10" i="32"/>
  <c r="BW31" i="32" s="1"/>
  <c r="BV10" i="32"/>
  <c r="BV31" i="32" s="1"/>
  <c r="BS10" i="32"/>
  <c r="BR10" i="32"/>
  <c r="BQ10" i="32"/>
  <c r="BP10" i="32"/>
  <c r="BO10" i="32"/>
  <c r="BN10" i="32"/>
  <c r="BM10" i="32"/>
  <c r="BL10" i="32"/>
  <c r="BK10" i="32"/>
  <c r="BJ10" i="32"/>
  <c r="BI10" i="32"/>
  <c r="BH10" i="32"/>
  <c r="BE10" i="32"/>
  <c r="BD10" i="32"/>
  <c r="BC10" i="32"/>
  <c r="BB10" i="32"/>
  <c r="BA10" i="32"/>
  <c r="AZ10" i="32"/>
  <c r="AY10" i="32"/>
  <c r="AX10" i="32"/>
  <c r="AW10" i="32"/>
  <c r="AV10" i="32"/>
  <c r="AU10" i="32"/>
  <c r="AT10" i="32"/>
  <c r="AQ10" i="32"/>
  <c r="AP10" i="32"/>
  <c r="AO10" i="32"/>
  <c r="AN10" i="32"/>
  <c r="AM10" i="32"/>
  <c r="AL10" i="32"/>
  <c r="AK10" i="32"/>
  <c r="AJ10" i="32"/>
  <c r="AI10" i="32"/>
  <c r="AH10" i="32"/>
  <c r="AG10" i="32"/>
  <c r="AF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DW7" i="32"/>
  <c r="DV7" i="32"/>
  <c r="DU7" i="32"/>
  <c r="DT7" i="32"/>
  <c r="DS7" i="32"/>
  <c r="DR7" i="32"/>
  <c r="DQ7" i="32"/>
  <c r="DP7" i="32"/>
  <c r="DO7" i="32"/>
  <c r="DN7" i="32"/>
  <c r="DM7" i="32"/>
  <c r="DL7" i="32"/>
  <c r="DI7" i="32"/>
  <c r="DH7" i="32"/>
  <c r="DG7" i="32"/>
  <c r="DF7" i="32"/>
  <c r="DE7" i="32"/>
  <c r="DD7" i="32"/>
  <c r="DC7" i="32"/>
  <c r="DB7" i="32"/>
  <c r="DA7" i="32"/>
  <c r="CZ7" i="32"/>
  <c r="CY7" i="32"/>
  <c r="CX7" i="32"/>
  <c r="CT7" i="32"/>
  <c r="CT80" i="32" s="1"/>
  <c r="CS7" i="32"/>
  <c r="CR7" i="32"/>
  <c r="CR80" i="32" s="1"/>
  <c r="CQ7" i="32"/>
  <c r="CQ80" i="32" s="1"/>
  <c r="CP7" i="32"/>
  <c r="CP80" i="32" s="1"/>
  <c r="CO7" i="32"/>
  <c r="CN7" i="32"/>
  <c r="CM7" i="32"/>
  <c r="CK7" i="32"/>
  <c r="CJ7" i="32"/>
  <c r="CG7" i="32"/>
  <c r="CF7" i="32"/>
  <c r="CE7" i="32"/>
  <c r="CD7" i="32"/>
  <c r="CC7" i="32"/>
  <c r="CB7" i="32"/>
  <c r="CA7" i="32"/>
  <c r="BZ7" i="32"/>
  <c r="BY7" i="32"/>
  <c r="C7" i="32"/>
  <c r="C6" i="32"/>
  <c r="C5" i="32"/>
  <c r="C4" i="32"/>
  <c r="C3" i="32"/>
  <c r="DL96" i="30"/>
  <c r="DM34" i="30"/>
  <c r="DN34" i="30"/>
  <c r="DO34" i="30"/>
  <c r="DP34" i="30"/>
  <c r="DQ34" i="30"/>
  <c r="DR34" i="30"/>
  <c r="DS34" i="30"/>
  <c r="DT34" i="30"/>
  <c r="DU34" i="30"/>
  <c r="DV34" i="30"/>
  <c r="DW34" i="30"/>
  <c r="DX34" i="30"/>
  <c r="DL34" i="30"/>
  <c r="DW96" i="30"/>
  <c r="DV96" i="30"/>
  <c r="DU96" i="30"/>
  <c r="DT96" i="30"/>
  <c r="DS96" i="30"/>
  <c r="DR96" i="30"/>
  <c r="DQ96" i="30"/>
  <c r="DP96" i="30"/>
  <c r="DO96" i="30"/>
  <c r="DN96" i="30"/>
  <c r="DM96" i="30"/>
  <c r="DV100" i="30"/>
  <c r="DW99" i="30"/>
  <c r="DV99" i="30"/>
  <c r="DU99" i="30"/>
  <c r="DT99" i="30"/>
  <c r="DS99" i="30"/>
  <c r="DR99" i="30"/>
  <c r="DQ99" i="30"/>
  <c r="DP99" i="30"/>
  <c r="DO99" i="30"/>
  <c r="DN99" i="30"/>
  <c r="DM99" i="30"/>
  <c r="DL99" i="30"/>
  <c r="DW98" i="30"/>
  <c r="DO98" i="30"/>
  <c r="DN98" i="30"/>
  <c r="DM98" i="30"/>
  <c r="DL98" i="30"/>
  <c r="DM84" i="30"/>
  <c r="DN84" i="30" s="1"/>
  <c r="DO84" i="30" s="1"/>
  <c r="DP84" i="30" s="1"/>
  <c r="DQ84" i="30" s="1"/>
  <c r="DR84" i="30" s="1"/>
  <c r="DS84" i="30" s="1"/>
  <c r="DT84" i="30" s="1"/>
  <c r="DU84" i="30" s="1"/>
  <c r="DV84" i="30" s="1"/>
  <c r="DW84" i="30" s="1"/>
  <c r="DW82" i="30"/>
  <c r="DV82" i="30"/>
  <c r="DU82" i="30"/>
  <c r="DT82" i="30"/>
  <c r="DS82" i="30"/>
  <c r="DR82" i="30"/>
  <c r="DQ82" i="30"/>
  <c r="DP82" i="30"/>
  <c r="DO82" i="30"/>
  <c r="DN82" i="30"/>
  <c r="DM82" i="30"/>
  <c r="DL82" i="30"/>
  <c r="DX82" i="30" s="1"/>
  <c r="DY81" i="30"/>
  <c r="DX81" i="30"/>
  <c r="DW78" i="30"/>
  <c r="DV78" i="30"/>
  <c r="DU78" i="30"/>
  <c r="DT78" i="30"/>
  <c r="DS78" i="30"/>
  <c r="DR78" i="30"/>
  <c r="DQ78" i="30"/>
  <c r="DP78" i="30"/>
  <c r="DO78" i="30"/>
  <c r="DN78" i="30"/>
  <c r="DM78" i="30"/>
  <c r="DL78" i="30"/>
  <c r="DX78" i="30" s="1"/>
  <c r="DW77" i="30"/>
  <c r="DV77" i="30"/>
  <c r="DU77" i="30"/>
  <c r="DT77" i="30"/>
  <c r="DS77" i="30"/>
  <c r="DR77" i="30"/>
  <c r="DQ77" i="30"/>
  <c r="DP77" i="30"/>
  <c r="DO77" i="30"/>
  <c r="DN77" i="30"/>
  <c r="DM77" i="30"/>
  <c r="DL77" i="30"/>
  <c r="DW76" i="30"/>
  <c r="DV76" i="30"/>
  <c r="DU76" i="30"/>
  <c r="DT76" i="30"/>
  <c r="DS76" i="30"/>
  <c r="DR76" i="30"/>
  <c r="DQ76" i="30"/>
  <c r="DP76" i="30"/>
  <c r="DO76" i="30"/>
  <c r="DN76" i="30"/>
  <c r="DM76" i="30"/>
  <c r="DW74" i="30"/>
  <c r="DV74" i="30"/>
  <c r="DU74" i="30"/>
  <c r="DT74" i="30"/>
  <c r="DS74" i="30"/>
  <c r="DR74" i="30"/>
  <c r="DQ74" i="30"/>
  <c r="DP74" i="30"/>
  <c r="DO74" i="30"/>
  <c r="DN74" i="30"/>
  <c r="DM74" i="30"/>
  <c r="DX61" i="30"/>
  <c r="DX38" i="30"/>
  <c r="DW37" i="30"/>
  <c r="DV37" i="30"/>
  <c r="DU37" i="30"/>
  <c r="DT37" i="30"/>
  <c r="DS37" i="30"/>
  <c r="DR37" i="30"/>
  <c r="DQ37" i="30"/>
  <c r="DP37" i="30"/>
  <c r="DO37" i="30"/>
  <c r="DN37" i="30"/>
  <c r="DM37" i="30"/>
  <c r="DW15" i="30"/>
  <c r="DW7" i="30"/>
  <c r="DV7" i="30"/>
  <c r="DU7" i="30"/>
  <c r="DT7" i="30"/>
  <c r="DS7" i="30"/>
  <c r="DR7" i="30"/>
  <c r="DQ7" i="30"/>
  <c r="DP7" i="30"/>
  <c r="DO7" i="30"/>
  <c r="DN7" i="30"/>
  <c r="DM7" i="30"/>
  <c r="DL7" i="30"/>
  <c r="DL80" i="30" s="1"/>
  <c r="DL19" i="30" s="1"/>
  <c r="CX37" i="30"/>
  <c r="CZ7" i="30"/>
  <c r="DI7" i="30"/>
  <c r="C108" i="30"/>
  <c r="CT31" i="22"/>
  <c r="CT27" i="22"/>
  <c r="DF77" i="30"/>
  <c r="DK81" i="30"/>
  <c r="CX77" i="30"/>
  <c r="CS19" i="30"/>
  <c r="CT20" i="30"/>
  <c r="DI77" i="30"/>
  <c r="DH77" i="30"/>
  <c r="DG77" i="30"/>
  <c r="DE77" i="30"/>
  <c r="DD77" i="30"/>
  <c r="DC77" i="30"/>
  <c r="DB77" i="30"/>
  <c r="DA77" i="30"/>
  <c r="CZ77" i="30"/>
  <c r="CY77" i="30"/>
  <c r="CT78" i="30"/>
  <c r="CX98" i="30"/>
  <c r="CX82" i="30" s="1"/>
  <c r="DB82" i="30"/>
  <c r="I2" i="31"/>
  <c r="K2" i="31"/>
  <c r="F23" i="31"/>
  <c r="C109" i="30"/>
  <c r="C107" i="30"/>
  <c r="C112" i="30" s="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4" i="31"/>
  <c r="F2" i="31" s="1"/>
  <c r="CY99" i="30"/>
  <c r="CY76" i="30" s="1"/>
  <c r="CZ99" i="30"/>
  <c r="CZ76" i="30" s="1"/>
  <c r="DA99" i="30"/>
  <c r="DA76" i="30" s="1"/>
  <c r="DB99" i="30"/>
  <c r="DB76" i="30" s="1"/>
  <c r="DC99" i="30"/>
  <c r="DC76" i="30" s="1"/>
  <c r="CX99" i="30"/>
  <c r="CX76" i="30" s="1"/>
  <c r="DA98" i="30"/>
  <c r="CZ98" i="30"/>
  <c r="CY98" i="30"/>
  <c r="CU98" i="30"/>
  <c r="DA7" i="30"/>
  <c r="DH100" i="30"/>
  <c r="DE99" i="30"/>
  <c r="DE76" i="30" s="1"/>
  <c r="DF99" i="30"/>
  <c r="DF76" i="30" s="1"/>
  <c r="DF94" i="30" s="1"/>
  <c r="DG99" i="30"/>
  <c r="DG76" i="30" s="1"/>
  <c r="DH99" i="30"/>
  <c r="DH76" i="30" s="1"/>
  <c r="DI99" i="30"/>
  <c r="DI76" i="30" s="1"/>
  <c r="DD99" i="30"/>
  <c r="DD76" i="30" s="1"/>
  <c r="DE78" i="30"/>
  <c r="DF78" i="30"/>
  <c r="DG78" i="30"/>
  <c r="DH78" i="30"/>
  <c r="DI78" i="30"/>
  <c r="DD82" i="30"/>
  <c r="DE82" i="30"/>
  <c r="DG82" i="30"/>
  <c r="DH82" i="30"/>
  <c r="DI98" i="30"/>
  <c r="CY82" i="30"/>
  <c r="CZ82" i="30"/>
  <c r="DA82" i="30"/>
  <c r="DC82" i="30"/>
  <c r="CY78" i="30"/>
  <c r="CZ78" i="30"/>
  <c r="DA78" i="30"/>
  <c r="DB78" i="30"/>
  <c r="DC78" i="30"/>
  <c r="CX78" i="30"/>
  <c r="CU78" i="30"/>
  <c r="CU82" i="30"/>
  <c r="CT82" i="30"/>
  <c r="P83" i="30"/>
  <c r="AM83" i="30"/>
  <c r="AN83" i="30"/>
  <c r="AO83" i="30"/>
  <c r="AP83" i="30"/>
  <c r="AQ83" i="30"/>
  <c r="AR83" i="30"/>
  <c r="AT83" i="30"/>
  <c r="AU83" i="30"/>
  <c r="AV83" i="30"/>
  <c r="AW83" i="30"/>
  <c r="AX83" i="30"/>
  <c r="AY83" i="30"/>
  <c r="BB83" i="30"/>
  <c r="BC83" i="30"/>
  <c r="BF83" i="30"/>
  <c r="BP83" i="30"/>
  <c r="BQ83" i="30"/>
  <c r="BR83" i="30"/>
  <c r="BT83" i="30"/>
  <c r="R84" i="30"/>
  <c r="S84" i="30"/>
  <c r="T84" i="30"/>
  <c r="U84" i="30"/>
  <c r="V84" i="30"/>
  <c r="W84" i="30"/>
  <c r="X84" i="30"/>
  <c r="Y84" i="30"/>
  <c r="Z84" i="30"/>
  <c r="AA84" i="30"/>
  <c r="AB84" i="30"/>
  <c r="AC84" i="30"/>
  <c r="AF84" i="30"/>
  <c r="AG84" i="30"/>
  <c r="AH84" i="30"/>
  <c r="AI84" i="30"/>
  <c r="AJ84" i="30"/>
  <c r="AK84" i="30"/>
  <c r="AL84" i="30"/>
  <c r="AR84" i="30"/>
  <c r="AU84" i="30"/>
  <c r="BA84" i="30"/>
  <c r="BD84" i="30"/>
  <c r="BE84" i="30"/>
  <c r="BF84" i="30"/>
  <c r="BH84" i="30"/>
  <c r="BI84" i="30"/>
  <c r="BJ84" i="30"/>
  <c r="BK84" i="30"/>
  <c r="BL84" i="30"/>
  <c r="BM84" i="30"/>
  <c r="BN84" i="30"/>
  <c r="BO84" i="30"/>
  <c r="BP84" i="30"/>
  <c r="BQ84" i="30"/>
  <c r="BR84" i="30"/>
  <c r="BS84" i="30"/>
  <c r="BT84" i="30"/>
  <c r="CC84" i="30"/>
  <c r="CR84" i="30"/>
  <c r="CY84" i="30"/>
  <c r="DA84" i="30" s="1"/>
  <c r="CS97" i="30"/>
  <c r="CT96" i="30"/>
  <c r="CS96" i="30"/>
  <c r="CQ96" i="30"/>
  <c r="CP96" i="30"/>
  <c r="CO96" i="30"/>
  <c r="K93" i="30"/>
  <c r="J93" i="30"/>
  <c r="I93" i="30"/>
  <c r="H93" i="30"/>
  <c r="G93" i="30"/>
  <c r="F93" i="30"/>
  <c r="E93" i="30"/>
  <c r="D93" i="30"/>
  <c r="P93" i="30" s="1"/>
  <c r="CS92" i="30"/>
  <c r="BT91" i="30"/>
  <c r="BF91" i="30"/>
  <c r="AL91" i="30"/>
  <c r="AK91" i="30"/>
  <c r="AJ91" i="30"/>
  <c r="AI91" i="30"/>
  <c r="AH91" i="30"/>
  <c r="AG91" i="30"/>
  <c r="AF91" i="30"/>
  <c r="AR91" i="30" s="1"/>
  <c r="BT90" i="30"/>
  <c r="BB90" i="30"/>
  <c r="BF90" i="30" s="1"/>
  <c r="AR90" i="30"/>
  <c r="DI89" i="30"/>
  <c r="DW89" i="30" s="1"/>
  <c r="DH89" i="30"/>
  <c r="DV89" i="30" s="1"/>
  <c r="DG89" i="30"/>
  <c r="DU89" i="30" s="1"/>
  <c r="DT89" i="30"/>
  <c r="DS89" i="30"/>
  <c r="DR89" i="30"/>
  <c r="DQ89" i="30"/>
  <c r="DP89" i="30"/>
  <c r="DL89" i="30"/>
  <c r="CM89" i="30"/>
  <c r="CL89" i="30"/>
  <c r="CK89" i="30"/>
  <c r="CG89" i="30"/>
  <c r="CD89" i="30"/>
  <c r="CC89" i="30"/>
  <c r="CB89" i="30"/>
  <c r="BQ89" i="30"/>
  <c r="BQ92" i="30" s="1"/>
  <c r="BP89" i="30"/>
  <c r="BO89" i="30"/>
  <c r="BN89" i="30"/>
  <c r="BM89" i="30"/>
  <c r="BL89" i="30"/>
  <c r="BK89" i="30"/>
  <c r="BJ89" i="30"/>
  <c r="BI89" i="30"/>
  <c r="BH89" i="30"/>
  <c r="BE89" i="30"/>
  <c r="BE92" i="30" s="1"/>
  <c r="BD89" i="30"/>
  <c r="BD92" i="30" s="1"/>
  <c r="BC89" i="30"/>
  <c r="BB89" i="30"/>
  <c r="BA89" i="30"/>
  <c r="AZ89" i="30"/>
  <c r="AY89" i="30"/>
  <c r="AX89" i="30"/>
  <c r="AW89" i="30"/>
  <c r="AV89" i="30"/>
  <c r="AU89" i="30"/>
  <c r="AT89" i="30"/>
  <c r="AQ89" i="30"/>
  <c r="AP89" i="30"/>
  <c r="AO89" i="30"/>
  <c r="AN89" i="30"/>
  <c r="AM89" i="30"/>
  <c r="AD89" i="30"/>
  <c r="P89" i="30"/>
  <c r="CN87" i="30"/>
  <c r="BE87" i="30"/>
  <c r="BD87" i="30"/>
  <c r="DW86" i="30"/>
  <c r="DV86" i="30"/>
  <c r="CS86" i="30"/>
  <c r="DU86" i="30" s="1"/>
  <c r="CR86" i="30"/>
  <c r="DT86" i="30" s="1"/>
  <c r="CQ86" i="30"/>
  <c r="DS86" i="30" s="1"/>
  <c r="CP86" i="30"/>
  <c r="DR86" i="30" s="1"/>
  <c r="CO86" i="30"/>
  <c r="DQ86" i="30" s="1"/>
  <c r="CN86" i="30"/>
  <c r="DP86" i="30" s="1"/>
  <c r="CM86" i="30"/>
  <c r="DO86" i="30" s="1"/>
  <c r="CL86" i="30"/>
  <c r="DN86" i="30" s="1"/>
  <c r="CK86" i="30"/>
  <c r="DM86" i="30" s="1"/>
  <c r="CJ86" i="30"/>
  <c r="DL86" i="30" s="1"/>
  <c r="BS86" i="30"/>
  <c r="BT86" i="30" s="1"/>
  <c r="BF86" i="30"/>
  <c r="AR86" i="30"/>
  <c r="CL85" i="30"/>
  <c r="BX85" i="30"/>
  <c r="BX83" i="30" s="1"/>
  <c r="BW85" i="30"/>
  <c r="BW83" i="30" s="1"/>
  <c r="BV85" i="30"/>
  <c r="BV83" i="30" s="1"/>
  <c r="BT85" i="30"/>
  <c r="BF85" i="30"/>
  <c r="AR85" i="30"/>
  <c r="CU96" i="30"/>
  <c r="CR96" i="30"/>
  <c r="CL80" i="30"/>
  <c r="CL83" i="30" s="1"/>
  <c r="BX80" i="30"/>
  <c r="BX86" i="30" s="1"/>
  <c r="BW80" i="30"/>
  <c r="BW86" i="30" s="1"/>
  <c r="BV80" i="30"/>
  <c r="BS80" i="30"/>
  <c r="BP80" i="30"/>
  <c r="BO80" i="30"/>
  <c r="BN80" i="30"/>
  <c r="BM80" i="30"/>
  <c r="BL80" i="30"/>
  <c r="BK80" i="30"/>
  <c r="BJ80" i="30"/>
  <c r="BI80" i="30"/>
  <c r="BH80" i="30"/>
  <c r="BC80" i="30"/>
  <c r="BB80" i="30"/>
  <c r="BA80" i="30"/>
  <c r="AZ80" i="30"/>
  <c r="AY80" i="30"/>
  <c r="AX80" i="30"/>
  <c r="AW80" i="30"/>
  <c r="AV80" i="30"/>
  <c r="AU80" i="30"/>
  <c r="AT80" i="30"/>
  <c r="AQ80" i="30"/>
  <c r="AP80" i="30"/>
  <c r="AO80" i="30"/>
  <c r="AN80" i="30"/>
  <c r="AM80" i="30"/>
  <c r="AL80" i="30"/>
  <c r="AK80" i="30"/>
  <c r="AJ80" i="30"/>
  <c r="AI80" i="30"/>
  <c r="AH80" i="30"/>
  <c r="AG80" i="30"/>
  <c r="AF80" i="30"/>
  <c r="AD80" i="30"/>
  <c r="P80" i="30"/>
  <c r="DC74" i="30"/>
  <c r="DB74" i="30"/>
  <c r="DA74" i="30"/>
  <c r="CZ74" i="30"/>
  <c r="CY74" i="30"/>
  <c r="CR75" i="30"/>
  <c r="CQ75" i="30"/>
  <c r="CP75" i="30"/>
  <c r="CO75" i="30"/>
  <c r="CN75" i="30"/>
  <c r="CM75" i="30"/>
  <c r="CL75" i="30"/>
  <c r="CK75" i="30"/>
  <c r="CH75" i="30"/>
  <c r="CV75" i="30" s="1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R73" i="30" s="1"/>
  <c r="CG72" i="30"/>
  <c r="CF72" i="30"/>
  <c r="CE72" i="30"/>
  <c r="CD72" i="30"/>
  <c r="CC72" i="30"/>
  <c r="CB72" i="30"/>
  <c r="DA71" i="30"/>
  <c r="DO71" i="30" s="1"/>
  <c r="CT71" i="30"/>
  <c r="CS71" i="30"/>
  <c r="CR71" i="30"/>
  <c r="CQ71" i="30"/>
  <c r="CP71" i="30"/>
  <c r="CO71" i="30"/>
  <c r="CN71" i="30"/>
  <c r="CL71" i="30"/>
  <c r="CK71" i="30"/>
  <c r="CY71" i="30" s="1"/>
  <c r="DM71" i="30" s="1"/>
  <c r="DM33" i="30" s="1"/>
  <c r="CJ71" i="30"/>
  <c r="CH71" i="30"/>
  <c r="BQ71" i="30"/>
  <c r="BP71" i="30"/>
  <c r="BO71" i="30"/>
  <c r="BN71" i="30"/>
  <c r="BM71" i="30"/>
  <c r="BL71" i="30"/>
  <c r="BK71" i="30"/>
  <c r="BJ71" i="30"/>
  <c r="BI71" i="30"/>
  <c r="BH71" i="30"/>
  <c r="BT71" i="30" s="1"/>
  <c r="CH70" i="30"/>
  <c r="BT70" i="30"/>
  <c r="BB70" i="30"/>
  <c r="AR70" i="30"/>
  <c r="CH69" i="30"/>
  <c r="BQ69" i="30"/>
  <c r="AM69" i="30"/>
  <c r="AL69" i="30"/>
  <c r="AK69" i="30"/>
  <c r="AJ69" i="30"/>
  <c r="AI69" i="30"/>
  <c r="AH69" i="30"/>
  <c r="AG69" i="30"/>
  <c r="AF69" i="30"/>
  <c r="CH68" i="30"/>
  <c r="BT68" i="30"/>
  <c r="BF68" i="30"/>
  <c r="AR68" i="30"/>
  <c r="CM67" i="30"/>
  <c r="CL67" i="30"/>
  <c r="CK67" i="30"/>
  <c r="CJ67" i="30"/>
  <c r="BQ67" i="30"/>
  <c r="BP67" i="30"/>
  <c r="BO67" i="30"/>
  <c r="BN67" i="30"/>
  <c r="BM67" i="30"/>
  <c r="BL67" i="30"/>
  <c r="BK67" i="30"/>
  <c r="BJ67" i="30"/>
  <c r="BI67" i="30"/>
  <c r="BH67" i="30"/>
  <c r="BE67" i="30"/>
  <c r="BD67" i="30"/>
  <c r="BC67" i="30"/>
  <c r="BB67" i="30"/>
  <c r="BA67" i="30"/>
  <c r="AZ67" i="30"/>
  <c r="AY67" i="30"/>
  <c r="AX67" i="30"/>
  <c r="AW67" i="30"/>
  <c r="AV67" i="30"/>
  <c r="AU67" i="30"/>
  <c r="AT67" i="30"/>
  <c r="AQ67" i="30"/>
  <c r="AP67" i="30"/>
  <c r="AO67" i="30"/>
  <c r="AN67" i="30"/>
  <c r="AM67" i="30"/>
  <c r="AL67" i="30"/>
  <c r="AK67" i="30"/>
  <c r="AJ67" i="30"/>
  <c r="AI67" i="30"/>
  <c r="AH67" i="30"/>
  <c r="AG67" i="30"/>
  <c r="AF67" i="30"/>
  <c r="BF66" i="30"/>
  <c r="AR66" i="30"/>
  <c r="AD66" i="30"/>
  <c r="P66" i="30"/>
  <c r="BN65" i="30"/>
  <c r="BM65" i="30"/>
  <c r="BL65" i="30"/>
  <c r="BK65" i="30"/>
  <c r="BJ65" i="30"/>
  <c r="BI65" i="30"/>
  <c r="BH65" i="30"/>
  <c r="BA65" i="30"/>
  <c r="AZ65" i="30"/>
  <c r="AY65" i="30"/>
  <c r="AX65" i="30"/>
  <c r="AW65" i="30"/>
  <c r="AV65" i="30"/>
  <c r="AU65" i="30"/>
  <c r="AT65" i="30"/>
  <c r="BT64" i="30"/>
  <c r="BB64" i="30"/>
  <c r="AR64" i="30"/>
  <c r="BQ63" i="30"/>
  <c r="BQ65" i="30" s="1"/>
  <c r="BP63" i="30"/>
  <c r="BP65" i="30" s="1"/>
  <c r="BO63" i="30"/>
  <c r="BE63" i="30"/>
  <c r="BE65" i="30" s="1"/>
  <c r="BD63" i="30"/>
  <c r="BD65" i="30" s="1"/>
  <c r="BC63" i="30"/>
  <c r="BC65" i="30" s="1"/>
  <c r="BB63" i="30"/>
  <c r="BF63" i="30" s="1"/>
  <c r="CV62" i="30"/>
  <c r="BN62" i="30"/>
  <c r="BM62" i="30"/>
  <c r="BL62" i="30"/>
  <c r="BK62" i="30"/>
  <c r="BJ62" i="30"/>
  <c r="BI62" i="30"/>
  <c r="BH62" i="30"/>
  <c r="BT62" i="30" s="1"/>
  <c r="DJ61" i="30"/>
  <c r="CU61" i="30"/>
  <c r="CT61" i="30"/>
  <c r="CS61" i="30"/>
  <c r="CR61" i="30"/>
  <c r="CQ61" i="30"/>
  <c r="CP61" i="30"/>
  <c r="CO61" i="30"/>
  <c r="CN61" i="30"/>
  <c r="CM61" i="30"/>
  <c r="CL61" i="30"/>
  <c r="CK61" i="30"/>
  <c r="CJ61" i="30"/>
  <c r="CV61" i="30" s="1"/>
  <c r="BT61" i="30"/>
  <c r="BE61" i="30"/>
  <c r="BE71" i="30" s="1"/>
  <c r="BD61" i="30"/>
  <c r="BD71" i="30" s="1"/>
  <c r="BC61" i="30"/>
  <c r="BC71" i="30" s="1"/>
  <c r="BB61" i="30"/>
  <c r="BB62" i="30" s="1"/>
  <c r="BA61" i="30"/>
  <c r="AZ61" i="30"/>
  <c r="AZ71" i="30" s="1"/>
  <c r="AY61" i="30"/>
  <c r="AY71" i="30" s="1"/>
  <c r="AX61" i="30"/>
  <c r="AX71" i="30" s="1"/>
  <c r="AW61" i="30"/>
  <c r="AW71" i="30" s="1"/>
  <c r="AV61" i="30"/>
  <c r="AV71" i="30" s="1"/>
  <c r="AU61" i="30"/>
  <c r="AU71" i="30" s="1"/>
  <c r="AT61" i="30"/>
  <c r="AQ61" i="30"/>
  <c r="AP61" i="30"/>
  <c r="AO61" i="30"/>
  <c r="AO71" i="30" s="1"/>
  <c r="AN61" i="30"/>
  <c r="AN71" i="30" s="1"/>
  <c r="AM61" i="30"/>
  <c r="AM71" i="30" s="1"/>
  <c r="AL61" i="30"/>
  <c r="AK61" i="30"/>
  <c r="AK71" i="30" s="1"/>
  <c r="AJ61" i="30"/>
  <c r="AJ71" i="30" s="1"/>
  <c r="AI61" i="30"/>
  <c r="AI71" i="30" s="1"/>
  <c r="AG61" i="30"/>
  <c r="AG71" i="30" s="1"/>
  <c r="AF61" i="30"/>
  <c r="AC61" i="30"/>
  <c r="AB61" i="30"/>
  <c r="AA61" i="30"/>
  <c r="Z61" i="30"/>
  <c r="Y61" i="30"/>
  <c r="X61" i="30"/>
  <c r="W61" i="30"/>
  <c r="R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P61" i="30" s="1"/>
  <c r="CU60" i="30"/>
  <c r="CT60" i="30"/>
  <c r="CS60" i="30"/>
  <c r="CR60" i="30"/>
  <c r="CQ60" i="30"/>
  <c r="CP60" i="30"/>
  <c r="CO60" i="30"/>
  <c r="CN60" i="30"/>
  <c r="CM60" i="30"/>
  <c r="CL60" i="30"/>
  <c r="CK60" i="30"/>
  <c r="CJ60" i="30"/>
  <c r="BT60" i="30"/>
  <c r="BF60" i="30"/>
  <c r="AR60" i="30"/>
  <c r="AD60" i="30"/>
  <c r="P60" i="30"/>
  <c r="CU59" i="30"/>
  <c r="CT59" i="30"/>
  <c r="CS59" i="30"/>
  <c r="CR59" i="30"/>
  <c r="CQ59" i="30"/>
  <c r="CP59" i="30"/>
  <c r="CO59" i="30"/>
  <c r="CN59" i="30"/>
  <c r="CM59" i="30"/>
  <c r="CL59" i="30"/>
  <c r="CK59" i="30"/>
  <c r="CJ59" i="30"/>
  <c r="BF59" i="30"/>
  <c r="BF58" i="30"/>
  <c r="AR58" i="30"/>
  <c r="BF57" i="30"/>
  <c r="AR57" i="30"/>
  <c r="BF56" i="30"/>
  <c r="AR56" i="30"/>
  <c r="CG55" i="30"/>
  <c r="CF55" i="30"/>
  <c r="CE55" i="30"/>
  <c r="CD55" i="30"/>
  <c r="CC55" i="30"/>
  <c r="CB55" i="30"/>
  <c r="CA55" i="30"/>
  <c r="BZ55" i="30"/>
  <c r="BY55" i="30"/>
  <c r="BX55" i="30"/>
  <c r="BW55" i="30"/>
  <c r="BW61" i="30" s="1"/>
  <c r="BV55" i="30"/>
  <c r="BT55" i="30"/>
  <c r="BF55" i="30"/>
  <c r="AH55" i="30"/>
  <c r="AR55" i="30" s="1"/>
  <c r="BF54" i="30"/>
  <c r="AH54" i="30"/>
  <c r="AR54" i="30" s="1"/>
  <c r="AD54" i="30"/>
  <c r="BF53" i="30"/>
  <c r="AH53" i="30"/>
  <c r="AR53" i="30" s="1"/>
  <c r="AD53" i="30"/>
  <c r="BF52" i="30"/>
  <c r="AH52" i="30"/>
  <c r="AR52" i="30" s="1"/>
  <c r="AD52" i="30"/>
  <c r="P52" i="30"/>
  <c r="BF51" i="30"/>
  <c r="AH51" i="30"/>
  <c r="AR51" i="30" s="1"/>
  <c r="AD51" i="30"/>
  <c r="P51" i="30"/>
  <c r="BF50" i="30"/>
  <c r="AH50" i="30"/>
  <c r="AR50" i="30" s="1"/>
  <c r="AD50" i="30"/>
  <c r="P50" i="30"/>
  <c r="BF49" i="30"/>
  <c r="AH49" i="30"/>
  <c r="AD49" i="30"/>
  <c r="P49" i="30"/>
  <c r="BF48" i="30"/>
  <c r="AR48" i="30"/>
  <c r="U48" i="30"/>
  <c r="T48" i="30"/>
  <c r="AD48" i="30" s="1"/>
  <c r="P48" i="30"/>
  <c r="BF47" i="30"/>
  <c r="AR47" i="30"/>
  <c r="T47" i="30"/>
  <c r="AD47" i="30" s="1"/>
  <c r="P47" i="30"/>
  <c r="BF46" i="30"/>
  <c r="AR46" i="30"/>
  <c r="U46" i="30"/>
  <c r="T46" i="30"/>
  <c r="S46" i="30"/>
  <c r="AD46" i="30" s="1"/>
  <c r="P46" i="30"/>
  <c r="BF45" i="30"/>
  <c r="AR45" i="30"/>
  <c r="AD45" i="30"/>
  <c r="P45" i="30"/>
  <c r="BF44" i="30"/>
  <c r="AR44" i="30"/>
  <c r="V44" i="30"/>
  <c r="V61" i="30" s="1"/>
  <c r="U44" i="30"/>
  <c r="AD44" i="30" s="1"/>
  <c r="P44" i="30"/>
  <c r="BF43" i="30"/>
  <c r="AR43" i="30"/>
  <c r="T43" i="30"/>
  <c r="S43" i="30"/>
  <c r="P43" i="30"/>
  <c r="BF42" i="30"/>
  <c r="AR42" i="30"/>
  <c r="AD42" i="30"/>
  <c r="P42" i="30"/>
  <c r="BF41" i="30"/>
  <c r="AR41" i="30"/>
  <c r="U41" i="30"/>
  <c r="T41" i="30"/>
  <c r="AD41" i="30" s="1"/>
  <c r="P41" i="30"/>
  <c r="BF40" i="30"/>
  <c r="AR40" i="30"/>
  <c r="U40" i="30"/>
  <c r="U61" i="30" s="1"/>
  <c r="T40" i="30"/>
  <c r="P40" i="30"/>
  <c r="DJ38" i="30"/>
  <c r="DI37" i="30"/>
  <c r="DH37" i="30"/>
  <c r="DE37" i="30"/>
  <c r="DD37" i="30"/>
  <c r="DC37" i="30"/>
  <c r="DB37" i="30"/>
  <c r="DA37" i="30"/>
  <c r="DJ37" i="30"/>
  <c r="CP37" i="30"/>
  <c r="CJ37" i="30"/>
  <c r="CI37" i="30"/>
  <c r="CG37" i="30"/>
  <c r="CF37" i="30"/>
  <c r="CF63" i="30" s="1"/>
  <c r="CE37" i="30"/>
  <c r="CD37" i="30"/>
  <c r="CC37" i="30"/>
  <c r="CB37" i="30"/>
  <c r="CB63" i="30" s="1"/>
  <c r="CA37" i="30"/>
  <c r="CA63" i="30" s="1"/>
  <c r="BZ37" i="30"/>
  <c r="BZ63" i="30" s="1"/>
  <c r="BY37" i="30"/>
  <c r="BY63" i="30" s="1"/>
  <c r="BX37" i="30"/>
  <c r="BX63" i="30" s="1"/>
  <c r="BW37" i="30"/>
  <c r="BW63" i="30" s="1"/>
  <c r="BV37" i="30"/>
  <c r="BV63" i="30" s="1"/>
  <c r="BS37" i="30"/>
  <c r="BR37" i="30"/>
  <c r="BQ37" i="30"/>
  <c r="BE37" i="30"/>
  <c r="BE69" i="30" s="1"/>
  <c r="BD37" i="30"/>
  <c r="BD69" i="30" s="1"/>
  <c r="BC37" i="30"/>
  <c r="BC69" i="30" s="1"/>
  <c r="BB37" i="30"/>
  <c r="BB69" i="30" s="1"/>
  <c r="BA37" i="30"/>
  <c r="BA69" i="30" s="1"/>
  <c r="AZ37" i="30"/>
  <c r="AZ69" i="30" s="1"/>
  <c r="AY37" i="30"/>
  <c r="AY69" i="30" s="1"/>
  <c r="AX37" i="30"/>
  <c r="AX69" i="30" s="1"/>
  <c r="AW37" i="30"/>
  <c r="AW69" i="30" s="1"/>
  <c r="AV37" i="30"/>
  <c r="AV69" i="30" s="1"/>
  <c r="AU37" i="30"/>
  <c r="AU69" i="30" s="1"/>
  <c r="AT37" i="30"/>
  <c r="U37" i="30"/>
  <c r="AD37" i="30" s="1"/>
  <c r="P37" i="30"/>
  <c r="CQ36" i="30"/>
  <c r="CK36" i="30"/>
  <c r="AQ36" i="30"/>
  <c r="AQ37" i="30" s="1"/>
  <c r="AQ69" i="30" s="1"/>
  <c r="AP36" i="30"/>
  <c r="AP37" i="30" s="1"/>
  <c r="AP69" i="30" s="1"/>
  <c r="AO36" i="30"/>
  <c r="AO37" i="30" s="1"/>
  <c r="AO69" i="30" s="1"/>
  <c r="AN36" i="30"/>
  <c r="AN37" i="30" s="1"/>
  <c r="CV35" i="30"/>
  <c r="CG35" i="30"/>
  <c r="CF35" i="30"/>
  <c r="CE35" i="30"/>
  <c r="CD35" i="30"/>
  <c r="CC35" i="30"/>
  <c r="CB35" i="30"/>
  <c r="CA35" i="30"/>
  <c r="BZ35" i="30"/>
  <c r="BY35" i="30"/>
  <c r="BX35" i="30"/>
  <c r="BW35" i="30"/>
  <c r="BV35" i="30"/>
  <c r="CH35" i="30" s="1"/>
  <c r="BQ35" i="30"/>
  <c r="BT35" i="30" s="1"/>
  <c r="BF35" i="30"/>
  <c r="BW34" i="30"/>
  <c r="BP34" i="30"/>
  <c r="BO34" i="30"/>
  <c r="BN34" i="30"/>
  <c r="BM34" i="30"/>
  <c r="BL34" i="30"/>
  <c r="BK34" i="30"/>
  <c r="BJ34" i="30"/>
  <c r="BI34" i="30"/>
  <c r="BH34" i="30"/>
  <c r="BE34" i="30"/>
  <c r="BD34" i="30"/>
  <c r="BC34" i="30"/>
  <c r="BB34" i="30"/>
  <c r="AZ34" i="30"/>
  <c r="AY34" i="30"/>
  <c r="DA33" i="30"/>
  <c r="CP33" i="30"/>
  <c r="CJ33" i="30"/>
  <c r="CG33" i="30"/>
  <c r="CG76" i="30" s="1"/>
  <c r="CF33" i="30"/>
  <c r="CF76" i="30" s="1"/>
  <c r="CB33" i="30"/>
  <c r="CB76" i="30" s="1"/>
  <c r="CA33" i="30"/>
  <c r="CA76" i="30" s="1"/>
  <c r="BZ33" i="30"/>
  <c r="BZ76" i="30" s="1"/>
  <c r="BY33" i="30"/>
  <c r="BY76" i="30" s="1"/>
  <c r="BX33" i="30"/>
  <c r="BX76" i="30" s="1"/>
  <c r="BW33" i="30"/>
  <c r="BW76" i="30" s="1"/>
  <c r="BV33" i="30"/>
  <c r="BR33" i="30"/>
  <c r="BS63" i="30" s="1"/>
  <c r="CG63" i="30" s="1"/>
  <c r="BQ33" i="30"/>
  <c r="BQ93" i="30" s="1"/>
  <c r="BP33" i="30"/>
  <c r="BO33" i="30"/>
  <c r="BN33" i="30"/>
  <c r="BM33" i="30"/>
  <c r="BL33" i="30"/>
  <c r="BK33" i="30"/>
  <c r="BJ33" i="30"/>
  <c r="BI33" i="30"/>
  <c r="BH33" i="30"/>
  <c r="BT33" i="30" s="1"/>
  <c r="BE33" i="30"/>
  <c r="BE93" i="30" s="1"/>
  <c r="BD33" i="30"/>
  <c r="BD93" i="30" s="1"/>
  <c r="BC33" i="30"/>
  <c r="BB33" i="30"/>
  <c r="BA33" i="30"/>
  <c r="AZ33" i="30"/>
  <c r="AY33" i="30"/>
  <c r="AX33" i="30"/>
  <c r="AW33" i="30"/>
  <c r="AV33" i="30"/>
  <c r="AU33" i="30"/>
  <c r="AT33" i="30"/>
  <c r="BF33" i="30" s="1"/>
  <c r="AQ33" i="30"/>
  <c r="AP33" i="30"/>
  <c r="AO33" i="30"/>
  <c r="AN33" i="30"/>
  <c r="AM33" i="30"/>
  <c r="AL33" i="30"/>
  <c r="AK33" i="30"/>
  <c r="AJ33" i="30"/>
  <c r="AI33" i="30"/>
  <c r="AG33" i="30"/>
  <c r="AF33" i="30"/>
  <c r="AC33" i="30"/>
  <c r="AC93" i="30" s="1"/>
  <c r="AB33" i="30"/>
  <c r="AB93" i="30" s="1"/>
  <c r="AA33" i="30"/>
  <c r="AA93" i="30" s="1"/>
  <c r="Z33" i="30"/>
  <c r="Z93" i="30" s="1"/>
  <c r="Y33" i="30"/>
  <c r="Y93" i="30" s="1"/>
  <c r="X33" i="30"/>
  <c r="X93" i="30" s="1"/>
  <c r="W33" i="30"/>
  <c r="W93" i="30" s="1"/>
  <c r="V33" i="30"/>
  <c r="V93" i="30" s="1"/>
  <c r="U33" i="30"/>
  <c r="U93" i="30" s="1"/>
  <c r="R33" i="30"/>
  <c r="P33" i="30"/>
  <c r="O33" i="30"/>
  <c r="O93" i="30" s="1"/>
  <c r="N33" i="30"/>
  <c r="N93" i="30" s="1"/>
  <c r="M33" i="30"/>
  <c r="M93" i="30" s="1"/>
  <c r="L33" i="30"/>
  <c r="L93" i="30" s="1"/>
  <c r="K33" i="30"/>
  <c r="J33" i="30"/>
  <c r="I33" i="30"/>
  <c r="H33" i="30"/>
  <c r="G33" i="30"/>
  <c r="F33" i="30"/>
  <c r="E33" i="30"/>
  <c r="D33" i="30"/>
  <c r="CM30" i="30"/>
  <c r="CL30" i="30"/>
  <c r="CK30" i="30"/>
  <c r="CJ30" i="30"/>
  <c r="BG29" i="30"/>
  <c r="CG28" i="30"/>
  <c r="CF28" i="30"/>
  <c r="CF29" i="30" s="1"/>
  <c r="CE28" i="30"/>
  <c r="CE29" i="30" s="1"/>
  <c r="CD28" i="30"/>
  <c r="CD29" i="30" s="1"/>
  <c r="CC28" i="30"/>
  <c r="CC29" i="30" s="1"/>
  <c r="CB28" i="30"/>
  <c r="CB29" i="30" s="1"/>
  <c r="CA28" i="30"/>
  <c r="CA29" i="30" s="1"/>
  <c r="BZ28" i="30"/>
  <c r="BZ29" i="30" s="1"/>
  <c r="BY28" i="30"/>
  <c r="BY29" i="30" s="1"/>
  <c r="BX28" i="30"/>
  <c r="BX29" i="30" s="1"/>
  <c r="BW28" i="30"/>
  <c r="BW29" i="30" s="1"/>
  <c r="BV28" i="30"/>
  <c r="BV29" i="30" s="1"/>
  <c r="BS28" i="30"/>
  <c r="BR28" i="30"/>
  <c r="BR29" i="30" s="1"/>
  <c r="BQ28" i="30"/>
  <c r="BQ29" i="30" s="1"/>
  <c r="BP28" i="30"/>
  <c r="BP29" i="30" s="1"/>
  <c r="BO28" i="30"/>
  <c r="BO29" i="30" s="1"/>
  <c r="BN28" i="30"/>
  <c r="BN29" i="30" s="1"/>
  <c r="BM28" i="30"/>
  <c r="BM29" i="30" s="1"/>
  <c r="BL28" i="30"/>
  <c r="BL29" i="30" s="1"/>
  <c r="BK28" i="30"/>
  <c r="BK29" i="30" s="1"/>
  <c r="BJ28" i="30"/>
  <c r="BJ29" i="30" s="1"/>
  <c r="BI28" i="30"/>
  <c r="BI29" i="30" s="1"/>
  <c r="BH28" i="30"/>
  <c r="BH29" i="30" s="1"/>
  <c r="BE28" i="30"/>
  <c r="BE29" i="30" s="1"/>
  <c r="BD28" i="30"/>
  <c r="BD29" i="30" s="1"/>
  <c r="BC28" i="30"/>
  <c r="BC29" i="30" s="1"/>
  <c r="BB28" i="30"/>
  <c r="BB29" i="30" s="1"/>
  <c r="BA28" i="30"/>
  <c r="BA29" i="30" s="1"/>
  <c r="AZ28" i="30"/>
  <c r="AZ29" i="30" s="1"/>
  <c r="AY28" i="30"/>
  <c r="AY29" i="30" s="1"/>
  <c r="AX28" i="30"/>
  <c r="AX29" i="30" s="1"/>
  <c r="AW28" i="30"/>
  <c r="AW29" i="30" s="1"/>
  <c r="AV28" i="30"/>
  <c r="AV29" i="30" s="1"/>
  <c r="AU28" i="30"/>
  <c r="AU29" i="30" s="1"/>
  <c r="AT28" i="30"/>
  <c r="AQ28" i="30"/>
  <c r="AP28" i="30"/>
  <c r="AP29" i="30" s="1"/>
  <c r="AO28" i="30"/>
  <c r="AO29" i="30" s="1"/>
  <c r="AN28" i="30"/>
  <c r="AN29" i="30" s="1"/>
  <c r="AM28" i="30"/>
  <c r="AM29" i="30" s="1"/>
  <c r="AL28" i="30"/>
  <c r="AL29" i="30" s="1"/>
  <c r="AK28" i="30"/>
  <c r="AK29" i="30" s="1"/>
  <c r="AJ28" i="30"/>
  <c r="AJ29" i="30" s="1"/>
  <c r="AI28" i="30"/>
  <c r="AI29" i="30" s="1"/>
  <c r="AH28" i="30"/>
  <c r="AH29" i="30" s="1"/>
  <c r="AG28" i="30"/>
  <c r="AG29" i="30" s="1"/>
  <c r="AF28" i="30"/>
  <c r="AF29" i="30" s="1"/>
  <c r="AC28" i="30"/>
  <c r="AB28" i="30"/>
  <c r="AA28" i="30"/>
  <c r="Z28" i="30"/>
  <c r="Y28" i="30"/>
  <c r="X28" i="30"/>
  <c r="AD28" i="30" s="1"/>
  <c r="W28" i="30"/>
  <c r="V28" i="30"/>
  <c r="U28" i="30"/>
  <c r="T28" i="30"/>
  <c r="S28" i="30"/>
  <c r="R28" i="30"/>
  <c r="O28" i="30"/>
  <c r="N28" i="30"/>
  <c r="M28" i="30"/>
  <c r="L28" i="30"/>
  <c r="K28" i="30"/>
  <c r="J28" i="30"/>
  <c r="P28" i="30" s="1"/>
  <c r="H28" i="30"/>
  <c r="G28" i="30"/>
  <c r="F28" i="30"/>
  <c r="E28" i="30"/>
  <c r="D28" i="30"/>
  <c r="CS32" i="30"/>
  <c r="CM32" i="30"/>
  <c r="CL32" i="30"/>
  <c r="CK32" i="30"/>
  <c r="CJ32" i="30"/>
  <c r="CG32" i="30"/>
  <c r="CF32" i="30"/>
  <c r="CE32" i="30"/>
  <c r="CD32" i="30"/>
  <c r="CC32" i="30"/>
  <c r="CB32" i="30"/>
  <c r="CA32" i="30"/>
  <c r="BZ32" i="30"/>
  <c r="BY32" i="30"/>
  <c r="BX32" i="30"/>
  <c r="BW32" i="30"/>
  <c r="BV32" i="30"/>
  <c r="CH25" i="30"/>
  <c r="BT25" i="30"/>
  <c r="BF25" i="30"/>
  <c r="AR25" i="30"/>
  <c r="CH24" i="30"/>
  <c r="BT24" i="30"/>
  <c r="BF24" i="30"/>
  <c r="AR24" i="30"/>
  <c r="CH23" i="30"/>
  <c r="BT23" i="30"/>
  <c r="BF23" i="30"/>
  <c r="AR23" i="30"/>
  <c r="CI22" i="30"/>
  <c r="CI24" i="30" s="1"/>
  <c r="CH22" i="30"/>
  <c r="BT22" i="30"/>
  <c r="BF22" i="30"/>
  <c r="AR22" i="30"/>
  <c r="U22" i="30"/>
  <c r="CH19" i="30"/>
  <c r="CH32" i="30" s="1"/>
  <c r="BT19" i="30"/>
  <c r="BF19" i="30"/>
  <c r="AR19" i="30"/>
  <c r="I19" i="30"/>
  <c r="I28" i="30" s="1"/>
  <c r="DI15" i="30"/>
  <c r="CH11" i="30"/>
  <c r="CM10" i="30"/>
  <c r="CL10" i="30"/>
  <c r="CH10" i="30"/>
  <c r="CG10" i="30"/>
  <c r="CG30" i="30" s="1"/>
  <c r="CH30" i="30" s="1"/>
  <c r="CF10" i="30"/>
  <c r="CF30" i="30" s="1"/>
  <c r="CE10" i="30"/>
  <c r="CE30" i="30" s="1"/>
  <c r="CD10" i="30"/>
  <c r="CD30" i="30" s="1"/>
  <c r="CC10" i="30"/>
  <c r="CC30" i="30" s="1"/>
  <c r="CB10" i="30"/>
  <c r="CB30" i="30" s="1"/>
  <c r="CA10" i="30"/>
  <c r="CA30" i="30" s="1"/>
  <c r="BZ10" i="30"/>
  <c r="BZ30" i="30" s="1"/>
  <c r="BY10" i="30"/>
  <c r="BY30" i="30" s="1"/>
  <c r="BX10" i="30"/>
  <c r="BX30" i="30" s="1"/>
  <c r="BW10" i="30"/>
  <c r="BW30" i="30" s="1"/>
  <c r="BV10" i="30"/>
  <c r="BV30" i="30" s="1"/>
  <c r="BS10" i="30"/>
  <c r="BR10" i="30"/>
  <c r="BQ10" i="30"/>
  <c r="BP10" i="30"/>
  <c r="BO10" i="30"/>
  <c r="BN10" i="30"/>
  <c r="BM10" i="30"/>
  <c r="BL10" i="30"/>
  <c r="BK10" i="30"/>
  <c r="BJ10" i="30"/>
  <c r="BI10" i="30"/>
  <c r="BH10" i="30"/>
  <c r="BE10" i="30"/>
  <c r="BD10" i="30"/>
  <c r="BC10" i="30"/>
  <c r="BB10" i="30"/>
  <c r="BA10" i="30"/>
  <c r="AZ10" i="30"/>
  <c r="AY10" i="30"/>
  <c r="AX10" i="30"/>
  <c r="AW10" i="30"/>
  <c r="AV10" i="30"/>
  <c r="AU10" i="30"/>
  <c r="AT10" i="30"/>
  <c r="AQ10" i="30"/>
  <c r="AP10" i="30"/>
  <c r="AO10" i="30"/>
  <c r="AN10" i="30"/>
  <c r="AM10" i="30"/>
  <c r="AL10" i="30"/>
  <c r="AK10" i="30"/>
  <c r="AJ10" i="30"/>
  <c r="AI10" i="30"/>
  <c r="AH10" i="30"/>
  <c r="AG10" i="30"/>
  <c r="AF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DH7" i="30"/>
  <c r="DG7" i="30"/>
  <c r="DF7" i="30"/>
  <c r="DE7" i="30"/>
  <c r="DD7" i="30"/>
  <c r="DC7" i="30"/>
  <c r="DB7" i="30"/>
  <c r="CY7" i="30"/>
  <c r="CX7" i="30"/>
  <c r="CX80" i="30" s="1"/>
  <c r="CT7" i="30"/>
  <c r="CT80" i="30" s="1"/>
  <c r="CT79" i="30" s="1"/>
  <c r="CS7" i="30"/>
  <c r="CR7" i="30"/>
  <c r="CR80" i="30" s="1"/>
  <c r="CQ7" i="30"/>
  <c r="CQ80" i="30" s="1"/>
  <c r="CP7" i="30"/>
  <c r="CP80" i="30" s="1"/>
  <c r="CO7" i="30"/>
  <c r="CN7" i="30"/>
  <c r="CM7" i="30"/>
  <c r="CK7" i="30"/>
  <c r="CJ7" i="30"/>
  <c r="CJ80" i="30" s="1"/>
  <c r="CG7" i="30"/>
  <c r="CF7" i="30"/>
  <c r="CE7" i="30"/>
  <c r="CD7" i="30"/>
  <c r="CC7" i="30"/>
  <c r="CB7" i="30"/>
  <c r="CA7" i="30"/>
  <c r="BZ7" i="30"/>
  <c r="BY7" i="30"/>
  <c r="C7" i="30"/>
  <c r="C6" i="30"/>
  <c r="C5" i="30"/>
  <c r="C4" i="30"/>
  <c r="C3" i="30"/>
  <c r="CY71" i="22"/>
  <c r="CZ71" i="22"/>
  <c r="DA71" i="22"/>
  <c r="DB71" i="22"/>
  <c r="DC71" i="22"/>
  <c r="CX71" i="22"/>
  <c r="CY70" i="22"/>
  <c r="CZ70" i="22"/>
  <c r="DA70" i="22"/>
  <c r="DB70" i="22"/>
  <c r="DC70" i="22"/>
  <c r="CX70" i="22"/>
  <c r="CU71" i="22"/>
  <c r="CU13" i="22"/>
  <c r="DI75" i="22"/>
  <c r="DH75" i="22"/>
  <c r="DG75" i="22"/>
  <c r="DF75" i="22"/>
  <c r="DE75" i="22"/>
  <c r="DD75" i="22"/>
  <c r="DC75" i="22"/>
  <c r="DB75" i="22"/>
  <c r="DA75" i="22"/>
  <c r="CZ75" i="22"/>
  <c r="CY75" i="22"/>
  <c r="CX75" i="22"/>
  <c r="DD74" i="22"/>
  <c r="DF74" i="22"/>
  <c r="DI74" i="22"/>
  <c r="DF7" i="22"/>
  <c r="CY31" i="22"/>
  <c r="CZ31" i="22"/>
  <c r="DA31" i="22"/>
  <c r="DB31" i="22"/>
  <c r="DC31" i="22"/>
  <c r="DD31" i="22"/>
  <c r="DE31" i="22"/>
  <c r="DF31" i="22"/>
  <c r="DG31" i="22"/>
  <c r="DH31" i="22"/>
  <c r="DI31" i="22"/>
  <c r="CX31" i="22"/>
  <c r="CY78" i="22"/>
  <c r="CZ78" i="22"/>
  <c r="DA78" i="22"/>
  <c r="DB78" i="22"/>
  <c r="DC78" i="22"/>
  <c r="DD78" i="22"/>
  <c r="DE78" i="22"/>
  <c r="DF78" i="22"/>
  <c r="DG78" i="22"/>
  <c r="DH78" i="22"/>
  <c r="DI78" i="22"/>
  <c r="CX78" i="22"/>
  <c r="CS55" i="22"/>
  <c r="CT7" i="22"/>
  <c r="CT71" i="22"/>
  <c r="CC66" i="22"/>
  <c r="CP31" i="22"/>
  <c r="CP32" i="22" s="1"/>
  <c r="CO7" i="22"/>
  <c r="CT29" i="27"/>
  <c r="CU31" i="27"/>
  <c r="DJ55" i="22"/>
  <c r="DA65" i="22"/>
  <c r="DA27" i="22" s="1"/>
  <c r="CJ31" i="22"/>
  <c r="CV29" i="22"/>
  <c r="CP75" i="22"/>
  <c r="CQ75" i="22"/>
  <c r="CR75" i="22"/>
  <c r="CS75" i="22"/>
  <c r="CJ25" i="22"/>
  <c r="CK25" i="22"/>
  <c r="CL25" i="22"/>
  <c r="CM25" i="22"/>
  <c r="CM10" i="22"/>
  <c r="CN7" i="22"/>
  <c r="CN71" i="22" s="1"/>
  <c r="CQ85" i="29"/>
  <c r="CP85" i="29"/>
  <c r="CO85" i="29"/>
  <c r="K82" i="29"/>
  <c r="J82" i="29"/>
  <c r="I82" i="29"/>
  <c r="H82" i="29"/>
  <c r="G82" i="29"/>
  <c r="F82" i="29"/>
  <c r="E82" i="29"/>
  <c r="D82" i="29"/>
  <c r="P82" i="29" s="1"/>
  <c r="BT80" i="29"/>
  <c r="BF80" i="29"/>
  <c r="AL80" i="29"/>
  <c r="AK80" i="29"/>
  <c r="AJ80" i="29"/>
  <c r="AI80" i="29"/>
  <c r="AH80" i="29"/>
  <c r="AG80" i="29"/>
  <c r="AF80" i="29"/>
  <c r="AR80" i="29" s="1"/>
  <c r="BT79" i="29"/>
  <c r="BB79" i="29"/>
  <c r="BF79" i="29" s="1"/>
  <c r="AR79" i="29"/>
  <c r="CM78" i="29"/>
  <c r="CL78" i="29"/>
  <c r="CK78" i="29"/>
  <c r="CJ78" i="29"/>
  <c r="CG78" i="29"/>
  <c r="CD78" i="29"/>
  <c r="CC78" i="29"/>
  <c r="CB78" i="29"/>
  <c r="BQ78" i="29"/>
  <c r="BQ81" i="29" s="1"/>
  <c r="BP78" i="29"/>
  <c r="BO78" i="29"/>
  <c r="BN78" i="29"/>
  <c r="BM78" i="29"/>
  <c r="BL78" i="29"/>
  <c r="BK78" i="29"/>
  <c r="BJ78" i="29"/>
  <c r="BI78" i="29"/>
  <c r="BH78" i="29"/>
  <c r="BE78" i="29"/>
  <c r="BE81" i="29" s="1"/>
  <c r="BD78" i="29"/>
  <c r="BD81" i="29" s="1"/>
  <c r="BC78" i="29"/>
  <c r="BB78" i="29"/>
  <c r="BA78" i="29"/>
  <c r="AZ78" i="29"/>
  <c r="AY78" i="29"/>
  <c r="AX78" i="29"/>
  <c r="AW78" i="29"/>
  <c r="AV78" i="29"/>
  <c r="AU78" i="29"/>
  <c r="AT78" i="29"/>
  <c r="AQ78" i="29"/>
  <c r="AP78" i="29"/>
  <c r="AO78" i="29"/>
  <c r="AN78" i="29"/>
  <c r="AM78" i="29"/>
  <c r="AD78" i="29"/>
  <c r="P78" i="29"/>
  <c r="CN76" i="29"/>
  <c r="BE76" i="29"/>
  <c r="BD76" i="29"/>
  <c r="DC75" i="29"/>
  <c r="DB75" i="29"/>
  <c r="DA75" i="29"/>
  <c r="CZ75" i="29"/>
  <c r="CY75" i="29"/>
  <c r="CX75" i="29"/>
  <c r="CO75" i="29"/>
  <c r="CN75" i="29"/>
  <c r="CM75" i="29"/>
  <c r="CL75" i="29"/>
  <c r="CK75" i="29"/>
  <c r="CJ75" i="29"/>
  <c r="BS75" i="29"/>
  <c r="BT75" i="29" s="1"/>
  <c r="BF75" i="29"/>
  <c r="AR75" i="29"/>
  <c r="CL74" i="29"/>
  <c r="BX74" i="29"/>
  <c r="BW74" i="29"/>
  <c r="BV74" i="29"/>
  <c r="BT74" i="29"/>
  <c r="BF74" i="29"/>
  <c r="AR74" i="29"/>
  <c r="CR73" i="29"/>
  <c r="CC73" i="29"/>
  <c r="BS73" i="29"/>
  <c r="BO73" i="29"/>
  <c r="BN73" i="29"/>
  <c r="BM73" i="29"/>
  <c r="BL73" i="29"/>
  <c r="BK73" i="29"/>
  <c r="BJ73" i="29"/>
  <c r="BI73" i="29"/>
  <c r="BH73" i="29"/>
  <c r="BE73" i="29"/>
  <c r="BD73" i="29"/>
  <c r="BA73" i="29"/>
  <c r="AL73" i="29"/>
  <c r="AK73" i="29"/>
  <c r="AJ73" i="29"/>
  <c r="AI73" i="29"/>
  <c r="AH73" i="29"/>
  <c r="AG73" i="29"/>
  <c r="AF73" i="29"/>
  <c r="AR73" i="29" s="1"/>
  <c r="AC73" i="29"/>
  <c r="AB73" i="29"/>
  <c r="AA73" i="29"/>
  <c r="Z73" i="29"/>
  <c r="Y73" i="29"/>
  <c r="X73" i="29"/>
  <c r="W73" i="29"/>
  <c r="V73" i="29"/>
  <c r="U73" i="29"/>
  <c r="T73" i="29"/>
  <c r="S73" i="29"/>
  <c r="R73" i="29"/>
  <c r="BX72" i="29"/>
  <c r="BW72" i="29"/>
  <c r="BV72" i="29"/>
  <c r="BR72" i="29"/>
  <c r="BR73" i="29" s="1"/>
  <c r="BQ72" i="29"/>
  <c r="BQ73" i="29" s="1"/>
  <c r="BP72" i="29"/>
  <c r="BC72" i="29"/>
  <c r="BB72" i="29"/>
  <c r="AY72" i="29"/>
  <c r="AX72" i="29"/>
  <c r="AW72" i="29"/>
  <c r="AV72" i="29"/>
  <c r="AU72" i="29"/>
  <c r="AU73" i="29" s="1"/>
  <c r="BF73" i="29" s="1"/>
  <c r="AT72" i="29"/>
  <c r="BF72" i="29" s="1"/>
  <c r="AQ72" i="29"/>
  <c r="AP72" i="29"/>
  <c r="AO72" i="29"/>
  <c r="AN72" i="29"/>
  <c r="AM72" i="29"/>
  <c r="AR72" i="29" s="1"/>
  <c r="P72" i="29"/>
  <c r="CL71" i="29"/>
  <c r="BX71" i="29"/>
  <c r="BX75" i="29" s="1"/>
  <c r="BW71" i="29"/>
  <c r="BW75" i="29" s="1"/>
  <c r="BV71" i="29"/>
  <c r="BS71" i="29"/>
  <c r="BP71" i="29"/>
  <c r="BO71" i="29"/>
  <c r="BN71" i="29"/>
  <c r="BM71" i="29"/>
  <c r="BL71" i="29"/>
  <c r="BK71" i="29"/>
  <c r="BJ71" i="29"/>
  <c r="BI71" i="29"/>
  <c r="BH71" i="29"/>
  <c r="BC71" i="29"/>
  <c r="BB71" i="29"/>
  <c r="BA71" i="29"/>
  <c r="AZ71" i="29"/>
  <c r="AY71" i="29"/>
  <c r="AX71" i="29"/>
  <c r="AW71" i="29"/>
  <c r="AV71" i="29"/>
  <c r="AU71" i="29"/>
  <c r="AT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D71" i="29"/>
  <c r="P71" i="29"/>
  <c r="CR69" i="29"/>
  <c r="CQ69" i="29"/>
  <c r="CP69" i="29"/>
  <c r="CO69" i="29"/>
  <c r="CN69" i="29"/>
  <c r="CM69" i="29"/>
  <c r="CL69" i="29"/>
  <c r="CK69" i="29"/>
  <c r="CH69" i="29"/>
  <c r="CV69" i="29" s="1"/>
  <c r="AQ67" i="29"/>
  <c r="AP67" i="29"/>
  <c r="AO67" i="29"/>
  <c r="AN67" i="29"/>
  <c r="AM67" i="29"/>
  <c r="AL67" i="29"/>
  <c r="AK67" i="29"/>
  <c r="AJ67" i="29"/>
  <c r="AI67" i="29"/>
  <c r="AH67" i="29"/>
  <c r="AG67" i="29"/>
  <c r="AF67" i="29"/>
  <c r="AR67" i="29" s="1"/>
  <c r="CG66" i="29"/>
  <c r="CF66" i="29"/>
  <c r="CE66" i="29"/>
  <c r="CD66" i="29"/>
  <c r="CC66" i="29"/>
  <c r="CB66" i="29"/>
  <c r="CU65" i="29"/>
  <c r="CT65" i="29"/>
  <c r="CS65" i="29"/>
  <c r="CR65" i="29"/>
  <c r="CQ65" i="29"/>
  <c r="CP65" i="29"/>
  <c r="CO65" i="29"/>
  <c r="CN65" i="29"/>
  <c r="CL65" i="29"/>
  <c r="CK65" i="29"/>
  <c r="CJ65" i="29"/>
  <c r="CV65" i="29" s="1"/>
  <c r="CH65" i="29"/>
  <c r="BQ65" i="29"/>
  <c r="BP65" i="29"/>
  <c r="BO65" i="29"/>
  <c r="BN65" i="29"/>
  <c r="BM65" i="29"/>
  <c r="BL65" i="29"/>
  <c r="BK65" i="29"/>
  <c r="BJ65" i="29"/>
  <c r="BI65" i="29"/>
  <c r="BH65" i="29"/>
  <c r="BT65" i="29" s="1"/>
  <c r="CH64" i="29"/>
  <c r="BT64" i="29"/>
  <c r="BB64" i="29"/>
  <c r="AR64" i="29"/>
  <c r="CH63" i="29"/>
  <c r="BQ63" i="29"/>
  <c r="AM63" i="29"/>
  <c r="AL63" i="29"/>
  <c r="AK63" i="29"/>
  <c r="AJ63" i="29"/>
  <c r="AI63" i="29"/>
  <c r="AH63" i="29"/>
  <c r="AG63" i="29"/>
  <c r="AF63" i="29"/>
  <c r="CH62" i="29"/>
  <c r="BT62" i="29"/>
  <c r="BF62" i="29"/>
  <c r="AR62" i="29"/>
  <c r="CM61" i="29"/>
  <c r="CL61" i="29"/>
  <c r="CK61" i="29"/>
  <c r="CJ61" i="29"/>
  <c r="BQ61" i="29"/>
  <c r="BP61" i="29"/>
  <c r="BO61" i="29"/>
  <c r="BN61" i="29"/>
  <c r="BM61" i="29"/>
  <c r="BL61" i="29"/>
  <c r="BK61" i="29"/>
  <c r="BJ61" i="29"/>
  <c r="BI61" i="29"/>
  <c r="BH61" i="29"/>
  <c r="BE61" i="29"/>
  <c r="BD61" i="29"/>
  <c r="BC61" i="29"/>
  <c r="BB61" i="29"/>
  <c r="BA61" i="29"/>
  <c r="AZ61" i="29"/>
  <c r="AY61" i="29"/>
  <c r="AX61" i="29"/>
  <c r="AW61" i="29"/>
  <c r="AV61" i="29"/>
  <c r="AU61" i="29"/>
  <c r="AT61" i="29"/>
  <c r="AQ61" i="29"/>
  <c r="AP61" i="29"/>
  <c r="AO61" i="29"/>
  <c r="AN61" i="29"/>
  <c r="AM61" i="29"/>
  <c r="AL61" i="29"/>
  <c r="AK61" i="29"/>
  <c r="AJ61" i="29"/>
  <c r="AI61" i="29"/>
  <c r="AH61" i="29"/>
  <c r="AG61" i="29"/>
  <c r="AF61" i="29"/>
  <c r="BF60" i="29"/>
  <c r="AR60" i="29"/>
  <c r="AD60" i="29"/>
  <c r="P60" i="29"/>
  <c r="BN59" i="29"/>
  <c r="BM59" i="29"/>
  <c r="BL59" i="29"/>
  <c r="BK59" i="29"/>
  <c r="BJ59" i="29"/>
  <c r="BI59" i="29"/>
  <c r="BH59" i="29"/>
  <c r="BA59" i="29"/>
  <c r="AZ59" i="29"/>
  <c r="AY59" i="29"/>
  <c r="AX59" i="29"/>
  <c r="AW59" i="29"/>
  <c r="AV59" i="29"/>
  <c r="AU59" i="29"/>
  <c r="AT59" i="29"/>
  <c r="BT58" i="29"/>
  <c r="BB58" i="29"/>
  <c r="AR58" i="29"/>
  <c r="CM57" i="29"/>
  <c r="BQ57" i="29"/>
  <c r="BQ59" i="29" s="1"/>
  <c r="BP57" i="29"/>
  <c r="BP59" i="29" s="1"/>
  <c r="BO57" i="29"/>
  <c r="BE57" i="29"/>
  <c r="BE59" i="29" s="1"/>
  <c r="BD57" i="29"/>
  <c r="BD59" i="29" s="1"/>
  <c r="BC57" i="29"/>
  <c r="BC59" i="29" s="1"/>
  <c r="BB57" i="29"/>
  <c r="BF57" i="29" s="1"/>
  <c r="CV56" i="29"/>
  <c r="BN56" i="29"/>
  <c r="BM56" i="29"/>
  <c r="BL56" i="29"/>
  <c r="BK56" i="29"/>
  <c r="BJ56" i="29"/>
  <c r="BI56" i="29"/>
  <c r="BH56" i="29"/>
  <c r="BT56" i="29" s="1"/>
  <c r="CU55" i="29"/>
  <c r="CT55" i="29"/>
  <c r="CS55" i="29"/>
  <c r="CR55" i="29"/>
  <c r="CQ55" i="29"/>
  <c r="CP55" i="29"/>
  <c r="CO55" i="29"/>
  <c r="CN55" i="29"/>
  <c r="CM55" i="29"/>
  <c r="CL55" i="29"/>
  <c r="CK55" i="29"/>
  <c r="CJ55" i="29"/>
  <c r="CV55" i="29" s="1"/>
  <c r="CW55" i="29" s="1"/>
  <c r="BT55" i="29"/>
  <c r="BE55" i="29"/>
  <c r="BE65" i="29" s="1"/>
  <c r="BD55" i="29"/>
  <c r="BD65" i="29" s="1"/>
  <c r="BC55" i="29"/>
  <c r="BC65" i="29" s="1"/>
  <c r="BB55" i="29"/>
  <c r="BB56" i="29" s="1"/>
  <c r="BA55" i="29"/>
  <c r="AZ55" i="29"/>
  <c r="AZ65" i="29" s="1"/>
  <c r="AY55" i="29"/>
  <c r="AY65" i="29" s="1"/>
  <c r="AX55" i="29"/>
  <c r="AX65" i="29" s="1"/>
  <c r="AW55" i="29"/>
  <c r="AW65" i="29" s="1"/>
  <c r="AV55" i="29"/>
  <c r="AV65" i="29" s="1"/>
  <c r="AU55" i="29"/>
  <c r="AU65" i="29" s="1"/>
  <c r="AT55" i="29"/>
  <c r="AQ55" i="29"/>
  <c r="AP55" i="29"/>
  <c r="AO55" i="29"/>
  <c r="AO65" i="29" s="1"/>
  <c r="AN55" i="29"/>
  <c r="AN65" i="29" s="1"/>
  <c r="AM55" i="29"/>
  <c r="AM65" i="29" s="1"/>
  <c r="AL55" i="29"/>
  <c r="AK55" i="29"/>
  <c r="AK65" i="29" s="1"/>
  <c r="AJ55" i="29"/>
  <c r="AJ65" i="29" s="1"/>
  <c r="AI55" i="29"/>
  <c r="AI65" i="29" s="1"/>
  <c r="AG55" i="29"/>
  <c r="AG65" i="29" s="1"/>
  <c r="AF55" i="29"/>
  <c r="AC55" i="29"/>
  <c r="AB55" i="29"/>
  <c r="AA55" i="29"/>
  <c r="Z55" i="29"/>
  <c r="Y55" i="29"/>
  <c r="X55" i="29"/>
  <c r="W55" i="29"/>
  <c r="R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P55" i="29" s="1"/>
  <c r="CU54" i="29"/>
  <c r="CT54" i="29"/>
  <c r="CS54" i="29"/>
  <c r="CR54" i="29"/>
  <c r="CQ54" i="29"/>
  <c r="CP54" i="29"/>
  <c r="CO54" i="29"/>
  <c r="CN54" i="29"/>
  <c r="CM54" i="29"/>
  <c r="CL54" i="29"/>
  <c r="CK54" i="29"/>
  <c r="CJ54" i="29"/>
  <c r="BT54" i="29"/>
  <c r="BF54" i="29"/>
  <c r="AR54" i="29"/>
  <c r="AD54" i="29"/>
  <c r="P54" i="29"/>
  <c r="CU53" i="29"/>
  <c r="CT53" i="29"/>
  <c r="CS53" i="29"/>
  <c r="CR53" i="29"/>
  <c r="CQ53" i="29"/>
  <c r="CP53" i="29"/>
  <c r="CO53" i="29"/>
  <c r="CN53" i="29"/>
  <c r="CM53" i="29"/>
  <c r="CL53" i="29"/>
  <c r="CK53" i="29"/>
  <c r="CJ53" i="29"/>
  <c r="BF53" i="29"/>
  <c r="BF52" i="29"/>
  <c r="AR52" i="29"/>
  <c r="BF51" i="29"/>
  <c r="AR51" i="29"/>
  <c r="BF50" i="29"/>
  <c r="AR50" i="29"/>
  <c r="CG49" i="29"/>
  <c r="CF49" i="29"/>
  <c r="CE49" i="29"/>
  <c r="CD49" i="29"/>
  <c r="CC49" i="29"/>
  <c r="CB49" i="29"/>
  <c r="CA49" i="29"/>
  <c r="BZ49" i="29"/>
  <c r="BY49" i="29"/>
  <c r="BX49" i="29"/>
  <c r="BW49" i="29"/>
  <c r="BW55" i="29" s="1"/>
  <c r="BV49" i="29"/>
  <c r="BT49" i="29"/>
  <c r="BF49" i="29"/>
  <c r="AH49" i="29"/>
  <c r="AR49" i="29" s="1"/>
  <c r="BF48" i="29"/>
  <c r="AH48" i="29"/>
  <c r="AR48" i="29" s="1"/>
  <c r="AD48" i="29"/>
  <c r="BF47" i="29"/>
  <c r="AH47" i="29"/>
  <c r="AR47" i="29" s="1"/>
  <c r="AD47" i="29"/>
  <c r="BF46" i="29"/>
  <c r="AH46" i="29"/>
  <c r="AR46" i="29" s="1"/>
  <c r="AD46" i="29"/>
  <c r="P46" i="29"/>
  <c r="BF45" i="29"/>
  <c r="AH45" i="29"/>
  <c r="AR45" i="29" s="1"/>
  <c r="AD45" i="29"/>
  <c r="P45" i="29"/>
  <c r="BF44" i="29"/>
  <c r="AH44" i="29"/>
  <c r="AR44" i="29" s="1"/>
  <c r="AD44" i="29"/>
  <c r="P44" i="29"/>
  <c r="BF43" i="29"/>
  <c r="AH43" i="29"/>
  <c r="AD43" i="29"/>
  <c r="P43" i="29"/>
  <c r="BF42" i="29"/>
  <c r="AR42" i="29"/>
  <c r="U42" i="29"/>
  <c r="T42" i="29"/>
  <c r="AD42" i="29" s="1"/>
  <c r="P42" i="29"/>
  <c r="BF41" i="29"/>
  <c r="AR41" i="29"/>
  <c r="T41" i="29"/>
  <c r="AD41" i="29" s="1"/>
  <c r="P41" i="29"/>
  <c r="BF40" i="29"/>
  <c r="AR40" i="29"/>
  <c r="U40" i="29"/>
  <c r="T40" i="29"/>
  <c r="S40" i="29"/>
  <c r="AD40" i="29" s="1"/>
  <c r="P40" i="29"/>
  <c r="BF39" i="29"/>
  <c r="AR39" i="29"/>
  <c r="AD39" i="29"/>
  <c r="P39" i="29"/>
  <c r="BF38" i="29"/>
  <c r="AR38" i="29"/>
  <c r="V38" i="29"/>
  <c r="V55" i="29" s="1"/>
  <c r="U38" i="29"/>
  <c r="AD38" i="29" s="1"/>
  <c r="P38" i="29"/>
  <c r="BF37" i="29"/>
  <c r="AR37" i="29"/>
  <c r="T37" i="29"/>
  <c r="S37" i="29"/>
  <c r="P37" i="29"/>
  <c r="BF36" i="29"/>
  <c r="AR36" i="29"/>
  <c r="AD36" i="29"/>
  <c r="P36" i="29"/>
  <c r="BF35" i="29"/>
  <c r="AR35" i="29"/>
  <c r="U35" i="29"/>
  <c r="T35" i="29"/>
  <c r="AD35" i="29" s="1"/>
  <c r="P35" i="29"/>
  <c r="BF34" i="29"/>
  <c r="AR34" i="29"/>
  <c r="U34" i="29"/>
  <c r="U55" i="29" s="1"/>
  <c r="T34" i="29"/>
  <c r="P34" i="29"/>
  <c r="CU32" i="29"/>
  <c r="CT32" i="29"/>
  <c r="CS32" i="29"/>
  <c r="CR32" i="29"/>
  <c r="CQ32" i="29"/>
  <c r="CP32" i="29"/>
  <c r="CO32" i="29"/>
  <c r="CN32" i="29"/>
  <c r="CM32" i="29"/>
  <c r="CM33" i="29" s="1"/>
  <c r="CL32" i="29"/>
  <c r="CK32" i="29"/>
  <c r="CJ32" i="29"/>
  <c r="CV32" i="29" s="1"/>
  <c r="CU31" i="29"/>
  <c r="CT31" i="29"/>
  <c r="CS31" i="29"/>
  <c r="CR31" i="29"/>
  <c r="CQ31" i="29"/>
  <c r="CP31" i="29"/>
  <c r="CO31" i="29"/>
  <c r="CN31" i="29"/>
  <c r="CL31" i="29"/>
  <c r="CK31" i="29"/>
  <c r="CJ31" i="29"/>
  <c r="CI31" i="29"/>
  <c r="CG31" i="29"/>
  <c r="CF31" i="29"/>
  <c r="CF57" i="29" s="1"/>
  <c r="CE31" i="29"/>
  <c r="CD31" i="29"/>
  <c r="CC31" i="29"/>
  <c r="CB31" i="29"/>
  <c r="CB57" i="29" s="1"/>
  <c r="CA31" i="29"/>
  <c r="CA57" i="29" s="1"/>
  <c r="BZ31" i="29"/>
  <c r="BZ57" i="29" s="1"/>
  <c r="BY31" i="29"/>
  <c r="BY57" i="29" s="1"/>
  <c r="BX31" i="29"/>
  <c r="BX57" i="29" s="1"/>
  <c r="BW31" i="29"/>
  <c r="BW57" i="29" s="1"/>
  <c r="BV31" i="29"/>
  <c r="BV57" i="29" s="1"/>
  <c r="BS31" i="29"/>
  <c r="BR31" i="29"/>
  <c r="BQ31" i="29"/>
  <c r="BE31" i="29"/>
  <c r="BE63" i="29" s="1"/>
  <c r="BD31" i="29"/>
  <c r="BD63" i="29" s="1"/>
  <c r="BC31" i="29"/>
  <c r="BC63" i="29" s="1"/>
  <c r="BB31" i="29"/>
  <c r="BB63" i="29" s="1"/>
  <c r="BA31" i="29"/>
  <c r="BA63" i="29" s="1"/>
  <c r="AZ31" i="29"/>
  <c r="AZ63" i="29" s="1"/>
  <c r="AY31" i="29"/>
  <c r="AY63" i="29" s="1"/>
  <c r="AX31" i="29"/>
  <c r="AX63" i="29" s="1"/>
  <c r="AW31" i="29"/>
  <c r="AW63" i="29" s="1"/>
  <c r="AV31" i="29"/>
  <c r="AV63" i="29" s="1"/>
  <c r="AU31" i="29"/>
  <c r="AU63" i="29" s="1"/>
  <c r="AT31" i="29"/>
  <c r="U31" i="29"/>
  <c r="AD31" i="29" s="1"/>
  <c r="P31" i="29"/>
  <c r="CK30" i="29"/>
  <c r="CL30" i="29" s="1"/>
  <c r="CM30" i="29" s="1"/>
  <c r="CN30" i="29" s="1"/>
  <c r="CO30" i="29" s="1"/>
  <c r="CP30" i="29" s="1"/>
  <c r="CQ30" i="29" s="1"/>
  <c r="CR30" i="29" s="1"/>
  <c r="CS30" i="29" s="1"/>
  <c r="CT30" i="29" s="1"/>
  <c r="CU30" i="29" s="1"/>
  <c r="CV30" i="29" s="1"/>
  <c r="AQ30" i="29"/>
  <c r="AQ31" i="29" s="1"/>
  <c r="AQ63" i="29" s="1"/>
  <c r="AP30" i="29"/>
  <c r="AP31" i="29" s="1"/>
  <c r="AP63" i="29" s="1"/>
  <c r="AO30" i="29"/>
  <c r="AO31" i="29" s="1"/>
  <c r="AO63" i="29" s="1"/>
  <c r="AN30" i="29"/>
  <c r="AN31" i="29" s="1"/>
  <c r="CU29" i="29"/>
  <c r="CT29" i="29"/>
  <c r="CS29" i="29"/>
  <c r="CR29" i="29"/>
  <c r="CQ29" i="29"/>
  <c r="CP29" i="29"/>
  <c r="CO29" i="29"/>
  <c r="CN29" i="29"/>
  <c r="CM29" i="29"/>
  <c r="CL29" i="29"/>
  <c r="CK29" i="29"/>
  <c r="CJ29" i="29"/>
  <c r="CG29" i="29"/>
  <c r="CF29" i="29"/>
  <c r="CE29" i="29"/>
  <c r="CD29" i="29"/>
  <c r="CC29" i="29"/>
  <c r="CB29" i="29"/>
  <c r="CA29" i="29"/>
  <c r="BZ29" i="29"/>
  <c r="BY29" i="29"/>
  <c r="BX29" i="29"/>
  <c r="BW29" i="29"/>
  <c r="BV29" i="29"/>
  <c r="CH29" i="29" s="1"/>
  <c r="BQ29" i="29"/>
  <c r="BT29" i="29" s="1"/>
  <c r="BF29" i="29"/>
  <c r="CW28" i="29"/>
  <c r="BW28" i="29"/>
  <c r="BP28" i="29"/>
  <c r="BO28" i="29"/>
  <c r="BN28" i="29"/>
  <c r="BM28" i="29"/>
  <c r="BL28" i="29"/>
  <c r="BK28" i="29"/>
  <c r="BJ28" i="29"/>
  <c r="BI28" i="29"/>
  <c r="BH28" i="29"/>
  <c r="BE28" i="29"/>
  <c r="BD28" i="29"/>
  <c r="BC28" i="29"/>
  <c r="BB28" i="29"/>
  <c r="AZ28" i="29"/>
  <c r="AY28" i="29"/>
  <c r="CU27" i="29"/>
  <c r="CT27" i="29"/>
  <c r="CS27" i="29"/>
  <c r="CR27" i="29"/>
  <c r="CQ27" i="29"/>
  <c r="CP27" i="29"/>
  <c r="CO27" i="29"/>
  <c r="CN27" i="29"/>
  <c r="CM27" i="29"/>
  <c r="CL27" i="29"/>
  <c r="CK27" i="29"/>
  <c r="CJ27" i="29"/>
  <c r="CG27" i="29"/>
  <c r="CG70" i="29" s="1"/>
  <c r="CF27" i="29"/>
  <c r="CF70" i="29" s="1"/>
  <c r="CB27" i="29"/>
  <c r="CB70" i="29" s="1"/>
  <c r="CA27" i="29"/>
  <c r="CA70" i="29" s="1"/>
  <c r="BZ27" i="29"/>
  <c r="BZ70" i="29" s="1"/>
  <c r="BY27" i="29"/>
  <c r="BY70" i="29" s="1"/>
  <c r="BX27" i="29"/>
  <c r="BX70" i="29" s="1"/>
  <c r="BW27" i="29"/>
  <c r="BW70" i="29" s="1"/>
  <c r="BV27" i="29"/>
  <c r="BR27" i="29"/>
  <c r="BS57" i="29" s="1"/>
  <c r="CG57" i="29" s="1"/>
  <c r="BQ27" i="29"/>
  <c r="BQ82" i="29" s="1"/>
  <c r="BP27" i="29"/>
  <c r="BO27" i="29"/>
  <c r="BN27" i="29"/>
  <c r="BM27" i="29"/>
  <c r="BL27" i="29"/>
  <c r="BK27" i="29"/>
  <c r="BJ27" i="29"/>
  <c r="BI27" i="29"/>
  <c r="BH27" i="29"/>
  <c r="BT27" i="29" s="1"/>
  <c r="BE27" i="29"/>
  <c r="BE82" i="29" s="1"/>
  <c r="BD27" i="29"/>
  <c r="BD82" i="29" s="1"/>
  <c r="BC27" i="29"/>
  <c r="BB27" i="29"/>
  <c r="BA27" i="29"/>
  <c r="AZ27" i="29"/>
  <c r="AY27" i="29"/>
  <c r="AX27" i="29"/>
  <c r="AW27" i="29"/>
  <c r="AV27" i="29"/>
  <c r="AU27" i="29"/>
  <c r="AT27" i="29"/>
  <c r="BF27" i="29" s="1"/>
  <c r="AQ27" i="29"/>
  <c r="AP27" i="29"/>
  <c r="AO27" i="29"/>
  <c r="AN27" i="29"/>
  <c r="AM27" i="29"/>
  <c r="AL27" i="29"/>
  <c r="AK27" i="29"/>
  <c r="AJ27" i="29"/>
  <c r="AI27" i="29"/>
  <c r="AG27" i="29"/>
  <c r="AF27" i="29"/>
  <c r="AC27" i="29"/>
  <c r="AC82" i="29" s="1"/>
  <c r="AB27" i="29"/>
  <c r="AB82" i="29" s="1"/>
  <c r="AA27" i="29"/>
  <c r="AA82" i="29" s="1"/>
  <c r="Z27" i="29"/>
  <c r="Z82" i="29" s="1"/>
  <c r="Y27" i="29"/>
  <c r="Y82" i="29" s="1"/>
  <c r="X27" i="29"/>
  <c r="X82" i="29" s="1"/>
  <c r="W27" i="29"/>
  <c r="W82" i="29" s="1"/>
  <c r="V27" i="29"/>
  <c r="V82" i="29" s="1"/>
  <c r="U27" i="29"/>
  <c r="U82" i="29" s="1"/>
  <c r="R27" i="29"/>
  <c r="P27" i="29"/>
  <c r="O27" i="29"/>
  <c r="O82" i="29" s="1"/>
  <c r="N27" i="29"/>
  <c r="N82" i="29" s="1"/>
  <c r="M27" i="29"/>
  <c r="M82" i="29" s="1"/>
  <c r="L27" i="29"/>
  <c r="L82" i="29" s="1"/>
  <c r="K27" i="29"/>
  <c r="J27" i="29"/>
  <c r="I27" i="29"/>
  <c r="H27" i="29"/>
  <c r="G27" i="29"/>
  <c r="F27" i="29"/>
  <c r="E27" i="29"/>
  <c r="D27" i="29"/>
  <c r="BG24" i="29"/>
  <c r="CG23" i="29"/>
  <c r="CF23" i="29"/>
  <c r="CF24" i="29" s="1"/>
  <c r="CE23" i="29"/>
  <c r="CE24" i="29" s="1"/>
  <c r="CD23" i="29"/>
  <c r="CD24" i="29" s="1"/>
  <c r="CC23" i="29"/>
  <c r="CC24" i="29" s="1"/>
  <c r="CB23" i="29"/>
  <c r="CB24" i="29" s="1"/>
  <c r="CA23" i="29"/>
  <c r="CA24" i="29" s="1"/>
  <c r="BZ23" i="29"/>
  <c r="BZ24" i="29" s="1"/>
  <c r="BY23" i="29"/>
  <c r="BY24" i="29" s="1"/>
  <c r="BX23" i="29"/>
  <c r="BX24" i="29" s="1"/>
  <c r="BW23" i="29"/>
  <c r="BW24" i="29" s="1"/>
  <c r="BV23" i="29"/>
  <c r="BV24" i="29" s="1"/>
  <c r="BS23" i="29"/>
  <c r="BR23" i="29"/>
  <c r="BR24" i="29" s="1"/>
  <c r="BQ23" i="29"/>
  <c r="BQ24" i="29" s="1"/>
  <c r="BP23" i="29"/>
  <c r="BP24" i="29" s="1"/>
  <c r="BO23" i="29"/>
  <c r="BO24" i="29" s="1"/>
  <c r="BN23" i="29"/>
  <c r="BN24" i="29" s="1"/>
  <c r="BM23" i="29"/>
  <c r="BM24" i="29" s="1"/>
  <c r="BL23" i="29"/>
  <c r="BL24" i="29" s="1"/>
  <c r="BK23" i="29"/>
  <c r="BK24" i="29" s="1"/>
  <c r="BJ23" i="29"/>
  <c r="BJ24" i="29" s="1"/>
  <c r="BI23" i="29"/>
  <c r="BI24" i="29" s="1"/>
  <c r="BH23" i="29"/>
  <c r="BH24" i="29" s="1"/>
  <c r="BE23" i="29"/>
  <c r="BE24" i="29" s="1"/>
  <c r="BD23" i="29"/>
  <c r="BD24" i="29" s="1"/>
  <c r="BC23" i="29"/>
  <c r="BC24" i="29" s="1"/>
  <c r="BB23" i="29"/>
  <c r="BB24" i="29" s="1"/>
  <c r="BA23" i="29"/>
  <c r="BA24" i="29" s="1"/>
  <c r="AZ23" i="29"/>
  <c r="AZ24" i="29" s="1"/>
  <c r="AY23" i="29"/>
  <c r="AY24" i="29" s="1"/>
  <c r="AX23" i="29"/>
  <c r="AX24" i="29" s="1"/>
  <c r="AW23" i="29"/>
  <c r="AW24" i="29" s="1"/>
  <c r="AV23" i="29"/>
  <c r="AV24" i="29" s="1"/>
  <c r="AU23" i="29"/>
  <c r="AU24" i="29" s="1"/>
  <c r="AT23" i="29"/>
  <c r="AQ23" i="29"/>
  <c r="AP23" i="29"/>
  <c r="AP24" i="29" s="1"/>
  <c r="AO23" i="29"/>
  <c r="AO24" i="29" s="1"/>
  <c r="AN23" i="29"/>
  <c r="AN24" i="29" s="1"/>
  <c r="AM23" i="29"/>
  <c r="AM24" i="29" s="1"/>
  <c r="AL23" i="29"/>
  <c r="AL24" i="29" s="1"/>
  <c r="AK23" i="29"/>
  <c r="AK24" i="29" s="1"/>
  <c r="AJ23" i="29"/>
  <c r="AJ24" i="29" s="1"/>
  <c r="AI23" i="29"/>
  <c r="AI24" i="29" s="1"/>
  <c r="AH23" i="29"/>
  <c r="AH24" i="29" s="1"/>
  <c r="AG23" i="29"/>
  <c r="AG24" i="29" s="1"/>
  <c r="AF23" i="29"/>
  <c r="AF24" i="29" s="1"/>
  <c r="AC23" i="29"/>
  <c r="AB23" i="29"/>
  <c r="AA23" i="29"/>
  <c r="Z23" i="29"/>
  <c r="Y23" i="29"/>
  <c r="X23" i="29"/>
  <c r="AD23" i="29" s="1"/>
  <c r="W23" i="29"/>
  <c r="V23" i="29"/>
  <c r="U23" i="29"/>
  <c r="T23" i="29"/>
  <c r="S23" i="29"/>
  <c r="R23" i="29"/>
  <c r="O23" i="29"/>
  <c r="N23" i="29"/>
  <c r="M23" i="29"/>
  <c r="L23" i="29"/>
  <c r="K23" i="29"/>
  <c r="J23" i="29"/>
  <c r="P23" i="29" s="1"/>
  <c r="H23" i="29"/>
  <c r="G23" i="29"/>
  <c r="F23" i="29"/>
  <c r="E23" i="29"/>
  <c r="D23" i="29"/>
  <c r="CM22" i="29"/>
  <c r="CL22" i="29"/>
  <c r="CK22" i="29"/>
  <c r="CJ22" i="29"/>
  <c r="CG22" i="29"/>
  <c r="CF22" i="29"/>
  <c r="CE22" i="29"/>
  <c r="CD22" i="29"/>
  <c r="CC22" i="29"/>
  <c r="CB22" i="29"/>
  <c r="CA22" i="29"/>
  <c r="BZ22" i="29"/>
  <c r="BY22" i="29"/>
  <c r="BX22" i="29"/>
  <c r="BW22" i="29"/>
  <c r="BV22" i="29"/>
  <c r="CH19" i="29"/>
  <c r="BT19" i="29"/>
  <c r="BF19" i="29"/>
  <c r="AR19" i="29"/>
  <c r="CH18" i="29"/>
  <c r="BT18" i="29"/>
  <c r="BF18" i="29"/>
  <c r="AR18" i="29"/>
  <c r="CH17" i="29"/>
  <c r="BT17" i="29"/>
  <c r="BF17" i="29"/>
  <c r="AR17" i="29"/>
  <c r="CI16" i="29"/>
  <c r="CI18" i="29" s="1"/>
  <c r="CH16" i="29"/>
  <c r="BT16" i="29"/>
  <c r="BF16" i="29"/>
  <c r="AR16" i="29"/>
  <c r="U16" i="29"/>
  <c r="CH15" i="29"/>
  <c r="CH22" i="29" s="1"/>
  <c r="BT15" i="29"/>
  <c r="BF15" i="29"/>
  <c r="AR15" i="29"/>
  <c r="I15" i="29"/>
  <c r="I23" i="29" s="1"/>
  <c r="CH11" i="29"/>
  <c r="CM10" i="29"/>
  <c r="CL10" i="29"/>
  <c r="CH10" i="29"/>
  <c r="CG10" i="29"/>
  <c r="CG25" i="29" s="1"/>
  <c r="CH25" i="29" s="1"/>
  <c r="CF10" i="29"/>
  <c r="CF25" i="29" s="1"/>
  <c r="CE10" i="29"/>
  <c r="CE25" i="29" s="1"/>
  <c r="CD10" i="29"/>
  <c r="CD25" i="29" s="1"/>
  <c r="CC10" i="29"/>
  <c r="CC25" i="29" s="1"/>
  <c r="CB10" i="29"/>
  <c r="CB25" i="29" s="1"/>
  <c r="CA10" i="29"/>
  <c r="CA25" i="29" s="1"/>
  <c r="BZ10" i="29"/>
  <c r="BZ25" i="29" s="1"/>
  <c r="BY10" i="29"/>
  <c r="BY25" i="29" s="1"/>
  <c r="BX10" i="29"/>
  <c r="BX25" i="29" s="1"/>
  <c r="BW10" i="29"/>
  <c r="BW25" i="29" s="1"/>
  <c r="BV10" i="29"/>
  <c r="BV25" i="29" s="1"/>
  <c r="BS10" i="29"/>
  <c r="BR10" i="29"/>
  <c r="BQ10" i="29"/>
  <c r="BP10" i="29"/>
  <c r="BO10" i="29"/>
  <c r="BN10" i="29"/>
  <c r="BM10" i="29"/>
  <c r="BL10" i="29"/>
  <c r="BK10" i="29"/>
  <c r="BJ10" i="29"/>
  <c r="BI10" i="29"/>
  <c r="BH10" i="29"/>
  <c r="BE10" i="29"/>
  <c r="BD10" i="29"/>
  <c r="BC10" i="29"/>
  <c r="BB10" i="29"/>
  <c r="BA10" i="29"/>
  <c r="AZ10" i="29"/>
  <c r="AY10" i="29"/>
  <c r="AX10" i="29"/>
  <c r="AW10" i="29"/>
  <c r="AV10" i="29"/>
  <c r="AU10" i="29"/>
  <c r="AT10" i="29"/>
  <c r="AQ10" i="29"/>
  <c r="AP10" i="29"/>
  <c r="AO10" i="29"/>
  <c r="AN10" i="29"/>
  <c r="AM10" i="29"/>
  <c r="AL10" i="29"/>
  <c r="AK10" i="29"/>
  <c r="AJ10" i="29"/>
  <c r="AI10" i="29"/>
  <c r="AH10" i="29"/>
  <c r="AG10" i="29"/>
  <c r="AF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DI7" i="29"/>
  <c r="DH7" i="29"/>
  <c r="DG7" i="29"/>
  <c r="DF7" i="29"/>
  <c r="DE7" i="29"/>
  <c r="DD7" i="29"/>
  <c r="DC7" i="29"/>
  <c r="DB7" i="29"/>
  <c r="DA7" i="29"/>
  <c r="CZ7" i="29"/>
  <c r="CY7" i="29"/>
  <c r="CX7" i="29"/>
  <c r="CU7" i="29"/>
  <c r="CT7" i="29"/>
  <c r="CS7" i="29"/>
  <c r="CR7" i="29"/>
  <c r="CR71" i="29" s="1"/>
  <c r="CQ7" i="29"/>
  <c r="CQ71" i="29" s="1"/>
  <c r="CP7" i="29"/>
  <c r="CP71" i="29" s="1"/>
  <c r="CO7" i="29"/>
  <c r="CN7" i="29"/>
  <c r="CM7" i="29"/>
  <c r="CK7" i="29"/>
  <c r="CJ7" i="29"/>
  <c r="CG7" i="29"/>
  <c r="CF7" i="29"/>
  <c r="CE7" i="29"/>
  <c r="CD7" i="29"/>
  <c r="CC7" i="29"/>
  <c r="CB7" i="29"/>
  <c r="CA7" i="29"/>
  <c r="BZ7" i="29"/>
  <c r="BY7" i="29"/>
  <c r="C7" i="29"/>
  <c r="C6" i="29"/>
  <c r="C5" i="29"/>
  <c r="C4" i="29"/>
  <c r="C3" i="29"/>
  <c r="CP85" i="22"/>
  <c r="CQ85" i="22"/>
  <c r="CO85" i="22"/>
  <c r="CN77" i="22"/>
  <c r="CN84" i="22"/>
  <c r="CL10" i="22"/>
  <c r="CK78" i="22"/>
  <c r="CL78" i="22"/>
  <c r="CM78" i="22"/>
  <c r="CR73" i="28"/>
  <c r="CS73" i="28"/>
  <c r="CT73" i="28"/>
  <c r="CU73" i="28"/>
  <c r="K82" i="28"/>
  <c r="J82" i="28"/>
  <c r="I82" i="28"/>
  <c r="H82" i="28"/>
  <c r="G82" i="28"/>
  <c r="F82" i="28"/>
  <c r="E82" i="28"/>
  <c r="D82" i="28"/>
  <c r="P82" i="28" s="1"/>
  <c r="BT80" i="28"/>
  <c r="BF80" i="28"/>
  <c r="AL80" i="28"/>
  <c r="AK80" i="28"/>
  <c r="AJ80" i="28"/>
  <c r="AI80" i="28"/>
  <c r="AH80" i="28"/>
  <c r="AG80" i="28"/>
  <c r="AF80" i="28"/>
  <c r="AR80" i="28" s="1"/>
  <c r="BT79" i="28"/>
  <c r="BB79" i="28"/>
  <c r="BF79" i="28" s="1"/>
  <c r="AR79" i="28"/>
  <c r="CG78" i="28"/>
  <c r="CD78" i="28"/>
  <c r="CC78" i="28"/>
  <c r="CB78" i="28"/>
  <c r="BQ78" i="28"/>
  <c r="BQ81" i="28" s="1"/>
  <c r="BP78" i="28"/>
  <c r="BO78" i="28"/>
  <c r="BN78" i="28"/>
  <c r="BM78" i="28"/>
  <c r="BL78" i="28"/>
  <c r="BK78" i="28"/>
  <c r="BJ78" i="28"/>
  <c r="BI78" i="28"/>
  <c r="BH78" i="28"/>
  <c r="BE78" i="28"/>
  <c r="BE81" i="28" s="1"/>
  <c r="BD78" i="28"/>
  <c r="BD81" i="28" s="1"/>
  <c r="BC78" i="28"/>
  <c r="BB78" i="28"/>
  <c r="BA78" i="28"/>
  <c r="AZ78" i="28"/>
  <c r="AY78" i="28"/>
  <c r="AX78" i="28"/>
  <c r="AW78" i="28"/>
  <c r="AV78" i="28"/>
  <c r="AU78" i="28"/>
  <c r="AT78" i="28"/>
  <c r="AQ78" i="28"/>
  <c r="AP78" i="28"/>
  <c r="AO78" i="28"/>
  <c r="AN78" i="28"/>
  <c r="AM78" i="28"/>
  <c r="AD78" i="28"/>
  <c r="P78" i="28"/>
  <c r="CN76" i="28"/>
  <c r="BE76" i="28"/>
  <c r="BD76" i="28"/>
  <c r="DC75" i="28"/>
  <c r="DB75" i="28"/>
  <c r="DA75" i="28"/>
  <c r="CZ75" i="28"/>
  <c r="CY75" i="28"/>
  <c r="CX75" i="28"/>
  <c r="CO75" i="28"/>
  <c r="CN75" i="28"/>
  <c r="CM75" i="28"/>
  <c r="CL75" i="28"/>
  <c r="CK75" i="28"/>
  <c r="CJ75" i="28"/>
  <c r="BS75" i="28"/>
  <c r="BT75" i="28" s="1"/>
  <c r="BF75" i="28"/>
  <c r="AR75" i="28"/>
  <c r="CL74" i="28"/>
  <c r="BX74" i="28"/>
  <c r="BW74" i="28"/>
  <c r="BV74" i="28"/>
  <c r="BT74" i="28"/>
  <c r="BF74" i="28"/>
  <c r="AR74" i="28"/>
  <c r="CX73" i="28"/>
  <c r="CY73" i="28" s="1"/>
  <c r="CZ73" i="28" s="1"/>
  <c r="DA73" i="28" s="1"/>
  <c r="DB73" i="28" s="1"/>
  <c r="DC73" i="28" s="1"/>
  <c r="DD73" i="28" s="1"/>
  <c r="DE73" i="28" s="1"/>
  <c r="DF73" i="28" s="1"/>
  <c r="DG73" i="28" s="1"/>
  <c r="DH73" i="28" s="1"/>
  <c r="DI73" i="28" s="1"/>
  <c r="CC73" i="28"/>
  <c r="BS73" i="28"/>
  <c r="BO73" i="28"/>
  <c r="BN73" i="28"/>
  <c r="BM73" i="28"/>
  <c r="BL73" i="28"/>
  <c r="BK73" i="28"/>
  <c r="BJ73" i="28"/>
  <c r="BI73" i="28"/>
  <c r="BH73" i="28"/>
  <c r="BE73" i="28"/>
  <c r="BD73" i="28"/>
  <c r="BA73" i="28"/>
  <c r="AL73" i="28"/>
  <c r="AK73" i="28"/>
  <c r="AJ73" i="28"/>
  <c r="AI73" i="28"/>
  <c r="AH73" i="28"/>
  <c r="AG73" i="28"/>
  <c r="AF73" i="28"/>
  <c r="AR73" i="28" s="1"/>
  <c r="AC73" i="28"/>
  <c r="AB73" i="28"/>
  <c r="AA73" i="28"/>
  <c r="Z73" i="28"/>
  <c r="Y73" i="28"/>
  <c r="X73" i="28"/>
  <c r="W73" i="28"/>
  <c r="V73" i="28"/>
  <c r="U73" i="28"/>
  <c r="T73" i="28"/>
  <c r="S73" i="28"/>
  <c r="R73" i="28"/>
  <c r="BX72" i="28"/>
  <c r="BW72" i="28"/>
  <c r="BV72" i="28"/>
  <c r="BR72" i="28"/>
  <c r="BR73" i="28" s="1"/>
  <c r="BQ72" i="28"/>
  <c r="BQ73" i="28" s="1"/>
  <c r="BP72" i="28"/>
  <c r="BC72" i="28"/>
  <c r="BB72" i="28"/>
  <c r="AY72" i="28"/>
  <c r="AX72" i="28"/>
  <c r="AW72" i="28"/>
  <c r="AV72" i="28"/>
  <c r="AU72" i="28"/>
  <c r="AU73" i="28" s="1"/>
  <c r="BF73" i="28" s="1"/>
  <c r="AT72" i="28"/>
  <c r="BF72" i="28" s="1"/>
  <c r="AQ72" i="28"/>
  <c r="AP72" i="28"/>
  <c r="AO72" i="28"/>
  <c r="AN72" i="28"/>
  <c r="AM72" i="28"/>
  <c r="AR72" i="28" s="1"/>
  <c r="P72" i="28"/>
  <c r="CL71" i="28"/>
  <c r="BX71" i="28"/>
  <c r="BX75" i="28" s="1"/>
  <c r="BW71" i="28"/>
  <c r="BW75" i="28" s="1"/>
  <c r="BV71" i="28"/>
  <c r="BS71" i="28"/>
  <c r="BP71" i="28"/>
  <c r="BO71" i="28"/>
  <c r="BN71" i="28"/>
  <c r="BM71" i="28"/>
  <c r="BL71" i="28"/>
  <c r="BK71" i="28"/>
  <c r="BJ71" i="28"/>
  <c r="BI71" i="28"/>
  <c r="BH71" i="28"/>
  <c r="BC71" i="28"/>
  <c r="BB71" i="28"/>
  <c r="BA71" i="28"/>
  <c r="AZ71" i="28"/>
  <c r="AY71" i="28"/>
  <c r="AX71" i="28"/>
  <c r="AW71" i="28"/>
  <c r="AV71" i="28"/>
  <c r="AU71" i="28"/>
  <c r="AT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D71" i="28"/>
  <c r="P71" i="28"/>
  <c r="CR69" i="28"/>
  <c r="CQ69" i="28"/>
  <c r="CP69" i="28"/>
  <c r="CO69" i="28"/>
  <c r="CN69" i="28"/>
  <c r="CM69" i="28"/>
  <c r="CL69" i="28"/>
  <c r="CK69" i="28"/>
  <c r="CH69" i="28"/>
  <c r="CV69" i="28" s="1"/>
  <c r="AQ67" i="28"/>
  <c r="AP67" i="28"/>
  <c r="AO67" i="28"/>
  <c r="AN67" i="28"/>
  <c r="AM67" i="28"/>
  <c r="AL67" i="28"/>
  <c r="AK67" i="28"/>
  <c r="AJ67" i="28"/>
  <c r="AI67" i="28"/>
  <c r="AH67" i="28"/>
  <c r="AG67" i="28"/>
  <c r="AF67" i="28"/>
  <c r="AR67" i="28" s="1"/>
  <c r="CG66" i="28"/>
  <c r="CF66" i="28"/>
  <c r="CE66" i="28"/>
  <c r="CD66" i="28"/>
  <c r="CC66" i="28"/>
  <c r="CB66" i="28"/>
  <c r="CU65" i="28"/>
  <c r="CT65" i="28"/>
  <c r="CS65" i="28"/>
  <c r="CR65" i="28"/>
  <c r="CQ65" i="28"/>
  <c r="CP65" i="28"/>
  <c r="CO65" i="28"/>
  <c r="CN65" i="28"/>
  <c r="CM65" i="28"/>
  <c r="CL65" i="28"/>
  <c r="CK65" i="28"/>
  <c r="CJ65" i="28"/>
  <c r="CV65" i="28" s="1"/>
  <c r="CH65" i="28"/>
  <c r="BQ65" i="28"/>
  <c r="BP65" i="28"/>
  <c r="BO65" i="28"/>
  <c r="BN65" i="28"/>
  <c r="BM65" i="28"/>
  <c r="BL65" i="28"/>
  <c r="BK65" i="28"/>
  <c r="BJ65" i="28"/>
  <c r="BI65" i="28"/>
  <c r="BH65" i="28"/>
  <c r="BT65" i="28" s="1"/>
  <c r="CH64" i="28"/>
  <c r="BT64" i="28"/>
  <c r="BB64" i="28"/>
  <c r="AR64" i="28"/>
  <c r="CH63" i="28"/>
  <c r="BQ63" i="28"/>
  <c r="AM63" i="28"/>
  <c r="AL63" i="28"/>
  <c r="AK63" i="28"/>
  <c r="AJ63" i="28"/>
  <c r="AI63" i="28"/>
  <c r="AH63" i="28"/>
  <c r="AG63" i="28"/>
  <c r="AF63" i="28"/>
  <c r="CH62" i="28"/>
  <c r="BT62" i="28"/>
  <c r="BF62" i="28"/>
  <c r="AR62" i="28"/>
  <c r="CM61" i="28"/>
  <c r="CL61" i="28"/>
  <c r="CK61" i="28"/>
  <c r="CJ61" i="28"/>
  <c r="BQ61" i="28"/>
  <c r="BP61" i="28"/>
  <c r="BO61" i="28"/>
  <c r="BN61" i="28"/>
  <c r="BM61" i="28"/>
  <c r="BL61" i="28"/>
  <c r="BK61" i="28"/>
  <c r="BJ61" i="28"/>
  <c r="BI61" i="28"/>
  <c r="BH61" i="28"/>
  <c r="BE61" i="28"/>
  <c r="BD61" i="28"/>
  <c r="BC61" i="28"/>
  <c r="BB61" i="28"/>
  <c r="BA61" i="28"/>
  <c r="AZ61" i="28"/>
  <c r="AY61" i="28"/>
  <c r="AX61" i="28"/>
  <c r="AW61" i="28"/>
  <c r="AV61" i="28"/>
  <c r="AU61" i="28"/>
  <c r="AT61" i="28"/>
  <c r="AQ61" i="28"/>
  <c r="AP61" i="28"/>
  <c r="AO61" i="28"/>
  <c r="AN61" i="28"/>
  <c r="AM61" i="28"/>
  <c r="AL61" i="28"/>
  <c r="AK61" i="28"/>
  <c r="AJ61" i="28"/>
  <c r="AI61" i="28"/>
  <c r="AH61" i="28"/>
  <c r="AG61" i="28"/>
  <c r="AF61" i="28"/>
  <c r="BF60" i="28"/>
  <c r="AR60" i="28"/>
  <c r="AD60" i="28"/>
  <c r="P60" i="28"/>
  <c r="BN59" i="28"/>
  <c r="BM59" i="28"/>
  <c r="BL59" i="28"/>
  <c r="BK59" i="28"/>
  <c r="BJ59" i="28"/>
  <c r="BI59" i="28"/>
  <c r="BH59" i="28"/>
  <c r="BA59" i="28"/>
  <c r="AZ59" i="28"/>
  <c r="AY59" i="28"/>
  <c r="AX59" i="28"/>
  <c r="AW59" i="28"/>
  <c r="AV59" i="28"/>
  <c r="AU59" i="28"/>
  <c r="AT59" i="28"/>
  <c r="BT58" i="28"/>
  <c r="BB58" i="28"/>
  <c r="AR58" i="28"/>
  <c r="CM57" i="28"/>
  <c r="BQ57" i="28"/>
  <c r="BQ59" i="28" s="1"/>
  <c r="BP57" i="28"/>
  <c r="BP59" i="28" s="1"/>
  <c r="BO57" i="28"/>
  <c r="BE57" i="28"/>
  <c r="BE59" i="28" s="1"/>
  <c r="BD57" i="28"/>
  <c r="BD59" i="28" s="1"/>
  <c r="BC57" i="28"/>
  <c r="BC59" i="28" s="1"/>
  <c r="BB57" i="28"/>
  <c r="BF57" i="28" s="1"/>
  <c r="CV56" i="28"/>
  <c r="BN56" i="28"/>
  <c r="BM56" i="28"/>
  <c r="BL56" i="28"/>
  <c r="BK56" i="28"/>
  <c r="BJ56" i="28"/>
  <c r="BI56" i="28"/>
  <c r="BH56" i="28"/>
  <c r="BT56" i="28" s="1"/>
  <c r="CU55" i="28"/>
  <c r="CT55" i="28"/>
  <c r="CS55" i="28"/>
  <c r="CR55" i="28"/>
  <c r="CQ55" i="28"/>
  <c r="CP55" i="28"/>
  <c r="CO55" i="28"/>
  <c r="CN55" i="28"/>
  <c r="CM55" i="28"/>
  <c r="CL55" i="28"/>
  <c r="CK55" i="28"/>
  <c r="CJ55" i="28"/>
  <c r="CV55" i="28" s="1"/>
  <c r="CW55" i="28" s="1"/>
  <c r="BT55" i="28"/>
  <c r="BE55" i="28"/>
  <c r="BE65" i="28" s="1"/>
  <c r="BD55" i="28"/>
  <c r="BD65" i="28" s="1"/>
  <c r="BC55" i="28"/>
  <c r="BC65" i="28" s="1"/>
  <c r="BB55" i="28"/>
  <c r="BB56" i="28" s="1"/>
  <c r="BA55" i="28"/>
  <c r="AZ55" i="28"/>
  <c r="AZ65" i="28" s="1"/>
  <c r="AY55" i="28"/>
  <c r="AY65" i="28" s="1"/>
  <c r="AX55" i="28"/>
  <c r="AX65" i="28" s="1"/>
  <c r="AW55" i="28"/>
  <c r="AW65" i="28" s="1"/>
  <c r="AV55" i="28"/>
  <c r="AV65" i="28" s="1"/>
  <c r="AU55" i="28"/>
  <c r="AU65" i="28" s="1"/>
  <c r="AT55" i="28"/>
  <c r="AQ55" i="28"/>
  <c r="AP55" i="28"/>
  <c r="AO55" i="28"/>
  <c r="AO65" i="28" s="1"/>
  <c r="AN55" i="28"/>
  <c r="AN65" i="28" s="1"/>
  <c r="AM55" i="28"/>
  <c r="AM65" i="28" s="1"/>
  <c r="AL55" i="28"/>
  <c r="AK55" i="28"/>
  <c r="AK65" i="28" s="1"/>
  <c r="AJ55" i="28"/>
  <c r="AJ65" i="28" s="1"/>
  <c r="AI55" i="28"/>
  <c r="AI65" i="28" s="1"/>
  <c r="AG55" i="28"/>
  <c r="AG65" i="28" s="1"/>
  <c r="AF55" i="28"/>
  <c r="AC55" i="28"/>
  <c r="AB55" i="28"/>
  <c r="AA55" i="28"/>
  <c r="Z55" i="28"/>
  <c r="Y55" i="28"/>
  <c r="X55" i="28"/>
  <c r="W55" i="28"/>
  <c r="R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P55" i="28" s="1"/>
  <c r="CU54" i="28"/>
  <c r="CT54" i="28"/>
  <c r="CS54" i="28"/>
  <c r="CR54" i="28"/>
  <c r="CQ54" i="28"/>
  <c r="CP54" i="28"/>
  <c r="CO54" i="28"/>
  <c r="CN54" i="28"/>
  <c r="CM54" i="28"/>
  <c r="CL54" i="28"/>
  <c r="CK54" i="28"/>
  <c r="CJ54" i="28"/>
  <c r="BT54" i="28"/>
  <c r="BF54" i="28"/>
  <c r="AR54" i="28"/>
  <c r="AD54" i="28"/>
  <c r="P54" i="28"/>
  <c r="CU53" i="28"/>
  <c r="CT53" i="28"/>
  <c r="CS53" i="28"/>
  <c r="CR53" i="28"/>
  <c r="CQ53" i="28"/>
  <c r="CP53" i="28"/>
  <c r="CO53" i="28"/>
  <c r="CN53" i="28"/>
  <c r="CM53" i="28"/>
  <c r="CL53" i="28"/>
  <c r="CK53" i="28"/>
  <c r="CJ53" i="28"/>
  <c r="BF53" i="28"/>
  <c r="BF52" i="28"/>
  <c r="AR52" i="28"/>
  <c r="BF51" i="28"/>
  <c r="AR51" i="28"/>
  <c r="BF50" i="28"/>
  <c r="AR50" i="28"/>
  <c r="CG49" i="28"/>
  <c r="CF49" i="28"/>
  <c r="CE49" i="28"/>
  <c r="CD49" i="28"/>
  <c r="CC49" i="28"/>
  <c r="CB49" i="28"/>
  <c r="CA49" i="28"/>
  <c r="BZ49" i="28"/>
  <c r="BY49" i="28"/>
  <c r="BX49" i="28"/>
  <c r="BW49" i="28"/>
  <c r="BW55" i="28" s="1"/>
  <c r="BV49" i="28"/>
  <c r="BT49" i="28"/>
  <c r="BF49" i="28"/>
  <c r="AH49" i="28"/>
  <c r="AR49" i="28" s="1"/>
  <c r="BF48" i="28"/>
  <c r="AH48" i="28"/>
  <c r="AR48" i="28" s="1"/>
  <c r="AD48" i="28"/>
  <c r="BF47" i="28"/>
  <c r="AH47" i="28"/>
  <c r="AR47" i="28" s="1"/>
  <c r="AD47" i="28"/>
  <c r="BF46" i="28"/>
  <c r="AH46" i="28"/>
  <c r="AR46" i="28" s="1"/>
  <c r="AD46" i="28"/>
  <c r="P46" i="28"/>
  <c r="BF45" i="28"/>
  <c r="AH45" i="28"/>
  <c r="AR45" i="28" s="1"/>
  <c r="AD45" i="28"/>
  <c r="P45" i="28"/>
  <c r="BF44" i="28"/>
  <c r="AH44" i="28"/>
  <c r="AR44" i="28" s="1"/>
  <c r="AD44" i="28"/>
  <c r="P44" i="28"/>
  <c r="BF43" i="28"/>
  <c r="AH43" i="28"/>
  <c r="AD43" i="28"/>
  <c r="P43" i="28"/>
  <c r="BF42" i="28"/>
  <c r="AR42" i="28"/>
  <c r="U42" i="28"/>
  <c r="T42" i="28"/>
  <c r="AD42" i="28" s="1"/>
  <c r="P42" i="28"/>
  <c r="BF41" i="28"/>
  <c r="AR41" i="28"/>
  <c r="T41" i="28"/>
  <c r="AD41" i="28" s="1"/>
  <c r="P41" i="28"/>
  <c r="BF40" i="28"/>
  <c r="AR40" i="28"/>
  <c r="U40" i="28"/>
  <c r="T40" i="28"/>
  <c r="S40" i="28"/>
  <c r="AD40" i="28" s="1"/>
  <c r="P40" i="28"/>
  <c r="BF39" i="28"/>
  <c r="AR39" i="28"/>
  <c r="AD39" i="28"/>
  <c r="P39" i="28"/>
  <c r="BF38" i="28"/>
  <c r="AR38" i="28"/>
  <c r="V38" i="28"/>
  <c r="V55" i="28" s="1"/>
  <c r="U38" i="28"/>
  <c r="AD38" i="28" s="1"/>
  <c r="P38" i="28"/>
  <c r="BF37" i="28"/>
  <c r="AR37" i="28"/>
  <c r="T37" i="28"/>
  <c r="S37" i="28"/>
  <c r="P37" i="28"/>
  <c r="BF36" i="28"/>
  <c r="AR36" i="28"/>
  <c r="AD36" i="28"/>
  <c r="P36" i="28"/>
  <c r="BF35" i="28"/>
  <c r="AR35" i="28"/>
  <c r="U35" i="28"/>
  <c r="T35" i="28"/>
  <c r="AD35" i="28" s="1"/>
  <c r="P35" i="28"/>
  <c r="BF34" i="28"/>
  <c r="AR34" i="28"/>
  <c r="U34" i="28"/>
  <c r="U55" i="28" s="1"/>
  <c r="T34" i="28"/>
  <c r="P34" i="28"/>
  <c r="CU32" i="28"/>
  <c r="CT32" i="28"/>
  <c r="CS32" i="28"/>
  <c r="CR32" i="28"/>
  <c r="CQ32" i="28"/>
  <c r="CP32" i="28"/>
  <c r="CO32" i="28"/>
  <c r="CN32" i="28"/>
  <c r="CM32" i="28"/>
  <c r="CM33" i="28" s="1"/>
  <c r="CL32" i="28"/>
  <c r="CK32" i="28"/>
  <c r="CJ32" i="28"/>
  <c r="CV32" i="28" s="1"/>
  <c r="CU31" i="28"/>
  <c r="CT31" i="28"/>
  <c r="CS31" i="28"/>
  <c r="CR31" i="28"/>
  <c r="CQ31" i="28"/>
  <c r="CP31" i="28"/>
  <c r="CO31" i="28"/>
  <c r="CN31" i="28"/>
  <c r="CL31" i="28"/>
  <c r="CK31" i="28"/>
  <c r="CJ31" i="28"/>
  <c r="CI31" i="28"/>
  <c r="CG31" i="28"/>
  <c r="CF31" i="28"/>
  <c r="CF57" i="28" s="1"/>
  <c r="CE31" i="28"/>
  <c r="CD31" i="28"/>
  <c r="CC31" i="28"/>
  <c r="CB31" i="28"/>
  <c r="CB57" i="28" s="1"/>
  <c r="CA31" i="28"/>
  <c r="CA57" i="28" s="1"/>
  <c r="BZ31" i="28"/>
  <c r="BZ57" i="28" s="1"/>
  <c r="BY31" i="28"/>
  <c r="BY57" i="28" s="1"/>
  <c r="BX31" i="28"/>
  <c r="BX57" i="28" s="1"/>
  <c r="BW31" i="28"/>
  <c r="BW57" i="28" s="1"/>
  <c r="BV31" i="28"/>
  <c r="BV57" i="28" s="1"/>
  <c r="BS31" i="28"/>
  <c r="BR31" i="28"/>
  <c r="BQ31" i="28"/>
  <c r="BE31" i="28"/>
  <c r="BE63" i="28" s="1"/>
  <c r="BD31" i="28"/>
  <c r="BD63" i="28" s="1"/>
  <c r="BC31" i="28"/>
  <c r="BC63" i="28" s="1"/>
  <c r="BB31" i="28"/>
  <c r="BB63" i="28" s="1"/>
  <c r="BA31" i="28"/>
  <c r="BA63" i="28" s="1"/>
  <c r="AZ31" i="28"/>
  <c r="AZ63" i="28" s="1"/>
  <c r="AY31" i="28"/>
  <c r="AY63" i="28" s="1"/>
  <c r="AX31" i="28"/>
  <c r="AX63" i="28" s="1"/>
  <c r="AW31" i="28"/>
  <c r="AW63" i="28" s="1"/>
  <c r="AV31" i="28"/>
  <c r="AV63" i="28" s="1"/>
  <c r="AU31" i="28"/>
  <c r="AU63" i="28" s="1"/>
  <c r="AT31" i="28"/>
  <c r="U31" i="28"/>
  <c r="AD31" i="28" s="1"/>
  <c r="P31" i="28"/>
  <c r="CK30" i="28"/>
  <c r="CL30" i="28" s="1"/>
  <c r="CM30" i="28" s="1"/>
  <c r="CN30" i="28" s="1"/>
  <c r="CO30" i="28" s="1"/>
  <c r="CP30" i="28" s="1"/>
  <c r="CQ30" i="28" s="1"/>
  <c r="CR30" i="28" s="1"/>
  <c r="CS30" i="28" s="1"/>
  <c r="CT30" i="28" s="1"/>
  <c r="CU30" i="28" s="1"/>
  <c r="CV30" i="28" s="1"/>
  <c r="AQ30" i="28"/>
  <c r="AQ31" i="28" s="1"/>
  <c r="AQ63" i="28" s="1"/>
  <c r="AP30" i="28"/>
  <c r="AP31" i="28" s="1"/>
  <c r="AP63" i="28" s="1"/>
  <c r="AO30" i="28"/>
  <c r="AO31" i="28" s="1"/>
  <c r="AO63" i="28" s="1"/>
  <c r="AN30" i="28"/>
  <c r="AN31" i="28" s="1"/>
  <c r="CU29" i="28"/>
  <c r="CT29" i="28"/>
  <c r="CS29" i="28"/>
  <c r="CR29" i="28"/>
  <c r="CQ29" i="28"/>
  <c r="CP29" i="28"/>
  <c r="CO29" i="28"/>
  <c r="CN29" i="28"/>
  <c r="CM29" i="28"/>
  <c r="CL29" i="28"/>
  <c r="CK29" i="28"/>
  <c r="CJ29" i="28"/>
  <c r="CG29" i="28"/>
  <c r="CF29" i="28"/>
  <c r="CE29" i="28"/>
  <c r="CD29" i="28"/>
  <c r="CC29" i="28"/>
  <c r="CB29" i="28"/>
  <c r="CA29" i="28"/>
  <c r="BZ29" i="28"/>
  <c r="BY29" i="28"/>
  <c r="BX29" i="28"/>
  <c r="BW29" i="28"/>
  <c r="BV29" i="28"/>
  <c r="CH29" i="28" s="1"/>
  <c r="BQ29" i="28"/>
  <c r="BT29" i="28" s="1"/>
  <c r="BF29" i="28"/>
  <c r="CW28" i="28"/>
  <c r="BW28" i="28"/>
  <c r="BP28" i="28"/>
  <c r="BO28" i="28"/>
  <c r="BN28" i="28"/>
  <c r="BM28" i="28"/>
  <c r="BL28" i="28"/>
  <c r="BK28" i="28"/>
  <c r="BJ28" i="28"/>
  <c r="BI28" i="28"/>
  <c r="BH28" i="28"/>
  <c r="BE28" i="28"/>
  <c r="BD28" i="28"/>
  <c r="BC28" i="28"/>
  <c r="BB28" i="28"/>
  <c r="AZ28" i="28"/>
  <c r="AY28" i="28"/>
  <c r="CU27" i="28"/>
  <c r="CT27" i="28"/>
  <c r="CS27" i="28"/>
  <c r="CR27" i="28"/>
  <c r="CQ27" i="28"/>
  <c r="CP27" i="28"/>
  <c r="CO27" i="28"/>
  <c r="CN27" i="28"/>
  <c r="CM27" i="28"/>
  <c r="CL27" i="28"/>
  <c r="CK27" i="28"/>
  <c r="CJ27" i="28"/>
  <c r="CG27" i="28"/>
  <c r="CG70" i="28" s="1"/>
  <c r="CF27" i="28"/>
  <c r="CF70" i="28" s="1"/>
  <c r="CB27" i="28"/>
  <c r="CB70" i="28" s="1"/>
  <c r="CA27" i="28"/>
  <c r="CA70" i="28" s="1"/>
  <c r="BZ27" i="28"/>
  <c r="BZ70" i="28" s="1"/>
  <c r="BY27" i="28"/>
  <c r="BY70" i="28" s="1"/>
  <c r="BX27" i="28"/>
  <c r="BX70" i="28" s="1"/>
  <c r="BW27" i="28"/>
  <c r="BW70" i="28" s="1"/>
  <c r="BV27" i="28"/>
  <c r="BR27" i="28"/>
  <c r="BS57" i="28" s="1"/>
  <c r="CG57" i="28" s="1"/>
  <c r="BQ27" i="28"/>
  <c r="BQ82" i="28" s="1"/>
  <c r="BP27" i="28"/>
  <c r="BO27" i="28"/>
  <c r="BN27" i="28"/>
  <c r="BM27" i="28"/>
  <c r="BL27" i="28"/>
  <c r="BK27" i="28"/>
  <c r="BJ27" i="28"/>
  <c r="BI27" i="28"/>
  <c r="BH27" i="28"/>
  <c r="BT27" i="28" s="1"/>
  <c r="BE27" i="28"/>
  <c r="BE82" i="28" s="1"/>
  <c r="BD27" i="28"/>
  <c r="BD82" i="28" s="1"/>
  <c r="BC27" i="28"/>
  <c r="BB27" i="28"/>
  <c r="BA27" i="28"/>
  <c r="AZ27" i="28"/>
  <c r="AY27" i="28"/>
  <c r="AX27" i="28"/>
  <c r="AW27" i="28"/>
  <c r="AV27" i="28"/>
  <c r="AU27" i="28"/>
  <c r="AT27" i="28"/>
  <c r="BF27" i="28" s="1"/>
  <c r="AQ27" i="28"/>
  <c r="AP27" i="28"/>
  <c r="AO27" i="28"/>
  <c r="AN27" i="28"/>
  <c r="AM27" i="28"/>
  <c r="AL27" i="28"/>
  <c r="AK27" i="28"/>
  <c r="AJ27" i="28"/>
  <c r="AI27" i="28"/>
  <c r="AG27" i="28"/>
  <c r="AF27" i="28"/>
  <c r="AC27" i="28"/>
  <c r="AC82" i="28" s="1"/>
  <c r="AB27" i="28"/>
  <c r="AB82" i="28" s="1"/>
  <c r="AA27" i="28"/>
  <c r="AA82" i="28" s="1"/>
  <c r="Z27" i="28"/>
  <c r="Z82" i="28" s="1"/>
  <c r="Y27" i="28"/>
  <c r="Y82" i="28" s="1"/>
  <c r="X27" i="28"/>
  <c r="X82" i="28" s="1"/>
  <c r="W27" i="28"/>
  <c r="W82" i="28" s="1"/>
  <c r="V27" i="28"/>
  <c r="V82" i="28" s="1"/>
  <c r="U27" i="28"/>
  <c r="U82" i="28" s="1"/>
  <c r="R27" i="28"/>
  <c r="P27" i="28"/>
  <c r="O27" i="28"/>
  <c r="O82" i="28" s="1"/>
  <c r="N27" i="28"/>
  <c r="N82" i="28" s="1"/>
  <c r="M27" i="28"/>
  <c r="M82" i="28" s="1"/>
  <c r="L27" i="28"/>
  <c r="L82" i="28" s="1"/>
  <c r="K27" i="28"/>
  <c r="J27" i="28"/>
  <c r="I27" i="28"/>
  <c r="H27" i="28"/>
  <c r="G27" i="28"/>
  <c r="F27" i="28"/>
  <c r="E27" i="28"/>
  <c r="D27" i="28"/>
  <c r="BG24" i="28"/>
  <c r="CG23" i="28"/>
  <c r="CF23" i="28"/>
  <c r="CF24" i="28" s="1"/>
  <c r="CE23" i="28"/>
  <c r="CE24" i="28" s="1"/>
  <c r="CD23" i="28"/>
  <c r="CD24" i="28" s="1"/>
  <c r="CC23" i="28"/>
  <c r="CC24" i="28" s="1"/>
  <c r="CB23" i="28"/>
  <c r="CB24" i="28" s="1"/>
  <c r="CA23" i="28"/>
  <c r="CA24" i="28" s="1"/>
  <c r="BZ23" i="28"/>
  <c r="BZ24" i="28" s="1"/>
  <c r="BY23" i="28"/>
  <c r="BY24" i="28" s="1"/>
  <c r="BX23" i="28"/>
  <c r="BX24" i="28" s="1"/>
  <c r="BW23" i="28"/>
  <c r="BW24" i="28" s="1"/>
  <c r="BV23" i="28"/>
  <c r="BV24" i="28" s="1"/>
  <c r="BS23" i="28"/>
  <c r="BR23" i="28"/>
  <c r="BR24" i="28" s="1"/>
  <c r="BQ23" i="28"/>
  <c r="BQ24" i="28" s="1"/>
  <c r="BP23" i="28"/>
  <c r="BP24" i="28" s="1"/>
  <c r="BO23" i="28"/>
  <c r="BO24" i="28" s="1"/>
  <c r="BN23" i="28"/>
  <c r="BN24" i="28" s="1"/>
  <c r="BM23" i="28"/>
  <c r="BM24" i="28" s="1"/>
  <c r="BL23" i="28"/>
  <c r="BL24" i="28" s="1"/>
  <c r="BK23" i="28"/>
  <c r="BK24" i="28" s="1"/>
  <c r="BJ23" i="28"/>
  <c r="BJ24" i="28" s="1"/>
  <c r="BI23" i="28"/>
  <c r="BI24" i="28" s="1"/>
  <c r="BH23" i="28"/>
  <c r="BH24" i="28" s="1"/>
  <c r="BE23" i="28"/>
  <c r="BE24" i="28" s="1"/>
  <c r="BD23" i="28"/>
  <c r="BD24" i="28" s="1"/>
  <c r="BC23" i="28"/>
  <c r="BC24" i="28" s="1"/>
  <c r="BB23" i="28"/>
  <c r="BB24" i="28" s="1"/>
  <c r="BA23" i="28"/>
  <c r="BA24" i="28" s="1"/>
  <c r="AZ23" i="28"/>
  <c r="AZ24" i="28" s="1"/>
  <c r="AY23" i="28"/>
  <c r="AY24" i="28" s="1"/>
  <c r="AX23" i="28"/>
  <c r="AX24" i="28" s="1"/>
  <c r="AW23" i="28"/>
  <c r="AW24" i="28" s="1"/>
  <c r="AV23" i="28"/>
  <c r="AV24" i="28" s="1"/>
  <c r="AU23" i="28"/>
  <c r="AU24" i="28" s="1"/>
  <c r="AT23" i="28"/>
  <c r="AQ23" i="28"/>
  <c r="AP23" i="28"/>
  <c r="AP24" i="28" s="1"/>
  <c r="AO23" i="28"/>
  <c r="AO24" i="28" s="1"/>
  <c r="AN23" i="28"/>
  <c r="AN24" i="28" s="1"/>
  <c r="AM23" i="28"/>
  <c r="AM24" i="28" s="1"/>
  <c r="AL23" i="28"/>
  <c r="AL24" i="28" s="1"/>
  <c r="AK23" i="28"/>
  <c r="AK24" i="28" s="1"/>
  <c r="AJ23" i="28"/>
  <c r="AJ24" i="28" s="1"/>
  <c r="AI23" i="28"/>
  <c r="AI24" i="28" s="1"/>
  <c r="AH23" i="28"/>
  <c r="AH24" i="28" s="1"/>
  <c r="AG23" i="28"/>
  <c r="AG24" i="28" s="1"/>
  <c r="AF23" i="28"/>
  <c r="AF24" i="28" s="1"/>
  <c r="AC23" i="28"/>
  <c r="AB23" i="28"/>
  <c r="AA23" i="28"/>
  <c r="Z23" i="28"/>
  <c r="Y23" i="28"/>
  <c r="X23" i="28"/>
  <c r="AD23" i="28" s="1"/>
  <c r="W23" i="28"/>
  <c r="V23" i="28"/>
  <c r="U23" i="28"/>
  <c r="T23" i="28"/>
  <c r="S23" i="28"/>
  <c r="R23" i="28"/>
  <c r="O23" i="28"/>
  <c r="N23" i="28"/>
  <c r="M23" i="28"/>
  <c r="L23" i="28"/>
  <c r="K23" i="28"/>
  <c r="J23" i="28"/>
  <c r="P23" i="28" s="1"/>
  <c r="H23" i="28"/>
  <c r="G23" i="28"/>
  <c r="F23" i="28"/>
  <c r="E23" i="28"/>
  <c r="D23" i="28"/>
  <c r="CM22" i="28"/>
  <c r="CL22" i="28"/>
  <c r="CK22" i="28"/>
  <c r="CJ22" i="28"/>
  <c r="CG22" i="28"/>
  <c r="CF22" i="28"/>
  <c r="CE22" i="28"/>
  <c r="CD22" i="28"/>
  <c r="CC22" i="28"/>
  <c r="CB22" i="28"/>
  <c r="CA22" i="28"/>
  <c r="BZ22" i="28"/>
  <c r="BY22" i="28"/>
  <c r="BX22" i="28"/>
  <c r="BW22" i="28"/>
  <c r="BV22" i="28"/>
  <c r="CH19" i="28"/>
  <c r="BT19" i="28"/>
  <c r="BF19" i="28"/>
  <c r="AR19" i="28"/>
  <c r="CH18" i="28"/>
  <c r="BT18" i="28"/>
  <c r="BF18" i="28"/>
  <c r="AR18" i="28"/>
  <c r="CH17" i="28"/>
  <c r="BT17" i="28"/>
  <c r="BF17" i="28"/>
  <c r="AR17" i="28"/>
  <c r="CI16" i="28"/>
  <c r="CI18" i="28" s="1"/>
  <c r="CH16" i="28"/>
  <c r="BT16" i="28"/>
  <c r="BF16" i="28"/>
  <c r="AR16" i="28"/>
  <c r="U16" i="28"/>
  <c r="CH15" i="28"/>
  <c r="CH22" i="28" s="1"/>
  <c r="BT15" i="28"/>
  <c r="BF15" i="28"/>
  <c r="AR15" i="28"/>
  <c r="I15" i="28"/>
  <c r="I23" i="28" s="1"/>
  <c r="CH11" i="28"/>
  <c r="CH10" i="28"/>
  <c r="CG10" i="28"/>
  <c r="CG25" i="28" s="1"/>
  <c r="CH25" i="28" s="1"/>
  <c r="CF10" i="28"/>
  <c r="CF25" i="28" s="1"/>
  <c r="CE10" i="28"/>
  <c r="CE25" i="28" s="1"/>
  <c r="CD10" i="28"/>
  <c r="CD25" i="28" s="1"/>
  <c r="CC10" i="28"/>
  <c r="CC25" i="28" s="1"/>
  <c r="CB10" i="28"/>
  <c r="CB25" i="28" s="1"/>
  <c r="CA10" i="28"/>
  <c r="CA25" i="28" s="1"/>
  <c r="BZ10" i="28"/>
  <c r="BZ25" i="28" s="1"/>
  <c r="BY10" i="28"/>
  <c r="BY25" i="28" s="1"/>
  <c r="BX10" i="28"/>
  <c r="BX25" i="28" s="1"/>
  <c r="BW10" i="28"/>
  <c r="BW25" i="28" s="1"/>
  <c r="BV10" i="28"/>
  <c r="BV25" i="28" s="1"/>
  <c r="BS10" i="28"/>
  <c r="BR10" i="28"/>
  <c r="BQ10" i="28"/>
  <c r="BP10" i="28"/>
  <c r="BO10" i="28"/>
  <c r="BN10" i="28"/>
  <c r="BM10" i="28"/>
  <c r="BL10" i="28"/>
  <c r="BK10" i="28"/>
  <c r="BJ10" i="28"/>
  <c r="BI10" i="28"/>
  <c r="BH10" i="28"/>
  <c r="BE10" i="28"/>
  <c r="BD10" i="28"/>
  <c r="BC10" i="28"/>
  <c r="BB10" i="28"/>
  <c r="BA10" i="28"/>
  <c r="AZ10" i="28"/>
  <c r="AY10" i="28"/>
  <c r="AX10" i="28"/>
  <c r="AW10" i="28"/>
  <c r="AV10" i="28"/>
  <c r="AU10" i="28"/>
  <c r="AT10" i="28"/>
  <c r="AQ10" i="28"/>
  <c r="AP10" i="28"/>
  <c r="AO10" i="28"/>
  <c r="AN10" i="28"/>
  <c r="AM10" i="28"/>
  <c r="AL10" i="28"/>
  <c r="AK10" i="28"/>
  <c r="AJ10" i="28"/>
  <c r="AI10" i="28"/>
  <c r="AH10" i="28"/>
  <c r="AG10" i="28"/>
  <c r="AF10" i="28"/>
  <c r="AC10" i="28"/>
  <c r="AB10" i="28"/>
  <c r="AA10" i="28"/>
  <c r="Z10" i="28"/>
  <c r="Y10" i="28"/>
  <c r="X10" i="28"/>
  <c r="W10" i="28"/>
  <c r="V10" i="28"/>
  <c r="U10" i="28"/>
  <c r="T10" i="28"/>
  <c r="S10" i="28"/>
  <c r="R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DI7" i="28"/>
  <c r="DI71" i="28" s="1"/>
  <c r="DH7" i="28"/>
  <c r="DH71" i="28" s="1"/>
  <c r="DG7" i="28"/>
  <c r="DG71" i="28" s="1"/>
  <c r="DF7" i="28"/>
  <c r="DF71" i="28" s="1"/>
  <c r="DE7" i="28"/>
  <c r="DE71" i="28" s="1"/>
  <c r="DD7" i="28"/>
  <c r="DD71" i="28" s="1"/>
  <c r="DC7" i="28"/>
  <c r="DB7" i="28"/>
  <c r="DA7" i="28"/>
  <c r="CZ7" i="28"/>
  <c r="CY7" i="28"/>
  <c r="CX7" i="28"/>
  <c r="CU7" i="28"/>
  <c r="CU71" i="28" s="1"/>
  <c r="CT7" i="28"/>
  <c r="CT71" i="28" s="1"/>
  <c r="CS7" i="28"/>
  <c r="CS71" i="28" s="1"/>
  <c r="CR7" i="28"/>
  <c r="CR71" i="28" s="1"/>
  <c r="CQ7" i="28"/>
  <c r="CQ71" i="28" s="1"/>
  <c r="CP7" i="28"/>
  <c r="CP71" i="28" s="1"/>
  <c r="CO7" i="28"/>
  <c r="CN7" i="28"/>
  <c r="CM7" i="28"/>
  <c r="CK7" i="28"/>
  <c r="CJ7" i="28"/>
  <c r="CG7" i="28"/>
  <c r="CF7" i="28"/>
  <c r="CE7" i="28"/>
  <c r="CD7" i="28"/>
  <c r="CC7" i="28"/>
  <c r="CB7" i="28"/>
  <c r="CA7" i="28"/>
  <c r="BZ7" i="28"/>
  <c r="BY7" i="28"/>
  <c r="C7" i="28"/>
  <c r="C6" i="28"/>
  <c r="C5" i="28"/>
  <c r="C4" i="28"/>
  <c r="C3" i="28"/>
  <c r="CK61" i="22"/>
  <c r="CL61" i="22"/>
  <c r="CM61" i="22"/>
  <c r="CM55" i="22"/>
  <c r="K82" i="27"/>
  <c r="J82" i="27"/>
  <c r="I82" i="27"/>
  <c r="H82" i="27"/>
  <c r="G82" i="27"/>
  <c r="F82" i="27"/>
  <c r="E82" i="27"/>
  <c r="D82" i="27"/>
  <c r="P82" i="27" s="1"/>
  <c r="BT80" i="27"/>
  <c r="BF80" i="27"/>
  <c r="AL80" i="27"/>
  <c r="AK80" i="27"/>
  <c r="AJ80" i="27"/>
  <c r="AI80" i="27"/>
  <c r="AH80" i="27"/>
  <c r="AG80" i="27"/>
  <c r="AF80" i="27"/>
  <c r="AR80" i="27" s="1"/>
  <c r="BT79" i="27"/>
  <c r="BB79" i="27"/>
  <c r="BF79" i="27" s="1"/>
  <c r="AR79" i="27"/>
  <c r="CG78" i="27"/>
  <c r="CD78" i="27"/>
  <c r="CC78" i="27"/>
  <c r="CB78" i="27"/>
  <c r="BQ78" i="27"/>
  <c r="BQ81" i="27" s="1"/>
  <c r="BP78" i="27"/>
  <c r="BO78" i="27"/>
  <c r="BN78" i="27"/>
  <c r="BM78" i="27"/>
  <c r="BL78" i="27"/>
  <c r="BK78" i="27"/>
  <c r="BJ78" i="27"/>
  <c r="BI78" i="27"/>
  <c r="BH78" i="27"/>
  <c r="BE78" i="27"/>
  <c r="BE81" i="27" s="1"/>
  <c r="BD78" i="27"/>
  <c r="BD81" i="27" s="1"/>
  <c r="BC78" i="27"/>
  <c r="BB78" i="27"/>
  <c r="BA78" i="27"/>
  <c r="AZ78" i="27"/>
  <c r="AY78" i="27"/>
  <c r="AX78" i="27"/>
  <c r="AW78" i="27"/>
  <c r="AV78" i="27"/>
  <c r="AU78" i="27"/>
  <c r="AT78" i="27"/>
  <c r="AQ78" i="27"/>
  <c r="AP78" i="27"/>
  <c r="AO78" i="27"/>
  <c r="AN78" i="27"/>
  <c r="AM78" i="27"/>
  <c r="AD78" i="27"/>
  <c r="P78" i="27"/>
  <c r="CN76" i="27"/>
  <c r="BE76" i="27"/>
  <c r="BD76" i="27"/>
  <c r="DC75" i="27"/>
  <c r="DB75" i="27"/>
  <c r="DA75" i="27"/>
  <c r="CZ75" i="27"/>
  <c r="CY75" i="27"/>
  <c r="CX75" i="27"/>
  <c r="CO75" i="27"/>
  <c r="CN75" i="27"/>
  <c r="CM75" i="27"/>
  <c r="CL75" i="27"/>
  <c r="CK75" i="27"/>
  <c r="CJ75" i="27"/>
  <c r="BS75" i="27"/>
  <c r="BT75" i="27" s="1"/>
  <c r="BF75" i="27"/>
  <c r="AR75" i="27"/>
  <c r="CL74" i="27"/>
  <c r="BX74" i="27"/>
  <c r="BW74" i="27"/>
  <c r="BV74" i="27"/>
  <c r="BT74" i="27"/>
  <c r="BF74" i="27"/>
  <c r="AR74" i="27"/>
  <c r="CR73" i="27"/>
  <c r="CS73" i="27" s="1"/>
  <c r="CT73" i="27" s="1"/>
  <c r="CU73" i="27" s="1"/>
  <c r="CX73" i="27" s="1"/>
  <c r="CY73" i="27" s="1"/>
  <c r="CZ73" i="27" s="1"/>
  <c r="DA73" i="27" s="1"/>
  <c r="DB73" i="27" s="1"/>
  <c r="DC73" i="27" s="1"/>
  <c r="DD73" i="27" s="1"/>
  <c r="DE73" i="27" s="1"/>
  <c r="DF73" i="27" s="1"/>
  <c r="DG73" i="27" s="1"/>
  <c r="DH73" i="27" s="1"/>
  <c r="DI73" i="27" s="1"/>
  <c r="CC73" i="27"/>
  <c r="BS73" i="27"/>
  <c r="BO73" i="27"/>
  <c r="BN73" i="27"/>
  <c r="BM73" i="27"/>
  <c r="BL73" i="27"/>
  <c r="BK73" i="27"/>
  <c r="BJ73" i="27"/>
  <c r="BI73" i="27"/>
  <c r="BH73" i="27"/>
  <c r="BE73" i="27"/>
  <c r="BD73" i="27"/>
  <c r="BA73" i="27"/>
  <c r="AL73" i="27"/>
  <c r="AK73" i="27"/>
  <c r="AJ73" i="27"/>
  <c r="AI73" i="27"/>
  <c r="AH73" i="27"/>
  <c r="AG73" i="27"/>
  <c r="AF73" i="27"/>
  <c r="AR73" i="27" s="1"/>
  <c r="AC73" i="27"/>
  <c r="AB73" i="27"/>
  <c r="AA73" i="27"/>
  <c r="Z73" i="27"/>
  <c r="Y73" i="27"/>
  <c r="X73" i="27"/>
  <c r="W73" i="27"/>
  <c r="V73" i="27"/>
  <c r="U73" i="27"/>
  <c r="T73" i="27"/>
  <c r="S73" i="27"/>
  <c r="R73" i="27"/>
  <c r="BX72" i="27"/>
  <c r="BW72" i="27"/>
  <c r="BV72" i="27"/>
  <c r="BR72" i="27"/>
  <c r="BR73" i="27" s="1"/>
  <c r="BQ72" i="27"/>
  <c r="BQ73" i="27" s="1"/>
  <c r="BP72" i="27"/>
  <c r="BC72" i="27"/>
  <c r="BB72" i="27"/>
  <c r="AY72" i="27"/>
  <c r="AX72" i="27"/>
  <c r="AW72" i="27"/>
  <c r="AV72" i="27"/>
  <c r="AU72" i="27"/>
  <c r="AU73" i="27" s="1"/>
  <c r="BF73" i="27" s="1"/>
  <c r="AT72" i="27"/>
  <c r="BF72" i="27" s="1"/>
  <c r="AQ72" i="27"/>
  <c r="AP72" i="27"/>
  <c r="AO72" i="27"/>
  <c r="AN72" i="27"/>
  <c r="AM72" i="27"/>
  <c r="AR72" i="27" s="1"/>
  <c r="P72" i="27"/>
  <c r="CL71" i="27"/>
  <c r="BX71" i="27"/>
  <c r="BX75" i="27" s="1"/>
  <c r="BW71" i="27"/>
  <c r="BW75" i="27" s="1"/>
  <c r="BV71" i="27"/>
  <c r="BS71" i="27"/>
  <c r="BP71" i="27"/>
  <c r="BO71" i="27"/>
  <c r="BN71" i="27"/>
  <c r="BM71" i="27"/>
  <c r="BL71" i="27"/>
  <c r="BK71" i="27"/>
  <c r="BJ71" i="27"/>
  <c r="BI71" i="27"/>
  <c r="BH71" i="27"/>
  <c r="BC71" i="27"/>
  <c r="BB71" i="27"/>
  <c r="BA71" i="27"/>
  <c r="AZ71" i="27"/>
  <c r="AY71" i="27"/>
  <c r="AX71" i="27"/>
  <c r="AW71" i="27"/>
  <c r="AV71" i="27"/>
  <c r="AU71" i="27"/>
  <c r="AT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D71" i="27"/>
  <c r="P71" i="27"/>
  <c r="CR69" i="27"/>
  <c r="CQ69" i="27"/>
  <c r="CP69" i="27"/>
  <c r="CO69" i="27"/>
  <c r="CN69" i="27"/>
  <c r="CM69" i="27"/>
  <c r="CL69" i="27"/>
  <c r="CK69" i="27"/>
  <c r="CH69" i="27"/>
  <c r="CV69" i="27" s="1"/>
  <c r="AQ67" i="27"/>
  <c r="AP67" i="27"/>
  <c r="AO67" i="27"/>
  <c r="AN67" i="27"/>
  <c r="AM67" i="27"/>
  <c r="AL67" i="27"/>
  <c r="AK67" i="27"/>
  <c r="AJ67" i="27"/>
  <c r="AI67" i="27"/>
  <c r="AH67" i="27"/>
  <c r="AG67" i="27"/>
  <c r="AF67" i="27"/>
  <c r="AR67" i="27" s="1"/>
  <c r="CG66" i="27"/>
  <c r="CF66" i="27"/>
  <c r="CE66" i="27"/>
  <c r="CD66" i="27"/>
  <c r="CC66" i="27"/>
  <c r="CB66" i="27"/>
  <c r="CU65" i="27"/>
  <c r="CT65" i="27"/>
  <c r="CS65" i="27"/>
  <c r="CR65" i="27"/>
  <c r="CQ65" i="27"/>
  <c r="CP65" i="27"/>
  <c r="CO65" i="27"/>
  <c r="CN65" i="27"/>
  <c r="CM65" i="27"/>
  <c r="CL65" i="27"/>
  <c r="CK65" i="27"/>
  <c r="CJ65" i="27"/>
  <c r="CV65" i="27" s="1"/>
  <c r="CH65" i="27"/>
  <c r="BQ65" i="27"/>
  <c r="BP65" i="27"/>
  <c r="BO65" i="27"/>
  <c r="BN65" i="27"/>
  <c r="BM65" i="27"/>
  <c r="BL65" i="27"/>
  <c r="BK65" i="27"/>
  <c r="BJ65" i="27"/>
  <c r="BI65" i="27"/>
  <c r="BH65" i="27"/>
  <c r="BT65" i="27" s="1"/>
  <c r="CH64" i="27"/>
  <c r="BT64" i="27"/>
  <c r="BB64" i="27"/>
  <c r="AR64" i="27"/>
  <c r="CH63" i="27"/>
  <c r="BQ63" i="27"/>
  <c r="AM63" i="27"/>
  <c r="AL63" i="27"/>
  <c r="AK63" i="27"/>
  <c r="AJ63" i="27"/>
  <c r="AI63" i="27"/>
  <c r="AH63" i="27"/>
  <c r="AG63" i="27"/>
  <c r="AF63" i="27"/>
  <c r="CH62" i="27"/>
  <c r="BT62" i="27"/>
  <c r="BF62" i="27"/>
  <c r="AR62" i="27"/>
  <c r="CJ61" i="27"/>
  <c r="BQ61" i="27"/>
  <c r="BP61" i="27"/>
  <c r="BO61" i="27"/>
  <c r="BN61" i="27"/>
  <c r="BM61" i="27"/>
  <c r="BL61" i="27"/>
  <c r="BK61" i="27"/>
  <c r="BJ61" i="27"/>
  <c r="BI61" i="27"/>
  <c r="BH61" i="27"/>
  <c r="BE61" i="27"/>
  <c r="BD61" i="27"/>
  <c r="BC61" i="27"/>
  <c r="BB61" i="27"/>
  <c r="BA61" i="27"/>
  <c r="AZ61" i="27"/>
  <c r="AY61" i="27"/>
  <c r="AX61" i="27"/>
  <c r="AW61" i="27"/>
  <c r="AV61" i="27"/>
  <c r="AU61" i="27"/>
  <c r="AT61" i="27"/>
  <c r="AQ61" i="27"/>
  <c r="AP61" i="27"/>
  <c r="AO61" i="27"/>
  <c r="AN61" i="27"/>
  <c r="AM61" i="27"/>
  <c r="AL61" i="27"/>
  <c r="AK61" i="27"/>
  <c r="AJ61" i="27"/>
  <c r="AI61" i="27"/>
  <c r="AH61" i="27"/>
  <c r="AG61" i="27"/>
  <c r="AF61" i="27"/>
  <c r="BF60" i="27"/>
  <c r="AR60" i="27"/>
  <c r="AD60" i="27"/>
  <c r="P60" i="27"/>
  <c r="BN59" i="27"/>
  <c r="BM59" i="27"/>
  <c r="BL59" i="27"/>
  <c r="BK59" i="27"/>
  <c r="BJ59" i="27"/>
  <c r="BI59" i="27"/>
  <c r="BH59" i="27"/>
  <c r="BA59" i="27"/>
  <c r="AZ59" i="27"/>
  <c r="AY59" i="27"/>
  <c r="AX59" i="27"/>
  <c r="AW59" i="27"/>
  <c r="AV59" i="27"/>
  <c r="AU59" i="27"/>
  <c r="AT59" i="27"/>
  <c r="BT58" i="27"/>
  <c r="BB58" i="27"/>
  <c r="AR58" i="27"/>
  <c r="BQ57" i="27"/>
  <c r="BQ59" i="27" s="1"/>
  <c r="BP57" i="27"/>
  <c r="BP59" i="27" s="1"/>
  <c r="BO57" i="27"/>
  <c r="BE57" i="27"/>
  <c r="BE59" i="27" s="1"/>
  <c r="BD57" i="27"/>
  <c r="BD59" i="27" s="1"/>
  <c r="BC57" i="27"/>
  <c r="BC59" i="27" s="1"/>
  <c r="BB57" i="27"/>
  <c r="BF57" i="27" s="1"/>
  <c r="CV56" i="27"/>
  <c r="BN56" i="27"/>
  <c r="BM56" i="27"/>
  <c r="BL56" i="27"/>
  <c r="BK56" i="27"/>
  <c r="BJ56" i="27"/>
  <c r="BI56" i="27"/>
  <c r="BH56" i="27"/>
  <c r="BT56" i="27" s="1"/>
  <c r="CU55" i="27"/>
  <c r="CT55" i="27"/>
  <c r="CS55" i="27"/>
  <c r="CR55" i="27"/>
  <c r="CQ55" i="27"/>
  <c r="CP55" i="27"/>
  <c r="CO55" i="27"/>
  <c r="CN55" i="27"/>
  <c r="CM55" i="27"/>
  <c r="CL55" i="27"/>
  <c r="CK55" i="27"/>
  <c r="CJ55" i="27"/>
  <c r="CV55" i="27" s="1"/>
  <c r="CW55" i="27" s="1"/>
  <c r="BT55" i="27"/>
  <c r="BE55" i="27"/>
  <c r="BE65" i="27" s="1"/>
  <c r="BD55" i="27"/>
  <c r="BD65" i="27" s="1"/>
  <c r="BC55" i="27"/>
  <c r="BC65" i="27" s="1"/>
  <c r="BB55" i="27"/>
  <c r="BB56" i="27" s="1"/>
  <c r="BA55" i="27"/>
  <c r="AZ55" i="27"/>
  <c r="AZ65" i="27" s="1"/>
  <c r="AY55" i="27"/>
  <c r="AY65" i="27" s="1"/>
  <c r="AX55" i="27"/>
  <c r="AX65" i="27" s="1"/>
  <c r="AW55" i="27"/>
  <c r="AW65" i="27" s="1"/>
  <c r="AV55" i="27"/>
  <c r="AV65" i="27" s="1"/>
  <c r="AU55" i="27"/>
  <c r="AU65" i="27" s="1"/>
  <c r="AT55" i="27"/>
  <c r="AQ55" i="27"/>
  <c r="AP55" i="27"/>
  <c r="AO55" i="27"/>
  <c r="AO65" i="27" s="1"/>
  <c r="AN55" i="27"/>
  <c r="AN65" i="27" s="1"/>
  <c r="AM55" i="27"/>
  <c r="AM65" i="27" s="1"/>
  <c r="AL55" i="27"/>
  <c r="AK55" i="27"/>
  <c r="AK65" i="27" s="1"/>
  <c r="AJ55" i="27"/>
  <c r="AJ65" i="27" s="1"/>
  <c r="AI55" i="27"/>
  <c r="AI65" i="27" s="1"/>
  <c r="AG55" i="27"/>
  <c r="AG65" i="27" s="1"/>
  <c r="AF55" i="27"/>
  <c r="AC55" i="27"/>
  <c r="AB55" i="27"/>
  <c r="AA55" i="27"/>
  <c r="Z55" i="27"/>
  <c r="Y55" i="27"/>
  <c r="X55" i="27"/>
  <c r="W55" i="27"/>
  <c r="R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P55" i="27" s="1"/>
  <c r="CU54" i="27"/>
  <c r="CT54" i="27"/>
  <c r="CS54" i="27"/>
  <c r="CR54" i="27"/>
  <c r="CQ54" i="27"/>
  <c r="CP54" i="27"/>
  <c r="CO54" i="27"/>
  <c r="CN54" i="27"/>
  <c r="CM54" i="27"/>
  <c r="CL54" i="27"/>
  <c r="CK54" i="27"/>
  <c r="CJ54" i="27"/>
  <c r="BT54" i="27"/>
  <c r="BF54" i="27"/>
  <c r="AR54" i="27"/>
  <c r="AD54" i="27"/>
  <c r="P54" i="27"/>
  <c r="CU53" i="27"/>
  <c r="CT53" i="27"/>
  <c r="CS53" i="27"/>
  <c r="CR53" i="27"/>
  <c r="CQ53" i="27"/>
  <c r="CP53" i="27"/>
  <c r="CO53" i="27"/>
  <c r="CN53" i="27"/>
  <c r="CM53" i="27"/>
  <c r="CL53" i="27"/>
  <c r="CK53" i="27"/>
  <c r="CJ53" i="27"/>
  <c r="BF53" i="27"/>
  <c r="BF52" i="27"/>
  <c r="AR52" i="27"/>
  <c r="BF51" i="27"/>
  <c r="AR51" i="27"/>
  <c r="BF50" i="27"/>
  <c r="AR50" i="27"/>
  <c r="CG49" i="27"/>
  <c r="CF49" i="27"/>
  <c r="CE49" i="27"/>
  <c r="CD49" i="27"/>
  <c r="CC49" i="27"/>
  <c r="CB49" i="27"/>
  <c r="CA49" i="27"/>
  <c r="BZ49" i="27"/>
  <c r="BY49" i="27"/>
  <c r="BX49" i="27"/>
  <c r="BW49" i="27"/>
  <c r="BW55" i="27" s="1"/>
  <c r="BV49" i="27"/>
  <c r="BT49" i="27"/>
  <c r="BF49" i="27"/>
  <c r="AH49" i="27"/>
  <c r="AR49" i="27" s="1"/>
  <c r="BF48" i="27"/>
  <c r="AH48" i="27"/>
  <c r="AR48" i="27" s="1"/>
  <c r="AD48" i="27"/>
  <c r="BF47" i="27"/>
  <c r="AH47" i="27"/>
  <c r="AR47" i="27" s="1"/>
  <c r="AD47" i="27"/>
  <c r="BF46" i="27"/>
  <c r="AH46" i="27"/>
  <c r="AR46" i="27" s="1"/>
  <c r="AD46" i="27"/>
  <c r="P46" i="27"/>
  <c r="BF45" i="27"/>
  <c r="AH45" i="27"/>
  <c r="AR45" i="27" s="1"/>
  <c r="AD45" i="27"/>
  <c r="P45" i="27"/>
  <c r="BF44" i="27"/>
  <c r="AH44" i="27"/>
  <c r="AR44" i="27" s="1"/>
  <c r="AD44" i="27"/>
  <c r="P44" i="27"/>
  <c r="BF43" i="27"/>
  <c r="AH43" i="27"/>
  <c r="AD43" i="27"/>
  <c r="P43" i="27"/>
  <c r="BF42" i="27"/>
  <c r="AR42" i="27"/>
  <c r="U42" i="27"/>
  <c r="T42" i="27"/>
  <c r="AD42" i="27" s="1"/>
  <c r="P42" i="27"/>
  <c r="BF41" i="27"/>
  <c r="AR41" i="27"/>
  <c r="T41" i="27"/>
  <c r="AD41" i="27" s="1"/>
  <c r="P41" i="27"/>
  <c r="BF40" i="27"/>
  <c r="AR40" i="27"/>
  <c r="U40" i="27"/>
  <c r="T40" i="27"/>
  <c r="S40" i="27"/>
  <c r="AD40" i="27" s="1"/>
  <c r="P40" i="27"/>
  <c r="BF39" i="27"/>
  <c r="AR39" i="27"/>
  <c r="AD39" i="27"/>
  <c r="P39" i="27"/>
  <c r="BF38" i="27"/>
  <c r="AR38" i="27"/>
  <c r="V38" i="27"/>
  <c r="V55" i="27" s="1"/>
  <c r="U38" i="27"/>
  <c r="AD38" i="27" s="1"/>
  <c r="P38" i="27"/>
  <c r="BF37" i="27"/>
  <c r="AR37" i="27"/>
  <c r="T37" i="27"/>
  <c r="S37" i="27"/>
  <c r="P37" i="27"/>
  <c r="BF36" i="27"/>
  <c r="AR36" i="27"/>
  <c r="AD36" i="27"/>
  <c r="P36" i="27"/>
  <c r="BF35" i="27"/>
  <c r="AR35" i="27"/>
  <c r="U35" i="27"/>
  <c r="T35" i="27"/>
  <c r="AD35" i="27" s="1"/>
  <c r="P35" i="27"/>
  <c r="BF34" i="27"/>
  <c r="AR34" i="27"/>
  <c r="U34" i="27"/>
  <c r="U55" i="27" s="1"/>
  <c r="T34" i="27"/>
  <c r="P34" i="27"/>
  <c r="CU32" i="27"/>
  <c r="CT32" i="27"/>
  <c r="CS32" i="27"/>
  <c r="CR32" i="27"/>
  <c r="CQ32" i="27"/>
  <c r="CP32" i="27"/>
  <c r="CO32" i="27"/>
  <c r="CN32" i="27"/>
  <c r="CM32" i="27"/>
  <c r="CL32" i="27"/>
  <c r="CK32" i="27"/>
  <c r="CJ32" i="27"/>
  <c r="CV32" i="27" s="1"/>
  <c r="CT31" i="27"/>
  <c r="CS31" i="27"/>
  <c r="CR31" i="27"/>
  <c r="CQ31" i="27"/>
  <c r="CP31" i="27"/>
  <c r="CO31" i="27"/>
  <c r="CN31" i="27"/>
  <c r="CM31" i="27"/>
  <c r="CL31" i="27"/>
  <c r="CK31" i="27"/>
  <c r="CJ31" i="27"/>
  <c r="CI31" i="27"/>
  <c r="CG31" i="27"/>
  <c r="CF31" i="27"/>
  <c r="CF57" i="27" s="1"/>
  <c r="CE31" i="27"/>
  <c r="CD31" i="27"/>
  <c r="CC31" i="27"/>
  <c r="CB31" i="27"/>
  <c r="CB57" i="27" s="1"/>
  <c r="CA31" i="27"/>
  <c r="CA57" i="27" s="1"/>
  <c r="BZ31" i="27"/>
  <c r="BZ57" i="27" s="1"/>
  <c r="BY31" i="27"/>
  <c r="BY57" i="27" s="1"/>
  <c r="BX31" i="27"/>
  <c r="BX57" i="27" s="1"/>
  <c r="BW31" i="27"/>
  <c r="BW57" i="27" s="1"/>
  <c r="BV31" i="27"/>
  <c r="BV57" i="27" s="1"/>
  <c r="BS31" i="27"/>
  <c r="BR31" i="27"/>
  <c r="BQ31" i="27"/>
  <c r="BE31" i="27"/>
  <c r="BE63" i="27" s="1"/>
  <c r="BD31" i="27"/>
  <c r="BD63" i="27" s="1"/>
  <c r="BC31" i="27"/>
  <c r="BC63" i="27" s="1"/>
  <c r="BB31" i="27"/>
  <c r="BB63" i="27" s="1"/>
  <c r="BA31" i="27"/>
  <c r="BA63" i="27" s="1"/>
  <c r="AZ31" i="27"/>
  <c r="AZ63" i="27" s="1"/>
  <c r="AY31" i="27"/>
  <c r="AY63" i="27" s="1"/>
  <c r="AX31" i="27"/>
  <c r="AX63" i="27" s="1"/>
  <c r="AW31" i="27"/>
  <c r="AW63" i="27" s="1"/>
  <c r="AV31" i="27"/>
  <c r="AV63" i="27" s="1"/>
  <c r="AU31" i="27"/>
  <c r="AU63" i="27" s="1"/>
  <c r="AT31" i="27"/>
  <c r="U31" i="27"/>
  <c r="AD31" i="27" s="1"/>
  <c r="P31" i="27"/>
  <c r="CK30" i="27"/>
  <c r="CL30" i="27" s="1"/>
  <c r="CM30" i="27" s="1"/>
  <c r="CN30" i="27" s="1"/>
  <c r="CO30" i="27" s="1"/>
  <c r="CP30" i="27" s="1"/>
  <c r="CQ30" i="27" s="1"/>
  <c r="CR30" i="27" s="1"/>
  <c r="CS30" i="27" s="1"/>
  <c r="CT30" i="27" s="1"/>
  <c r="CU30" i="27" s="1"/>
  <c r="CV30" i="27" s="1"/>
  <c r="AQ30" i="27"/>
  <c r="AQ31" i="27" s="1"/>
  <c r="AQ63" i="27" s="1"/>
  <c r="AP30" i="27"/>
  <c r="AP31" i="27" s="1"/>
  <c r="AP63" i="27" s="1"/>
  <c r="AO30" i="27"/>
  <c r="AO31" i="27" s="1"/>
  <c r="AO63" i="27" s="1"/>
  <c r="AN30" i="27"/>
  <c r="AN31" i="27" s="1"/>
  <c r="CU29" i="27"/>
  <c r="CS29" i="27"/>
  <c r="CR29" i="27"/>
  <c r="CQ29" i="27"/>
  <c r="CP29" i="27"/>
  <c r="CO29" i="27"/>
  <c r="CN29" i="27"/>
  <c r="CM29" i="27"/>
  <c r="CL29" i="27"/>
  <c r="CK29" i="27"/>
  <c r="CJ29" i="27"/>
  <c r="CG29" i="27"/>
  <c r="CF29" i="27"/>
  <c r="CE29" i="27"/>
  <c r="CD29" i="27"/>
  <c r="CC29" i="27"/>
  <c r="CB29" i="27"/>
  <c r="CA29" i="27"/>
  <c r="BZ29" i="27"/>
  <c r="BY29" i="27"/>
  <c r="BX29" i="27"/>
  <c r="BW29" i="27"/>
  <c r="BV29" i="27"/>
  <c r="CH29" i="27" s="1"/>
  <c r="BQ29" i="27"/>
  <c r="BT29" i="27" s="1"/>
  <c r="BF29" i="27"/>
  <c r="CW28" i="27"/>
  <c r="BW28" i="27"/>
  <c r="BP28" i="27"/>
  <c r="BO28" i="27"/>
  <c r="BN28" i="27"/>
  <c r="BM28" i="27"/>
  <c r="BL28" i="27"/>
  <c r="BK28" i="27"/>
  <c r="BJ28" i="27"/>
  <c r="BI28" i="27"/>
  <c r="BH28" i="27"/>
  <c r="BE28" i="27"/>
  <c r="BD28" i="27"/>
  <c r="BC28" i="27"/>
  <c r="BB28" i="27"/>
  <c r="AZ28" i="27"/>
  <c r="AY28" i="27"/>
  <c r="CU27" i="27"/>
  <c r="CV27" i="27" s="1"/>
  <c r="CT27" i="27"/>
  <c r="CS27" i="27"/>
  <c r="CR27" i="27"/>
  <c r="CQ27" i="27"/>
  <c r="CP27" i="27"/>
  <c r="CO27" i="27"/>
  <c r="CN27" i="27"/>
  <c r="CM27" i="27"/>
  <c r="CL27" i="27"/>
  <c r="CK27" i="27"/>
  <c r="CJ27" i="27"/>
  <c r="CG27" i="27"/>
  <c r="CG70" i="27" s="1"/>
  <c r="CF27" i="27"/>
  <c r="CF70" i="27" s="1"/>
  <c r="CB27" i="27"/>
  <c r="CB70" i="27" s="1"/>
  <c r="CA27" i="27"/>
  <c r="CA70" i="27" s="1"/>
  <c r="BZ27" i="27"/>
  <c r="BZ70" i="27" s="1"/>
  <c r="BY27" i="27"/>
  <c r="BY70" i="27" s="1"/>
  <c r="BX27" i="27"/>
  <c r="BX70" i="27" s="1"/>
  <c r="BW27" i="27"/>
  <c r="BW70" i="27" s="1"/>
  <c r="BV27" i="27"/>
  <c r="BR27" i="27"/>
  <c r="BS57" i="27" s="1"/>
  <c r="CG57" i="27" s="1"/>
  <c r="BQ27" i="27"/>
  <c r="BQ82" i="27" s="1"/>
  <c r="BP27" i="27"/>
  <c r="BO27" i="27"/>
  <c r="BN27" i="27"/>
  <c r="BM27" i="27"/>
  <c r="BL27" i="27"/>
  <c r="BK27" i="27"/>
  <c r="BJ27" i="27"/>
  <c r="BI27" i="27"/>
  <c r="BH27" i="27"/>
  <c r="BT27" i="27" s="1"/>
  <c r="BE27" i="27"/>
  <c r="BE82" i="27" s="1"/>
  <c r="BD27" i="27"/>
  <c r="BD82" i="27" s="1"/>
  <c r="BC27" i="27"/>
  <c r="BB27" i="27"/>
  <c r="BA27" i="27"/>
  <c r="AZ27" i="27"/>
  <c r="AY27" i="27"/>
  <c r="AX27" i="27"/>
  <c r="AW27" i="27"/>
  <c r="AV27" i="27"/>
  <c r="AU27" i="27"/>
  <c r="AT27" i="27"/>
  <c r="BF27" i="27" s="1"/>
  <c r="AQ27" i="27"/>
  <c r="AP27" i="27"/>
  <c r="AO27" i="27"/>
  <c r="AN27" i="27"/>
  <c r="AM27" i="27"/>
  <c r="AL27" i="27"/>
  <c r="AK27" i="27"/>
  <c r="AJ27" i="27"/>
  <c r="AI27" i="27"/>
  <c r="AG27" i="27"/>
  <c r="AF27" i="27"/>
  <c r="AC27" i="27"/>
  <c r="AC82" i="27" s="1"/>
  <c r="AB27" i="27"/>
  <c r="AB82" i="27" s="1"/>
  <c r="AA27" i="27"/>
  <c r="AA82" i="27" s="1"/>
  <c r="Z27" i="27"/>
  <c r="Z82" i="27" s="1"/>
  <c r="Y27" i="27"/>
  <c r="Y82" i="27" s="1"/>
  <c r="X27" i="27"/>
  <c r="X82" i="27" s="1"/>
  <c r="W27" i="27"/>
  <c r="W82" i="27" s="1"/>
  <c r="V27" i="27"/>
  <c r="V82" i="27" s="1"/>
  <c r="U27" i="27"/>
  <c r="U82" i="27" s="1"/>
  <c r="R27" i="27"/>
  <c r="P27" i="27"/>
  <c r="O27" i="27"/>
  <c r="O82" i="27" s="1"/>
  <c r="N27" i="27"/>
  <c r="N82" i="27" s="1"/>
  <c r="M27" i="27"/>
  <c r="M82" i="27" s="1"/>
  <c r="L27" i="27"/>
  <c r="L82" i="27" s="1"/>
  <c r="K27" i="27"/>
  <c r="J27" i="27"/>
  <c r="I27" i="27"/>
  <c r="H27" i="27"/>
  <c r="G27" i="27"/>
  <c r="F27" i="27"/>
  <c r="E27" i="27"/>
  <c r="D27" i="27"/>
  <c r="BG24" i="27"/>
  <c r="CG23" i="27"/>
  <c r="CF23" i="27"/>
  <c r="CF24" i="27" s="1"/>
  <c r="CE23" i="27"/>
  <c r="CE24" i="27" s="1"/>
  <c r="CD23" i="27"/>
  <c r="CD24" i="27" s="1"/>
  <c r="CC23" i="27"/>
  <c r="CC24" i="27" s="1"/>
  <c r="CB23" i="27"/>
  <c r="CB24" i="27" s="1"/>
  <c r="CA23" i="27"/>
  <c r="CA24" i="27" s="1"/>
  <c r="BZ23" i="27"/>
  <c r="BZ24" i="27" s="1"/>
  <c r="BY23" i="27"/>
  <c r="BY24" i="27" s="1"/>
  <c r="BX23" i="27"/>
  <c r="BX24" i="27" s="1"/>
  <c r="BW23" i="27"/>
  <c r="BW24" i="27" s="1"/>
  <c r="BV23" i="27"/>
  <c r="BV24" i="27" s="1"/>
  <c r="BS23" i="27"/>
  <c r="BR23" i="27"/>
  <c r="BR24" i="27" s="1"/>
  <c r="BQ23" i="27"/>
  <c r="BQ24" i="27" s="1"/>
  <c r="BP23" i="27"/>
  <c r="BP24" i="27" s="1"/>
  <c r="BO23" i="27"/>
  <c r="BO24" i="27" s="1"/>
  <c r="BN23" i="27"/>
  <c r="BN24" i="27" s="1"/>
  <c r="BM23" i="27"/>
  <c r="BM24" i="27" s="1"/>
  <c r="BL23" i="27"/>
  <c r="BL24" i="27" s="1"/>
  <c r="BK23" i="27"/>
  <c r="BK24" i="27" s="1"/>
  <c r="BJ23" i="27"/>
  <c r="BJ24" i="27" s="1"/>
  <c r="BI23" i="27"/>
  <c r="BI24" i="27" s="1"/>
  <c r="BH23" i="27"/>
  <c r="BH24" i="27" s="1"/>
  <c r="BE23" i="27"/>
  <c r="BE24" i="27" s="1"/>
  <c r="BD23" i="27"/>
  <c r="BD24" i="27" s="1"/>
  <c r="BC23" i="27"/>
  <c r="BC24" i="27" s="1"/>
  <c r="BB23" i="27"/>
  <c r="BB24" i="27" s="1"/>
  <c r="BA23" i="27"/>
  <c r="BA24" i="27" s="1"/>
  <c r="AZ23" i="27"/>
  <c r="AZ24" i="27" s="1"/>
  <c r="AY23" i="27"/>
  <c r="AY24" i="27" s="1"/>
  <c r="AX23" i="27"/>
  <c r="AX24" i="27" s="1"/>
  <c r="AW23" i="27"/>
  <c r="AW24" i="27" s="1"/>
  <c r="AV23" i="27"/>
  <c r="AV24" i="27" s="1"/>
  <c r="AU23" i="27"/>
  <c r="AU24" i="27" s="1"/>
  <c r="AT23" i="27"/>
  <c r="AQ23" i="27"/>
  <c r="AP23" i="27"/>
  <c r="AP24" i="27" s="1"/>
  <c r="AO23" i="27"/>
  <c r="AO24" i="27" s="1"/>
  <c r="AN23" i="27"/>
  <c r="AN24" i="27" s="1"/>
  <c r="AM23" i="27"/>
  <c r="AM24" i="27" s="1"/>
  <c r="AL23" i="27"/>
  <c r="AL24" i="27" s="1"/>
  <c r="AK23" i="27"/>
  <c r="AK24" i="27" s="1"/>
  <c r="AJ23" i="27"/>
  <c r="AJ24" i="27" s="1"/>
  <c r="AI23" i="27"/>
  <c r="AI24" i="27" s="1"/>
  <c r="AH23" i="27"/>
  <c r="AH24" i="27" s="1"/>
  <c r="AG23" i="27"/>
  <c r="AG24" i="27" s="1"/>
  <c r="AF23" i="27"/>
  <c r="AF24" i="27" s="1"/>
  <c r="AC23" i="27"/>
  <c r="AB23" i="27"/>
  <c r="AA23" i="27"/>
  <c r="Z23" i="27"/>
  <c r="Y23" i="27"/>
  <c r="X23" i="27"/>
  <c r="AD23" i="27" s="1"/>
  <c r="W23" i="27"/>
  <c r="V23" i="27"/>
  <c r="U23" i="27"/>
  <c r="T23" i="27"/>
  <c r="S23" i="27"/>
  <c r="R23" i="27"/>
  <c r="O23" i="27"/>
  <c r="N23" i="27"/>
  <c r="M23" i="27"/>
  <c r="L23" i="27"/>
  <c r="K23" i="27"/>
  <c r="J23" i="27"/>
  <c r="P23" i="27" s="1"/>
  <c r="H23" i="27"/>
  <c r="G23" i="27"/>
  <c r="F23" i="27"/>
  <c r="E23" i="27"/>
  <c r="D23" i="27"/>
  <c r="CL22" i="27"/>
  <c r="CK22" i="27"/>
  <c r="CJ22" i="27"/>
  <c r="CG22" i="27"/>
  <c r="CF22" i="27"/>
  <c r="CE22" i="27"/>
  <c r="CD22" i="27"/>
  <c r="CC22" i="27"/>
  <c r="CB22" i="27"/>
  <c r="CA22" i="27"/>
  <c r="BZ22" i="27"/>
  <c r="BY22" i="27"/>
  <c r="BX22" i="27"/>
  <c r="BW22" i="27"/>
  <c r="BV22" i="27"/>
  <c r="CH19" i="27"/>
  <c r="BT19" i="27"/>
  <c r="BF19" i="27"/>
  <c r="AR19" i="27"/>
  <c r="CH18" i="27"/>
  <c r="BT18" i="27"/>
  <c r="BF18" i="27"/>
  <c r="AR18" i="27"/>
  <c r="CH17" i="27"/>
  <c r="BT17" i="27"/>
  <c r="BF17" i="27"/>
  <c r="AR17" i="27"/>
  <c r="CI16" i="27"/>
  <c r="CI18" i="27" s="1"/>
  <c r="CH16" i="27"/>
  <c r="BT16" i="27"/>
  <c r="BF16" i="27"/>
  <c r="AR16" i="27"/>
  <c r="U16" i="27"/>
  <c r="CH15" i="27"/>
  <c r="CH22" i="27" s="1"/>
  <c r="BT15" i="27"/>
  <c r="BF15" i="27"/>
  <c r="AR15" i="27"/>
  <c r="I15" i="27"/>
  <c r="I23" i="27" s="1"/>
  <c r="CH11" i="27"/>
  <c r="CH10" i="27"/>
  <c r="CG10" i="27"/>
  <c r="CG25" i="27" s="1"/>
  <c r="CH25" i="27" s="1"/>
  <c r="CF10" i="27"/>
  <c r="CF25" i="27" s="1"/>
  <c r="CE10" i="27"/>
  <c r="CE25" i="27" s="1"/>
  <c r="CD10" i="27"/>
  <c r="CD25" i="27" s="1"/>
  <c r="CC10" i="27"/>
  <c r="CC25" i="27" s="1"/>
  <c r="CB10" i="27"/>
  <c r="CB25" i="27" s="1"/>
  <c r="CA10" i="27"/>
  <c r="CA25" i="27" s="1"/>
  <c r="BZ10" i="27"/>
  <c r="BZ25" i="27" s="1"/>
  <c r="BY10" i="27"/>
  <c r="BY25" i="27" s="1"/>
  <c r="BX10" i="27"/>
  <c r="BX25" i="27" s="1"/>
  <c r="BW10" i="27"/>
  <c r="BW25" i="27" s="1"/>
  <c r="BV10" i="27"/>
  <c r="BV25" i="27" s="1"/>
  <c r="BS10" i="27"/>
  <c r="BR10" i="27"/>
  <c r="BQ10" i="27"/>
  <c r="BP10" i="27"/>
  <c r="BO10" i="27"/>
  <c r="BN10" i="27"/>
  <c r="BM10" i="27"/>
  <c r="BL10" i="27"/>
  <c r="BK10" i="27"/>
  <c r="BJ10" i="27"/>
  <c r="BI10" i="27"/>
  <c r="BH10" i="27"/>
  <c r="BE10" i="27"/>
  <c r="BD10" i="27"/>
  <c r="BC10" i="27"/>
  <c r="BB10" i="27"/>
  <c r="BA10" i="27"/>
  <c r="AZ10" i="27"/>
  <c r="AY10" i="27"/>
  <c r="AX10" i="27"/>
  <c r="AW10" i="27"/>
  <c r="AV10" i="27"/>
  <c r="AU10" i="27"/>
  <c r="AT10" i="27"/>
  <c r="AQ10" i="27"/>
  <c r="AP10" i="27"/>
  <c r="AO10" i="27"/>
  <c r="AN10" i="27"/>
  <c r="AM10" i="27"/>
  <c r="AL10" i="27"/>
  <c r="AK10" i="27"/>
  <c r="AJ10" i="27"/>
  <c r="AI10" i="27"/>
  <c r="AH10" i="27"/>
  <c r="AG10" i="27"/>
  <c r="AF10" i="27"/>
  <c r="AC10" i="27"/>
  <c r="AB10" i="27"/>
  <c r="AA10" i="27"/>
  <c r="Z10" i="27"/>
  <c r="Y10" i="27"/>
  <c r="X10" i="27"/>
  <c r="W10" i="27"/>
  <c r="V10" i="27"/>
  <c r="U10" i="27"/>
  <c r="T10" i="27"/>
  <c r="S10" i="27"/>
  <c r="R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DI7" i="27"/>
  <c r="DI71" i="27" s="1"/>
  <c r="DH7" i="27"/>
  <c r="DH71" i="27" s="1"/>
  <c r="DG7" i="27"/>
  <c r="DG71" i="27" s="1"/>
  <c r="DF7" i="27"/>
  <c r="DF71" i="27" s="1"/>
  <c r="DE7" i="27"/>
  <c r="DE71" i="27" s="1"/>
  <c r="DD7" i="27"/>
  <c r="DD71" i="27" s="1"/>
  <c r="DC7" i="27"/>
  <c r="DB7" i="27"/>
  <c r="DA7" i="27"/>
  <c r="CZ7" i="27"/>
  <c r="CY7" i="27"/>
  <c r="CX7" i="27"/>
  <c r="CU7" i="27"/>
  <c r="CU71" i="27" s="1"/>
  <c r="CT7" i="27"/>
  <c r="CT71" i="27" s="1"/>
  <c r="CS7" i="27"/>
  <c r="CS71" i="27" s="1"/>
  <c r="CR7" i="27"/>
  <c r="CR71" i="27" s="1"/>
  <c r="CQ7" i="27"/>
  <c r="CQ71" i="27" s="1"/>
  <c r="CP7" i="27"/>
  <c r="CP71" i="27" s="1"/>
  <c r="CO7" i="27"/>
  <c r="CN7" i="27"/>
  <c r="CM7" i="27"/>
  <c r="CK7" i="27"/>
  <c r="CJ7" i="27"/>
  <c r="CG7" i="27"/>
  <c r="CF7" i="27"/>
  <c r="CE7" i="27"/>
  <c r="CD7" i="27"/>
  <c r="CC7" i="27"/>
  <c r="CB7" i="27"/>
  <c r="CA7" i="27"/>
  <c r="BZ7" i="27"/>
  <c r="BY7" i="27"/>
  <c r="C7" i="27"/>
  <c r="C6" i="27"/>
  <c r="C5" i="27"/>
  <c r="C4" i="27"/>
  <c r="C3" i="27"/>
  <c r="K82" i="26"/>
  <c r="J82" i="26"/>
  <c r="I82" i="26"/>
  <c r="H82" i="26"/>
  <c r="G82" i="26"/>
  <c r="F82" i="26"/>
  <c r="E82" i="26"/>
  <c r="D82" i="26"/>
  <c r="P82" i="26" s="1"/>
  <c r="BT80" i="26"/>
  <c r="BF80" i="26"/>
  <c r="AL80" i="26"/>
  <c r="AK80" i="26"/>
  <c r="AJ80" i="26"/>
  <c r="AI80" i="26"/>
  <c r="AH80" i="26"/>
  <c r="AG80" i="26"/>
  <c r="AF80" i="26"/>
  <c r="AR80" i="26" s="1"/>
  <c r="BT79" i="26"/>
  <c r="BB79" i="26"/>
  <c r="BF79" i="26" s="1"/>
  <c r="AR79" i="26"/>
  <c r="CG78" i="26"/>
  <c r="CD78" i="26"/>
  <c r="CC78" i="26"/>
  <c r="CB78" i="26"/>
  <c r="BQ78" i="26"/>
  <c r="BQ81" i="26" s="1"/>
  <c r="BP78" i="26"/>
  <c r="BO78" i="26"/>
  <c r="BN78" i="26"/>
  <c r="BM78" i="26"/>
  <c r="BL78" i="26"/>
  <c r="BK78" i="26"/>
  <c r="BJ78" i="26"/>
  <c r="BI78" i="26"/>
  <c r="BH78" i="26"/>
  <c r="BE78" i="26"/>
  <c r="BE81" i="26" s="1"/>
  <c r="BD78" i="26"/>
  <c r="BD81" i="26" s="1"/>
  <c r="BC78" i="26"/>
  <c r="BB78" i="26"/>
  <c r="BA78" i="26"/>
  <c r="AZ78" i="26"/>
  <c r="AY78" i="26"/>
  <c r="AX78" i="26"/>
  <c r="AW78" i="26"/>
  <c r="AV78" i="26"/>
  <c r="AU78" i="26"/>
  <c r="AT78" i="26"/>
  <c r="AQ78" i="26"/>
  <c r="AP78" i="26"/>
  <c r="AO78" i="26"/>
  <c r="AN78" i="26"/>
  <c r="AM78" i="26"/>
  <c r="AD78" i="26"/>
  <c r="P78" i="26"/>
  <c r="CN76" i="26"/>
  <c r="BE76" i="26"/>
  <c r="BD76" i="26"/>
  <c r="DC75" i="26"/>
  <c r="DB75" i="26"/>
  <c r="DA75" i="26"/>
  <c r="CZ75" i="26"/>
  <c r="CY75" i="26"/>
  <c r="CX75" i="26"/>
  <c r="CO75" i="26"/>
  <c r="CN75" i="26"/>
  <c r="CM75" i="26"/>
  <c r="CL75" i="26"/>
  <c r="CK75" i="26"/>
  <c r="CJ75" i="26"/>
  <c r="BS75" i="26"/>
  <c r="BT75" i="26" s="1"/>
  <c r="BF75" i="26"/>
  <c r="AR75" i="26"/>
  <c r="CL74" i="26"/>
  <c r="BX74" i="26"/>
  <c r="BW74" i="26"/>
  <c r="BV74" i="26"/>
  <c r="BT74" i="26"/>
  <c r="BF74" i="26"/>
  <c r="AR74" i="26"/>
  <c r="CR73" i="26"/>
  <c r="CS73" i="26" s="1"/>
  <c r="CT73" i="26" s="1"/>
  <c r="CU73" i="26" s="1"/>
  <c r="CX73" i="26" s="1"/>
  <c r="CY73" i="26" s="1"/>
  <c r="CZ73" i="26" s="1"/>
  <c r="DA73" i="26" s="1"/>
  <c r="DB73" i="26" s="1"/>
  <c r="DC73" i="26" s="1"/>
  <c r="DD73" i="26" s="1"/>
  <c r="DE73" i="26" s="1"/>
  <c r="DF73" i="26" s="1"/>
  <c r="DG73" i="26" s="1"/>
  <c r="DH73" i="26" s="1"/>
  <c r="DI73" i="26" s="1"/>
  <c r="CC73" i="26"/>
  <c r="BS73" i="26"/>
  <c r="BO73" i="26"/>
  <c r="BN73" i="26"/>
  <c r="BM73" i="26"/>
  <c r="BL73" i="26"/>
  <c r="BK73" i="26"/>
  <c r="BJ73" i="26"/>
  <c r="BI73" i="26"/>
  <c r="BH73" i="26"/>
  <c r="BE73" i="26"/>
  <c r="BD73" i="26"/>
  <c r="BA73" i="26"/>
  <c r="AL73" i="26"/>
  <c r="AK73" i="26"/>
  <c r="AJ73" i="26"/>
  <c r="AI73" i="26"/>
  <c r="AH73" i="26"/>
  <c r="AG73" i="26"/>
  <c r="AF73" i="26"/>
  <c r="AR73" i="26" s="1"/>
  <c r="AC73" i="26"/>
  <c r="AB73" i="26"/>
  <c r="AA73" i="26"/>
  <c r="Z73" i="26"/>
  <c r="Y73" i="26"/>
  <c r="X73" i="26"/>
  <c r="W73" i="26"/>
  <c r="V73" i="26"/>
  <c r="U73" i="26"/>
  <c r="T73" i="26"/>
  <c r="S73" i="26"/>
  <c r="R73" i="26"/>
  <c r="BX72" i="26"/>
  <c r="BW72" i="26"/>
  <c r="BV72" i="26"/>
  <c r="BR72" i="26"/>
  <c r="BR73" i="26" s="1"/>
  <c r="BQ72" i="26"/>
  <c r="BQ73" i="26" s="1"/>
  <c r="BP72" i="26"/>
  <c r="BC72" i="26"/>
  <c r="BB72" i="26"/>
  <c r="AY72" i="26"/>
  <c r="AX72" i="26"/>
  <c r="AW72" i="26"/>
  <c r="AV72" i="26"/>
  <c r="AU72" i="26"/>
  <c r="AU73" i="26" s="1"/>
  <c r="BF73" i="26" s="1"/>
  <c r="AT72" i="26"/>
  <c r="BF72" i="26" s="1"/>
  <c r="AQ72" i="26"/>
  <c r="AP72" i="26"/>
  <c r="AO72" i="26"/>
  <c r="AN72" i="26"/>
  <c r="AM72" i="26"/>
  <c r="AR72" i="26" s="1"/>
  <c r="P72" i="26"/>
  <c r="CL71" i="26"/>
  <c r="BX71" i="26"/>
  <c r="BX75" i="26" s="1"/>
  <c r="BW71" i="26"/>
  <c r="BW75" i="26" s="1"/>
  <c r="BV71" i="26"/>
  <c r="BS71" i="26"/>
  <c r="BP71" i="26"/>
  <c r="BO71" i="26"/>
  <c r="BN71" i="26"/>
  <c r="BM71" i="26"/>
  <c r="BL71" i="26"/>
  <c r="BK71" i="26"/>
  <c r="BJ71" i="26"/>
  <c r="BI71" i="26"/>
  <c r="BH71" i="26"/>
  <c r="BC71" i="26"/>
  <c r="BB71" i="26"/>
  <c r="BA71" i="26"/>
  <c r="AZ71" i="26"/>
  <c r="AY71" i="26"/>
  <c r="AX71" i="26"/>
  <c r="AW71" i="26"/>
  <c r="AV71" i="26"/>
  <c r="AU71" i="26"/>
  <c r="AT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D71" i="26"/>
  <c r="P71" i="26"/>
  <c r="CR69" i="26"/>
  <c r="CQ69" i="26"/>
  <c r="CP69" i="26"/>
  <c r="CO69" i="26"/>
  <c r="CN69" i="26"/>
  <c r="CM69" i="26"/>
  <c r="CL69" i="26"/>
  <c r="CK69" i="26"/>
  <c r="CH69" i="26"/>
  <c r="CV69" i="26" s="1"/>
  <c r="AQ67" i="26"/>
  <c r="AP67" i="26"/>
  <c r="AO67" i="26"/>
  <c r="AN67" i="26"/>
  <c r="AM67" i="26"/>
  <c r="AL67" i="26"/>
  <c r="AK67" i="26"/>
  <c r="AJ67" i="26"/>
  <c r="AI67" i="26"/>
  <c r="AH67" i="26"/>
  <c r="AG67" i="26"/>
  <c r="AF67" i="26"/>
  <c r="AR67" i="26" s="1"/>
  <c r="CG66" i="26"/>
  <c r="CF66" i="26"/>
  <c r="CE66" i="26"/>
  <c r="CD66" i="26"/>
  <c r="CC66" i="26"/>
  <c r="CB66" i="26"/>
  <c r="CU65" i="26"/>
  <c r="CT65" i="26"/>
  <c r="CS65" i="26"/>
  <c r="CR65" i="26"/>
  <c r="CQ65" i="26"/>
  <c r="CP65" i="26"/>
  <c r="CO65" i="26"/>
  <c r="CN65" i="26"/>
  <c r="CM65" i="26"/>
  <c r="CL65" i="26"/>
  <c r="CK65" i="26"/>
  <c r="CJ65" i="26"/>
  <c r="CV65" i="26" s="1"/>
  <c r="CH65" i="26"/>
  <c r="BQ65" i="26"/>
  <c r="BP65" i="26"/>
  <c r="BO65" i="26"/>
  <c r="BN65" i="26"/>
  <c r="BM65" i="26"/>
  <c r="BL65" i="26"/>
  <c r="BK65" i="26"/>
  <c r="BJ65" i="26"/>
  <c r="BI65" i="26"/>
  <c r="BH65" i="26"/>
  <c r="BT65" i="26" s="1"/>
  <c r="CH64" i="26"/>
  <c r="BT64" i="26"/>
  <c r="BB64" i="26"/>
  <c r="AR64" i="26"/>
  <c r="CH63" i="26"/>
  <c r="BQ63" i="26"/>
  <c r="AM63" i="26"/>
  <c r="AL63" i="26"/>
  <c r="AK63" i="26"/>
  <c r="AJ63" i="26"/>
  <c r="AI63" i="26"/>
  <c r="AH63" i="26"/>
  <c r="AG63" i="26"/>
  <c r="AF63" i="26"/>
  <c r="CH62" i="26"/>
  <c r="BT62" i="26"/>
  <c r="BF62" i="26"/>
  <c r="AR62" i="26"/>
  <c r="CJ61" i="26"/>
  <c r="BQ61" i="26"/>
  <c r="BP61" i="26"/>
  <c r="BO61" i="26"/>
  <c r="BN61" i="26"/>
  <c r="BM61" i="26"/>
  <c r="BL61" i="26"/>
  <c r="BK61" i="26"/>
  <c r="BJ61" i="26"/>
  <c r="BI61" i="26"/>
  <c r="BH61" i="26"/>
  <c r="BE61" i="26"/>
  <c r="BD61" i="26"/>
  <c r="BC61" i="26"/>
  <c r="BB61" i="26"/>
  <c r="BA61" i="26"/>
  <c r="AZ61" i="26"/>
  <c r="AY61" i="26"/>
  <c r="AX61" i="26"/>
  <c r="AW61" i="26"/>
  <c r="AV61" i="26"/>
  <c r="AU61" i="26"/>
  <c r="AT61" i="26"/>
  <c r="AQ61" i="26"/>
  <c r="AP61" i="26"/>
  <c r="AO61" i="26"/>
  <c r="AN61" i="26"/>
  <c r="AM61" i="26"/>
  <c r="AL61" i="26"/>
  <c r="AK61" i="26"/>
  <c r="AJ61" i="26"/>
  <c r="AI61" i="26"/>
  <c r="AH61" i="26"/>
  <c r="AG61" i="26"/>
  <c r="AF61" i="26"/>
  <c r="BF60" i="26"/>
  <c r="AR60" i="26"/>
  <c r="AD60" i="26"/>
  <c r="P60" i="26"/>
  <c r="BN59" i="26"/>
  <c r="BM59" i="26"/>
  <c r="BL59" i="26"/>
  <c r="BK59" i="26"/>
  <c r="BJ59" i="26"/>
  <c r="BI59" i="26"/>
  <c r="BH59" i="26"/>
  <c r="BA59" i="26"/>
  <c r="AZ59" i="26"/>
  <c r="AY59" i="26"/>
  <c r="AX59" i="26"/>
  <c r="AW59" i="26"/>
  <c r="AV59" i="26"/>
  <c r="AU59" i="26"/>
  <c r="AT59" i="26"/>
  <c r="BT58" i="26"/>
  <c r="BB58" i="26"/>
  <c r="AR58" i="26"/>
  <c r="BQ57" i="26"/>
  <c r="BQ59" i="26" s="1"/>
  <c r="BP57" i="26"/>
  <c r="BP59" i="26" s="1"/>
  <c r="BO57" i="26"/>
  <c r="BE57" i="26"/>
  <c r="BE59" i="26" s="1"/>
  <c r="BD57" i="26"/>
  <c r="BD59" i="26" s="1"/>
  <c r="BC57" i="26"/>
  <c r="BC59" i="26" s="1"/>
  <c r="BB57" i="26"/>
  <c r="BF57" i="26" s="1"/>
  <c r="CV56" i="26"/>
  <c r="BN56" i="26"/>
  <c r="BM56" i="26"/>
  <c r="BL56" i="26"/>
  <c r="BK56" i="26"/>
  <c r="BJ56" i="26"/>
  <c r="BI56" i="26"/>
  <c r="BH56" i="26"/>
  <c r="BT56" i="26" s="1"/>
  <c r="CU55" i="26"/>
  <c r="CT55" i="26"/>
  <c r="CS55" i="26"/>
  <c r="CR55" i="26"/>
  <c r="CQ55" i="26"/>
  <c r="CP55" i="26"/>
  <c r="CO55" i="26"/>
  <c r="CN55" i="26"/>
  <c r="CM55" i="26"/>
  <c r="CL55" i="26"/>
  <c r="CK55" i="26"/>
  <c r="CJ55" i="26"/>
  <c r="CV55" i="26" s="1"/>
  <c r="CW55" i="26" s="1"/>
  <c r="BT55" i="26"/>
  <c r="BE55" i="26"/>
  <c r="BE65" i="26" s="1"/>
  <c r="BD55" i="26"/>
  <c r="BD65" i="26" s="1"/>
  <c r="BC55" i="26"/>
  <c r="BC65" i="26" s="1"/>
  <c r="BB55" i="26"/>
  <c r="BB56" i="26" s="1"/>
  <c r="BA55" i="26"/>
  <c r="AZ55" i="26"/>
  <c r="AZ65" i="26" s="1"/>
  <c r="AY55" i="26"/>
  <c r="AY65" i="26" s="1"/>
  <c r="AX55" i="26"/>
  <c r="AX65" i="26" s="1"/>
  <c r="AW55" i="26"/>
  <c r="AW65" i="26" s="1"/>
  <c r="AV55" i="26"/>
  <c r="AV65" i="26" s="1"/>
  <c r="AU55" i="26"/>
  <c r="AU65" i="26" s="1"/>
  <c r="AT55" i="26"/>
  <c r="AQ55" i="26"/>
  <c r="AP55" i="26"/>
  <c r="AO55" i="26"/>
  <c r="AO65" i="26" s="1"/>
  <c r="AN55" i="26"/>
  <c r="AN65" i="26" s="1"/>
  <c r="AM55" i="26"/>
  <c r="AM65" i="26" s="1"/>
  <c r="AL55" i="26"/>
  <c r="AK55" i="26"/>
  <c r="AK65" i="26" s="1"/>
  <c r="AJ55" i="26"/>
  <c r="AJ65" i="26" s="1"/>
  <c r="AI55" i="26"/>
  <c r="AI65" i="26" s="1"/>
  <c r="AG55" i="26"/>
  <c r="AG65" i="26" s="1"/>
  <c r="AF55" i="26"/>
  <c r="AC55" i="26"/>
  <c r="AB55" i="26"/>
  <c r="AA55" i="26"/>
  <c r="Z55" i="26"/>
  <c r="Y55" i="26"/>
  <c r="X55" i="26"/>
  <c r="W55" i="26"/>
  <c r="R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P55" i="26" s="1"/>
  <c r="CU54" i="26"/>
  <c r="CT54" i="26"/>
  <c r="CS54" i="26"/>
  <c r="CR54" i="26"/>
  <c r="CQ54" i="26"/>
  <c r="CP54" i="26"/>
  <c r="CO54" i="26"/>
  <c r="CN54" i="26"/>
  <c r="CM54" i="26"/>
  <c r="CL54" i="26"/>
  <c r="CK54" i="26"/>
  <c r="CJ54" i="26"/>
  <c r="BT54" i="26"/>
  <c r="BF54" i="26"/>
  <c r="AR54" i="26"/>
  <c r="AD54" i="26"/>
  <c r="P54" i="26"/>
  <c r="CU53" i="26"/>
  <c r="CT53" i="26"/>
  <c r="CS53" i="26"/>
  <c r="CR53" i="26"/>
  <c r="CQ53" i="26"/>
  <c r="CP53" i="26"/>
  <c r="CO53" i="26"/>
  <c r="CN53" i="26"/>
  <c r="CM53" i="26"/>
  <c r="CL53" i="26"/>
  <c r="CK53" i="26"/>
  <c r="CJ53" i="26"/>
  <c r="BF53" i="26"/>
  <c r="BF52" i="26"/>
  <c r="AR52" i="26"/>
  <c r="BF51" i="26"/>
  <c r="AR51" i="26"/>
  <c r="BF50" i="26"/>
  <c r="AR50" i="26"/>
  <c r="CG49" i="26"/>
  <c r="CF49" i="26"/>
  <c r="CE49" i="26"/>
  <c r="CD49" i="26"/>
  <c r="CC49" i="26"/>
  <c r="CB49" i="26"/>
  <c r="CA49" i="26"/>
  <c r="BZ49" i="26"/>
  <c r="BY49" i="26"/>
  <c r="BX49" i="26"/>
  <c r="BW49" i="26"/>
  <c r="BW55" i="26" s="1"/>
  <c r="BV49" i="26"/>
  <c r="BT49" i="26"/>
  <c r="BF49" i="26"/>
  <c r="AH49" i="26"/>
  <c r="AR49" i="26" s="1"/>
  <c r="BF48" i="26"/>
  <c r="AH48" i="26"/>
  <c r="AR48" i="26" s="1"/>
  <c r="AD48" i="26"/>
  <c r="BF47" i="26"/>
  <c r="AH47" i="26"/>
  <c r="AR47" i="26" s="1"/>
  <c r="AD47" i="26"/>
  <c r="BF46" i="26"/>
  <c r="AH46" i="26"/>
  <c r="AR46" i="26" s="1"/>
  <c r="AD46" i="26"/>
  <c r="P46" i="26"/>
  <c r="BF45" i="26"/>
  <c r="AH45" i="26"/>
  <c r="AR45" i="26" s="1"/>
  <c r="AD45" i="26"/>
  <c r="P45" i="26"/>
  <c r="BF44" i="26"/>
  <c r="AH44" i="26"/>
  <c r="AR44" i="26" s="1"/>
  <c r="AD44" i="26"/>
  <c r="P44" i="26"/>
  <c r="BF43" i="26"/>
  <c r="AH43" i="26"/>
  <c r="AD43" i="26"/>
  <c r="P43" i="26"/>
  <c r="BF42" i="26"/>
  <c r="AR42" i="26"/>
  <c r="U42" i="26"/>
  <c r="T42" i="26"/>
  <c r="AD42" i="26" s="1"/>
  <c r="P42" i="26"/>
  <c r="BF41" i="26"/>
  <c r="AR41" i="26"/>
  <c r="T41" i="26"/>
  <c r="AD41" i="26" s="1"/>
  <c r="P41" i="26"/>
  <c r="BF40" i="26"/>
  <c r="AR40" i="26"/>
  <c r="U40" i="26"/>
  <c r="T40" i="26"/>
  <c r="S40" i="26"/>
  <c r="AD40" i="26" s="1"/>
  <c r="P40" i="26"/>
  <c r="BF39" i="26"/>
  <c r="AR39" i="26"/>
  <c r="AD39" i="26"/>
  <c r="P39" i="26"/>
  <c r="BF38" i="26"/>
  <c r="AR38" i="26"/>
  <c r="V38" i="26"/>
  <c r="V55" i="26" s="1"/>
  <c r="U38" i="26"/>
  <c r="AD38" i="26" s="1"/>
  <c r="P38" i="26"/>
  <c r="BF37" i="26"/>
  <c r="AR37" i="26"/>
  <c r="T37" i="26"/>
  <c r="S37" i="26"/>
  <c r="P37" i="26"/>
  <c r="BF36" i="26"/>
  <c r="AR36" i="26"/>
  <c r="AD36" i="26"/>
  <c r="P36" i="26"/>
  <c r="BF35" i="26"/>
  <c r="AR35" i="26"/>
  <c r="U35" i="26"/>
  <c r="T35" i="26"/>
  <c r="AD35" i="26" s="1"/>
  <c r="P35" i="26"/>
  <c r="BF34" i="26"/>
  <c r="AR34" i="26"/>
  <c r="U34" i="26"/>
  <c r="U55" i="26" s="1"/>
  <c r="T34" i="26"/>
  <c r="P34" i="26"/>
  <c r="CU32" i="26"/>
  <c r="CT32" i="26"/>
  <c r="CS32" i="26"/>
  <c r="CR32" i="26"/>
  <c r="CQ32" i="26"/>
  <c r="CP32" i="26"/>
  <c r="CO32" i="26"/>
  <c r="CN32" i="26"/>
  <c r="CM32" i="26"/>
  <c r="CL32" i="26"/>
  <c r="CK32" i="26"/>
  <c r="CJ32" i="26"/>
  <c r="CV32" i="26" s="1"/>
  <c r="CU31" i="26"/>
  <c r="CT31" i="26"/>
  <c r="CS31" i="26"/>
  <c r="CR31" i="26"/>
  <c r="CQ31" i="26"/>
  <c r="CP31" i="26"/>
  <c r="CO31" i="26"/>
  <c r="CN31" i="26"/>
  <c r="CM31" i="26"/>
  <c r="CL31" i="26"/>
  <c r="CK31" i="26"/>
  <c r="CJ31" i="26"/>
  <c r="CI31" i="26"/>
  <c r="CG31" i="26"/>
  <c r="CF31" i="26"/>
  <c r="CF57" i="26" s="1"/>
  <c r="CE31" i="26"/>
  <c r="CD31" i="26"/>
  <c r="CC31" i="26"/>
  <c r="CB31" i="26"/>
  <c r="CB57" i="26" s="1"/>
  <c r="CA31" i="26"/>
  <c r="CA57" i="26" s="1"/>
  <c r="BZ31" i="26"/>
  <c r="BZ57" i="26" s="1"/>
  <c r="BY31" i="26"/>
  <c r="BY57" i="26" s="1"/>
  <c r="BX31" i="26"/>
  <c r="BX57" i="26" s="1"/>
  <c r="BW31" i="26"/>
  <c r="BW57" i="26" s="1"/>
  <c r="BV31" i="26"/>
  <c r="BV57" i="26" s="1"/>
  <c r="BS31" i="26"/>
  <c r="BR31" i="26"/>
  <c r="BQ31" i="26"/>
  <c r="BE31" i="26"/>
  <c r="BE63" i="26" s="1"/>
  <c r="BD31" i="26"/>
  <c r="BD63" i="26" s="1"/>
  <c r="BC31" i="26"/>
  <c r="BC63" i="26" s="1"/>
  <c r="BB31" i="26"/>
  <c r="BB63" i="26" s="1"/>
  <c r="BA31" i="26"/>
  <c r="BA63" i="26" s="1"/>
  <c r="AZ31" i="26"/>
  <c r="AZ63" i="26" s="1"/>
  <c r="AY31" i="26"/>
  <c r="AY63" i="26" s="1"/>
  <c r="AX31" i="26"/>
  <c r="AX63" i="26" s="1"/>
  <c r="AW31" i="26"/>
  <c r="AW63" i="26" s="1"/>
  <c r="AV31" i="26"/>
  <c r="AV63" i="26" s="1"/>
  <c r="AU31" i="26"/>
  <c r="AU63" i="26" s="1"/>
  <c r="AT31" i="26"/>
  <c r="U31" i="26"/>
  <c r="AD31" i="26" s="1"/>
  <c r="P31" i="26"/>
  <c r="CK30" i="26"/>
  <c r="CL30" i="26" s="1"/>
  <c r="CM30" i="26" s="1"/>
  <c r="CN30" i="26" s="1"/>
  <c r="CO30" i="26" s="1"/>
  <c r="CP30" i="26" s="1"/>
  <c r="CQ30" i="26" s="1"/>
  <c r="CR30" i="26" s="1"/>
  <c r="CS30" i="26" s="1"/>
  <c r="CT30" i="26" s="1"/>
  <c r="CU30" i="26" s="1"/>
  <c r="CV30" i="26" s="1"/>
  <c r="AQ30" i="26"/>
  <c r="AQ31" i="26" s="1"/>
  <c r="AQ63" i="26" s="1"/>
  <c r="AP30" i="26"/>
  <c r="AP31" i="26" s="1"/>
  <c r="AP63" i="26" s="1"/>
  <c r="AO30" i="26"/>
  <c r="AO31" i="26" s="1"/>
  <c r="AO63" i="26" s="1"/>
  <c r="AN30" i="26"/>
  <c r="AN31" i="26" s="1"/>
  <c r="CU29" i="26"/>
  <c r="CT29" i="26"/>
  <c r="CS29" i="26"/>
  <c r="CR29" i="26"/>
  <c r="CQ29" i="26"/>
  <c r="CP29" i="26"/>
  <c r="CO29" i="26"/>
  <c r="CN29" i="26"/>
  <c r="CM29" i="26"/>
  <c r="CL29" i="26"/>
  <c r="CK29" i="26"/>
  <c r="CJ29" i="26"/>
  <c r="CG29" i="26"/>
  <c r="CF29" i="26"/>
  <c r="CE29" i="26"/>
  <c r="CD29" i="26"/>
  <c r="CC29" i="26"/>
  <c r="CB29" i="26"/>
  <c r="CA29" i="26"/>
  <c r="BZ29" i="26"/>
  <c r="BY29" i="26"/>
  <c r="BX29" i="26"/>
  <c r="BW29" i="26"/>
  <c r="BV29" i="26"/>
  <c r="CH29" i="26" s="1"/>
  <c r="BQ29" i="26"/>
  <c r="BT29" i="26" s="1"/>
  <c r="BF29" i="26"/>
  <c r="CW28" i="26"/>
  <c r="BW28" i="26"/>
  <c r="BP28" i="26"/>
  <c r="BO28" i="26"/>
  <c r="BN28" i="26"/>
  <c r="BM28" i="26"/>
  <c r="BL28" i="26"/>
  <c r="BK28" i="26"/>
  <c r="BJ28" i="26"/>
  <c r="BI28" i="26"/>
  <c r="BH28" i="26"/>
  <c r="BE28" i="26"/>
  <c r="BD28" i="26"/>
  <c r="BC28" i="26"/>
  <c r="BB28" i="26"/>
  <c r="AZ28" i="26"/>
  <c r="AY28" i="26"/>
  <c r="CU27" i="26"/>
  <c r="CT27" i="26"/>
  <c r="CS27" i="26"/>
  <c r="CR27" i="26"/>
  <c r="CQ27" i="26"/>
  <c r="CP27" i="26"/>
  <c r="CO27" i="26"/>
  <c r="CN27" i="26"/>
  <c r="CM27" i="26"/>
  <c r="CL27" i="26"/>
  <c r="CK27" i="26"/>
  <c r="CJ27" i="26"/>
  <c r="CG27" i="26"/>
  <c r="CG70" i="26" s="1"/>
  <c r="CF27" i="26"/>
  <c r="CF70" i="26" s="1"/>
  <c r="CB27" i="26"/>
  <c r="CB70" i="26" s="1"/>
  <c r="CA27" i="26"/>
  <c r="CA70" i="26" s="1"/>
  <c r="BZ27" i="26"/>
  <c r="BZ70" i="26" s="1"/>
  <c r="BY27" i="26"/>
  <c r="BY70" i="26" s="1"/>
  <c r="BX27" i="26"/>
  <c r="BX70" i="26" s="1"/>
  <c r="BW27" i="26"/>
  <c r="BW70" i="26" s="1"/>
  <c r="BV27" i="26"/>
  <c r="BR27" i="26"/>
  <c r="BS57" i="26" s="1"/>
  <c r="CG57" i="26" s="1"/>
  <c r="BQ27" i="26"/>
  <c r="BQ82" i="26" s="1"/>
  <c r="BP27" i="26"/>
  <c r="BO27" i="26"/>
  <c r="BN27" i="26"/>
  <c r="BM27" i="26"/>
  <c r="BL27" i="26"/>
  <c r="BK27" i="26"/>
  <c r="BJ27" i="26"/>
  <c r="BI27" i="26"/>
  <c r="BH27" i="26"/>
  <c r="BT27" i="26" s="1"/>
  <c r="BE27" i="26"/>
  <c r="BE82" i="26" s="1"/>
  <c r="BD27" i="26"/>
  <c r="BD82" i="26" s="1"/>
  <c r="BC27" i="26"/>
  <c r="BB27" i="26"/>
  <c r="BA27" i="26"/>
  <c r="AZ27" i="26"/>
  <c r="AY27" i="26"/>
  <c r="AX27" i="26"/>
  <c r="AW27" i="26"/>
  <c r="AV27" i="26"/>
  <c r="AU27" i="26"/>
  <c r="AT27" i="26"/>
  <c r="BF27" i="26" s="1"/>
  <c r="AQ27" i="26"/>
  <c r="AP27" i="26"/>
  <c r="AO27" i="26"/>
  <c r="AN27" i="26"/>
  <c r="AM27" i="26"/>
  <c r="AL27" i="26"/>
  <c r="AK27" i="26"/>
  <c r="AJ27" i="26"/>
  <c r="AI27" i="26"/>
  <c r="AG27" i="26"/>
  <c r="AF27" i="26"/>
  <c r="AC27" i="26"/>
  <c r="AC82" i="26" s="1"/>
  <c r="AB27" i="26"/>
  <c r="AB82" i="26" s="1"/>
  <c r="AA27" i="26"/>
  <c r="AA82" i="26" s="1"/>
  <c r="Z27" i="26"/>
  <c r="Z82" i="26" s="1"/>
  <c r="Y27" i="26"/>
  <c r="Y82" i="26" s="1"/>
  <c r="X27" i="26"/>
  <c r="X82" i="26" s="1"/>
  <c r="W27" i="26"/>
  <c r="W82" i="26" s="1"/>
  <c r="V27" i="26"/>
  <c r="V82" i="26" s="1"/>
  <c r="U27" i="26"/>
  <c r="U82" i="26" s="1"/>
  <c r="R27" i="26"/>
  <c r="P27" i="26"/>
  <c r="O27" i="26"/>
  <c r="O82" i="26" s="1"/>
  <c r="N27" i="26"/>
  <c r="N82" i="26" s="1"/>
  <c r="M27" i="26"/>
  <c r="M82" i="26" s="1"/>
  <c r="L27" i="26"/>
  <c r="L82" i="26" s="1"/>
  <c r="K27" i="26"/>
  <c r="J27" i="26"/>
  <c r="I27" i="26"/>
  <c r="H27" i="26"/>
  <c r="G27" i="26"/>
  <c r="F27" i="26"/>
  <c r="E27" i="26"/>
  <c r="D27" i="26"/>
  <c r="BG24" i="26"/>
  <c r="CG23" i="26"/>
  <c r="CF23" i="26"/>
  <c r="CF24" i="26" s="1"/>
  <c r="CE23" i="26"/>
  <c r="CE24" i="26" s="1"/>
  <c r="CD23" i="26"/>
  <c r="CD24" i="26" s="1"/>
  <c r="CC23" i="26"/>
  <c r="CC24" i="26" s="1"/>
  <c r="CB23" i="26"/>
  <c r="CB24" i="26" s="1"/>
  <c r="CA23" i="26"/>
  <c r="CA24" i="26" s="1"/>
  <c r="BZ23" i="26"/>
  <c r="BZ24" i="26" s="1"/>
  <c r="BY23" i="26"/>
  <c r="BY24" i="26" s="1"/>
  <c r="BX23" i="26"/>
  <c r="BX24" i="26" s="1"/>
  <c r="BW23" i="26"/>
  <c r="BW24" i="26" s="1"/>
  <c r="BV23" i="26"/>
  <c r="BV24" i="26" s="1"/>
  <c r="BS23" i="26"/>
  <c r="BR23" i="26"/>
  <c r="BR24" i="26" s="1"/>
  <c r="BQ23" i="26"/>
  <c r="BQ24" i="26" s="1"/>
  <c r="BP23" i="26"/>
  <c r="BP24" i="26" s="1"/>
  <c r="BO23" i="26"/>
  <c r="BO24" i="26" s="1"/>
  <c r="BN23" i="26"/>
  <c r="BN24" i="26" s="1"/>
  <c r="BM23" i="26"/>
  <c r="BM24" i="26" s="1"/>
  <c r="BL23" i="26"/>
  <c r="BL24" i="26" s="1"/>
  <c r="BK23" i="26"/>
  <c r="BK24" i="26" s="1"/>
  <c r="BJ23" i="26"/>
  <c r="BJ24" i="26" s="1"/>
  <c r="BI23" i="26"/>
  <c r="BI24" i="26" s="1"/>
  <c r="BH23" i="26"/>
  <c r="BH24" i="26" s="1"/>
  <c r="BE23" i="26"/>
  <c r="BE24" i="26" s="1"/>
  <c r="BD23" i="26"/>
  <c r="BD24" i="26" s="1"/>
  <c r="BC23" i="26"/>
  <c r="BC24" i="26" s="1"/>
  <c r="BB23" i="26"/>
  <c r="BB24" i="26" s="1"/>
  <c r="BA23" i="26"/>
  <c r="BA24" i="26" s="1"/>
  <c r="AZ23" i="26"/>
  <c r="AZ24" i="26" s="1"/>
  <c r="AY23" i="26"/>
  <c r="AY24" i="26" s="1"/>
  <c r="AX23" i="26"/>
  <c r="AX24" i="26" s="1"/>
  <c r="AW23" i="26"/>
  <c r="AW24" i="26" s="1"/>
  <c r="AV23" i="26"/>
  <c r="AV24" i="26" s="1"/>
  <c r="AU23" i="26"/>
  <c r="AU24" i="26" s="1"/>
  <c r="AT23" i="26"/>
  <c r="AQ23" i="26"/>
  <c r="AP23" i="26"/>
  <c r="AP24" i="26" s="1"/>
  <c r="AO23" i="26"/>
  <c r="AO24" i="26" s="1"/>
  <c r="AN23" i="26"/>
  <c r="AN24" i="26" s="1"/>
  <c r="AM23" i="26"/>
  <c r="AM24" i="26" s="1"/>
  <c r="AL23" i="26"/>
  <c r="AL24" i="26" s="1"/>
  <c r="AK23" i="26"/>
  <c r="AK24" i="26" s="1"/>
  <c r="AJ23" i="26"/>
  <c r="AJ24" i="26" s="1"/>
  <c r="AI23" i="26"/>
  <c r="AI24" i="26" s="1"/>
  <c r="AH23" i="26"/>
  <c r="AH24" i="26" s="1"/>
  <c r="AG23" i="26"/>
  <c r="AG24" i="26" s="1"/>
  <c r="AF23" i="26"/>
  <c r="AF24" i="26" s="1"/>
  <c r="AC23" i="26"/>
  <c r="AB23" i="26"/>
  <c r="AA23" i="26"/>
  <c r="Z23" i="26"/>
  <c r="Y23" i="26"/>
  <c r="X23" i="26"/>
  <c r="AD23" i="26" s="1"/>
  <c r="W23" i="26"/>
  <c r="V23" i="26"/>
  <c r="U23" i="26"/>
  <c r="T23" i="26"/>
  <c r="S23" i="26"/>
  <c r="R23" i="26"/>
  <c r="O23" i="26"/>
  <c r="N23" i="26"/>
  <c r="M23" i="26"/>
  <c r="L23" i="26"/>
  <c r="K23" i="26"/>
  <c r="J23" i="26"/>
  <c r="P23" i="26" s="1"/>
  <c r="H23" i="26"/>
  <c r="G23" i="26"/>
  <c r="F23" i="26"/>
  <c r="E23" i="26"/>
  <c r="D23" i="26"/>
  <c r="CL22" i="26"/>
  <c r="CK22" i="26"/>
  <c r="CJ22" i="26"/>
  <c r="CG22" i="26"/>
  <c r="CF22" i="26"/>
  <c r="CE22" i="26"/>
  <c r="CD22" i="26"/>
  <c r="CC22" i="26"/>
  <c r="CB22" i="26"/>
  <c r="CA22" i="26"/>
  <c r="BZ22" i="26"/>
  <c r="BY22" i="26"/>
  <c r="BX22" i="26"/>
  <c r="BW22" i="26"/>
  <c r="BV22" i="26"/>
  <c r="CH19" i="26"/>
  <c r="BT19" i="26"/>
  <c r="BF19" i="26"/>
  <c r="AR19" i="26"/>
  <c r="CH18" i="26"/>
  <c r="BT18" i="26"/>
  <c r="BF18" i="26"/>
  <c r="AR18" i="26"/>
  <c r="CH17" i="26"/>
  <c r="BT17" i="26"/>
  <c r="BF17" i="26"/>
  <c r="AR17" i="26"/>
  <c r="CI16" i="26"/>
  <c r="CI18" i="26" s="1"/>
  <c r="CH16" i="26"/>
  <c r="BT16" i="26"/>
  <c r="BF16" i="26"/>
  <c r="AR16" i="26"/>
  <c r="U16" i="26"/>
  <c r="CH15" i="26"/>
  <c r="CH22" i="26" s="1"/>
  <c r="BT15" i="26"/>
  <c r="BF15" i="26"/>
  <c r="AR15" i="26"/>
  <c r="I15" i="26"/>
  <c r="I23" i="26" s="1"/>
  <c r="CH11" i="26"/>
  <c r="CH10" i="26"/>
  <c r="CG10" i="26"/>
  <c r="CG25" i="26" s="1"/>
  <c r="CH25" i="26" s="1"/>
  <c r="CF10" i="26"/>
  <c r="CF25" i="26" s="1"/>
  <c r="CE10" i="26"/>
  <c r="CE25" i="26" s="1"/>
  <c r="CD10" i="26"/>
  <c r="CD25" i="26" s="1"/>
  <c r="CC10" i="26"/>
  <c r="CC25" i="26" s="1"/>
  <c r="CB10" i="26"/>
  <c r="CB25" i="26" s="1"/>
  <c r="CA10" i="26"/>
  <c r="CA25" i="26" s="1"/>
  <c r="BZ10" i="26"/>
  <c r="BZ25" i="26" s="1"/>
  <c r="BY10" i="26"/>
  <c r="BY25" i="26" s="1"/>
  <c r="BX10" i="26"/>
  <c r="BX25" i="26" s="1"/>
  <c r="BW10" i="26"/>
  <c r="BW25" i="26" s="1"/>
  <c r="BV10" i="26"/>
  <c r="BV25" i="26" s="1"/>
  <c r="BS10" i="26"/>
  <c r="BR10" i="26"/>
  <c r="BQ10" i="26"/>
  <c r="BP10" i="26"/>
  <c r="BO10" i="26"/>
  <c r="BN10" i="26"/>
  <c r="BM10" i="26"/>
  <c r="BL10" i="26"/>
  <c r="BK10" i="26"/>
  <c r="BJ10" i="26"/>
  <c r="BI10" i="26"/>
  <c r="BH10" i="26"/>
  <c r="BE10" i="26"/>
  <c r="BD10" i="26"/>
  <c r="BC10" i="26"/>
  <c r="BB10" i="26"/>
  <c r="BA10" i="26"/>
  <c r="AZ10" i="26"/>
  <c r="AY10" i="26"/>
  <c r="AX10" i="26"/>
  <c r="AW10" i="26"/>
  <c r="AV10" i="26"/>
  <c r="AU10" i="26"/>
  <c r="AT10" i="26"/>
  <c r="AQ10" i="26"/>
  <c r="AP10" i="26"/>
  <c r="AO10" i="26"/>
  <c r="AN10" i="26"/>
  <c r="AM10" i="26"/>
  <c r="AL10" i="26"/>
  <c r="AK10" i="26"/>
  <c r="AJ10" i="26"/>
  <c r="AI10" i="26"/>
  <c r="AH10" i="26"/>
  <c r="AG10" i="26"/>
  <c r="AF10" i="26"/>
  <c r="AC10" i="26"/>
  <c r="AB10" i="26"/>
  <c r="AA10" i="26"/>
  <c r="Z10" i="26"/>
  <c r="Y10" i="26"/>
  <c r="X10" i="26"/>
  <c r="W10" i="26"/>
  <c r="V10" i="26"/>
  <c r="U10" i="26"/>
  <c r="T10" i="26"/>
  <c r="S10" i="26"/>
  <c r="R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DI7" i="26"/>
  <c r="DI71" i="26" s="1"/>
  <c r="DH7" i="26"/>
  <c r="DH71" i="26" s="1"/>
  <c r="DG7" i="26"/>
  <c r="DG71" i="26" s="1"/>
  <c r="DF7" i="26"/>
  <c r="DF71" i="26" s="1"/>
  <c r="DE7" i="26"/>
  <c r="DE71" i="26" s="1"/>
  <c r="DD7" i="26"/>
  <c r="DD71" i="26" s="1"/>
  <c r="DC7" i="26"/>
  <c r="DB7" i="26"/>
  <c r="DA7" i="26"/>
  <c r="CZ7" i="26"/>
  <c r="CY7" i="26"/>
  <c r="CX7" i="26"/>
  <c r="CU7" i="26"/>
  <c r="CU71" i="26" s="1"/>
  <c r="CT7" i="26"/>
  <c r="CT71" i="26" s="1"/>
  <c r="CS7" i="26"/>
  <c r="CS71" i="26" s="1"/>
  <c r="CR7" i="26"/>
  <c r="CR71" i="26" s="1"/>
  <c r="CQ7" i="26"/>
  <c r="CQ71" i="26" s="1"/>
  <c r="CP7" i="26"/>
  <c r="CP71" i="26" s="1"/>
  <c r="CO7" i="26"/>
  <c r="CN7" i="26"/>
  <c r="CM7" i="26"/>
  <c r="CK7" i="26"/>
  <c r="CJ7" i="26"/>
  <c r="CG7" i="26"/>
  <c r="CF7" i="26"/>
  <c r="CE7" i="26"/>
  <c r="CD7" i="26"/>
  <c r="CC7" i="26"/>
  <c r="CB7" i="26"/>
  <c r="CA7" i="26"/>
  <c r="BZ7" i="26"/>
  <c r="BY7" i="26"/>
  <c r="C7" i="26"/>
  <c r="C6" i="26"/>
  <c r="C5" i="26"/>
  <c r="C4" i="26"/>
  <c r="C3" i="26"/>
  <c r="CN76" i="22"/>
  <c r="CO76" i="22" s="1"/>
  <c r="CP76" i="22" s="1"/>
  <c r="CQ76" i="22" s="1"/>
  <c r="CR76" i="22" s="1"/>
  <c r="CS76" i="22" s="1"/>
  <c r="CT76" i="22" s="1"/>
  <c r="CU76" i="22" s="1"/>
  <c r="CR73" i="22"/>
  <c r="CR85" i="22" s="1"/>
  <c r="CS85" i="22"/>
  <c r="CT85" i="22"/>
  <c r="CU73" i="22"/>
  <c r="CU85" i="22" s="1"/>
  <c r="CJ61" i="22"/>
  <c r="CD66" i="22"/>
  <c r="CE66" i="22"/>
  <c r="CF66" i="22"/>
  <c r="CG66" i="22"/>
  <c r="CB66" i="22"/>
  <c r="CJ65" i="22"/>
  <c r="CK65" i="22"/>
  <c r="CK7" i="22"/>
  <c r="S69" i="10"/>
  <c r="CK54" i="22"/>
  <c r="CL54" i="22"/>
  <c r="CM54" i="22"/>
  <c r="CN54" i="22"/>
  <c r="CO54" i="22"/>
  <c r="CP54" i="22"/>
  <c r="CQ54" i="22"/>
  <c r="CR54" i="22"/>
  <c r="CS54" i="22"/>
  <c r="CT54" i="22"/>
  <c r="CU54" i="22"/>
  <c r="CJ54" i="22"/>
  <c r="CI16" i="22"/>
  <c r="CI18" i="22" s="1"/>
  <c r="CH65" i="22"/>
  <c r="CH64" i="22"/>
  <c r="CH63" i="22"/>
  <c r="CH62" i="22"/>
  <c r="CP33" i="22"/>
  <c r="CP57" i="22"/>
  <c r="CL65" i="22"/>
  <c r="CN65" i="22"/>
  <c r="CO65" i="22"/>
  <c r="CP65" i="22"/>
  <c r="CQ65" i="22"/>
  <c r="CR65" i="22"/>
  <c r="CS65" i="22"/>
  <c r="CT65" i="22"/>
  <c r="CU65" i="22"/>
  <c r="CV65" i="22"/>
  <c r="CJ7" i="22"/>
  <c r="CJ71" i="22"/>
  <c r="CK30" i="22"/>
  <c r="CK31" i="22" s="1"/>
  <c r="CV56" i="22"/>
  <c r="CU55" i="22"/>
  <c r="CU53" i="22" s="1"/>
  <c r="CT55" i="22"/>
  <c r="CT53" i="22" s="1"/>
  <c r="CS53" i="22"/>
  <c r="CR55" i="22"/>
  <c r="CR53" i="22" s="1"/>
  <c r="CQ55" i="22"/>
  <c r="CQ53" i="22" s="1"/>
  <c r="CP55" i="22"/>
  <c r="CP53" i="22" s="1"/>
  <c r="CO55" i="22"/>
  <c r="CO53" i="22" s="1"/>
  <c r="CN55" i="22"/>
  <c r="CN53" i="22" s="1"/>
  <c r="CM53" i="22"/>
  <c r="CL55" i="22"/>
  <c r="CL53" i="22" s="1"/>
  <c r="CK55" i="22"/>
  <c r="CK53" i="22" s="1"/>
  <c r="CJ55" i="22"/>
  <c r="BT72" i="16"/>
  <c r="CG7" i="22"/>
  <c r="C4" i="22"/>
  <c r="C5" i="22"/>
  <c r="C6" i="22"/>
  <c r="C7" i="22"/>
  <c r="C3" i="22"/>
  <c r="CE22" i="22"/>
  <c r="CH69" i="22"/>
  <c r="CE23" i="22"/>
  <c r="CL75" i="22"/>
  <c r="CD10" i="22"/>
  <c r="BW10" i="22"/>
  <c r="BX10" i="22"/>
  <c r="BY10" i="22"/>
  <c r="BZ10" i="22"/>
  <c r="CA10" i="22"/>
  <c r="CB10" i="22"/>
  <c r="CC10" i="22"/>
  <c r="CE10" i="22"/>
  <c r="BV10" i="22"/>
  <c r="BV22" i="22"/>
  <c r="BW22" i="22"/>
  <c r="BX22" i="22"/>
  <c r="BY22" i="22"/>
  <c r="BZ22" i="22"/>
  <c r="CA22" i="22"/>
  <c r="CB22" i="22"/>
  <c r="CC22" i="22"/>
  <c r="CD22" i="22"/>
  <c r="CF7" i="22"/>
  <c r="CK69" i="22"/>
  <c r="CL69" i="22"/>
  <c r="CM69" i="22"/>
  <c r="CN69" i="22"/>
  <c r="CO69" i="22"/>
  <c r="CP69" i="22"/>
  <c r="CQ69" i="22"/>
  <c r="CR69" i="22"/>
  <c r="CE7" i="22"/>
  <c r="CE71" i="22"/>
  <c r="DI7" i="22"/>
  <c r="DH7" i="22"/>
  <c r="DH74" i="22" s="1"/>
  <c r="DG7" i="22"/>
  <c r="DG74" i="22" s="1"/>
  <c r="DE7" i="22"/>
  <c r="DE74" i="22" s="1"/>
  <c r="DD7" i="22"/>
  <c r="DC7" i="22"/>
  <c r="DC74" i="22" s="1"/>
  <c r="DB7" i="22"/>
  <c r="DA7" i="22"/>
  <c r="CZ7" i="22"/>
  <c r="CY7" i="22"/>
  <c r="CX7" i="22"/>
  <c r="CQ7" i="22"/>
  <c r="CP67" i="23"/>
  <c r="CP66" i="23"/>
  <c r="CP65" i="23"/>
  <c r="K76" i="23"/>
  <c r="J76" i="23"/>
  <c r="I76" i="23"/>
  <c r="H76" i="23"/>
  <c r="G76" i="23"/>
  <c r="F76" i="23"/>
  <c r="E76" i="23"/>
  <c r="D76" i="23"/>
  <c r="P76" i="23" s="1"/>
  <c r="BT74" i="23"/>
  <c r="BF74" i="23"/>
  <c r="AL74" i="23"/>
  <c r="AK74" i="23"/>
  <c r="AJ74" i="23"/>
  <c r="AI74" i="23"/>
  <c r="AH74" i="23"/>
  <c r="AG74" i="23"/>
  <c r="AF74" i="23"/>
  <c r="AR74" i="23" s="1"/>
  <c r="BT73" i="23"/>
  <c r="BB73" i="23"/>
  <c r="BF73" i="23" s="1"/>
  <c r="AR73" i="23"/>
  <c r="CG72" i="23"/>
  <c r="CF72" i="23"/>
  <c r="CE72" i="23"/>
  <c r="CD72" i="23"/>
  <c r="CC72" i="23"/>
  <c r="CB72" i="23"/>
  <c r="BQ72" i="23"/>
  <c r="BQ75" i="23" s="1"/>
  <c r="BP72" i="23"/>
  <c r="BO72" i="23"/>
  <c r="BN72" i="23"/>
  <c r="BM72" i="23"/>
  <c r="BL72" i="23"/>
  <c r="BK72" i="23"/>
  <c r="BJ72" i="23"/>
  <c r="BI72" i="23"/>
  <c r="BH72" i="23"/>
  <c r="BE72" i="23"/>
  <c r="BE75" i="23" s="1"/>
  <c r="BD72" i="23"/>
  <c r="BD75" i="23" s="1"/>
  <c r="BC72" i="23"/>
  <c r="BB72" i="23"/>
  <c r="BA72" i="23"/>
  <c r="AZ72" i="23"/>
  <c r="AY72" i="23"/>
  <c r="AX72" i="23"/>
  <c r="AW72" i="23"/>
  <c r="AV72" i="23"/>
  <c r="AU72" i="23"/>
  <c r="AT72" i="23"/>
  <c r="AQ72" i="23"/>
  <c r="AP72" i="23"/>
  <c r="AO72" i="23"/>
  <c r="AN72" i="23"/>
  <c r="AM72" i="23"/>
  <c r="AD72" i="23"/>
  <c r="P72" i="23"/>
  <c r="BE71" i="23"/>
  <c r="BD71" i="23"/>
  <c r="CO70" i="23"/>
  <c r="CN70" i="23"/>
  <c r="CM70" i="23"/>
  <c r="CL70" i="23"/>
  <c r="CK70" i="23"/>
  <c r="CJ70" i="23"/>
  <c r="BS70" i="23"/>
  <c r="BT70" i="23" s="1"/>
  <c r="BF70" i="23"/>
  <c r="AR70" i="23"/>
  <c r="BX69" i="23"/>
  <c r="BW69" i="23"/>
  <c r="BV69" i="23"/>
  <c r="BT69" i="23"/>
  <c r="BF69" i="23"/>
  <c r="AR69" i="23"/>
  <c r="CJ68" i="23"/>
  <c r="CK68" i="23" s="1"/>
  <c r="CL68" i="23" s="1"/>
  <c r="CM68" i="23" s="1"/>
  <c r="CN68" i="23" s="1"/>
  <c r="CO68" i="23" s="1"/>
  <c r="CP68" i="23" s="1"/>
  <c r="CQ68" i="23" s="1"/>
  <c r="CR68" i="23" s="1"/>
  <c r="CS68" i="23" s="1"/>
  <c r="CT68" i="23" s="1"/>
  <c r="CU68" i="23" s="1"/>
  <c r="CC68" i="23"/>
  <c r="BS68" i="23"/>
  <c r="BO68" i="23"/>
  <c r="BN68" i="23"/>
  <c r="BM68" i="23"/>
  <c r="BL68" i="23"/>
  <c r="BK68" i="23"/>
  <c r="BJ68" i="23"/>
  <c r="BI68" i="23"/>
  <c r="BH68" i="23"/>
  <c r="BE68" i="23"/>
  <c r="BD68" i="23"/>
  <c r="BA68" i="23"/>
  <c r="AL68" i="23"/>
  <c r="AK68" i="23"/>
  <c r="AJ68" i="23"/>
  <c r="AI68" i="23"/>
  <c r="AH68" i="23"/>
  <c r="AG68" i="23"/>
  <c r="AF68" i="23"/>
  <c r="AR68" i="23" s="1"/>
  <c r="AC68" i="23"/>
  <c r="AB68" i="23"/>
  <c r="AA68" i="23"/>
  <c r="Z68" i="23"/>
  <c r="Y68" i="23"/>
  <c r="X68" i="23"/>
  <c r="W68" i="23"/>
  <c r="V68" i="23"/>
  <c r="U68" i="23"/>
  <c r="T68" i="23"/>
  <c r="S68" i="23"/>
  <c r="R68" i="23"/>
  <c r="BX67" i="23"/>
  <c r="BW67" i="23"/>
  <c r="BV67" i="23"/>
  <c r="BR67" i="23"/>
  <c r="BR68" i="23" s="1"/>
  <c r="BQ67" i="23"/>
  <c r="BQ68" i="23" s="1"/>
  <c r="BP67" i="23"/>
  <c r="BC67" i="23"/>
  <c r="BB67" i="23"/>
  <c r="AY67" i="23"/>
  <c r="AX67" i="23"/>
  <c r="AW67" i="23"/>
  <c r="AV67" i="23"/>
  <c r="AU67" i="23"/>
  <c r="AU68" i="23" s="1"/>
  <c r="BF68" i="23" s="1"/>
  <c r="AT67" i="23"/>
  <c r="BF67" i="23" s="1"/>
  <c r="AQ67" i="23"/>
  <c r="AP67" i="23"/>
  <c r="AO67" i="23"/>
  <c r="AN67" i="23"/>
  <c r="AM67" i="23"/>
  <c r="AR67" i="23" s="1"/>
  <c r="P67" i="23"/>
  <c r="BX66" i="23"/>
  <c r="BX70" i="23" s="1"/>
  <c r="BW66" i="23"/>
  <c r="BW70" i="23" s="1"/>
  <c r="BV66" i="23"/>
  <c r="BS66" i="23"/>
  <c r="BP66" i="23"/>
  <c r="BO66" i="23"/>
  <c r="BN66" i="23"/>
  <c r="BM66" i="23"/>
  <c r="BL66" i="23"/>
  <c r="BK66" i="23"/>
  <c r="BJ66" i="23"/>
  <c r="BI66" i="23"/>
  <c r="BH66" i="23"/>
  <c r="BC66" i="23"/>
  <c r="BB66" i="23"/>
  <c r="BA66" i="23"/>
  <c r="AZ66" i="23"/>
  <c r="AY66" i="23"/>
  <c r="AX66" i="23"/>
  <c r="AW66" i="23"/>
  <c r="AV66" i="23"/>
  <c r="AU66" i="23"/>
  <c r="AT66" i="23"/>
  <c r="AQ66" i="23"/>
  <c r="AP66" i="23"/>
  <c r="AO66" i="23"/>
  <c r="AN66" i="23"/>
  <c r="AM66" i="23"/>
  <c r="AL66" i="23"/>
  <c r="AK66" i="23"/>
  <c r="AJ66" i="23"/>
  <c r="AI66" i="23"/>
  <c r="AH66" i="23"/>
  <c r="AG66" i="23"/>
  <c r="AF66" i="23"/>
  <c r="AD66" i="23"/>
  <c r="P66" i="23"/>
  <c r="CH64" i="23"/>
  <c r="AQ62" i="23"/>
  <c r="AP62" i="23"/>
  <c r="AO62" i="23"/>
  <c r="AN62" i="23"/>
  <c r="AM62" i="23"/>
  <c r="AL62" i="23"/>
  <c r="AK62" i="23"/>
  <c r="AJ62" i="23"/>
  <c r="AI62" i="23"/>
  <c r="AH62" i="23"/>
  <c r="AG62" i="23"/>
  <c r="AF62" i="23"/>
  <c r="AR62" i="23" s="1"/>
  <c r="BQ60" i="23"/>
  <c r="BP60" i="23"/>
  <c r="BO60" i="23"/>
  <c r="BN60" i="23"/>
  <c r="BM60" i="23"/>
  <c r="BL60" i="23"/>
  <c r="BK60" i="23"/>
  <c r="BJ60" i="23"/>
  <c r="BI60" i="23"/>
  <c r="BH60" i="23"/>
  <c r="BT60" i="23" s="1"/>
  <c r="BT59" i="23"/>
  <c r="BB59" i="23"/>
  <c r="AR59" i="23"/>
  <c r="BQ58" i="23"/>
  <c r="AM58" i="23"/>
  <c r="AL58" i="23"/>
  <c r="AK58" i="23"/>
  <c r="AJ58" i="23"/>
  <c r="AI58" i="23"/>
  <c r="AH58" i="23"/>
  <c r="AG58" i="23"/>
  <c r="AF58" i="23"/>
  <c r="BT57" i="23"/>
  <c r="BF57" i="23"/>
  <c r="AR57" i="23"/>
  <c r="BQ56" i="23"/>
  <c r="BP56" i="23"/>
  <c r="BO56" i="23"/>
  <c r="BN56" i="23"/>
  <c r="BM56" i="23"/>
  <c r="BL56" i="23"/>
  <c r="BK56" i="23"/>
  <c r="BJ56" i="23"/>
  <c r="BI56" i="23"/>
  <c r="BH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BF55" i="23"/>
  <c r="AR55" i="23"/>
  <c r="AD55" i="23"/>
  <c r="P55" i="23"/>
  <c r="BN54" i="23"/>
  <c r="BM54" i="23"/>
  <c r="BL54" i="23"/>
  <c r="BK54" i="23"/>
  <c r="BJ54" i="23"/>
  <c r="BI54" i="23"/>
  <c r="BH54" i="23"/>
  <c r="BA54" i="23"/>
  <c r="AZ54" i="23"/>
  <c r="AY54" i="23"/>
  <c r="AX54" i="23"/>
  <c r="AW54" i="23"/>
  <c r="AV54" i="23"/>
  <c r="AU54" i="23"/>
  <c r="AT54" i="23"/>
  <c r="BT53" i="23"/>
  <c r="BB53" i="23"/>
  <c r="AR53" i="23"/>
  <c r="CB52" i="23"/>
  <c r="CA52" i="23"/>
  <c r="BY52" i="23"/>
  <c r="BQ52" i="23"/>
  <c r="BP52" i="23"/>
  <c r="BO52" i="23"/>
  <c r="BE52" i="23"/>
  <c r="BE54" i="23" s="1"/>
  <c r="BD52" i="23"/>
  <c r="BD54" i="23" s="1"/>
  <c r="BC52" i="23"/>
  <c r="BC54" i="23" s="1"/>
  <c r="BB52" i="23"/>
  <c r="BF52" i="23" s="1"/>
  <c r="BN51" i="23"/>
  <c r="BM51" i="23"/>
  <c r="BL51" i="23"/>
  <c r="BK51" i="23"/>
  <c r="BJ51" i="23"/>
  <c r="BI51" i="23"/>
  <c r="BH51" i="23"/>
  <c r="BT51" i="23" s="1"/>
  <c r="BT50" i="23"/>
  <c r="BE50" i="23"/>
  <c r="BE60" i="23" s="1"/>
  <c r="BD50" i="23"/>
  <c r="BD60" i="23" s="1"/>
  <c r="BC50" i="23"/>
  <c r="BC60" i="23" s="1"/>
  <c r="BB50" i="23"/>
  <c r="BB51" i="23" s="1"/>
  <c r="BA50" i="23"/>
  <c r="AZ50" i="23"/>
  <c r="AZ60" i="23" s="1"/>
  <c r="AY50" i="23"/>
  <c r="AY60" i="23" s="1"/>
  <c r="AX50" i="23"/>
  <c r="AX60" i="23" s="1"/>
  <c r="AW50" i="23"/>
  <c r="AW60" i="23" s="1"/>
  <c r="AV50" i="23"/>
  <c r="AV60" i="23" s="1"/>
  <c r="AU50" i="23"/>
  <c r="AU60" i="23" s="1"/>
  <c r="AT50" i="23"/>
  <c r="AQ50" i="23"/>
  <c r="AP50" i="23"/>
  <c r="AO50" i="23"/>
  <c r="AO60" i="23" s="1"/>
  <c r="AN50" i="23"/>
  <c r="AN60" i="23" s="1"/>
  <c r="AM50" i="23"/>
  <c r="AM60" i="23" s="1"/>
  <c r="AL50" i="23"/>
  <c r="AK50" i="23"/>
  <c r="AK60" i="23" s="1"/>
  <c r="AJ50" i="23"/>
  <c r="AJ60" i="23" s="1"/>
  <c r="AI50" i="23"/>
  <c r="AI60" i="23" s="1"/>
  <c r="AG50" i="23"/>
  <c r="AG60" i="23" s="1"/>
  <c r="AF50" i="23"/>
  <c r="AC50" i="23"/>
  <c r="AB50" i="23"/>
  <c r="AA50" i="23"/>
  <c r="Z50" i="23"/>
  <c r="Y50" i="23"/>
  <c r="X50" i="23"/>
  <c r="W50" i="23"/>
  <c r="R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P50" i="23" s="1"/>
  <c r="BT49" i="23"/>
  <c r="BF49" i="23"/>
  <c r="AR49" i="23"/>
  <c r="AD49" i="23"/>
  <c r="P49" i="23"/>
  <c r="BF48" i="23"/>
  <c r="BF47" i="23"/>
  <c r="AR47" i="23"/>
  <c r="BF46" i="23"/>
  <c r="AR46" i="23"/>
  <c r="BF45" i="23"/>
  <c r="AR45" i="23"/>
  <c r="CG44" i="23"/>
  <c r="CF44" i="23"/>
  <c r="CE44" i="23"/>
  <c r="CD44" i="23"/>
  <c r="CC44" i="23"/>
  <c r="CB44" i="23"/>
  <c r="CA44" i="23"/>
  <c r="BZ44" i="23"/>
  <c r="BY44" i="23"/>
  <c r="BX44" i="23"/>
  <c r="BW44" i="23"/>
  <c r="BW50" i="23" s="1"/>
  <c r="BV44" i="23"/>
  <c r="BT44" i="23"/>
  <c r="BF44" i="23"/>
  <c r="AH44" i="23"/>
  <c r="AR44" i="23" s="1"/>
  <c r="BF43" i="23"/>
  <c r="AH43" i="23"/>
  <c r="AR43" i="23" s="1"/>
  <c r="AD43" i="23"/>
  <c r="BF42" i="23"/>
  <c r="AH42" i="23"/>
  <c r="AR42" i="23" s="1"/>
  <c r="AD42" i="23"/>
  <c r="BF41" i="23"/>
  <c r="AH41" i="23"/>
  <c r="AR41" i="23" s="1"/>
  <c r="AD41" i="23"/>
  <c r="P41" i="23"/>
  <c r="BF40" i="23"/>
  <c r="AH40" i="23"/>
  <c r="AR40" i="23" s="1"/>
  <c r="AD40" i="23"/>
  <c r="P40" i="23"/>
  <c r="BF39" i="23"/>
  <c r="AH39" i="23"/>
  <c r="AR39" i="23" s="1"/>
  <c r="AD39" i="23"/>
  <c r="P39" i="23"/>
  <c r="BF38" i="23"/>
  <c r="AH38" i="23"/>
  <c r="AD38" i="23"/>
  <c r="P38" i="23"/>
  <c r="BF37" i="23"/>
  <c r="AR37" i="23"/>
  <c r="U37" i="23"/>
  <c r="T37" i="23"/>
  <c r="AD37" i="23" s="1"/>
  <c r="P37" i="23"/>
  <c r="BF36" i="23"/>
  <c r="AR36" i="23"/>
  <c r="T36" i="23"/>
  <c r="AD36" i="23" s="1"/>
  <c r="P36" i="23"/>
  <c r="BF35" i="23"/>
  <c r="AR35" i="23"/>
  <c r="U35" i="23"/>
  <c r="T35" i="23"/>
  <c r="S35" i="23"/>
  <c r="AD35" i="23" s="1"/>
  <c r="P35" i="23"/>
  <c r="BF34" i="23"/>
  <c r="AR34" i="23"/>
  <c r="AD34" i="23"/>
  <c r="P34" i="23"/>
  <c r="BF33" i="23"/>
  <c r="AR33" i="23"/>
  <c r="V33" i="23"/>
  <c r="V50" i="23" s="1"/>
  <c r="U33" i="23"/>
  <c r="AD33" i="23" s="1"/>
  <c r="P33" i="23"/>
  <c r="BF32" i="23"/>
  <c r="AR32" i="23"/>
  <c r="T32" i="23"/>
  <c r="S32" i="23"/>
  <c r="P32" i="23"/>
  <c r="BF31" i="23"/>
  <c r="AR31" i="23"/>
  <c r="AD31" i="23"/>
  <c r="P31" i="23"/>
  <c r="BF30" i="23"/>
  <c r="AR30" i="23"/>
  <c r="U30" i="23"/>
  <c r="T30" i="23"/>
  <c r="AD30" i="23" s="1"/>
  <c r="P30" i="23"/>
  <c r="BF29" i="23"/>
  <c r="AR29" i="23"/>
  <c r="U29" i="23"/>
  <c r="U50" i="23" s="1"/>
  <c r="T29" i="23"/>
  <c r="P29" i="23"/>
  <c r="CI27" i="23"/>
  <c r="CG27" i="23"/>
  <c r="CF27" i="23"/>
  <c r="CE27" i="23"/>
  <c r="CD27" i="23"/>
  <c r="CC27" i="23"/>
  <c r="CB27" i="23"/>
  <c r="CA27" i="23"/>
  <c r="BZ27" i="23"/>
  <c r="BY27" i="23"/>
  <c r="BX27" i="23"/>
  <c r="BX52" i="23" s="1"/>
  <c r="BW27" i="23"/>
  <c r="BW52" i="23" s="1"/>
  <c r="BS27" i="23"/>
  <c r="BR27" i="23"/>
  <c r="BQ27" i="23"/>
  <c r="BE27" i="23"/>
  <c r="BE58" i="23" s="1"/>
  <c r="BD27" i="23"/>
  <c r="BD58" i="23" s="1"/>
  <c r="BC27" i="23"/>
  <c r="BC58" i="23" s="1"/>
  <c r="BB27" i="23"/>
  <c r="BB58" i="23" s="1"/>
  <c r="BA27" i="23"/>
  <c r="BA58" i="23" s="1"/>
  <c r="AZ27" i="23"/>
  <c r="AZ58" i="23" s="1"/>
  <c r="AY27" i="23"/>
  <c r="AY58" i="23" s="1"/>
  <c r="AX27" i="23"/>
  <c r="AX58" i="23" s="1"/>
  <c r="AW27" i="23"/>
  <c r="AW58" i="23" s="1"/>
  <c r="AV27" i="23"/>
  <c r="AV58" i="23" s="1"/>
  <c r="AU27" i="23"/>
  <c r="AU58" i="23" s="1"/>
  <c r="AT27" i="23"/>
  <c r="U27" i="23"/>
  <c r="AD27" i="23" s="1"/>
  <c r="P27" i="23"/>
  <c r="AQ26" i="23"/>
  <c r="AQ27" i="23" s="1"/>
  <c r="AQ58" i="23" s="1"/>
  <c r="AP26" i="23"/>
  <c r="AP27" i="23" s="1"/>
  <c r="AP58" i="23" s="1"/>
  <c r="AO26" i="23"/>
  <c r="AO27" i="23" s="1"/>
  <c r="AO58" i="23" s="1"/>
  <c r="AN26" i="23"/>
  <c r="AN27" i="23" s="1"/>
  <c r="CG25" i="23"/>
  <c r="CF25" i="23"/>
  <c r="CE25" i="23"/>
  <c r="CD25" i="23"/>
  <c r="CC25" i="23"/>
  <c r="CB25" i="23"/>
  <c r="CA25" i="23"/>
  <c r="BZ25" i="23"/>
  <c r="BY25" i="23"/>
  <c r="BX25" i="23"/>
  <c r="BW25" i="23"/>
  <c r="BQ25" i="23"/>
  <c r="BT25" i="23" s="1"/>
  <c r="BF25" i="23"/>
  <c r="BW24" i="23"/>
  <c r="BP24" i="23"/>
  <c r="BO24" i="23"/>
  <c r="BN24" i="23"/>
  <c r="BM24" i="23"/>
  <c r="BL24" i="23"/>
  <c r="BK24" i="23"/>
  <c r="BJ24" i="23"/>
  <c r="BI24" i="23"/>
  <c r="BH24" i="23"/>
  <c r="BE24" i="23"/>
  <c r="BD24" i="23"/>
  <c r="BC24" i="23"/>
  <c r="BB24" i="23"/>
  <c r="AZ24" i="23"/>
  <c r="AY24" i="23"/>
  <c r="CR23" i="23"/>
  <c r="CR65" i="23" s="1"/>
  <c r="CQ23" i="23"/>
  <c r="CQ65" i="23" s="1"/>
  <c r="CP23" i="23"/>
  <c r="CO23" i="23"/>
  <c r="CO65" i="23" s="1"/>
  <c r="CN23" i="23"/>
  <c r="CN65" i="23" s="1"/>
  <c r="CM23" i="23"/>
  <c r="CM65" i="23" s="1"/>
  <c r="CL23" i="23"/>
  <c r="CL65" i="23" s="1"/>
  <c r="CK23" i="23"/>
  <c r="CK65" i="23" s="1"/>
  <c r="CJ23" i="23"/>
  <c r="CJ65" i="23" s="1"/>
  <c r="CG23" i="23"/>
  <c r="CF23" i="23"/>
  <c r="CB23" i="23"/>
  <c r="CB65" i="23" s="1"/>
  <c r="CA23" i="23"/>
  <c r="CA65" i="23" s="1"/>
  <c r="BZ23" i="23"/>
  <c r="BZ65" i="23" s="1"/>
  <c r="BY23" i="23"/>
  <c r="BY65" i="23" s="1"/>
  <c r="BX23" i="23"/>
  <c r="BX65" i="23" s="1"/>
  <c r="BW23" i="23"/>
  <c r="BW65" i="23" s="1"/>
  <c r="BR23" i="23"/>
  <c r="BS52" i="23" s="1"/>
  <c r="CG52" i="23" s="1"/>
  <c r="BQ23" i="23"/>
  <c r="BQ76" i="23" s="1"/>
  <c r="BP23" i="23"/>
  <c r="BO23" i="23"/>
  <c r="BN23" i="23"/>
  <c r="BM23" i="23"/>
  <c r="BL23" i="23"/>
  <c r="BK23" i="23"/>
  <c r="BJ23" i="23"/>
  <c r="BI23" i="23"/>
  <c r="BH23" i="23"/>
  <c r="BT23" i="23" s="1"/>
  <c r="BE23" i="23"/>
  <c r="BE76" i="23" s="1"/>
  <c r="BD23" i="23"/>
  <c r="BD76" i="23" s="1"/>
  <c r="BC23" i="23"/>
  <c r="BB23" i="23"/>
  <c r="BA23" i="23"/>
  <c r="AZ23" i="23"/>
  <c r="AY23" i="23"/>
  <c r="AX23" i="23"/>
  <c r="AW23" i="23"/>
  <c r="AV23" i="23"/>
  <c r="AU23" i="23"/>
  <c r="AT23" i="23"/>
  <c r="BF23" i="23" s="1"/>
  <c r="AQ23" i="23"/>
  <c r="AP23" i="23"/>
  <c r="AO23" i="23"/>
  <c r="AN23" i="23"/>
  <c r="AM23" i="23"/>
  <c r="AL23" i="23"/>
  <c r="AK23" i="23"/>
  <c r="AJ23" i="23"/>
  <c r="AI23" i="23"/>
  <c r="AG23" i="23"/>
  <c r="AF23" i="23"/>
  <c r="AC23" i="23"/>
  <c r="AC76" i="23" s="1"/>
  <c r="AB23" i="23"/>
  <c r="AB76" i="23" s="1"/>
  <c r="AA23" i="23"/>
  <c r="AA76" i="23" s="1"/>
  <c r="Z23" i="23"/>
  <c r="Z76" i="23" s="1"/>
  <c r="Y23" i="23"/>
  <c r="Y76" i="23" s="1"/>
  <c r="X23" i="23"/>
  <c r="X76" i="23" s="1"/>
  <c r="W23" i="23"/>
  <c r="W76" i="23" s="1"/>
  <c r="V23" i="23"/>
  <c r="V76" i="23" s="1"/>
  <c r="U23" i="23"/>
  <c r="U76" i="23" s="1"/>
  <c r="R23" i="23"/>
  <c r="P23" i="23"/>
  <c r="O23" i="23"/>
  <c r="O76" i="23" s="1"/>
  <c r="N23" i="23"/>
  <c r="N76" i="23" s="1"/>
  <c r="M23" i="23"/>
  <c r="M76" i="23" s="1"/>
  <c r="L23" i="23"/>
  <c r="L76" i="23" s="1"/>
  <c r="K23" i="23"/>
  <c r="J23" i="23"/>
  <c r="I23" i="23"/>
  <c r="H23" i="23"/>
  <c r="G23" i="23"/>
  <c r="F23" i="23"/>
  <c r="E23" i="23"/>
  <c r="D23" i="23"/>
  <c r="BG20" i="23"/>
  <c r="CD19" i="23"/>
  <c r="CD20" i="23" s="1"/>
  <c r="CC19" i="23"/>
  <c r="CC20" i="23" s="1"/>
  <c r="CB19" i="23"/>
  <c r="CB20" i="23" s="1"/>
  <c r="CA19" i="23"/>
  <c r="CA20" i="23" s="1"/>
  <c r="BZ19" i="23"/>
  <c r="BZ20" i="23" s="1"/>
  <c r="BY19" i="23"/>
  <c r="BY20" i="23" s="1"/>
  <c r="BX19" i="23"/>
  <c r="BX20" i="23" s="1"/>
  <c r="BW19" i="23"/>
  <c r="BW20" i="23" s="1"/>
  <c r="BV19" i="23"/>
  <c r="BV20" i="23" s="1"/>
  <c r="BS19" i="23"/>
  <c r="BR19" i="23"/>
  <c r="BR20" i="23" s="1"/>
  <c r="BQ19" i="23"/>
  <c r="BQ20" i="23" s="1"/>
  <c r="BP19" i="23"/>
  <c r="BP20" i="23" s="1"/>
  <c r="BO19" i="23"/>
  <c r="BO20" i="23" s="1"/>
  <c r="BN19" i="23"/>
  <c r="BN20" i="23" s="1"/>
  <c r="BM19" i="23"/>
  <c r="BM20" i="23" s="1"/>
  <c r="BL19" i="23"/>
  <c r="BL20" i="23" s="1"/>
  <c r="BK19" i="23"/>
  <c r="BK20" i="23" s="1"/>
  <c r="BJ19" i="23"/>
  <c r="BJ20" i="23" s="1"/>
  <c r="BI19" i="23"/>
  <c r="BI20" i="23" s="1"/>
  <c r="BH19" i="23"/>
  <c r="BH20" i="23" s="1"/>
  <c r="BE19" i="23"/>
  <c r="BE20" i="23" s="1"/>
  <c r="BD19" i="23"/>
  <c r="BD20" i="23" s="1"/>
  <c r="BC19" i="23"/>
  <c r="BC20" i="23" s="1"/>
  <c r="BB19" i="23"/>
  <c r="BB20" i="23" s="1"/>
  <c r="BA19" i="23"/>
  <c r="BA20" i="23" s="1"/>
  <c r="AZ19" i="23"/>
  <c r="AZ20" i="23" s="1"/>
  <c r="AY19" i="23"/>
  <c r="AY20" i="23" s="1"/>
  <c r="AX19" i="23"/>
  <c r="AX20" i="23" s="1"/>
  <c r="AW19" i="23"/>
  <c r="AW20" i="23" s="1"/>
  <c r="AV19" i="23"/>
  <c r="AV20" i="23" s="1"/>
  <c r="AU19" i="23"/>
  <c r="AU20" i="23" s="1"/>
  <c r="AT19" i="23"/>
  <c r="AQ19" i="23"/>
  <c r="AP19" i="23"/>
  <c r="AP20" i="23" s="1"/>
  <c r="AO19" i="23"/>
  <c r="AO20" i="23" s="1"/>
  <c r="AN19" i="23"/>
  <c r="AN20" i="23" s="1"/>
  <c r="AM19" i="23"/>
  <c r="AM20" i="23" s="1"/>
  <c r="AL19" i="23"/>
  <c r="AL20" i="23" s="1"/>
  <c r="AK19" i="23"/>
  <c r="AK20" i="23" s="1"/>
  <c r="AJ19" i="23"/>
  <c r="AJ20" i="23" s="1"/>
  <c r="AI19" i="23"/>
  <c r="AI20" i="23" s="1"/>
  <c r="AH19" i="23"/>
  <c r="AH20" i="23" s="1"/>
  <c r="AG19" i="23"/>
  <c r="AG20" i="23" s="1"/>
  <c r="AF19" i="23"/>
  <c r="AF20" i="23" s="1"/>
  <c r="AC19" i="23"/>
  <c r="AB19" i="23"/>
  <c r="AA19" i="23"/>
  <c r="Z19" i="23"/>
  <c r="Y19" i="23"/>
  <c r="X19" i="23"/>
  <c r="AD19" i="23" s="1"/>
  <c r="W19" i="23"/>
  <c r="V19" i="23"/>
  <c r="U19" i="23"/>
  <c r="T19" i="23"/>
  <c r="S19" i="23"/>
  <c r="R19" i="23"/>
  <c r="O19" i="23"/>
  <c r="N19" i="23"/>
  <c r="M19" i="23"/>
  <c r="L19" i="23"/>
  <c r="K19" i="23"/>
  <c r="J19" i="23"/>
  <c r="P19" i="23" s="1"/>
  <c r="H19" i="23"/>
  <c r="G19" i="23"/>
  <c r="F19" i="23"/>
  <c r="E19" i="23"/>
  <c r="D19" i="23"/>
  <c r="CH17" i="23"/>
  <c r="BT17" i="23"/>
  <c r="BF17" i="23"/>
  <c r="AR17" i="23"/>
  <c r="CH16" i="23"/>
  <c r="BT16" i="23"/>
  <c r="BF16" i="23"/>
  <c r="AR16" i="23"/>
  <c r="CH15" i="23"/>
  <c r="BT15" i="23"/>
  <c r="BF15" i="23"/>
  <c r="AR15" i="23"/>
  <c r="CH14" i="23"/>
  <c r="BT14" i="23"/>
  <c r="BF14" i="23"/>
  <c r="AR14" i="23"/>
  <c r="U14" i="23"/>
  <c r="BT13" i="23"/>
  <c r="BF13" i="23"/>
  <c r="AR13" i="23"/>
  <c r="I13" i="23"/>
  <c r="I19" i="23" s="1"/>
  <c r="BZ10" i="23"/>
  <c r="BY10" i="23"/>
  <c r="BX10" i="23"/>
  <c r="BV10" i="23"/>
  <c r="BS10" i="23"/>
  <c r="BR10" i="23"/>
  <c r="BQ10" i="23"/>
  <c r="BP10" i="23"/>
  <c r="BO10" i="23"/>
  <c r="BN10" i="23"/>
  <c r="BM10" i="23"/>
  <c r="BL10" i="23"/>
  <c r="BK10" i="23"/>
  <c r="BJ10" i="23"/>
  <c r="BI10" i="23"/>
  <c r="BH10" i="23"/>
  <c r="BE10" i="23"/>
  <c r="BD10" i="23"/>
  <c r="BC10" i="23"/>
  <c r="BB10" i="23"/>
  <c r="BA10" i="23"/>
  <c r="AZ10" i="23"/>
  <c r="AY10" i="23"/>
  <c r="AX10" i="23"/>
  <c r="AW10" i="23"/>
  <c r="AV10" i="23"/>
  <c r="AU10" i="23"/>
  <c r="AT10" i="23"/>
  <c r="AQ10" i="23"/>
  <c r="AP10" i="23"/>
  <c r="AO10" i="23"/>
  <c r="AN10" i="23"/>
  <c r="AM10" i="23"/>
  <c r="AL10" i="23"/>
  <c r="AK10" i="23"/>
  <c r="AJ10" i="23"/>
  <c r="AI10" i="23"/>
  <c r="AH10" i="23"/>
  <c r="AG10" i="23"/>
  <c r="AF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CU7" i="23"/>
  <c r="CU66" i="23" s="1"/>
  <c r="CT7" i="23"/>
  <c r="CT66" i="23" s="1"/>
  <c r="CS7" i="23"/>
  <c r="CS66" i="23" s="1"/>
  <c r="CR7" i="23"/>
  <c r="CR66" i="23" s="1"/>
  <c r="CQ7" i="23"/>
  <c r="CQ66" i="23" s="1"/>
  <c r="CP7" i="23"/>
  <c r="CO7" i="23"/>
  <c r="CN7" i="23"/>
  <c r="CM7" i="23"/>
  <c r="CL7" i="23"/>
  <c r="CK7" i="23"/>
  <c r="CJ7" i="23"/>
  <c r="CG7" i="23"/>
  <c r="CF7" i="23"/>
  <c r="CE7" i="23"/>
  <c r="CD7" i="23"/>
  <c r="CC7" i="23"/>
  <c r="CB7" i="23"/>
  <c r="CA7" i="23"/>
  <c r="BZ7" i="23"/>
  <c r="BY7" i="23"/>
  <c r="CS7" i="22"/>
  <c r="CS77" i="22" s="1"/>
  <c r="CS84" i="22" s="1"/>
  <c r="CT77" i="22"/>
  <c r="CT84" i="22" s="1"/>
  <c r="K82" i="22"/>
  <c r="J82" i="22"/>
  <c r="I82" i="22"/>
  <c r="H82" i="22"/>
  <c r="G82" i="22"/>
  <c r="F82" i="22"/>
  <c r="E82" i="22"/>
  <c r="D82" i="22"/>
  <c r="P82" i="22" s="1"/>
  <c r="BT80" i="22"/>
  <c r="BF80" i="22"/>
  <c r="AL80" i="22"/>
  <c r="AK80" i="22"/>
  <c r="AJ80" i="22"/>
  <c r="AI80" i="22"/>
  <c r="AH80" i="22"/>
  <c r="AG80" i="22"/>
  <c r="AF80" i="22"/>
  <c r="AR80" i="22" s="1"/>
  <c r="BT79" i="22"/>
  <c r="BB79" i="22"/>
  <c r="BF79" i="22" s="1"/>
  <c r="AR79" i="22"/>
  <c r="CG78" i="22"/>
  <c r="CD78" i="22"/>
  <c r="CC78" i="22"/>
  <c r="CB78" i="22"/>
  <c r="BQ78" i="22"/>
  <c r="BQ81" i="22" s="1"/>
  <c r="BP78" i="22"/>
  <c r="BO78" i="22"/>
  <c r="BN78" i="22"/>
  <c r="BM78" i="22"/>
  <c r="BL78" i="22"/>
  <c r="BK78" i="22"/>
  <c r="BJ78" i="22"/>
  <c r="BI78" i="22"/>
  <c r="BH78" i="22"/>
  <c r="BE78" i="22"/>
  <c r="BE81" i="22" s="1"/>
  <c r="BD78" i="22"/>
  <c r="BD81" i="22" s="1"/>
  <c r="BC78" i="22"/>
  <c r="BB78" i="22"/>
  <c r="BA78" i="22"/>
  <c r="AZ78" i="22"/>
  <c r="AY78" i="22"/>
  <c r="AX78" i="22"/>
  <c r="AW78" i="22"/>
  <c r="AV78" i="22"/>
  <c r="AU78" i="22"/>
  <c r="AT78" i="22"/>
  <c r="AQ78" i="22"/>
  <c r="AP78" i="22"/>
  <c r="AO78" i="22"/>
  <c r="AN78" i="22"/>
  <c r="AM78" i="22"/>
  <c r="AD78" i="22"/>
  <c r="P78" i="22"/>
  <c r="BE76" i="22"/>
  <c r="BD76" i="22"/>
  <c r="CO75" i="22"/>
  <c r="CN75" i="22"/>
  <c r="CM75" i="22"/>
  <c r="CK75" i="22"/>
  <c r="CJ75" i="22"/>
  <c r="BS75" i="22"/>
  <c r="BT75" i="22" s="1"/>
  <c r="BF75" i="22"/>
  <c r="AR75" i="22"/>
  <c r="BX74" i="22"/>
  <c r="BW74" i="22"/>
  <c r="BV74" i="22"/>
  <c r="BT74" i="22"/>
  <c r="BF74" i="22"/>
  <c r="AR74" i="22"/>
  <c r="CC73" i="22"/>
  <c r="BS73" i="22"/>
  <c r="BO73" i="22"/>
  <c r="BN73" i="22"/>
  <c r="BM73" i="22"/>
  <c r="BL73" i="22"/>
  <c r="BK73" i="22"/>
  <c r="BJ73" i="22"/>
  <c r="BI73" i="22"/>
  <c r="BH73" i="22"/>
  <c r="BE73" i="22"/>
  <c r="BD73" i="22"/>
  <c r="BA73" i="22"/>
  <c r="AL73" i="22"/>
  <c r="AK73" i="22"/>
  <c r="AJ73" i="22"/>
  <c r="AI73" i="22"/>
  <c r="AH73" i="22"/>
  <c r="AG73" i="22"/>
  <c r="AF73" i="22"/>
  <c r="AR73" i="22" s="1"/>
  <c r="AC73" i="22"/>
  <c r="AB73" i="22"/>
  <c r="AA73" i="22"/>
  <c r="Z73" i="22"/>
  <c r="Y73" i="22"/>
  <c r="X73" i="22"/>
  <c r="W73" i="22"/>
  <c r="V73" i="22"/>
  <c r="U73" i="22"/>
  <c r="T73" i="22"/>
  <c r="S73" i="22"/>
  <c r="R73" i="22"/>
  <c r="BX72" i="22"/>
  <c r="BW72" i="22"/>
  <c r="BV72" i="22"/>
  <c r="BR72" i="22"/>
  <c r="BR73" i="22" s="1"/>
  <c r="BQ72" i="22"/>
  <c r="BQ73" i="22" s="1"/>
  <c r="BP72" i="22"/>
  <c r="BC72" i="22"/>
  <c r="BB72" i="22"/>
  <c r="AY72" i="22"/>
  <c r="AX72" i="22"/>
  <c r="AW72" i="22"/>
  <c r="AV72" i="22"/>
  <c r="AU72" i="22"/>
  <c r="AU73" i="22" s="1"/>
  <c r="BF73" i="22" s="1"/>
  <c r="AT72" i="22"/>
  <c r="BF72" i="22" s="1"/>
  <c r="AQ72" i="22"/>
  <c r="AP72" i="22"/>
  <c r="AO72" i="22"/>
  <c r="AN72" i="22"/>
  <c r="AM72" i="22"/>
  <c r="AR72" i="22" s="1"/>
  <c r="P72" i="22"/>
  <c r="BX71" i="22"/>
  <c r="BX75" i="22" s="1"/>
  <c r="BW71" i="22"/>
  <c r="BW75" i="22" s="1"/>
  <c r="BV71" i="22"/>
  <c r="BS71" i="22"/>
  <c r="BP71" i="22"/>
  <c r="BO71" i="22"/>
  <c r="BN71" i="22"/>
  <c r="BM71" i="22"/>
  <c r="BL71" i="22"/>
  <c r="BK71" i="22"/>
  <c r="BJ71" i="22"/>
  <c r="BI71" i="22"/>
  <c r="BH71" i="22"/>
  <c r="BC71" i="22"/>
  <c r="BB71" i="22"/>
  <c r="BA71" i="22"/>
  <c r="AZ71" i="22"/>
  <c r="AY71" i="22"/>
  <c r="AX71" i="22"/>
  <c r="AW71" i="22"/>
  <c r="AV71" i="22"/>
  <c r="AU71" i="22"/>
  <c r="AT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D71" i="22"/>
  <c r="P71" i="22"/>
  <c r="CV69" i="22"/>
  <c r="AQ67" i="22"/>
  <c r="AP67" i="22"/>
  <c r="AO67" i="22"/>
  <c r="AN67" i="22"/>
  <c r="AM67" i="22"/>
  <c r="AL67" i="22"/>
  <c r="AK67" i="22"/>
  <c r="AJ67" i="22"/>
  <c r="AI67" i="22"/>
  <c r="AH67" i="22"/>
  <c r="AG67" i="22"/>
  <c r="AF67" i="22"/>
  <c r="AR67" i="22" s="1"/>
  <c r="BQ65" i="22"/>
  <c r="BP65" i="22"/>
  <c r="BO65" i="22"/>
  <c r="BN65" i="22"/>
  <c r="BM65" i="22"/>
  <c r="BL65" i="22"/>
  <c r="BK65" i="22"/>
  <c r="BJ65" i="22"/>
  <c r="BI65" i="22"/>
  <c r="BH65" i="22"/>
  <c r="BT65" i="22" s="1"/>
  <c r="BT64" i="22"/>
  <c r="BB64" i="22"/>
  <c r="AR64" i="22"/>
  <c r="BQ63" i="22"/>
  <c r="AM63" i="22"/>
  <c r="AL63" i="22"/>
  <c r="AK63" i="22"/>
  <c r="AJ63" i="22"/>
  <c r="AI63" i="22"/>
  <c r="AH63" i="22"/>
  <c r="AG63" i="22"/>
  <c r="AF63" i="22"/>
  <c r="BT62" i="22"/>
  <c r="BF62" i="22"/>
  <c r="AR62" i="22"/>
  <c r="BQ61" i="22"/>
  <c r="BP61" i="22"/>
  <c r="BO61" i="22"/>
  <c r="BN61" i="22"/>
  <c r="BM61" i="22"/>
  <c r="BL61" i="22"/>
  <c r="BK61" i="22"/>
  <c r="BJ61" i="22"/>
  <c r="BI61" i="22"/>
  <c r="BH61" i="22"/>
  <c r="BE61" i="22"/>
  <c r="BD61" i="22"/>
  <c r="BC61" i="22"/>
  <c r="BB61" i="22"/>
  <c r="BA61" i="22"/>
  <c r="AZ61" i="22"/>
  <c r="AY61" i="22"/>
  <c r="AX61" i="22"/>
  <c r="AW61" i="22"/>
  <c r="AV61" i="22"/>
  <c r="AU61" i="22"/>
  <c r="AT61" i="22"/>
  <c r="AQ61" i="22"/>
  <c r="AP61" i="22"/>
  <c r="AO61" i="22"/>
  <c r="AN61" i="22"/>
  <c r="AM61" i="22"/>
  <c r="AL61" i="22"/>
  <c r="AK61" i="22"/>
  <c r="AJ61" i="22"/>
  <c r="AI61" i="22"/>
  <c r="AH61" i="22"/>
  <c r="AG61" i="22"/>
  <c r="AF61" i="22"/>
  <c r="BF60" i="22"/>
  <c r="AR60" i="22"/>
  <c r="AD60" i="22"/>
  <c r="P60" i="22"/>
  <c r="BN59" i="22"/>
  <c r="BM59" i="22"/>
  <c r="BL59" i="22"/>
  <c r="BK59" i="22"/>
  <c r="BJ59" i="22"/>
  <c r="BI59" i="22"/>
  <c r="BH59" i="22"/>
  <c r="BA59" i="22"/>
  <c r="AZ59" i="22"/>
  <c r="AY59" i="22"/>
  <c r="AX59" i="22"/>
  <c r="AW59" i="22"/>
  <c r="AV59" i="22"/>
  <c r="AU59" i="22"/>
  <c r="AT59" i="22"/>
  <c r="BT58" i="22"/>
  <c r="BB58" i="22"/>
  <c r="AR58" i="22"/>
  <c r="BQ57" i="22"/>
  <c r="BP57" i="22"/>
  <c r="BO57" i="22"/>
  <c r="BE57" i="22"/>
  <c r="BE59" i="22" s="1"/>
  <c r="BD57" i="22"/>
  <c r="BD59" i="22" s="1"/>
  <c r="BC57" i="22"/>
  <c r="BC59" i="22" s="1"/>
  <c r="BB57" i="22"/>
  <c r="BF57" i="22" s="1"/>
  <c r="BN56" i="22"/>
  <c r="BM56" i="22"/>
  <c r="BL56" i="22"/>
  <c r="BK56" i="22"/>
  <c r="BJ56" i="22"/>
  <c r="BI56" i="22"/>
  <c r="BH56" i="22"/>
  <c r="BT56" i="22" s="1"/>
  <c r="BT55" i="22"/>
  <c r="BE55" i="22"/>
  <c r="BE65" i="22" s="1"/>
  <c r="BD55" i="22"/>
  <c r="BD65" i="22" s="1"/>
  <c r="BC55" i="22"/>
  <c r="BC65" i="22" s="1"/>
  <c r="BB55" i="22"/>
  <c r="BB56" i="22" s="1"/>
  <c r="BA55" i="22"/>
  <c r="AZ55" i="22"/>
  <c r="AZ65" i="22" s="1"/>
  <c r="AY55" i="22"/>
  <c r="AY65" i="22" s="1"/>
  <c r="AX55" i="22"/>
  <c r="AX65" i="22" s="1"/>
  <c r="AW55" i="22"/>
  <c r="AW65" i="22" s="1"/>
  <c r="AV55" i="22"/>
  <c r="AV65" i="22" s="1"/>
  <c r="AU55" i="22"/>
  <c r="AU65" i="22" s="1"/>
  <c r="AT55" i="22"/>
  <c r="AQ55" i="22"/>
  <c r="AP55" i="22"/>
  <c r="AO55" i="22"/>
  <c r="AO65" i="22" s="1"/>
  <c r="AN55" i="22"/>
  <c r="AN65" i="22" s="1"/>
  <c r="AM55" i="22"/>
  <c r="AM65" i="22" s="1"/>
  <c r="AL55" i="22"/>
  <c r="AK55" i="22"/>
  <c r="AK65" i="22" s="1"/>
  <c r="AJ55" i="22"/>
  <c r="AJ65" i="22" s="1"/>
  <c r="AI55" i="22"/>
  <c r="AI65" i="22" s="1"/>
  <c r="AG55" i="22"/>
  <c r="AG65" i="22" s="1"/>
  <c r="AF55" i="22"/>
  <c r="AC55" i="22"/>
  <c r="AB55" i="22"/>
  <c r="AA55" i="22"/>
  <c r="Z55" i="22"/>
  <c r="Y55" i="22"/>
  <c r="X55" i="22"/>
  <c r="W55" i="22"/>
  <c r="R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P55" i="22" s="1"/>
  <c r="BT54" i="22"/>
  <c r="BF54" i="22"/>
  <c r="AR54" i="22"/>
  <c r="AD54" i="22"/>
  <c r="P54" i="22"/>
  <c r="BF53" i="22"/>
  <c r="BF52" i="22"/>
  <c r="AR52" i="22"/>
  <c r="BF51" i="22"/>
  <c r="AR51" i="22"/>
  <c r="BF50" i="22"/>
  <c r="AR50" i="22"/>
  <c r="CG49" i="22"/>
  <c r="CF49" i="22"/>
  <c r="CE49" i="22"/>
  <c r="CD49" i="22"/>
  <c r="CC49" i="22"/>
  <c r="CB49" i="22"/>
  <c r="CA49" i="22"/>
  <c r="BZ49" i="22"/>
  <c r="BY49" i="22"/>
  <c r="BX49" i="22"/>
  <c r="BW49" i="22"/>
  <c r="BW55" i="22" s="1"/>
  <c r="BV49" i="22"/>
  <c r="BV55" i="22" s="1"/>
  <c r="BT49" i="22"/>
  <c r="BF49" i="22"/>
  <c r="AH49" i="22"/>
  <c r="AR49" i="22" s="1"/>
  <c r="BF48" i="22"/>
  <c r="AH48" i="22"/>
  <c r="AR48" i="22" s="1"/>
  <c r="AD48" i="22"/>
  <c r="BF47" i="22"/>
  <c r="AH47" i="22"/>
  <c r="AR47" i="22" s="1"/>
  <c r="AD47" i="22"/>
  <c r="BF46" i="22"/>
  <c r="AH46" i="22"/>
  <c r="AR46" i="22" s="1"/>
  <c r="AD46" i="22"/>
  <c r="P46" i="22"/>
  <c r="BF45" i="22"/>
  <c r="AH45" i="22"/>
  <c r="AR45" i="22" s="1"/>
  <c r="AD45" i="22"/>
  <c r="P45" i="22"/>
  <c r="BF44" i="22"/>
  <c r="AH44" i="22"/>
  <c r="AR44" i="22" s="1"/>
  <c r="AD44" i="22"/>
  <c r="P44" i="22"/>
  <c r="BF43" i="22"/>
  <c r="AH43" i="22"/>
  <c r="AD43" i="22"/>
  <c r="P43" i="22"/>
  <c r="BF42" i="22"/>
  <c r="AR42" i="22"/>
  <c r="U42" i="22"/>
  <c r="T42" i="22"/>
  <c r="AD42" i="22" s="1"/>
  <c r="P42" i="22"/>
  <c r="BF41" i="22"/>
  <c r="AR41" i="22"/>
  <c r="T41" i="22"/>
  <c r="AD41" i="22" s="1"/>
  <c r="P41" i="22"/>
  <c r="BF40" i="22"/>
  <c r="AR40" i="22"/>
  <c r="U40" i="22"/>
  <c r="T40" i="22"/>
  <c r="S40" i="22"/>
  <c r="AD40" i="22" s="1"/>
  <c r="P40" i="22"/>
  <c r="BF39" i="22"/>
  <c r="AR39" i="22"/>
  <c r="AD39" i="22"/>
  <c r="P39" i="22"/>
  <c r="BF38" i="22"/>
  <c r="AR38" i="22"/>
  <c r="V38" i="22"/>
  <c r="V55" i="22" s="1"/>
  <c r="U38" i="22"/>
  <c r="AD38" i="22" s="1"/>
  <c r="P38" i="22"/>
  <c r="BF37" i="22"/>
  <c r="AR37" i="22"/>
  <c r="T37" i="22"/>
  <c r="S37" i="22"/>
  <c r="P37" i="22"/>
  <c r="BF36" i="22"/>
  <c r="AR36" i="22"/>
  <c r="AD36" i="22"/>
  <c r="P36" i="22"/>
  <c r="BF35" i="22"/>
  <c r="AR35" i="22"/>
  <c r="U35" i="22"/>
  <c r="T35" i="22"/>
  <c r="AD35" i="22" s="1"/>
  <c r="P35" i="22"/>
  <c r="BF34" i="22"/>
  <c r="AR34" i="22"/>
  <c r="U34" i="22"/>
  <c r="U55" i="22" s="1"/>
  <c r="T34" i="22"/>
  <c r="P34" i="22"/>
  <c r="CI31" i="22"/>
  <c r="CG31" i="22"/>
  <c r="CF31" i="22"/>
  <c r="CF57" i="22" s="1"/>
  <c r="CE31" i="22"/>
  <c r="CD31" i="22"/>
  <c r="CC31" i="22"/>
  <c r="CB31" i="22"/>
  <c r="CB57" i="22" s="1"/>
  <c r="CA31" i="22"/>
  <c r="CA57" i="22" s="1"/>
  <c r="BZ31" i="22"/>
  <c r="BZ57" i="22" s="1"/>
  <c r="BY31" i="22"/>
  <c r="BY57" i="22" s="1"/>
  <c r="BX31" i="22"/>
  <c r="BX57" i="22" s="1"/>
  <c r="BW31" i="22"/>
  <c r="BW57" i="22" s="1"/>
  <c r="BS31" i="22"/>
  <c r="BR31" i="22"/>
  <c r="BQ31" i="22"/>
  <c r="BE31" i="22"/>
  <c r="BE63" i="22" s="1"/>
  <c r="BD31" i="22"/>
  <c r="BD63" i="22" s="1"/>
  <c r="BC31" i="22"/>
  <c r="BC63" i="22" s="1"/>
  <c r="BB31" i="22"/>
  <c r="BB63" i="22" s="1"/>
  <c r="BA31" i="22"/>
  <c r="BA63" i="22" s="1"/>
  <c r="AZ31" i="22"/>
  <c r="AZ63" i="22" s="1"/>
  <c r="AY31" i="22"/>
  <c r="AY63" i="22" s="1"/>
  <c r="AX31" i="22"/>
  <c r="AX63" i="22" s="1"/>
  <c r="AW31" i="22"/>
  <c r="AW63" i="22" s="1"/>
  <c r="AV31" i="22"/>
  <c r="AV63" i="22" s="1"/>
  <c r="AU31" i="22"/>
  <c r="AU63" i="22" s="1"/>
  <c r="AT31" i="22"/>
  <c r="U31" i="22"/>
  <c r="AD31" i="22" s="1"/>
  <c r="P31" i="22"/>
  <c r="AQ30" i="22"/>
  <c r="AQ31" i="22" s="1"/>
  <c r="AQ63" i="22" s="1"/>
  <c r="AP30" i="22"/>
  <c r="AP31" i="22" s="1"/>
  <c r="AP63" i="22" s="1"/>
  <c r="AO30" i="22"/>
  <c r="AO31" i="22" s="1"/>
  <c r="AO63" i="22" s="1"/>
  <c r="AN30" i="22"/>
  <c r="AN31" i="22" s="1"/>
  <c r="CG29" i="22"/>
  <c r="CF29" i="22"/>
  <c r="CE29" i="22"/>
  <c r="CD29" i="22"/>
  <c r="CC29" i="22"/>
  <c r="CB29" i="22"/>
  <c r="CA29" i="22"/>
  <c r="BZ29" i="22"/>
  <c r="BY29" i="22"/>
  <c r="BX29" i="22"/>
  <c r="BW29" i="22"/>
  <c r="BQ29" i="22"/>
  <c r="BT29" i="22" s="1"/>
  <c r="BF29" i="22"/>
  <c r="BW28" i="22"/>
  <c r="BP28" i="22"/>
  <c r="BO28" i="22"/>
  <c r="BN28" i="22"/>
  <c r="BM28" i="22"/>
  <c r="BL28" i="22"/>
  <c r="BK28" i="22"/>
  <c r="BJ28" i="22"/>
  <c r="BI28" i="22"/>
  <c r="BH28" i="22"/>
  <c r="BE28" i="22"/>
  <c r="BD28" i="22"/>
  <c r="BC28" i="22"/>
  <c r="BB28" i="22"/>
  <c r="AZ28" i="22"/>
  <c r="AY28" i="22"/>
  <c r="CG27" i="22"/>
  <c r="CF27" i="22"/>
  <c r="CB27" i="22"/>
  <c r="CB70" i="22" s="1"/>
  <c r="CA27" i="22"/>
  <c r="CA70" i="22" s="1"/>
  <c r="BZ27" i="22"/>
  <c r="BZ70" i="22" s="1"/>
  <c r="BY27" i="22"/>
  <c r="BY70" i="22" s="1"/>
  <c r="BX27" i="22"/>
  <c r="BX70" i="22" s="1"/>
  <c r="BW27" i="22"/>
  <c r="BW70" i="22" s="1"/>
  <c r="BR27" i="22"/>
  <c r="BS57" i="22" s="1"/>
  <c r="CG57" i="22" s="1"/>
  <c r="BQ27" i="22"/>
  <c r="BQ82" i="22" s="1"/>
  <c r="BP27" i="22"/>
  <c r="BO27" i="22"/>
  <c r="BN27" i="22"/>
  <c r="BM27" i="22"/>
  <c r="BL27" i="22"/>
  <c r="BK27" i="22"/>
  <c r="BJ27" i="22"/>
  <c r="BI27" i="22"/>
  <c r="BH27" i="22"/>
  <c r="BT27" i="22" s="1"/>
  <c r="BE27" i="22"/>
  <c r="BE82" i="22" s="1"/>
  <c r="BD27" i="22"/>
  <c r="BD82" i="22" s="1"/>
  <c r="BC27" i="22"/>
  <c r="BB27" i="22"/>
  <c r="BA27" i="22"/>
  <c r="AZ27" i="22"/>
  <c r="AY27" i="22"/>
  <c r="AX27" i="22"/>
  <c r="AW27" i="22"/>
  <c r="AV27" i="22"/>
  <c r="AU27" i="22"/>
  <c r="AT27" i="22"/>
  <c r="BF27" i="22" s="1"/>
  <c r="AQ27" i="22"/>
  <c r="AP27" i="22"/>
  <c r="AO27" i="22"/>
  <c r="AN27" i="22"/>
  <c r="AM27" i="22"/>
  <c r="AL27" i="22"/>
  <c r="AK27" i="22"/>
  <c r="AJ27" i="22"/>
  <c r="AI27" i="22"/>
  <c r="AG27" i="22"/>
  <c r="AF27" i="22"/>
  <c r="AC27" i="22"/>
  <c r="AC82" i="22" s="1"/>
  <c r="AB27" i="22"/>
  <c r="AB82" i="22" s="1"/>
  <c r="AA27" i="22"/>
  <c r="AA82" i="22" s="1"/>
  <c r="Z27" i="22"/>
  <c r="Z82" i="22" s="1"/>
  <c r="Y27" i="22"/>
  <c r="Y82" i="22" s="1"/>
  <c r="X27" i="22"/>
  <c r="X82" i="22" s="1"/>
  <c r="W27" i="22"/>
  <c r="W82" i="22" s="1"/>
  <c r="V27" i="22"/>
  <c r="V82" i="22" s="1"/>
  <c r="U27" i="22"/>
  <c r="U82" i="22" s="1"/>
  <c r="R27" i="22"/>
  <c r="P27" i="22"/>
  <c r="O27" i="22"/>
  <c r="O82" i="22" s="1"/>
  <c r="N27" i="22"/>
  <c r="N82" i="22" s="1"/>
  <c r="M27" i="22"/>
  <c r="M82" i="22" s="1"/>
  <c r="L27" i="22"/>
  <c r="L82" i="22" s="1"/>
  <c r="K27" i="22"/>
  <c r="J27" i="22"/>
  <c r="I27" i="22"/>
  <c r="H27" i="22"/>
  <c r="G27" i="22"/>
  <c r="F27" i="22"/>
  <c r="E27" i="22"/>
  <c r="D27" i="22"/>
  <c r="BG24" i="22"/>
  <c r="CD23" i="22"/>
  <c r="CD24" i="22" s="1"/>
  <c r="CC23" i="22"/>
  <c r="CC24" i="22" s="1"/>
  <c r="CB23" i="22"/>
  <c r="CB24" i="22" s="1"/>
  <c r="CA23" i="22"/>
  <c r="CA24" i="22" s="1"/>
  <c r="BZ23" i="22"/>
  <c r="BZ24" i="22" s="1"/>
  <c r="BY23" i="22"/>
  <c r="BY24" i="22" s="1"/>
  <c r="BX23" i="22"/>
  <c r="BX24" i="22" s="1"/>
  <c r="BW23" i="22"/>
  <c r="BW24" i="22" s="1"/>
  <c r="BV23" i="22"/>
  <c r="BV24" i="22" s="1"/>
  <c r="BS23" i="22"/>
  <c r="BR23" i="22"/>
  <c r="BR24" i="22" s="1"/>
  <c r="BQ23" i="22"/>
  <c r="BQ24" i="22" s="1"/>
  <c r="BP23" i="22"/>
  <c r="BP24" i="22" s="1"/>
  <c r="BO23" i="22"/>
  <c r="BO24" i="22" s="1"/>
  <c r="BN23" i="22"/>
  <c r="BN24" i="22" s="1"/>
  <c r="BM23" i="22"/>
  <c r="BM24" i="22" s="1"/>
  <c r="BL23" i="22"/>
  <c r="BL24" i="22" s="1"/>
  <c r="BK23" i="22"/>
  <c r="BK24" i="22" s="1"/>
  <c r="BJ23" i="22"/>
  <c r="BJ24" i="22" s="1"/>
  <c r="BI23" i="22"/>
  <c r="BI24" i="22" s="1"/>
  <c r="BH23" i="22"/>
  <c r="BH24" i="22" s="1"/>
  <c r="BE23" i="22"/>
  <c r="BE24" i="22" s="1"/>
  <c r="BD23" i="22"/>
  <c r="BD24" i="22" s="1"/>
  <c r="BC23" i="22"/>
  <c r="BC24" i="22" s="1"/>
  <c r="BB23" i="22"/>
  <c r="BB24" i="22" s="1"/>
  <c r="BA23" i="22"/>
  <c r="BA24" i="22" s="1"/>
  <c r="AZ23" i="22"/>
  <c r="AZ24" i="22" s="1"/>
  <c r="AY23" i="22"/>
  <c r="AY24" i="22" s="1"/>
  <c r="AX23" i="22"/>
  <c r="AX24" i="22" s="1"/>
  <c r="AW23" i="22"/>
  <c r="AW24" i="22" s="1"/>
  <c r="AV23" i="22"/>
  <c r="AV24" i="22" s="1"/>
  <c r="AU23" i="22"/>
  <c r="AU24" i="22" s="1"/>
  <c r="AT23" i="22"/>
  <c r="AQ23" i="22"/>
  <c r="AP23" i="22"/>
  <c r="AP24" i="22" s="1"/>
  <c r="AO23" i="22"/>
  <c r="AO24" i="22" s="1"/>
  <c r="AN23" i="22"/>
  <c r="AN24" i="22" s="1"/>
  <c r="AM23" i="22"/>
  <c r="AM24" i="22" s="1"/>
  <c r="AL23" i="22"/>
  <c r="AL24" i="22" s="1"/>
  <c r="AK23" i="22"/>
  <c r="AK24" i="22" s="1"/>
  <c r="AJ23" i="22"/>
  <c r="AJ24" i="22" s="1"/>
  <c r="AI23" i="22"/>
  <c r="AI24" i="22" s="1"/>
  <c r="AH23" i="22"/>
  <c r="AH24" i="22" s="1"/>
  <c r="AG23" i="22"/>
  <c r="AG24" i="22" s="1"/>
  <c r="AF23" i="22"/>
  <c r="AF24" i="22" s="1"/>
  <c r="AC23" i="22"/>
  <c r="AB23" i="22"/>
  <c r="AA23" i="22"/>
  <c r="Z23" i="22"/>
  <c r="Y23" i="22"/>
  <c r="X23" i="22"/>
  <c r="AD23" i="22" s="1"/>
  <c r="W23" i="22"/>
  <c r="V23" i="22"/>
  <c r="U23" i="22"/>
  <c r="T23" i="22"/>
  <c r="S23" i="22"/>
  <c r="R23" i="22"/>
  <c r="O23" i="22"/>
  <c r="N23" i="22"/>
  <c r="M23" i="22"/>
  <c r="L23" i="22"/>
  <c r="K23" i="22"/>
  <c r="J23" i="22"/>
  <c r="P23" i="22" s="1"/>
  <c r="H23" i="22"/>
  <c r="G23" i="22"/>
  <c r="F23" i="22"/>
  <c r="E23" i="22"/>
  <c r="D23" i="22"/>
  <c r="CH19" i="22"/>
  <c r="BT19" i="22"/>
  <c r="BF19" i="22"/>
  <c r="AR19" i="22"/>
  <c r="CH18" i="22"/>
  <c r="BT18" i="22"/>
  <c r="BF18" i="22"/>
  <c r="AR18" i="22"/>
  <c r="CH17" i="22"/>
  <c r="BT17" i="22"/>
  <c r="BF17" i="22"/>
  <c r="AR17" i="22"/>
  <c r="CH16" i="22"/>
  <c r="BT16" i="22"/>
  <c r="BF16" i="22"/>
  <c r="AR16" i="22"/>
  <c r="U16" i="22"/>
  <c r="BT15" i="22"/>
  <c r="BF15" i="22"/>
  <c r="AR15" i="22"/>
  <c r="I15" i="22"/>
  <c r="I23" i="22" s="1"/>
  <c r="BS10" i="22"/>
  <c r="BR10" i="22"/>
  <c r="BQ10" i="22"/>
  <c r="BP10" i="22"/>
  <c r="BO10" i="22"/>
  <c r="BN10" i="22"/>
  <c r="BM10" i="22"/>
  <c r="BL10" i="22"/>
  <c r="BK10" i="22"/>
  <c r="BJ10" i="22"/>
  <c r="BI10" i="22"/>
  <c r="BH10" i="22"/>
  <c r="BE10" i="22"/>
  <c r="BD10" i="22"/>
  <c r="BC10" i="22"/>
  <c r="BB10" i="22"/>
  <c r="BA10" i="22"/>
  <c r="AZ10" i="22"/>
  <c r="AY10" i="22"/>
  <c r="AX10" i="22"/>
  <c r="AW10" i="22"/>
  <c r="AV10" i="22"/>
  <c r="AU10" i="22"/>
  <c r="AT10" i="22"/>
  <c r="AQ10" i="22"/>
  <c r="AP10" i="22"/>
  <c r="AO10" i="22"/>
  <c r="AN10" i="22"/>
  <c r="AM10" i="22"/>
  <c r="AL10" i="22"/>
  <c r="AK10" i="22"/>
  <c r="AJ10" i="22"/>
  <c r="AI10" i="22"/>
  <c r="AH10" i="22"/>
  <c r="AG10" i="22"/>
  <c r="AF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CU77" i="22"/>
  <c r="CU84" i="22" s="1"/>
  <c r="CT86" i="22"/>
  <c r="CS86" i="22"/>
  <c r="CR7" i="22"/>
  <c r="CP7" i="22"/>
  <c r="CP71" i="22" s="1"/>
  <c r="CO77" i="22"/>
  <c r="CO84" i="22" s="1"/>
  <c r="CM7" i="22"/>
  <c r="CL71" i="22"/>
  <c r="CD7" i="22"/>
  <c r="CC7" i="22"/>
  <c r="CB7" i="22"/>
  <c r="CA7" i="22"/>
  <c r="BZ7" i="22"/>
  <c r="BY7" i="22"/>
  <c r="CK7" i="16"/>
  <c r="CL7" i="16"/>
  <c r="CM7" i="16"/>
  <c r="CN7" i="16"/>
  <c r="CO7" i="16"/>
  <c r="CJ7" i="16"/>
  <c r="CU7" i="16"/>
  <c r="CT7" i="16"/>
  <c r="CS7" i="16"/>
  <c r="CR7" i="16"/>
  <c r="CQ7" i="16"/>
  <c r="CP7" i="16"/>
  <c r="CK70" i="16"/>
  <c r="CL70" i="16"/>
  <c r="CM70" i="16"/>
  <c r="CN70" i="16"/>
  <c r="CO70" i="16"/>
  <c r="CJ70" i="16"/>
  <c r="CM23" i="16"/>
  <c r="CM65" i="16" s="1"/>
  <c r="CN23" i="16"/>
  <c r="CN65" i="16" s="1"/>
  <c r="CO23" i="16"/>
  <c r="CO65" i="16" s="1"/>
  <c r="CP23" i="16"/>
  <c r="CP65" i="16" s="1"/>
  <c r="CQ23" i="16"/>
  <c r="CQ65" i="16" s="1"/>
  <c r="CR23" i="16"/>
  <c r="CR65" i="16" s="1"/>
  <c r="CK23" i="16"/>
  <c r="CL23" i="16"/>
  <c r="CJ23" i="16"/>
  <c r="CJ65" i="16" s="1"/>
  <c r="CJ68" i="16"/>
  <c r="CJ66" i="16" s="1"/>
  <c r="CJ67" i="16" s="1"/>
  <c r="CH16" i="16"/>
  <c r="BT16" i="16"/>
  <c r="BF16" i="16"/>
  <c r="AR16" i="16"/>
  <c r="CF7" i="16"/>
  <c r="CD72" i="16"/>
  <c r="J1" i="17"/>
  <c r="CV65" i="16"/>
  <c r="CB72" i="16"/>
  <c r="BV66" i="16"/>
  <c r="BW66" i="16"/>
  <c r="BW70" i="16" s="1"/>
  <c r="BX66" i="16"/>
  <c r="BX70" i="16" s="1"/>
  <c r="BV70" i="16"/>
  <c r="F1" i="17"/>
  <c r="CC7" i="16"/>
  <c r="CG7" i="16"/>
  <c r="G12" i="18"/>
  <c r="H12" i="18"/>
  <c r="I12" i="18"/>
  <c r="J12" i="18"/>
  <c r="F12" i="18"/>
  <c r="F13" i="18" s="1"/>
  <c r="G13" i="18" s="1"/>
  <c r="H13" i="18" s="1"/>
  <c r="G11" i="18"/>
  <c r="H11" i="18"/>
  <c r="I11" i="18"/>
  <c r="J11" i="18"/>
  <c r="F11" i="18"/>
  <c r="CD7" i="16"/>
  <c r="C1" i="17"/>
  <c r="CE7" i="16"/>
  <c r="K76" i="16"/>
  <c r="J76" i="16"/>
  <c r="I76" i="16"/>
  <c r="H76" i="16"/>
  <c r="G76" i="16"/>
  <c r="F76" i="16"/>
  <c r="E76" i="16"/>
  <c r="D76" i="16"/>
  <c r="P76" i="16" s="1"/>
  <c r="BT74" i="16"/>
  <c r="BF74" i="16"/>
  <c r="AL74" i="16"/>
  <c r="AK74" i="16"/>
  <c r="AJ74" i="16"/>
  <c r="AI74" i="16"/>
  <c r="AH74" i="16"/>
  <c r="AG74" i="16"/>
  <c r="AF74" i="16"/>
  <c r="AR74" i="16" s="1"/>
  <c r="BT73" i="16"/>
  <c r="BB73" i="16"/>
  <c r="BF73" i="16" s="1"/>
  <c r="AR73" i="16"/>
  <c r="CG72" i="16"/>
  <c r="CF72" i="16"/>
  <c r="CE72" i="16"/>
  <c r="CC72" i="16"/>
  <c r="BQ72" i="16"/>
  <c r="BQ75" i="16" s="1"/>
  <c r="BP72" i="16"/>
  <c r="BO72" i="16"/>
  <c r="BN72" i="16"/>
  <c r="BM72" i="16"/>
  <c r="BL72" i="16"/>
  <c r="BK72" i="16"/>
  <c r="BJ72" i="16"/>
  <c r="BI72" i="16"/>
  <c r="BH72" i="16"/>
  <c r="BE72" i="16"/>
  <c r="BE75" i="16" s="1"/>
  <c r="BD72" i="16"/>
  <c r="BD75" i="16" s="1"/>
  <c r="BC72" i="16"/>
  <c r="BB72" i="16"/>
  <c r="BA72" i="16"/>
  <c r="AZ72" i="16"/>
  <c r="AY72" i="16"/>
  <c r="AX72" i="16"/>
  <c r="AW72" i="16"/>
  <c r="AV72" i="16"/>
  <c r="AU72" i="16"/>
  <c r="AT72" i="16"/>
  <c r="AQ72" i="16"/>
  <c r="AP72" i="16"/>
  <c r="AO72" i="16"/>
  <c r="AN72" i="16"/>
  <c r="AM72" i="16"/>
  <c r="AD72" i="16"/>
  <c r="P72" i="16"/>
  <c r="BE71" i="16"/>
  <c r="BD71" i="16"/>
  <c r="BS70" i="16"/>
  <c r="BF70" i="16"/>
  <c r="AR70" i="16"/>
  <c r="CO69" i="16"/>
  <c r="CN69" i="16"/>
  <c r="CM69" i="16"/>
  <c r="CL69" i="16"/>
  <c r="CK69" i="16"/>
  <c r="CJ69" i="16"/>
  <c r="BX69" i="16"/>
  <c r="BW69" i="16"/>
  <c r="BV69" i="16"/>
  <c r="BT69" i="16"/>
  <c r="BF69" i="16"/>
  <c r="AR69" i="16"/>
  <c r="CC68" i="16"/>
  <c r="BS68" i="16"/>
  <c r="BO68" i="16"/>
  <c r="BN68" i="16"/>
  <c r="BM68" i="16"/>
  <c r="BL68" i="16"/>
  <c r="BK68" i="16"/>
  <c r="BJ68" i="16"/>
  <c r="BI68" i="16"/>
  <c r="BH68" i="16"/>
  <c r="BE68" i="16"/>
  <c r="BD68" i="16"/>
  <c r="BA68" i="16"/>
  <c r="AL68" i="16"/>
  <c r="AK68" i="16"/>
  <c r="AJ68" i="16"/>
  <c r="AI68" i="16"/>
  <c r="AH68" i="16"/>
  <c r="AG68" i="16"/>
  <c r="AF68" i="16"/>
  <c r="AR68" i="16" s="1"/>
  <c r="AC68" i="16"/>
  <c r="AB68" i="16"/>
  <c r="AA68" i="16"/>
  <c r="Z68" i="16"/>
  <c r="Y68" i="16"/>
  <c r="X68" i="16"/>
  <c r="W68" i="16"/>
  <c r="V68" i="16"/>
  <c r="U68" i="16"/>
  <c r="T68" i="16"/>
  <c r="S68" i="16"/>
  <c r="R68" i="16"/>
  <c r="BX67" i="16"/>
  <c r="BW67" i="16"/>
  <c r="BV67" i="16"/>
  <c r="BR67" i="16"/>
  <c r="BR68" i="16" s="1"/>
  <c r="BQ67" i="16"/>
  <c r="BQ68" i="16" s="1"/>
  <c r="BP67" i="16"/>
  <c r="BC67" i="16"/>
  <c r="BB67" i="16"/>
  <c r="AY67" i="16"/>
  <c r="AX67" i="16"/>
  <c r="AW67" i="16"/>
  <c r="AV67" i="16"/>
  <c r="AU67" i="16"/>
  <c r="AU68" i="16" s="1"/>
  <c r="BF68" i="16" s="1"/>
  <c r="AT67" i="16"/>
  <c r="BF67" i="16" s="1"/>
  <c r="AQ67" i="16"/>
  <c r="AP67" i="16"/>
  <c r="AO67" i="16"/>
  <c r="AN67" i="16"/>
  <c r="AM67" i="16"/>
  <c r="AR67" i="16" s="1"/>
  <c r="P67" i="16"/>
  <c r="BS66" i="16"/>
  <c r="BP66" i="16"/>
  <c r="BO66" i="16"/>
  <c r="BN66" i="16"/>
  <c r="BM66" i="16"/>
  <c r="BL66" i="16"/>
  <c r="BK66" i="16"/>
  <c r="BJ66" i="16"/>
  <c r="BI66" i="16"/>
  <c r="BH66" i="16"/>
  <c r="BC66" i="16"/>
  <c r="BB66" i="16"/>
  <c r="BA66" i="16"/>
  <c r="AZ66" i="16"/>
  <c r="AY66" i="16"/>
  <c r="AX66" i="16"/>
  <c r="AW66" i="16"/>
  <c r="AV66" i="16"/>
  <c r="AU66" i="16"/>
  <c r="AT66" i="16"/>
  <c r="AQ66" i="16"/>
  <c r="AP66" i="16"/>
  <c r="AO66" i="16"/>
  <c r="AN66" i="16"/>
  <c r="AM66" i="16"/>
  <c r="AL66" i="16"/>
  <c r="AK66" i="16"/>
  <c r="AJ66" i="16"/>
  <c r="AI66" i="16"/>
  <c r="AH66" i="16"/>
  <c r="AG66" i="16"/>
  <c r="AF66" i="16"/>
  <c r="AD66" i="16"/>
  <c r="P66" i="16"/>
  <c r="AQ62" i="16"/>
  <c r="AP62" i="16"/>
  <c r="AO62" i="16"/>
  <c r="AN62" i="16"/>
  <c r="AM62" i="16"/>
  <c r="AL62" i="16"/>
  <c r="AK62" i="16"/>
  <c r="AJ62" i="16"/>
  <c r="AI62" i="16"/>
  <c r="AH62" i="16"/>
  <c r="AG62" i="16"/>
  <c r="AF62" i="16"/>
  <c r="AR62" i="16" s="1"/>
  <c r="BQ60" i="16"/>
  <c r="BP60" i="16"/>
  <c r="BO60" i="16"/>
  <c r="BN60" i="16"/>
  <c r="BM60" i="16"/>
  <c r="BL60" i="16"/>
  <c r="BK60" i="16"/>
  <c r="BJ60" i="16"/>
  <c r="BI60" i="16"/>
  <c r="BH60" i="16"/>
  <c r="BT60" i="16" s="1"/>
  <c r="BT59" i="16"/>
  <c r="BB59" i="16"/>
  <c r="AR59" i="16"/>
  <c r="BQ58" i="16"/>
  <c r="AM58" i="16"/>
  <c r="AL58" i="16"/>
  <c r="AK58" i="16"/>
  <c r="AJ58" i="16"/>
  <c r="AI58" i="16"/>
  <c r="AH58" i="16"/>
  <c r="AG58" i="16"/>
  <c r="AF58" i="16"/>
  <c r="BT57" i="16"/>
  <c r="BF57" i="16"/>
  <c r="AR57" i="16"/>
  <c r="BQ56" i="16"/>
  <c r="BP56" i="16"/>
  <c r="BO56" i="16"/>
  <c r="BN56" i="16"/>
  <c r="BM56" i="16"/>
  <c r="BL56" i="16"/>
  <c r="BK56" i="16"/>
  <c r="BJ56" i="16"/>
  <c r="BI56" i="16"/>
  <c r="BH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BF55" i="16"/>
  <c r="AR55" i="16"/>
  <c r="AD55" i="16"/>
  <c r="P55" i="16"/>
  <c r="BN54" i="16"/>
  <c r="BM54" i="16"/>
  <c r="BL54" i="16"/>
  <c r="BK54" i="16"/>
  <c r="BJ54" i="16"/>
  <c r="BI54" i="16"/>
  <c r="BH54" i="16"/>
  <c r="BA54" i="16"/>
  <c r="AZ54" i="16"/>
  <c r="AY54" i="16"/>
  <c r="AX54" i="16"/>
  <c r="AW54" i="16"/>
  <c r="AV54" i="16"/>
  <c r="AU54" i="16"/>
  <c r="AT54" i="16"/>
  <c r="BT53" i="16"/>
  <c r="BB53" i="16"/>
  <c r="AR53" i="16"/>
  <c r="CB52" i="16"/>
  <c r="CA52" i="16"/>
  <c r="BY52" i="16"/>
  <c r="BQ52" i="16"/>
  <c r="BP52" i="16"/>
  <c r="BO52" i="16"/>
  <c r="BE52" i="16"/>
  <c r="BE54" i="16" s="1"/>
  <c r="BD52" i="16"/>
  <c r="BD54" i="16" s="1"/>
  <c r="BC52" i="16"/>
  <c r="BC54" i="16" s="1"/>
  <c r="BB52" i="16"/>
  <c r="BF52" i="16" s="1"/>
  <c r="BN51" i="16"/>
  <c r="BM51" i="16"/>
  <c r="BL51" i="16"/>
  <c r="BK51" i="16"/>
  <c r="BJ51" i="16"/>
  <c r="BI51" i="16"/>
  <c r="BH51" i="16"/>
  <c r="BT51" i="16" s="1"/>
  <c r="BT50" i="16"/>
  <c r="BE50" i="16"/>
  <c r="BE60" i="16" s="1"/>
  <c r="BD50" i="16"/>
  <c r="BD60" i="16" s="1"/>
  <c r="BC50" i="16"/>
  <c r="BC60" i="16" s="1"/>
  <c r="BB50" i="16"/>
  <c r="BB51" i="16" s="1"/>
  <c r="BA50" i="16"/>
  <c r="AZ50" i="16"/>
  <c r="AZ60" i="16" s="1"/>
  <c r="AY50" i="16"/>
  <c r="AY60" i="16" s="1"/>
  <c r="AX50" i="16"/>
  <c r="AX60" i="16" s="1"/>
  <c r="AW50" i="16"/>
  <c r="AW60" i="16" s="1"/>
  <c r="AV50" i="16"/>
  <c r="AV60" i="16" s="1"/>
  <c r="AU50" i="16"/>
  <c r="AU60" i="16" s="1"/>
  <c r="AT50" i="16"/>
  <c r="AQ50" i="16"/>
  <c r="AP50" i="16"/>
  <c r="AO50" i="16"/>
  <c r="AO60" i="16" s="1"/>
  <c r="AN50" i="16"/>
  <c r="AN60" i="16" s="1"/>
  <c r="AM50" i="16"/>
  <c r="AM60" i="16" s="1"/>
  <c r="AL50" i="16"/>
  <c r="AK50" i="16"/>
  <c r="AK60" i="16" s="1"/>
  <c r="AJ50" i="16"/>
  <c r="AJ60" i="16" s="1"/>
  <c r="AI50" i="16"/>
  <c r="AI60" i="16" s="1"/>
  <c r="AG50" i="16"/>
  <c r="AG60" i="16" s="1"/>
  <c r="AF50" i="16"/>
  <c r="AC50" i="16"/>
  <c r="AB50" i="16"/>
  <c r="AA50" i="16"/>
  <c r="Z50" i="16"/>
  <c r="Y50" i="16"/>
  <c r="X50" i="16"/>
  <c r="W50" i="16"/>
  <c r="R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P50" i="16" s="1"/>
  <c r="BT49" i="16"/>
  <c r="BF49" i="16"/>
  <c r="AR49" i="16"/>
  <c r="AD49" i="16"/>
  <c r="P49" i="16"/>
  <c r="BF48" i="16"/>
  <c r="BF47" i="16"/>
  <c r="AR47" i="16"/>
  <c r="BF46" i="16"/>
  <c r="AR46" i="16"/>
  <c r="BF45" i="16"/>
  <c r="AR45" i="16"/>
  <c r="CG44" i="16"/>
  <c r="CF44" i="16"/>
  <c r="CE44" i="16"/>
  <c r="CD44" i="16"/>
  <c r="CC44" i="16"/>
  <c r="CB44" i="16"/>
  <c r="CA44" i="16"/>
  <c r="BZ44" i="16"/>
  <c r="BY44" i="16"/>
  <c r="BX44" i="16"/>
  <c r="BW44" i="16"/>
  <c r="BW50" i="16" s="1"/>
  <c r="BV44" i="16"/>
  <c r="BT44" i="16"/>
  <c r="BF44" i="16"/>
  <c r="AH44" i="16"/>
  <c r="AR44" i="16" s="1"/>
  <c r="BF43" i="16"/>
  <c r="AH43" i="16"/>
  <c r="AR43" i="16" s="1"/>
  <c r="AD43" i="16"/>
  <c r="BF42" i="16"/>
  <c r="AH42" i="16"/>
  <c r="AR42" i="16" s="1"/>
  <c r="AD42" i="16"/>
  <c r="BF41" i="16"/>
  <c r="AH41" i="16"/>
  <c r="AR41" i="16" s="1"/>
  <c r="AD41" i="16"/>
  <c r="P41" i="16"/>
  <c r="BF40" i="16"/>
  <c r="AH40" i="16"/>
  <c r="AR40" i="16" s="1"/>
  <c r="AD40" i="16"/>
  <c r="P40" i="16"/>
  <c r="BF39" i="16"/>
  <c r="AH39" i="16"/>
  <c r="AR39" i="16" s="1"/>
  <c r="AD39" i="16"/>
  <c r="P39" i="16"/>
  <c r="BF38" i="16"/>
  <c r="AH38" i="16"/>
  <c r="AD38" i="16"/>
  <c r="P38" i="16"/>
  <c r="BF37" i="16"/>
  <c r="AR37" i="16"/>
  <c r="U37" i="16"/>
  <c r="T37" i="16"/>
  <c r="AD37" i="16" s="1"/>
  <c r="P37" i="16"/>
  <c r="BF36" i="16"/>
  <c r="AR36" i="16"/>
  <c r="T36" i="16"/>
  <c r="AD36" i="16" s="1"/>
  <c r="P36" i="16"/>
  <c r="BF35" i="16"/>
  <c r="AR35" i="16"/>
  <c r="U35" i="16"/>
  <c r="T35" i="16"/>
  <c r="S35" i="16"/>
  <c r="AD35" i="16" s="1"/>
  <c r="P35" i="16"/>
  <c r="BF34" i="16"/>
  <c r="AR34" i="16"/>
  <c r="AD34" i="16"/>
  <c r="P34" i="16"/>
  <c r="BF33" i="16"/>
  <c r="AR33" i="16"/>
  <c r="V33" i="16"/>
  <c r="V50" i="16" s="1"/>
  <c r="U33" i="16"/>
  <c r="AD33" i="16" s="1"/>
  <c r="P33" i="16"/>
  <c r="BF32" i="16"/>
  <c r="AR32" i="16"/>
  <c r="T32" i="16"/>
  <c r="S32" i="16"/>
  <c r="P32" i="16"/>
  <c r="BF31" i="16"/>
  <c r="AR31" i="16"/>
  <c r="AD31" i="16"/>
  <c r="P31" i="16"/>
  <c r="BF30" i="16"/>
  <c r="AR30" i="16"/>
  <c r="U30" i="16"/>
  <c r="T30" i="16"/>
  <c r="AD30" i="16" s="1"/>
  <c r="P30" i="16"/>
  <c r="BF29" i="16"/>
  <c r="AR29" i="16"/>
  <c r="U29" i="16"/>
  <c r="U50" i="16" s="1"/>
  <c r="T29" i="16"/>
  <c r="P29" i="16"/>
  <c r="CI27" i="16"/>
  <c r="CG27" i="16"/>
  <c r="CF27" i="16"/>
  <c r="CE27" i="16"/>
  <c r="CD27" i="16"/>
  <c r="CC27" i="16"/>
  <c r="CB27" i="16"/>
  <c r="CB23" i="16" s="1"/>
  <c r="CA27" i="16"/>
  <c r="BZ27" i="16"/>
  <c r="BZ23" i="16" s="1"/>
  <c r="BY27" i="16"/>
  <c r="BX27" i="16"/>
  <c r="BX52" i="16" s="1"/>
  <c r="BW27" i="16"/>
  <c r="BW52" i="16" s="1"/>
  <c r="BS27" i="16"/>
  <c r="BR27" i="16"/>
  <c r="BQ27" i="16"/>
  <c r="BE27" i="16"/>
  <c r="BE58" i="16" s="1"/>
  <c r="BD27" i="16"/>
  <c r="BD58" i="16" s="1"/>
  <c r="BC27" i="16"/>
  <c r="BC58" i="16" s="1"/>
  <c r="BB27" i="16"/>
  <c r="BB58" i="16" s="1"/>
  <c r="BA27" i="16"/>
  <c r="BA58" i="16" s="1"/>
  <c r="AZ27" i="16"/>
  <c r="AZ58" i="16" s="1"/>
  <c r="AY27" i="16"/>
  <c r="AY58" i="16" s="1"/>
  <c r="AX27" i="16"/>
  <c r="AX58" i="16" s="1"/>
  <c r="AW27" i="16"/>
  <c r="AW58" i="16" s="1"/>
  <c r="AV27" i="16"/>
  <c r="AV58" i="16" s="1"/>
  <c r="AU27" i="16"/>
  <c r="AU58" i="16" s="1"/>
  <c r="AT27" i="16"/>
  <c r="U27" i="16"/>
  <c r="AD27" i="16" s="1"/>
  <c r="P27" i="16"/>
  <c r="AQ26" i="16"/>
  <c r="AQ27" i="16" s="1"/>
  <c r="AQ58" i="16" s="1"/>
  <c r="AP26" i="16"/>
  <c r="AP27" i="16" s="1"/>
  <c r="AP58" i="16" s="1"/>
  <c r="AO26" i="16"/>
  <c r="AO27" i="16" s="1"/>
  <c r="AO58" i="16" s="1"/>
  <c r="AN26" i="16"/>
  <c r="AN27" i="16" s="1"/>
  <c r="CG25" i="16"/>
  <c r="CF25" i="16"/>
  <c r="CE25" i="16"/>
  <c r="CD25" i="16"/>
  <c r="CC25" i="16"/>
  <c r="CB25" i="16"/>
  <c r="CA25" i="16"/>
  <c r="BZ25" i="16"/>
  <c r="BY25" i="16"/>
  <c r="BX25" i="16"/>
  <c r="BW25" i="16"/>
  <c r="BQ25" i="16"/>
  <c r="BT25" i="16" s="1"/>
  <c r="BF25" i="16"/>
  <c r="BW24" i="16"/>
  <c r="BP24" i="16"/>
  <c r="BO24" i="16"/>
  <c r="BN24" i="16"/>
  <c r="BM24" i="16"/>
  <c r="BL24" i="16"/>
  <c r="BK24" i="16"/>
  <c r="BJ24" i="16"/>
  <c r="BI24" i="16"/>
  <c r="BH24" i="16"/>
  <c r="BE24" i="16"/>
  <c r="BD24" i="16"/>
  <c r="BC24" i="16"/>
  <c r="BB24" i="16"/>
  <c r="AZ24" i="16"/>
  <c r="AY24" i="16"/>
  <c r="CG23" i="16"/>
  <c r="CU23" i="16" s="1"/>
  <c r="CU65" i="16" s="1"/>
  <c r="CA23" i="16"/>
  <c r="BY23" i="16"/>
  <c r="BX23" i="16"/>
  <c r="BW23" i="16"/>
  <c r="BR23" i="16"/>
  <c r="BS52" i="16" s="1"/>
  <c r="CG52" i="16" s="1"/>
  <c r="BQ23" i="16"/>
  <c r="BQ76" i="16" s="1"/>
  <c r="BP23" i="16"/>
  <c r="BO23" i="16"/>
  <c r="BN23" i="16"/>
  <c r="BM23" i="16"/>
  <c r="BL23" i="16"/>
  <c r="BK23" i="16"/>
  <c r="BJ23" i="16"/>
  <c r="BI23" i="16"/>
  <c r="BH23" i="16"/>
  <c r="BT23" i="16" s="1"/>
  <c r="BE23" i="16"/>
  <c r="BE76" i="16" s="1"/>
  <c r="BD23" i="16"/>
  <c r="BD76" i="16" s="1"/>
  <c r="BC23" i="16"/>
  <c r="BB23" i="16"/>
  <c r="BA23" i="16"/>
  <c r="AZ23" i="16"/>
  <c r="AY23" i="16"/>
  <c r="AX23" i="16"/>
  <c r="AW23" i="16"/>
  <c r="AV23" i="16"/>
  <c r="AU23" i="16"/>
  <c r="AT23" i="16"/>
  <c r="BF23" i="16" s="1"/>
  <c r="AQ23" i="16"/>
  <c r="AP23" i="16"/>
  <c r="AO23" i="16"/>
  <c r="AN23" i="16"/>
  <c r="AM23" i="16"/>
  <c r="AL23" i="16"/>
  <c r="AK23" i="16"/>
  <c r="AJ23" i="16"/>
  <c r="AI23" i="16"/>
  <c r="AG23" i="16"/>
  <c r="AF23" i="16"/>
  <c r="AC23" i="16"/>
  <c r="AC76" i="16" s="1"/>
  <c r="AB23" i="16"/>
  <c r="AB76" i="16" s="1"/>
  <c r="AA23" i="16"/>
  <c r="AA76" i="16" s="1"/>
  <c r="Z23" i="16"/>
  <c r="Z76" i="16" s="1"/>
  <c r="Y23" i="16"/>
  <c r="Y76" i="16" s="1"/>
  <c r="X23" i="16"/>
  <c r="X76" i="16" s="1"/>
  <c r="W23" i="16"/>
  <c r="W76" i="16" s="1"/>
  <c r="V23" i="16"/>
  <c r="V76" i="16" s="1"/>
  <c r="U23" i="16"/>
  <c r="U76" i="16" s="1"/>
  <c r="R23" i="16"/>
  <c r="P23" i="16"/>
  <c r="O23" i="16"/>
  <c r="O76" i="16" s="1"/>
  <c r="N23" i="16"/>
  <c r="N76" i="16" s="1"/>
  <c r="M23" i="16"/>
  <c r="M76" i="16" s="1"/>
  <c r="L23" i="16"/>
  <c r="L76" i="16" s="1"/>
  <c r="K23" i="16"/>
  <c r="J23" i="16"/>
  <c r="I23" i="16"/>
  <c r="H23" i="16"/>
  <c r="G23" i="16"/>
  <c r="F23" i="16"/>
  <c r="E23" i="16"/>
  <c r="D23" i="16"/>
  <c r="BG20" i="16"/>
  <c r="BZ19" i="16"/>
  <c r="BZ20" i="16" s="1"/>
  <c r="BY19" i="16"/>
  <c r="BY20" i="16" s="1"/>
  <c r="BX19" i="16"/>
  <c r="BX20" i="16" s="1"/>
  <c r="BW19" i="16"/>
  <c r="BW20" i="16" s="1"/>
  <c r="BV19" i="16"/>
  <c r="BV20" i="16" s="1"/>
  <c r="BS19" i="16"/>
  <c r="BR19" i="16"/>
  <c r="BR20" i="16" s="1"/>
  <c r="BQ19" i="16"/>
  <c r="BQ20" i="16" s="1"/>
  <c r="BP19" i="16"/>
  <c r="BP20" i="16" s="1"/>
  <c r="BO19" i="16"/>
  <c r="BO20" i="16" s="1"/>
  <c r="BN19" i="16"/>
  <c r="BN20" i="16" s="1"/>
  <c r="BM19" i="16"/>
  <c r="BM20" i="16" s="1"/>
  <c r="BL19" i="16"/>
  <c r="BL20" i="16" s="1"/>
  <c r="BK19" i="16"/>
  <c r="BK20" i="16" s="1"/>
  <c r="BJ19" i="16"/>
  <c r="BJ20" i="16" s="1"/>
  <c r="BI19" i="16"/>
  <c r="BI20" i="16" s="1"/>
  <c r="BH19" i="16"/>
  <c r="BH20" i="16" s="1"/>
  <c r="BE19" i="16"/>
  <c r="BE20" i="16" s="1"/>
  <c r="BD19" i="16"/>
  <c r="BD20" i="16" s="1"/>
  <c r="BC19" i="16"/>
  <c r="BC20" i="16" s="1"/>
  <c r="BB19" i="16"/>
  <c r="BB20" i="16" s="1"/>
  <c r="BA19" i="16"/>
  <c r="BA20" i="16" s="1"/>
  <c r="AZ19" i="16"/>
  <c r="AZ20" i="16" s="1"/>
  <c r="AY19" i="16"/>
  <c r="AY20" i="16" s="1"/>
  <c r="AX19" i="16"/>
  <c r="AX20" i="16" s="1"/>
  <c r="AW19" i="16"/>
  <c r="AW20" i="16" s="1"/>
  <c r="AV19" i="16"/>
  <c r="AV20" i="16" s="1"/>
  <c r="AU19" i="16"/>
  <c r="AU20" i="16" s="1"/>
  <c r="AT19" i="16"/>
  <c r="AQ19" i="16"/>
  <c r="AP19" i="16"/>
  <c r="AP20" i="16" s="1"/>
  <c r="AO19" i="16"/>
  <c r="AO20" i="16" s="1"/>
  <c r="AN19" i="16"/>
  <c r="AN20" i="16" s="1"/>
  <c r="AM19" i="16"/>
  <c r="AM20" i="16" s="1"/>
  <c r="AL19" i="16"/>
  <c r="AL20" i="16" s="1"/>
  <c r="AK19" i="16"/>
  <c r="AK20" i="16" s="1"/>
  <c r="AJ19" i="16"/>
  <c r="AJ20" i="16" s="1"/>
  <c r="AI19" i="16"/>
  <c r="AI20" i="16" s="1"/>
  <c r="AH19" i="16"/>
  <c r="AH20" i="16" s="1"/>
  <c r="AG19" i="16"/>
  <c r="AG20" i="16" s="1"/>
  <c r="AF19" i="16"/>
  <c r="AF20" i="16" s="1"/>
  <c r="AC19" i="16"/>
  <c r="AB19" i="16"/>
  <c r="AA19" i="16"/>
  <c r="Z19" i="16"/>
  <c r="Y19" i="16"/>
  <c r="X19" i="16"/>
  <c r="AD19" i="16" s="1"/>
  <c r="W19" i="16"/>
  <c r="V19" i="16"/>
  <c r="U19" i="16"/>
  <c r="T19" i="16"/>
  <c r="S19" i="16"/>
  <c r="R19" i="16"/>
  <c r="O19" i="16"/>
  <c r="N19" i="16"/>
  <c r="M19" i="16"/>
  <c r="L19" i="16"/>
  <c r="K19" i="16"/>
  <c r="J19" i="16"/>
  <c r="P19" i="16" s="1"/>
  <c r="H19" i="16"/>
  <c r="G19" i="16"/>
  <c r="F19" i="16"/>
  <c r="E19" i="16"/>
  <c r="D19" i="16"/>
  <c r="CH17" i="16"/>
  <c r="BT17" i="16"/>
  <c r="BF17" i="16"/>
  <c r="AR17" i="16"/>
  <c r="CH15" i="16"/>
  <c r="BT15" i="16"/>
  <c r="BF15" i="16"/>
  <c r="AR15" i="16"/>
  <c r="CH14" i="16"/>
  <c r="BT14" i="16"/>
  <c r="BF14" i="16"/>
  <c r="AR14" i="16"/>
  <c r="U14" i="16"/>
  <c r="BT13" i="16"/>
  <c r="BF13" i="16"/>
  <c r="AR13" i="16"/>
  <c r="I13" i="16"/>
  <c r="I19" i="16" s="1"/>
  <c r="BZ10" i="16"/>
  <c r="BY10" i="16"/>
  <c r="BX10" i="16"/>
  <c r="BV10" i="16"/>
  <c r="BS10" i="16"/>
  <c r="BR10" i="16"/>
  <c r="BQ10" i="16"/>
  <c r="BP10" i="16"/>
  <c r="BO10" i="16"/>
  <c r="BN10" i="16"/>
  <c r="BM10" i="16"/>
  <c r="BL10" i="16"/>
  <c r="BK10" i="16"/>
  <c r="BJ10" i="16"/>
  <c r="BI10" i="16"/>
  <c r="BH10" i="16"/>
  <c r="BE10" i="16"/>
  <c r="BD10" i="16"/>
  <c r="BC10" i="16"/>
  <c r="BB10" i="16"/>
  <c r="BA10" i="16"/>
  <c r="AZ10" i="16"/>
  <c r="AY10" i="16"/>
  <c r="AX10" i="16"/>
  <c r="AW10" i="16"/>
  <c r="AV10" i="16"/>
  <c r="AU10" i="16"/>
  <c r="AT10" i="16"/>
  <c r="AQ10" i="16"/>
  <c r="AP10" i="16"/>
  <c r="AO10" i="16"/>
  <c r="AN10" i="16"/>
  <c r="AM10" i="16"/>
  <c r="AL10" i="16"/>
  <c r="AK10" i="16"/>
  <c r="AJ10" i="16"/>
  <c r="AI10" i="16"/>
  <c r="AH10" i="16"/>
  <c r="AG10" i="16"/>
  <c r="AF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B7" i="16"/>
  <c r="CA7" i="16"/>
  <c r="CA66" i="16" s="1"/>
  <c r="CA70" i="16" s="1"/>
  <c r="BZ7" i="16"/>
  <c r="BY7" i="16"/>
  <c r="BY66" i="16" s="1"/>
  <c r="BY70" i="16" s="1"/>
  <c r="CG3" i="14"/>
  <c r="CB3" i="14"/>
  <c r="CD3" i="14"/>
  <c r="CA7" i="14"/>
  <c r="BZ69" i="14"/>
  <c r="BZ6" i="14"/>
  <c r="CA6" i="14"/>
  <c r="BY6" i="14"/>
  <c r="BX6" i="14"/>
  <c r="CF3" i="14"/>
  <c r="CE3" i="14"/>
  <c r="CB61" i="14"/>
  <c r="CC61" i="14" s="1"/>
  <c r="CD61" i="14" s="1"/>
  <c r="CE61" i="14" s="1"/>
  <c r="CF61" i="14" s="1"/>
  <c r="CG61" i="14" s="1"/>
  <c r="CA60" i="14"/>
  <c r="BY68" i="14"/>
  <c r="CC3" i="14"/>
  <c r="CA3" i="14"/>
  <c r="CA62" i="14"/>
  <c r="T73" i="10"/>
  <c r="BY69" i="14"/>
  <c r="BZ65" i="14"/>
  <c r="CA65" i="14"/>
  <c r="CB65" i="14"/>
  <c r="CC65" i="14"/>
  <c r="CD65" i="14"/>
  <c r="CE65" i="14"/>
  <c r="CF65" i="14"/>
  <c r="CG65" i="14"/>
  <c r="BY65" i="14"/>
  <c r="BZ68" i="14"/>
  <c r="CB59" i="14"/>
  <c r="BZ59" i="14"/>
  <c r="BY3" i="14"/>
  <c r="BZ3" i="14"/>
  <c r="V69" i="10"/>
  <c r="V73" i="10"/>
  <c r="BX16" i="14"/>
  <c r="U73" i="10"/>
  <c r="CK62" i="14"/>
  <c r="CL62" i="14"/>
  <c r="CM62" i="14"/>
  <c r="CN62" i="14"/>
  <c r="CO62" i="14"/>
  <c r="CJ62" i="14"/>
  <c r="CB62" i="14"/>
  <c r="CB60" i="14" s="1"/>
  <c r="CC62" i="14"/>
  <c r="CC60" i="14" s="1"/>
  <c r="CD62" i="14"/>
  <c r="CD60" i="14" s="1"/>
  <c r="CE62" i="14"/>
  <c r="CE60" i="14" s="1"/>
  <c r="CF62" i="14"/>
  <c r="CF60" i="14" s="1"/>
  <c r="CG62" i="14"/>
  <c r="CG60" i="14" s="1"/>
  <c r="BV62" i="14"/>
  <c r="BW62" i="14"/>
  <c r="BX62" i="14"/>
  <c r="BY62" i="14"/>
  <c r="BY60" i="14" s="1"/>
  <c r="BZ62" i="14"/>
  <c r="X5" i="15"/>
  <c r="X6" i="15"/>
  <c r="X4" i="15"/>
  <c r="BY59" i="14"/>
  <c r="BI5" i="15"/>
  <c r="BI6" i="15"/>
  <c r="BI4" i="15"/>
  <c r="BC5" i="15"/>
  <c r="BC6" i="15"/>
  <c r="BC4" i="15"/>
  <c r="BB5" i="15"/>
  <c r="BB6" i="15"/>
  <c r="BB4" i="15"/>
  <c r="BE7" i="15"/>
  <c r="BD7" i="15"/>
  <c r="AY7" i="15"/>
  <c r="AX7" i="15"/>
  <c r="BF6" i="15"/>
  <c r="AZ6" i="15"/>
  <c r="BA6" i="15" s="1"/>
  <c r="BF5" i="15"/>
  <c r="AZ5" i="15"/>
  <c r="BA5" i="15" s="1"/>
  <c r="BF4" i="15"/>
  <c r="AZ4" i="15"/>
  <c r="L10" i="15"/>
  <c r="K10" i="15"/>
  <c r="K11" i="15"/>
  <c r="L11" i="15"/>
  <c r="K12" i="15"/>
  <c r="L12" i="15"/>
  <c r="K13" i="15"/>
  <c r="L13" i="15"/>
  <c r="K14" i="15"/>
  <c r="L14" i="15"/>
  <c r="AV5" i="15"/>
  <c r="AV6" i="15"/>
  <c r="AV4" i="15"/>
  <c r="AJ5" i="15"/>
  <c r="AJ6" i="15"/>
  <c r="AJ4" i="15"/>
  <c r="AD5" i="15"/>
  <c r="AD6" i="15"/>
  <c r="AD4" i="15"/>
  <c r="AW5" i="15"/>
  <c r="AW6" i="15"/>
  <c r="AW4" i="15"/>
  <c r="AQ5" i="15"/>
  <c r="AQ6" i="15"/>
  <c r="AQ4" i="15"/>
  <c r="AK5" i="15"/>
  <c r="AK6" i="15"/>
  <c r="AK4" i="15"/>
  <c r="AE5" i="15"/>
  <c r="AE6" i="15"/>
  <c r="AE4" i="15"/>
  <c r="H14" i="15"/>
  <c r="I14" i="15"/>
  <c r="J14" i="15"/>
  <c r="G14" i="15"/>
  <c r="H11" i="15"/>
  <c r="I11" i="15"/>
  <c r="J11" i="15"/>
  <c r="H12" i="15"/>
  <c r="I12" i="15"/>
  <c r="J12" i="15"/>
  <c r="H13" i="15"/>
  <c r="I13" i="15"/>
  <c r="J13" i="15"/>
  <c r="G12" i="15"/>
  <c r="G13" i="15"/>
  <c r="G11" i="15"/>
  <c r="H10" i="15"/>
  <c r="I10" i="15"/>
  <c r="J10" i="15"/>
  <c r="G10" i="15"/>
  <c r="F14" i="15"/>
  <c r="AS7" i="15"/>
  <c r="AR7" i="15"/>
  <c r="AM7" i="15"/>
  <c r="AL7" i="15"/>
  <c r="AT6" i="15"/>
  <c r="AP6" i="15"/>
  <c r="AN6" i="15"/>
  <c r="AT5" i="15"/>
  <c r="AP5" i="15"/>
  <c r="AN5" i="15"/>
  <c r="AT4" i="15"/>
  <c r="AP4" i="15"/>
  <c r="AN4" i="15"/>
  <c r="AG7" i="15"/>
  <c r="AF7" i="15"/>
  <c r="AA7" i="15"/>
  <c r="Z7" i="15"/>
  <c r="AH6" i="15"/>
  <c r="AB6" i="15"/>
  <c r="AC6" i="15" s="1"/>
  <c r="AH5" i="15"/>
  <c r="AB5" i="15"/>
  <c r="AC5" i="15" s="1"/>
  <c r="AH4" i="15"/>
  <c r="AB4" i="15"/>
  <c r="D14" i="15"/>
  <c r="E12" i="15"/>
  <c r="E13" i="15"/>
  <c r="E11" i="15"/>
  <c r="E14" i="15" s="1"/>
  <c r="S4" i="15"/>
  <c r="C14" i="15"/>
  <c r="C7" i="15"/>
  <c r="D7" i="15"/>
  <c r="H7" i="15"/>
  <c r="I7" i="15"/>
  <c r="J7" i="15"/>
  <c r="N7" i="15"/>
  <c r="O7" i="15"/>
  <c r="P7" i="15"/>
  <c r="T7" i="15"/>
  <c r="U7" i="15"/>
  <c r="V6" i="15"/>
  <c r="P6" i="15"/>
  <c r="R6" i="15"/>
  <c r="J6" i="15"/>
  <c r="L6" i="15"/>
  <c r="E6" i="15"/>
  <c r="K6" i="15" s="1"/>
  <c r="G6" i="15"/>
  <c r="R5" i="15"/>
  <c r="R4" i="15"/>
  <c r="L5" i="15"/>
  <c r="L4" i="15"/>
  <c r="V5" i="15"/>
  <c r="V4" i="15"/>
  <c r="V7" i="15" s="1"/>
  <c r="P5" i="15"/>
  <c r="P4" i="15"/>
  <c r="BZ60" i="14"/>
  <c r="J5" i="15"/>
  <c r="J4" i="15"/>
  <c r="E5" i="15"/>
  <c r="G5" i="15" s="1"/>
  <c r="E4" i="15"/>
  <c r="BW12" i="14"/>
  <c r="K69" i="14"/>
  <c r="J69" i="14"/>
  <c r="I69" i="14"/>
  <c r="H69" i="14"/>
  <c r="G69" i="14"/>
  <c r="F69" i="14"/>
  <c r="E69" i="14"/>
  <c r="D69" i="14"/>
  <c r="P69" i="14" s="1"/>
  <c r="BT67" i="14"/>
  <c r="BF67" i="14"/>
  <c r="AL67" i="14"/>
  <c r="AK67" i="14"/>
  <c r="AJ67" i="14"/>
  <c r="AI67" i="14"/>
  <c r="AH67" i="14"/>
  <c r="AG67" i="14"/>
  <c r="AF67" i="14"/>
  <c r="AR67" i="14" s="1"/>
  <c r="BT66" i="14"/>
  <c r="BB66" i="14"/>
  <c r="BF66" i="14" s="1"/>
  <c r="AR66" i="14"/>
  <c r="BQ65" i="14"/>
  <c r="BQ68" i="14" s="1"/>
  <c r="BP65" i="14"/>
  <c r="BO65" i="14"/>
  <c r="BN65" i="14"/>
  <c r="BM65" i="14"/>
  <c r="BL65" i="14"/>
  <c r="BK65" i="14"/>
  <c r="BJ65" i="14"/>
  <c r="BI65" i="14"/>
  <c r="BH65" i="14"/>
  <c r="BE65" i="14"/>
  <c r="BE68" i="14" s="1"/>
  <c r="BD65" i="14"/>
  <c r="BD68" i="14" s="1"/>
  <c r="BC65" i="14"/>
  <c r="BB65" i="14"/>
  <c r="BA65" i="14"/>
  <c r="AZ65" i="14"/>
  <c r="AY65" i="14"/>
  <c r="AX65" i="14"/>
  <c r="AW65" i="14"/>
  <c r="AV65" i="14"/>
  <c r="AU65" i="14"/>
  <c r="AT65" i="14"/>
  <c r="AQ65" i="14"/>
  <c r="AP65" i="14"/>
  <c r="AO65" i="14"/>
  <c r="AN65" i="14"/>
  <c r="AM65" i="14"/>
  <c r="AD65" i="14"/>
  <c r="P65" i="14"/>
  <c r="BE64" i="14"/>
  <c r="BD64" i="14"/>
  <c r="BS63" i="14"/>
  <c r="BF63" i="14"/>
  <c r="AR63" i="14"/>
  <c r="CH62" i="14"/>
  <c r="BT62" i="14"/>
  <c r="BF62" i="14"/>
  <c r="AR62" i="14"/>
  <c r="BS61" i="14"/>
  <c r="BO61" i="14"/>
  <c r="BN61" i="14"/>
  <c r="BM61" i="14"/>
  <c r="BL61" i="14"/>
  <c r="BK61" i="14"/>
  <c r="BJ61" i="14"/>
  <c r="BI61" i="14"/>
  <c r="BH61" i="14"/>
  <c r="BE61" i="14"/>
  <c r="BD61" i="14"/>
  <c r="BA61" i="14"/>
  <c r="AL61" i="14"/>
  <c r="AK61" i="14"/>
  <c r="AJ61" i="14"/>
  <c r="AI61" i="14"/>
  <c r="AH61" i="14"/>
  <c r="AG61" i="14"/>
  <c r="AF61" i="14"/>
  <c r="AR61" i="14" s="1"/>
  <c r="AC61" i="14"/>
  <c r="AB61" i="14"/>
  <c r="AA61" i="14"/>
  <c r="Z61" i="14"/>
  <c r="Y61" i="14"/>
  <c r="X61" i="14"/>
  <c r="W61" i="14"/>
  <c r="V61" i="14"/>
  <c r="U61" i="14"/>
  <c r="T61" i="14"/>
  <c r="S61" i="14"/>
  <c r="R61" i="14"/>
  <c r="BX60" i="14"/>
  <c r="BW60" i="14"/>
  <c r="BV60" i="14"/>
  <c r="CH60" i="14" s="1"/>
  <c r="BR60" i="14"/>
  <c r="BR61" i="14" s="1"/>
  <c r="BQ60" i="14"/>
  <c r="BQ61" i="14" s="1"/>
  <c r="BP60" i="14"/>
  <c r="BC60" i="14"/>
  <c r="BB60" i="14"/>
  <c r="AY60" i="14"/>
  <c r="AX60" i="14"/>
  <c r="AW60" i="14"/>
  <c r="AV60" i="14"/>
  <c r="AU60" i="14"/>
  <c r="AU61" i="14" s="1"/>
  <c r="BF61" i="14" s="1"/>
  <c r="AT60" i="14"/>
  <c r="BF60" i="14" s="1"/>
  <c r="AQ60" i="14"/>
  <c r="AP60" i="14"/>
  <c r="AO60" i="14"/>
  <c r="AN60" i="14"/>
  <c r="AM60" i="14"/>
  <c r="AR60" i="14" s="1"/>
  <c r="P60" i="14"/>
  <c r="CU59" i="14"/>
  <c r="CT59" i="14"/>
  <c r="CS59" i="14"/>
  <c r="CR59" i="14"/>
  <c r="CQ59" i="14"/>
  <c r="CP59" i="14"/>
  <c r="CO59" i="14"/>
  <c r="CN59" i="14"/>
  <c r="CM59" i="14"/>
  <c r="CL59" i="14"/>
  <c r="CK59" i="14"/>
  <c r="CJ59" i="14"/>
  <c r="CG59" i="14"/>
  <c r="CF59" i="14"/>
  <c r="CE59" i="14"/>
  <c r="CD59" i="14"/>
  <c r="CC59" i="14"/>
  <c r="CA59" i="14"/>
  <c r="BX59" i="14"/>
  <c r="BW59" i="14"/>
  <c r="BV59" i="14"/>
  <c r="BS59" i="14"/>
  <c r="BP59" i="14"/>
  <c r="BO59" i="14"/>
  <c r="BN59" i="14"/>
  <c r="BM59" i="14"/>
  <c r="BL59" i="14"/>
  <c r="BK59" i="14"/>
  <c r="BJ59" i="14"/>
  <c r="BI59" i="14"/>
  <c r="BH59" i="14"/>
  <c r="BC59" i="14"/>
  <c r="BB59" i="14"/>
  <c r="BA59" i="14"/>
  <c r="AZ59" i="14"/>
  <c r="AY59" i="14"/>
  <c r="AX59" i="14"/>
  <c r="AW59" i="14"/>
  <c r="AV59" i="14"/>
  <c r="AU59" i="14"/>
  <c r="AT59" i="14"/>
  <c r="AQ59" i="14"/>
  <c r="AP59" i="14"/>
  <c r="AO59" i="14"/>
  <c r="AN59" i="14"/>
  <c r="AM59" i="14"/>
  <c r="AL59" i="14"/>
  <c r="AK59" i="14"/>
  <c r="AJ59" i="14"/>
  <c r="AI59" i="14"/>
  <c r="AH59" i="14"/>
  <c r="AG59" i="14"/>
  <c r="AF59" i="14"/>
  <c r="AD59" i="14"/>
  <c r="P59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R55" i="14" s="1"/>
  <c r="BQ53" i="14"/>
  <c r="BP53" i="14"/>
  <c r="BO53" i="14"/>
  <c r="BN53" i="14"/>
  <c r="BM53" i="14"/>
  <c r="BL53" i="14"/>
  <c r="BK53" i="14"/>
  <c r="BJ53" i="14"/>
  <c r="BI53" i="14"/>
  <c r="BH53" i="14"/>
  <c r="BT53" i="14" s="1"/>
  <c r="BT52" i="14"/>
  <c r="BB52" i="14"/>
  <c r="AR52" i="14"/>
  <c r="BQ51" i="14"/>
  <c r="AM51" i="14"/>
  <c r="AL51" i="14"/>
  <c r="AK51" i="14"/>
  <c r="AJ51" i="14"/>
  <c r="AI51" i="14"/>
  <c r="AH51" i="14"/>
  <c r="AG51" i="14"/>
  <c r="AF51" i="14"/>
  <c r="BT50" i="14"/>
  <c r="BF50" i="14"/>
  <c r="AR50" i="14"/>
  <c r="BQ49" i="14"/>
  <c r="BP49" i="14"/>
  <c r="BO49" i="14"/>
  <c r="BN49" i="14"/>
  <c r="BM49" i="14"/>
  <c r="BL49" i="14"/>
  <c r="BK49" i="14"/>
  <c r="BJ49" i="14"/>
  <c r="BI49" i="14"/>
  <c r="BH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BF48" i="14"/>
  <c r="AR48" i="14"/>
  <c r="AD48" i="14"/>
  <c r="P48" i="14"/>
  <c r="BN47" i="14"/>
  <c r="BM47" i="14"/>
  <c r="BL47" i="14"/>
  <c r="BK47" i="14"/>
  <c r="BJ47" i="14"/>
  <c r="BI47" i="14"/>
  <c r="BH47" i="14"/>
  <c r="BA47" i="14"/>
  <c r="AZ47" i="14"/>
  <c r="AY47" i="14"/>
  <c r="AX47" i="14"/>
  <c r="AW47" i="14"/>
  <c r="AV47" i="14"/>
  <c r="AU47" i="14"/>
  <c r="AT47" i="14"/>
  <c r="BT46" i="14"/>
  <c r="BB46" i="14"/>
  <c r="AR46" i="14"/>
  <c r="CB45" i="14"/>
  <c r="CA45" i="14"/>
  <c r="BY45" i="14"/>
  <c r="BQ45" i="14"/>
  <c r="BP45" i="14"/>
  <c r="BO45" i="14"/>
  <c r="BE45" i="14"/>
  <c r="BE47" i="14" s="1"/>
  <c r="BD45" i="14"/>
  <c r="BD47" i="14" s="1"/>
  <c r="BC45" i="14"/>
  <c r="BC47" i="14" s="1"/>
  <c r="BB45" i="14"/>
  <c r="BF45" i="14" s="1"/>
  <c r="BN44" i="14"/>
  <c r="BM44" i="14"/>
  <c r="BL44" i="14"/>
  <c r="BK44" i="14"/>
  <c r="BJ44" i="14"/>
  <c r="BI44" i="14"/>
  <c r="BH44" i="14"/>
  <c r="BT44" i="14" s="1"/>
  <c r="BT43" i="14"/>
  <c r="BE43" i="14"/>
  <c r="BE53" i="14" s="1"/>
  <c r="BD43" i="14"/>
  <c r="BD53" i="14" s="1"/>
  <c r="BC43" i="14"/>
  <c r="BC53" i="14" s="1"/>
  <c r="BB43" i="14"/>
  <c r="BB44" i="14" s="1"/>
  <c r="BA43" i="14"/>
  <c r="AZ43" i="14"/>
  <c r="AZ53" i="14" s="1"/>
  <c r="AY43" i="14"/>
  <c r="AY53" i="14" s="1"/>
  <c r="AX43" i="14"/>
  <c r="AX53" i="14" s="1"/>
  <c r="AW43" i="14"/>
  <c r="AW53" i="14" s="1"/>
  <c r="AV43" i="14"/>
  <c r="AV53" i="14" s="1"/>
  <c r="AU43" i="14"/>
  <c r="AU53" i="14" s="1"/>
  <c r="AT43" i="14"/>
  <c r="AQ43" i="14"/>
  <c r="AP43" i="14"/>
  <c r="AO43" i="14"/>
  <c r="AO53" i="14" s="1"/>
  <c r="AN43" i="14"/>
  <c r="AN53" i="14" s="1"/>
  <c r="AM43" i="14"/>
  <c r="AM53" i="14" s="1"/>
  <c r="AL43" i="14"/>
  <c r="AK43" i="14"/>
  <c r="AK53" i="14" s="1"/>
  <c r="AJ43" i="14"/>
  <c r="AJ53" i="14" s="1"/>
  <c r="AI43" i="14"/>
  <c r="AI53" i="14" s="1"/>
  <c r="AG43" i="14"/>
  <c r="AG53" i="14" s="1"/>
  <c r="AF43" i="14"/>
  <c r="AC43" i="14"/>
  <c r="AB43" i="14"/>
  <c r="AA43" i="14"/>
  <c r="Z43" i="14"/>
  <c r="Y43" i="14"/>
  <c r="X43" i="14"/>
  <c r="W43" i="14"/>
  <c r="R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P43" i="14" s="1"/>
  <c r="BT42" i="14"/>
  <c r="BF42" i="14"/>
  <c r="AR42" i="14"/>
  <c r="AD42" i="14"/>
  <c r="P42" i="14"/>
  <c r="BF41" i="14"/>
  <c r="BF40" i="14"/>
  <c r="AR40" i="14"/>
  <c r="BF39" i="14"/>
  <c r="AR39" i="14"/>
  <c r="BF38" i="14"/>
  <c r="AR38" i="14"/>
  <c r="CG37" i="14"/>
  <c r="CF37" i="14"/>
  <c r="CE37" i="14"/>
  <c r="CD37" i="14"/>
  <c r="CC37" i="14"/>
  <c r="CB37" i="14"/>
  <c r="CA37" i="14"/>
  <c r="BZ37" i="14"/>
  <c r="BY37" i="14"/>
  <c r="BX37" i="14"/>
  <c r="BW37" i="14"/>
  <c r="BW43" i="14" s="1"/>
  <c r="BV37" i="14"/>
  <c r="BT37" i="14"/>
  <c r="BF37" i="14"/>
  <c r="AH37" i="14"/>
  <c r="AR37" i="14" s="1"/>
  <c r="BF36" i="14"/>
  <c r="AH36" i="14"/>
  <c r="AR36" i="14" s="1"/>
  <c r="AD36" i="14"/>
  <c r="BF35" i="14"/>
  <c r="AH35" i="14"/>
  <c r="AR35" i="14" s="1"/>
  <c r="AD35" i="14"/>
  <c r="BF34" i="14"/>
  <c r="AH34" i="14"/>
  <c r="AR34" i="14" s="1"/>
  <c r="AD34" i="14"/>
  <c r="P34" i="14"/>
  <c r="BF33" i="14"/>
  <c r="AH33" i="14"/>
  <c r="AR33" i="14" s="1"/>
  <c r="AD33" i="14"/>
  <c r="P33" i="14"/>
  <c r="BF32" i="14"/>
  <c r="AH32" i="14"/>
  <c r="AR32" i="14" s="1"/>
  <c r="AD32" i="14"/>
  <c r="P32" i="14"/>
  <c r="BF31" i="14"/>
  <c r="AH31" i="14"/>
  <c r="AD31" i="14"/>
  <c r="P31" i="14"/>
  <c r="BF30" i="14"/>
  <c r="AR30" i="14"/>
  <c r="U30" i="14"/>
  <c r="T30" i="14"/>
  <c r="AD30" i="14" s="1"/>
  <c r="P30" i="14"/>
  <c r="BF29" i="14"/>
  <c r="AR29" i="14"/>
  <c r="T29" i="14"/>
  <c r="AD29" i="14" s="1"/>
  <c r="P29" i="14"/>
  <c r="BF28" i="14"/>
  <c r="AR28" i="14"/>
  <c r="U28" i="14"/>
  <c r="T28" i="14"/>
  <c r="S28" i="14"/>
  <c r="AD28" i="14" s="1"/>
  <c r="P28" i="14"/>
  <c r="BF27" i="14"/>
  <c r="AR27" i="14"/>
  <c r="AD27" i="14"/>
  <c r="P27" i="14"/>
  <c r="BF26" i="14"/>
  <c r="AR26" i="14"/>
  <c r="V26" i="14"/>
  <c r="V43" i="14" s="1"/>
  <c r="U26" i="14"/>
  <c r="AD26" i="14" s="1"/>
  <c r="P26" i="14"/>
  <c r="BF25" i="14"/>
  <c r="AR25" i="14"/>
  <c r="T25" i="14"/>
  <c r="S25" i="14"/>
  <c r="P25" i="14"/>
  <c r="BF24" i="14"/>
  <c r="AR24" i="14"/>
  <c r="AD24" i="14"/>
  <c r="P24" i="14"/>
  <c r="BF23" i="14"/>
  <c r="AR23" i="14"/>
  <c r="U23" i="14"/>
  <c r="T23" i="14"/>
  <c r="AD23" i="14" s="1"/>
  <c r="P23" i="14"/>
  <c r="BF22" i="14"/>
  <c r="AR22" i="14"/>
  <c r="U22" i="14"/>
  <c r="U43" i="14" s="1"/>
  <c r="T22" i="14"/>
  <c r="P22" i="14"/>
  <c r="CG20" i="14"/>
  <c r="CF20" i="14"/>
  <c r="CE20" i="14"/>
  <c r="CD20" i="14"/>
  <c r="CC20" i="14"/>
  <c r="CB20" i="14"/>
  <c r="CA20" i="14"/>
  <c r="BZ20" i="14"/>
  <c r="BY20" i="14"/>
  <c r="BX20" i="14"/>
  <c r="BW20" i="14"/>
  <c r="BS20" i="14"/>
  <c r="BR20" i="14"/>
  <c r="BQ20" i="14"/>
  <c r="BE20" i="14"/>
  <c r="BE51" i="14" s="1"/>
  <c r="BD20" i="14"/>
  <c r="BD51" i="14" s="1"/>
  <c r="BC20" i="14"/>
  <c r="BC51" i="14" s="1"/>
  <c r="BB20" i="14"/>
  <c r="BB51" i="14" s="1"/>
  <c r="BA20" i="14"/>
  <c r="BA51" i="14" s="1"/>
  <c r="AZ20" i="14"/>
  <c r="AZ51" i="14" s="1"/>
  <c r="AY20" i="14"/>
  <c r="AY51" i="14" s="1"/>
  <c r="AX20" i="14"/>
  <c r="AX51" i="14" s="1"/>
  <c r="AW20" i="14"/>
  <c r="AW51" i="14" s="1"/>
  <c r="AV20" i="14"/>
  <c r="AV51" i="14" s="1"/>
  <c r="AU20" i="14"/>
  <c r="AU51" i="14" s="1"/>
  <c r="AT20" i="14"/>
  <c r="U20" i="14"/>
  <c r="AD20" i="14" s="1"/>
  <c r="P20" i="14"/>
  <c r="AQ19" i="14"/>
  <c r="AQ20" i="14" s="1"/>
  <c r="AQ51" i="14" s="1"/>
  <c r="AP19" i="14"/>
  <c r="AP20" i="14" s="1"/>
  <c r="AP51" i="14" s="1"/>
  <c r="AO19" i="14"/>
  <c r="AO20" i="14" s="1"/>
  <c r="AO51" i="14" s="1"/>
  <c r="AN19" i="14"/>
  <c r="AN20" i="14" s="1"/>
  <c r="CG18" i="14"/>
  <c r="CF18" i="14"/>
  <c r="CE18" i="14"/>
  <c r="CD18" i="14"/>
  <c r="CC18" i="14"/>
  <c r="CB18" i="14"/>
  <c r="CA18" i="14"/>
  <c r="BZ18" i="14"/>
  <c r="BY18" i="14"/>
  <c r="BX18" i="14"/>
  <c r="BW18" i="14"/>
  <c r="BQ18" i="14"/>
  <c r="BT18" i="14" s="1"/>
  <c r="BF18" i="14"/>
  <c r="BW17" i="14"/>
  <c r="BP17" i="14"/>
  <c r="BO17" i="14"/>
  <c r="BN17" i="14"/>
  <c r="BM17" i="14"/>
  <c r="BL17" i="14"/>
  <c r="BK17" i="14"/>
  <c r="BJ17" i="14"/>
  <c r="BI17" i="14"/>
  <c r="BH17" i="14"/>
  <c r="BE17" i="14"/>
  <c r="BD17" i="14"/>
  <c r="BC17" i="14"/>
  <c r="BB17" i="14"/>
  <c r="AZ17" i="14"/>
  <c r="AY17" i="14"/>
  <c r="CA16" i="14"/>
  <c r="CO16" i="14" s="1"/>
  <c r="BZ16" i="14"/>
  <c r="CN16" i="14" s="1"/>
  <c r="BY16" i="14"/>
  <c r="CL16" i="14"/>
  <c r="CL58" i="14" s="1"/>
  <c r="BW16" i="14"/>
  <c r="BR16" i="14"/>
  <c r="BS45" i="14" s="1"/>
  <c r="CG45" i="14" s="1"/>
  <c r="BQ16" i="14"/>
  <c r="BQ69" i="14" s="1"/>
  <c r="BP16" i="14"/>
  <c r="BO16" i="14"/>
  <c r="BN16" i="14"/>
  <c r="BM16" i="14"/>
  <c r="BL16" i="14"/>
  <c r="BK16" i="14"/>
  <c r="BJ16" i="14"/>
  <c r="BI16" i="14"/>
  <c r="BH16" i="14"/>
  <c r="BT16" i="14" s="1"/>
  <c r="BE16" i="14"/>
  <c r="BE69" i="14" s="1"/>
  <c r="BD16" i="14"/>
  <c r="BD69" i="14" s="1"/>
  <c r="BC16" i="14"/>
  <c r="BB16" i="14"/>
  <c r="BA16" i="14"/>
  <c r="AZ16" i="14"/>
  <c r="AY16" i="14"/>
  <c r="AX16" i="14"/>
  <c r="AW16" i="14"/>
  <c r="AV16" i="14"/>
  <c r="AU16" i="14"/>
  <c r="AT16" i="14"/>
  <c r="BF16" i="14" s="1"/>
  <c r="AQ16" i="14"/>
  <c r="AP16" i="14"/>
  <c r="AO16" i="14"/>
  <c r="AN16" i="14"/>
  <c r="AM16" i="14"/>
  <c r="AL16" i="14"/>
  <c r="AK16" i="14"/>
  <c r="AJ16" i="14"/>
  <c r="AI16" i="14"/>
  <c r="AG16" i="14"/>
  <c r="AF16" i="14"/>
  <c r="AC16" i="14"/>
  <c r="AC69" i="14" s="1"/>
  <c r="AB16" i="14"/>
  <c r="AB69" i="14" s="1"/>
  <c r="AA16" i="14"/>
  <c r="AA69" i="14" s="1"/>
  <c r="Z16" i="14"/>
  <c r="Z69" i="14" s="1"/>
  <c r="Y16" i="14"/>
  <c r="Y69" i="14" s="1"/>
  <c r="X16" i="14"/>
  <c r="X69" i="14" s="1"/>
  <c r="W16" i="14"/>
  <c r="W69" i="14" s="1"/>
  <c r="V16" i="14"/>
  <c r="V69" i="14" s="1"/>
  <c r="U16" i="14"/>
  <c r="U69" i="14" s="1"/>
  <c r="R16" i="14"/>
  <c r="P16" i="14"/>
  <c r="O16" i="14"/>
  <c r="O69" i="14" s="1"/>
  <c r="N16" i="14"/>
  <c r="N69" i="14" s="1"/>
  <c r="M16" i="14"/>
  <c r="M69" i="14" s="1"/>
  <c r="L16" i="14"/>
  <c r="L69" i="14" s="1"/>
  <c r="K16" i="14"/>
  <c r="J16" i="14"/>
  <c r="I16" i="14"/>
  <c r="H16" i="14"/>
  <c r="G16" i="14"/>
  <c r="F16" i="14"/>
  <c r="E16" i="14"/>
  <c r="D16" i="14"/>
  <c r="BG13" i="14"/>
  <c r="BX12" i="14"/>
  <c r="BX13" i="14" s="1"/>
  <c r="BW13" i="14"/>
  <c r="BV12" i="14"/>
  <c r="BV13" i="14" s="1"/>
  <c r="BS12" i="14"/>
  <c r="BR12" i="14"/>
  <c r="BR13" i="14" s="1"/>
  <c r="BQ12" i="14"/>
  <c r="BQ13" i="14" s="1"/>
  <c r="BP12" i="14"/>
  <c r="BP13" i="14" s="1"/>
  <c r="BO12" i="14"/>
  <c r="BO13" i="14" s="1"/>
  <c r="BN12" i="14"/>
  <c r="BN13" i="14" s="1"/>
  <c r="BM12" i="14"/>
  <c r="BM13" i="14" s="1"/>
  <c r="BL12" i="14"/>
  <c r="BL13" i="14" s="1"/>
  <c r="BK12" i="14"/>
  <c r="BK13" i="14" s="1"/>
  <c r="BJ12" i="14"/>
  <c r="BJ13" i="14" s="1"/>
  <c r="BI12" i="14"/>
  <c r="BI13" i="14" s="1"/>
  <c r="BH12" i="14"/>
  <c r="BH13" i="14" s="1"/>
  <c r="BE12" i="14"/>
  <c r="BE13" i="14" s="1"/>
  <c r="BD12" i="14"/>
  <c r="BD13" i="14" s="1"/>
  <c r="BC12" i="14"/>
  <c r="BC13" i="14" s="1"/>
  <c r="BB12" i="14"/>
  <c r="BB13" i="14" s="1"/>
  <c r="BA12" i="14"/>
  <c r="BA13" i="14" s="1"/>
  <c r="AZ12" i="14"/>
  <c r="AZ13" i="14" s="1"/>
  <c r="AY12" i="14"/>
  <c r="AY13" i="14" s="1"/>
  <c r="AX12" i="14"/>
  <c r="AX13" i="14" s="1"/>
  <c r="AW12" i="14"/>
  <c r="AW13" i="14" s="1"/>
  <c r="AV12" i="14"/>
  <c r="AV13" i="14" s="1"/>
  <c r="AU12" i="14"/>
  <c r="AU13" i="14" s="1"/>
  <c r="AT12" i="14"/>
  <c r="AQ12" i="14"/>
  <c r="AP12" i="14"/>
  <c r="AP13" i="14" s="1"/>
  <c r="AO12" i="14"/>
  <c r="AO13" i="14" s="1"/>
  <c r="AN12" i="14"/>
  <c r="AN13" i="14" s="1"/>
  <c r="AM12" i="14"/>
  <c r="AM13" i="14" s="1"/>
  <c r="AL12" i="14"/>
  <c r="AL13" i="14" s="1"/>
  <c r="AK12" i="14"/>
  <c r="AK13" i="14" s="1"/>
  <c r="AJ12" i="14"/>
  <c r="AJ13" i="14" s="1"/>
  <c r="AI12" i="14"/>
  <c r="AI13" i="14" s="1"/>
  <c r="AH12" i="14"/>
  <c r="AH13" i="14" s="1"/>
  <c r="AG12" i="14"/>
  <c r="AG13" i="14" s="1"/>
  <c r="AF12" i="14"/>
  <c r="AF13" i="14" s="1"/>
  <c r="AC12" i="14"/>
  <c r="AB12" i="14"/>
  <c r="AA12" i="14"/>
  <c r="Z12" i="14"/>
  <c r="Y12" i="14"/>
  <c r="X12" i="14"/>
  <c r="AD12" i="14" s="1"/>
  <c r="W12" i="14"/>
  <c r="V12" i="14"/>
  <c r="U12" i="14"/>
  <c r="T12" i="14"/>
  <c r="S12" i="14"/>
  <c r="R12" i="14"/>
  <c r="O12" i="14"/>
  <c r="N12" i="14"/>
  <c r="M12" i="14"/>
  <c r="L12" i="14"/>
  <c r="K12" i="14"/>
  <c r="J12" i="14"/>
  <c r="P12" i="14" s="1"/>
  <c r="H12" i="14"/>
  <c r="G12" i="14"/>
  <c r="F12" i="14"/>
  <c r="E12" i="14"/>
  <c r="D12" i="14"/>
  <c r="CH10" i="14"/>
  <c r="BT10" i="14"/>
  <c r="BF10" i="14"/>
  <c r="AR10" i="14"/>
  <c r="CH9" i="14"/>
  <c r="BT9" i="14"/>
  <c r="BF9" i="14"/>
  <c r="AR9" i="14"/>
  <c r="CH8" i="14"/>
  <c r="BT8" i="14"/>
  <c r="BF8" i="14"/>
  <c r="AR8" i="14"/>
  <c r="U8" i="14"/>
  <c r="BT7" i="14"/>
  <c r="BF7" i="14"/>
  <c r="AR7" i="14"/>
  <c r="I7" i="14"/>
  <c r="I12" i="14" s="1"/>
  <c r="BV6" i="14"/>
  <c r="BS6" i="14"/>
  <c r="BR6" i="14"/>
  <c r="BQ6" i="14"/>
  <c r="BP6" i="14"/>
  <c r="BO6" i="14"/>
  <c r="BN6" i="14"/>
  <c r="BM6" i="14"/>
  <c r="BL6" i="14"/>
  <c r="BK6" i="14"/>
  <c r="BJ6" i="14"/>
  <c r="BI6" i="14"/>
  <c r="BH6" i="14"/>
  <c r="BE6" i="14"/>
  <c r="BD6" i="14"/>
  <c r="BC6" i="14"/>
  <c r="BB6" i="14"/>
  <c r="BA6" i="14"/>
  <c r="AZ6" i="14"/>
  <c r="AY6" i="14"/>
  <c r="AX6" i="14"/>
  <c r="AW6" i="14"/>
  <c r="AV6" i="14"/>
  <c r="AU6" i="14"/>
  <c r="AT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C6" i="14"/>
  <c r="AB6" i="14"/>
  <c r="AA6" i="14"/>
  <c r="Z6" i="14"/>
  <c r="Y6" i="14"/>
  <c r="X6" i="14"/>
  <c r="W6" i="14"/>
  <c r="V6" i="14"/>
  <c r="U6" i="14"/>
  <c r="T6" i="14"/>
  <c r="S6" i="14"/>
  <c r="R6" i="14"/>
  <c r="O6" i="14"/>
  <c r="N6" i="14"/>
  <c r="M6" i="14"/>
  <c r="L6" i="14"/>
  <c r="K6" i="14"/>
  <c r="J6" i="14"/>
  <c r="I6" i="14"/>
  <c r="H6" i="14"/>
  <c r="G6" i="14"/>
  <c r="F6" i="14"/>
  <c r="E6" i="14"/>
  <c r="D6" i="14"/>
  <c r="K69" i="13"/>
  <c r="J69" i="13"/>
  <c r="I69" i="13"/>
  <c r="H69" i="13"/>
  <c r="G69" i="13"/>
  <c r="F69" i="13"/>
  <c r="E69" i="13"/>
  <c r="D69" i="13"/>
  <c r="P69" i="13" s="1"/>
  <c r="BT67" i="13"/>
  <c r="BF67" i="13"/>
  <c r="AL67" i="13"/>
  <c r="AK67" i="13"/>
  <c r="AJ67" i="13"/>
  <c r="AI67" i="13"/>
  <c r="AH67" i="13"/>
  <c r="AG67" i="13"/>
  <c r="AF67" i="13"/>
  <c r="AR67" i="13" s="1"/>
  <c r="BT66" i="13"/>
  <c r="BB66" i="13"/>
  <c r="BF66" i="13" s="1"/>
  <c r="AR66" i="13"/>
  <c r="BQ65" i="13"/>
  <c r="BQ68" i="13" s="1"/>
  <c r="BP65" i="13"/>
  <c r="BO65" i="13"/>
  <c r="BN65" i="13"/>
  <c r="BM65" i="13"/>
  <c r="BL65" i="13"/>
  <c r="BK65" i="13"/>
  <c r="BJ65" i="13"/>
  <c r="BI65" i="13"/>
  <c r="BH65" i="13"/>
  <c r="BE65" i="13"/>
  <c r="BE68" i="13" s="1"/>
  <c r="BD65" i="13"/>
  <c r="BD68" i="13" s="1"/>
  <c r="BC65" i="13"/>
  <c r="BB65" i="13"/>
  <c r="BA65" i="13"/>
  <c r="AZ65" i="13"/>
  <c r="AY65" i="13"/>
  <c r="AX65" i="13"/>
  <c r="AW65" i="13"/>
  <c r="AV65" i="13"/>
  <c r="AU65" i="13"/>
  <c r="AT65" i="13"/>
  <c r="AQ65" i="13"/>
  <c r="AP65" i="13"/>
  <c r="AO65" i="13"/>
  <c r="AN65" i="13"/>
  <c r="AM65" i="13"/>
  <c r="AD65" i="13"/>
  <c r="P65" i="13"/>
  <c r="BE64" i="13"/>
  <c r="BD64" i="13"/>
  <c r="BS63" i="13"/>
  <c r="BF63" i="13"/>
  <c r="AR63" i="13"/>
  <c r="CA62" i="13"/>
  <c r="BX62" i="13"/>
  <c r="BW62" i="13"/>
  <c r="BV62" i="13"/>
  <c r="CH62" i="13" s="1"/>
  <c r="BT62" i="13"/>
  <c r="BF62" i="13"/>
  <c r="AR62" i="13"/>
  <c r="BS61" i="13"/>
  <c r="BO61" i="13"/>
  <c r="BN61" i="13"/>
  <c r="BM61" i="13"/>
  <c r="BL61" i="13"/>
  <c r="BK61" i="13"/>
  <c r="BJ61" i="13"/>
  <c r="BI61" i="13"/>
  <c r="BH61" i="13"/>
  <c r="BE61" i="13"/>
  <c r="BD61" i="13"/>
  <c r="BA61" i="13"/>
  <c r="AL61" i="13"/>
  <c r="AK61" i="13"/>
  <c r="AJ61" i="13"/>
  <c r="AI61" i="13"/>
  <c r="AH61" i="13"/>
  <c r="AG61" i="13"/>
  <c r="AF61" i="13"/>
  <c r="AR61" i="13" s="1"/>
  <c r="AC61" i="13"/>
  <c r="AB61" i="13"/>
  <c r="AA61" i="13"/>
  <c r="Z61" i="13"/>
  <c r="Y61" i="13"/>
  <c r="X61" i="13"/>
  <c r="W61" i="13"/>
  <c r="V61" i="13"/>
  <c r="U61" i="13"/>
  <c r="T61" i="13"/>
  <c r="S61" i="13"/>
  <c r="R61" i="13"/>
  <c r="CA60" i="13"/>
  <c r="BZ60" i="13"/>
  <c r="BY60" i="13"/>
  <c r="BX60" i="13"/>
  <c r="BW60" i="13"/>
  <c r="BV60" i="13"/>
  <c r="CH60" i="13" s="1"/>
  <c r="BR60" i="13"/>
  <c r="BR61" i="13" s="1"/>
  <c r="BQ60" i="13"/>
  <c r="BQ61" i="13" s="1"/>
  <c r="BP60" i="13"/>
  <c r="BC60" i="13"/>
  <c r="BB60" i="13"/>
  <c r="AY60" i="13"/>
  <c r="AX60" i="13"/>
  <c r="AW60" i="13"/>
  <c r="AV60" i="13"/>
  <c r="AU60" i="13"/>
  <c r="AU61" i="13" s="1"/>
  <c r="BF61" i="13" s="1"/>
  <c r="AT60" i="13"/>
  <c r="BF60" i="13" s="1"/>
  <c r="AQ60" i="13"/>
  <c r="AP60" i="13"/>
  <c r="AO60" i="13"/>
  <c r="AN60" i="13"/>
  <c r="AM60" i="13"/>
  <c r="AR60" i="13" s="1"/>
  <c r="P60" i="13"/>
  <c r="CU59" i="13"/>
  <c r="CT59" i="13"/>
  <c r="CS59" i="13"/>
  <c r="CR59" i="13"/>
  <c r="CQ59" i="13"/>
  <c r="CP59" i="13"/>
  <c r="CO59" i="13"/>
  <c r="CN59" i="13"/>
  <c r="CM59" i="13"/>
  <c r="CL59" i="13"/>
  <c r="CK59" i="13"/>
  <c r="CJ59" i="13"/>
  <c r="CG59" i="13"/>
  <c r="CF59" i="13"/>
  <c r="CE59" i="13"/>
  <c r="CD59" i="13"/>
  <c r="CC59" i="13"/>
  <c r="CB59" i="13"/>
  <c r="CA59" i="13"/>
  <c r="BZ59" i="13"/>
  <c r="BY59" i="13"/>
  <c r="BX59" i="13"/>
  <c r="BW59" i="13"/>
  <c r="BV59" i="13"/>
  <c r="BS59" i="13"/>
  <c r="BP59" i="13"/>
  <c r="BO59" i="13"/>
  <c r="BN59" i="13"/>
  <c r="BM59" i="13"/>
  <c r="BL59" i="13"/>
  <c r="BK59" i="13"/>
  <c r="BJ59" i="13"/>
  <c r="BI59" i="13"/>
  <c r="BH59" i="13"/>
  <c r="BC59" i="13"/>
  <c r="BB59" i="13"/>
  <c r="BA59" i="13"/>
  <c r="AZ59" i="13"/>
  <c r="AY59" i="13"/>
  <c r="AX59" i="13"/>
  <c r="AW59" i="13"/>
  <c r="AV59" i="13"/>
  <c r="AU59" i="13"/>
  <c r="AT59" i="13"/>
  <c r="AQ59" i="13"/>
  <c r="AP59" i="13"/>
  <c r="AO59" i="13"/>
  <c r="AN59" i="13"/>
  <c r="AM59" i="13"/>
  <c r="AL59" i="13"/>
  <c r="AK59" i="13"/>
  <c r="AJ59" i="13"/>
  <c r="AI59" i="13"/>
  <c r="AH59" i="13"/>
  <c r="AG59" i="13"/>
  <c r="AF59" i="13"/>
  <c r="AD59" i="13"/>
  <c r="P59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R55" i="13" s="1"/>
  <c r="BQ53" i="13"/>
  <c r="BP53" i="13"/>
  <c r="BO53" i="13"/>
  <c r="BN53" i="13"/>
  <c r="BM53" i="13"/>
  <c r="BL53" i="13"/>
  <c r="BK53" i="13"/>
  <c r="BJ53" i="13"/>
  <c r="BI53" i="13"/>
  <c r="BH53" i="13"/>
  <c r="BT53" i="13" s="1"/>
  <c r="BT52" i="13"/>
  <c r="BB52" i="13"/>
  <c r="AR52" i="13"/>
  <c r="BQ51" i="13"/>
  <c r="AM51" i="13"/>
  <c r="AL51" i="13"/>
  <c r="AK51" i="13"/>
  <c r="AJ51" i="13"/>
  <c r="AI51" i="13"/>
  <c r="AH51" i="13"/>
  <c r="AG51" i="13"/>
  <c r="AF51" i="13"/>
  <c r="BT50" i="13"/>
  <c r="BF50" i="13"/>
  <c r="AR50" i="13"/>
  <c r="BQ49" i="13"/>
  <c r="BP49" i="13"/>
  <c r="BO49" i="13"/>
  <c r="BN49" i="13"/>
  <c r="BM49" i="13"/>
  <c r="BL49" i="13"/>
  <c r="BK49" i="13"/>
  <c r="BJ49" i="13"/>
  <c r="BI49" i="13"/>
  <c r="BH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BF48" i="13"/>
  <c r="AR48" i="13"/>
  <c r="AD48" i="13"/>
  <c r="P48" i="13"/>
  <c r="BN47" i="13"/>
  <c r="BM47" i="13"/>
  <c r="BL47" i="13"/>
  <c r="BK47" i="13"/>
  <c r="BJ47" i="13"/>
  <c r="BI47" i="13"/>
  <c r="BH47" i="13"/>
  <c r="BA47" i="13"/>
  <c r="AZ47" i="13"/>
  <c r="AY47" i="13"/>
  <c r="AX47" i="13"/>
  <c r="AW47" i="13"/>
  <c r="AV47" i="13"/>
  <c r="AU47" i="13"/>
  <c r="AT47" i="13"/>
  <c r="BT46" i="13"/>
  <c r="BB46" i="13"/>
  <c r="AR46" i="13"/>
  <c r="CB45" i="13"/>
  <c r="CA45" i="13"/>
  <c r="BZ45" i="13"/>
  <c r="BY45" i="13"/>
  <c r="BQ45" i="13"/>
  <c r="BP45" i="13"/>
  <c r="BO45" i="13"/>
  <c r="BE45" i="13"/>
  <c r="BE47" i="13" s="1"/>
  <c r="BD45" i="13"/>
  <c r="BD47" i="13" s="1"/>
  <c r="BC45" i="13"/>
  <c r="BC47" i="13" s="1"/>
  <c r="BB45" i="13"/>
  <c r="BF45" i="13" s="1"/>
  <c r="BN44" i="13"/>
  <c r="BM44" i="13"/>
  <c r="BL44" i="13"/>
  <c r="BK44" i="13"/>
  <c r="BJ44" i="13"/>
  <c r="BI44" i="13"/>
  <c r="BH44" i="13"/>
  <c r="BT44" i="13" s="1"/>
  <c r="BT43" i="13"/>
  <c r="BE43" i="13"/>
  <c r="BE53" i="13" s="1"/>
  <c r="BD43" i="13"/>
  <c r="BD53" i="13" s="1"/>
  <c r="BC43" i="13"/>
  <c r="BC53" i="13" s="1"/>
  <c r="BB43" i="13"/>
  <c r="BB44" i="13" s="1"/>
  <c r="BA43" i="13"/>
  <c r="AZ43" i="13"/>
  <c r="AZ53" i="13" s="1"/>
  <c r="AY43" i="13"/>
  <c r="AY53" i="13" s="1"/>
  <c r="AX43" i="13"/>
  <c r="AX53" i="13" s="1"/>
  <c r="AW43" i="13"/>
  <c r="AW53" i="13" s="1"/>
  <c r="AV43" i="13"/>
  <c r="AV53" i="13" s="1"/>
  <c r="AU43" i="13"/>
  <c r="AU53" i="13" s="1"/>
  <c r="AT43" i="13"/>
  <c r="AQ43" i="13"/>
  <c r="AP43" i="13"/>
  <c r="AO43" i="13"/>
  <c r="AO53" i="13" s="1"/>
  <c r="AN43" i="13"/>
  <c r="AN53" i="13" s="1"/>
  <c r="AM43" i="13"/>
  <c r="AM53" i="13" s="1"/>
  <c r="AL43" i="13"/>
  <c r="AK43" i="13"/>
  <c r="AK53" i="13" s="1"/>
  <c r="AJ43" i="13"/>
  <c r="AJ53" i="13" s="1"/>
  <c r="AI43" i="13"/>
  <c r="AI53" i="13" s="1"/>
  <c r="AG43" i="13"/>
  <c r="AG53" i="13" s="1"/>
  <c r="AF43" i="13"/>
  <c r="AC43" i="13"/>
  <c r="AB43" i="13"/>
  <c r="AA43" i="13"/>
  <c r="Z43" i="13"/>
  <c r="Y43" i="13"/>
  <c r="X43" i="13"/>
  <c r="W43" i="13"/>
  <c r="R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P43" i="13" s="1"/>
  <c r="BT42" i="13"/>
  <c r="BF42" i="13"/>
  <c r="AR42" i="13"/>
  <c r="AD42" i="13"/>
  <c r="P42" i="13"/>
  <c r="BF41" i="13"/>
  <c r="BF40" i="13"/>
  <c r="AR40" i="13"/>
  <c r="BF39" i="13"/>
  <c r="AR39" i="13"/>
  <c r="BF38" i="13"/>
  <c r="AR38" i="13"/>
  <c r="CG37" i="13"/>
  <c r="CF37" i="13"/>
  <c r="CE37" i="13"/>
  <c r="CD37" i="13"/>
  <c r="CC37" i="13"/>
  <c r="CB37" i="13"/>
  <c r="CA37" i="13"/>
  <c r="BZ37" i="13"/>
  <c r="BY37" i="13"/>
  <c r="BX37" i="13"/>
  <c r="BW37" i="13"/>
  <c r="BW43" i="13" s="1"/>
  <c r="BW44" i="13" s="1"/>
  <c r="BV37" i="13"/>
  <c r="BT37" i="13"/>
  <c r="BF37" i="13"/>
  <c r="AH37" i="13"/>
  <c r="AR37" i="13" s="1"/>
  <c r="BF36" i="13"/>
  <c r="AH36" i="13"/>
  <c r="AR36" i="13" s="1"/>
  <c r="AD36" i="13"/>
  <c r="BF35" i="13"/>
  <c r="AH35" i="13"/>
  <c r="AR35" i="13" s="1"/>
  <c r="AD35" i="13"/>
  <c r="BF34" i="13"/>
  <c r="AH34" i="13"/>
  <c r="AR34" i="13" s="1"/>
  <c r="AD34" i="13"/>
  <c r="P34" i="13"/>
  <c r="BF33" i="13"/>
  <c r="AH33" i="13"/>
  <c r="AR33" i="13" s="1"/>
  <c r="AD33" i="13"/>
  <c r="P33" i="13"/>
  <c r="BF32" i="13"/>
  <c r="AH32" i="13"/>
  <c r="AR32" i="13" s="1"/>
  <c r="AD32" i="13"/>
  <c r="P32" i="13"/>
  <c r="BF31" i="13"/>
  <c r="AH31" i="13"/>
  <c r="AD31" i="13"/>
  <c r="P31" i="13"/>
  <c r="BF30" i="13"/>
  <c r="AR30" i="13"/>
  <c r="U30" i="13"/>
  <c r="T30" i="13"/>
  <c r="AD30" i="13" s="1"/>
  <c r="P30" i="13"/>
  <c r="BF29" i="13"/>
  <c r="AR29" i="13"/>
  <c r="T29" i="13"/>
  <c r="AD29" i="13" s="1"/>
  <c r="P29" i="13"/>
  <c r="BF28" i="13"/>
  <c r="AR28" i="13"/>
  <c r="U28" i="13"/>
  <c r="T28" i="13"/>
  <c r="S28" i="13"/>
  <c r="AD28" i="13" s="1"/>
  <c r="P28" i="13"/>
  <c r="BF27" i="13"/>
  <c r="AR27" i="13"/>
  <c r="AD27" i="13"/>
  <c r="P27" i="13"/>
  <c r="BF26" i="13"/>
  <c r="AR26" i="13"/>
  <c r="V26" i="13"/>
  <c r="V43" i="13" s="1"/>
  <c r="U26" i="13"/>
  <c r="AD26" i="13" s="1"/>
  <c r="P26" i="13"/>
  <c r="BF25" i="13"/>
  <c r="AR25" i="13"/>
  <c r="T25" i="13"/>
  <c r="S25" i="13"/>
  <c r="P25" i="13"/>
  <c r="BF24" i="13"/>
  <c r="AR24" i="13"/>
  <c r="AD24" i="13"/>
  <c r="P24" i="13"/>
  <c r="BF23" i="13"/>
  <c r="AR23" i="13"/>
  <c r="U23" i="13"/>
  <c r="T23" i="13"/>
  <c r="AD23" i="13" s="1"/>
  <c r="P23" i="13"/>
  <c r="BF22" i="13"/>
  <c r="AR22" i="13"/>
  <c r="U22" i="13"/>
  <c r="U43" i="13" s="1"/>
  <c r="T22" i="13"/>
  <c r="P22" i="13"/>
  <c r="CG20" i="13"/>
  <c r="CF20" i="13"/>
  <c r="CE20" i="13"/>
  <c r="CD20" i="13"/>
  <c r="CC20" i="13"/>
  <c r="CB20" i="13"/>
  <c r="CA20" i="13"/>
  <c r="BZ20" i="13"/>
  <c r="BY20" i="13"/>
  <c r="BX20" i="13"/>
  <c r="BW20" i="13"/>
  <c r="BS20" i="13"/>
  <c r="BR20" i="13"/>
  <c r="BQ20" i="13"/>
  <c r="BE20" i="13"/>
  <c r="BE51" i="13" s="1"/>
  <c r="BD20" i="13"/>
  <c r="BD51" i="13" s="1"/>
  <c r="BC20" i="13"/>
  <c r="BC51" i="13" s="1"/>
  <c r="BB20" i="13"/>
  <c r="BB51" i="13" s="1"/>
  <c r="BA20" i="13"/>
  <c r="BA51" i="13" s="1"/>
  <c r="AZ20" i="13"/>
  <c r="AZ51" i="13" s="1"/>
  <c r="AY20" i="13"/>
  <c r="AY51" i="13" s="1"/>
  <c r="AX20" i="13"/>
  <c r="AX51" i="13" s="1"/>
  <c r="AW20" i="13"/>
  <c r="AW51" i="13" s="1"/>
  <c r="AV20" i="13"/>
  <c r="AV51" i="13" s="1"/>
  <c r="AU20" i="13"/>
  <c r="AU51" i="13" s="1"/>
  <c r="AT20" i="13"/>
  <c r="U20" i="13"/>
  <c r="AD20" i="13" s="1"/>
  <c r="P20" i="13"/>
  <c r="AQ19" i="13"/>
  <c r="AQ20" i="13" s="1"/>
  <c r="AQ51" i="13" s="1"/>
  <c r="AP19" i="13"/>
  <c r="AP20" i="13" s="1"/>
  <c r="AP51" i="13" s="1"/>
  <c r="AO19" i="13"/>
  <c r="AO20" i="13" s="1"/>
  <c r="AO51" i="13" s="1"/>
  <c r="AN19" i="13"/>
  <c r="AN20" i="13" s="1"/>
  <c r="CG18" i="13"/>
  <c r="CF18" i="13"/>
  <c r="CE18" i="13"/>
  <c r="CD18" i="13"/>
  <c r="CC18" i="13"/>
  <c r="CB18" i="13"/>
  <c r="CA18" i="13"/>
  <c r="BZ18" i="13"/>
  <c r="BY18" i="13"/>
  <c r="BX18" i="13"/>
  <c r="BW18" i="13"/>
  <c r="BQ18" i="13"/>
  <c r="BT18" i="13" s="1"/>
  <c r="BF18" i="13"/>
  <c r="BW17" i="13"/>
  <c r="BP17" i="13"/>
  <c r="BO17" i="13"/>
  <c r="BN17" i="13"/>
  <c r="BM17" i="13"/>
  <c r="BL17" i="13"/>
  <c r="BK17" i="13"/>
  <c r="BJ17" i="13"/>
  <c r="BI17" i="13"/>
  <c r="BH17" i="13"/>
  <c r="BE17" i="13"/>
  <c r="BD17" i="13"/>
  <c r="BC17" i="13"/>
  <c r="BB17" i="13"/>
  <c r="AZ17" i="13"/>
  <c r="AY17" i="13"/>
  <c r="BW16" i="13"/>
  <c r="BR16" i="13"/>
  <c r="BS45" i="13" s="1"/>
  <c r="CG45" i="13" s="1"/>
  <c r="BQ16" i="13"/>
  <c r="BQ69" i="13" s="1"/>
  <c r="BP16" i="13"/>
  <c r="BO16" i="13"/>
  <c r="BN16" i="13"/>
  <c r="BM16" i="13"/>
  <c r="BL16" i="13"/>
  <c r="BK16" i="13"/>
  <c r="BJ16" i="13"/>
  <c r="BI16" i="13"/>
  <c r="BH16" i="13"/>
  <c r="BT16" i="13" s="1"/>
  <c r="BE16" i="13"/>
  <c r="BE69" i="13" s="1"/>
  <c r="BD16" i="13"/>
  <c r="BD69" i="13" s="1"/>
  <c r="BC16" i="13"/>
  <c r="BB16" i="13"/>
  <c r="BA16" i="13"/>
  <c r="AZ16" i="13"/>
  <c r="AY16" i="13"/>
  <c r="AX16" i="13"/>
  <c r="AW16" i="13"/>
  <c r="AV16" i="13"/>
  <c r="AU16" i="13"/>
  <c r="AT16" i="13"/>
  <c r="BF16" i="13" s="1"/>
  <c r="AQ16" i="13"/>
  <c r="AP16" i="13"/>
  <c r="AO16" i="13"/>
  <c r="AN16" i="13"/>
  <c r="AM16" i="13"/>
  <c r="AL16" i="13"/>
  <c r="AK16" i="13"/>
  <c r="AJ16" i="13"/>
  <c r="AI16" i="13"/>
  <c r="AG16" i="13"/>
  <c r="AF16" i="13"/>
  <c r="AC16" i="13"/>
  <c r="AC69" i="13" s="1"/>
  <c r="AB16" i="13"/>
  <c r="AB69" i="13" s="1"/>
  <c r="AA16" i="13"/>
  <c r="AA69" i="13" s="1"/>
  <c r="Z16" i="13"/>
  <c r="Z69" i="13" s="1"/>
  <c r="Y16" i="13"/>
  <c r="Y69" i="13" s="1"/>
  <c r="X16" i="13"/>
  <c r="X69" i="13" s="1"/>
  <c r="W16" i="13"/>
  <c r="W69" i="13" s="1"/>
  <c r="V16" i="13"/>
  <c r="V69" i="13" s="1"/>
  <c r="U16" i="13"/>
  <c r="U69" i="13" s="1"/>
  <c r="R16" i="13"/>
  <c r="P16" i="13"/>
  <c r="O16" i="13"/>
  <c r="O69" i="13" s="1"/>
  <c r="N16" i="13"/>
  <c r="N69" i="13" s="1"/>
  <c r="M16" i="13"/>
  <c r="M69" i="13" s="1"/>
  <c r="L16" i="13"/>
  <c r="L69" i="13" s="1"/>
  <c r="K16" i="13"/>
  <c r="J16" i="13"/>
  <c r="I16" i="13"/>
  <c r="H16" i="13"/>
  <c r="G16" i="13"/>
  <c r="F16" i="13"/>
  <c r="E16" i="13"/>
  <c r="D16" i="13"/>
  <c r="BG13" i="13"/>
  <c r="CG12" i="13"/>
  <c r="CF12" i="13"/>
  <c r="CF13" i="13" s="1"/>
  <c r="CE12" i="13"/>
  <c r="CE13" i="13" s="1"/>
  <c r="CD12" i="13"/>
  <c r="CD13" i="13" s="1"/>
  <c r="CC12" i="13"/>
  <c r="CC13" i="13" s="1"/>
  <c r="CB12" i="13"/>
  <c r="CB13" i="13" s="1"/>
  <c r="CA12" i="13"/>
  <c r="CA13" i="13" s="1"/>
  <c r="BZ12" i="13"/>
  <c r="BZ13" i="13" s="1"/>
  <c r="BY12" i="13"/>
  <c r="BY13" i="13" s="1"/>
  <c r="BX12" i="13"/>
  <c r="BX13" i="13" s="1"/>
  <c r="BW12" i="13"/>
  <c r="BW13" i="13" s="1"/>
  <c r="BV12" i="13"/>
  <c r="BV13" i="13" s="1"/>
  <c r="BS12" i="13"/>
  <c r="BR12" i="13"/>
  <c r="BR13" i="13" s="1"/>
  <c r="BQ12" i="13"/>
  <c r="BQ13" i="13" s="1"/>
  <c r="BP12" i="13"/>
  <c r="BP13" i="13" s="1"/>
  <c r="BO12" i="13"/>
  <c r="BO13" i="13" s="1"/>
  <c r="BN12" i="13"/>
  <c r="BN13" i="13" s="1"/>
  <c r="BM12" i="13"/>
  <c r="BM13" i="13" s="1"/>
  <c r="BL12" i="13"/>
  <c r="BL13" i="13" s="1"/>
  <c r="BK12" i="13"/>
  <c r="BK13" i="13" s="1"/>
  <c r="BJ12" i="13"/>
  <c r="BJ13" i="13" s="1"/>
  <c r="BI12" i="13"/>
  <c r="BI13" i="13" s="1"/>
  <c r="BH12" i="13"/>
  <c r="BH13" i="13" s="1"/>
  <c r="BE12" i="13"/>
  <c r="BE13" i="13" s="1"/>
  <c r="BD12" i="13"/>
  <c r="BD13" i="13" s="1"/>
  <c r="BC12" i="13"/>
  <c r="BC13" i="13" s="1"/>
  <c r="BB12" i="13"/>
  <c r="BB13" i="13" s="1"/>
  <c r="BA12" i="13"/>
  <c r="BA13" i="13" s="1"/>
  <c r="AZ12" i="13"/>
  <c r="AZ13" i="13" s="1"/>
  <c r="AY12" i="13"/>
  <c r="AY13" i="13" s="1"/>
  <c r="AX12" i="13"/>
  <c r="AX13" i="13" s="1"/>
  <c r="AW12" i="13"/>
  <c r="AW13" i="13" s="1"/>
  <c r="AV12" i="13"/>
  <c r="AV13" i="13" s="1"/>
  <c r="AU12" i="13"/>
  <c r="AU13" i="13" s="1"/>
  <c r="AT12" i="13"/>
  <c r="AQ12" i="13"/>
  <c r="AP12" i="13"/>
  <c r="AP13" i="13" s="1"/>
  <c r="AO12" i="13"/>
  <c r="AO13" i="13" s="1"/>
  <c r="AN12" i="13"/>
  <c r="AN13" i="13" s="1"/>
  <c r="AM12" i="13"/>
  <c r="AM13" i="13" s="1"/>
  <c r="AL12" i="13"/>
  <c r="AL13" i="13" s="1"/>
  <c r="AK12" i="13"/>
  <c r="AK13" i="13" s="1"/>
  <c r="AJ12" i="13"/>
  <c r="AJ13" i="13" s="1"/>
  <c r="AI12" i="13"/>
  <c r="AI13" i="13" s="1"/>
  <c r="AH12" i="13"/>
  <c r="AH13" i="13" s="1"/>
  <c r="AG12" i="13"/>
  <c r="AG13" i="13" s="1"/>
  <c r="AF12" i="13"/>
  <c r="AF13" i="13" s="1"/>
  <c r="AC12" i="13"/>
  <c r="AB12" i="13"/>
  <c r="AA12" i="13"/>
  <c r="Z12" i="13"/>
  <c r="Y12" i="13"/>
  <c r="X12" i="13"/>
  <c r="AD12" i="13" s="1"/>
  <c r="W12" i="13"/>
  <c r="V12" i="13"/>
  <c r="U12" i="13"/>
  <c r="T12" i="13"/>
  <c r="S12" i="13"/>
  <c r="R12" i="13"/>
  <c r="O12" i="13"/>
  <c r="N12" i="13"/>
  <c r="M12" i="13"/>
  <c r="L12" i="13"/>
  <c r="K12" i="13"/>
  <c r="J12" i="13"/>
  <c r="P12" i="13" s="1"/>
  <c r="H12" i="13"/>
  <c r="G12" i="13"/>
  <c r="F12" i="13"/>
  <c r="E12" i="13"/>
  <c r="D12" i="13"/>
  <c r="CH10" i="13"/>
  <c r="BT10" i="13"/>
  <c r="BF10" i="13"/>
  <c r="AR10" i="13"/>
  <c r="CH9" i="13"/>
  <c r="BT9" i="13"/>
  <c r="BF9" i="13"/>
  <c r="AR9" i="13"/>
  <c r="CH8" i="13"/>
  <c r="BT8" i="13"/>
  <c r="BF8" i="13"/>
  <c r="AR8" i="13"/>
  <c r="U8" i="13"/>
  <c r="CH7" i="13"/>
  <c r="BT7" i="13"/>
  <c r="BF7" i="13"/>
  <c r="AR7" i="13"/>
  <c r="I7" i="13"/>
  <c r="I12" i="13" s="1"/>
  <c r="BV6" i="13"/>
  <c r="BS6" i="13"/>
  <c r="BR6" i="13"/>
  <c r="BQ6" i="13"/>
  <c r="BP6" i="13"/>
  <c r="BO6" i="13"/>
  <c r="BN6" i="13"/>
  <c r="BM6" i="13"/>
  <c r="BL6" i="13"/>
  <c r="BK6" i="13"/>
  <c r="BJ6" i="13"/>
  <c r="BI6" i="13"/>
  <c r="BH6" i="13"/>
  <c r="BE6" i="13"/>
  <c r="BD6" i="13"/>
  <c r="BC6" i="13"/>
  <c r="BB6" i="13"/>
  <c r="BA6" i="13"/>
  <c r="AZ6" i="13"/>
  <c r="AY6" i="13"/>
  <c r="AX6" i="13"/>
  <c r="AW6" i="13"/>
  <c r="AV6" i="13"/>
  <c r="AU6" i="13"/>
  <c r="AT6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C6" i="13"/>
  <c r="AB6" i="13"/>
  <c r="AA6" i="13"/>
  <c r="Z6" i="13"/>
  <c r="Y6" i="13"/>
  <c r="X6" i="13"/>
  <c r="W6" i="13"/>
  <c r="V6" i="13"/>
  <c r="U6" i="13"/>
  <c r="T6" i="13"/>
  <c r="S6" i="13"/>
  <c r="R6" i="13"/>
  <c r="O6" i="13"/>
  <c r="N6" i="13"/>
  <c r="M6" i="13"/>
  <c r="L6" i="13"/>
  <c r="K6" i="13"/>
  <c r="J6" i="13"/>
  <c r="I6" i="13"/>
  <c r="H6" i="13"/>
  <c r="G6" i="13"/>
  <c r="F6" i="13"/>
  <c r="E6" i="13"/>
  <c r="D6" i="13"/>
  <c r="CJ59" i="11"/>
  <c r="CU59" i="11"/>
  <c r="CT59" i="11"/>
  <c r="CS59" i="11"/>
  <c r="CR59" i="11"/>
  <c r="CQ59" i="11"/>
  <c r="CP59" i="11"/>
  <c r="CO59" i="11"/>
  <c r="CN59" i="11"/>
  <c r="CM59" i="11"/>
  <c r="CL59" i="11"/>
  <c r="CK59" i="11"/>
  <c r="BY59" i="11"/>
  <c r="BZ59" i="11"/>
  <c r="CA59" i="11"/>
  <c r="CB59" i="11"/>
  <c r="CC59" i="11"/>
  <c r="CD59" i="11"/>
  <c r="CE59" i="11"/>
  <c r="CF59" i="11"/>
  <c r="CG59" i="11"/>
  <c r="BX59" i="11"/>
  <c r="K69" i="12"/>
  <c r="J69" i="12"/>
  <c r="I69" i="12"/>
  <c r="H69" i="12"/>
  <c r="G69" i="12"/>
  <c r="F69" i="12"/>
  <c r="E69" i="12"/>
  <c r="D69" i="12"/>
  <c r="P69" i="12" s="1"/>
  <c r="BT67" i="12"/>
  <c r="BF67" i="12"/>
  <c r="AL67" i="12"/>
  <c r="AK67" i="12"/>
  <c r="AJ67" i="12"/>
  <c r="AI67" i="12"/>
  <c r="AH67" i="12"/>
  <c r="AG67" i="12"/>
  <c r="AF67" i="12"/>
  <c r="AR67" i="12" s="1"/>
  <c r="BT66" i="12"/>
  <c r="BB66" i="12"/>
  <c r="BF66" i="12" s="1"/>
  <c r="AR66" i="12"/>
  <c r="BQ65" i="12"/>
  <c r="BQ68" i="12" s="1"/>
  <c r="BP65" i="12"/>
  <c r="BO65" i="12"/>
  <c r="BN65" i="12"/>
  <c r="BM65" i="12"/>
  <c r="BL65" i="12"/>
  <c r="BK65" i="12"/>
  <c r="BJ65" i="12"/>
  <c r="BI65" i="12"/>
  <c r="BH65" i="12"/>
  <c r="BE65" i="12"/>
  <c r="BE68" i="12" s="1"/>
  <c r="BD65" i="12"/>
  <c r="BD68" i="12" s="1"/>
  <c r="BC65" i="12"/>
  <c r="BB65" i="12"/>
  <c r="BA65" i="12"/>
  <c r="AZ65" i="12"/>
  <c r="AY65" i="12"/>
  <c r="AX65" i="12"/>
  <c r="AW65" i="12"/>
  <c r="AV65" i="12"/>
  <c r="AU65" i="12"/>
  <c r="AT65" i="12"/>
  <c r="AQ65" i="12"/>
  <c r="AP65" i="12"/>
  <c r="AO65" i="12"/>
  <c r="AN65" i="12"/>
  <c r="AM65" i="12"/>
  <c r="AD65" i="12"/>
  <c r="P65" i="12"/>
  <c r="BE64" i="12"/>
  <c r="BD64" i="12"/>
  <c r="BS63" i="12"/>
  <c r="BF63" i="12"/>
  <c r="AR63" i="12"/>
  <c r="CA62" i="12"/>
  <c r="BX62" i="12"/>
  <c r="BW62" i="12"/>
  <c r="BV62" i="12"/>
  <c r="CH62" i="12" s="1"/>
  <c r="BT62" i="12"/>
  <c r="BF62" i="12"/>
  <c r="AR62" i="12"/>
  <c r="BS61" i="12"/>
  <c r="BO61" i="12"/>
  <c r="BN61" i="12"/>
  <c r="BM61" i="12"/>
  <c r="BL61" i="12"/>
  <c r="BK61" i="12"/>
  <c r="BJ61" i="12"/>
  <c r="BI61" i="12"/>
  <c r="BH61" i="12"/>
  <c r="BE61" i="12"/>
  <c r="BD61" i="12"/>
  <c r="BA61" i="12"/>
  <c r="AL61" i="12"/>
  <c r="AK61" i="12"/>
  <c r="AJ61" i="12"/>
  <c r="AI61" i="12"/>
  <c r="AH61" i="12"/>
  <c r="AG61" i="12"/>
  <c r="AF61" i="12"/>
  <c r="AR61" i="12" s="1"/>
  <c r="AC61" i="12"/>
  <c r="AB61" i="12"/>
  <c r="AA61" i="12"/>
  <c r="Z61" i="12"/>
  <c r="Y61" i="12"/>
  <c r="X61" i="12"/>
  <c r="W61" i="12"/>
  <c r="V61" i="12"/>
  <c r="U61" i="12"/>
  <c r="T61" i="12"/>
  <c r="S61" i="12"/>
  <c r="R61" i="12"/>
  <c r="CA60" i="12"/>
  <c r="BZ60" i="12"/>
  <c r="BY60" i="12"/>
  <c r="BX60" i="12"/>
  <c r="BW60" i="12"/>
  <c r="BV60" i="12"/>
  <c r="CH60" i="12" s="1"/>
  <c r="BR60" i="12"/>
  <c r="BR61" i="12" s="1"/>
  <c r="BQ60" i="12"/>
  <c r="BQ61" i="12" s="1"/>
  <c r="BP60" i="12"/>
  <c r="BC60" i="12"/>
  <c r="BB60" i="12"/>
  <c r="AY60" i="12"/>
  <c r="AX60" i="12"/>
  <c r="AW60" i="12"/>
  <c r="AV60" i="12"/>
  <c r="AU60" i="12"/>
  <c r="AU61" i="12" s="1"/>
  <c r="BF61" i="12" s="1"/>
  <c r="AT60" i="12"/>
  <c r="BF60" i="12" s="1"/>
  <c r="AQ60" i="12"/>
  <c r="AP60" i="12"/>
  <c r="AO60" i="12"/>
  <c r="AN60" i="12"/>
  <c r="AM60" i="12"/>
  <c r="AR60" i="12" s="1"/>
  <c r="P60" i="12"/>
  <c r="CG59" i="12"/>
  <c r="CF59" i="12"/>
  <c r="CE59" i="12"/>
  <c r="CD59" i="12"/>
  <c r="CC59" i="12"/>
  <c r="CB59" i="12"/>
  <c r="CA59" i="12"/>
  <c r="BZ59" i="12"/>
  <c r="BY59" i="12"/>
  <c r="BX59" i="12"/>
  <c r="BW59" i="12"/>
  <c r="BV59" i="12"/>
  <c r="BS59" i="12"/>
  <c r="BP59" i="12"/>
  <c r="BO59" i="12"/>
  <c r="BN59" i="12"/>
  <c r="BM59" i="12"/>
  <c r="BL59" i="12"/>
  <c r="BK59" i="12"/>
  <c r="BJ59" i="12"/>
  <c r="BI59" i="12"/>
  <c r="BH59" i="12"/>
  <c r="BC59" i="12"/>
  <c r="BB59" i="12"/>
  <c r="BA59" i="12"/>
  <c r="AZ59" i="12"/>
  <c r="AY59" i="12"/>
  <c r="AX59" i="12"/>
  <c r="AW59" i="12"/>
  <c r="AV59" i="12"/>
  <c r="AU59" i="12"/>
  <c r="AT59" i="12"/>
  <c r="AQ59" i="12"/>
  <c r="AP59" i="12"/>
  <c r="AO59" i="12"/>
  <c r="AN59" i="12"/>
  <c r="AM59" i="12"/>
  <c r="AL59" i="12"/>
  <c r="AK59" i="12"/>
  <c r="AJ59" i="12"/>
  <c r="AI59" i="12"/>
  <c r="AH59" i="12"/>
  <c r="AG59" i="12"/>
  <c r="AF59" i="12"/>
  <c r="AD59" i="12"/>
  <c r="P59" i="12"/>
  <c r="AQ55" i="12"/>
  <c r="AP55" i="12"/>
  <c r="AO55" i="12"/>
  <c r="AN55" i="12"/>
  <c r="AM55" i="12"/>
  <c r="AL55" i="12"/>
  <c r="AK55" i="12"/>
  <c r="AJ55" i="12"/>
  <c r="AI55" i="12"/>
  <c r="AH55" i="12"/>
  <c r="AG55" i="12"/>
  <c r="AF55" i="12"/>
  <c r="AR55" i="12" s="1"/>
  <c r="BQ53" i="12"/>
  <c r="BP53" i="12"/>
  <c r="BO53" i="12"/>
  <c r="BN53" i="12"/>
  <c r="BM53" i="12"/>
  <c r="BL53" i="12"/>
  <c r="BK53" i="12"/>
  <c r="BJ53" i="12"/>
  <c r="BI53" i="12"/>
  <c r="BH53" i="12"/>
  <c r="BT53" i="12" s="1"/>
  <c r="BT52" i="12"/>
  <c r="BB52" i="12"/>
  <c r="AR52" i="12"/>
  <c r="BQ51" i="12"/>
  <c r="AM51" i="12"/>
  <c r="AL51" i="12"/>
  <c r="AK51" i="12"/>
  <c r="AJ51" i="12"/>
  <c r="AI51" i="12"/>
  <c r="AH51" i="12"/>
  <c r="AG51" i="12"/>
  <c r="AF51" i="12"/>
  <c r="BT50" i="12"/>
  <c r="BF50" i="12"/>
  <c r="AR50" i="12"/>
  <c r="BQ49" i="12"/>
  <c r="BP49" i="12"/>
  <c r="BO49" i="12"/>
  <c r="BN49" i="12"/>
  <c r="BM49" i="12"/>
  <c r="BL49" i="12"/>
  <c r="BK49" i="12"/>
  <c r="BJ49" i="12"/>
  <c r="BI49" i="12"/>
  <c r="BH49" i="12"/>
  <c r="BE49" i="12"/>
  <c r="BD49" i="12"/>
  <c r="BC49" i="12"/>
  <c r="BB49" i="12"/>
  <c r="BA49" i="12"/>
  <c r="AZ49" i="12"/>
  <c r="AY49" i="12"/>
  <c r="AX49" i="12"/>
  <c r="AW49" i="12"/>
  <c r="AV49" i="12"/>
  <c r="AU49" i="12"/>
  <c r="AT49" i="12"/>
  <c r="AQ49" i="12"/>
  <c r="AP49" i="12"/>
  <c r="AO49" i="12"/>
  <c r="AN49" i="12"/>
  <c r="AM49" i="12"/>
  <c r="AL49" i="12"/>
  <c r="AK49" i="12"/>
  <c r="AJ49" i="12"/>
  <c r="AI49" i="12"/>
  <c r="AH49" i="12"/>
  <c r="AG49" i="12"/>
  <c r="AF49" i="12"/>
  <c r="BF48" i="12"/>
  <c r="AR48" i="12"/>
  <c r="AD48" i="12"/>
  <c r="P48" i="12"/>
  <c r="BN47" i="12"/>
  <c r="BM47" i="12"/>
  <c r="BL47" i="12"/>
  <c r="BK47" i="12"/>
  <c r="BJ47" i="12"/>
  <c r="BI47" i="12"/>
  <c r="BH47" i="12"/>
  <c r="BA47" i="12"/>
  <c r="AZ47" i="12"/>
  <c r="AY47" i="12"/>
  <c r="AX47" i="12"/>
  <c r="AW47" i="12"/>
  <c r="AV47" i="12"/>
  <c r="AU47" i="12"/>
  <c r="AT47" i="12"/>
  <c r="BT46" i="12"/>
  <c r="BB46" i="12"/>
  <c r="AR46" i="12"/>
  <c r="CB45" i="12"/>
  <c r="CA45" i="12"/>
  <c r="BZ45" i="12"/>
  <c r="BY45" i="12"/>
  <c r="BQ45" i="12"/>
  <c r="BP45" i="12"/>
  <c r="BO45" i="12"/>
  <c r="BE45" i="12"/>
  <c r="BE47" i="12" s="1"/>
  <c r="BD45" i="12"/>
  <c r="BD47" i="12" s="1"/>
  <c r="BC45" i="12"/>
  <c r="BC47" i="12" s="1"/>
  <c r="BB45" i="12"/>
  <c r="BF45" i="12" s="1"/>
  <c r="BN44" i="12"/>
  <c r="BM44" i="12"/>
  <c r="BL44" i="12"/>
  <c r="BK44" i="12"/>
  <c r="BJ44" i="12"/>
  <c r="BI44" i="12"/>
  <c r="BH44" i="12"/>
  <c r="BT44" i="12" s="1"/>
  <c r="BT43" i="12"/>
  <c r="BE43" i="12"/>
  <c r="BE53" i="12" s="1"/>
  <c r="BD43" i="12"/>
  <c r="BD53" i="12" s="1"/>
  <c r="BC43" i="12"/>
  <c r="BC53" i="12" s="1"/>
  <c r="BB43" i="12"/>
  <c r="BB44" i="12" s="1"/>
  <c r="BA43" i="12"/>
  <c r="AZ43" i="12"/>
  <c r="AZ53" i="12" s="1"/>
  <c r="AY43" i="12"/>
  <c r="AY53" i="12" s="1"/>
  <c r="AX43" i="12"/>
  <c r="AX53" i="12" s="1"/>
  <c r="AW43" i="12"/>
  <c r="AW53" i="12" s="1"/>
  <c r="AV43" i="12"/>
  <c r="AV53" i="12" s="1"/>
  <c r="AU43" i="12"/>
  <c r="AU53" i="12" s="1"/>
  <c r="AT43" i="12"/>
  <c r="AQ43" i="12"/>
  <c r="AP43" i="12"/>
  <c r="AO43" i="12"/>
  <c r="AO53" i="12" s="1"/>
  <c r="AN43" i="12"/>
  <c r="AN53" i="12" s="1"/>
  <c r="AM43" i="12"/>
  <c r="AM53" i="12" s="1"/>
  <c r="AL43" i="12"/>
  <c r="AK43" i="12"/>
  <c r="AK53" i="12" s="1"/>
  <c r="AJ43" i="12"/>
  <c r="AJ53" i="12" s="1"/>
  <c r="AI43" i="12"/>
  <c r="AI53" i="12" s="1"/>
  <c r="AG43" i="12"/>
  <c r="AG53" i="12" s="1"/>
  <c r="AF43" i="12"/>
  <c r="AC43" i="12"/>
  <c r="AB43" i="12"/>
  <c r="AA43" i="12"/>
  <c r="Z43" i="12"/>
  <c r="Y43" i="12"/>
  <c r="X43" i="12"/>
  <c r="W43" i="12"/>
  <c r="R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P43" i="12" s="1"/>
  <c r="BT42" i="12"/>
  <c r="BF42" i="12"/>
  <c r="AR42" i="12"/>
  <c r="AD42" i="12"/>
  <c r="P42" i="12"/>
  <c r="BF41" i="12"/>
  <c r="BF40" i="12"/>
  <c r="AR40" i="12"/>
  <c r="BF39" i="12"/>
  <c r="AR39" i="12"/>
  <c r="BF38" i="12"/>
  <c r="AR38" i="12"/>
  <c r="CG37" i="12"/>
  <c r="CF37" i="12"/>
  <c r="CE37" i="12"/>
  <c r="CD37" i="12"/>
  <c r="CC37" i="12"/>
  <c r="CB37" i="12"/>
  <c r="CA37" i="12"/>
  <c r="BZ37" i="12"/>
  <c r="BY37" i="12"/>
  <c r="BX37" i="12"/>
  <c r="BW37" i="12"/>
  <c r="BW43" i="12" s="1"/>
  <c r="BW44" i="12" s="1"/>
  <c r="BV37" i="12"/>
  <c r="BT37" i="12"/>
  <c r="BF37" i="12"/>
  <c r="AH37" i="12"/>
  <c r="AR37" i="12" s="1"/>
  <c r="BF36" i="12"/>
  <c r="AH36" i="12"/>
  <c r="AR36" i="12" s="1"/>
  <c r="AD36" i="12"/>
  <c r="BF35" i="12"/>
  <c r="AH35" i="12"/>
  <c r="AR35" i="12" s="1"/>
  <c r="AD35" i="12"/>
  <c r="BF34" i="12"/>
  <c r="AH34" i="12"/>
  <c r="AR34" i="12" s="1"/>
  <c r="AD34" i="12"/>
  <c r="P34" i="12"/>
  <c r="BF33" i="12"/>
  <c r="AH33" i="12"/>
  <c r="AR33" i="12" s="1"/>
  <c r="AD33" i="12"/>
  <c r="P33" i="12"/>
  <c r="BF32" i="12"/>
  <c r="AH32" i="12"/>
  <c r="AR32" i="12" s="1"/>
  <c r="AD32" i="12"/>
  <c r="P32" i="12"/>
  <c r="BF31" i="12"/>
  <c r="AH31" i="12"/>
  <c r="AD31" i="12"/>
  <c r="P31" i="12"/>
  <c r="BF30" i="12"/>
  <c r="AR30" i="12"/>
  <c r="U30" i="12"/>
  <c r="T30" i="12"/>
  <c r="AD30" i="12" s="1"/>
  <c r="P30" i="12"/>
  <c r="BF29" i="12"/>
  <c r="AR29" i="12"/>
  <c r="T29" i="12"/>
  <c r="AD29" i="12" s="1"/>
  <c r="P29" i="12"/>
  <c r="BF28" i="12"/>
  <c r="AR28" i="12"/>
  <c r="U28" i="12"/>
  <c r="T28" i="12"/>
  <c r="S28" i="12"/>
  <c r="AD28" i="12" s="1"/>
  <c r="P28" i="12"/>
  <c r="BF27" i="12"/>
  <c r="AR27" i="12"/>
  <c r="AD27" i="12"/>
  <c r="P27" i="12"/>
  <c r="BF26" i="12"/>
  <c r="AR26" i="12"/>
  <c r="V26" i="12"/>
  <c r="V43" i="12" s="1"/>
  <c r="U26" i="12"/>
  <c r="AD26" i="12" s="1"/>
  <c r="P26" i="12"/>
  <c r="BF25" i="12"/>
  <c r="AR25" i="12"/>
  <c r="T25" i="12"/>
  <c r="S25" i="12"/>
  <c r="P25" i="12"/>
  <c r="BF24" i="12"/>
  <c r="AR24" i="12"/>
  <c r="AD24" i="12"/>
  <c r="P24" i="12"/>
  <c r="BF23" i="12"/>
  <c r="AR23" i="12"/>
  <c r="U23" i="12"/>
  <c r="T23" i="12"/>
  <c r="AD23" i="12" s="1"/>
  <c r="P23" i="12"/>
  <c r="BF22" i="12"/>
  <c r="AR22" i="12"/>
  <c r="U22" i="12"/>
  <c r="U43" i="12" s="1"/>
  <c r="T22" i="12"/>
  <c r="P22" i="12"/>
  <c r="CG20" i="12"/>
  <c r="CF20" i="12"/>
  <c r="CE20" i="12"/>
  <c r="CD20" i="12"/>
  <c r="CC20" i="12"/>
  <c r="CB20" i="12"/>
  <c r="CA20" i="12"/>
  <c r="BZ20" i="12"/>
  <c r="BY20" i="12"/>
  <c r="BX20" i="12"/>
  <c r="BW20" i="12"/>
  <c r="BS20" i="12"/>
  <c r="BR20" i="12"/>
  <c r="BQ20" i="12"/>
  <c r="BE20" i="12"/>
  <c r="BE51" i="12" s="1"/>
  <c r="BD20" i="12"/>
  <c r="BD51" i="12" s="1"/>
  <c r="BC20" i="12"/>
  <c r="BC51" i="12" s="1"/>
  <c r="BB20" i="12"/>
  <c r="BB51" i="12" s="1"/>
  <c r="BA20" i="12"/>
  <c r="BA51" i="12" s="1"/>
  <c r="AZ20" i="12"/>
  <c r="AZ51" i="12" s="1"/>
  <c r="AY20" i="12"/>
  <c r="AY51" i="12" s="1"/>
  <c r="AX20" i="12"/>
  <c r="AX51" i="12" s="1"/>
  <c r="AW20" i="12"/>
  <c r="AW51" i="12" s="1"/>
  <c r="AV20" i="12"/>
  <c r="AV51" i="12" s="1"/>
  <c r="AU20" i="12"/>
  <c r="AU51" i="12" s="1"/>
  <c r="AT20" i="12"/>
  <c r="U20" i="12"/>
  <c r="AD20" i="12" s="1"/>
  <c r="P20" i="12"/>
  <c r="AQ19" i="12"/>
  <c r="AQ20" i="12" s="1"/>
  <c r="AQ51" i="12" s="1"/>
  <c r="AP19" i="12"/>
  <c r="AP20" i="12" s="1"/>
  <c r="AP51" i="12" s="1"/>
  <c r="AO19" i="12"/>
  <c r="AO20" i="12" s="1"/>
  <c r="AO51" i="12" s="1"/>
  <c r="AN19" i="12"/>
  <c r="AN20" i="12" s="1"/>
  <c r="CG18" i="12"/>
  <c r="CF18" i="12"/>
  <c r="CE18" i="12"/>
  <c r="CD18" i="12"/>
  <c r="CC18" i="12"/>
  <c r="CB18" i="12"/>
  <c r="CA18" i="12"/>
  <c r="BZ18" i="12"/>
  <c r="BY18" i="12"/>
  <c r="BX18" i="12"/>
  <c r="BW18" i="12"/>
  <c r="BQ18" i="12"/>
  <c r="BT18" i="12" s="1"/>
  <c r="BF18" i="12"/>
  <c r="BW17" i="12"/>
  <c r="BP17" i="12"/>
  <c r="BO17" i="12"/>
  <c r="BN17" i="12"/>
  <c r="BM17" i="12"/>
  <c r="BL17" i="12"/>
  <c r="BK17" i="12"/>
  <c r="BJ17" i="12"/>
  <c r="BI17" i="12"/>
  <c r="BH17" i="12"/>
  <c r="BE17" i="12"/>
  <c r="BD17" i="12"/>
  <c r="BC17" i="12"/>
  <c r="BB17" i="12"/>
  <c r="AZ17" i="12"/>
  <c r="AY17" i="12"/>
  <c r="BW16" i="12"/>
  <c r="BW58" i="12" s="1"/>
  <c r="BR16" i="12"/>
  <c r="BS45" i="12" s="1"/>
  <c r="CG45" i="12" s="1"/>
  <c r="BQ16" i="12"/>
  <c r="BQ69" i="12" s="1"/>
  <c r="BP16" i="12"/>
  <c r="BO16" i="12"/>
  <c r="BN16" i="12"/>
  <c r="BM16" i="12"/>
  <c r="BL16" i="12"/>
  <c r="BK16" i="12"/>
  <c r="BJ16" i="12"/>
  <c r="BI16" i="12"/>
  <c r="BH16" i="12"/>
  <c r="BT16" i="12" s="1"/>
  <c r="BE16" i="12"/>
  <c r="BE69" i="12" s="1"/>
  <c r="BD16" i="12"/>
  <c r="BD69" i="12" s="1"/>
  <c r="BC16" i="12"/>
  <c r="BB16" i="12"/>
  <c r="BA16" i="12"/>
  <c r="AZ16" i="12"/>
  <c r="AY16" i="12"/>
  <c r="AX16" i="12"/>
  <c r="AW16" i="12"/>
  <c r="AV16" i="12"/>
  <c r="AU16" i="12"/>
  <c r="AT16" i="12"/>
  <c r="BF16" i="12" s="1"/>
  <c r="AQ16" i="12"/>
  <c r="AP16" i="12"/>
  <c r="AO16" i="12"/>
  <c r="AN16" i="12"/>
  <c r="AM16" i="12"/>
  <c r="AL16" i="12"/>
  <c r="AK16" i="12"/>
  <c r="AJ16" i="12"/>
  <c r="AI16" i="12"/>
  <c r="AG16" i="12"/>
  <c r="AF16" i="12"/>
  <c r="AC16" i="12"/>
  <c r="AC69" i="12" s="1"/>
  <c r="AB16" i="12"/>
  <c r="AB69" i="12" s="1"/>
  <c r="AA16" i="12"/>
  <c r="AA69" i="12" s="1"/>
  <c r="Z16" i="12"/>
  <c r="Z69" i="12" s="1"/>
  <c r="Y16" i="12"/>
  <c r="Y69" i="12" s="1"/>
  <c r="X16" i="12"/>
  <c r="X69" i="12" s="1"/>
  <c r="W16" i="12"/>
  <c r="W69" i="12" s="1"/>
  <c r="V16" i="12"/>
  <c r="V69" i="12" s="1"/>
  <c r="U16" i="12"/>
  <c r="U69" i="12" s="1"/>
  <c r="R16" i="12"/>
  <c r="P16" i="12"/>
  <c r="O16" i="12"/>
  <c r="O69" i="12" s="1"/>
  <c r="N16" i="12"/>
  <c r="N69" i="12" s="1"/>
  <c r="M16" i="12"/>
  <c r="M69" i="12" s="1"/>
  <c r="L16" i="12"/>
  <c r="L69" i="12" s="1"/>
  <c r="K16" i="12"/>
  <c r="J16" i="12"/>
  <c r="I16" i="12"/>
  <c r="H16" i="12"/>
  <c r="G16" i="12"/>
  <c r="F16" i="12"/>
  <c r="E16" i="12"/>
  <c r="D16" i="12"/>
  <c r="BG13" i="12"/>
  <c r="CG12" i="12"/>
  <c r="CF12" i="12"/>
  <c r="CF13" i="12" s="1"/>
  <c r="CE12" i="12"/>
  <c r="CE13" i="12" s="1"/>
  <c r="CD12" i="12"/>
  <c r="CD13" i="12" s="1"/>
  <c r="CC12" i="12"/>
  <c r="CC13" i="12" s="1"/>
  <c r="CB12" i="12"/>
  <c r="CB13" i="12" s="1"/>
  <c r="CA12" i="12"/>
  <c r="CA13" i="12" s="1"/>
  <c r="BZ12" i="12"/>
  <c r="BZ13" i="12" s="1"/>
  <c r="BY12" i="12"/>
  <c r="BY13" i="12" s="1"/>
  <c r="BX12" i="12"/>
  <c r="BX13" i="12" s="1"/>
  <c r="BW12" i="12"/>
  <c r="BW13" i="12" s="1"/>
  <c r="BV12" i="12"/>
  <c r="BV13" i="12" s="1"/>
  <c r="BS12" i="12"/>
  <c r="BR12" i="12"/>
  <c r="BR13" i="12" s="1"/>
  <c r="BQ12" i="12"/>
  <c r="BQ13" i="12" s="1"/>
  <c r="BP12" i="12"/>
  <c r="BP13" i="12" s="1"/>
  <c r="BO12" i="12"/>
  <c r="BO13" i="12" s="1"/>
  <c r="BN12" i="12"/>
  <c r="BN13" i="12" s="1"/>
  <c r="BM12" i="12"/>
  <c r="BM13" i="12" s="1"/>
  <c r="BL12" i="12"/>
  <c r="BL13" i="12" s="1"/>
  <c r="BK12" i="12"/>
  <c r="BK13" i="12" s="1"/>
  <c r="BJ12" i="12"/>
  <c r="BJ13" i="12" s="1"/>
  <c r="BI12" i="12"/>
  <c r="BI13" i="12" s="1"/>
  <c r="BH12" i="12"/>
  <c r="BH13" i="12" s="1"/>
  <c r="BE12" i="12"/>
  <c r="BE13" i="12" s="1"/>
  <c r="BD12" i="12"/>
  <c r="BD13" i="12" s="1"/>
  <c r="BC12" i="12"/>
  <c r="BC13" i="12" s="1"/>
  <c r="BB12" i="12"/>
  <c r="BB13" i="12" s="1"/>
  <c r="BA12" i="12"/>
  <c r="BA13" i="12" s="1"/>
  <c r="AZ12" i="12"/>
  <c r="AZ13" i="12" s="1"/>
  <c r="AY12" i="12"/>
  <c r="AY13" i="12" s="1"/>
  <c r="AX12" i="12"/>
  <c r="AX13" i="12" s="1"/>
  <c r="AW12" i="12"/>
  <c r="AW13" i="12" s="1"/>
  <c r="AV12" i="12"/>
  <c r="AV13" i="12" s="1"/>
  <c r="AU12" i="12"/>
  <c r="AU13" i="12" s="1"/>
  <c r="AT12" i="12"/>
  <c r="AQ12" i="12"/>
  <c r="AP12" i="12"/>
  <c r="AP13" i="12" s="1"/>
  <c r="AO12" i="12"/>
  <c r="AO13" i="12" s="1"/>
  <c r="AN12" i="12"/>
  <c r="AN13" i="12" s="1"/>
  <c r="AM12" i="12"/>
  <c r="AM13" i="12" s="1"/>
  <c r="AL12" i="12"/>
  <c r="AL13" i="12" s="1"/>
  <c r="AK12" i="12"/>
  <c r="AK13" i="12" s="1"/>
  <c r="AJ12" i="12"/>
  <c r="AJ13" i="12" s="1"/>
  <c r="AI12" i="12"/>
  <c r="AI13" i="12" s="1"/>
  <c r="AH12" i="12"/>
  <c r="AH13" i="12" s="1"/>
  <c r="AG12" i="12"/>
  <c r="AG13" i="12" s="1"/>
  <c r="AF12" i="12"/>
  <c r="AF13" i="12" s="1"/>
  <c r="AC12" i="12"/>
  <c r="AB12" i="12"/>
  <c r="AA12" i="12"/>
  <c r="Z12" i="12"/>
  <c r="Y12" i="12"/>
  <c r="X12" i="12"/>
  <c r="AD12" i="12" s="1"/>
  <c r="W12" i="12"/>
  <c r="V12" i="12"/>
  <c r="U12" i="12"/>
  <c r="T12" i="12"/>
  <c r="S12" i="12"/>
  <c r="R12" i="12"/>
  <c r="O12" i="12"/>
  <c r="N12" i="12"/>
  <c r="M12" i="12"/>
  <c r="L12" i="12"/>
  <c r="K12" i="12"/>
  <c r="J12" i="12"/>
  <c r="P12" i="12" s="1"/>
  <c r="H12" i="12"/>
  <c r="G12" i="12"/>
  <c r="F12" i="12"/>
  <c r="E12" i="12"/>
  <c r="D12" i="12"/>
  <c r="CH10" i="12"/>
  <c r="BT10" i="12"/>
  <c r="BF10" i="12"/>
  <c r="AR10" i="12"/>
  <c r="CH9" i="12"/>
  <c r="BT9" i="12"/>
  <c r="BF9" i="12"/>
  <c r="AR9" i="12"/>
  <c r="CH8" i="12"/>
  <c r="BT8" i="12"/>
  <c r="BF8" i="12"/>
  <c r="AR8" i="12"/>
  <c r="U8" i="12"/>
  <c r="CH7" i="12"/>
  <c r="BT7" i="12"/>
  <c r="BF7" i="12"/>
  <c r="AR7" i="12"/>
  <c r="I7" i="12"/>
  <c r="I12" i="12" s="1"/>
  <c r="BV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C6" i="12"/>
  <c r="AB6" i="12"/>
  <c r="AA6" i="12"/>
  <c r="Z6" i="12"/>
  <c r="Y6" i="12"/>
  <c r="X6" i="12"/>
  <c r="W6" i="12"/>
  <c r="V6" i="12"/>
  <c r="U6" i="12"/>
  <c r="T6" i="12"/>
  <c r="S6" i="12"/>
  <c r="R6" i="12"/>
  <c r="O6" i="12"/>
  <c r="N6" i="12"/>
  <c r="M6" i="12"/>
  <c r="L6" i="12"/>
  <c r="K6" i="12"/>
  <c r="J6" i="12"/>
  <c r="I6" i="12"/>
  <c r="H6" i="12"/>
  <c r="G6" i="12"/>
  <c r="F6" i="12"/>
  <c r="E6" i="12"/>
  <c r="D6" i="12"/>
  <c r="K69" i="11"/>
  <c r="J69" i="11"/>
  <c r="I69" i="11"/>
  <c r="H69" i="11"/>
  <c r="G69" i="11"/>
  <c r="F69" i="11"/>
  <c r="E69" i="11"/>
  <c r="D69" i="11"/>
  <c r="P69" i="11" s="1"/>
  <c r="BT67" i="11"/>
  <c r="BF67" i="11"/>
  <c r="AL67" i="11"/>
  <c r="AK67" i="11"/>
  <c r="AJ67" i="11"/>
  <c r="AI67" i="11"/>
  <c r="AH67" i="11"/>
  <c r="AG67" i="11"/>
  <c r="AF67" i="11"/>
  <c r="AR67" i="11" s="1"/>
  <c r="BT66" i="11"/>
  <c r="BB66" i="11"/>
  <c r="BF66" i="11" s="1"/>
  <c r="AR66" i="11"/>
  <c r="BQ65" i="11"/>
  <c r="BQ68" i="11" s="1"/>
  <c r="BP65" i="11"/>
  <c r="BO65" i="11"/>
  <c r="BN65" i="11"/>
  <c r="BM65" i="11"/>
  <c r="BL65" i="11"/>
  <c r="BK65" i="11"/>
  <c r="BJ65" i="11"/>
  <c r="BI65" i="11"/>
  <c r="BH65" i="11"/>
  <c r="BE65" i="11"/>
  <c r="BE68" i="11" s="1"/>
  <c r="BD65" i="11"/>
  <c r="BD68" i="11" s="1"/>
  <c r="BC65" i="11"/>
  <c r="BB65" i="11"/>
  <c r="BA65" i="11"/>
  <c r="AZ65" i="11"/>
  <c r="AY65" i="11"/>
  <c r="AX65" i="11"/>
  <c r="AW65" i="11"/>
  <c r="AV65" i="11"/>
  <c r="AU65" i="11"/>
  <c r="AT65" i="11"/>
  <c r="AQ65" i="11"/>
  <c r="AP65" i="11"/>
  <c r="AO65" i="11"/>
  <c r="AN65" i="11"/>
  <c r="AM65" i="11"/>
  <c r="AD65" i="11"/>
  <c r="P65" i="11"/>
  <c r="BE64" i="11"/>
  <c r="BD64" i="11"/>
  <c r="BS63" i="11"/>
  <c r="BF63" i="11"/>
  <c r="AR63" i="11"/>
  <c r="CA62" i="11"/>
  <c r="BX62" i="11"/>
  <c r="BW62" i="11"/>
  <c r="BV62" i="11"/>
  <c r="CH62" i="11" s="1"/>
  <c r="BT62" i="11"/>
  <c r="BF62" i="11"/>
  <c r="AR62" i="11"/>
  <c r="BS61" i="11"/>
  <c r="BO61" i="11"/>
  <c r="BN61" i="11"/>
  <c r="BM61" i="11"/>
  <c r="BL61" i="11"/>
  <c r="BK61" i="11"/>
  <c r="BJ61" i="11"/>
  <c r="BI61" i="11"/>
  <c r="BH61" i="11"/>
  <c r="BE61" i="11"/>
  <c r="BD61" i="11"/>
  <c r="BA61" i="11"/>
  <c r="AL61" i="11"/>
  <c r="AK61" i="11"/>
  <c r="AJ61" i="11"/>
  <c r="AI61" i="11"/>
  <c r="AH61" i="11"/>
  <c r="AG61" i="11"/>
  <c r="AF61" i="11"/>
  <c r="AR61" i="11" s="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CA60" i="11"/>
  <c r="BZ60" i="11"/>
  <c r="BY60" i="11"/>
  <c r="BX60" i="11"/>
  <c r="BW60" i="11"/>
  <c r="BV60" i="11"/>
  <c r="CH60" i="11" s="1"/>
  <c r="BR60" i="11"/>
  <c r="BR61" i="11" s="1"/>
  <c r="BQ60" i="11"/>
  <c r="BQ61" i="11" s="1"/>
  <c r="BP60" i="11"/>
  <c r="BC60" i="11"/>
  <c r="BB60" i="11"/>
  <c r="AY60" i="11"/>
  <c r="AX60" i="11"/>
  <c r="AW60" i="11"/>
  <c r="AV60" i="11"/>
  <c r="AU60" i="11"/>
  <c r="AU61" i="11" s="1"/>
  <c r="BF61" i="11" s="1"/>
  <c r="AT60" i="11"/>
  <c r="BF60" i="11" s="1"/>
  <c r="AQ60" i="11"/>
  <c r="AP60" i="11"/>
  <c r="AO60" i="11"/>
  <c r="AN60" i="11"/>
  <c r="AM60" i="11"/>
  <c r="AR60" i="11" s="1"/>
  <c r="P60" i="11"/>
  <c r="BW59" i="11"/>
  <c r="BV59" i="11"/>
  <c r="BS59" i="11"/>
  <c r="BP59" i="11"/>
  <c r="BO59" i="11"/>
  <c r="BN59" i="11"/>
  <c r="BM59" i="11"/>
  <c r="BL59" i="11"/>
  <c r="BK59" i="11"/>
  <c r="BJ59" i="11"/>
  <c r="BI59" i="11"/>
  <c r="BH59" i="11"/>
  <c r="BC59" i="11"/>
  <c r="BB59" i="11"/>
  <c r="BA59" i="11"/>
  <c r="AZ59" i="11"/>
  <c r="AY59" i="11"/>
  <c r="AX59" i="11"/>
  <c r="AW59" i="11"/>
  <c r="AV59" i="11"/>
  <c r="AU59" i="11"/>
  <c r="AT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D59" i="11"/>
  <c r="P59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R55" i="11" s="1"/>
  <c r="BQ53" i="11"/>
  <c r="BP53" i="11"/>
  <c r="BO53" i="11"/>
  <c r="BN53" i="11"/>
  <c r="BM53" i="11"/>
  <c r="BL53" i="11"/>
  <c r="BK53" i="11"/>
  <c r="BJ53" i="11"/>
  <c r="BI53" i="11"/>
  <c r="BH53" i="11"/>
  <c r="BT53" i="11" s="1"/>
  <c r="BT52" i="11"/>
  <c r="BB52" i="11"/>
  <c r="AR52" i="11"/>
  <c r="BQ51" i="11"/>
  <c r="AM51" i="11"/>
  <c r="AL51" i="11"/>
  <c r="AK51" i="11"/>
  <c r="AJ51" i="11"/>
  <c r="AI51" i="11"/>
  <c r="AH51" i="11"/>
  <c r="AG51" i="11"/>
  <c r="AF51" i="11"/>
  <c r="BT50" i="11"/>
  <c r="BF50" i="11"/>
  <c r="AR50" i="11"/>
  <c r="BQ49" i="11"/>
  <c r="BP49" i="11"/>
  <c r="BO49" i="11"/>
  <c r="BN49" i="11"/>
  <c r="BM49" i="11"/>
  <c r="BL49" i="11"/>
  <c r="BK49" i="11"/>
  <c r="BJ49" i="11"/>
  <c r="BI49" i="11"/>
  <c r="BH49" i="11"/>
  <c r="BE49" i="11"/>
  <c r="BD49" i="11"/>
  <c r="BC49" i="11"/>
  <c r="BB49" i="11"/>
  <c r="BA49" i="11"/>
  <c r="AZ49" i="11"/>
  <c r="AY49" i="11"/>
  <c r="AX49" i="11"/>
  <c r="AW49" i="11"/>
  <c r="AV49" i="11"/>
  <c r="AU49" i="11"/>
  <c r="AT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BF48" i="11"/>
  <c r="AR48" i="11"/>
  <c r="AD48" i="11"/>
  <c r="P48" i="11"/>
  <c r="BN47" i="11"/>
  <c r="BM47" i="11"/>
  <c r="BL47" i="11"/>
  <c r="BK47" i="11"/>
  <c r="BJ47" i="11"/>
  <c r="BI47" i="11"/>
  <c r="BH47" i="11"/>
  <c r="BA47" i="11"/>
  <c r="AZ47" i="11"/>
  <c r="AY47" i="11"/>
  <c r="AX47" i="11"/>
  <c r="AW47" i="11"/>
  <c r="AV47" i="11"/>
  <c r="AU47" i="11"/>
  <c r="AT47" i="11"/>
  <c r="BT46" i="11"/>
  <c r="BB46" i="11"/>
  <c r="AR46" i="11"/>
  <c r="CB45" i="11"/>
  <c r="CA45" i="11"/>
  <c r="BZ45" i="11"/>
  <c r="BY45" i="11"/>
  <c r="BQ45" i="11"/>
  <c r="BP45" i="11"/>
  <c r="BO45" i="11"/>
  <c r="BE45" i="11"/>
  <c r="BE47" i="11" s="1"/>
  <c r="BD45" i="11"/>
  <c r="BD47" i="11" s="1"/>
  <c r="BC45" i="11"/>
  <c r="BC47" i="11" s="1"/>
  <c r="BB45" i="11"/>
  <c r="BF45" i="11" s="1"/>
  <c r="BN44" i="11"/>
  <c r="BM44" i="11"/>
  <c r="BL44" i="11"/>
  <c r="BK44" i="11"/>
  <c r="BJ44" i="11"/>
  <c r="BI44" i="11"/>
  <c r="BH44" i="11"/>
  <c r="BT44" i="11" s="1"/>
  <c r="BT43" i="11"/>
  <c r="BE43" i="11"/>
  <c r="BE53" i="11" s="1"/>
  <c r="BD43" i="11"/>
  <c r="BD53" i="11" s="1"/>
  <c r="BC43" i="11"/>
  <c r="BC53" i="11" s="1"/>
  <c r="BB43" i="11"/>
  <c r="BB44" i="11" s="1"/>
  <c r="BA43" i="11"/>
  <c r="AZ43" i="11"/>
  <c r="AZ53" i="11" s="1"/>
  <c r="AY43" i="11"/>
  <c r="AY53" i="11" s="1"/>
  <c r="AX43" i="11"/>
  <c r="AX53" i="11" s="1"/>
  <c r="AW43" i="11"/>
  <c r="AW53" i="11" s="1"/>
  <c r="AV43" i="11"/>
  <c r="AV53" i="11" s="1"/>
  <c r="AU43" i="11"/>
  <c r="AU53" i="11" s="1"/>
  <c r="AT43" i="11"/>
  <c r="AQ43" i="11"/>
  <c r="AP43" i="11"/>
  <c r="AO43" i="11"/>
  <c r="AO53" i="11" s="1"/>
  <c r="AN43" i="11"/>
  <c r="AN53" i="11" s="1"/>
  <c r="AM43" i="11"/>
  <c r="AM53" i="11" s="1"/>
  <c r="AL43" i="11"/>
  <c r="AK43" i="11"/>
  <c r="AK53" i="11" s="1"/>
  <c r="AJ43" i="11"/>
  <c r="AJ53" i="11" s="1"/>
  <c r="AI43" i="11"/>
  <c r="AI53" i="11" s="1"/>
  <c r="AG43" i="11"/>
  <c r="AG53" i="11" s="1"/>
  <c r="AF43" i="11"/>
  <c r="AC43" i="11"/>
  <c r="AB43" i="11"/>
  <c r="AA43" i="11"/>
  <c r="Z43" i="11"/>
  <c r="Y43" i="11"/>
  <c r="X43" i="11"/>
  <c r="W43" i="11"/>
  <c r="R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P43" i="11" s="1"/>
  <c r="BT42" i="11"/>
  <c r="BF42" i="11"/>
  <c r="AR42" i="11"/>
  <c r="AD42" i="11"/>
  <c r="P42" i="11"/>
  <c r="BF41" i="11"/>
  <c r="BF40" i="11"/>
  <c r="AR40" i="11"/>
  <c r="BF39" i="11"/>
  <c r="AR39" i="11"/>
  <c r="BF38" i="11"/>
  <c r="AR38" i="11"/>
  <c r="CG37" i="11"/>
  <c r="CF37" i="11"/>
  <c r="CE37" i="11"/>
  <c r="CD37" i="11"/>
  <c r="CC37" i="11"/>
  <c r="CB37" i="11"/>
  <c r="CA37" i="11"/>
  <c r="BZ37" i="11"/>
  <c r="BY37" i="11"/>
  <c r="BX37" i="11"/>
  <c r="BW37" i="11"/>
  <c r="BW43" i="11" s="1"/>
  <c r="BW44" i="11" s="1"/>
  <c r="BV37" i="11"/>
  <c r="BT37" i="11"/>
  <c r="BF37" i="11"/>
  <c r="AH37" i="11"/>
  <c r="AR37" i="11" s="1"/>
  <c r="BF36" i="11"/>
  <c r="AH36" i="11"/>
  <c r="AR36" i="11" s="1"/>
  <c r="AD36" i="11"/>
  <c r="BF35" i="11"/>
  <c r="AH35" i="11"/>
  <c r="AR35" i="11" s="1"/>
  <c r="AD35" i="11"/>
  <c r="BF34" i="11"/>
  <c r="AH34" i="11"/>
  <c r="AR34" i="11" s="1"/>
  <c r="AD34" i="11"/>
  <c r="P34" i="11"/>
  <c r="BF33" i="11"/>
  <c r="AH33" i="11"/>
  <c r="AR33" i="11" s="1"/>
  <c r="AD33" i="11"/>
  <c r="P33" i="11"/>
  <c r="BF32" i="11"/>
  <c r="AH32" i="11"/>
  <c r="AR32" i="11" s="1"/>
  <c r="AD32" i="11"/>
  <c r="P32" i="11"/>
  <c r="BF31" i="11"/>
  <c r="AH31" i="11"/>
  <c r="AD31" i="11"/>
  <c r="P31" i="11"/>
  <c r="BF30" i="11"/>
  <c r="AR30" i="11"/>
  <c r="U30" i="11"/>
  <c r="T30" i="11"/>
  <c r="AD30" i="11" s="1"/>
  <c r="P30" i="11"/>
  <c r="BF29" i="11"/>
  <c r="AR29" i="11"/>
  <c r="T29" i="11"/>
  <c r="AD29" i="11" s="1"/>
  <c r="P29" i="11"/>
  <c r="BF28" i="11"/>
  <c r="AR28" i="11"/>
  <c r="U28" i="11"/>
  <c r="T28" i="11"/>
  <c r="S28" i="11"/>
  <c r="AD28" i="11" s="1"/>
  <c r="P28" i="11"/>
  <c r="BF27" i="11"/>
  <c r="AR27" i="11"/>
  <c r="AD27" i="11"/>
  <c r="P27" i="11"/>
  <c r="BF26" i="11"/>
  <c r="AR26" i="11"/>
  <c r="V26" i="11"/>
  <c r="V43" i="11" s="1"/>
  <c r="U26" i="11"/>
  <c r="AD26" i="11" s="1"/>
  <c r="P26" i="11"/>
  <c r="BF25" i="11"/>
  <c r="AR25" i="11"/>
  <c r="T25" i="11"/>
  <c r="S25" i="11"/>
  <c r="P25" i="11"/>
  <c r="BF24" i="11"/>
  <c r="AR24" i="11"/>
  <c r="AD24" i="11"/>
  <c r="P24" i="11"/>
  <c r="BF23" i="11"/>
  <c r="AR23" i="11"/>
  <c r="U23" i="11"/>
  <c r="T23" i="11"/>
  <c r="AD23" i="11" s="1"/>
  <c r="P23" i="11"/>
  <c r="BF22" i="11"/>
  <c r="AR22" i="11"/>
  <c r="U22" i="11"/>
  <c r="U43" i="11" s="1"/>
  <c r="T22" i="11"/>
  <c r="P22" i="11"/>
  <c r="CG20" i="11"/>
  <c r="CF20" i="11"/>
  <c r="CE20" i="11"/>
  <c r="CD20" i="11"/>
  <c r="CC20" i="11"/>
  <c r="CB20" i="11"/>
  <c r="CA20" i="11"/>
  <c r="BZ20" i="11"/>
  <c r="BY20" i="11"/>
  <c r="BX20" i="11"/>
  <c r="BW20" i="11"/>
  <c r="BW16" i="11" s="1"/>
  <c r="CK16" i="11" s="1"/>
  <c r="BS20" i="11"/>
  <c r="BR20" i="11"/>
  <c r="BQ20" i="11"/>
  <c r="BE20" i="11"/>
  <c r="BE51" i="11" s="1"/>
  <c r="BD20" i="11"/>
  <c r="BD51" i="11" s="1"/>
  <c r="BC20" i="11"/>
  <c r="BC51" i="11" s="1"/>
  <c r="BB20" i="11"/>
  <c r="BB51" i="11" s="1"/>
  <c r="BA20" i="11"/>
  <c r="BA51" i="11" s="1"/>
  <c r="AZ20" i="11"/>
  <c r="AZ51" i="11" s="1"/>
  <c r="AY20" i="11"/>
  <c r="AY51" i="11" s="1"/>
  <c r="AX20" i="11"/>
  <c r="AX51" i="11" s="1"/>
  <c r="AW20" i="11"/>
  <c r="AW51" i="11" s="1"/>
  <c r="AV20" i="11"/>
  <c r="AV51" i="11" s="1"/>
  <c r="AU20" i="11"/>
  <c r="AU51" i="11" s="1"/>
  <c r="AT20" i="11"/>
  <c r="U20" i="11"/>
  <c r="AD20" i="11" s="1"/>
  <c r="P20" i="11"/>
  <c r="AQ19" i="11"/>
  <c r="AQ20" i="11" s="1"/>
  <c r="AQ51" i="11" s="1"/>
  <c r="AP19" i="11"/>
  <c r="AP20" i="11" s="1"/>
  <c r="AP51" i="11" s="1"/>
  <c r="AO19" i="11"/>
  <c r="AO20" i="11" s="1"/>
  <c r="AO51" i="11" s="1"/>
  <c r="AN19" i="11"/>
  <c r="AN20" i="11" s="1"/>
  <c r="CG18" i="11"/>
  <c r="CF18" i="11"/>
  <c r="CE18" i="11"/>
  <c r="CD18" i="11"/>
  <c r="CC18" i="11"/>
  <c r="CB18" i="11"/>
  <c r="CA18" i="11"/>
  <c r="BZ18" i="11"/>
  <c r="BY18" i="11"/>
  <c r="BX18" i="11"/>
  <c r="BW18" i="11"/>
  <c r="BQ18" i="11"/>
  <c r="BT18" i="11" s="1"/>
  <c r="BF18" i="11"/>
  <c r="BW17" i="11"/>
  <c r="BP17" i="11"/>
  <c r="BO17" i="11"/>
  <c r="BN17" i="11"/>
  <c r="BM17" i="11"/>
  <c r="BL17" i="11"/>
  <c r="BK17" i="11"/>
  <c r="BJ17" i="11"/>
  <c r="BI17" i="11"/>
  <c r="BH17" i="11"/>
  <c r="BE17" i="11"/>
  <c r="BD17" i="11"/>
  <c r="BC17" i="11"/>
  <c r="BB17" i="11"/>
  <c r="AZ17" i="11"/>
  <c r="AY17" i="11"/>
  <c r="BW58" i="11"/>
  <c r="BR16" i="11"/>
  <c r="BS45" i="11" s="1"/>
  <c r="CG45" i="11" s="1"/>
  <c r="BQ16" i="11"/>
  <c r="BQ69" i="11" s="1"/>
  <c r="BP16" i="11"/>
  <c r="BO16" i="11"/>
  <c r="BN16" i="11"/>
  <c r="BM16" i="11"/>
  <c r="BL16" i="11"/>
  <c r="BK16" i="11"/>
  <c r="BJ16" i="11"/>
  <c r="BI16" i="11"/>
  <c r="BH16" i="11"/>
  <c r="BT16" i="11" s="1"/>
  <c r="BE16" i="11"/>
  <c r="BE69" i="11" s="1"/>
  <c r="BD16" i="11"/>
  <c r="BD69" i="11" s="1"/>
  <c r="BC16" i="11"/>
  <c r="BB16" i="11"/>
  <c r="BA16" i="11"/>
  <c r="AZ16" i="11"/>
  <c r="AY16" i="11"/>
  <c r="AX16" i="11"/>
  <c r="AW16" i="11"/>
  <c r="AV16" i="11"/>
  <c r="AU16" i="11"/>
  <c r="AT16" i="11"/>
  <c r="BF16" i="11" s="1"/>
  <c r="AQ16" i="11"/>
  <c r="AP16" i="11"/>
  <c r="AO16" i="11"/>
  <c r="AN16" i="11"/>
  <c r="AM16" i="11"/>
  <c r="AL16" i="11"/>
  <c r="AK16" i="11"/>
  <c r="AJ16" i="11"/>
  <c r="AI16" i="11"/>
  <c r="AG16" i="11"/>
  <c r="AF16" i="11"/>
  <c r="AC16" i="11"/>
  <c r="AC69" i="11" s="1"/>
  <c r="AB16" i="11"/>
  <c r="AB69" i="11" s="1"/>
  <c r="AA16" i="11"/>
  <c r="AA69" i="11" s="1"/>
  <c r="Z16" i="11"/>
  <c r="Z69" i="11" s="1"/>
  <c r="Y16" i="11"/>
  <c r="Y69" i="11" s="1"/>
  <c r="X16" i="11"/>
  <c r="X69" i="11" s="1"/>
  <c r="W16" i="11"/>
  <c r="W69" i="11" s="1"/>
  <c r="V16" i="11"/>
  <c r="V69" i="11" s="1"/>
  <c r="U16" i="11"/>
  <c r="U69" i="11" s="1"/>
  <c r="R16" i="11"/>
  <c r="P16" i="11"/>
  <c r="O16" i="11"/>
  <c r="O69" i="11" s="1"/>
  <c r="N16" i="11"/>
  <c r="N69" i="11" s="1"/>
  <c r="M16" i="11"/>
  <c r="M69" i="11" s="1"/>
  <c r="L16" i="11"/>
  <c r="L69" i="11" s="1"/>
  <c r="K16" i="11"/>
  <c r="J16" i="11"/>
  <c r="I16" i="11"/>
  <c r="H16" i="11"/>
  <c r="G16" i="11"/>
  <c r="F16" i="11"/>
  <c r="E16" i="11"/>
  <c r="D16" i="11"/>
  <c r="BG13" i="11"/>
  <c r="CG12" i="11"/>
  <c r="CF12" i="11"/>
  <c r="CF13" i="11" s="1"/>
  <c r="CE12" i="11"/>
  <c r="CE13" i="11" s="1"/>
  <c r="CD12" i="11"/>
  <c r="CD13" i="11" s="1"/>
  <c r="CC12" i="11"/>
  <c r="CC13" i="11" s="1"/>
  <c r="CB12" i="11"/>
  <c r="CB13" i="11" s="1"/>
  <c r="CA12" i="11"/>
  <c r="CA13" i="11" s="1"/>
  <c r="BZ12" i="11"/>
  <c r="BZ13" i="11" s="1"/>
  <c r="BY12" i="11"/>
  <c r="BY13" i="11" s="1"/>
  <c r="BX12" i="11"/>
  <c r="BX13" i="11" s="1"/>
  <c r="BW12" i="11"/>
  <c r="BW13" i="11" s="1"/>
  <c r="BV12" i="11"/>
  <c r="BV13" i="11" s="1"/>
  <c r="BS12" i="11"/>
  <c r="BR12" i="11"/>
  <c r="BR13" i="11" s="1"/>
  <c r="BQ12" i="11"/>
  <c r="BQ13" i="11" s="1"/>
  <c r="BP12" i="11"/>
  <c r="BP13" i="11" s="1"/>
  <c r="BO12" i="11"/>
  <c r="BO13" i="11" s="1"/>
  <c r="BN12" i="11"/>
  <c r="BN13" i="11" s="1"/>
  <c r="BM12" i="11"/>
  <c r="BM13" i="11" s="1"/>
  <c r="BL12" i="11"/>
  <c r="BL13" i="11" s="1"/>
  <c r="BK12" i="11"/>
  <c r="BK13" i="11" s="1"/>
  <c r="BJ12" i="11"/>
  <c r="BJ13" i="11" s="1"/>
  <c r="BI12" i="11"/>
  <c r="BI13" i="11" s="1"/>
  <c r="BH12" i="11"/>
  <c r="BH13" i="11" s="1"/>
  <c r="BE12" i="11"/>
  <c r="BE13" i="11" s="1"/>
  <c r="BD12" i="11"/>
  <c r="BD13" i="11" s="1"/>
  <c r="BC12" i="11"/>
  <c r="BC13" i="11" s="1"/>
  <c r="BB12" i="11"/>
  <c r="BB13" i="11" s="1"/>
  <c r="BA12" i="11"/>
  <c r="BA13" i="11" s="1"/>
  <c r="AZ12" i="11"/>
  <c r="AZ13" i="11" s="1"/>
  <c r="AY12" i="11"/>
  <c r="AY13" i="11" s="1"/>
  <c r="AX12" i="11"/>
  <c r="AX13" i="11" s="1"/>
  <c r="AW12" i="11"/>
  <c r="AW13" i="11" s="1"/>
  <c r="AV12" i="11"/>
  <c r="AV13" i="11" s="1"/>
  <c r="AU12" i="11"/>
  <c r="AU13" i="11" s="1"/>
  <c r="AT12" i="11"/>
  <c r="AQ12" i="11"/>
  <c r="AP12" i="11"/>
  <c r="AP13" i="11" s="1"/>
  <c r="AO12" i="11"/>
  <c r="AO13" i="11" s="1"/>
  <c r="AN12" i="11"/>
  <c r="AN13" i="11" s="1"/>
  <c r="AM12" i="11"/>
  <c r="AM13" i="11" s="1"/>
  <c r="AL12" i="11"/>
  <c r="AL13" i="11" s="1"/>
  <c r="AK12" i="11"/>
  <c r="AK13" i="11" s="1"/>
  <c r="AJ12" i="11"/>
  <c r="AJ13" i="11" s="1"/>
  <c r="AI12" i="11"/>
  <c r="AI13" i="11" s="1"/>
  <c r="AH12" i="11"/>
  <c r="AH13" i="11" s="1"/>
  <c r="AG12" i="11"/>
  <c r="AG13" i="11" s="1"/>
  <c r="AF12" i="11"/>
  <c r="AF13" i="11" s="1"/>
  <c r="AC12" i="11"/>
  <c r="AB12" i="11"/>
  <c r="AA12" i="11"/>
  <c r="Z12" i="11"/>
  <c r="Y12" i="11"/>
  <c r="X12" i="11"/>
  <c r="AD12" i="11" s="1"/>
  <c r="W12" i="11"/>
  <c r="V12" i="11"/>
  <c r="U12" i="11"/>
  <c r="T12" i="11"/>
  <c r="S12" i="11"/>
  <c r="R12" i="11"/>
  <c r="O12" i="11"/>
  <c r="N12" i="11"/>
  <c r="M12" i="11"/>
  <c r="L12" i="11"/>
  <c r="K12" i="11"/>
  <c r="J12" i="11"/>
  <c r="P12" i="11" s="1"/>
  <c r="H12" i="11"/>
  <c r="G12" i="11"/>
  <c r="F12" i="11"/>
  <c r="E12" i="11"/>
  <c r="D12" i="11"/>
  <c r="CH10" i="11"/>
  <c r="BT10" i="11"/>
  <c r="BF10" i="11"/>
  <c r="AR10" i="11"/>
  <c r="CH9" i="11"/>
  <c r="BT9" i="11"/>
  <c r="BF9" i="11"/>
  <c r="AR9" i="11"/>
  <c r="CH8" i="11"/>
  <c r="BT8" i="11"/>
  <c r="BF8" i="11"/>
  <c r="AR8" i="11"/>
  <c r="U8" i="11"/>
  <c r="CH7" i="11"/>
  <c r="BT7" i="11"/>
  <c r="BF7" i="11"/>
  <c r="AR7" i="11"/>
  <c r="I7" i="11"/>
  <c r="I12" i="11" s="1"/>
  <c r="BV6" i="11"/>
  <c r="BS6" i="11"/>
  <c r="BR6" i="11"/>
  <c r="BQ6" i="11"/>
  <c r="BP6" i="11"/>
  <c r="BO6" i="11"/>
  <c r="BN6" i="11"/>
  <c r="BM6" i="11"/>
  <c r="BL6" i="11"/>
  <c r="BK6" i="11"/>
  <c r="BJ6" i="11"/>
  <c r="BI6" i="11"/>
  <c r="BH6" i="11"/>
  <c r="BE6" i="11"/>
  <c r="BD6" i="11"/>
  <c r="BC6" i="11"/>
  <c r="BB6" i="11"/>
  <c r="BA6" i="11"/>
  <c r="AZ6" i="11"/>
  <c r="AY6" i="11"/>
  <c r="AX6" i="11"/>
  <c r="AW6" i="11"/>
  <c r="AV6" i="11"/>
  <c r="AU6" i="11"/>
  <c r="AT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C6" i="11"/>
  <c r="AB6" i="11"/>
  <c r="AA6" i="11"/>
  <c r="Z6" i="11"/>
  <c r="Y6" i="11"/>
  <c r="X6" i="11"/>
  <c r="W6" i="11"/>
  <c r="V6" i="11"/>
  <c r="U6" i="11"/>
  <c r="T6" i="11"/>
  <c r="S6" i="11"/>
  <c r="R6" i="11"/>
  <c r="O6" i="11"/>
  <c r="N6" i="11"/>
  <c r="M6" i="11"/>
  <c r="L6" i="11"/>
  <c r="K6" i="11"/>
  <c r="J6" i="11"/>
  <c r="I6" i="11"/>
  <c r="H6" i="11"/>
  <c r="G6" i="11"/>
  <c r="F6" i="11"/>
  <c r="E6" i="11"/>
  <c r="D6" i="11"/>
  <c r="CG59" i="8"/>
  <c r="CF59" i="8"/>
  <c r="CE59" i="8"/>
  <c r="CD59" i="8"/>
  <c r="CC59" i="8"/>
  <c r="CB59" i="8"/>
  <c r="CA59" i="8"/>
  <c r="BZ59" i="8"/>
  <c r="BY59" i="8"/>
  <c r="BX59" i="8"/>
  <c r="BW59" i="8"/>
  <c r="BV59" i="8"/>
  <c r="S68" i="10"/>
  <c r="F63" i="10"/>
  <c r="AE75" i="10"/>
  <c r="AE74" i="10"/>
  <c r="AE73" i="10"/>
  <c r="T47" i="10"/>
  <c r="Y47" i="10"/>
  <c r="F59" i="10"/>
  <c r="Z68" i="10"/>
  <c r="Z69" i="10" s="1"/>
  <c r="Z73" i="10" s="1"/>
  <c r="CC20" i="8" s="1"/>
  <c r="CC18" i="8" s="1"/>
  <c r="AC68" i="10"/>
  <c r="AC69" i="10" s="1"/>
  <c r="AC73" i="10" s="1"/>
  <c r="CF20" i="8" s="1"/>
  <c r="CF18" i="8" s="1"/>
  <c r="U68" i="10"/>
  <c r="U69" i="10" s="1"/>
  <c r="BX20" i="8" s="1"/>
  <c r="BX18" i="8" s="1"/>
  <c r="V68" i="10"/>
  <c r="BY20" i="8" s="1"/>
  <c r="BY18" i="8" s="1"/>
  <c r="Y68" i="10"/>
  <c r="Y69" i="10" s="1"/>
  <c r="Y73" i="10" s="1"/>
  <c r="CB20" i="8" s="1"/>
  <c r="CB18" i="8" s="1"/>
  <c r="AD68" i="10"/>
  <c r="AD69" i="10" s="1"/>
  <c r="AD73" i="10" s="1"/>
  <c r="CG20" i="8" s="1"/>
  <c r="CG18" i="8" s="1"/>
  <c r="AE66" i="10"/>
  <c r="W68" i="10" s="1"/>
  <c r="W69" i="10" s="1"/>
  <c r="W73" i="10" s="1"/>
  <c r="BZ20" i="8" s="1"/>
  <c r="BZ18" i="8" s="1"/>
  <c r="S47" i="10"/>
  <c r="S6" i="10"/>
  <c r="S7" i="10"/>
  <c r="S27" i="10" s="1"/>
  <c r="S8" i="10"/>
  <c r="S28" i="10" s="1"/>
  <c r="V9" i="10"/>
  <c r="V29" i="10" s="1"/>
  <c r="S10" i="10"/>
  <c r="S30" i="10" s="1"/>
  <c r="S11" i="10"/>
  <c r="S31" i="10" s="1"/>
  <c r="S12" i="10"/>
  <c r="S32" i="10" s="1"/>
  <c r="Z13" i="10"/>
  <c r="Z33" i="10" s="1"/>
  <c r="S14" i="10"/>
  <c r="S34" i="10" s="1"/>
  <c r="S15" i="10"/>
  <c r="S35" i="10" s="1"/>
  <c r="T16" i="10"/>
  <c r="T36" i="10" s="1"/>
  <c r="V17" i="10"/>
  <c r="V37" i="10" s="1"/>
  <c r="S18" i="10"/>
  <c r="S38" i="10" s="1"/>
  <c r="S19" i="10"/>
  <c r="S39" i="10" s="1"/>
  <c r="S20" i="10"/>
  <c r="S40" i="10" s="1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F27" i="10"/>
  <c r="S48" i="10"/>
  <c r="S49" i="10"/>
  <c r="S50" i="10"/>
  <c r="T50" i="10" s="1"/>
  <c r="BY37" i="8" s="1"/>
  <c r="S51" i="10"/>
  <c r="T51" i="10" s="1"/>
  <c r="BZ37" i="8" s="1"/>
  <c r="S52" i="10"/>
  <c r="T52" i="10" s="1"/>
  <c r="CA37" i="8" s="1"/>
  <c r="S53" i="10"/>
  <c r="T53" i="10" s="1"/>
  <c r="CB37" i="8" s="1"/>
  <c r="S54" i="10"/>
  <c r="T54" i="10" s="1"/>
  <c r="CC37" i="8" s="1"/>
  <c r="S55" i="10"/>
  <c r="T55" i="10" s="1"/>
  <c r="CD37" i="8" s="1"/>
  <c r="S56" i="10"/>
  <c r="T56" i="10" s="1"/>
  <c r="CE37" i="8" s="1"/>
  <c r="S57" i="10"/>
  <c r="T57" i="10" s="1"/>
  <c r="CF37" i="8" s="1"/>
  <c r="S58" i="10"/>
  <c r="T58" i="10" s="1"/>
  <c r="CG37" i="8" s="1"/>
  <c r="DW35" i="39" l="1"/>
  <c r="DN35" i="39"/>
  <c r="BY87" i="40"/>
  <c r="BY85" i="40" s="1"/>
  <c r="BY82" i="40"/>
  <c r="BZ87" i="40"/>
  <c r="BZ85" i="40" s="1"/>
  <c r="BZ82" i="40"/>
  <c r="CA87" i="40"/>
  <c r="CA85" i="40" s="1"/>
  <c r="CA82" i="40"/>
  <c r="CB87" i="40"/>
  <c r="CB85" i="40" s="1"/>
  <c r="CB82" i="40"/>
  <c r="CC87" i="40"/>
  <c r="CC85" i="40" s="1"/>
  <c r="CC82" i="40"/>
  <c r="CD87" i="40"/>
  <c r="CD85" i="40" s="1"/>
  <c r="CD82" i="40"/>
  <c r="CE87" i="40"/>
  <c r="CE85" i="40" s="1"/>
  <c r="CE82" i="40"/>
  <c r="CF87" i="40"/>
  <c r="CF85" i="40" s="1"/>
  <c r="CF82" i="40"/>
  <c r="CG87" i="40"/>
  <c r="CG85" i="40" s="1"/>
  <c r="CG82" i="40"/>
  <c r="CJ87" i="40"/>
  <c r="CJ82" i="40"/>
  <c r="CK87" i="40"/>
  <c r="CK82" i="40"/>
  <c r="CM90" i="40"/>
  <c r="CM87" i="40"/>
  <c r="CM82" i="40"/>
  <c r="CN87" i="40"/>
  <c r="CN82" i="40"/>
  <c r="CO87" i="40"/>
  <c r="CO82" i="40"/>
  <c r="CP99" i="40"/>
  <c r="CP95" i="40"/>
  <c r="CP94" i="40"/>
  <c r="CQ99" i="40"/>
  <c r="CQ94" i="40"/>
  <c r="CR99" i="40"/>
  <c r="CR94" i="40"/>
  <c r="CT99" i="40"/>
  <c r="CT94" i="40"/>
  <c r="CT81" i="40"/>
  <c r="CX87" i="40"/>
  <c r="CX82" i="40"/>
  <c r="CY87" i="40"/>
  <c r="CY82" i="40"/>
  <c r="DB87" i="40"/>
  <c r="DB82" i="40"/>
  <c r="DC87" i="40"/>
  <c r="DC82" i="40"/>
  <c r="DD87" i="40"/>
  <c r="DD82" i="40"/>
  <c r="DE87" i="40"/>
  <c r="DE82" i="40"/>
  <c r="DF87" i="40"/>
  <c r="DF82" i="40"/>
  <c r="DG87" i="40"/>
  <c r="DG82" i="40"/>
  <c r="DH87" i="40"/>
  <c r="DH82" i="40"/>
  <c r="DI87" i="40"/>
  <c r="DI82" i="40"/>
  <c r="DL87" i="40"/>
  <c r="DM87" i="40"/>
  <c r="DN87" i="40"/>
  <c r="DO87" i="40"/>
  <c r="DP87" i="40"/>
  <c r="DQ87" i="40"/>
  <c r="DR87" i="40"/>
  <c r="DS87" i="40"/>
  <c r="DT87" i="40"/>
  <c r="DU87" i="40"/>
  <c r="DV87" i="40"/>
  <c r="DW87" i="40"/>
  <c r="D34" i="40"/>
  <c r="D32" i="40"/>
  <c r="D31" i="40"/>
  <c r="E34" i="40"/>
  <c r="E32" i="40"/>
  <c r="E31" i="40"/>
  <c r="F34" i="40"/>
  <c r="F32" i="40"/>
  <c r="F31" i="40"/>
  <c r="G34" i="40"/>
  <c r="G32" i="40"/>
  <c r="G31" i="40"/>
  <c r="H34" i="40"/>
  <c r="H32" i="40"/>
  <c r="H31" i="40"/>
  <c r="I34" i="40"/>
  <c r="I32" i="40"/>
  <c r="I31" i="40"/>
  <c r="J34" i="40"/>
  <c r="J32" i="40"/>
  <c r="J31" i="40"/>
  <c r="K34" i="40"/>
  <c r="K32" i="40"/>
  <c r="K31" i="40"/>
  <c r="L34" i="40"/>
  <c r="L32" i="40"/>
  <c r="L31" i="40"/>
  <c r="M34" i="40"/>
  <c r="M32" i="40"/>
  <c r="M31" i="40"/>
  <c r="N34" i="40"/>
  <c r="N32" i="40"/>
  <c r="N31" i="40"/>
  <c r="O34" i="40"/>
  <c r="O32" i="40"/>
  <c r="P32" i="40" s="1"/>
  <c r="O31" i="40"/>
  <c r="P31" i="40" s="1"/>
  <c r="R34" i="40"/>
  <c r="R32" i="40"/>
  <c r="R31" i="40"/>
  <c r="S34" i="40"/>
  <c r="S32" i="40"/>
  <c r="S31" i="40"/>
  <c r="T34" i="40"/>
  <c r="T32" i="40"/>
  <c r="T31" i="40"/>
  <c r="U34" i="40"/>
  <c r="U32" i="40"/>
  <c r="U31" i="40"/>
  <c r="V34" i="40"/>
  <c r="V32" i="40"/>
  <c r="V31" i="40"/>
  <c r="W34" i="40"/>
  <c r="W32" i="40"/>
  <c r="W31" i="40"/>
  <c r="X34" i="40"/>
  <c r="X32" i="40"/>
  <c r="X31" i="40"/>
  <c r="Y34" i="40"/>
  <c r="Y32" i="40"/>
  <c r="Y31" i="40"/>
  <c r="Z34" i="40"/>
  <c r="Z32" i="40"/>
  <c r="Z31" i="40"/>
  <c r="AA34" i="40"/>
  <c r="AA32" i="40"/>
  <c r="AA31" i="40"/>
  <c r="AB34" i="40"/>
  <c r="AB32" i="40"/>
  <c r="AB31" i="40"/>
  <c r="AC32" i="40"/>
  <c r="AD32" i="40" s="1"/>
  <c r="AC31" i="40"/>
  <c r="AD31" i="40" s="1"/>
  <c r="AF34" i="40"/>
  <c r="AF33" i="40"/>
  <c r="AF67" i="40" s="1"/>
  <c r="AF32" i="40"/>
  <c r="AG34" i="40"/>
  <c r="AG32" i="40"/>
  <c r="AH34" i="40"/>
  <c r="AH33" i="40"/>
  <c r="AH67" i="40" s="1"/>
  <c r="AH32" i="40"/>
  <c r="AI34" i="40"/>
  <c r="AI33" i="40"/>
  <c r="AI67" i="40" s="1"/>
  <c r="AI32" i="40"/>
  <c r="AJ34" i="40"/>
  <c r="AJ33" i="40"/>
  <c r="AJ67" i="40" s="1"/>
  <c r="AJ32" i="40"/>
  <c r="AK34" i="40"/>
  <c r="AK33" i="40"/>
  <c r="AK67" i="40" s="1"/>
  <c r="AK32" i="40"/>
  <c r="AL34" i="40"/>
  <c r="AL33" i="40"/>
  <c r="AL67" i="40" s="1"/>
  <c r="AL32" i="40"/>
  <c r="AM34" i="40"/>
  <c r="AM33" i="40"/>
  <c r="AM67" i="40" s="1"/>
  <c r="AM32" i="40"/>
  <c r="AN34" i="40"/>
  <c r="AN33" i="40"/>
  <c r="AN67" i="40" s="1"/>
  <c r="AN32" i="40"/>
  <c r="AO34" i="40"/>
  <c r="AO33" i="40"/>
  <c r="AO67" i="40" s="1"/>
  <c r="AO32" i="40"/>
  <c r="AP34" i="40"/>
  <c r="AP33" i="40"/>
  <c r="AP67" i="40" s="1"/>
  <c r="AP32" i="40"/>
  <c r="AQ34" i="40"/>
  <c r="AR34" i="40" s="1"/>
  <c r="AQ33" i="40"/>
  <c r="AQ32" i="40"/>
  <c r="AR32" i="40" s="1"/>
  <c r="AR11" i="40"/>
  <c r="AT34" i="40"/>
  <c r="AT33" i="40"/>
  <c r="AT32" i="40"/>
  <c r="AU34" i="40"/>
  <c r="AU33" i="40"/>
  <c r="AU32" i="40"/>
  <c r="AV34" i="40"/>
  <c r="AV33" i="40"/>
  <c r="AV32" i="40"/>
  <c r="AW34" i="40"/>
  <c r="AW33" i="40"/>
  <c r="AW32" i="40"/>
  <c r="AX34" i="40"/>
  <c r="AX33" i="40"/>
  <c r="AX32" i="40"/>
  <c r="AY34" i="40"/>
  <c r="AY33" i="40"/>
  <c r="AY32" i="40"/>
  <c r="AZ34" i="40"/>
  <c r="AZ32" i="40"/>
  <c r="BA34" i="40"/>
  <c r="BA33" i="40"/>
  <c r="BA32" i="40"/>
  <c r="BB34" i="40"/>
  <c r="BB33" i="40"/>
  <c r="BB32" i="40"/>
  <c r="BC32" i="40" s="1"/>
  <c r="BD32" i="40" s="1"/>
  <c r="BE32" i="40" s="1"/>
  <c r="BF32" i="40" s="1"/>
  <c r="BC34" i="40"/>
  <c r="BC33" i="40"/>
  <c r="BD34" i="40"/>
  <c r="BD33" i="40"/>
  <c r="BE34" i="40"/>
  <c r="BF34" i="40" s="1"/>
  <c r="BE33" i="40"/>
  <c r="BF11" i="40"/>
  <c r="BH34" i="40"/>
  <c r="BH33" i="40"/>
  <c r="BH32" i="40"/>
  <c r="BI34" i="40"/>
  <c r="BI33" i="40"/>
  <c r="BI32" i="40"/>
  <c r="BJ34" i="40"/>
  <c r="BJ33" i="40"/>
  <c r="BJ32" i="40"/>
  <c r="BK34" i="40"/>
  <c r="BK33" i="40"/>
  <c r="BK32" i="40"/>
  <c r="BL34" i="40"/>
  <c r="BL33" i="40"/>
  <c r="BL32" i="40"/>
  <c r="BM34" i="40"/>
  <c r="BM33" i="40"/>
  <c r="BM32" i="40"/>
  <c r="BN34" i="40"/>
  <c r="BN33" i="40"/>
  <c r="BN32" i="40"/>
  <c r="BO34" i="40"/>
  <c r="BO32" i="40"/>
  <c r="BP34" i="40"/>
  <c r="BP32" i="40"/>
  <c r="BQ34" i="40"/>
  <c r="BQ32" i="40"/>
  <c r="BR34" i="40"/>
  <c r="BR32" i="40"/>
  <c r="BS34" i="40"/>
  <c r="BT34" i="40" s="1"/>
  <c r="BS32" i="40"/>
  <c r="BT32" i="40" s="1"/>
  <c r="BT11" i="40"/>
  <c r="CJ11" i="40"/>
  <c r="CS34" i="40"/>
  <c r="AQ31" i="40"/>
  <c r="AR31" i="40" s="1"/>
  <c r="AR30" i="40"/>
  <c r="AT31" i="40"/>
  <c r="BF31" i="40" s="1"/>
  <c r="BF30" i="40"/>
  <c r="BS31" i="40"/>
  <c r="BT31" i="40" s="1"/>
  <c r="BT30" i="40"/>
  <c r="CG31" i="40"/>
  <c r="CH31" i="40" s="1"/>
  <c r="CH30" i="40"/>
  <c r="R95" i="40"/>
  <c r="BV78" i="40"/>
  <c r="CH78" i="40" s="1"/>
  <c r="CH35" i="40"/>
  <c r="CX119" i="40"/>
  <c r="BH71" i="40"/>
  <c r="BH39" i="40"/>
  <c r="BT36" i="40"/>
  <c r="BT39" i="40" s="1"/>
  <c r="BI71" i="40"/>
  <c r="BI39" i="40"/>
  <c r="BJ71" i="40"/>
  <c r="BJ39" i="40"/>
  <c r="BK71" i="40"/>
  <c r="BK39" i="40"/>
  <c r="BL71" i="40"/>
  <c r="BL39" i="40"/>
  <c r="BM71" i="40"/>
  <c r="BM39" i="40"/>
  <c r="BN71" i="40"/>
  <c r="BN39" i="40"/>
  <c r="BO71" i="40"/>
  <c r="BO39" i="40"/>
  <c r="BP71" i="40"/>
  <c r="BP39" i="40"/>
  <c r="AN71" i="40"/>
  <c r="AR39" i="40"/>
  <c r="CK39" i="40"/>
  <c r="CL38" i="40"/>
  <c r="CQ39" i="40"/>
  <c r="CR38" i="40"/>
  <c r="AT71" i="40"/>
  <c r="BF71" i="40" s="1"/>
  <c r="BF39" i="40"/>
  <c r="BG39" i="40" s="1"/>
  <c r="BR65" i="40"/>
  <c r="CJ65" i="40"/>
  <c r="CJ40" i="40"/>
  <c r="CP65" i="40"/>
  <c r="CP40" i="40"/>
  <c r="CP41" i="40" s="1"/>
  <c r="T63" i="40"/>
  <c r="T35" i="40" s="1"/>
  <c r="T95" i="40" s="1"/>
  <c r="AD42" i="40"/>
  <c r="BG42" i="40"/>
  <c r="BG43" i="40"/>
  <c r="BG44" i="40"/>
  <c r="S63" i="40"/>
  <c r="S35" i="40" s="1"/>
  <c r="AD45" i="40"/>
  <c r="BG45" i="40"/>
  <c r="BG46" i="40"/>
  <c r="BG47" i="40"/>
  <c r="BG48" i="40"/>
  <c r="BG49" i="40"/>
  <c r="BG50" i="40"/>
  <c r="AH63" i="40"/>
  <c r="AR51" i="40"/>
  <c r="BG51" i="40"/>
  <c r="BG52" i="40"/>
  <c r="BG53" i="40"/>
  <c r="BG54" i="40"/>
  <c r="BG55" i="40"/>
  <c r="BG56" i="40"/>
  <c r="BG57" i="40"/>
  <c r="BV63" i="40"/>
  <c r="CH57" i="40"/>
  <c r="BG58" i="40"/>
  <c r="BG59" i="40"/>
  <c r="BG60" i="40"/>
  <c r="BG62" i="40"/>
  <c r="AD63" i="40"/>
  <c r="AF73" i="40"/>
  <c r="AR63" i="40"/>
  <c r="AL73" i="40"/>
  <c r="AL65" i="40"/>
  <c r="AP73" i="40"/>
  <c r="AP65" i="40"/>
  <c r="AQ73" i="40"/>
  <c r="AQ65" i="40"/>
  <c r="AT73" i="40"/>
  <c r="BF63" i="40"/>
  <c r="BG63" i="40" s="1"/>
  <c r="BG66" i="40" s="1"/>
  <c r="BA73" i="40"/>
  <c r="BA64" i="40"/>
  <c r="BO67" i="40"/>
  <c r="BT65" i="40"/>
  <c r="BB67" i="40"/>
  <c r="BF66" i="40"/>
  <c r="BF67" i="40"/>
  <c r="BT67" i="40"/>
  <c r="AF74" i="40"/>
  <c r="AR69" i="40"/>
  <c r="AG74" i="40"/>
  <c r="AI74" i="40"/>
  <c r="AJ74" i="40"/>
  <c r="AK74" i="40"/>
  <c r="AL74" i="40"/>
  <c r="AM74" i="40"/>
  <c r="AN74" i="40"/>
  <c r="AO74" i="40"/>
  <c r="AP74" i="40"/>
  <c r="AQ74" i="40"/>
  <c r="AT74" i="40"/>
  <c r="BF69" i="40"/>
  <c r="BG69" i="40" s="1"/>
  <c r="AU74" i="40"/>
  <c r="AU75" i="40" s="1"/>
  <c r="AV74" i="40"/>
  <c r="AV75" i="40" s="1"/>
  <c r="AW74" i="40"/>
  <c r="AW75" i="40" s="1"/>
  <c r="AX74" i="40"/>
  <c r="AX75" i="40" s="1"/>
  <c r="AY74" i="40"/>
  <c r="AY75" i="40" s="1"/>
  <c r="AZ74" i="40"/>
  <c r="AZ75" i="40" s="1"/>
  <c r="BA74" i="40"/>
  <c r="BA75" i="40" s="1"/>
  <c r="BB74" i="40"/>
  <c r="BB75" i="40" s="1"/>
  <c r="BC74" i="40"/>
  <c r="BC75" i="40" s="1"/>
  <c r="BD74" i="40"/>
  <c r="BD75" i="40" s="1"/>
  <c r="BE74" i="40"/>
  <c r="BE75" i="40" s="1"/>
  <c r="BH74" i="40"/>
  <c r="BT69" i="40"/>
  <c r="BI74" i="40"/>
  <c r="BI75" i="40" s="1"/>
  <c r="BJ74" i="40"/>
  <c r="BJ75" i="40" s="1"/>
  <c r="BK74" i="40"/>
  <c r="BK75" i="40" s="1"/>
  <c r="BL74" i="40"/>
  <c r="BL75" i="40" s="1"/>
  <c r="BM74" i="40"/>
  <c r="BM75" i="40" s="1"/>
  <c r="BN74" i="40"/>
  <c r="BN75" i="40" s="1"/>
  <c r="BO74" i="40"/>
  <c r="BO75" i="40" s="1"/>
  <c r="BP74" i="40"/>
  <c r="BP75" i="40" s="1"/>
  <c r="BQ74" i="40"/>
  <c r="BQ75" i="40" s="1"/>
  <c r="BG70" i="40"/>
  <c r="AR71" i="40"/>
  <c r="BB73" i="40"/>
  <c r="BF72" i="40"/>
  <c r="BG72" i="40" s="1"/>
  <c r="CJ78" i="40"/>
  <c r="CV73" i="40"/>
  <c r="CP78" i="40"/>
  <c r="DD73" i="40"/>
  <c r="DE73" i="40"/>
  <c r="DF73" i="40"/>
  <c r="DG73" i="40"/>
  <c r="DH73" i="40"/>
  <c r="DB97" i="40"/>
  <c r="DC97" i="40"/>
  <c r="DD97" i="40"/>
  <c r="DE97" i="40"/>
  <c r="DF97" i="40"/>
  <c r="CX96" i="40"/>
  <c r="CX97" i="40" s="1"/>
  <c r="DJ79" i="40"/>
  <c r="CY96" i="40"/>
  <c r="CY97" i="40" s="1"/>
  <c r="CZ96" i="40"/>
  <c r="CZ97" i="40" s="1"/>
  <c r="DA96" i="40"/>
  <c r="DA97" i="40" s="1"/>
  <c r="DG96" i="40"/>
  <c r="DG97" i="40" s="1"/>
  <c r="DH96" i="40"/>
  <c r="DH97" i="40" s="1"/>
  <c r="DI96" i="40"/>
  <c r="DI97" i="40" s="1"/>
  <c r="DL96" i="40"/>
  <c r="DX79" i="40"/>
  <c r="DM96" i="40"/>
  <c r="DN96" i="40"/>
  <c r="DO96" i="40"/>
  <c r="DP96" i="40"/>
  <c r="DQ96" i="40"/>
  <c r="DR96" i="40"/>
  <c r="DS96" i="40"/>
  <c r="DT96" i="40"/>
  <c r="DU96" i="40"/>
  <c r="DV96" i="40"/>
  <c r="DW96" i="40"/>
  <c r="AF95" i="40"/>
  <c r="AF94" i="40"/>
  <c r="AR82" i="40"/>
  <c r="AG95" i="40"/>
  <c r="AG94" i="40"/>
  <c r="AH94" i="40"/>
  <c r="AI95" i="40"/>
  <c r="AI94" i="40"/>
  <c r="AJ95" i="40"/>
  <c r="AJ94" i="40"/>
  <c r="AK95" i="40"/>
  <c r="AK94" i="40"/>
  <c r="AL95" i="40"/>
  <c r="AL94" i="40"/>
  <c r="AM95" i="40"/>
  <c r="AN95" i="40"/>
  <c r="AO95" i="40"/>
  <c r="AO89" i="40"/>
  <c r="AP95" i="40"/>
  <c r="AP89" i="40"/>
  <c r="AQ95" i="40"/>
  <c r="AQ89" i="40"/>
  <c r="AT95" i="40"/>
  <c r="AT89" i="40"/>
  <c r="BF82" i="40"/>
  <c r="AU95" i="40"/>
  <c r="AU89" i="40"/>
  <c r="AV95" i="40"/>
  <c r="AV89" i="40"/>
  <c r="AW95" i="40"/>
  <c r="AW89" i="40"/>
  <c r="AX95" i="40"/>
  <c r="AX89" i="40"/>
  <c r="AY95" i="40"/>
  <c r="AY89" i="40"/>
  <c r="AZ95" i="40"/>
  <c r="AZ89" i="40"/>
  <c r="BA95" i="40"/>
  <c r="BA89" i="40"/>
  <c r="BB95" i="40"/>
  <c r="BB89" i="40"/>
  <c r="BC95" i="40"/>
  <c r="BC89" i="40"/>
  <c r="BH95" i="40"/>
  <c r="BT82" i="40"/>
  <c r="BI95" i="40"/>
  <c r="BJ95" i="40"/>
  <c r="BK95" i="40"/>
  <c r="BL95" i="40"/>
  <c r="BM95" i="40"/>
  <c r="BN95" i="40"/>
  <c r="BO95" i="40"/>
  <c r="BP95" i="40"/>
  <c r="BV88" i="40"/>
  <c r="CH82" i="40"/>
  <c r="CL85" i="40"/>
  <c r="CU99" i="40"/>
  <c r="CU94" i="40"/>
  <c r="CZ95" i="40"/>
  <c r="CZ85" i="40"/>
  <c r="DA95" i="40"/>
  <c r="DA85" i="40"/>
  <c r="BG85" i="40"/>
  <c r="BP86" i="40"/>
  <c r="BT85" i="40"/>
  <c r="CH85" i="40"/>
  <c r="BT86" i="40"/>
  <c r="DI122" i="40"/>
  <c r="DL86" i="40"/>
  <c r="BG87" i="40"/>
  <c r="CH87" i="40"/>
  <c r="CN90" i="40"/>
  <c r="CN97" i="40" s="1"/>
  <c r="CO89" i="40"/>
  <c r="AM94" i="40"/>
  <c r="AR91" i="40"/>
  <c r="AN94" i="40"/>
  <c r="AO94" i="40"/>
  <c r="AP94" i="40"/>
  <c r="AQ94" i="40"/>
  <c r="AT94" i="40"/>
  <c r="BF91" i="40"/>
  <c r="BG91" i="40" s="1"/>
  <c r="AU94" i="40"/>
  <c r="AV94" i="40"/>
  <c r="AW94" i="40"/>
  <c r="AX94" i="40"/>
  <c r="AY94" i="40"/>
  <c r="AZ94" i="40"/>
  <c r="BA94" i="40"/>
  <c r="BB94" i="40"/>
  <c r="BC94" i="40"/>
  <c r="BH94" i="40"/>
  <c r="BT91" i="40"/>
  <c r="BI94" i="40"/>
  <c r="BJ94" i="40"/>
  <c r="BK94" i="40"/>
  <c r="BL94" i="40"/>
  <c r="BM94" i="40"/>
  <c r="BN94" i="40"/>
  <c r="BO94" i="40"/>
  <c r="BP94" i="40"/>
  <c r="CB94" i="40"/>
  <c r="CH91" i="40"/>
  <c r="CC94" i="40"/>
  <c r="CD94" i="40"/>
  <c r="CG94" i="40"/>
  <c r="CK94" i="40"/>
  <c r="CL94" i="40"/>
  <c r="CZ91" i="40"/>
  <c r="CM94" i="40"/>
  <c r="DA91" i="40"/>
  <c r="DB94" i="40"/>
  <c r="DP91" i="40"/>
  <c r="DC94" i="40"/>
  <c r="DQ91" i="40"/>
  <c r="DD94" i="40"/>
  <c r="DR91" i="40"/>
  <c r="DE94" i="40"/>
  <c r="DS91" i="40"/>
  <c r="DF94" i="40"/>
  <c r="DT91" i="40"/>
  <c r="DG94" i="40"/>
  <c r="DU91" i="40"/>
  <c r="DH94" i="40"/>
  <c r="DV91" i="40"/>
  <c r="DI94" i="40"/>
  <c r="DW91" i="40"/>
  <c r="BF35" i="39"/>
  <c r="BG31" i="39"/>
  <c r="BG42" i="39"/>
  <c r="BG43" i="39"/>
  <c r="BG44" i="39"/>
  <c r="BG45" i="39"/>
  <c r="BG46" i="39"/>
  <c r="BG47" i="39"/>
  <c r="BG48" i="39"/>
  <c r="BG49" i="39"/>
  <c r="BG50" i="39"/>
  <c r="BG52" i="39"/>
  <c r="BG53" i="39"/>
  <c r="BG54" i="39"/>
  <c r="BG55" i="39"/>
  <c r="BG56" i="39"/>
  <c r="BG57" i="39"/>
  <c r="BG58" i="39"/>
  <c r="BG59" i="39"/>
  <c r="BG60" i="39"/>
  <c r="BG62" i="39"/>
  <c r="BG70" i="39"/>
  <c r="DL86" i="39"/>
  <c r="DM86" i="39" s="1"/>
  <c r="DN86" i="39" s="1"/>
  <c r="DO86" i="39" s="1"/>
  <c r="DP86" i="39" s="1"/>
  <c r="DQ86" i="39" s="1"/>
  <c r="DR86" i="39" s="1"/>
  <c r="DS86" i="39" s="1"/>
  <c r="DT86" i="39" s="1"/>
  <c r="DU86" i="39" s="1"/>
  <c r="DV86" i="39" s="1"/>
  <c r="DW86" i="39" s="1"/>
  <c r="DI122" i="39"/>
  <c r="BH32" i="39"/>
  <c r="BH33" i="39"/>
  <c r="BH34" i="39"/>
  <c r="BI32" i="39"/>
  <c r="BI33" i="39"/>
  <c r="BI34" i="39"/>
  <c r="BJ32" i="39"/>
  <c r="BJ33" i="39"/>
  <c r="BJ34" i="39"/>
  <c r="BK32" i="39"/>
  <c r="BK33" i="39"/>
  <c r="BK34" i="39"/>
  <c r="BL32" i="39"/>
  <c r="BL33" i="39"/>
  <c r="BL34" i="39"/>
  <c r="BM32" i="39"/>
  <c r="BM33" i="39"/>
  <c r="BM34" i="39"/>
  <c r="BN32" i="39"/>
  <c r="BN33" i="39"/>
  <c r="BN34" i="39"/>
  <c r="BO32" i="39"/>
  <c r="BO34" i="39"/>
  <c r="BP32" i="39"/>
  <c r="BP34" i="39"/>
  <c r="BQ32" i="39"/>
  <c r="BQ34" i="39"/>
  <c r="BR32" i="39"/>
  <c r="BR34" i="39"/>
  <c r="BS32" i="39"/>
  <c r="BT32" i="39" s="1"/>
  <c r="BS34" i="39"/>
  <c r="BT34" i="39" s="1"/>
  <c r="CG35" i="39"/>
  <c r="CG78" i="39" s="1"/>
  <c r="CG36" i="39"/>
  <c r="CG37" i="39"/>
  <c r="CF35" i="39"/>
  <c r="CF78" i="39" s="1"/>
  <c r="CF36" i="39"/>
  <c r="CF37" i="39"/>
  <c r="CE35" i="39"/>
  <c r="CE78" i="39" s="1"/>
  <c r="CE36" i="39"/>
  <c r="CE37" i="39"/>
  <c r="CD35" i="39"/>
  <c r="CD78" i="39" s="1"/>
  <c r="CD36" i="39"/>
  <c r="CD37" i="39"/>
  <c r="CC35" i="39"/>
  <c r="CC78" i="39" s="1"/>
  <c r="CC36" i="39"/>
  <c r="CC37" i="39"/>
  <c r="CB35" i="39"/>
  <c r="CB78" i="39" s="1"/>
  <c r="CB36" i="39"/>
  <c r="CB37" i="39"/>
  <c r="CA35" i="39"/>
  <c r="CA78" i="39" s="1"/>
  <c r="CA36" i="39"/>
  <c r="CA37" i="39"/>
  <c r="BZ35" i="39"/>
  <c r="BZ78" i="39" s="1"/>
  <c r="BZ36" i="39"/>
  <c r="BZ37" i="39"/>
  <c r="BY35" i="39"/>
  <c r="BY78" i="39" s="1"/>
  <c r="BY36" i="39"/>
  <c r="BY37" i="39"/>
  <c r="BX35" i="39"/>
  <c r="BX78" i="39" s="1"/>
  <c r="BX36" i="39"/>
  <c r="BX37" i="39"/>
  <c r="BW35" i="39"/>
  <c r="BW78" i="39" s="1"/>
  <c r="BW36" i="39"/>
  <c r="BW37" i="39"/>
  <c r="BV35" i="39"/>
  <c r="CH35" i="39" s="1"/>
  <c r="BV36" i="39"/>
  <c r="CH36" i="39" s="1"/>
  <c r="CI36" i="39" s="1"/>
  <c r="BV37" i="39"/>
  <c r="CH37" i="39" s="1"/>
  <c r="BT35" i="39"/>
  <c r="DD34" i="38"/>
  <c r="DD118" i="38" s="1"/>
  <c r="DC34" i="38"/>
  <c r="DJ38" i="38"/>
  <c r="CY34" i="38"/>
  <c r="CY118" i="38" s="1"/>
  <c r="DF118" i="38"/>
  <c r="BY87" i="39"/>
  <c r="BY85" i="39" s="1"/>
  <c r="BY82" i="39"/>
  <c r="BZ87" i="39"/>
  <c r="BZ85" i="39" s="1"/>
  <c r="BZ82" i="39"/>
  <c r="CA87" i="39"/>
  <c r="CA85" i="39" s="1"/>
  <c r="CA82" i="39"/>
  <c r="CB87" i="39"/>
  <c r="CB85" i="39" s="1"/>
  <c r="CB82" i="39"/>
  <c r="CC87" i="39"/>
  <c r="CC85" i="39" s="1"/>
  <c r="CC82" i="39"/>
  <c r="CD87" i="39"/>
  <c r="CD85" i="39" s="1"/>
  <c r="CD82" i="39"/>
  <c r="CE87" i="39"/>
  <c r="CE85" i="39" s="1"/>
  <c r="CE82" i="39"/>
  <c r="CF87" i="39"/>
  <c r="CF85" i="39" s="1"/>
  <c r="CF82" i="39"/>
  <c r="CG87" i="39"/>
  <c r="CG85" i="39" s="1"/>
  <c r="CG82" i="39"/>
  <c r="CJ87" i="39"/>
  <c r="CJ82" i="39"/>
  <c r="CK87" i="39"/>
  <c r="CK82" i="39"/>
  <c r="CM90" i="39"/>
  <c r="CM87" i="39"/>
  <c r="CM82" i="39"/>
  <c r="CN87" i="39"/>
  <c r="CN82" i="39"/>
  <c r="CO87" i="39"/>
  <c r="CO82" i="39"/>
  <c r="CP99" i="39"/>
  <c r="CP95" i="39"/>
  <c r="CP94" i="39"/>
  <c r="CQ99" i="39"/>
  <c r="CQ94" i="39"/>
  <c r="CR99" i="39"/>
  <c r="CR94" i="39"/>
  <c r="CT99" i="39"/>
  <c r="CT94" i="39"/>
  <c r="CT81" i="39"/>
  <c r="CX87" i="39"/>
  <c r="CX82" i="39"/>
  <c r="CY87" i="39"/>
  <c r="CY82" i="39"/>
  <c r="DB87" i="39"/>
  <c r="DB82" i="39"/>
  <c r="DC87" i="39"/>
  <c r="DC82" i="39"/>
  <c r="DD87" i="39"/>
  <c r="DD82" i="39"/>
  <c r="DE87" i="39"/>
  <c r="DE82" i="39"/>
  <c r="DF87" i="39"/>
  <c r="DF82" i="39"/>
  <c r="DG87" i="39"/>
  <c r="DG82" i="39"/>
  <c r="DH87" i="39"/>
  <c r="DH82" i="39"/>
  <c r="DI87" i="39"/>
  <c r="DI82" i="39"/>
  <c r="DI81" i="39" s="1"/>
  <c r="DL87" i="39"/>
  <c r="DL82" i="39"/>
  <c r="DM87" i="39"/>
  <c r="DM82" i="39"/>
  <c r="DN87" i="39"/>
  <c r="DN82" i="39"/>
  <c r="DO87" i="39"/>
  <c r="DO82" i="39"/>
  <c r="DP87" i="39"/>
  <c r="DP82" i="39"/>
  <c r="DQ87" i="39"/>
  <c r="DQ82" i="39"/>
  <c r="DR87" i="39"/>
  <c r="DR82" i="39"/>
  <c r="DS87" i="39"/>
  <c r="DS82" i="39"/>
  <c r="DT87" i="39"/>
  <c r="DT82" i="39"/>
  <c r="DU87" i="39"/>
  <c r="DU82" i="39"/>
  <c r="DV87" i="39"/>
  <c r="DV82" i="39"/>
  <c r="DW87" i="39"/>
  <c r="DW82" i="39"/>
  <c r="D34" i="39"/>
  <c r="D32" i="39"/>
  <c r="D31" i="39"/>
  <c r="E34" i="39"/>
  <c r="E32" i="39"/>
  <c r="E31" i="39"/>
  <c r="F34" i="39"/>
  <c r="F32" i="39"/>
  <c r="F31" i="39"/>
  <c r="G34" i="39"/>
  <c r="G32" i="39"/>
  <c r="G31" i="39"/>
  <c r="H34" i="39"/>
  <c r="H32" i="39"/>
  <c r="H31" i="39"/>
  <c r="I34" i="39"/>
  <c r="I32" i="39"/>
  <c r="I31" i="39"/>
  <c r="J34" i="39"/>
  <c r="J32" i="39"/>
  <c r="J31" i="39"/>
  <c r="K34" i="39"/>
  <c r="K32" i="39"/>
  <c r="K31" i="39"/>
  <c r="L34" i="39"/>
  <c r="L32" i="39"/>
  <c r="L31" i="39"/>
  <c r="M34" i="39"/>
  <c r="M32" i="39"/>
  <c r="M31" i="39"/>
  <c r="N34" i="39"/>
  <c r="N32" i="39"/>
  <c r="N31" i="39"/>
  <c r="O34" i="39"/>
  <c r="O32" i="39"/>
  <c r="P32" i="39" s="1"/>
  <c r="O31" i="39"/>
  <c r="P31" i="39" s="1"/>
  <c r="R34" i="39"/>
  <c r="R32" i="39"/>
  <c r="R31" i="39"/>
  <c r="S34" i="39"/>
  <c r="S32" i="39"/>
  <c r="S31" i="39"/>
  <c r="T34" i="39"/>
  <c r="T32" i="39"/>
  <c r="T31" i="39"/>
  <c r="U34" i="39"/>
  <c r="U32" i="39"/>
  <c r="U31" i="39"/>
  <c r="V34" i="39"/>
  <c r="V32" i="39"/>
  <c r="V31" i="39"/>
  <c r="W34" i="39"/>
  <c r="W32" i="39"/>
  <c r="W31" i="39"/>
  <c r="X34" i="39"/>
  <c r="X32" i="39"/>
  <c r="X31" i="39"/>
  <c r="Y34" i="39"/>
  <c r="Y32" i="39"/>
  <c r="Y31" i="39"/>
  <c r="Z34" i="39"/>
  <c r="Z32" i="39"/>
  <c r="Z31" i="39"/>
  <c r="AA34" i="39"/>
  <c r="AA32" i="39"/>
  <c r="AA31" i="39"/>
  <c r="AB34" i="39"/>
  <c r="AB32" i="39"/>
  <c r="AB31" i="39"/>
  <c r="AC32" i="39"/>
  <c r="AD32" i="39" s="1"/>
  <c r="AC31" i="39"/>
  <c r="AD31" i="39" s="1"/>
  <c r="AF34" i="39"/>
  <c r="AF33" i="39"/>
  <c r="AF67" i="39" s="1"/>
  <c r="AF32" i="39"/>
  <c r="AG34" i="39"/>
  <c r="AG32" i="39"/>
  <c r="AH34" i="39"/>
  <c r="AH33" i="39"/>
  <c r="AH67" i="39" s="1"/>
  <c r="AH32" i="39"/>
  <c r="AI34" i="39"/>
  <c r="AI33" i="39"/>
  <c r="AI67" i="39" s="1"/>
  <c r="AI32" i="39"/>
  <c r="AJ34" i="39"/>
  <c r="AJ33" i="39"/>
  <c r="AJ67" i="39" s="1"/>
  <c r="AJ32" i="39"/>
  <c r="AK34" i="39"/>
  <c r="AK33" i="39"/>
  <c r="AK67" i="39" s="1"/>
  <c r="AK32" i="39"/>
  <c r="AL34" i="39"/>
  <c r="AL33" i="39"/>
  <c r="AL67" i="39" s="1"/>
  <c r="AL32" i="39"/>
  <c r="AM34" i="39"/>
  <c r="AM33" i="39"/>
  <c r="AM67" i="39" s="1"/>
  <c r="AM32" i="39"/>
  <c r="AN34" i="39"/>
  <c r="AN33" i="39"/>
  <c r="AN67" i="39" s="1"/>
  <c r="AN32" i="39"/>
  <c r="AO34" i="39"/>
  <c r="AO33" i="39"/>
  <c r="AO67" i="39" s="1"/>
  <c r="AO32" i="39"/>
  <c r="AP34" i="39"/>
  <c r="AP33" i="39"/>
  <c r="AP67" i="39" s="1"/>
  <c r="AP32" i="39"/>
  <c r="AQ34" i="39"/>
  <c r="AR34" i="39" s="1"/>
  <c r="AQ33" i="39"/>
  <c r="AQ32" i="39"/>
  <c r="AR32" i="39" s="1"/>
  <c r="AR11" i="39"/>
  <c r="AT34" i="39"/>
  <c r="AT33" i="39"/>
  <c r="AT32" i="39"/>
  <c r="AU34" i="39"/>
  <c r="AU33" i="39"/>
  <c r="AU32" i="39"/>
  <c r="AV34" i="39"/>
  <c r="AV33" i="39"/>
  <c r="AV32" i="39"/>
  <c r="AW34" i="39"/>
  <c r="AW33" i="39"/>
  <c r="AW32" i="39"/>
  <c r="AX34" i="39"/>
  <c r="AX33" i="39"/>
  <c r="AX32" i="39"/>
  <c r="AY34" i="39"/>
  <c r="AY33" i="39"/>
  <c r="AY32" i="39"/>
  <c r="AZ34" i="39"/>
  <c r="AZ32" i="39"/>
  <c r="BA34" i="39"/>
  <c r="BA33" i="39"/>
  <c r="BA32" i="39"/>
  <c r="BB34" i="39"/>
  <c r="BB33" i="39"/>
  <c r="BB32" i="39"/>
  <c r="BC32" i="39" s="1"/>
  <c r="BD32" i="39" s="1"/>
  <c r="BE32" i="39" s="1"/>
  <c r="BF32" i="39" s="1"/>
  <c r="BC34" i="39"/>
  <c r="BC33" i="39"/>
  <c r="BD34" i="39"/>
  <c r="BD33" i="39"/>
  <c r="BE34" i="39"/>
  <c r="BF34" i="39" s="1"/>
  <c r="BE33" i="39"/>
  <c r="BF11" i="39"/>
  <c r="BT11" i="39"/>
  <c r="CJ11" i="39"/>
  <c r="CS34" i="39"/>
  <c r="AQ31" i="39"/>
  <c r="AR31" i="39" s="1"/>
  <c r="AR30" i="39"/>
  <c r="AT31" i="39"/>
  <c r="BF31" i="39" s="1"/>
  <c r="BF30" i="39"/>
  <c r="R95" i="39"/>
  <c r="BV78" i="39"/>
  <c r="CH78" i="39" s="1"/>
  <c r="CX119" i="39"/>
  <c r="AN71" i="39"/>
  <c r="AR39" i="39"/>
  <c r="CK39" i="39"/>
  <c r="CL38" i="39"/>
  <c r="CQ39" i="39"/>
  <c r="CR38" i="39"/>
  <c r="CR39" i="39" s="1"/>
  <c r="AT71" i="39"/>
  <c r="BF71" i="39" s="1"/>
  <c r="BF39" i="39"/>
  <c r="BG39" i="39" s="1"/>
  <c r="CJ65" i="39"/>
  <c r="CJ40" i="39"/>
  <c r="CP65" i="39"/>
  <c r="CP40" i="39"/>
  <c r="CP41" i="39" s="1"/>
  <c r="T63" i="39"/>
  <c r="T35" i="39" s="1"/>
  <c r="T95" i="39" s="1"/>
  <c r="AD42" i="39"/>
  <c r="S63" i="39"/>
  <c r="S35" i="39" s="1"/>
  <c r="AD45" i="39"/>
  <c r="AH63" i="39"/>
  <c r="AR51" i="39"/>
  <c r="BG51" i="39" s="1"/>
  <c r="AD63" i="39"/>
  <c r="AF73" i="39"/>
  <c r="AR63" i="39"/>
  <c r="AL73" i="39"/>
  <c r="AL65" i="39"/>
  <c r="AP73" i="39"/>
  <c r="AP65" i="39"/>
  <c r="AQ73" i="39"/>
  <c r="AQ65" i="39"/>
  <c r="AT73" i="39"/>
  <c r="BF63" i="39"/>
  <c r="BG63" i="39" s="1"/>
  <c r="BG66" i="39" s="1"/>
  <c r="BA73" i="39"/>
  <c r="BA64" i="39"/>
  <c r="BB67" i="39"/>
  <c r="BF66" i="39"/>
  <c r="BF67" i="39"/>
  <c r="AF74" i="39"/>
  <c r="AR69" i="39"/>
  <c r="AG74" i="39"/>
  <c r="AI74" i="39"/>
  <c r="AJ74" i="39"/>
  <c r="AK74" i="39"/>
  <c r="AL74" i="39"/>
  <c r="AM74" i="39"/>
  <c r="AN74" i="39"/>
  <c r="AO74" i="39"/>
  <c r="AP74" i="39"/>
  <c r="AQ74" i="39"/>
  <c r="AT74" i="39"/>
  <c r="BF69" i="39"/>
  <c r="BG69" i="39" s="1"/>
  <c r="AU74" i="39"/>
  <c r="AU75" i="39" s="1"/>
  <c r="AV74" i="39"/>
  <c r="AV75" i="39" s="1"/>
  <c r="AW74" i="39"/>
  <c r="AW75" i="39" s="1"/>
  <c r="AX74" i="39"/>
  <c r="AX75" i="39" s="1"/>
  <c r="AY74" i="39"/>
  <c r="AY75" i="39" s="1"/>
  <c r="AZ74" i="39"/>
  <c r="AZ75" i="39" s="1"/>
  <c r="BA74" i="39"/>
  <c r="BA75" i="39" s="1"/>
  <c r="BB74" i="39"/>
  <c r="BB75" i="39" s="1"/>
  <c r="BC74" i="39"/>
  <c r="BC75" i="39" s="1"/>
  <c r="BD74" i="39"/>
  <c r="BD75" i="39" s="1"/>
  <c r="BE74" i="39"/>
  <c r="BE75" i="39" s="1"/>
  <c r="BH74" i="39"/>
  <c r="BI74" i="39"/>
  <c r="BI75" i="39" s="1"/>
  <c r="BJ74" i="39"/>
  <c r="BJ75" i="39" s="1"/>
  <c r="BK74" i="39"/>
  <c r="BK75" i="39" s="1"/>
  <c r="BL74" i="39"/>
  <c r="BL75" i="39" s="1"/>
  <c r="BM74" i="39"/>
  <c r="BM75" i="39" s="1"/>
  <c r="BN74" i="39"/>
  <c r="BN75" i="39" s="1"/>
  <c r="BO74" i="39"/>
  <c r="BO75" i="39" s="1"/>
  <c r="BP74" i="39"/>
  <c r="BP75" i="39" s="1"/>
  <c r="BQ74" i="39"/>
  <c r="BQ75" i="39" s="1"/>
  <c r="AR71" i="39"/>
  <c r="BB73" i="39"/>
  <c r="BF72" i="39"/>
  <c r="BG72" i="39" s="1"/>
  <c r="CJ78" i="39"/>
  <c r="CV73" i="39"/>
  <c r="CP78" i="39"/>
  <c r="DD73" i="39"/>
  <c r="DE73" i="39"/>
  <c r="DE35" i="39" s="1"/>
  <c r="DF73" i="39"/>
  <c r="DF35" i="39" s="1"/>
  <c r="DG73" i="39"/>
  <c r="DH73" i="39"/>
  <c r="DB97" i="39"/>
  <c r="DC97" i="39"/>
  <c r="DD97" i="39"/>
  <c r="DE97" i="39"/>
  <c r="DF97" i="39"/>
  <c r="DX78" i="39"/>
  <c r="CX96" i="39"/>
  <c r="CX97" i="39" s="1"/>
  <c r="DJ79" i="39"/>
  <c r="CY96" i="39"/>
  <c r="CY97" i="39" s="1"/>
  <c r="CZ96" i="39"/>
  <c r="CZ97" i="39" s="1"/>
  <c r="DA96" i="39"/>
  <c r="DA97" i="39" s="1"/>
  <c r="DG96" i="39"/>
  <c r="DG97" i="39" s="1"/>
  <c r="DH96" i="39"/>
  <c r="DH97" i="39" s="1"/>
  <c r="DI96" i="39"/>
  <c r="DI97" i="39" s="1"/>
  <c r="DL96" i="39"/>
  <c r="DL97" i="39" s="1"/>
  <c r="DX79" i="39"/>
  <c r="DM96" i="39"/>
  <c r="DM97" i="39" s="1"/>
  <c r="DN96" i="39"/>
  <c r="DN97" i="39" s="1"/>
  <c r="DO96" i="39"/>
  <c r="DO97" i="39" s="1"/>
  <c r="DP96" i="39"/>
  <c r="DP97" i="39" s="1"/>
  <c r="DQ96" i="39"/>
  <c r="DQ97" i="39" s="1"/>
  <c r="DR96" i="39"/>
  <c r="DR97" i="39" s="1"/>
  <c r="DS96" i="39"/>
  <c r="DS97" i="39" s="1"/>
  <c r="DT96" i="39"/>
  <c r="DT97" i="39" s="1"/>
  <c r="DU96" i="39"/>
  <c r="DU97" i="39" s="1"/>
  <c r="DV96" i="39"/>
  <c r="DV97" i="39" s="1"/>
  <c r="DW96" i="39"/>
  <c r="DW97" i="39" s="1"/>
  <c r="AF95" i="39"/>
  <c r="AF94" i="39"/>
  <c r="AR82" i="39"/>
  <c r="AG95" i="39"/>
  <c r="AG94" i="39"/>
  <c r="AH94" i="39"/>
  <c r="AI95" i="39"/>
  <c r="AI94" i="39"/>
  <c r="AJ95" i="39"/>
  <c r="AJ94" i="39"/>
  <c r="AK95" i="39"/>
  <c r="AK94" i="39"/>
  <c r="AL95" i="39"/>
  <c r="AL94" i="39"/>
  <c r="AM95" i="39"/>
  <c r="AN95" i="39"/>
  <c r="AO95" i="39"/>
  <c r="AO89" i="39"/>
  <c r="AP95" i="39"/>
  <c r="AP89" i="39"/>
  <c r="AQ95" i="39"/>
  <c r="AQ89" i="39"/>
  <c r="AT95" i="39"/>
  <c r="AT89" i="39"/>
  <c r="BF82" i="39"/>
  <c r="AU95" i="39"/>
  <c r="AU89" i="39"/>
  <c r="AV95" i="39"/>
  <c r="AV89" i="39"/>
  <c r="AW95" i="39"/>
  <c r="AW89" i="39"/>
  <c r="AX95" i="39"/>
  <c r="AX89" i="39"/>
  <c r="AY95" i="39"/>
  <c r="AY89" i="39"/>
  <c r="AZ95" i="39"/>
  <c r="AZ89" i="39"/>
  <c r="BA95" i="39"/>
  <c r="BA89" i="39"/>
  <c r="BB95" i="39"/>
  <c r="BB89" i="39"/>
  <c r="BC95" i="39"/>
  <c r="BC89" i="39"/>
  <c r="BH95" i="39"/>
  <c r="BT82" i="39"/>
  <c r="BI95" i="39"/>
  <c r="BJ95" i="39"/>
  <c r="BK95" i="39"/>
  <c r="BL95" i="39"/>
  <c r="BM95" i="39"/>
  <c r="BN95" i="39"/>
  <c r="BO95" i="39"/>
  <c r="BP95" i="39"/>
  <c r="BV88" i="39"/>
  <c r="CH82" i="39"/>
  <c r="CL85" i="39"/>
  <c r="CU99" i="39"/>
  <c r="CU94" i="39"/>
  <c r="CZ95" i="39"/>
  <c r="CZ85" i="39"/>
  <c r="DA95" i="39"/>
  <c r="DA85" i="39"/>
  <c r="BG85" i="39"/>
  <c r="BP86" i="39"/>
  <c r="BT85" i="39"/>
  <c r="CH85" i="39"/>
  <c r="BT86" i="39"/>
  <c r="BG87" i="39"/>
  <c r="CH87" i="39"/>
  <c r="CN90" i="39"/>
  <c r="CN97" i="39" s="1"/>
  <c r="CO89" i="39"/>
  <c r="AM94" i="39"/>
  <c r="AR91" i="39"/>
  <c r="AN94" i="39"/>
  <c r="AO94" i="39"/>
  <c r="AP94" i="39"/>
  <c r="AQ94" i="39"/>
  <c r="AT94" i="39"/>
  <c r="BF91" i="39"/>
  <c r="BG91" i="39" s="1"/>
  <c r="AU94" i="39"/>
  <c r="AV94" i="39"/>
  <c r="AW94" i="39"/>
  <c r="AX94" i="39"/>
  <c r="AY94" i="39"/>
  <c r="AZ94" i="39"/>
  <c r="BA94" i="39"/>
  <c r="BB94" i="39"/>
  <c r="BC94" i="39"/>
  <c r="BH94" i="39"/>
  <c r="BT91" i="39"/>
  <c r="BI94" i="39"/>
  <c r="BJ94" i="39"/>
  <c r="BK94" i="39"/>
  <c r="BL94" i="39"/>
  <c r="BM94" i="39"/>
  <c r="BN94" i="39"/>
  <c r="BO94" i="39"/>
  <c r="BP94" i="39"/>
  <c r="CB94" i="39"/>
  <c r="CH91" i="39"/>
  <c r="CC94" i="39"/>
  <c r="CD94" i="39"/>
  <c r="CG94" i="39"/>
  <c r="CK94" i="39"/>
  <c r="CL94" i="39"/>
  <c r="CZ91" i="39"/>
  <c r="CM94" i="39"/>
  <c r="DA91" i="39"/>
  <c r="DB94" i="39"/>
  <c r="DP91" i="39"/>
  <c r="DP94" i="39" s="1"/>
  <c r="DC94" i="39"/>
  <c r="DQ91" i="39"/>
  <c r="DQ94" i="39" s="1"/>
  <c r="DD94" i="39"/>
  <c r="DR91" i="39"/>
  <c r="DR94" i="39" s="1"/>
  <c r="DE94" i="39"/>
  <c r="DS91" i="39"/>
  <c r="DS94" i="39" s="1"/>
  <c r="DF94" i="39"/>
  <c r="DT91" i="39"/>
  <c r="DT94" i="39" s="1"/>
  <c r="DG94" i="39"/>
  <c r="DU91" i="39"/>
  <c r="DU94" i="39" s="1"/>
  <c r="DH94" i="39"/>
  <c r="DV91" i="39"/>
  <c r="DV94" i="39" s="1"/>
  <c r="DI94" i="39"/>
  <c r="DW91" i="39"/>
  <c r="DW94" i="39" s="1"/>
  <c r="DL94" i="39"/>
  <c r="DM94" i="39"/>
  <c r="BY86" i="38"/>
  <c r="BY84" i="38" s="1"/>
  <c r="BY81" i="38"/>
  <c r="BZ86" i="38"/>
  <c r="BZ84" i="38" s="1"/>
  <c r="BZ81" i="38"/>
  <c r="CA86" i="38"/>
  <c r="CA84" i="38" s="1"/>
  <c r="CA81" i="38"/>
  <c r="CB86" i="38"/>
  <c r="CB84" i="38" s="1"/>
  <c r="CB81" i="38"/>
  <c r="CC86" i="38"/>
  <c r="CC84" i="38" s="1"/>
  <c r="CC81" i="38"/>
  <c r="CD86" i="38"/>
  <c r="CD84" i="38" s="1"/>
  <c r="CD81" i="38"/>
  <c r="CE86" i="38"/>
  <c r="CE84" i="38" s="1"/>
  <c r="CE81" i="38"/>
  <c r="CF86" i="38"/>
  <c r="CF84" i="38" s="1"/>
  <c r="CF81" i="38"/>
  <c r="CG86" i="38"/>
  <c r="CG84" i="38" s="1"/>
  <c r="CG81" i="38"/>
  <c r="CJ86" i="38"/>
  <c r="CJ81" i="38"/>
  <c r="CK86" i="38"/>
  <c r="CK81" i="38"/>
  <c r="CM89" i="38"/>
  <c r="CM86" i="38"/>
  <c r="CM81" i="38"/>
  <c r="CN86" i="38"/>
  <c r="CN81" i="38"/>
  <c r="CO86" i="38"/>
  <c r="CO81" i="38"/>
  <c r="CP98" i="38"/>
  <c r="CP94" i="38"/>
  <c r="CP93" i="38"/>
  <c r="CQ98" i="38"/>
  <c r="CQ93" i="38"/>
  <c r="CR98" i="38"/>
  <c r="CR93" i="38"/>
  <c r="CT98" i="38"/>
  <c r="CT93" i="38"/>
  <c r="CT80" i="38"/>
  <c r="CX86" i="38"/>
  <c r="CX81" i="38"/>
  <c r="CY86" i="38"/>
  <c r="CY81" i="38"/>
  <c r="DB86" i="38"/>
  <c r="DB81" i="38"/>
  <c r="DC86" i="38"/>
  <c r="DC81" i="38"/>
  <c r="DD86" i="38"/>
  <c r="DD81" i="38"/>
  <c r="DD20" i="38" s="1"/>
  <c r="DE86" i="38"/>
  <c r="DE81" i="38"/>
  <c r="DF86" i="38"/>
  <c r="DF81" i="38"/>
  <c r="DG86" i="38"/>
  <c r="DG81" i="38"/>
  <c r="DH86" i="38"/>
  <c r="DH81" i="38"/>
  <c r="DI86" i="38"/>
  <c r="DI81" i="38"/>
  <c r="DL86" i="38"/>
  <c r="DL81" i="38"/>
  <c r="DM86" i="38"/>
  <c r="DM81" i="38"/>
  <c r="DN86" i="38"/>
  <c r="DN81" i="38"/>
  <c r="DO86" i="38"/>
  <c r="DO81" i="38"/>
  <c r="DP86" i="38"/>
  <c r="DP81" i="38"/>
  <c r="DQ86" i="38"/>
  <c r="DQ81" i="38"/>
  <c r="DR86" i="38"/>
  <c r="DR81" i="38"/>
  <c r="DS86" i="38"/>
  <c r="DS81" i="38"/>
  <c r="DT86" i="38"/>
  <c r="DT81" i="38"/>
  <c r="DU86" i="38"/>
  <c r="DU81" i="38"/>
  <c r="DV86" i="38"/>
  <c r="DV81" i="38"/>
  <c r="DW86" i="38"/>
  <c r="DW81" i="38"/>
  <c r="D33" i="38"/>
  <c r="D31" i="38"/>
  <c r="D30" i="38"/>
  <c r="E33" i="38"/>
  <c r="E31" i="38"/>
  <c r="E30" i="38"/>
  <c r="F33" i="38"/>
  <c r="F31" i="38"/>
  <c r="F30" i="38"/>
  <c r="G33" i="38"/>
  <c r="G31" i="38"/>
  <c r="G30" i="38"/>
  <c r="H33" i="38"/>
  <c r="H31" i="38"/>
  <c r="H30" i="38"/>
  <c r="I33" i="38"/>
  <c r="I31" i="38"/>
  <c r="I30" i="38"/>
  <c r="J33" i="38"/>
  <c r="J31" i="38"/>
  <c r="J30" i="38"/>
  <c r="K33" i="38"/>
  <c r="K31" i="38"/>
  <c r="K30" i="38"/>
  <c r="L33" i="38"/>
  <c r="L31" i="38"/>
  <c r="L30" i="38"/>
  <c r="M33" i="38"/>
  <c r="M31" i="38"/>
  <c r="M30" i="38"/>
  <c r="N33" i="38"/>
  <c r="N31" i="38"/>
  <c r="N30" i="38"/>
  <c r="O33" i="38"/>
  <c r="O31" i="38"/>
  <c r="P31" i="38" s="1"/>
  <c r="O30" i="38"/>
  <c r="P30" i="38" s="1"/>
  <c r="R33" i="38"/>
  <c r="R31" i="38"/>
  <c r="R30" i="38"/>
  <c r="S33" i="38"/>
  <c r="S31" i="38"/>
  <c r="S30" i="38"/>
  <c r="T33" i="38"/>
  <c r="T31" i="38"/>
  <c r="T30" i="38"/>
  <c r="U33" i="38"/>
  <c r="U31" i="38"/>
  <c r="U30" i="38"/>
  <c r="V33" i="38"/>
  <c r="V31" i="38"/>
  <c r="V30" i="38"/>
  <c r="W33" i="38"/>
  <c r="W31" i="38"/>
  <c r="W30" i="38"/>
  <c r="X33" i="38"/>
  <c r="X31" i="38"/>
  <c r="X30" i="38"/>
  <c r="Y33" i="38"/>
  <c r="Y31" i="38"/>
  <c r="Y30" i="38"/>
  <c r="Z33" i="38"/>
  <c r="Z31" i="38"/>
  <c r="Z30" i="38"/>
  <c r="AA33" i="38"/>
  <c r="AA31" i="38"/>
  <c r="AA30" i="38"/>
  <c r="AB33" i="38"/>
  <c r="AB31" i="38"/>
  <c r="AB30" i="38"/>
  <c r="AC31" i="38"/>
  <c r="AD31" i="38" s="1"/>
  <c r="AC30" i="38"/>
  <c r="AD30" i="38" s="1"/>
  <c r="AF33" i="38"/>
  <c r="AF32" i="38"/>
  <c r="AF66" i="38" s="1"/>
  <c r="AF31" i="38"/>
  <c r="AG33" i="38"/>
  <c r="AG31" i="38"/>
  <c r="AH33" i="38"/>
  <c r="AH32" i="38"/>
  <c r="AH66" i="38" s="1"/>
  <c r="AH31" i="38"/>
  <c r="AI33" i="38"/>
  <c r="AI32" i="38"/>
  <c r="AI66" i="38" s="1"/>
  <c r="AI31" i="38"/>
  <c r="AJ33" i="38"/>
  <c r="AJ32" i="38"/>
  <c r="AJ66" i="38" s="1"/>
  <c r="AJ31" i="38"/>
  <c r="AK33" i="38"/>
  <c r="AK32" i="38"/>
  <c r="AK66" i="38" s="1"/>
  <c r="AK31" i="38"/>
  <c r="AL33" i="38"/>
  <c r="AL32" i="38"/>
  <c r="AL66" i="38" s="1"/>
  <c r="AL31" i="38"/>
  <c r="AM33" i="38"/>
  <c r="AM32" i="38"/>
  <c r="AM66" i="38" s="1"/>
  <c r="AM31" i="38"/>
  <c r="AN33" i="38"/>
  <c r="AN32" i="38"/>
  <c r="AN66" i="38" s="1"/>
  <c r="AN31" i="38"/>
  <c r="AO33" i="38"/>
  <c r="AO32" i="38"/>
  <c r="AO66" i="38" s="1"/>
  <c r="AO31" i="38"/>
  <c r="AP33" i="38"/>
  <c r="AP32" i="38"/>
  <c r="AP66" i="38" s="1"/>
  <c r="AP31" i="38"/>
  <c r="AQ33" i="38"/>
  <c r="AR33" i="38" s="1"/>
  <c r="AQ32" i="38"/>
  <c r="AQ31" i="38"/>
  <c r="AR31" i="38" s="1"/>
  <c r="AR10" i="38"/>
  <c r="AT33" i="38"/>
  <c r="AT32" i="38"/>
  <c r="AT31" i="38"/>
  <c r="AU33" i="38"/>
  <c r="AU32" i="38"/>
  <c r="AU31" i="38"/>
  <c r="AV33" i="38"/>
  <c r="AV32" i="38"/>
  <c r="AV31" i="38"/>
  <c r="AW33" i="38"/>
  <c r="AW32" i="38"/>
  <c r="AW31" i="38"/>
  <c r="AX33" i="38"/>
  <c r="AX32" i="38"/>
  <c r="AX31" i="38"/>
  <c r="AY33" i="38"/>
  <c r="AY32" i="38"/>
  <c r="AY31" i="38"/>
  <c r="AZ33" i="38"/>
  <c r="AZ31" i="38"/>
  <c r="BA33" i="38"/>
  <c r="BA32" i="38"/>
  <c r="BA31" i="38"/>
  <c r="BB33" i="38"/>
  <c r="BB32" i="38"/>
  <c r="BB31" i="38"/>
  <c r="BC31" i="38" s="1"/>
  <c r="BD31" i="38" s="1"/>
  <c r="BE31" i="38" s="1"/>
  <c r="BF31" i="38" s="1"/>
  <c r="BC33" i="38"/>
  <c r="BC32" i="38"/>
  <c r="BD33" i="38"/>
  <c r="BD32" i="38"/>
  <c r="BE33" i="38"/>
  <c r="BF33" i="38" s="1"/>
  <c r="BE32" i="38"/>
  <c r="BF10" i="38"/>
  <c r="BH33" i="38"/>
  <c r="BH32" i="38"/>
  <c r="BH31" i="38"/>
  <c r="BI33" i="38"/>
  <c r="BI32" i="38"/>
  <c r="BI31" i="38"/>
  <c r="BJ33" i="38"/>
  <c r="BJ32" i="38"/>
  <c r="BJ31" i="38"/>
  <c r="BK33" i="38"/>
  <c r="BK32" i="38"/>
  <c r="BK31" i="38"/>
  <c r="BL33" i="38"/>
  <c r="BL32" i="38"/>
  <c r="BL31" i="38"/>
  <c r="BM33" i="38"/>
  <c r="BM32" i="38"/>
  <c r="BM31" i="38"/>
  <c r="BN33" i="38"/>
  <c r="BN32" i="38"/>
  <c r="BN31" i="38"/>
  <c r="BO33" i="38"/>
  <c r="BO31" i="38"/>
  <c r="BP33" i="38"/>
  <c r="BP31" i="38"/>
  <c r="BQ33" i="38"/>
  <c r="BQ31" i="38"/>
  <c r="BR33" i="38"/>
  <c r="BR31" i="38"/>
  <c r="BS33" i="38"/>
  <c r="BT33" i="38" s="1"/>
  <c r="BS31" i="38"/>
  <c r="BT31" i="38" s="1"/>
  <c r="BT10" i="38"/>
  <c r="CJ10" i="38"/>
  <c r="CS33" i="38"/>
  <c r="AQ30" i="38"/>
  <c r="AR30" i="38" s="1"/>
  <c r="AR29" i="38"/>
  <c r="AT30" i="38"/>
  <c r="BF30" i="38" s="1"/>
  <c r="BF29" i="38"/>
  <c r="BS30" i="38"/>
  <c r="BT30" i="38" s="1"/>
  <c r="BT29" i="38"/>
  <c r="CG30" i="38"/>
  <c r="CH30" i="38" s="1"/>
  <c r="CH29" i="38"/>
  <c r="R94" i="38"/>
  <c r="BV77" i="38"/>
  <c r="CH77" i="38" s="1"/>
  <c r="CH34" i="38"/>
  <c r="BH70" i="38"/>
  <c r="BH38" i="38"/>
  <c r="BT35" i="38"/>
  <c r="BT38" i="38" s="1"/>
  <c r="BI70" i="38"/>
  <c r="BI38" i="38"/>
  <c r="BJ70" i="38"/>
  <c r="BJ38" i="38"/>
  <c r="BK70" i="38"/>
  <c r="BK38" i="38"/>
  <c r="BL70" i="38"/>
  <c r="BL38" i="38"/>
  <c r="BM70" i="38"/>
  <c r="BM38" i="38"/>
  <c r="BN70" i="38"/>
  <c r="BN38" i="38"/>
  <c r="BO70" i="38"/>
  <c r="BO38" i="38"/>
  <c r="BP70" i="38"/>
  <c r="BP38" i="38"/>
  <c r="AN70" i="38"/>
  <c r="AR38" i="38"/>
  <c r="CK38" i="38"/>
  <c r="CL37" i="38"/>
  <c r="CQ38" i="38"/>
  <c r="CR37" i="38"/>
  <c r="AT70" i="38"/>
  <c r="BF70" i="38" s="1"/>
  <c r="BF38" i="38"/>
  <c r="BG38" i="38" s="1"/>
  <c r="BR64" i="38"/>
  <c r="CJ64" i="38"/>
  <c r="CJ39" i="38"/>
  <c r="CP64" i="38"/>
  <c r="CP39" i="38"/>
  <c r="CP40" i="38" s="1"/>
  <c r="DX38" i="38"/>
  <c r="DY38" i="38" s="1"/>
  <c r="T62" i="38"/>
  <c r="T34" i="38" s="1"/>
  <c r="T94" i="38" s="1"/>
  <c r="AD41" i="38"/>
  <c r="BG41" i="38"/>
  <c r="BG42" i="38"/>
  <c r="BG43" i="38"/>
  <c r="S62" i="38"/>
  <c r="S34" i="38" s="1"/>
  <c r="AD44" i="38"/>
  <c r="BG44" i="38"/>
  <c r="BG45" i="38"/>
  <c r="BG46" i="38"/>
  <c r="BG47" i="38"/>
  <c r="BG48" i="38"/>
  <c r="BG49" i="38"/>
  <c r="AH62" i="38"/>
  <c r="AR50" i="38"/>
  <c r="BG50" i="38"/>
  <c r="BG51" i="38"/>
  <c r="BG52" i="38"/>
  <c r="BG53" i="38"/>
  <c r="BG54" i="38"/>
  <c r="BG55" i="38"/>
  <c r="BG56" i="38"/>
  <c r="BV62" i="38"/>
  <c r="CH56" i="38"/>
  <c r="BG57" i="38"/>
  <c r="BG58" i="38"/>
  <c r="BG59" i="38"/>
  <c r="BG61" i="38"/>
  <c r="AD62" i="38"/>
  <c r="AF72" i="38"/>
  <c r="AR62" i="38"/>
  <c r="AL72" i="38"/>
  <c r="AL64" i="38"/>
  <c r="AP72" i="38"/>
  <c r="AP64" i="38"/>
  <c r="AQ72" i="38"/>
  <c r="AQ64" i="38"/>
  <c r="AT72" i="38"/>
  <c r="BF62" i="38"/>
  <c r="BG62" i="38" s="1"/>
  <c r="BG65" i="38" s="1"/>
  <c r="BA72" i="38"/>
  <c r="BA63" i="38"/>
  <c r="BO66" i="38"/>
  <c r="BT64" i="38"/>
  <c r="BB66" i="38"/>
  <c r="BF65" i="38"/>
  <c r="BF66" i="38"/>
  <c r="BT66" i="38"/>
  <c r="AF73" i="38"/>
  <c r="AR68" i="38"/>
  <c r="AG73" i="38"/>
  <c r="AI73" i="38"/>
  <c r="AJ73" i="38"/>
  <c r="AK73" i="38"/>
  <c r="AL73" i="38"/>
  <c r="AM73" i="38"/>
  <c r="AN73" i="38"/>
  <c r="AO73" i="38"/>
  <c r="AP73" i="38"/>
  <c r="AQ73" i="38"/>
  <c r="AT73" i="38"/>
  <c r="BF68" i="38"/>
  <c r="BG68" i="38" s="1"/>
  <c r="AU73" i="38"/>
  <c r="AU74" i="38" s="1"/>
  <c r="AV73" i="38"/>
  <c r="AV74" i="38" s="1"/>
  <c r="AW73" i="38"/>
  <c r="AW74" i="38" s="1"/>
  <c r="AX73" i="38"/>
  <c r="AX74" i="38" s="1"/>
  <c r="AY73" i="38"/>
  <c r="AY74" i="38" s="1"/>
  <c r="AZ73" i="38"/>
  <c r="AZ74" i="38" s="1"/>
  <c r="BA73" i="38"/>
  <c r="BA74" i="38" s="1"/>
  <c r="BB73" i="38"/>
  <c r="BB74" i="38" s="1"/>
  <c r="BC73" i="38"/>
  <c r="BC74" i="38" s="1"/>
  <c r="BD73" i="38"/>
  <c r="BD74" i="38" s="1"/>
  <c r="BE73" i="38"/>
  <c r="BE74" i="38" s="1"/>
  <c r="BH73" i="38"/>
  <c r="BT68" i="38"/>
  <c r="BI73" i="38"/>
  <c r="BI74" i="38" s="1"/>
  <c r="BJ73" i="38"/>
  <c r="BJ74" i="38" s="1"/>
  <c r="BK73" i="38"/>
  <c r="BK74" i="38" s="1"/>
  <c r="BL73" i="38"/>
  <c r="BL74" i="38" s="1"/>
  <c r="BM73" i="38"/>
  <c r="BM74" i="38" s="1"/>
  <c r="BN73" i="38"/>
  <c r="BN74" i="38" s="1"/>
  <c r="BO73" i="38"/>
  <c r="BO74" i="38" s="1"/>
  <c r="BP73" i="38"/>
  <c r="BP74" i="38" s="1"/>
  <c r="BQ73" i="38"/>
  <c r="BQ74" i="38" s="1"/>
  <c r="BG69" i="38"/>
  <c r="AR70" i="38"/>
  <c r="BB72" i="38"/>
  <c r="BF71" i="38"/>
  <c r="BG71" i="38" s="1"/>
  <c r="CJ77" i="38"/>
  <c r="CV72" i="38"/>
  <c r="CP77" i="38"/>
  <c r="DD72" i="38"/>
  <c r="DE72" i="38"/>
  <c r="DF72" i="38"/>
  <c r="DG72" i="38"/>
  <c r="DH72" i="38"/>
  <c r="DB96" i="38"/>
  <c r="DC96" i="38"/>
  <c r="DD96" i="38"/>
  <c r="DE96" i="38"/>
  <c r="DF96" i="38"/>
  <c r="DY77" i="38"/>
  <c r="DX77" i="38"/>
  <c r="CX95" i="38"/>
  <c r="CX96" i="38" s="1"/>
  <c r="DJ78" i="38"/>
  <c r="CY95" i="38"/>
  <c r="CY96" i="38" s="1"/>
  <c r="CZ95" i="38"/>
  <c r="CZ96" i="38" s="1"/>
  <c r="DA95" i="38"/>
  <c r="DA96" i="38" s="1"/>
  <c r="DG95" i="38"/>
  <c r="DG96" i="38" s="1"/>
  <c r="DH95" i="38"/>
  <c r="DH96" i="38" s="1"/>
  <c r="DI95" i="38"/>
  <c r="DI96" i="38" s="1"/>
  <c r="DL95" i="38"/>
  <c r="DL96" i="38" s="1"/>
  <c r="DY78" i="38"/>
  <c r="DX78" i="38"/>
  <c r="DM95" i="38"/>
  <c r="DM96" i="38" s="1"/>
  <c r="DN95" i="38"/>
  <c r="DN96" i="38" s="1"/>
  <c r="DO95" i="38"/>
  <c r="DO96" i="38" s="1"/>
  <c r="DP95" i="38"/>
  <c r="DP96" i="38" s="1"/>
  <c r="DQ95" i="38"/>
  <c r="DQ96" i="38" s="1"/>
  <c r="DR95" i="38"/>
  <c r="DR96" i="38" s="1"/>
  <c r="DS95" i="38"/>
  <c r="DS96" i="38" s="1"/>
  <c r="DT95" i="38"/>
  <c r="DT96" i="38" s="1"/>
  <c r="DU95" i="38"/>
  <c r="DU96" i="38" s="1"/>
  <c r="DV95" i="38"/>
  <c r="DV96" i="38" s="1"/>
  <c r="DW95" i="38"/>
  <c r="DW96" i="38" s="1"/>
  <c r="AF94" i="38"/>
  <c r="AF93" i="38"/>
  <c r="AR81" i="38"/>
  <c r="AG94" i="38"/>
  <c r="AG93" i="38"/>
  <c r="AH93" i="38"/>
  <c r="AI94" i="38"/>
  <c r="AI93" i="38"/>
  <c r="AJ94" i="38"/>
  <c r="AJ93" i="38"/>
  <c r="AK94" i="38"/>
  <c r="AK93" i="38"/>
  <c r="AL94" i="38"/>
  <c r="AL93" i="38"/>
  <c r="AM94" i="38"/>
  <c r="AN94" i="38"/>
  <c r="AO94" i="38"/>
  <c r="AO88" i="38"/>
  <c r="AP94" i="38"/>
  <c r="AP88" i="38"/>
  <c r="AQ94" i="38"/>
  <c r="AQ88" i="38"/>
  <c r="AT94" i="38"/>
  <c r="AT88" i="38"/>
  <c r="BF81" i="38"/>
  <c r="AU94" i="38"/>
  <c r="AU88" i="38"/>
  <c r="AV94" i="38"/>
  <c r="AV88" i="38"/>
  <c r="AW94" i="38"/>
  <c r="AW88" i="38"/>
  <c r="AX94" i="38"/>
  <c r="AX88" i="38"/>
  <c r="AY94" i="38"/>
  <c r="AY88" i="38"/>
  <c r="AZ94" i="38"/>
  <c r="AZ88" i="38"/>
  <c r="BA94" i="38"/>
  <c r="BA88" i="38"/>
  <c r="BB94" i="38"/>
  <c r="BB88" i="38"/>
  <c r="BC94" i="38"/>
  <c r="BC88" i="38"/>
  <c r="BH94" i="38"/>
  <c r="BT81" i="38"/>
  <c r="BI94" i="38"/>
  <c r="BJ94" i="38"/>
  <c r="BK94" i="38"/>
  <c r="BL94" i="38"/>
  <c r="BM94" i="38"/>
  <c r="BN94" i="38"/>
  <c r="BO94" i="38"/>
  <c r="BP94" i="38"/>
  <c r="BV87" i="38"/>
  <c r="CH81" i="38"/>
  <c r="CL84" i="38"/>
  <c r="CU98" i="38"/>
  <c r="CU93" i="38"/>
  <c r="CZ94" i="38"/>
  <c r="CZ84" i="38"/>
  <c r="DA94" i="38"/>
  <c r="DA84" i="38"/>
  <c r="BG84" i="38"/>
  <c r="BP85" i="38"/>
  <c r="BT84" i="38"/>
  <c r="CH84" i="38"/>
  <c r="BT85" i="38"/>
  <c r="BG86" i="38"/>
  <c r="CH86" i="38"/>
  <c r="CN89" i="38"/>
  <c r="CN96" i="38" s="1"/>
  <c r="CO88" i="38"/>
  <c r="AM93" i="38"/>
  <c r="AR90" i="38"/>
  <c r="AN93" i="38"/>
  <c r="AO93" i="38"/>
  <c r="AP93" i="38"/>
  <c r="AQ93" i="38"/>
  <c r="AT93" i="38"/>
  <c r="BF90" i="38"/>
  <c r="BG90" i="38" s="1"/>
  <c r="AU93" i="38"/>
  <c r="AV93" i="38"/>
  <c r="AW93" i="38"/>
  <c r="AX93" i="38"/>
  <c r="AY93" i="38"/>
  <c r="AZ93" i="38"/>
  <c r="BA93" i="38"/>
  <c r="BB93" i="38"/>
  <c r="BC93" i="38"/>
  <c r="BH93" i="38"/>
  <c r="BT90" i="38"/>
  <c r="BI93" i="38"/>
  <c r="BJ93" i="38"/>
  <c r="BK93" i="38"/>
  <c r="BL93" i="38"/>
  <c r="BM93" i="38"/>
  <c r="BN93" i="38"/>
  <c r="BO93" i="38"/>
  <c r="BP93" i="38"/>
  <c r="CB93" i="38"/>
  <c r="CH90" i="38"/>
  <c r="CC93" i="38"/>
  <c r="CD93" i="38"/>
  <c r="CG93" i="38"/>
  <c r="CK93" i="38"/>
  <c r="CL93" i="38"/>
  <c r="CZ90" i="38"/>
  <c r="CM93" i="38"/>
  <c r="DA90" i="38"/>
  <c r="DB93" i="38"/>
  <c r="DP90" i="38"/>
  <c r="DP93" i="38" s="1"/>
  <c r="DC93" i="38"/>
  <c r="DQ90" i="38"/>
  <c r="DQ93" i="38" s="1"/>
  <c r="DD93" i="38"/>
  <c r="DR90" i="38"/>
  <c r="DR93" i="38" s="1"/>
  <c r="DE93" i="38"/>
  <c r="DS90" i="38"/>
  <c r="DS93" i="38" s="1"/>
  <c r="DF93" i="38"/>
  <c r="DT90" i="38"/>
  <c r="DT93" i="38" s="1"/>
  <c r="DG93" i="38"/>
  <c r="DU90" i="38"/>
  <c r="DU93" i="38" s="1"/>
  <c r="DH93" i="38"/>
  <c r="DV90" i="38"/>
  <c r="DV93" i="38" s="1"/>
  <c r="DI93" i="38"/>
  <c r="DW90" i="38"/>
  <c r="DW93" i="38" s="1"/>
  <c r="DL93" i="38"/>
  <c r="DM93" i="38"/>
  <c r="DG21" i="37"/>
  <c r="BY86" i="37"/>
  <c r="BY84" i="37" s="1"/>
  <c r="BY81" i="37"/>
  <c r="BZ86" i="37"/>
  <c r="BZ84" i="37" s="1"/>
  <c r="BZ81" i="37"/>
  <c r="CA86" i="37"/>
  <c r="CA84" i="37" s="1"/>
  <c r="CA81" i="37"/>
  <c r="CB86" i="37"/>
  <c r="CB84" i="37" s="1"/>
  <c r="CB81" i="37"/>
  <c r="CC86" i="37"/>
  <c r="CC84" i="37" s="1"/>
  <c r="CC81" i="37"/>
  <c r="CD86" i="37"/>
  <c r="CD84" i="37" s="1"/>
  <c r="CD81" i="37"/>
  <c r="CE86" i="37"/>
  <c r="CE84" i="37" s="1"/>
  <c r="CE81" i="37"/>
  <c r="CF86" i="37"/>
  <c r="CF84" i="37" s="1"/>
  <c r="CF81" i="37"/>
  <c r="CG86" i="37"/>
  <c r="CG84" i="37" s="1"/>
  <c r="CG81" i="37"/>
  <c r="CJ86" i="37"/>
  <c r="CJ81" i="37"/>
  <c r="CK86" i="37"/>
  <c r="CK81" i="37"/>
  <c r="CM89" i="37"/>
  <c r="CM86" i="37"/>
  <c r="CM81" i="37"/>
  <c r="CN86" i="37"/>
  <c r="CN81" i="37"/>
  <c r="CO86" i="37"/>
  <c r="CO81" i="37"/>
  <c r="CP98" i="37"/>
  <c r="CP94" i="37"/>
  <c r="CP93" i="37"/>
  <c r="CQ98" i="37"/>
  <c r="CQ93" i="37"/>
  <c r="CR98" i="37"/>
  <c r="CR93" i="37"/>
  <c r="CT98" i="37"/>
  <c r="CT93" i="37"/>
  <c r="CT80" i="37"/>
  <c r="CX86" i="37"/>
  <c r="CX81" i="37"/>
  <c r="CY86" i="37"/>
  <c r="CY81" i="37"/>
  <c r="DB86" i="37"/>
  <c r="DB81" i="37"/>
  <c r="DC86" i="37"/>
  <c r="DC81" i="37"/>
  <c r="DD86" i="37"/>
  <c r="DD81" i="37"/>
  <c r="DE86" i="37"/>
  <c r="DE81" i="37"/>
  <c r="DF86" i="37"/>
  <c r="DF81" i="37"/>
  <c r="DG86" i="37"/>
  <c r="DG81" i="37"/>
  <c r="DH86" i="37"/>
  <c r="DH81" i="37"/>
  <c r="DI86" i="37"/>
  <c r="DI81" i="37"/>
  <c r="DL86" i="37"/>
  <c r="DL81" i="37"/>
  <c r="DM86" i="37"/>
  <c r="DM81" i="37"/>
  <c r="DN86" i="37"/>
  <c r="DN81" i="37"/>
  <c r="DO86" i="37"/>
  <c r="DO81" i="37"/>
  <c r="DP86" i="37"/>
  <c r="DP81" i="37"/>
  <c r="DQ86" i="37"/>
  <c r="DQ81" i="37"/>
  <c r="DR86" i="37"/>
  <c r="DR81" i="37"/>
  <c r="DS86" i="37"/>
  <c r="DS81" i="37"/>
  <c r="DT86" i="37"/>
  <c r="DT81" i="37"/>
  <c r="DU86" i="37"/>
  <c r="DU81" i="37"/>
  <c r="DV86" i="37"/>
  <c r="DV81" i="37"/>
  <c r="DW86" i="37"/>
  <c r="DW81" i="37"/>
  <c r="D33" i="37"/>
  <c r="D31" i="37"/>
  <c r="D30" i="37"/>
  <c r="E33" i="37"/>
  <c r="E31" i="37"/>
  <c r="E30" i="37"/>
  <c r="F33" i="37"/>
  <c r="F31" i="37"/>
  <c r="F30" i="37"/>
  <c r="G33" i="37"/>
  <c r="G31" i="37"/>
  <c r="G30" i="37"/>
  <c r="H33" i="37"/>
  <c r="H31" i="37"/>
  <c r="H30" i="37"/>
  <c r="I33" i="37"/>
  <c r="I31" i="37"/>
  <c r="I30" i="37"/>
  <c r="J33" i="37"/>
  <c r="J31" i="37"/>
  <c r="J30" i="37"/>
  <c r="K33" i="37"/>
  <c r="K31" i="37"/>
  <c r="K30" i="37"/>
  <c r="L33" i="37"/>
  <c r="L31" i="37"/>
  <c r="L30" i="37"/>
  <c r="M33" i="37"/>
  <c r="M31" i="37"/>
  <c r="M30" i="37"/>
  <c r="N33" i="37"/>
  <c r="N31" i="37"/>
  <c r="N30" i="37"/>
  <c r="O33" i="37"/>
  <c r="O31" i="37"/>
  <c r="P31" i="37" s="1"/>
  <c r="O30" i="37"/>
  <c r="P30" i="37" s="1"/>
  <c r="R33" i="37"/>
  <c r="R31" i="37"/>
  <c r="R30" i="37"/>
  <c r="S33" i="37"/>
  <c r="S31" i="37"/>
  <c r="S30" i="37"/>
  <c r="T33" i="37"/>
  <c r="T31" i="37"/>
  <c r="T30" i="37"/>
  <c r="U33" i="37"/>
  <c r="U31" i="37"/>
  <c r="U30" i="37"/>
  <c r="V33" i="37"/>
  <c r="V31" i="37"/>
  <c r="V30" i="37"/>
  <c r="W33" i="37"/>
  <c r="W31" i="37"/>
  <c r="W30" i="37"/>
  <c r="X33" i="37"/>
  <c r="X31" i="37"/>
  <c r="X30" i="37"/>
  <c r="Y33" i="37"/>
  <c r="Y31" i="37"/>
  <c r="Y30" i="37"/>
  <c r="Z33" i="37"/>
  <c r="Z31" i="37"/>
  <c r="Z30" i="37"/>
  <c r="AA33" i="37"/>
  <c r="AA31" i="37"/>
  <c r="AA30" i="37"/>
  <c r="AB33" i="37"/>
  <c r="AB31" i="37"/>
  <c r="AB30" i="37"/>
  <c r="AC31" i="37"/>
  <c r="AD31" i="37" s="1"/>
  <c r="AC30" i="37"/>
  <c r="AD30" i="37" s="1"/>
  <c r="AF33" i="37"/>
  <c r="AF32" i="37"/>
  <c r="AF66" i="37" s="1"/>
  <c r="AF31" i="37"/>
  <c r="AG33" i="37"/>
  <c r="AG31" i="37"/>
  <c r="AH33" i="37"/>
  <c r="AH32" i="37"/>
  <c r="AH66" i="37" s="1"/>
  <c r="AH31" i="37"/>
  <c r="AI33" i="37"/>
  <c r="AI32" i="37"/>
  <c r="AI66" i="37" s="1"/>
  <c r="AI31" i="37"/>
  <c r="AJ33" i="37"/>
  <c r="AJ32" i="37"/>
  <c r="AJ66" i="37" s="1"/>
  <c r="AJ31" i="37"/>
  <c r="AK33" i="37"/>
  <c r="AK32" i="37"/>
  <c r="AK66" i="37" s="1"/>
  <c r="AK31" i="37"/>
  <c r="AL33" i="37"/>
  <c r="AL32" i="37"/>
  <c r="AL66" i="37" s="1"/>
  <c r="AL31" i="37"/>
  <c r="AM33" i="37"/>
  <c r="AM32" i="37"/>
  <c r="AM66" i="37" s="1"/>
  <c r="AM31" i="37"/>
  <c r="AN33" i="37"/>
  <c r="AN32" i="37"/>
  <c r="AN66" i="37" s="1"/>
  <c r="AN31" i="37"/>
  <c r="AO33" i="37"/>
  <c r="AO32" i="37"/>
  <c r="AO66" i="37" s="1"/>
  <c r="AO31" i="37"/>
  <c r="AP33" i="37"/>
  <c r="AP32" i="37"/>
  <c r="AP66" i="37" s="1"/>
  <c r="AP31" i="37"/>
  <c r="AQ33" i="37"/>
  <c r="AR33" i="37" s="1"/>
  <c r="AQ32" i="37"/>
  <c r="AQ31" i="37"/>
  <c r="AR31" i="37" s="1"/>
  <c r="AR10" i="37"/>
  <c r="AT33" i="37"/>
  <c r="AT32" i="37"/>
  <c r="AT31" i="37"/>
  <c r="AU33" i="37"/>
  <c r="AU32" i="37"/>
  <c r="AU31" i="37"/>
  <c r="AV33" i="37"/>
  <c r="AV32" i="37"/>
  <c r="AV31" i="37"/>
  <c r="AW33" i="37"/>
  <c r="AW32" i="37"/>
  <c r="AW31" i="37"/>
  <c r="AX33" i="37"/>
  <c r="AX32" i="37"/>
  <c r="AX31" i="37"/>
  <c r="AY33" i="37"/>
  <c r="AY32" i="37"/>
  <c r="AY31" i="37"/>
  <c r="AZ33" i="37"/>
  <c r="AZ31" i="37"/>
  <c r="BA33" i="37"/>
  <c r="BA32" i="37"/>
  <c r="BA31" i="37"/>
  <c r="BB33" i="37"/>
  <c r="BB32" i="37"/>
  <c r="BB31" i="37"/>
  <c r="BC31" i="37" s="1"/>
  <c r="BD31" i="37" s="1"/>
  <c r="BE31" i="37" s="1"/>
  <c r="BF31" i="37" s="1"/>
  <c r="BC33" i="37"/>
  <c r="BC32" i="37"/>
  <c r="BD33" i="37"/>
  <c r="BD32" i="37"/>
  <c r="BE33" i="37"/>
  <c r="BF33" i="37" s="1"/>
  <c r="BE32" i="37"/>
  <c r="BF10" i="37"/>
  <c r="BH33" i="37"/>
  <c r="BH32" i="37"/>
  <c r="BH31" i="37"/>
  <c r="BI33" i="37"/>
  <c r="BI32" i="37"/>
  <c r="BI31" i="37"/>
  <c r="BJ33" i="37"/>
  <c r="BJ32" i="37"/>
  <c r="BJ31" i="37"/>
  <c r="BK33" i="37"/>
  <c r="BK32" i="37"/>
  <c r="BK31" i="37"/>
  <c r="BL33" i="37"/>
  <c r="BL32" i="37"/>
  <c r="BL31" i="37"/>
  <c r="BM33" i="37"/>
  <c r="BM32" i="37"/>
  <c r="BM31" i="37"/>
  <c r="BN33" i="37"/>
  <c r="BN32" i="37"/>
  <c r="BN31" i="37"/>
  <c r="BO33" i="37"/>
  <c r="BO31" i="37"/>
  <c r="BP33" i="37"/>
  <c r="BP31" i="37"/>
  <c r="BQ33" i="37"/>
  <c r="BQ31" i="37"/>
  <c r="BR33" i="37"/>
  <c r="BR31" i="37"/>
  <c r="BS33" i="37"/>
  <c r="BT33" i="37" s="1"/>
  <c r="BS31" i="37"/>
  <c r="BT31" i="37" s="1"/>
  <c r="BT10" i="37"/>
  <c r="CJ10" i="37"/>
  <c r="CS33" i="37"/>
  <c r="AQ30" i="37"/>
  <c r="AR30" i="37" s="1"/>
  <c r="AR29" i="37"/>
  <c r="AT30" i="37"/>
  <c r="BF30" i="37" s="1"/>
  <c r="BF29" i="37"/>
  <c r="BS30" i="37"/>
  <c r="BT30" i="37" s="1"/>
  <c r="BT29" i="37"/>
  <c r="CG30" i="37"/>
  <c r="CH30" i="37" s="1"/>
  <c r="CH29" i="37"/>
  <c r="R94" i="37"/>
  <c r="BV77" i="37"/>
  <c r="CH77" i="37" s="1"/>
  <c r="CH34" i="37"/>
  <c r="BH70" i="37"/>
  <c r="BH38" i="37"/>
  <c r="BT35" i="37"/>
  <c r="BT38" i="37" s="1"/>
  <c r="BI70" i="37"/>
  <c r="BI38" i="37"/>
  <c r="BJ70" i="37"/>
  <c r="BJ38" i="37"/>
  <c r="BK70" i="37"/>
  <c r="BK38" i="37"/>
  <c r="BL70" i="37"/>
  <c r="BL38" i="37"/>
  <c r="BM70" i="37"/>
  <c r="BM38" i="37"/>
  <c r="BN70" i="37"/>
  <c r="BN38" i="37"/>
  <c r="BO70" i="37"/>
  <c r="BO38" i="37"/>
  <c r="BP70" i="37"/>
  <c r="BP38" i="37"/>
  <c r="AN70" i="37"/>
  <c r="AR38" i="37"/>
  <c r="CK38" i="37"/>
  <c r="CL37" i="37"/>
  <c r="CQ38" i="37"/>
  <c r="CR37" i="37"/>
  <c r="AT70" i="37"/>
  <c r="BF70" i="37" s="1"/>
  <c r="BF38" i="37"/>
  <c r="BG38" i="37" s="1"/>
  <c r="BR64" i="37"/>
  <c r="CJ64" i="37"/>
  <c r="CJ39" i="37"/>
  <c r="CP64" i="37"/>
  <c r="CP39" i="37"/>
  <c r="CP40" i="37" s="1"/>
  <c r="DO38" i="37"/>
  <c r="DJ38" i="37"/>
  <c r="DX38" i="37"/>
  <c r="DY38" i="37" s="1"/>
  <c r="T62" i="37"/>
  <c r="T34" i="37" s="1"/>
  <c r="T94" i="37" s="1"/>
  <c r="AD41" i="37"/>
  <c r="BG41" i="37"/>
  <c r="BG42" i="37"/>
  <c r="BG43" i="37"/>
  <c r="S62" i="37"/>
  <c r="S34" i="37" s="1"/>
  <c r="AD44" i="37"/>
  <c r="BG44" i="37"/>
  <c r="BG45" i="37"/>
  <c r="BG46" i="37"/>
  <c r="BG47" i="37"/>
  <c r="BG48" i="37"/>
  <c r="BG49" i="37"/>
  <c r="AH62" i="37"/>
  <c r="AR50" i="37"/>
  <c r="BG50" i="37"/>
  <c r="BG51" i="37"/>
  <c r="BG52" i="37"/>
  <c r="BG53" i="37"/>
  <c r="BG54" i="37"/>
  <c r="BG55" i="37"/>
  <c r="BG56" i="37"/>
  <c r="BV62" i="37"/>
  <c r="CH56" i="37"/>
  <c r="BG57" i="37"/>
  <c r="BG58" i="37"/>
  <c r="BG59" i="37"/>
  <c r="BG61" i="37"/>
  <c r="AD62" i="37"/>
  <c r="AF72" i="37"/>
  <c r="AR62" i="37"/>
  <c r="AL72" i="37"/>
  <c r="AL64" i="37"/>
  <c r="AP72" i="37"/>
  <c r="AP64" i="37"/>
  <c r="AQ72" i="37"/>
  <c r="AQ64" i="37"/>
  <c r="AT72" i="37"/>
  <c r="BF62" i="37"/>
  <c r="BG62" i="37" s="1"/>
  <c r="BG65" i="37" s="1"/>
  <c r="BA72" i="37"/>
  <c r="BA63" i="37"/>
  <c r="BO66" i="37"/>
  <c r="BT64" i="37"/>
  <c r="BB66" i="37"/>
  <c r="BF65" i="37"/>
  <c r="BF66" i="37"/>
  <c r="BT66" i="37"/>
  <c r="AF73" i="37"/>
  <c r="AR68" i="37"/>
  <c r="AG73" i="37"/>
  <c r="AI73" i="37"/>
  <c r="AJ73" i="37"/>
  <c r="AK73" i="37"/>
  <c r="AL73" i="37"/>
  <c r="AM73" i="37"/>
  <c r="AN73" i="37"/>
  <c r="AO73" i="37"/>
  <c r="AP73" i="37"/>
  <c r="AQ73" i="37"/>
  <c r="AT73" i="37"/>
  <c r="BF68" i="37"/>
  <c r="BG68" i="37" s="1"/>
  <c r="AU73" i="37"/>
  <c r="AU74" i="37" s="1"/>
  <c r="AV73" i="37"/>
  <c r="AV74" i="37" s="1"/>
  <c r="AW73" i="37"/>
  <c r="AW74" i="37" s="1"/>
  <c r="AX73" i="37"/>
  <c r="AX74" i="37" s="1"/>
  <c r="AY73" i="37"/>
  <c r="AY74" i="37" s="1"/>
  <c r="AZ73" i="37"/>
  <c r="AZ74" i="37" s="1"/>
  <c r="BA73" i="37"/>
  <c r="BA74" i="37" s="1"/>
  <c r="BB73" i="37"/>
  <c r="BB74" i="37" s="1"/>
  <c r="BC73" i="37"/>
  <c r="BC74" i="37" s="1"/>
  <c r="BD73" i="37"/>
  <c r="BD74" i="37" s="1"/>
  <c r="BE73" i="37"/>
  <c r="BE74" i="37" s="1"/>
  <c r="BH73" i="37"/>
  <c r="BT68" i="37"/>
  <c r="BI73" i="37"/>
  <c r="BI74" i="37" s="1"/>
  <c r="BJ73" i="37"/>
  <c r="BJ74" i="37" s="1"/>
  <c r="BK73" i="37"/>
  <c r="BK74" i="37" s="1"/>
  <c r="BL73" i="37"/>
  <c r="BL74" i="37" s="1"/>
  <c r="BM73" i="37"/>
  <c r="BM74" i="37" s="1"/>
  <c r="BN73" i="37"/>
  <c r="BN74" i="37" s="1"/>
  <c r="BO73" i="37"/>
  <c r="BO74" i="37" s="1"/>
  <c r="BP73" i="37"/>
  <c r="BP74" i="37" s="1"/>
  <c r="BQ73" i="37"/>
  <c r="BQ74" i="37" s="1"/>
  <c r="BG69" i="37"/>
  <c r="AR70" i="37"/>
  <c r="BB72" i="37"/>
  <c r="BF71" i="37"/>
  <c r="BG71" i="37" s="1"/>
  <c r="CJ77" i="37"/>
  <c r="CV72" i="37"/>
  <c r="DB72" i="37"/>
  <c r="DC72" i="37"/>
  <c r="CP77" i="37"/>
  <c r="DD72" i="37"/>
  <c r="DE72" i="37"/>
  <c r="DF72" i="37"/>
  <c r="DG72" i="37"/>
  <c r="DH72" i="37"/>
  <c r="DO72" i="37"/>
  <c r="DJ72" i="37"/>
  <c r="DB96" i="37"/>
  <c r="DC96" i="37"/>
  <c r="DD96" i="37"/>
  <c r="DE96" i="37"/>
  <c r="DF96" i="37"/>
  <c r="DY77" i="37"/>
  <c r="DX77" i="37"/>
  <c r="CX95" i="37"/>
  <c r="CX96" i="37" s="1"/>
  <c r="DJ78" i="37"/>
  <c r="CY95" i="37"/>
  <c r="CY96" i="37" s="1"/>
  <c r="CZ95" i="37"/>
  <c r="CZ96" i="37" s="1"/>
  <c r="DA95" i="37"/>
  <c r="DA96" i="37" s="1"/>
  <c r="DG95" i="37"/>
  <c r="DG96" i="37" s="1"/>
  <c r="DH95" i="37"/>
  <c r="DH96" i="37" s="1"/>
  <c r="DI95" i="37"/>
  <c r="DI96" i="37" s="1"/>
  <c r="DL95" i="37"/>
  <c r="DL96" i="37" s="1"/>
  <c r="DY78" i="37"/>
  <c r="DX78" i="37"/>
  <c r="DM95" i="37"/>
  <c r="DM96" i="37" s="1"/>
  <c r="DN95" i="37"/>
  <c r="DN96" i="37" s="1"/>
  <c r="DO95" i="37"/>
  <c r="DO96" i="37" s="1"/>
  <c r="DP95" i="37"/>
  <c r="DP96" i="37" s="1"/>
  <c r="DQ95" i="37"/>
  <c r="DQ96" i="37" s="1"/>
  <c r="DR95" i="37"/>
  <c r="DR96" i="37" s="1"/>
  <c r="DS95" i="37"/>
  <c r="DS96" i="37" s="1"/>
  <c r="DT95" i="37"/>
  <c r="DT96" i="37" s="1"/>
  <c r="DU95" i="37"/>
  <c r="DU96" i="37" s="1"/>
  <c r="DV95" i="37"/>
  <c r="DV96" i="37" s="1"/>
  <c r="DW95" i="37"/>
  <c r="DW96" i="37" s="1"/>
  <c r="AF94" i="37"/>
  <c r="AF93" i="37"/>
  <c r="AR81" i="37"/>
  <c r="AG94" i="37"/>
  <c r="AG93" i="37"/>
  <c r="AH93" i="37"/>
  <c r="AI94" i="37"/>
  <c r="AI93" i="37"/>
  <c r="AJ94" i="37"/>
  <c r="AJ93" i="37"/>
  <c r="AK94" i="37"/>
  <c r="AK93" i="37"/>
  <c r="AL94" i="37"/>
  <c r="AL93" i="37"/>
  <c r="AM94" i="37"/>
  <c r="AN94" i="37"/>
  <c r="AO94" i="37"/>
  <c r="AO88" i="37"/>
  <c r="AP94" i="37"/>
  <c r="AP88" i="37"/>
  <c r="AQ94" i="37"/>
  <c r="AQ88" i="37"/>
  <c r="AT94" i="37"/>
  <c r="AT88" i="37"/>
  <c r="BF81" i="37"/>
  <c r="AU94" i="37"/>
  <c r="AU88" i="37"/>
  <c r="AV94" i="37"/>
  <c r="AV88" i="37"/>
  <c r="AW94" i="37"/>
  <c r="AW88" i="37"/>
  <c r="AX94" i="37"/>
  <c r="AX88" i="37"/>
  <c r="AY94" i="37"/>
  <c r="AY88" i="37"/>
  <c r="AZ94" i="37"/>
  <c r="AZ88" i="37"/>
  <c r="BA94" i="37"/>
  <c r="BA88" i="37"/>
  <c r="BB94" i="37"/>
  <c r="BB88" i="37"/>
  <c r="BC94" i="37"/>
  <c r="BC88" i="37"/>
  <c r="BH94" i="37"/>
  <c r="BT81" i="37"/>
  <c r="BI94" i="37"/>
  <c r="BJ94" i="37"/>
  <c r="BK94" i="37"/>
  <c r="BL94" i="37"/>
  <c r="BM94" i="37"/>
  <c r="BN94" i="37"/>
  <c r="BO94" i="37"/>
  <c r="BP94" i="37"/>
  <c r="BV87" i="37"/>
  <c r="CH81" i="37"/>
  <c r="CL84" i="37"/>
  <c r="CU98" i="37"/>
  <c r="CU93" i="37"/>
  <c r="CZ94" i="37"/>
  <c r="CZ84" i="37"/>
  <c r="DA94" i="37"/>
  <c r="DA84" i="37"/>
  <c r="BG84" i="37"/>
  <c r="BP85" i="37"/>
  <c r="BT84" i="37"/>
  <c r="CH84" i="37"/>
  <c r="BT85" i="37"/>
  <c r="BG86" i="37"/>
  <c r="CH86" i="37"/>
  <c r="CN89" i="37"/>
  <c r="CN96" i="37" s="1"/>
  <c r="CO88" i="37"/>
  <c r="AM93" i="37"/>
  <c r="AR90" i="37"/>
  <c r="AN93" i="37"/>
  <c r="AO93" i="37"/>
  <c r="AP93" i="37"/>
  <c r="AQ93" i="37"/>
  <c r="AT93" i="37"/>
  <c r="BF90" i="37"/>
  <c r="BG90" i="37" s="1"/>
  <c r="AU93" i="37"/>
  <c r="AV93" i="37"/>
  <c r="AW93" i="37"/>
  <c r="AX93" i="37"/>
  <c r="AY93" i="37"/>
  <c r="AZ93" i="37"/>
  <c r="BA93" i="37"/>
  <c r="BB93" i="37"/>
  <c r="BC93" i="37"/>
  <c r="BH93" i="37"/>
  <c r="BT90" i="37"/>
  <c r="BI93" i="37"/>
  <c r="BJ93" i="37"/>
  <c r="BK93" i="37"/>
  <c r="BL93" i="37"/>
  <c r="BM93" i="37"/>
  <c r="BN93" i="37"/>
  <c r="BO93" i="37"/>
  <c r="BP93" i="37"/>
  <c r="CB93" i="37"/>
  <c r="CH90" i="37"/>
  <c r="CC93" i="37"/>
  <c r="CD93" i="37"/>
  <c r="CG93" i="37"/>
  <c r="CK93" i="37"/>
  <c r="CL93" i="37"/>
  <c r="CZ90" i="37"/>
  <c r="CM93" i="37"/>
  <c r="DA90" i="37"/>
  <c r="DB93" i="37"/>
  <c r="DP90" i="37"/>
  <c r="DP93" i="37" s="1"/>
  <c r="DC93" i="37"/>
  <c r="DQ90" i="37"/>
  <c r="DQ93" i="37" s="1"/>
  <c r="DD93" i="37"/>
  <c r="DR90" i="37"/>
  <c r="DR93" i="37" s="1"/>
  <c r="DE93" i="37"/>
  <c r="DS90" i="37"/>
  <c r="DS93" i="37" s="1"/>
  <c r="DF93" i="37"/>
  <c r="DT90" i="37"/>
  <c r="DT93" i="37" s="1"/>
  <c r="DG93" i="37"/>
  <c r="DU90" i="37"/>
  <c r="DU93" i="37" s="1"/>
  <c r="DH93" i="37"/>
  <c r="DV90" i="37"/>
  <c r="DV93" i="37" s="1"/>
  <c r="DI93" i="37"/>
  <c r="DW90" i="37"/>
  <c r="DW93" i="37" s="1"/>
  <c r="DL93" i="37"/>
  <c r="DM93" i="37"/>
  <c r="BY86" i="35"/>
  <c r="BY84" i="35" s="1"/>
  <c r="BY81" i="35"/>
  <c r="BZ86" i="35"/>
  <c r="BZ84" i="35" s="1"/>
  <c r="BZ81" i="35"/>
  <c r="CA86" i="35"/>
  <c r="CA84" i="35" s="1"/>
  <c r="CA81" i="35"/>
  <c r="CB86" i="35"/>
  <c r="CB84" i="35" s="1"/>
  <c r="CB81" i="35"/>
  <c r="CC86" i="35"/>
  <c r="CC84" i="35" s="1"/>
  <c r="CC81" i="35"/>
  <c r="CD86" i="35"/>
  <c r="CD84" i="35" s="1"/>
  <c r="CD81" i="35"/>
  <c r="CE86" i="35"/>
  <c r="CE84" i="35" s="1"/>
  <c r="CE81" i="35"/>
  <c r="CF86" i="35"/>
  <c r="CF84" i="35" s="1"/>
  <c r="CF81" i="35"/>
  <c r="CG86" i="35"/>
  <c r="CG84" i="35" s="1"/>
  <c r="CG81" i="35"/>
  <c r="CJ86" i="35"/>
  <c r="CJ81" i="35"/>
  <c r="CK86" i="35"/>
  <c r="CK81" i="35"/>
  <c r="CM89" i="35"/>
  <c r="CM86" i="35"/>
  <c r="CM81" i="35"/>
  <c r="CN86" i="35"/>
  <c r="CN81" i="35"/>
  <c r="CO86" i="35"/>
  <c r="CO81" i="35"/>
  <c r="CP98" i="35"/>
  <c r="CP94" i="35"/>
  <c r="CP93" i="35"/>
  <c r="CQ98" i="35"/>
  <c r="CQ93" i="35"/>
  <c r="CR98" i="35"/>
  <c r="CR93" i="35"/>
  <c r="CT98" i="35"/>
  <c r="CT93" i="35"/>
  <c r="CT80" i="35"/>
  <c r="CX86" i="35"/>
  <c r="CX81" i="35"/>
  <c r="CY86" i="35"/>
  <c r="CY81" i="35"/>
  <c r="DB86" i="35"/>
  <c r="DB81" i="35"/>
  <c r="DC86" i="35"/>
  <c r="DC81" i="35"/>
  <c r="DD86" i="35"/>
  <c r="DD81" i="35"/>
  <c r="DE86" i="35"/>
  <c r="DE81" i="35"/>
  <c r="DF86" i="35"/>
  <c r="DF81" i="35"/>
  <c r="DG86" i="35"/>
  <c r="DG81" i="35"/>
  <c r="DH86" i="35"/>
  <c r="DH81" i="35"/>
  <c r="DI86" i="35"/>
  <c r="DI81" i="35"/>
  <c r="DL86" i="35"/>
  <c r="DL81" i="35"/>
  <c r="DM86" i="35"/>
  <c r="DM81" i="35"/>
  <c r="DN86" i="35"/>
  <c r="DN81" i="35"/>
  <c r="DO86" i="35"/>
  <c r="DO81" i="35"/>
  <c r="DP86" i="35"/>
  <c r="DP81" i="35"/>
  <c r="DQ86" i="35"/>
  <c r="DQ81" i="35"/>
  <c r="DR86" i="35"/>
  <c r="DR81" i="35"/>
  <c r="DS86" i="35"/>
  <c r="DS81" i="35"/>
  <c r="DT86" i="35"/>
  <c r="DT81" i="35"/>
  <c r="DU86" i="35"/>
  <c r="DU81" i="35"/>
  <c r="DV86" i="35"/>
  <c r="DV81" i="35"/>
  <c r="DW86" i="35"/>
  <c r="DW81" i="35"/>
  <c r="D33" i="35"/>
  <c r="D31" i="35"/>
  <c r="D30" i="35"/>
  <c r="E33" i="35"/>
  <c r="E31" i="35"/>
  <c r="E30" i="35"/>
  <c r="F33" i="35"/>
  <c r="F31" i="35"/>
  <c r="F30" i="35"/>
  <c r="G33" i="35"/>
  <c r="G31" i="35"/>
  <c r="G30" i="35"/>
  <c r="H33" i="35"/>
  <c r="H31" i="35"/>
  <c r="H30" i="35"/>
  <c r="I33" i="35"/>
  <c r="I31" i="35"/>
  <c r="I30" i="35"/>
  <c r="J33" i="35"/>
  <c r="J31" i="35"/>
  <c r="J30" i="35"/>
  <c r="K33" i="35"/>
  <c r="K31" i="35"/>
  <c r="K30" i="35"/>
  <c r="L33" i="35"/>
  <c r="L31" i="35"/>
  <c r="L30" i="35"/>
  <c r="M33" i="35"/>
  <c r="M31" i="35"/>
  <c r="M30" i="35"/>
  <c r="N33" i="35"/>
  <c r="N31" i="35"/>
  <c r="N30" i="35"/>
  <c r="O33" i="35"/>
  <c r="O31" i="35"/>
  <c r="P31" i="35" s="1"/>
  <c r="O30" i="35"/>
  <c r="P30" i="35" s="1"/>
  <c r="R33" i="35"/>
  <c r="R31" i="35"/>
  <c r="R30" i="35"/>
  <c r="S33" i="35"/>
  <c r="S31" i="35"/>
  <c r="S30" i="35"/>
  <c r="T33" i="35"/>
  <c r="T31" i="35"/>
  <c r="T30" i="35"/>
  <c r="U33" i="35"/>
  <c r="U31" i="35"/>
  <c r="U30" i="35"/>
  <c r="V33" i="35"/>
  <c r="V31" i="35"/>
  <c r="V30" i="35"/>
  <c r="W33" i="35"/>
  <c r="W31" i="35"/>
  <c r="W30" i="35"/>
  <c r="X33" i="35"/>
  <c r="X31" i="35"/>
  <c r="X30" i="35"/>
  <c r="Y33" i="35"/>
  <c r="Y31" i="35"/>
  <c r="Y30" i="35"/>
  <c r="Z33" i="35"/>
  <c r="Z31" i="35"/>
  <c r="Z30" i="35"/>
  <c r="AA33" i="35"/>
  <c r="AA31" i="35"/>
  <c r="AA30" i="35"/>
  <c r="AB33" i="35"/>
  <c r="AB31" i="35"/>
  <c r="AB30" i="35"/>
  <c r="AC31" i="35"/>
  <c r="AD31" i="35" s="1"/>
  <c r="AC30" i="35"/>
  <c r="AD30" i="35" s="1"/>
  <c r="AF33" i="35"/>
  <c r="AF32" i="35"/>
  <c r="AF66" i="35" s="1"/>
  <c r="AF31" i="35"/>
  <c r="AG33" i="35"/>
  <c r="AG31" i="35"/>
  <c r="AH33" i="35"/>
  <c r="AH32" i="35"/>
  <c r="AH66" i="35" s="1"/>
  <c r="AH31" i="35"/>
  <c r="AI33" i="35"/>
  <c r="AI32" i="35"/>
  <c r="AI66" i="35" s="1"/>
  <c r="AI31" i="35"/>
  <c r="AJ33" i="35"/>
  <c r="AJ32" i="35"/>
  <c r="AJ66" i="35" s="1"/>
  <c r="AJ31" i="35"/>
  <c r="AK33" i="35"/>
  <c r="AK32" i="35"/>
  <c r="AK66" i="35" s="1"/>
  <c r="AK31" i="35"/>
  <c r="AL33" i="35"/>
  <c r="AL32" i="35"/>
  <c r="AL66" i="35" s="1"/>
  <c r="AL31" i="35"/>
  <c r="AM33" i="35"/>
  <c r="AM32" i="35"/>
  <c r="AM66" i="35" s="1"/>
  <c r="AM31" i="35"/>
  <c r="AN33" i="35"/>
  <c r="AN32" i="35"/>
  <c r="AN66" i="35" s="1"/>
  <c r="AN31" i="35"/>
  <c r="AO33" i="35"/>
  <c r="AO32" i="35"/>
  <c r="AO66" i="35" s="1"/>
  <c r="AO31" i="35"/>
  <c r="AP33" i="35"/>
  <c r="AP32" i="35"/>
  <c r="AP66" i="35" s="1"/>
  <c r="AP31" i="35"/>
  <c r="AQ33" i="35"/>
  <c r="AR33" i="35" s="1"/>
  <c r="AQ32" i="35"/>
  <c r="AQ31" i="35"/>
  <c r="AR31" i="35" s="1"/>
  <c r="AR10" i="35"/>
  <c r="AT33" i="35"/>
  <c r="AT32" i="35"/>
  <c r="AT31" i="35"/>
  <c r="AU33" i="35"/>
  <c r="AU32" i="35"/>
  <c r="AU31" i="35"/>
  <c r="AV33" i="35"/>
  <c r="AV32" i="35"/>
  <c r="AV31" i="35"/>
  <c r="AW33" i="35"/>
  <c r="AW32" i="35"/>
  <c r="AW31" i="35"/>
  <c r="AX33" i="35"/>
  <c r="AX32" i="35"/>
  <c r="AX31" i="35"/>
  <c r="AY33" i="35"/>
  <c r="AY32" i="35"/>
  <c r="AY31" i="35"/>
  <c r="AZ33" i="35"/>
  <c r="AZ31" i="35"/>
  <c r="BA33" i="35"/>
  <c r="BA32" i="35"/>
  <c r="BA31" i="35"/>
  <c r="BB33" i="35"/>
  <c r="BB32" i="35"/>
  <c r="BB31" i="35"/>
  <c r="BC31" i="35" s="1"/>
  <c r="BD31" i="35" s="1"/>
  <c r="BE31" i="35" s="1"/>
  <c r="BF31" i="35" s="1"/>
  <c r="BC33" i="35"/>
  <c r="BC32" i="35"/>
  <c r="BD33" i="35"/>
  <c r="BD32" i="35"/>
  <c r="BE33" i="35"/>
  <c r="BF33" i="35" s="1"/>
  <c r="BE32" i="35"/>
  <c r="BF10" i="35"/>
  <c r="BH33" i="35"/>
  <c r="BH32" i="35"/>
  <c r="BH31" i="35"/>
  <c r="BI33" i="35"/>
  <c r="BI32" i="35"/>
  <c r="BI31" i="35"/>
  <c r="BJ33" i="35"/>
  <c r="BJ32" i="35"/>
  <c r="BJ31" i="35"/>
  <c r="BK33" i="35"/>
  <c r="BK32" i="35"/>
  <c r="BK31" i="35"/>
  <c r="BL33" i="35"/>
  <c r="BL32" i="35"/>
  <c r="BL31" i="35"/>
  <c r="BM33" i="35"/>
  <c r="BM32" i="35"/>
  <c r="BM31" i="35"/>
  <c r="BN33" i="35"/>
  <c r="BN32" i="35"/>
  <c r="BN31" i="35"/>
  <c r="BO33" i="35"/>
  <c r="BO31" i="35"/>
  <c r="BP33" i="35"/>
  <c r="BP31" i="35"/>
  <c r="BQ33" i="35"/>
  <c r="BQ31" i="35"/>
  <c r="BR33" i="35"/>
  <c r="BR31" i="35"/>
  <c r="BS33" i="35"/>
  <c r="BT33" i="35" s="1"/>
  <c r="BS31" i="35"/>
  <c r="BT31" i="35" s="1"/>
  <c r="BT10" i="35"/>
  <c r="CJ10" i="35"/>
  <c r="CS33" i="35"/>
  <c r="DB20" i="35"/>
  <c r="AQ30" i="35"/>
  <c r="AR30" i="35" s="1"/>
  <c r="AR29" i="35"/>
  <c r="AT30" i="35"/>
  <c r="BF30" i="35" s="1"/>
  <c r="BF29" i="35"/>
  <c r="BS30" i="35"/>
  <c r="BT30" i="35" s="1"/>
  <c r="BT29" i="35"/>
  <c r="CG30" i="35"/>
  <c r="CH30" i="35" s="1"/>
  <c r="CH29" i="35"/>
  <c r="R94" i="35"/>
  <c r="BV77" i="35"/>
  <c r="CH77" i="35" s="1"/>
  <c r="CH34" i="35"/>
  <c r="BH70" i="35"/>
  <c r="BH38" i="35"/>
  <c r="BT35" i="35"/>
  <c r="BT38" i="35" s="1"/>
  <c r="BI70" i="35"/>
  <c r="BI38" i="35"/>
  <c r="BJ70" i="35"/>
  <c r="BJ38" i="35"/>
  <c r="BK70" i="35"/>
  <c r="BK38" i="35"/>
  <c r="BL70" i="35"/>
  <c r="BL38" i="35"/>
  <c r="BM70" i="35"/>
  <c r="BM38" i="35"/>
  <c r="BN70" i="35"/>
  <c r="BN38" i="35"/>
  <c r="BO70" i="35"/>
  <c r="BO38" i="35"/>
  <c r="BP70" i="35"/>
  <c r="BP38" i="35"/>
  <c r="AN70" i="35"/>
  <c r="AR38" i="35"/>
  <c r="CK38" i="35"/>
  <c r="CL37" i="35"/>
  <c r="CQ38" i="35"/>
  <c r="CR37" i="35"/>
  <c r="AT70" i="35"/>
  <c r="BF70" i="35" s="1"/>
  <c r="BF38" i="35"/>
  <c r="BG38" i="35" s="1"/>
  <c r="BR64" i="35"/>
  <c r="CJ64" i="35"/>
  <c r="CJ39" i="35"/>
  <c r="CP64" i="35"/>
  <c r="CP39" i="35"/>
  <c r="CP40" i="35" s="1"/>
  <c r="DO38" i="35"/>
  <c r="DJ38" i="35"/>
  <c r="DX38" i="35"/>
  <c r="DY38" i="35" s="1"/>
  <c r="T62" i="35"/>
  <c r="T34" i="35" s="1"/>
  <c r="T94" i="35" s="1"/>
  <c r="AD41" i="35"/>
  <c r="BG41" i="35"/>
  <c r="BG42" i="35"/>
  <c r="BG43" i="35"/>
  <c r="S62" i="35"/>
  <c r="S34" i="35" s="1"/>
  <c r="AD44" i="35"/>
  <c r="BG44" i="35"/>
  <c r="BG45" i="35"/>
  <c r="BG46" i="35"/>
  <c r="BG47" i="35"/>
  <c r="BG48" i="35"/>
  <c r="BG49" i="35"/>
  <c r="AH62" i="35"/>
  <c r="AR50" i="35"/>
  <c r="BG50" i="35"/>
  <c r="BG51" i="35"/>
  <c r="BG52" i="35"/>
  <c r="BG53" i="35"/>
  <c r="BG54" i="35"/>
  <c r="BG55" i="35"/>
  <c r="BG56" i="35"/>
  <c r="BV62" i="35"/>
  <c r="CH56" i="35"/>
  <c r="BG57" i="35"/>
  <c r="BG58" i="35"/>
  <c r="BG59" i="35"/>
  <c r="BG61" i="35"/>
  <c r="AD62" i="35"/>
  <c r="AF72" i="35"/>
  <c r="AR62" i="35"/>
  <c r="AL72" i="35"/>
  <c r="AL64" i="35"/>
  <c r="AP72" i="35"/>
  <c r="AP64" i="35"/>
  <c r="AQ72" i="35"/>
  <c r="AQ64" i="35"/>
  <c r="AT72" i="35"/>
  <c r="BF62" i="35"/>
  <c r="BG62" i="35" s="1"/>
  <c r="BG65" i="35" s="1"/>
  <c r="BA72" i="35"/>
  <c r="BA63" i="35"/>
  <c r="BO66" i="35"/>
  <c r="BT64" i="35"/>
  <c r="BB66" i="35"/>
  <c r="BF65" i="35"/>
  <c r="BF66" i="35"/>
  <c r="BT66" i="35"/>
  <c r="AF73" i="35"/>
  <c r="AR68" i="35"/>
  <c r="AG73" i="35"/>
  <c r="AI73" i="35"/>
  <c r="AJ73" i="35"/>
  <c r="AK73" i="35"/>
  <c r="AL73" i="35"/>
  <c r="AM73" i="35"/>
  <c r="AN73" i="35"/>
  <c r="AO73" i="35"/>
  <c r="AP73" i="35"/>
  <c r="AQ73" i="35"/>
  <c r="AT73" i="35"/>
  <c r="BF68" i="35"/>
  <c r="BG68" i="35" s="1"/>
  <c r="AU73" i="35"/>
  <c r="AU74" i="35" s="1"/>
  <c r="AV73" i="35"/>
  <c r="AV74" i="35" s="1"/>
  <c r="AW73" i="35"/>
  <c r="AW74" i="35" s="1"/>
  <c r="AX73" i="35"/>
  <c r="AX74" i="35" s="1"/>
  <c r="AY73" i="35"/>
  <c r="AY74" i="35" s="1"/>
  <c r="AZ73" i="35"/>
  <c r="AZ74" i="35" s="1"/>
  <c r="BA73" i="35"/>
  <c r="BA74" i="35" s="1"/>
  <c r="BB73" i="35"/>
  <c r="BB74" i="35" s="1"/>
  <c r="BC73" i="35"/>
  <c r="BC74" i="35" s="1"/>
  <c r="BD73" i="35"/>
  <c r="BD74" i="35" s="1"/>
  <c r="BE73" i="35"/>
  <c r="BE74" i="35" s="1"/>
  <c r="BH73" i="35"/>
  <c r="BT68" i="35"/>
  <c r="BI73" i="35"/>
  <c r="BI74" i="35" s="1"/>
  <c r="BJ73" i="35"/>
  <c r="BJ74" i="35" s="1"/>
  <c r="BK73" i="35"/>
  <c r="BK74" i="35" s="1"/>
  <c r="BL73" i="35"/>
  <c r="BL74" i="35" s="1"/>
  <c r="BM73" i="35"/>
  <c r="BM74" i="35" s="1"/>
  <c r="BN73" i="35"/>
  <c r="BN74" i="35" s="1"/>
  <c r="BO73" i="35"/>
  <c r="BO74" i="35" s="1"/>
  <c r="BP73" i="35"/>
  <c r="BP74" i="35" s="1"/>
  <c r="BQ73" i="35"/>
  <c r="BQ74" i="35" s="1"/>
  <c r="BG69" i="35"/>
  <c r="AR70" i="35"/>
  <c r="BB72" i="35"/>
  <c r="BF71" i="35"/>
  <c r="BG71" i="35" s="1"/>
  <c r="CJ77" i="35"/>
  <c r="CV72" i="35"/>
  <c r="DB72" i="35"/>
  <c r="DC72" i="35"/>
  <c r="CP77" i="35"/>
  <c r="DD72" i="35"/>
  <c r="DE72" i="35"/>
  <c r="DF72" i="35"/>
  <c r="DG72" i="35"/>
  <c r="DH72" i="35"/>
  <c r="DO72" i="35"/>
  <c r="DJ72" i="35"/>
  <c r="DJ77" i="35"/>
  <c r="DB96" i="35"/>
  <c r="DC96" i="35"/>
  <c r="DD96" i="35"/>
  <c r="DE96" i="35"/>
  <c r="DF96" i="35"/>
  <c r="DY77" i="35"/>
  <c r="DX77" i="35"/>
  <c r="CX95" i="35"/>
  <c r="CX96" i="35" s="1"/>
  <c r="DJ78" i="35"/>
  <c r="CY95" i="35"/>
  <c r="CY96" i="35" s="1"/>
  <c r="CZ95" i="35"/>
  <c r="CZ96" i="35" s="1"/>
  <c r="DA95" i="35"/>
  <c r="DA96" i="35" s="1"/>
  <c r="DG95" i="35"/>
  <c r="DG96" i="35" s="1"/>
  <c r="DH95" i="35"/>
  <c r="DH96" i="35" s="1"/>
  <c r="DI95" i="35"/>
  <c r="DI96" i="35" s="1"/>
  <c r="DL95" i="35"/>
  <c r="DL96" i="35" s="1"/>
  <c r="DY78" i="35"/>
  <c r="DX78" i="35"/>
  <c r="DM95" i="35"/>
  <c r="DM96" i="35" s="1"/>
  <c r="DN95" i="35"/>
  <c r="DN96" i="35" s="1"/>
  <c r="DO95" i="35"/>
  <c r="DO96" i="35" s="1"/>
  <c r="DP95" i="35"/>
  <c r="DP96" i="35" s="1"/>
  <c r="DQ95" i="35"/>
  <c r="DQ96" i="35" s="1"/>
  <c r="DR95" i="35"/>
  <c r="DR96" i="35" s="1"/>
  <c r="DS95" i="35"/>
  <c r="DS96" i="35" s="1"/>
  <c r="DT95" i="35"/>
  <c r="DT96" i="35" s="1"/>
  <c r="DU95" i="35"/>
  <c r="DU96" i="35" s="1"/>
  <c r="DV95" i="35"/>
  <c r="DV96" i="35" s="1"/>
  <c r="DW95" i="35"/>
  <c r="DW96" i="35" s="1"/>
  <c r="AF94" i="35"/>
  <c r="AF93" i="35"/>
  <c r="AR81" i="35"/>
  <c r="AG94" i="35"/>
  <c r="AG93" i="35"/>
  <c r="AH93" i="35"/>
  <c r="AI94" i="35"/>
  <c r="AI93" i="35"/>
  <c r="AJ94" i="35"/>
  <c r="AJ93" i="35"/>
  <c r="AK94" i="35"/>
  <c r="AK93" i="35"/>
  <c r="AL94" i="35"/>
  <c r="AL93" i="35"/>
  <c r="AM94" i="35"/>
  <c r="AN94" i="35"/>
  <c r="AO94" i="35"/>
  <c r="AO88" i="35"/>
  <c r="AP94" i="35"/>
  <c r="AP88" i="35"/>
  <c r="AQ94" i="35"/>
  <c r="AQ88" i="35"/>
  <c r="AT94" i="35"/>
  <c r="AT88" i="35"/>
  <c r="BF81" i="35"/>
  <c r="AU94" i="35"/>
  <c r="AU88" i="35"/>
  <c r="AV94" i="35"/>
  <c r="AV88" i="35"/>
  <c r="AW94" i="35"/>
  <c r="AW88" i="35"/>
  <c r="AX94" i="35"/>
  <c r="AX88" i="35"/>
  <c r="AY94" i="35"/>
  <c r="AY88" i="35"/>
  <c r="AZ94" i="35"/>
  <c r="AZ88" i="35"/>
  <c r="BA94" i="35"/>
  <c r="BA88" i="35"/>
  <c r="BB94" i="35"/>
  <c r="BB88" i="35"/>
  <c r="BC94" i="35"/>
  <c r="BC88" i="35"/>
  <c r="BH94" i="35"/>
  <c r="BT81" i="35"/>
  <c r="BI94" i="35"/>
  <c r="BJ94" i="35"/>
  <c r="BK94" i="35"/>
  <c r="BL94" i="35"/>
  <c r="BM94" i="35"/>
  <c r="BN94" i="35"/>
  <c r="BO94" i="35"/>
  <c r="BP94" i="35"/>
  <c r="BV87" i="35"/>
  <c r="CH81" i="35"/>
  <c r="CL84" i="35"/>
  <c r="CU98" i="35"/>
  <c r="CU93" i="35"/>
  <c r="CZ94" i="35"/>
  <c r="CZ84" i="35"/>
  <c r="DA94" i="35"/>
  <c r="DA84" i="35"/>
  <c r="BG84" i="35"/>
  <c r="BP85" i="35"/>
  <c r="BT84" i="35"/>
  <c r="CH84" i="35"/>
  <c r="BT85" i="35"/>
  <c r="BG86" i="35"/>
  <c r="CH86" i="35"/>
  <c r="CN89" i="35"/>
  <c r="CN96" i="35" s="1"/>
  <c r="CO88" i="35"/>
  <c r="AM93" i="35"/>
  <c r="AR90" i="35"/>
  <c r="AN93" i="35"/>
  <c r="AO93" i="35"/>
  <c r="AP93" i="35"/>
  <c r="AQ93" i="35"/>
  <c r="AT93" i="35"/>
  <c r="BF90" i="35"/>
  <c r="BG90" i="35" s="1"/>
  <c r="AU93" i="35"/>
  <c r="AV93" i="35"/>
  <c r="AW93" i="35"/>
  <c r="AX93" i="35"/>
  <c r="AY93" i="35"/>
  <c r="AZ93" i="35"/>
  <c r="BA93" i="35"/>
  <c r="BB93" i="35"/>
  <c r="BC93" i="35"/>
  <c r="BH93" i="35"/>
  <c r="BT90" i="35"/>
  <c r="BI93" i="35"/>
  <c r="BJ93" i="35"/>
  <c r="BK93" i="35"/>
  <c r="BL93" i="35"/>
  <c r="BM93" i="35"/>
  <c r="BN93" i="35"/>
  <c r="BO93" i="35"/>
  <c r="BP93" i="35"/>
  <c r="CB93" i="35"/>
  <c r="CH90" i="35"/>
  <c r="CC93" i="35"/>
  <c r="CD93" i="35"/>
  <c r="CG93" i="35"/>
  <c r="CK93" i="35"/>
  <c r="CL93" i="35"/>
  <c r="CZ90" i="35"/>
  <c r="CM93" i="35"/>
  <c r="DA90" i="35"/>
  <c r="DB93" i="35"/>
  <c r="DP90" i="35"/>
  <c r="DP93" i="35" s="1"/>
  <c r="DC93" i="35"/>
  <c r="DQ90" i="35"/>
  <c r="DQ93" i="35" s="1"/>
  <c r="DD93" i="35"/>
  <c r="DR90" i="35"/>
  <c r="DR93" i="35" s="1"/>
  <c r="DE93" i="35"/>
  <c r="DS90" i="35"/>
  <c r="DS93" i="35" s="1"/>
  <c r="DF93" i="35"/>
  <c r="DT90" i="35"/>
  <c r="DT93" i="35" s="1"/>
  <c r="DG93" i="35"/>
  <c r="DU90" i="35"/>
  <c r="DU93" i="35" s="1"/>
  <c r="DH93" i="35"/>
  <c r="DV90" i="35"/>
  <c r="DV93" i="35" s="1"/>
  <c r="DI93" i="35"/>
  <c r="DW90" i="35"/>
  <c r="DW93" i="35" s="1"/>
  <c r="DL93" i="35"/>
  <c r="DM93" i="35"/>
  <c r="DA20" i="34"/>
  <c r="DA19" i="34" s="1"/>
  <c r="DB21" i="33"/>
  <c r="DC21" i="33" s="1"/>
  <c r="DD21" i="33" s="1"/>
  <c r="DE21" i="33" s="1"/>
  <c r="DF21" i="33" s="1"/>
  <c r="DG21" i="33" s="1"/>
  <c r="DH21" i="33" s="1"/>
  <c r="DI21" i="33" s="1"/>
  <c r="DS38" i="33"/>
  <c r="DU38" i="33"/>
  <c r="DG34" i="33"/>
  <c r="DC81" i="33"/>
  <c r="DC80" i="33" s="1"/>
  <c r="BY86" i="34"/>
  <c r="BY84" i="34" s="1"/>
  <c r="BY81" i="34"/>
  <c r="BZ86" i="34"/>
  <c r="BZ84" i="34" s="1"/>
  <c r="BZ81" i="34"/>
  <c r="CA86" i="34"/>
  <c r="CA84" i="34" s="1"/>
  <c r="CA81" i="34"/>
  <c r="CB86" i="34"/>
  <c r="CB84" i="34" s="1"/>
  <c r="CB81" i="34"/>
  <c r="CC86" i="34"/>
  <c r="CC84" i="34" s="1"/>
  <c r="CC81" i="34"/>
  <c r="CD86" i="34"/>
  <c r="CD84" i="34" s="1"/>
  <c r="CD81" i="34"/>
  <c r="CE86" i="34"/>
  <c r="CE84" i="34" s="1"/>
  <c r="CE81" i="34"/>
  <c r="CF86" i="34"/>
  <c r="CF84" i="34" s="1"/>
  <c r="CF81" i="34"/>
  <c r="CG86" i="34"/>
  <c r="CG84" i="34" s="1"/>
  <c r="CG81" i="34"/>
  <c r="CJ86" i="34"/>
  <c r="CJ81" i="34"/>
  <c r="CK86" i="34"/>
  <c r="CK81" i="34"/>
  <c r="CM89" i="34"/>
  <c r="CM86" i="34"/>
  <c r="CM81" i="34"/>
  <c r="CN86" i="34"/>
  <c r="CN81" i="34"/>
  <c r="CO86" i="34"/>
  <c r="CO81" i="34"/>
  <c r="CP98" i="34"/>
  <c r="CP94" i="34"/>
  <c r="CP93" i="34"/>
  <c r="CQ98" i="34"/>
  <c r="CQ93" i="34"/>
  <c r="CR98" i="34"/>
  <c r="CR93" i="34"/>
  <c r="CT98" i="34"/>
  <c r="CT93" i="34"/>
  <c r="CT80" i="34"/>
  <c r="CX86" i="34"/>
  <c r="CX81" i="34"/>
  <c r="CY86" i="34"/>
  <c r="CY81" i="34"/>
  <c r="DB86" i="34"/>
  <c r="DB81" i="34"/>
  <c r="DC86" i="34"/>
  <c r="DC81" i="34"/>
  <c r="DD86" i="34"/>
  <c r="DD81" i="34"/>
  <c r="DE86" i="34"/>
  <c r="DE81" i="34"/>
  <c r="DF86" i="34"/>
  <c r="DF81" i="34"/>
  <c r="DG86" i="34"/>
  <c r="DG81" i="34"/>
  <c r="DH86" i="34"/>
  <c r="DH81" i="34"/>
  <c r="DI86" i="34"/>
  <c r="DI81" i="34"/>
  <c r="DL86" i="34"/>
  <c r="DL81" i="34"/>
  <c r="DM86" i="34"/>
  <c r="DM81" i="34"/>
  <c r="DN86" i="34"/>
  <c r="DN81" i="34"/>
  <c r="DO86" i="34"/>
  <c r="DO81" i="34"/>
  <c r="DP86" i="34"/>
  <c r="DP81" i="34"/>
  <c r="DQ86" i="34"/>
  <c r="DQ81" i="34"/>
  <c r="DR86" i="34"/>
  <c r="DR81" i="34"/>
  <c r="DS86" i="34"/>
  <c r="DS81" i="34"/>
  <c r="DT86" i="34"/>
  <c r="DT81" i="34"/>
  <c r="DU86" i="34"/>
  <c r="DU81" i="34"/>
  <c r="DV86" i="34"/>
  <c r="DV81" i="34"/>
  <c r="DW86" i="34"/>
  <c r="DW81" i="34"/>
  <c r="D33" i="34"/>
  <c r="D31" i="34"/>
  <c r="D30" i="34"/>
  <c r="E33" i="34"/>
  <c r="E31" i="34"/>
  <c r="E30" i="34"/>
  <c r="F33" i="34"/>
  <c r="F31" i="34"/>
  <c r="F30" i="34"/>
  <c r="G33" i="34"/>
  <c r="G31" i="34"/>
  <c r="G30" i="34"/>
  <c r="H33" i="34"/>
  <c r="H31" i="34"/>
  <c r="H30" i="34"/>
  <c r="I33" i="34"/>
  <c r="I31" i="34"/>
  <c r="I30" i="34"/>
  <c r="J33" i="34"/>
  <c r="J31" i="34"/>
  <c r="J30" i="34"/>
  <c r="K33" i="34"/>
  <c r="K31" i="34"/>
  <c r="K30" i="34"/>
  <c r="L33" i="34"/>
  <c r="L31" i="34"/>
  <c r="L30" i="34"/>
  <c r="M33" i="34"/>
  <c r="M31" i="34"/>
  <c r="M30" i="34"/>
  <c r="N33" i="34"/>
  <c r="N31" i="34"/>
  <c r="N30" i="34"/>
  <c r="O33" i="34"/>
  <c r="O31" i="34"/>
  <c r="P31" i="34" s="1"/>
  <c r="O30" i="34"/>
  <c r="P30" i="34" s="1"/>
  <c r="R33" i="34"/>
  <c r="R31" i="34"/>
  <c r="R30" i="34"/>
  <c r="S33" i="34"/>
  <c r="S31" i="34"/>
  <c r="S30" i="34"/>
  <c r="T33" i="34"/>
  <c r="T31" i="34"/>
  <c r="T30" i="34"/>
  <c r="U33" i="34"/>
  <c r="U31" i="34"/>
  <c r="U30" i="34"/>
  <c r="V33" i="34"/>
  <c r="V31" i="34"/>
  <c r="V30" i="34"/>
  <c r="W33" i="34"/>
  <c r="W31" i="34"/>
  <c r="W30" i="34"/>
  <c r="X33" i="34"/>
  <c r="X31" i="34"/>
  <c r="X30" i="34"/>
  <c r="Y33" i="34"/>
  <c r="Y31" i="34"/>
  <c r="Y30" i="34"/>
  <c r="Z33" i="34"/>
  <c r="Z31" i="34"/>
  <c r="Z30" i="34"/>
  <c r="AA33" i="34"/>
  <c r="AA31" i="34"/>
  <c r="AA30" i="34"/>
  <c r="AB33" i="34"/>
  <c r="AB31" i="34"/>
  <c r="AB30" i="34"/>
  <c r="AC31" i="34"/>
  <c r="AD31" i="34" s="1"/>
  <c r="AC30" i="34"/>
  <c r="AD30" i="34" s="1"/>
  <c r="AF33" i="34"/>
  <c r="AF32" i="34"/>
  <c r="AF66" i="34" s="1"/>
  <c r="AF31" i="34"/>
  <c r="AG33" i="34"/>
  <c r="AG31" i="34"/>
  <c r="AH33" i="34"/>
  <c r="AH32" i="34"/>
  <c r="AH66" i="34" s="1"/>
  <c r="AH31" i="34"/>
  <c r="AI33" i="34"/>
  <c r="AI32" i="34"/>
  <c r="AI66" i="34" s="1"/>
  <c r="AI31" i="34"/>
  <c r="AJ33" i="34"/>
  <c r="AJ32" i="34"/>
  <c r="AJ66" i="34" s="1"/>
  <c r="AJ31" i="34"/>
  <c r="AK33" i="34"/>
  <c r="AK32" i="34"/>
  <c r="AK66" i="34" s="1"/>
  <c r="AK31" i="34"/>
  <c r="AL33" i="34"/>
  <c r="AL32" i="34"/>
  <c r="AL66" i="34" s="1"/>
  <c r="AL31" i="34"/>
  <c r="AM33" i="34"/>
  <c r="AM32" i="34"/>
  <c r="AM66" i="34" s="1"/>
  <c r="AM31" i="34"/>
  <c r="AN33" i="34"/>
  <c r="AN32" i="34"/>
  <c r="AN66" i="34" s="1"/>
  <c r="AN31" i="34"/>
  <c r="AO33" i="34"/>
  <c r="AO32" i="34"/>
  <c r="AO66" i="34" s="1"/>
  <c r="AO31" i="34"/>
  <c r="AP33" i="34"/>
  <c r="AP32" i="34"/>
  <c r="AP66" i="34" s="1"/>
  <c r="AP31" i="34"/>
  <c r="AQ33" i="34"/>
  <c r="AR33" i="34" s="1"/>
  <c r="AQ32" i="34"/>
  <c r="AQ31" i="34"/>
  <c r="AR31" i="34" s="1"/>
  <c r="AR10" i="34"/>
  <c r="AT33" i="34"/>
  <c r="AT32" i="34"/>
  <c r="AT31" i="34"/>
  <c r="AU33" i="34"/>
  <c r="AU32" i="34"/>
  <c r="AU31" i="34"/>
  <c r="AV33" i="34"/>
  <c r="AV32" i="34"/>
  <c r="AV31" i="34"/>
  <c r="AW33" i="34"/>
  <c r="AW32" i="34"/>
  <c r="AW31" i="34"/>
  <c r="AX33" i="34"/>
  <c r="AX32" i="34"/>
  <c r="AX31" i="34"/>
  <c r="AY33" i="34"/>
  <c r="AY32" i="34"/>
  <c r="AY31" i="34"/>
  <c r="AZ33" i="34"/>
  <c r="AZ31" i="34"/>
  <c r="BA33" i="34"/>
  <c r="BA32" i="34"/>
  <c r="BA31" i="34"/>
  <c r="BB33" i="34"/>
  <c r="BB32" i="34"/>
  <c r="BB31" i="34"/>
  <c r="BC31" i="34" s="1"/>
  <c r="BD31" i="34" s="1"/>
  <c r="BE31" i="34" s="1"/>
  <c r="BF31" i="34" s="1"/>
  <c r="BC33" i="34"/>
  <c r="BC32" i="34"/>
  <c r="BD33" i="34"/>
  <c r="BD32" i="34"/>
  <c r="BE33" i="34"/>
  <c r="BF33" i="34" s="1"/>
  <c r="BE32" i="34"/>
  <c r="BF10" i="34"/>
  <c r="BH33" i="34"/>
  <c r="BH32" i="34"/>
  <c r="BH31" i="34"/>
  <c r="BI33" i="34"/>
  <c r="BI32" i="34"/>
  <c r="BI31" i="34"/>
  <c r="BJ33" i="34"/>
  <c r="BJ32" i="34"/>
  <c r="BJ31" i="34"/>
  <c r="BK33" i="34"/>
  <c r="BK32" i="34"/>
  <c r="BK31" i="34"/>
  <c r="BL33" i="34"/>
  <c r="BL32" i="34"/>
  <c r="BL31" i="34"/>
  <c r="BM33" i="34"/>
  <c r="BM32" i="34"/>
  <c r="BM31" i="34"/>
  <c r="BN33" i="34"/>
  <c r="BN32" i="34"/>
  <c r="BN31" i="34"/>
  <c r="BO33" i="34"/>
  <c r="BO31" i="34"/>
  <c r="BP33" i="34"/>
  <c r="BP31" i="34"/>
  <c r="BQ33" i="34"/>
  <c r="BQ31" i="34"/>
  <c r="BR33" i="34"/>
  <c r="BR31" i="34"/>
  <c r="BS33" i="34"/>
  <c r="BT33" i="34" s="1"/>
  <c r="BS31" i="34"/>
  <c r="BT31" i="34" s="1"/>
  <c r="BT10" i="34"/>
  <c r="CJ10" i="34"/>
  <c r="CS33" i="34"/>
  <c r="DB20" i="34"/>
  <c r="DB19" i="34" s="1"/>
  <c r="AQ30" i="34"/>
  <c r="AR30" i="34" s="1"/>
  <c r="AR29" i="34"/>
  <c r="AT30" i="34"/>
  <c r="BF30" i="34" s="1"/>
  <c r="BF29" i="34"/>
  <c r="BS30" i="34"/>
  <c r="BT30" i="34" s="1"/>
  <c r="BT29" i="34"/>
  <c r="CG30" i="34"/>
  <c r="CH30" i="34" s="1"/>
  <c r="CH29" i="34"/>
  <c r="R94" i="34"/>
  <c r="BV77" i="34"/>
  <c r="CH77" i="34" s="1"/>
  <c r="CH34" i="34"/>
  <c r="BH70" i="34"/>
  <c r="BH38" i="34"/>
  <c r="BT35" i="34"/>
  <c r="BT38" i="34" s="1"/>
  <c r="BI70" i="34"/>
  <c r="BI38" i="34"/>
  <c r="BJ70" i="34"/>
  <c r="BJ38" i="34"/>
  <c r="BK70" i="34"/>
  <c r="BK38" i="34"/>
  <c r="BL70" i="34"/>
  <c r="BL38" i="34"/>
  <c r="BM70" i="34"/>
  <c r="BM38" i="34"/>
  <c r="BN70" i="34"/>
  <c r="BN38" i="34"/>
  <c r="BO70" i="34"/>
  <c r="BO38" i="34"/>
  <c r="BP70" i="34"/>
  <c r="BP38" i="34"/>
  <c r="AN70" i="34"/>
  <c r="AR38" i="34"/>
  <c r="CK38" i="34"/>
  <c r="CL37" i="34"/>
  <c r="CQ38" i="34"/>
  <c r="CR37" i="34"/>
  <c r="AT70" i="34"/>
  <c r="BF70" i="34" s="1"/>
  <c r="BF38" i="34"/>
  <c r="BG38" i="34" s="1"/>
  <c r="BR64" i="34"/>
  <c r="CJ64" i="34"/>
  <c r="CJ39" i="34"/>
  <c r="CP64" i="34"/>
  <c r="CP39" i="34"/>
  <c r="CP40" i="34" s="1"/>
  <c r="DO38" i="34"/>
  <c r="DX38" i="34"/>
  <c r="DY38" i="34" s="1"/>
  <c r="T62" i="34"/>
  <c r="T34" i="34" s="1"/>
  <c r="T94" i="34" s="1"/>
  <c r="AD41" i="34"/>
  <c r="BG41" i="34"/>
  <c r="BG42" i="34"/>
  <c r="BG43" i="34"/>
  <c r="S62" i="34"/>
  <c r="S34" i="34" s="1"/>
  <c r="AD44" i="34"/>
  <c r="BG44" i="34"/>
  <c r="BG45" i="34"/>
  <c r="BG46" i="34"/>
  <c r="BG47" i="34"/>
  <c r="BG48" i="34"/>
  <c r="BG49" i="34"/>
  <c r="AH62" i="34"/>
  <c r="AR50" i="34"/>
  <c r="BG50" i="34"/>
  <c r="BG51" i="34"/>
  <c r="BG52" i="34"/>
  <c r="BG53" i="34"/>
  <c r="BG54" i="34"/>
  <c r="BG55" i="34"/>
  <c r="BG56" i="34"/>
  <c r="BV62" i="34"/>
  <c r="CH56" i="34"/>
  <c r="BG57" i="34"/>
  <c r="BG58" i="34"/>
  <c r="BG59" i="34"/>
  <c r="BG61" i="34"/>
  <c r="AD62" i="34"/>
  <c r="AF72" i="34"/>
  <c r="AR62" i="34"/>
  <c r="AL72" i="34"/>
  <c r="AL64" i="34"/>
  <c r="AP72" i="34"/>
  <c r="AP64" i="34"/>
  <c r="AQ72" i="34"/>
  <c r="AQ64" i="34"/>
  <c r="AT72" i="34"/>
  <c r="BF62" i="34"/>
  <c r="BG62" i="34" s="1"/>
  <c r="BG65" i="34" s="1"/>
  <c r="BA72" i="34"/>
  <c r="BA63" i="34"/>
  <c r="BO66" i="34"/>
  <c r="BT64" i="34"/>
  <c r="BB66" i="34"/>
  <c r="BF65" i="34"/>
  <c r="BF66" i="34"/>
  <c r="BT66" i="34"/>
  <c r="AF73" i="34"/>
  <c r="AR68" i="34"/>
  <c r="AG73" i="34"/>
  <c r="AI73" i="34"/>
  <c r="AJ73" i="34"/>
  <c r="AK73" i="34"/>
  <c r="AL73" i="34"/>
  <c r="AM73" i="34"/>
  <c r="AN73" i="34"/>
  <c r="AO73" i="34"/>
  <c r="AP73" i="34"/>
  <c r="AQ73" i="34"/>
  <c r="AT73" i="34"/>
  <c r="BF68" i="34"/>
  <c r="BG68" i="34" s="1"/>
  <c r="AU73" i="34"/>
  <c r="AU74" i="34" s="1"/>
  <c r="AV73" i="34"/>
  <c r="AV74" i="34" s="1"/>
  <c r="AW73" i="34"/>
  <c r="AW74" i="34" s="1"/>
  <c r="AX73" i="34"/>
  <c r="AX74" i="34" s="1"/>
  <c r="AY73" i="34"/>
  <c r="AY74" i="34" s="1"/>
  <c r="AZ73" i="34"/>
  <c r="AZ74" i="34" s="1"/>
  <c r="BA73" i="34"/>
  <c r="BA74" i="34" s="1"/>
  <c r="BB73" i="34"/>
  <c r="BB74" i="34" s="1"/>
  <c r="BC73" i="34"/>
  <c r="BC74" i="34" s="1"/>
  <c r="BD73" i="34"/>
  <c r="BD74" i="34" s="1"/>
  <c r="BE73" i="34"/>
  <c r="BE74" i="34" s="1"/>
  <c r="BH73" i="34"/>
  <c r="BT68" i="34"/>
  <c r="BI73" i="34"/>
  <c r="BI74" i="34" s="1"/>
  <c r="BJ73" i="34"/>
  <c r="BJ74" i="34" s="1"/>
  <c r="BK73" i="34"/>
  <c r="BK74" i="34" s="1"/>
  <c r="BL73" i="34"/>
  <c r="BL74" i="34" s="1"/>
  <c r="BM73" i="34"/>
  <c r="BM74" i="34" s="1"/>
  <c r="BN73" i="34"/>
  <c r="BN74" i="34" s="1"/>
  <c r="BO73" i="34"/>
  <c r="BO74" i="34" s="1"/>
  <c r="BP73" i="34"/>
  <c r="BP74" i="34" s="1"/>
  <c r="BQ73" i="34"/>
  <c r="BQ74" i="34" s="1"/>
  <c r="BG69" i="34"/>
  <c r="AR70" i="34"/>
  <c r="BB72" i="34"/>
  <c r="BF71" i="34"/>
  <c r="BG71" i="34" s="1"/>
  <c r="CJ77" i="34"/>
  <c r="CV72" i="34"/>
  <c r="DB72" i="34"/>
  <c r="DC72" i="34"/>
  <c r="CP77" i="34"/>
  <c r="DD72" i="34"/>
  <c r="DE72" i="34"/>
  <c r="DF72" i="34"/>
  <c r="DG72" i="34"/>
  <c r="DH72" i="34"/>
  <c r="DO72" i="34"/>
  <c r="DK72" i="34"/>
  <c r="DK77" i="34"/>
  <c r="DY77" i="34"/>
  <c r="DX77" i="34"/>
  <c r="CX95" i="34"/>
  <c r="CX96" i="34" s="1"/>
  <c r="DK78" i="34"/>
  <c r="CY95" i="34"/>
  <c r="CY96" i="34" s="1"/>
  <c r="CZ95" i="34"/>
  <c r="CZ96" i="34" s="1"/>
  <c r="DA95" i="34"/>
  <c r="DA96" i="34" s="1"/>
  <c r="DB95" i="34"/>
  <c r="DB96" i="34" s="1"/>
  <c r="DC95" i="34"/>
  <c r="DC96" i="34" s="1"/>
  <c r="DD95" i="34"/>
  <c r="DD96" i="34" s="1"/>
  <c r="DE95" i="34"/>
  <c r="DE96" i="34" s="1"/>
  <c r="DF95" i="34"/>
  <c r="DF96" i="34" s="1"/>
  <c r="DG95" i="34"/>
  <c r="DG96" i="34" s="1"/>
  <c r="DH95" i="34"/>
  <c r="DH96" i="34" s="1"/>
  <c r="DI95" i="34"/>
  <c r="DI96" i="34" s="1"/>
  <c r="DL95" i="34"/>
  <c r="DL96" i="34" s="1"/>
  <c r="DY78" i="34"/>
  <c r="DX78" i="34"/>
  <c r="DM95" i="34"/>
  <c r="DM96" i="34" s="1"/>
  <c r="DN95" i="34"/>
  <c r="DN96" i="34" s="1"/>
  <c r="DO95" i="34"/>
  <c r="DO96" i="34" s="1"/>
  <c r="DP95" i="34"/>
  <c r="DP96" i="34" s="1"/>
  <c r="DQ95" i="34"/>
  <c r="DQ96" i="34" s="1"/>
  <c r="DR95" i="34"/>
  <c r="DR96" i="34" s="1"/>
  <c r="DS95" i="34"/>
  <c r="DS96" i="34" s="1"/>
  <c r="DT95" i="34"/>
  <c r="DT96" i="34" s="1"/>
  <c r="DU95" i="34"/>
  <c r="DU96" i="34" s="1"/>
  <c r="DV95" i="34"/>
  <c r="DV96" i="34" s="1"/>
  <c r="DW95" i="34"/>
  <c r="DW96" i="34" s="1"/>
  <c r="AF94" i="34"/>
  <c r="AF93" i="34"/>
  <c r="AR81" i="34"/>
  <c r="AG94" i="34"/>
  <c r="AG93" i="34"/>
  <c r="AH93" i="34"/>
  <c r="AI94" i="34"/>
  <c r="AI93" i="34"/>
  <c r="AJ94" i="34"/>
  <c r="AJ93" i="34"/>
  <c r="AK94" i="34"/>
  <c r="AK93" i="34"/>
  <c r="AL94" i="34"/>
  <c r="AL93" i="34"/>
  <c r="AM94" i="34"/>
  <c r="AN94" i="34"/>
  <c r="AO94" i="34"/>
  <c r="AO88" i="34"/>
  <c r="AP94" i="34"/>
  <c r="AP88" i="34"/>
  <c r="AQ94" i="34"/>
  <c r="AQ88" i="34"/>
  <c r="AT94" i="34"/>
  <c r="AT88" i="34"/>
  <c r="BF81" i="34"/>
  <c r="AU94" i="34"/>
  <c r="AU88" i="34"/>
  <c r="AV94" i="34"/>
  <c r="AV88" i="34"/>
  <c r="AW94" i="34"/>
  <c r="AW88" i="34"/>
  <c r="AX94" i="34"/>
  <c r="AX88" i="34"/>
  <c r="AY94" i="34"/>
  <c r="AY88" i="34"/>
  <c r="AZ94" i="34"/>
  <c r="AZ88" i="34"/>
  <c r="BA94" i="34"/>
  <c r="BA88" i="34"/>
  <c r="BB94" i="34"/>
  <c r="BB88" i="34"/>
  <c r="BC94" i="34"/>
  <c r="BC88" i="34"/>
  <c r="BH94" i="34"/>
  <c r="BT81" i="34"/>
  <c r="BI94" i="34"/>
  <c r="BJ94" i="34"/>
  <c r="BK94" i="34"/>
  <c r="BL94" i="34"/>
  <c r="BM94" i="34"/>
  <c r="BN94" i="34"/>
  <c r="BO94" i="34"/>
  <c r="BP94" i="34"/>
  <c r="BV87" i="34"/>
  <c r="CH81" i="34"/>
  <c r="CL84" i="34"/>
  <c r="CU98" i="34"/>
  <c r="CU93" i="34"/>
  <c r="CZ94" i="34"/>
  <c r="CZ84" i="34"/>
  <c r="DA94" i="34"/>
  <c r="DA84" i="34"/>
  <c r="BG84" i="34"/>
  <c r="BP85" i="34"/>
  <c r="BT84" i="34"/>
  <c r="CH84" i="34"/>
  <c r="BT85" i="34"/>
  <c r="BG86" i="34"/>
  <c r="CH86" i="34"/>
  <c r="CN89" i="34"/>
  <c r="CN96" i="34" s="1"/>
  <c r="CO88" i="34"/>
  <c r="AM93" i="34"/>
  <c r="AR90" i="34"/>
  <c r="AN93" i="34"/>
  <c r="AO93" i="34"/>
  <c r="AP93" i="34"/>
  <c r="AQ93" i="34"/>
  <c r="AT93" i="34"/>
  <c r="BF90" i="34"/>
  <c r="BG90" i="34" s="1"/>
  <c r="AU93" i="34"/>
  <c r="AV93" i="34"/>
  <c r="AW93" i="34"/>
  <c r="AX93" i="34"/>
  <c r="AY93" i="34"/>
  <c r="AZ93" i="34"/>
  <c r="BA93" i="34"/>
  <c r="BB93" i="34"/>
  <c r="BC93" i="34"/>
  <c r="BH93" i="34"/>
  <c r="BT90" i="34"/>
  <c r="BI93" i="34"/>
  <c r="BJ93" i="34"/>
  <c r="BK93" i="34"/>
  <c r="BL93" i="34"/>
  <c r="BM93" i="34"/>
  <c r="BN93" i="34"/>
  <c r="BO93" i="34"/>
  <c r="BP93" i="34"/>
  <c r="CB93" i="34"/>
  <c r="CH90" i="34"/>
  <c r="CC93" i="34"/>
  <c r="CD93" i="34"/>
  <c r="CG93" i="34"/>
  <c r="CK93" i="34"/>
  <c r="CL93" i="34"/>
  <c r="CZ90" i="34"/>
  <c r="CM93" i="34"/>
  <c r="DA90" i="34"/>
  <c r="DB93" i="34"/>
  <c r="DP90" i="34"/>
  <c r="DP93" i="34" s="1"/>
  <c r="DC93" i="34"/>
  <c r="DQ90" i="34"/>
  <c r="DQ93" i="34" s="1"/>
  <c r="DD93" i="34"/>
  <c r="DR90" i="34"/>
  <c r="DR93" i="34" s="1"/>
  <c r="DE93" i="34"/>
  <c r="DS90" i="34"/>
  <c r="DS93" i="34" s="1"/>
  <c r="DF93" i="34"/>
  <c r="DT90" i="34"/>
  <c r="DT93" i="34" s="1"/>
  <c r="DG93" i="34"/>
  <c r="DU90" i="34"/>
  <c r="DU93" i="34" s="1"/>
  <c r="DH93" i="34"/>
  <c r="DV90" i="34"/>
  <c r="DV93" i="34" s="1"/>
  <c r="DI93" i="34"/>
  <c r="DW90" i="34"/>
  <c r="DW93" i="34" s="1"/>
  <c r="DL93" i="34"/>
  <c r="DM93" i="34"/>
  <c r="BY86" i="33"/>
  <c r="BY84" i="33" s="1"/>
  <c r="BY81" i="33"/>
  <c r="BZ86" i="33"/>
  <c r="BZ84" i="33" s="1"/>
  <c r="BZ81" i="33"/>
  <c r="CA86" i="33"/>
  <c r="CA84" i="33" s="1"/>
  <c r="CA81" i="33"/>
  <c r="CB86" i="33"/>
  <c r="CB84" i="33" s="1"/>
  <c r="CB81" i="33"/>
  <c r="CC86" i="33"/>
  <c r="CC84" i="33" s="1"/>
  <c r="CC81" i="33"/>
  <c r="CD86" i="33"/>
  <c r="CD84" i="33" s="1"/>
  <c r="CD81" i="33"/>
  <c r="CE86" i="33"/>
  <c r="CE84" i="33" s="1"/>
  <c r="CE81" i="33"/>
  <c r="CF86" i="33"/>
  <c r="CF84" i="33" s="1"/>
  <c r="CF81" i="33"/>
  <c r="CG86" i="33"/>
  <c r="CG84" i="33" s="1"/>
  <c r="CG81" i="33"/>
  <c r="CJ86" i="33"/>
  <c r="CJ81" i="33"/>
  <c r="CK86" i="33"/>
  <c r="CK81" i="33"/>
  <c r="CM89" i="33"/>
  <c r="CM86" i="33"/>
  <c r="CM81" i="33"/>
  <c r="CN86" i="33"/>
  <c r="CN81" i="33"/>
  <c r="CO86" i="33"/>
  <c r="CO81" i="33"/>
  <c r="CP98" i="33"/>
  <c r="CP94" i="33"/>
  <c r="CP93" i="33"/>
  <c r="CQ98" i="33"/>
  <c r="CQ93" i="33"/>
  <c r="CR98" i="33"/>
  <c r="CR93" i="33"/>
  <c r="CT98" i="33"/>
  <c r="CT93" i="33"/>
  <c r="CT80" i="33"/>
  <c r="CX86" i="33"/>
  <c r="CX81" i="33"/>
  <c r="CY86" i="33"/>
  <c r="CY81" i="33"/>
  <c r="CZ86" i="33"/>
  <c r="DA81" i="33"/>
  <c r="DB86" i="33"/>
  <c r="DB81" i="33"/>
  <c r="DC86" i="33"/>
  <c r="DD86" i="33"/>
  <c r="DD81" i="33"/>
  <c r="DE86" i="33"/>
  <c r="DE81" i="33"/>
  <c r="DF86" i="33"/>
  <c r="DF81" i="33"/>
  <c r="DG86" i="33"/>
  <c r="DG81" i="33"/>
  <c r="DH86" i="33"/>
  <c r="DH81" i="33"/>
  <c r="DI86" i="33"/>
  <c r="DI81" i="33"/>
  <c r="DL86" i="33"/>
  <c r="DL81" i="33"/>
  <c r="DM86" i="33"/>
  <c r="DM81" i="33"/>
  <c r="DN86" i="33"/>
  <c r="DN81" i="33"/>
  <c r="DO86" i="33"/>
  <c r="DO81" i="33"/>
  <c r="DP86" i="33"/>
  <c r="DP81" i="33"/>
  <c r="DQ86" i="33"/>
  <c r="DQ81" i="33"/>
  <c r="DR86" i="33"/>
  <c r="DR81" i="33"/>
  <c r="DS86" i="33"/>
  <c r="DS81" i="33"/>
  <c r="DT86" i="33"/>
  <c r="DT81" i="33"/>
  <c r="DU86" i="33"/>
  <c r="DU81" i="33"/>
  <c r="DV86" i="33"/>
  <c r="DV81" i="33"/>
  <c r="DW86" i="33"/>
  <c r="DW81" i="33"/>
  <c r="D33" i="33"/>
  <c r="D31" i="33"/>
  <c r="D30" i="33"/>
  <c r="E33" i="33"/>
  <c r="E31" i="33"/>
  <c r="E30" i="33"/>
  <c r="F33" i="33"/>
  <c r="F31" i="33"/>
  <c r="F30" i="33"/>
  <c r="G33" i="33"/>
  <c r="G31" i="33"/>
  <c r="G30" i="33"/>
  <c r="H33" i="33"/>
  <c r="H31" i="33"/>
  <c r="H30" i="33"/>
  <c r="I33" i="33"/>
  <c r="I31" i="33"/>
  <c r="I30" i="33"/>
  <c r="J33" i="33"/>
  <c r="J31" i="33"/>
  <c r="J30" i="33"/>
  <c r="K33" i="33"/>
  <c r="K31" i="33"/>
  <c r="K30" i="33"/>
  <c r="L33" i="33"/>
  <c r="L31" i="33"/>
  <c r="L30" i="33"/>
  <c r="M33" i="33"/>
  <c r="M31" i="33"/>
  <c r="M30" i="33"/>
  <c r="N33" i="33"/>
  <c r="N31" i="33"/>
  <c r="N30" i="33"/>
  <c r="O33" i="33"/>
  <c r="O31" i="33"/>
  <c r="P31" i="33" s="1"/>
  <c r="O30" i="33"/>
  <c r="P30" i="33" s="1"/>
  <c r="R33" i="33"/>
  <c r="R31" i="33"/>
  <c r="R30" i="33"/>
  <c r="S33" i="33"/>
  <c r="S31" i="33"/>
  <c r="S30" i="33"/>
  <c r="T33" i="33"/>
  <c r="T31" i="33"/>
  <c r="T30" i="33"/>
  <c r="U33" i="33"/>
  <c r="U31" i="33"/>
  <c r="U30" i="33"/>
  <c r="V33" i="33"/>
  <c r="V31" i="33"/>
  <c r="V30" i="33"/>
  <c r="W33" i="33"/>
  <c r="W31" i="33"/>
  <c r="W30" i="33"/>
  <c r="X33" i="33"/>
  <c r="X31" i="33"/>
  <c r="X30" i="33"/>
  <c r="Y33" i="33"/>
  <c r="Y31" i="33"/>
  <c r="Y30" i="33"/>
  <c r="Z33" i="33"/>
  <c r="Z31" i="33"/>
  <c r="Z30" i="33"/>
  <c r="AA33" i="33"/>
  <c r="AA31" i="33"/>
  <c r="AA30" i="33"/>
  <c r="AB33" i="33"/>
  <c r="AB31" i="33"/>
  <c r="AB30" i="33"/>
  <c r="AC31" i="33"/>
  <c r="AD31" i="33" s="1"/>
  <c r="AC30" i="33"/>
  <c r="AD30" i="33" s="1"/>
  <c r="AF33" i="33"/>
  <c r="AF32" i="33"/>
  <c r="AF66" i="33" s="1"/>
  <c r="AF31" i="33"/>
  <c r="AG33" i="33"/>
  <c r="AG31" i="33"/>
  <c r="AH33" i="33"/>
  <c r="AH32" i="33"/>
  <c r="AH66" i="33" s="1"/>
  <c r="AH31" i="33"/>
  <c r="AI33" i="33"/>
  <c r="AI32" i="33"/>
  <c r="AI66" i="33" s="1"/>
  <c r="AI31" i="33"/>
  <c r="AJ33" i="33"/>
  <c r="AJ32" i="33"/>
  <c r="AJ66" i="33" s="1"/>
  <c r="AJ31" i="33"/>
  <c r="AK33" i="33"/>
  <c r="AK32" i="33"/>
  <c r="AK66" i="33" s="1"/>
  <c r="AK31" i="33"/>
  <c r="AL33" i="33"/>
  <c r="AL32" i="33"/>
  <c r="AL66" i="33" s="1"/>
  <c r="AL31" i="33"/>
  <c r="AM33" i="33"/>
  <c r="AM32" i="33"/>
  <c r="AM66" i="33" s="1"/>
  <c r="AM31" i="33"/>
  <c r="AN33" i="33"/>
  <c r="AN32" i="33"/>
  <c r="AN66" i="33" s="1"/>
  <c r="AN31" i="33"/>
  <c r="AO33" i="33"/>
  <c r="AO32" i="33"/>
  <c r="AO66" i="33" s="1"/>
  <c r="AO31" i="33"/>
  <c r="AP33" i="33"/>
  <c r="AP32" i="33"/>
  <c r="AP66" i="33" s="1"/>
  <c r="AP31" i="33"/>
  <c r="AQ33" i="33"/>
  <c r="AR33" i="33" s="1"/>
  <c r="AQ32" i="33"/>
  <c r="AQ31" i="33"/>
  <c r="AR31" i="33" s="1"/>
  <c r="AR10" i="33"/>
  <c r="AT33" i="33"/>
  <c r="AT32" i="33"/>
  <c r="AT31" i="33"/>
  <c r="AU33" i="33"/>
  <c r="AU32" i="33"/>
  <c r="AU31" i="33"/>
  <c r="AV33" i="33"/>
  <c r="AV32" i="33"/>
  <c r="AV31" i="33"/>
  <c r="AW33" i="33"/>
  <c r="AW32" i="33"/>
  <c r="AW31" i="33"/>
  <c r="AX33" i="33"/>
  <c r="AX32" i="33"/>
  <c r="AX31" i="33"/>
  <c r="AY33" i="33"/>
  <c r="AY32" i="33"/>
  <c r="AY31" i="33"/>
  <c r="AZ33" i="33"/>
  <c r="AZ31" i="33"/>
  <c r="BA33" i="33"/>
  <c r="BA32" i="33"/>
  <c r="BA31" i="33"/>
  <c r="BB33" i="33"/>
  <c r="BB32" i="33"/>
  <c r="BB31" i="33"/>
  <c r="BC31" i="33" s="1"/>
  <c r="BD31" i="33" s="1"/>
  <c r="BE31" i="33" s="1"/>
  <c r="BF31" i="33" s="1"/>
  <c r="BC33" i="33"/>
  <c r="BC32" i="33"/>
  <c r="BD33" i="33"/>
  <c r="BD32" i="33"/>
  <c r="BE33" i="33"/>
  <c r="BF33" i="33" s="1"/>
  <c r="BE32" i="33"/>
  <c r="BF10" i="33"/>
  <c r="BH33" i="33"/>
  <c r="BH32" i="33"/>
  <c r="BH31" i="33"/>
  <c r="BI33" i="33"/>
  <c r="BI32" i="33"/>
  <c r="BI31" i="33"/>
  <c r="BJ33" i="33"/>
  <c r="BJ32" i="33"/>
  <c r="BJ31" i="33"/>
  <c r="BK33" i="33"/>
  <c r="BK32" i="33"/>
  <c r="BK31" i="33"/>
  <c r="BL33" i="33"/>
  <c r="BL32" i="33"/>
  <c r="BL31" i="33"/>
  <c r="BM33" i="33"/>
  <c r="BM32" i="33"/>
  <c r="BM31" i="33"/>
  <c r="BN33" i="33"/>
  <c r="BN32" i="33"/>
  <c r="BN31" i="33"/>
  <c r="BO33" i="33"/>
  <c r="BO31" i="33"/>
  <c r="BP33" i="33"/>
  <c r="BP31" i="33"/>
  <c r="BQ33" i="33"/>
  <c r="BQ31" i="33"/>
  <c r="BR33" i="33"/>
  <c r="BR31" i="33"/>
  <c r="BS33" i="33"/>
  <c r="BT33" i="33" s="1"/>
  <c r="BS31" i="33"/>
  <c r="BT31" i="33" s="1"/>
  <c r="BT10" i="33"/>
  <c r="CJ10" i="33"/>
  <c r="CS33" i="33"/>
  <c r="AQ30" i="33"/>
  <c r="AR30" i="33" s="1"/>
  <c r="AR29" i="33"/>
  <c r="AT30" i="33"/>
  <c r="BF30" i="33" s="1"/>
  <c r="BF29" i="33"/>
  <c r="BS30" i="33"/>
  <c r="BT30" i="33" s="1"/>
  <c r="BT29" i="33"/>
  <c r="CG30" i="33"/>
  <c r="CH30" i="33" s="1"/>
  <c r="CH29" i="33"/>
  <c r="R94" i="33"/>
  <c r="BV77" i="33"/>
  <c r="CH77" i="33" s="1"/>
  <c r="CH34" i="33"/>
  <c r="BH70" i="33"/>
  <c r="BH38" i="33"/>
  <c r="BT35" i="33"/>
  <c r="BT38" i="33" s="1"/>
  <c r="BI70" i="33"/>
  <c r="BI38" i="33"/>
  <c r="BJ70" i="33"/>
  <c r="BJ38" i="33"/>
  <c r="BK70" i="33"/>
  <c r="BK38" i="33"/>
  <c r="BL70" i="33"/>
  <c r="BL38" i="33"/>
  <c r="BM70" i="33"/>
  <c r="BM38" i="33"/>
  <c r="BN70" i="33"/>
  <c r="BN38" i="33"/>
  <c r="BO70" i="33"/>
  <c r="BO38" i="33"/>
  <c r="BP70" i="33"/>
  <c r="BP38" i="33"/>
  <c r="AN70" i="33"/>
  <c r="AR38" i="33"/>
  <c r="CK38" i="33"/>
  <c r="CL37" i="33"/>
  <c r="CQ38" i="33"/>
  <c r="CR37" i="33"/>
  <c r="AT70" i="33"/>
  <c r="BF70" i="33" s="1"/>
  <c r="BF38" i="33"/>
  <c r="BG38" i="33" s="1"/>
  <c r="BR64" i="33"/>
  <c r="CJ64" i="33"/>
  <c r="CJ39" i="33"/>
  <c r="CP64" i="33"/>
  <c r="CP39" i="33"/>
  <c r="CP40" i="33" s="1"/>
  <c r="T62" i="33"/>
  <c r="T34" i="33" s="1"/>
  <c r="T94" i="33" s="1"/>
  <c r="AD41" i="33"/>
  <c r="BG41" i="33"/>
  <c r="BG42" i="33"/>
  <c r="BG43" i="33"/>
  <c r="S62" i="33"/>
  <c r="S34" i="33" s="1"/>
  <c r="AD44" i="33"/>
  <c r="BG44" i="33"/>
  <c r="BG45" i="33"/>
  <c r="BG46" i="33"/>
  <c r="BG47" i="33"/>
  <c r="BG48" i="33"/>
  <c r="BG49" i="33"/>
  <c r="AH62" i="33"/>
  <c r="AR50" i="33"/>
  <c r="BG50" i="33"/>
  <c r="BG51" i="33"/>
  <c r="BG52" i="33"/>
  <c r="BG53" i="33"/>
  <c r="BG54" i="33"/>
  <c r="BG55" i="33"/>
  <c r="BG56" i="33"/>
  <c r="BV62" i="33"/>
  <c r="CH56" i="33"/>
  <c r="BG57" i="33"/>
  <c r="BG58" i="33"/>
  <c r="BG59" i="33"/>
  <c r="BG61" i="33"/>
  <c r="AD62" i="33"/>
  <c r="AF72" i="33"/>
  <c r="AR62" i="33"/>
  <c r="AL72" i="33"/>
  <c r="AL64" i="33"/>
  <c r="AP72" i="33"/>
  <c r="AP64" i="33"/>
  <c r="AQ72" i="33"/>
  <c r="AQ64" i="33"/>
  <c r="AT72" i="33"/>
  <c r="BF62" i="33"/>
  <c r="BG62" i="33" s="1"/>
  <c r="BG65" i="33" s="1"/>
  <c r="BA72" i="33"/>
  <c r="BA63" i="33"/>
  <c r="BO66" i="33"/>
  <c r="BT64" i="33"/>
  <c r="BB66" i="33"/>
  <c r="BF65" i="33"/>
  <c r="BF66" i="33"/>
  <c r="BT66" i="33"/>
  <c r="AF73" i="33"/>
  <c r="AR68" i="33"/>
  <c r="AG73" i="33"/>
  <c r="AI73" i="33"/>
  <c r="AJ73" i="33"/>
  <c r="AK73" i="33"/>
  <c r="AL73" i="33"/>
  <c r="AM73" i="33"/>
  <c r="AN73" i="33"/>
  <c r="AO73" i="33"/>
  <c r="AP73" i="33"/>
  <c r="AQ73" i="33"/>
  <c r="AT73" i="33"/>
  <c r="BF68" i="33"/>
  <c r="BG68" i="33" s="1"/>
  <c r="AU73" i="33"/>
  <c r="AU74" i="33" s="1"/>
  <c r="AV73" i="33"/>
  <c r="AV74" i="33" s="1"/>
  <c r="AW73" i="33"/>
  <c r="AW74" i="33" s="1"/>
  <c r="AX73" i="33"/>
  <c r="AX74" i="33" s="1"/>
  <c r="AY73" i="33"/>
  <c r="AY74" i="33" s="1"/>
  <c r="AZ73" i="33"/>
  <c r="AZ74" i="33" s="1"/>
  <c r="BA73" i="33"/>
  <c r="BA74" i="33" s="1"/>
  <c r="BB73" i="33"/>
  <c r="BB74" i="33" s="1"/>
  <c r="BC73" i="33"/>
  <c r="BC74" i="33" s="1"/>
  <c r="BD73" i="33"/>
  <c r="BD74" i="33" s="1"/>
  <c r="BE73" i="33"/>
  <c r="BE74" i="33" s="1"/>
  <c r="BH73" i="33"/>
  <c r="BT68" i="33"/>
  <c r="BI73" i="33"/>
  <c r="BI74" i="33" s="1"/>
  <c r="BJ73" i="33"/>
  <c r="BJ74" i="33" s="1"/>
  <c r="BK73" i="33"/>
  <c r="BK74" i="33" s="1"/>
  <c r="BL73" i="33"/>
  <c r="BL74" i="33" s="1"/>
  <c r="BM73" i="33"/>
  <c r="BM74" i="33" s="1"/>
  <c r="BN73" i="33"/>
  <c r="BN74" i="33" s="1"/>
  <c r="BO73" i="33"/>
  <c r="BO74" i="33" s="1"/>
  <c r="BP73" i="33"/>
  <c r="BP74" i="33" s="1"/>
  <c r="BQ73" i="33"/>
  <c r="BQ74" i="33" s="1"/>
  <c r="BG69" i="33"/>
  <c r="AR70" i="33"/>
  <c r="BB72" i="33"/>
  <c r="BF71" i="33"/>
  <c r="BG71" i="33" s="1"/>
  <c r="CJ77" i="33"/>
  <c r="CV72" i="33"/>
  <c r="DB72" i="33"/>
  <c r="DP72" i="33" s="1"/>
  <c r="DC72" i="33"/>
  <c r="DQ72" i="33" s="1"/>
  <c r="CP77" i="33"/>
  <c r="DD72" i="33"/>
  <c r="DR72" i="33" s="1"/>
  <c r="DE72" i="33"/>
  <c r="DF72" i="33"/>
  <c r="DT72" i="33" s="1"/>
  <c r="DH72" i="33"/>
  <c r="DV72" i="33" s="1"/>
  <c r="DJ77" i="33"/>
  <c r="DY77" i="33"/>
  <c r="DX77" i="33"/>
  <c r="CX95" i="33"/>
  <c r="CX96" i="33" s="1"/>
  <c r="DJ78" i="33"/>
  <c r="CY95" i="33"/>
  <c r="CY96" i="33" s="1"/>
  <c r="CZ95" i="33"/>
  <c r="CZ96" i="33" s="1"/>
  <c r="DA95" i="33"/>
  <c r="DA96" i="33" s="1"/>
  <c r="DB95" i="33"/>
  <c r="DB96" i="33" s="1"/>
  <c r="DC95" i="33"/>
  <c r="DC96" i="33" s="1"/>
  <c r="DD95" i="33"/>
  <c r="DD96" i="33" s="1"/>
  <c r="DE95" i="33"/>
  <c r="DE96" i="33" s="1"/>
  <c r="DF95" i="33"/>
  <c r="DF96" i="33" s="1"/>
  <c r="DG95" i="33"/>
  <c r="DG96" i="33" s="1"/>
  <c r="DH95" i="33"/>
  <c r="DH96" i="33" s="1"/>
  <c r="DI95" i="33"/>
  <c r="DI96" i="33" s="1"/>
  <c r="DL95" i="33"/>
  <c r="DL96" i="33" s="1"/>
  <c r="DY78" i="33"/>
  <c r="DX78" i="33"/>
  <c r="DM95" i="33"/>
  <c r="DM96" i="33" s="1"/>
  <c r="DN95" i="33"/>
  <c r="DN96" i="33" s="1"/>
  <c r="DO95" i="33"/>
  <c r="DO96" i="33" s="1"/>
  <c r="DP95" i="33"/>
  <c r="DP96" i="33" s="1"/>
  <c r="DQ95" i="33"/>
  <c r="DQ96" i="33" s="1"/>
  <c r="DR95" i="33"/>
  <c r="DR96" i="33" s="1"/>
  <c r="DS95" i="33"/>
  <c r="DS96" i="33" s="1"/>
  <c r="DT95" i="33"/>
  <c r="DT96" i="33" s="1"/>
  <c r="DU95" i="33"/>
  <c r="DU96" i="33" s="1"/>
  <c r="DV95" i="33"/>
  <c r="DV96" i="33" s="1"/>
  <c r="DW95" i="33"/>
  <c r="DW96" i="33" s="1"/>
  <c r="AF94" i="33"/>
  <c r="AF93" i="33"/>
  <c r="AR81" i="33"/>
  <c r="AG94" i="33"/>
  <c r="AG93" i="33"/>
  <c r="AH93" i="33"/>
  <c r="AI94" i="33"/>
  <c r="AI93" i="33"/>
  <c r="AJ94" i="33"/>
  <c r="AJ93" i="33"/>
  <c r="AK94" i="33"/>
  <c r="AK93" i="33"/>
  <c r="AL94" i="33"/>
  <c r="AL93" i="33"/>
  <c r="AM94" i="33"/>
  <c r="AN94" i="33"/>
  <c r="AO94" i="33"/>
  <c r="AO88" i="33"/>
  <c r="AP94" i="33"/>
  <c r="AP88" i="33"/>
  <c r="AQ94" i="33"/>
  <c r="AQ88" i="33"/>
  <c r="AT94" i="33"/>
  <c r="AT88" i="33"/>
  <c r="BF81" i="33"/>
  <c r="AU94" i="33"/>
  <c r="AU88" i="33"/>
  <c r="AV94" i="33"/>
  <c r="AV88" i="33"/>
  <c r="AW94" i="33"/>
  <c r="AW88" i="33"/>
  <c r="AX94" i="33"/>
  <c r="AX88" i="33"/>
  <c r="AY94" i="33"/>
  <c r="AY88" i="33"/>
  <c r="AZ94" i="33"/>
  <c r="AZ88" i="33"/>
  <c r="BA94" i="33"/>
  <c r="BA88" i="33"/>
  <c r="BB94" i="33"/>
  <c r="BB88" i="33"/>
  <c r="BC94" i="33"/>
  <c r="BC88" i="33"/>
  <c r="BH94" i="33"/>
  <c r="BT81" i="33"/>
  <c r="BI94" i="33"/>
  <c r="BJ94" i="33"/>
  <c r="BK94" i="33"/>
  <c r="BL94" i="33"/>
  <c r="BM94" i="33"/>
  <c r="BN94" i="33"/>
  <c r="BO94" i="33"/>
  <c r="BP94" i="33"/>
  <c r="BV87" i="33"/>
  <c r="CH81" i="33"/>
  <c r="CL84" i="33"/>
  <c r="CU98" i="33"/>
  <c r="CU93" i="33"/>
  <c r="BG84" i="33"/>
  <c r="BP85" i="33"/>
  <c r="BT84" i="33"/>
  <c r="CH84" i="33"/>
  <c r="BT85" i="33"/>
  <c r="BG86" i="33"/>
  <c r="CH86" i="33"/>
  <c r="CN89" i="33"/>
  <c r="CN96" i="33" s="1"/>
  <c r="CO88" i="33"/>
  <c r="AM93" i="33"/>
  <c r="AR90" i="33"/>
  <c r="AN93" i="33"/>
  <c r="AO93" i="33"/>
  <c r="AP93" i="33"/>
  <c r="AQ93" i="33"/>
  <c r="AT93" i="33"/>
  <c r="BF90" i="33"/>
  <c r="BG90" i="33" s="1"/>
  <c r="AU93" i="33"/>
  <c r="AV93" i="33"/>
  <c r="AW93" i="33"/>
  <c r="AX93" i="33"/>
  <c r="AY93" i="33"/>
  <c r="AZ93" i="33"/>
  <c r="BA93" i="33"/>
  <c r="BB93" i="33"/>
  <c r="BC93" i="33"/>
  <c r="BH93" i="33"/>
  <c r="BT90" i="33"/>
  <c r="BI93" i="33"/>
  <c r="BJ93" i="33"/>
  <c r="BK93" i="33"/>
  <c r="BL93" i="33"/>
  <c r="BM93" i="33"/>
  <c r="BN93" i="33"/>
  <c r="BO93" i="33"/>
  <c r="BP93" i="33"/>
  <c r="CB93" i="33"/>
  <c r="CH90" i="33"/>
  <c r="CC93" i="33"/>
  <c r="CD93" i="33"/>
  <c r="CG93" i="33"/>
  <c r="CK93" i="33"/>
  <c r="CL93" i="33"/>
  <c r="CZ90" i="33"/>
  <c r="CM93" i="33"/>
  <c r="DA90" i="33"/>
  <c r="DB93" i="33"/>
  <c r="DP90" i="33"/>
  <c r="DP93" i="33" s="1"/>
  <c r="DC93" i="33"/>
  <c r="DQ90" i="33"/>
  <c r="DQ93" i="33" s="1"/>
  <c r="DD93" i="33"/>
  <c r="DR90" i="33"/>
  <c r="DR93" i="33" s="1"/>
  <c r="DE93" i="33"/>
  <c r="DS90" i="33"/>
  <c r="DS93" i="33" s="1"/>
  <c r="DF93" i="33"/>
  <c r="DT90" i="33"/>
  <c r="DT93" i="33" s="1"/>
  <c r="DG93" i="33"/>
  <c r="DU90" i="33"/>
  <c r="DU93" i="33" s="1"/>
  <c r="DH93" i="33"/>
  <c r="DV90" i="33"/>
  <c r="DV93" i="33" s="1"/>
  <c r="DI93" i="33"/>
  <c r="DW90" i="33"/>
  <c r="DW93" i="33" s="1"/>
  <c r="DL93" i="33"/>
  <c r="DM93" i="33"/>
  <c r="CY94" i="30"/>
  <c r="DK77" i="30"/>
  <c r="CS18" i="30" s="1"/>
  <c r="DJ77" i="30"/>
  <c r="CZ94" i="30"/>
  <c r="DA94" i="30"/>
  <c r="DB94" i="30"/>
  <c r="DC94" i="30"/>
  <c r="DD94" i="30"/>
  <c r="DE94" i="30"/>
  <c r="DG94" i="30"/>
  <c r="DH94" i="30"/>
  <c r="DI94" i="30"/>
  <c r="CU20" i="30"/>
  <c r="CU18" i="30" s="1"/>
  <c r="CT18" i="30"/>
  <c r="CZ80" i="30"/>
  <c r="CZ10" i="30" s="1"/>
  <c r="DL79" i="30"/>
  <c r="DX37" i="30"/>
  <c r="DL76" i="30"/>
  <c r="DX74" i="30" s="1"/>
  <c r="CX79" i="30"/>
  <c r="DA80" i="30"/>
  <c r="DY37" i="30"/>
  <c r="BY85" i="32"/>
  <c r="BY83" i="32" s="1"/>
  <c r="BY80" i="32"/>
  <c r="BZ85" i="32"/>
  <c r="BZ83" i="32" s="1"/>
  <c r="BZ80" i="32"/>
  <c r="CA85" i="32"/>
  <c r="CA83" i="32" s="1"/>
  <c r="CA80" i="32"/>
  <c r="CB85" i="32"/>
  <c r="CB83" i="32" s="1"/>
  <c r="CB80" i="32"/>
  <c r="CC85" i="32"/>
  <c r="CC83" i="32" s="1"/>
  <c r="CC80" i="32"/>
  <c r="CD85" i="32"/>
  <c r="CD83" i="32" s="1"/>
  <c r="CD80" i="32"/>
  <c r="CE85" i="32"/>
  <c r="CE83" i="32" s="1"/>
  <c r="CE80" i="32"/>
  <c r="CF85" i="32"/>
  <c r="CF83" i="32" s="1"/>
  <c r="CF80" i="32"/>
  <c r="CG85" i="32"/>
  <c r="CG83" i="32" s="1"/>
  <c r="CG80" i="32"/>
  <c r="CJ85" i="32"/>
  <c r="CJ80" i="32"/>
  <c r="CK85" i="32"/>
  <c r="CK80" i="32"/>
  <c r="CM88" i="32"/>
  <c r="CM85" i="32"/>
  <c r="CM80" i="32"/>
  <c r="CN85" i="32"/>
  <c r="CN80" i="32"/>
  <c r="CO85" i="32"/>
  <c r="CO80" i="32"/>
  <c r="CP97" i="32"/>
  <c r="CP93" i="32"/>
  <c r="CP92" i="32"/>
  <c r="CQ97" i="32"/>
  <c r="CQ92" i="32"/>
  <c r="CR97" i="32"/>
  <c r="CR92" i="32"/>
  <c r="CT97" i="32"/>
  <c r="CT92" i="32"/>
  <c r="CT79" i="32"/>
  <c r="CX85" i="32"/>
  <c r="CX80" i="32"/>
  <c r="CY85" i="32"/>
  <c r="CY80" i="32"/>
  <c r="CZ85" i="32"/>
  <c r="CZ80" i="32"/>
  <c r="DA85" i="32"/>
  <c r="DA80" i="32"/>
  <c r="DB85" i="32"/>
  <c r="DB80" i="32"/>
  <c r="DC85" i="32"/>
  <c r="DC80" i="32"/>
  <c r="DD85" i="32"/>
  <c r="DD80" i="32"/>
  <c r="DE85" i="32"/>
  <c r="DE80" i="32"/>
  <c r="DF85" i="32"/>
  <c r="DF80" i="32"/>
  <c r="DG85" i="32"/>
  <c r="DG80" i="32"/>
  <c r="DH85" i="32"/>
  <c r="DH80" i="32"/>
  <c r="DI85" i="32"/>
  <c r="DI80" i="32"/>
  <c r="DL85" i="32"/>
  <c r="DL80" i="32"/>
  <c r="DM85" i="32"/>
  <c r="DM80" i="32"/>
  <c r="DN85" i="32"/>
  <c r="DN80" i="32"/>
  <c r="DO85" i="32"/>
  <c r="DO80" i="32"/>
  <c r="DP85" i="32"/>
  <c r="DP80" i="32"/>
  <c r="DQ85" i="32"/>
  <c r="DQ80" i="32"/>
  <c r="DR85" i="32"/>
  <c r="DR80" i="32"/>
  <c r="DS85" i="32"/>
  <c r="DS80" i="32"/>
  <c r="DT85" i="32"/>
  <c r="DT80" i="32"/>
  <c r="DU85" i="32"/>
  <c r="DU80" i="32"/>
  <c r="DV85" i="32"/>
  <c r="DV80" i="32"/>
  <c r="DW85" i="32"/>
  <c r="DW80" i="32"/>
  <c r="D31" i="32"/>
  <c r="D30" i="32"/>
  <c r="D28" i="32"/>
  <c r="E31" i="32"/>
  <c r="E30" i="32"/>
  <c r="E28" i="32"/>
  <c r="F31" i="32"/>
  <c r="F30" i="32"/>
  <c r="F28" i="32"/>
  <c r="G31" i="32"/>
  <c r="G30" i="32"/>
  <c r="G28" i="32"/>
  <c r="H31" i="32"/>
  <c r="H30" i="32"/>
  <c r="H28" i="32"/>
  <c r="I31" i="32"/>
  <c r="I30" i="32"/>
  <c r="I28" i="32"/>
  <c r="J31" i="32"/>
  <c r="J30" i="32"/>
  <c r="J28" i="32"/>
  <c r="K31" i="32"/>
  <c r="K30" i="32"/>
  <c r="K28" i="32"/>
  <c r="L31" i="32"/>
  <c r="L30" i="32"/>
  <c r="L28" i="32"/>
  <c r="M31" i="32"/>
  <c r="M30" i="32"/>
  <c r="M28" i="32"/>
  <c r="N31" i="32"/>
  <c r="N30" i="32"/>
  <c r="N28" i="32"/>
  <c r="O31" i="32"/>
  <c r="P31" i="32" s="1"/>
  <c r="O30" i="32"/>
  <c r="P30" i="32" s="1"/>
  <c r="O28" i="32"/>
  <c r="R31" i="32"/>
  <c r="R30" i="32"/>
  <c r="R28" i="32"/>
  <c r="S31" i="32"/>
  <c r="S30" i="32"/>
  <c r="S28" i="32"/>
  <c r="T31" i="32"/>
  <c r="T30" i="32"/>
  <c r="T28" i="32"/>
  <c r="U31" i="32"/>
  <c r="U30" i="32"/>
  <c r="U28" i="32"/>
  <c r="V31" i="32"/>
  <c r="V30" i="32"/>
  <c r="V28" i="32"/>
  <c r="W31" i="32"/>
  <c r="W30" i="32"/>
  <c r="W28" i="32"/>
  <c r="X31" i="32"/>
  <c r="X30" i="32"/>
  <c r="X28" i="32"/>
  <c r="Y31" i="32"/>
  <c r="Y30" i="32"/>
  <c r="Y28" i="32"/>
  <c r="Z31" i="32"/>
  <c r="Z30" i="32"/>
  <c r="Z28" i="32"/>
  <c r="AA31" i="32"/>
  <c r="AA30" i="32"/>
  <c r="AA28" i="32"/>
  <c r="AB31" i="32"/>
  <c r="AB30" i="32"/>
  <c r="AB28" i="32"/>
  <c r="AC31" i="32"/>
  <c r="AD31" i="32" s="1"/>
  <c r="AC30" i="32"/>
  <c r="AD30" i="32" s="1"/>
  <c r="AF32" i="32"/>
  <c r="AF65" i="32" s="1"/>
  <c r="AF31" i="32"/>
  <c r="AF28" i="32"/>
  <c r="AG31" i="32"/>
  <c r="AG28" i="32"/>
  <c r="AH32" i="32"/>
  <c r="AH65" i="32" s="1"/>
  <c r="AH31" i="32"/>
  <c r="AH28" i="32"/>
  <c r="AI32" i="32"/>
  <c r="AI65" i="32" s="1"/>
  <c r="AI31" i="32"/>
  <c r="AI28" i="32"/>
  <c r="AJ32" i="32"/>
  <c r="AJ65" i="32" s="1"/>
  <c r="AJ31" i="32"/>
  <c r="AJ28" i="32"/>
  <c r="AK32" i="32"/>
  <c r="AK65" i="32" s="1"/>
  <c r="AK31" i="32"/>
  <c r="AK28" i="32"/>
  <c r="AL32" i="32"/>
  <c r="AL65" i="32" s="1"/>
  <c r="AL31" i="32"/>
  <c r="AL28" i="32"/>
  <c r="AM32" i="32"/>
  <c r="AM65" i="32" s="1"/>
  <c r="AM31" i="32"/>
  <c r="AM28" i="32"/>
  <c r="AN32" i="32"/>
  <c r="AN65" i="32" s="1"/>
  <c r="AN31" i="32"/>
  <c r="AN28" i="32"/>
  <c r="AO32" i="32"/>
  <c r="AO65" i="32" s="1"/>
  <c r="AO31" i="32"/>
  <c r="AO28" i="32"/>
  <c r="AP32" i="32"/>
  <c r="AP65" i="32" s="1"/>
  <c r="AP31" i="32"/>
  <c r="AP28" i="32"/>
  <c r="AQ32" i="32"/>
  <c r="AQ31" i="32"/>
  <c r="AR31" i="32" s="1"/>
  <c r="AQ28" i="32"/>
  <c r="AR28" i="32" s="1"/>
  <c r="AR10" i="32"/>
  <c r="AT32" i="32"/>
  <c r="AT31" i="32"/>
  <c r="AT28" i="32"/>
  <c r="AU32" i="32"/>
  <c r="AU31" i="32"/>
  <c r="AU28" i="32"/>
  <c r="AV32" i="32"/>
  <c r="AV31" i="32"/>
  <c r="AV28" i="32"/>
  <c r="AW32" i="32"/>
  <c r="AW31" i="32"/>
  <c r="AW28" i="32"/>
  <c r="AX32" i="32"/>
  <c r="AX31" i="32"/>
  <c r="AX28" i="32"/>
  <c r="AY32" i="32"/>
  <c r="AY31" i="32"/>
  <c r="AY28" i="32"/>
  <c r="AZ31" i="32"/>
  <c r="AZ28" i="32"/>
  <c r="BA32" i="32"/>
  <c r="BA31" i="32"/>
  <c r="BA28" i="32"/>
  <c r="BB32" i="32"/>
  <c r="BB31" i="32"/>
  <c r="BC31" i="32" s="1"/>
  <c r="BD31" i="32" s="1"/>
  <c r="BE31" i="32" s="1"/>
  <c r="BF31" i="32" s="1"/>
  <c r="BB28" i="32"/>
  <c r="BC32" i="32"/>
  <c r="BC28" i="32"/>
  <c r="BD32" i="32"/>
  <c r="BD28" i="32"/>
  <c r="BE32" i="32"/>
  <c r="BE28" i="32"/>
  <c r="BF28" i="32" s="1"/>
  <c r="BF10" i="32"/>
  <c r="BH32" i="32"/>
  <c r="BH31" i="32"/>
  <c r="BH28" i="32"/>
  <c r="BI32" i="32"/>
  <c r="BI31" i="32"/>
  <c r="BI28" i="32"/>
  <c r="BJ32" i="32"/>
  <c r="BJ31" i="32"/>
  <c r="BJ28" i="32"/>
  <c r="BK32" i="32"/>
  <c r="BK31" i="32"/>
  <c r="BK28" i="32"/>
  <c r="BL32" i="32"/>
  <c r="BL31" i="32"/>
  <c r="BL28" i="32"/>
  <c r="BM32" i="32"/>
  <c r="BM31" i="32"/>
  <c r="BM28" i="32"/>
  <c r="BN32" i="32"/>
  <c r="BN31" i="32"/>
  <c r="BN28" i="32"/>
  <c r="BO31" i="32"/>
  <c r="BO28" i="32"/>
  <c r="BP31" i="32"/>
  <c r="BP28" i="32"/>
  <c r="BQ31" i="32"/>
  <c r="BQ28" i="32"/>
  <c r="BR31" i="32"/>
  <c r="BR28" i="32"/>
  <c r="BS31" i="32"/>
  <c r="BT31" i="32" s="1"/>
  <c r="BS28" i="32"/>
  <c r="BT28" i="32" s="1"/>
  <c r="BT10" i="32"/>
  <c r="CJ10" i="32"/>
  <c r="CS28" i="32"/>
  <c r="AQ30" i="32"/>
  <c r="AR30" i="32" s="1"/>
  <c r="AR29" i="32"/>
  <c r="AT30" i="32"/>
  <c r="BF30" i="32" s="1"/>
  <c r="BF29" i="32"/>
  <c r="BS30" i="32"/>
  <c r="BT30" i="32" s="1"/>
  <c r="BT29" i="32"/>
  <c r="CG30" i="32"/>
  <c r="CH30" i="32" s="1"/>
  <c r="CH29" i="32"/>
  <c r="R93" i="32"/>
  <c r="BV76" i="32"/>
  <c r="CH76" i="32" s="1"/>
  <c r="CH33" i="32"/>
  <c r="BH69" i="32"/>
  <c r="BH37" i="32"/>
  <c r="BT34" i="32"/>
  <c r="BT37" i="32" s="1"/>
  <c r="BI69" i="32"/>
  <c r="BI37" i="32"/>
  <c r="BJ69" i="32"/>
  <c r="BJ37" i="32"/>
  <c r="BK69" i="32"/>
  <c r="BK37" i="32"/>
  <c r="BL69" i="32"/>
  <c r="BL37" i="32"/>
  <c r="BM69" i="32"/>
  <c r="BM37" i="32"/>
  <c r="BN69" i="32"/>
  <c r="BN37" i="32"/>
  <c r="BO69" i="32"/>
  <c r="BO37" i="32"/>
  <c r="BP69" i="32"/>
  <c r="BP37" i="32"/>
  <c r="AN69" i="32"/>
  <c r="AR37" i="32"/>
  <c r="CK37" i="32"/>
  <c r="CL36" i="32"/>
  <c r="CQ37" i="32"/>
  <c r="CR36" i="32"/>
  <c r="AT69" i="32"/>
  <c r="BF69" i="32" s="1"/>
  <c r="BF37" i="32"/>
  <c r="BG37" i="32" s="1"/>
  <c r="BR63" i="32"/>
  <c r="CJ63" i="32"/>
  <c r="CJ38" i="32"/>
  <c r="CP63" i="32"/>
  <c r="CP38" i="32"/>
  <c r="CP39" i="32" s="1"/>
  <c r="DY37" i="32"/>
  <c r="T61" i="32"/>
  <c r="T33" i="32" s="1"/>
  <c r="T93" i="32" s="1"/>
  <c r="AD40" i="32"/>
  <c r="BG40" i="32"/>
  <c r="BG41" i="32"/>
  <c r="BG42" i="32"/>
  <c r="S61" i="32"/>
  <c r="S33" i="32" s="1"/>
  <c r="AD43" i="32"/>
  <c r="BG43" i="32"/>
  <c r="BG44" i="32"/>
  <c r="BG45" i="32"/>
  <c r="BG46" i="32"/>
  <c r="BG47" i="32"/>
  <c r="BG48" i="32"/>
  <c r="AH61" i="32"/>
  <c r="AR49" i="32"/>
  <c r="BG49" i="32"/>
  <c r="BG50" i="32"/>
  <c r="BG51" i="32"/>
  <c r="BG52" i="32"/>
  <c r="BG53" i="32"/>
  <c r="BG54" i="32"/>
  <c r="BG55" i="32"/>
  <c r="BV61" i="32"/>
  <c r="CH55" i="32"/>
  <c r="BG56" i="32"/>
  <c r="BG57" i="32"/>
  <c r="BG58" i="32"/>
  <c r="BG60" i="32"/>
  <c r="AD61" i="32"/>
  <c r="AF71" i="32"/>
  <c r="AR61" i="32"/>
  <c r="AL71" i="32"/>
  <c r="AL63" i="32"/>
  <c r="AP71" i="32"/>
  <c r="AP63" i="32"/>
  <c r="AQ71" i="32"/>
  <c r="AQ63" i="32"/>
  <c r="AT71" i="32"/>
  <c r="BF61" i="32"/>
  <c r="BG61" i="32" s="1"/>
  <c r="BG64" i="32" s="1"/>
  <c r="BA71" i="32"/>
  <c r="BA62" i="32"/>
  <c r="BO65" i="32"/>
  <c r="BT63" i="32"/>
  <c r="BB65" i="32"/>
  <c r="BF64" i="32"/>
  <c r="BF65" i="32"/>
  <c r="BT65" i="32"/>
  <c r="AF72" i="32"/>
  <c r="AR67" i="32"/>
  <c r="AG72" i="32"/>
  <c r="AI72" i="32"/>
  <c r="AJ72" i="32"/>
  <c r="AK72" i="32"/>
  <c r="AL72" i="32"/>
  <c r="AM72" i="32"/>
  <c r="AN72" i="32"/>
  <c r="AO72" i="32"/>
  <c r="AP72" i="32"/>
  <c r="AQ72" i="32"/>
  <c r="AT72" i="32"/>
  <c r="BF67" i="32"/>
  <c r="BG67" i="32" s="1"/>
  <c r="AU72" i="32"/>
  <c r="AU73" i="32" s="1"/>
  <c r="AV72" i="32"/>
  <c r="AV73" i="32" s="1"/>
  <c r="AW72" i="32"/>
  <c r="AW73" i="32" s="1"/>
  <c r="AX72" i="32"/>
  <c r="AX73" i="32" s="1"/>
  <c r="AY72" i="32"/>
  <c r="AY73" i="32" s="1"/>
  <c r="AZ72" i="32"/>
  <c r="AZ73" i="32" s="1"/>
  <c r="BA72" i="32"/>
  <c r="BA73" i="32" s="1"/>
  <c r="BB72" i="32"/>
  <c r="BB73" i="32" s="1"/>
  <c r="BC72" i="32"/>
  <c r="BC73" i="32" s="1"/>
  <c r="BD72" i="32"/>
  <c r="BD73" i="32" s="1"/>
  <c r="BE72" i="32"/>
  <c r="BE73" i="32" s="1"/>
  <c r="BH72" i="32"/>
  <c r="BT67" i="32"/>
  <c r="BI72" i="32"/>
  <c r="BI73" i="32" s="1"/>
  <c r="BJ72" i="32"/>
  <c r="BJ73" i="32" s="1"/>
  <c r="BK72" i="32"/>
  <c r="BK73" i="32" s="1"/>
  <c r="BL72" i="32"/>
  <c r="BL73" i="32" s="1"/>
  <c r="BM72" i="32"/>
  <c r="BM73" i="32" s="1"/>
  <c r="BN72" i="32"/>
  <c r="BN73" i="32" s="1"/>
  <c r="BO72" i="32"/>
  <c r="BO73" i="32" s="1"/>
  <c r="BP72" i="32"/>
  <c r="BP73" i="32" s="1"/>
  <c r="BQ72" i="32"/>
  <c r="BQ73" i="32" s="1"/>
  <c r="BG68" i="32"/>
  <c r="AR69" i="32"/>
  <c r="BB71" i="32"/>
  <c r="BF70" i="32"/>
  <c r="BG70" i="32" s="1"/>
  <c r="CJ76" i="32"/>
  <c r="CX71" i="32"/>
  <c r="CV71" i="32"/>
  <c r="CY71" i="32"/>
  <c r="CZ71" i="32"/>
  <c r="DB71" i="32"/>
  <c r="DC71" i="32"/>
  <c r="CP76" i="32"/>
  <c r="DD71" i="32"/>
  <c r="DE71" i="32"/>
  <c r="DF71" i="32"/>
  <c r="DG71" i="32"/>
  <c r="DH71" i="32"/>
  <c r="DK76" i="32"/>
  <c r="DJ76" i="32"/>
  <c r="DY76" i="32"/>
  <c r="DX76" i="32"/>
  <c r="CX94" i="32"/>
  <c r="CX95" i="32" s="1"/>
  <c r="DK77" i="32"/>
  <c r="DJ77" i="32"/>
  <c r="CY94" i="32"/>
  <c r="CY95" i="32" s="1"/>
  <c r="CZ94" i="32"/>
  <c r="CZ95" i="32" s="1"/>
  <c r="DA94" i="32"/>
  <c r="DA95" i="32" s="1"/>
  <c r="DB94" i="32"/>
  <c r="DB95" i="32" s="1"/>
  <c r="DC94" i="32"/>
  <c r="DC95" i="32" s="1"/>
  <c r="DD94" i="32"/>
  <c r="DD95" i="32" s="1"/>
  <c r="DE94" i="32"/>
  <c r="DE95" i="32" s="1"/>
  <c r="DF94" i="32"/>
  <c r="DF95" i="32" s="1"/>
  <c r="DG94" i="32"/>
  <c r="DG95" i="32" s="1"/>
  <c r="DH94" i="32"/>
  <c r="DH95" i="32" s="1"/>
  <c r="DI94" i="32"/>
  <c r="DI95" i="32" s="1"/>
  <c r="DL94" i="32"/>
  <c r="DL95" i="32" s="1"/>
  <c r="DY77" i="32"/>
  <c r="DX77" i="32"/>
  <c r="DM94" i="32"/>
  <c r="DM95" i="32" s="1"/>
  <c r="DN94" i="32"/>
  <c r="DN95" i="32" s="1"/>
  <c r="DO94" i="32"/>
  <c r="DO95" i="32" s="1"/>
  <c r="DP94" i="32"/>
  <c r="DP95" i="32" s="1"/>
  <c r="DQ94" i="32"/>
  <c r="DQ95" i="32" s="1"/>
  <c r="DR94" i="32"/>
  <c r="DR95" i="32" s="1"/>
  <c r="DS94" i="32"/>
  <c r="DS95" i="32" s="1"/>
  <c r="DT94" i="32"/>
  <c r="DT95" i="32" s="1"/>
  <c r="DU94" i="32"/>
  <c r="DU95" i="32" s="1"/>
  <c r="DV94" i="32"/>
  <c r="DV95" i="32" s="1"/>
  <c r="DW94" i="32"/>
  <c r="DW95" i="32" s="1"/>
  <c r="AF93" i="32"/>
  <c r="AF92" i="32"/>
  <c r="AR80" i="32"/>
  <c r="AG93" i="32"/>
  <c r="AG92" i="32"/>
  <c r="AH92" i="32"/>
  <c r="AI93" i="32"/>
  <c r="AI92" i="32"/>
  <c r="AJ93" i="32"/>
  <c r="AJ92" i="32"/>
  <c r="AK93" i="32"/>
  <c r="AK92" i="32"/>
  <c r="AL93" i="32"/>
  <c r="AL92" i="32"/>
  <c r="AM93" i="32"/>
  <c r="AN93" i="32"/>
  <c r="AO93" i="32"/>
  <c r="AO87" i="32"/>
  <c r="AP93" i="32"/>
  <c r="AP87" i="32"/>
  <c r="AQ93" i="32"/>
  <c r="AQ87" i="32"/>
  <c r="AT93" i="32"/>
  <c r="AT87" i="32"/>
  <c r="BF80" i="32"/>
  <c r="AU93" i="32"/>
  <c r="AU87" i="32"/>
  <c r="AV93" i="32"/>
  <c r="AV87" i="32"/>
  <c r="AW93" i="32"/>
  <c r="AW87" i="32"/>
  <c r="AX93" i="32"/>
  <c r="AX87" i="32"/>
  <c r="AY93" i="32"/>
  <c r="AY87" i="32"/>
  <c r="AZ93" i="32"/>
  <c r="AZ87" i="32"/>
  <c r="BA93" i="32"/>
  <c r="BA87" i="32"/>
  <c r="BB93" i="32"/>
  <c r="BB87" i="32"/>
  <c r="BC93" i="32"/>
  <c r="BC87" i="32"/>
  <c r="BH93" i="32"/>
  <c r="BT80" i="32"/>
  <c r="BI93" i="32"/>
  <c r="BJ93" i="32"/>
  <c r="BK93" i="32"/>
  <c r="BL93" i="32"/>
  <c r="BM93" i="32"/>
  <c r="BN93" i="32"/>
  <c r="BO93" i="32"/>
  <c r="BP93" i="32"/>
  <c r="BV86" i="32"/>
  <c r="CH80" i="32"/>
  <c r="CL83" i="32"/>
  <c r="CU97" i="32"/>
  <c r="CU92" i="32"/>
  <c r="BG83" i="32"/>
  <c r="BP84" i="32"/>
  <c r="BT83" i="32"/>
  <c r="CH83" i="32"/>
  <c r="BT84" i="32"/>
  <c r="BG85" i="32"/>
  <c r="CH85" i="32"/>
  <c r="CN88" i="32"/>
  <c r="CN95" i="32" s="1"/>
  <c r="CO87" i="32"/>
  <c r="AM92" i="32"/>
  <c r="AR89" i="32"/>
  <c r="AN92" i="32"/>
  <c r="AO92" i="32"/>
  <c r="AP92" i="32"/>
  <c r="AQ92" i="32"/>
  <c r="AT92" i="32"/>
  <c r="BF89" i="32"/>
  <c r="BG89" i="32" s="1"/>
  <c r="AU92" i="32"/>
  <c r="AV92" i="32"/>
  <c r="AW92" i="32"/>
  <c r="AX92" i="32"/>
  <c r="AY92" i="32"/>
  <c r="AZ92" i="32"/>
  <c r="BA92" i="32"/>
  <c r="BB92" i="32"/>
  <c r="BC92" i="32"/>
  <c r="BH92" i="32"/>
  <c r="BT89" i="32"/>
  <c r="BI92" i="32"/>
  <c r="BJ92" i="32"/>
  <c r="BK92" i="32"/>
  <c r="BL92" i="32"/>
  <c r="BM92" i="32"/>
  <c r="BN92" i="32"/>
  <c r="BO92" i="32"/>
  <c r="BP92" i="32"/>
  <c r="CB92" i="32"/>
  <c r="CH89" i="32"/>
  <c r="CC92" i="32"/>
  <c r="CD92" i="32"/>
  <c r="CG92" i="32"/>
  <c r="CK92" i="32"/>
  <c r="CY89" i="32"/>
  <c r="CL92" i="32"/>
  <c r="CZ89" i="32"/>
  <c r="CM92" i="32"/>
  <c r="DA89" i="32"/>
  <c r="CX92" i="32"/>
  <c r="DL89" i="32"/>
  <c r="DL92" i="32" s="1"/>
  <c r="DB92" i="32"/>
  <c r="DP89" i="32"/>
  <c r="DP92" i="32" s="1"/>
  <c r="DC92" i="32"/>
  <c r="DQ89" i="32"/>
  <c r="DQ92" i="32" s="1"/>
  <c r="DD92" i="32"/>
  <c r="DR89" i="32"/>
  <c r="DR92" i="32" s="1"/>
  <c r="DE92" i="32"/>
  <c r="DS89" i="32"/>
  <c r="DS92" i="32" s="1"/>
  <c r="DF92" i="32"/>
  <c r="DT89" i="32"/>
  <c r="DT92" i="32" s="1"/>
  <c r="DG92" i="32"/>
  <c r="DU89" i="32"/>
  <c r="DU92" i="32" s="1"/>
  <c r="DH92" i="32"/>
  <c r="DV89" i="32"/>
  <c r="DV92" i="32" s="1"/>
  <c r="DI92" i="32"/>
  <c r="DW89" i="32"/>
  <c r="DW92" i="32" s="1"/>
  <c r="DL85" i="30"/>
  <c r="DM85" i="30"/>
  <c r="DM80" i="30"/>
  <c r="DN85" i="30"/>
  <c r="DN80" i="30"/>
  <c r="DO85" i="30"/>
  <c r="DO80" i="30"/>
  <c r="DP85" i="30"/>
  <c r="DP80" i="30"/>
  <c r="DQ85" i="30"/>
  <c r="DQ80" i="30"/>
  <c r="DR85" i="30"/>
  <c r="DR80" i="30"/>
  <c r="DS85" i="30"/>
  <c r="DS80" i="30"/>
  <c r="DT85" i="30"/>
  <c r="DT80" i="30"/>
  <c r="DU85" i="30"/>
  <c r="DU80" i="30"/>
  <c r="DV85" i="30"/>
  <c r="DV80" i="30"/>
  <c r="DW85" i="30"/>
  <c r="DW80" i="30"/>
  <c r="DY76" i="30"/>
  <c r="DX76" i="30"/>
  <c r="DL94" i="30"/>
  <c r="DL95" i="30" s="1"/>
  <c r="DY77" i="30"/>
  <c r="DX77" i="30"/>
  <c r="DM94" i="30"/>
  <c r="DM95" i="30" s="1"/>
  <c r="DN94" i="30"/>
  <c r="DN95" i="30" s="1"/>
  <c r="DO94" i="30"/>
  <c r="DO95" i="30" s="1"/>
  <c r="DP94" i="30"/>
  <c r="DP95" i="30" s="1"/>
  <c r="DQ94" i="30"/>
  <c r="DQ95" i="30" s="1"/>
  <c r="DR94" i="30"/>
  <c r="DR95" i="30" s="1"/>
  <c r="DS94" i="30"/>
  <c r="DS95" i="30" s="1"/>
  <c r="DT94" i="30"/>
  <c r="DT95" i="30" s="1"/>
  <c r="DU94" i="30"/>
  <c r="DU95" i="30" s="1"/>
  <c r="DV94" i="30"/>
  <c r="DV95" i="30" s="1"/>
  <c r="DW94" i="30"/>
  <c r="DW95" i="30" s="1"/>
  <c r="DL92" i="30"/>
  <c r="DP92" i="30"/>
  <c r="DQ92" i="30"/>
  <c r="DR92" i="30"/>
  <c r="DS92" i="30"/>
  <c r="DT92" i="30"/>
  <c r="DU92" i="30"/>
  <c r="DV92" i="30"/>
  <c r="DW92" i="30"/>
  <c r="CZ95" i="30"/>
  <c r="CY80" i="30"/>
  <c r="CY95" i="30" s="1"/>
  <c r="CX94" i="30"/>
  <c r="DK76" i="30"/>
  <c r="CS17" i="30" s="1"/>
  <c r="CX74" i="30"/>
  <c r="CW74" i="30" s="1"/>
  <c r="DA95" i="30"/>
  <c r="DB84" i="30"/>
  <c r="DB80" i="30" s="1"/>
  <c r="CT21" i="30"/>
  <c r="CU21" i="30" s="1"/>
  <c r="DA79" i="30"/>
  <c r="CZ21" i="30"/>
  <c r="DA21" i="30" s="1"/>
  <c r="DB21" i="30"/>
  <c r="DC21" i="30" s="1"/>
  <c r="CU80" i="30"/>
  <c r="DD78" i="30"/>
  <c r="DJ78" i="30" s="1"/>
  <c r="DI74" i="30"/>
  <c r="DH74" i="30"/>
  <c r="DG74" i="30"/>
  <c r="DF74" i="30"/>
  <c r="DE74" i="30"/>
  <c r="DI82" i="30"/>
  <c r="DJ82" i="30" s="1"/>
  <c r="BY47" i="30"/>
  <c r="BY41" i="29"/>
  <c r="BY41" i="28"/>
  <c r="BY41" i="27"/>
  <c r="BY41" i="26"/>
  <c r="BY36" i="23"/>
  <c r="BY41" i="22"/>
  <c r="BY36" i="16"/>
  <c r="CC48" i="30"/>
  <c r="CC42" i="29"/>
  <c r="CC42" i="28"/>
  <c r="CC42" i="27"/>
  <c r="CC42" i="26"/>
  <c r="CC37" i="23"/>
  <c r="CC42" i="22"/>
  <c r="CC37" i="16"/>
  <c r="BY43" i="30"/>
  <c r="BY37" i="29"/>
  <c r="BY37" i="28"/>
  <c r="BY37" i="27"/>
  <c r="BY37" i="26"/>
  <c r="BY32" i="23"/>
  <c r="BY37" i="22"/>
  <c r="BY32" i="16"/>
  <c r="BG83" i="30"/>
  <c r="BY85" i="30"/>
  <c r="BY83" i="30" s="1"/>
  <c r="BY80" i="30"/>
  <c r="BZ85" i="30"/>
  <c r="BZ83" i="30" s="1"/>
  <c r="BZ80" i="30"/>
  <c r="CA85" i="30"/>
  <c r="CA83" i="30" s="1"/>
  <c r="CA80" i="30"/>
  <c r="CB85" i="30"/>
  <c r="CB83" i="30" s="1"/>
  <c r="CB80" i="30"/>
  <c r="CC85" i="30"/>
  <c r="CC83" i="30" s="1"/>
  <c r="CC80" i="30"/>
  <c r="CD85" i="30"/>
  <c r="CD83" i="30" s="1"/>
  <c r="CD80" i="30"/>
  <c r="CE85" i="30"/>
  <c r="CE83" i="30" s="1"/>
  <c r="CE80" i="30"/>
  <c r="CF85" i="30"/>
  <c r="CF83" i="30" s="1"/>
  <c r="CF80" i="30"/>
  <c r="CG85" i="30"/>
  <c r="CG83" i="30" s="1"/>
  <c r="CG80" i="30"/>
  <c r="CJ85" i="30"/>
  <c r="CJ83" i="30"/>
  <c r="CK85" i="30"/>
  <c r="CK80" i="30"/>
  <c r="CK83" i="30" s="1"/>
  <c r="CM88" i="30"/>
  <c r="CM85" i="30"/>
  <c r="CM80" i="30"/>
  <c r="CM83" i="30" s="1"/>
  <c r="CN85" i="30"/>
  <c r="CN80" i="30"/>
  <c r="CN83" i="30" s="1"/>
  <c r="CO85" i="30"/>
  <c r="CO80" i="30"/>
  <c r="CO83" i="30" s="1"/>
  <c r="CP97" i="30"/>
  <c r="CP93" i="30"/>
  <c r="CP92" i="30"/>
  <c r="CQ97" i="30"/>
  <c r="CQ92" i="30"/>
  <c r="CR97" i="30"/>
  <c r="CR92" i="30"/>
  <c r="CT97" i="30"/>
  <c r="CT92" i="30"/>
  <c r="CX85" i="30"/>
  <c r="CY85" i="30"/>
  <c r="CZ85" i="30"/>
  <c r="DA85" i="30"/>
  <c r="DB85" i="30"/>
  <c r="DC85" i="30"/>
  <c r="DD85" i="30"/>
  <c r="DE85" i="30"/>
  <c r="DF85" i="30"/>
  <c r="DG85" i="30"/>
  <c r="DH85" i="30"/>
  <c r="DI85" i="30"/>
  <c r="D30" i="30"/>
  <c r="D29" i="30"/>
  <c r="D32" i="30"/>
  <c r="E30" i="30"/>
  <c r="E29" i="30"/>
  <c r="E32" i="30"/>
  <c r="F30" i="30"/>
  <c r="F29" i="30"/>
  <c r="F32" i="30"/>
  <c r="G30" i="30"/>
  <c r="G29" i="30"/>
  <c r="G32" i="30"/>
  <c r="H30" i="30"/>
  <c r="H29" i="30"/>
  <c r="H32" i="30"/>
  <c r="I30" i="30"/>
  <c r="I29" i="30"/>
  <c r="I32" i="30"/>
  <c r="J30" i="30"/>
  <c r="J29" i="30"/>
  <c r="J32" i="30"/>
  <c r="K30" i="30"/>
  <c r="K29" i="30"/>
  <c r="K32" i="30"/>
  <c r="L30" i="30"/>
  <c r="L29" i="30"/>
  <c r="L32" i="30"/>
  <c r="M30" i="30"/>
  <c r="M29" i="30"/>
  <c r="M32" i="30"/>
  <c r="N30" i="30"/>
  <c r="N29" i="30"/>
  <c r="N32" i="30"/>
  <c r="O30" i="30"/>
  <c r="P30" i="30" s="1"/>
  <c r="O29" i="30"/>
  <c r="P29" i="30" s="1"/>
  <c r="O32" i="30"/>
  <c r="R30" i="30"/>
  <c r="R29" i="30"/>
  <c r="R32" i="30"/>
  <c r="S30" i="30"/>
  <c r="S29" i="30"/>
  <c r="S32" i="30"/>
  <c r="T30" i="30"/>
  <c r="T29" i="30"/>
  <c r="T32" i="30"/>
  <c r="U30" i="30"/>
  <c r="U29" i="30"/>
  <c r="U32" i="30"/>
  <c r="V30" i="30"/>
  <c r="V29" i="30"/>
  <c r="V32" i="30"/>
  <c r="W30" i="30"/>
  <c r="W29" i="30"/>
  <c r="W32" i="30"/>
  <c r="X30" i="30"/>
  <c r="X29" i="30"/>
  <c r="X32" i="30"/>
  <c r="Y30" i="30"/>
  <c r="Y29" i="30"/>
  <c r="Y32" i="30"/>
  <c r="Z30" i="30"/>
  <c r="Z29" i="30"/>
  <c r="Z32" i="30"/>
  <c r="AA30" i="30"/>
  <c r="AA29" i="30"/>
  <c r="AA32" i="30"/>
  <c r="AB30" i="30"/>
  <c r="AB29" i="30"/>
  <c r="AB32" i="30"/>
  <c r="AC30" i="30"/>
  <c r="AD30" i="30" s="1"/>
  <c r="AC29" i="30"/>
  <c r="AD29" i="30" s="1"/>
  <c r="AF31" i="30"/>
  <c r="AF65" i="30" s="1"/>
  <c r="AF30" i="30"/>
  <c r="AF32" i="30"/>
  <c r="AG30" i="30"/>
  <c r="AG32" i="30"/>
  <c r="AH31" i="30"/>
  <c r="AH65" i="30" s="1"/>
  <c r="AH30" i="30"/>
  <c r="AH32" i="30"/>
  <c r="AI31" i="30"/>
  <c r="AI65" i="30" s="1"/>
  <c r="AI30" i="30"/>
  <c r="AI32" i="30"/>
  <c r="AJ31" i="30"/>
  <c r="AJ65" i="30" s="1"/>
  <c r="AJ30" i="30"/>
  <c r="AJ32" i="30"/>
  <c r="AK31" i="30"/>
  <c r="AK65" i="30" s="1"/>
  <c r="AK30" i="30"/>
  <c r="AK32" i="30"/>
  <c r="AL31" i="30"/>
  <c r="AL65" i="30" s="1"/>
  <c r="AL30" i="30"/>
  <c r="AL32" i="30"/>
  <c r="AM31" i="30"/>
  <c r="AM65" i="30" s="1"/>
  <c r="AM30" i="30"/>
  <c r="AM32" i="30"/>
  <c r="AN31" i="30"/>
  <c r="AN65" i="30" s="1"/>
  <c r="AN30" i="30"/>
  <c r="AN32" i="30"/>
  <c r="AO31" i="30"/>
  <c r="AO65" i="30" s="1"/>
  <c r="AO30" i="30"/>
  <c r="AO32" i="30"/>
  <c r="AP31" i="30"/>
  <c r="AP65" i="30" s="1"/>
  <c r="AP30" i="30"/>
  <c r="AP32" i="30"/>
  <c r="AQ31" i="30"/>
  <c r="AQ30" i="30"/>
  <c r="AR30" i="30" s="1"/>
  <c r="AQ32" i="30"/>
  <c r="AR32" i="30" s="1"/>
  <c r="AR10" i="30"/>
  <c r="AT31" i="30"/>
  <c r="AT30" i="30"/>
  <c r="AT32" i="30"/>
  <c r="AU31" i="30"/>
  <c r="AU30" i="30"/>
  <c r="AU32" i="30"/>
  <c r="AV31" i="30"/>
  <c r="AV30" i="30"/>
  <c r="AV32" i="30"/>
  <c r="AW31" i="30"/>
  <c r="AW30" i="30"/>
  <c r="AW32" i="30"/>
  <c r="AX31" i="30"/>
  <c r="AX30" i="30"/>
  <c r="AX32" i="30"/>
  <c r="AY31" i="30"/>
  <c r="AY30" i="30"/>
  <c r="AY32" i="30"/>
  <c r="AZ30" i="30"/>
  <c r="AZ32" i="30"/>
  <c r="BA31" i="30"/>
  <c r="BA30" i="30"/>
  <c r="BA32" i="30"/>
  <c r="BB31" i="30"/>
  <c r="BB30" i="30"/>
  <c r="BC30" i="30" s="1"/>
  <c r="BD30" i="30" s="1"/>
  <c r="BE30" i="30" s="1"/>
  <c r="BF30" i="30" s="1"/>
  <c r="BB32" i="30"/>
  <c r="BC31" i="30"/>
  <c r="BC32" i="30"/>
  <c r="BD31" i="30"/>
  <c r="BD32" i="30"/>
  <c r="BE31" i="30"/>
  <c r="BE32" i="30"/>
  <c r="BF32" i="30" s="1"/>
  <c r="BF10" i="30"/>
  <c r="BH31" i="30"/>
  <c r="BH30" i="30"/>
  <c r="BH32" i="30"/>
  <c r="BI31" i="30"/>
  <c r="BI30" i="30"/>
  <c r="BI32" i="30"/>
  <c r="BJ31" i="30"/>
  <c r="BJ30" i="30"/>
  <c r="BJ32" i="30"/>
  <c r="BK31" i="30"/>
  <c r="BK30" i="30"/>
  <c r="BK32" i="30"/>
  <c r="BL31" i="30"/>
  <c r="BL30" i="30"/>
  <c r="BL32" i="30"/>
  <c r="BM31" i="30"/>
  <c r="BM30" i="30"/>
  <c r="BM32" i="30"/>
  <c r="BN31" i="30"/>
  <c r="BN30" i="30"/>
  <c r="BN32" i="30"/>
  <c r="BO30" i="30"/>
  <c r="BO32" i="30"/>
  <c r="BP30" i="30"/>
  <c r="BP32" i="30"/>
  <c r="BQ30" i="30"/>
  <c r="BQ32" i="30"/>
  <c r="BR30" i="30"/>
  <c r="BR32" i="30"/>
  <c r="BS30" i="30"/>
  <c r="BT30" i="30" s="1"/>
  <c r="BS32" i="30"/>
  <c r="BT32" i="30" s="1"/>
  <c r="BT10" i="30"/>
  <c r="CJ10" i="30"/>
  <c r="AQ29" i="30"/>
  <c r="AR29" i="30" s="1"/>
  <c r="AR28" i="30"/>
  <c r="AT29" i="30"/>
  <c r="BF29" i="30" s="1"/>
  <c r="BF28" i="30"/>
  <c r="BS29" i="30"/>
  <c r="BT29" i="30" s="1"/>
  <c r="BT28" i="30"/>
  <c r="CG29" i="30"/>
  <c r="CH29" i="30" s="1"/>
  <c r="CH28" i="30"/>
  <c r="R93" i="30"/>
  <c r="BV76" i="30"/>
  <c r="BH69" i="30"/>
  <c r="BH37" i="30"/>
  <c r="BT34" i="30"/>
  <c r="BT37" i="30" s="1"/>
  <c r="BI69" i="30"/>
  <c r="BI37" i="30"/>
  <c r="BJ69" i="30"/>
  <c r="BJ37" i="30"/>
  <c r="BK69" i="30"/>
  <c r="BK37" i="30"/>
  <c r="BL69" i="30"/>
  <c r="BL37" i="30"/>
  <c r="BM69" i="30"/>
  <c r="BM37" i="30"/>
  <c r="BN69" i="30"/>
  <c r="BN37" i="30"/>
  <c r="BO69" i="30"/>
  <c r="BO37" i="30"/>
  <c r="BP69" i="30"/>
  <c r="BP37" i="30"/>
  <c r="AN69" i="30"/>
  <c r="AR37" i="30"/>
  <c r="CK37" i="30"/>
  <c r="CL36" i="30"/>
  <c r="CQ37" i="30"/>
  <c r="CR36" i="30"/>
  <c r="AT69" i="30"/>
  <c r="BF69" i="30" s="1"/>
  <c r="BF37" i="30"/>
  <c r="BG37" i="30" s="1"/>
  <c r="BR63" i="30"/>
  <c r="CJ63" i="30"/>
  <c r="CJ38" i="30"/>
  <c r="CP63" i="30"/>
  <c r="CP38" i="30"/>
  <c r="CP39" i="30" s="1"/>
  <c r="T61" i="30"/>
  <c r="T33" i="30" s="1"/>
  <c r="T93" i="30" s="1"/>
  <c r="AD40" i="30"/>
  <c r="BG40" i="30"/>
  <c r="BG41" i="30"/>
  <c r="BG42" i="30"/>
  <c r="S61" i="30"/>
  <c r="S33" i="30" s="1"/>
  <c r="AD43" i="30"/>
  <c r="BG43" i="30"/>
  <c r="BG44" i="30"/>
  <c r="BG45" i="30"/>
  <c r="BG46" i="30"/>
  <c r="BG47" i="30"/>
  <c r="BG48" i="30"/>
  <c r="AH61" i="30"/>
  <c r="AR49" i="30"/>
  <c r="BG49" i="30"/>
  <c r="BG50" i="30"/>
  <c r="BG51" i="30"/>
  <c r="BG52" i="30"/>
  <c r="BG53" i="30"/>
  <c r="BG54" i="30"/>
  <c r="BG55" i="30"/>
  <c r="BV61" i="30"/>
  <c r="CH55" i="30"/>
  <c r="BG56" i="30"/>
  <c r="BG57" i="30"/>
  <c r="BG58" i="30"/>
  <c r="BG60" i="30"/>
  <c r="AD61" i="30"/>
  <c r="AF71" i="30"/>
  <c r="AR61" i="30"/>
  <c r="AL71" i="30"/>
  <c r="AL63" i="30"/>
  <c r="AP71" i="30"/>
  <c r="AP63" i="30"/>
  <c r="AQ71" i="30"/>
  <c r="AQ63" i="30"/>
  <c r="AT71" i="30"/>
  <c r="BF61" i="30"/>
  <c r="BG61" i="30" s="1"/>
  <c r="BG64" i="30" s="1"/>
  <c r="BA71" i="30"/>
  <c r="BA62" i="30"/>
  <c r="BO65" i="30"/>
  <c r="BT63" i="30"/>
  <c r="BB65" i="30"/>
  <c r="BF64" i="30"/>
  <c r="BF65" i="30"/>
  <c r="BT65" i="30"/>
  <c r="AF72" i="30"/>
  <c r="AR67" i="30"/>
  <c r="AG72" i="30"/>
  <c r="AI72" i="30"/>
  <c r="AJ72" i="30"/>
  <c r="AK72" i="30"/>
  <c r="AL72" i="30"/>
  <c r="AM72" i="30"/>
  <c r="AN72" i="30"/>
  <c r="AO72" i="30"/>
  <c r="AP72" i="30"/>
  <c r="AQ72" i="30"/>
  <c r="AT72" i="30"/>
  <c r="BF67" i="30"/>
  <c r="BG67" i="30" s="1"/>
  <c r="AU72" i="30"/>
  <c r="AU73" i="30" s="1"/>
  <c r="AV72" i="30"/>
  <c r="AV73" i="30" s="1"/>
  <c r="AW72" i="30"/>
  <c r="AW73" i="30" s="1"/>
  <c r="AX72" i="30"/>
  <c r="AX73" i="30" s="1"/>
  <c r="AY72" i="30"/>
  <c r="AY73" i="30" s="1"/>
  <c r="AZ72" i="30"/>
  <c r="AZ73" i="30" s="1"/>
  <c r="BA72" i="30"/>
  <c r="BA73" i="30" s="1"/>
  <c r="BB72" i="30"/>
  <c r="BB73" i="30" s="1"/>
  <c r="BC72" i="30"/>
  <c r="BC73" i="30" s="1"/>
  <c r="BD72" i="30"/>
  <c r="BD73" i="30" s="1"/>
  <c r="BE72" i="30"/>
  <c r="BE73" i="30" s="1"/>
  <c r="BH72" i="30"/>
  <c r="BT67" i="30"/>
  <c r="BI72" i="30"/>
  <c r="BI73" i="30" s="1"/>
  <c r="BJ72" i="30"/>
  <c r="BJ73" i="30" s="1"/>
  <c r="BK72" i="30"/>
  <c r="BK73" i="30" s="1"/>
  <c r="BL72" i="30"/>
  <c r="BL73" i="30" s="1"/>
  <c r="BM72" i="30"/>
  <c r="BM73" i="30" s="1"/>
  <c r="BN72" i="30"/>
  <c r="BN73" i="30" s="1"/>
  <c r="BO72" i="30"/>
  <c r="BO73" i="30" s="1"/>
  <c r="BP72" i="30"/>
  <c r="BP73" i="30" s="1"/>
  <c r="BQ72" i="30"/>
  <c r="BQ73" i="30" s="1"/>
  <c r="BG68" i="30"/>
  <c r="AR69" i="30"/>
  <c r="BB71" i="30"/>
  <c r="BF70" i="30"/>
  <c r="BG70" i="30" s="1"/>
  <c r="CJ76" i="30"/>
  <c r="CX71" i="30"/>
  <c r="CV71" i="30"/>
  <c r="CY33" i="30"/>
  <c r="CZ71" i="30"/>
  <c r="DB71" i="30"/>
  <c r="DC71" i="30"/>
  <c r="CP76" i="30"/>
  <c r="DD71" i="30"/>
  <c r="DE71" i="30"/>
  <c r="DF71" i="30"/>
  <c r="DG71" i="30"/>
  <c r="DH71" i="30"/>
  <c r="DI71" i="30"/>
  <c r="AF93" i="30"/>
  <c r="AF92" i="30"/>
  <c r="AR80" i="30"/>
  <c r="AG93" i="30"/>
  <c r="AG92" i="30"/>
  <c r="AH92" i="30"/>
  <c r="AI93" i="30"/>
  <c r="AI92" i="30"/>
  <c r="AJ93" i="30"/>
  <c r="AJ92" i="30"/>
  <c r="AK93" i="30"/>
  <c r="AK92" i="30"/>
  <c r="AL93" i="30"/>
  <c r="AL92" i="30"/>
  <c r="AM93" i="30"/>
  <c r="AN93" i="30"/>
  <c r="AO93" i="30"/>
  <c r="AO87" i="30"/>
  <c r="AP93" i="30"/>
  <c r="AP87" i="30"/>
  <c r="AQ93" i="30"/>
  <c r="AQ87" i="30"/>
  <c r="AT93" i="30"/>
  <c r="AT87" i="30"/>
  <c r="BF80" i="30"/>
  <c r="AU93" i="30"/>
  <c r="AU87" i="30"/>
  <c r="AV93" i="30"/>
  <c r="AV87" i="30"/>
  <c r="AW93" i="30"/>
  <c r="AW87" i="30"/>
  <c r="AX93" i="30"/>
  <c r="AX87" i="30"/>
  <c r="AY93" i="30"/>
  <c r="AY87" i="30"/>
  <c r="AZ93" i="30"/>
  <c r="AZ87" i="30"/>
  <c r="BA93" i="30"/>
  <c r="BA87" i="30"/>
  <c r="BB93" i="30"/>
  <c r="BB87" i="30"/>
  <c r="BC93" i="30"/>
  <c r="BC87" i="30"/>
  <c r="BH93" i="30"/>
  <c r="BT80" i="30"/>
  <c r="BI93" i="30"/>
  <c r="BJ93" i="30"/>
  <c r="BK93" i="30"/>
  <c r="BL93" i="30"/>
  <c r="BM93" i="30"/>
  <c r="BN93" i="30"/>
  <c r="BO93" i="30"/>
  <c r="BP93" i="30"/>
  <c r="BV86" i="30"/>
  <c r="CH80" i="30"/>
  <c r="CU97" i="30"/>
  <c r="CU92" i="30"/>
  <c r="BG85" i="30"/>
  <c r="CH85" i="30"/>
  <c r="CN88" i="30"/>
  <c r="CN95" i="30" s="1"/>
  <c r="CO87" i="30"/>
  <c r="AM92" i="30"/>
  <c r="AR89" i="30"/>
  <c r="AN92" i="30"/>
  <c r="AO92" i="30"/>
  <c r="AP92" i="30"/>
  <c r="AQ92" i="30"/>
  <c r="AT92" i="30"/>
  <c r="BF89" i="30"/>
  <c r="BG89" i="30" s="1"/>
  <c r="AU92" i="30"/>
  <c r="AV92" i="30"/>
  <c r="AW92" i="30"/>
  <c r="AX92" i="30"/>
  <c r="AY92" i="30"/>
  <c r="AZ92" i="30"/>
  <c r="BA92" i="30"/>
  <c r="BB92" i="30"/>
  <c r="BC92" i="30"/>
  <c r="BH92" i="30"/>
  <c r="BT89" i="30"/>
  <c r="BI92" i="30"/>
  <c r="BJ92" i="30"/>
  <c r="BK92" i="30"/>
  <c r="BL92" i="30"/>
  <c r="BM92" i="30"/>
  <c r="BN92" i="30"/>
  <c r="BO92" i="30"/>
  <c r="BP92" i="30"/>
  <c r="CB92" i="30"/>
  <c r="CH89" i="30"/>
  <c r="CC92" i="30"/>
  <c r="CD92" i="30"/>
  <c r="CG92" i="30"/>
  <c r="CK92" i="30"/>
  <c r="CL92" i="30"/>
  <c r="CM92" i="30"/>
  <c r="CK32" i="22"/>
  <c r="CK27" i="22"/>
  <c r="DI65" i="22"/>
  <c r="DI27" i="22" s="1"/>
  <c r="DH65" i="22"/>
  <c r="DH27" i="22" s="1"/>
  <c r="DG65" i="22"/>
  <c r="DG27" i="22" s="1"/>
  <c r="DF65" i="22"/>
  <c r="DF27" i="22" s="1"/>
  <c r="DE65" i="22"/>
  <c r="DE27" i="22" s="1"/>
  <c r="CP70" i="22"/>
  <c r="CP27" i="22"/>
  <c r="DD65" i="22"/>
  <c r="DC65" i="22"/>
  <c r="DC27" i="22" s="1"/>
  <c r="DB65" i="22"/>
  <c r="CZ65" i="22"/>
  <c r="CZ27" i="22" s="1"/>
  <c r="CK70" i="22"/>
  <c r="CY65" i="22"/>
  <c r="CY27" i="22" s="1"/>
  <c r="CX65" i="22"/>
  <c r="CJ32" i="22"/>
  <c r="CJ33" i="22"/>
  <c r="CJ27" i="22"/>
  <c r="DI13" i="22"/>
  <c r="DD27" i="22"/>
  <c r="CQ77" i="22"/>
  <c r="CQ84" i="22" s="1"/>
  <c r="CQ71" i="22"/>
  <c r="DJ32" i="22"/>
  <c r="DB27" i="22"/>
  <c r="DJ31" i="22"/>
  <c r="CP86" i="22"/>
  <c r="CQ86" i="22"/>
  <c r="BY74" i="29"/>
  <c r="BY72" i="29" s="1"/>
  <c r="BY71" i="29"/>
  <c r="BZ74" i="29"/>
  <c r="BZ72" i="29" s="1"/>
  <c r="BZ71" i="29"/>
  <c r="CA74" i="29"/>
  <c r="CA72" i="29" s="1"/>
  <c r="CA71" i="29"/>
  <c r="CB74" i="29"/>
  <c r="CB72" i="29" s="1"/>
  <c r="CB71" i="29"/>
  <c r="CC74" i="29"/>
  <c r="CC72" i="29" s="1"/>
  <c r="CC71" i="29"/>
  <c r="CD74" i="29"/>
  <c r="CD72" i="29" s="1"/>
  <c r="CD71" i="29"/>
  <c r="CE74" i="29"/>
  <c r="CE72" i="29" s="1"/>
  <c r="CE71" i="29"/>
  <c r="CF74" i="29"/>
  <c r="CF72" i="29" s="1"/>
  <c r="CF71" i="29"/>
  <c r="CG74" i="29"/>
  <c r="CG72" i="29" s="1"/>
  <c r="CG71" i="29"/>
  <c r="CJ74" i="29"/>
  <c r="CJ71" i="29"/>
  <c r="CK74" i="29"/>
  <c r="CK71" i="29"/>
  <c r="CM77" i="29"/>
  <c r="CM74" i="29"/>
  <c r="CM71" i="29"/>
  <c r="CN74" i="29"/>
  <c r="CN71" i="29"/>
  <c r="CO74" i="29"/>
  <c r="CO71" i="29"/>
  <c r="CP86" i="29"/>
  <c r="CP82" i="29"/>
  <c r="CP81" i="29"/>
  <c r="CQ86" i="29"/>
  <c r="CQ82" i="29"/>
  <c r="CQ81" i="29"/>
  <c r="CR86" i="29"/>
  <c r="CR82" i="29"/>
  <c r="CR81" i="29"/>
  <c r="CX74" i="29"/>
  <c r="CY74" i="29"/>
  <c r="CZ74" i="29"/>
  <c r="DA74" i="29"/>
  <c r="DB74" i="29"/>
  <c r="DC74" i="29"/>
  <c r="D25" i="29"/>
  <c r="D24" i="29"/>
  <c r="D22" i="29"/>
  <c r="E25" i="29"/>
  <c r="E24" i="29"/>
  <c r="E22" i="29"/>
  <c r="F25" i="29"/>
  <c r="F24" i="29"/>
  <c r="F22" i="29"/>
  <c r="G25" i="29"/>
  <c r="G24" i="29"/>
  <c r="G22" i="29"/>
  <c r="H25" i="29"/>
  <c r="H24" i="29"/>
  <c r="H22" i="29"/>
  <c r="I25" i="29"/>
  <c r="I24" i="29"/>
  <c r="I22" i="29"/>
  <c r="J25" i="29"/>
  <c r="J24" i="29"/>
  <c r="J22" i="29"/>
  <c r="K25" i="29"/>
  <c r="K24" i="29"/>
  <c r="K22" i="29"/>
  <c r="L25" i="29"/>
  <c r="L24" i="29"/>
  <c r="L22" i="29"/>
  <c r="M25" i="29"/>
  <c r="M24" i="29"/>
  <c r="M22" i="29"/>
  <c r="N25" i="29"/>
  <c r="N24" i="29"/>
  <c r="N22" i="29"/>
  <c r="O25" i="29"/>
  <c r="P25" i="29" s="1"/>
  <c r="O24" i="29"/>
  <c r="P24" i="29" s="1"/>
  <c r="O22" i="29"/>
  <c r="R25" i="29"/>
  <c r="R24" i="29"/>
  <c r="R22" i="29"/>
  <c r="S25" i="29"/>
  <c r="S24" i="29"/>
  <c r="S22" i="29"/>
  <c r="T25" i="29"/>
  <c r="T24" i="29"/>
  <c r="T22" i="29"/>
  <c r="U25" i="29"/>
  <c r="U24" i="29"/>
  <c r="U22" i="29"/>
  <c r="V25" i="29"/>
  <c r="V24" i="29"/>
  <c r="V22" i="29"/>
  <c r="W25" i="29"/>
  <c r="W24" i="29"/>
  <c r="W22" i="29"/>
  <c r="X25" i="29"/>
  <c r="X24" i="29"/>
  <c r="X22" i="29"/>
  <c r="Y25" i="29"/>
  <c r="Y24" i="29"/>
  <c r="Y22" i="29"/>
  <c r="Z25" i="29"/>
  <c r="Z24" i="29"/>
  <c r="Z22" i="29"/>
  <c r="AA25" i="29"/>
  <c r="AA24" i="29"/>
  <c r="AA22" i="29"/>
  <c r="AB25" i="29"/>
  <c r="AB24" i="29"/>
  <c r="AB22" i="29"/>
  <c r="AC25" i="29"/>
  <c r="AD25" i="29" s="1"/>
  <c r="AC24" i="29"/>
  <c r="AD24" i="29" s="1"/>
  <c r="AF26" i="29"/>
  <c r="AF59" i="29" s="1"/>
  <c r="AF25" i="29"/>
  <c r="AF22" i="29"/>
  <c r="AG25" i="29"/>
  <c r="AG22" i="29"/>
  <c r="AH26" i="29"/>
  <c r="AH59" i="29" s="1"/>
  <c r="AH25" i="29"/>
  <c r="AH22" i="29"/>
  <c r="AI26" i="29"/>
  <c r="AI59" i="29" s="1"/>
  <c r="AI25" i="29"/>
  <c r="AI22" i="29"/>
  <c r="AJ26" i="29"/>
  <c r="AJ59" i="29" s="1"/>
  <c r="AJ25" i="29"/>
  <c r="AJ22" i="29"/>
  <c r="AK26" i="29"/>
  <c r="AK59" i="29" s="1"/>
  <c r="AK25" i="29"/>
  <c r="AK22" i="29"/>
  <c r="AL26" i="29"/>
  <c r="AL59" i="29" s="1"/>
  <c r="AL25" i="29"/>
  <c r="AL22" i="29"/>
  <c r="AM26" i="29"/>
  <c r="AM59" i="29" s="1"/>
  <c r="AM25" i="29"/>
  <c r="AM22" i="29"/>
  <c r="AN26" i="29"/>
  <c r="AN59" i="29" s="1"/>
  <c r="AN25" i="29"/>
  <c r="AN22" i="29"/>
  <c r="AO26" i="29"/>
  <c r="AO59" i="29" s="1"/>
  <c r="AO25" i="29"/>
  <c r="AO22" i="29"/>
  <c r="AP26" i="29"/>
  <c r="AP59" i="29" s="1"/>
  <c r="AP25" i="29"/>
  <c r="AP22" i="29"/>
  <c r="AQ26" i="29"/>
  <c r="AQ25" i="29"/>
  <c r="AR25" i="29" s="1"/>
  <c r="AQ22" i="29"/>
  <c r="AR22" i="29" s="1"/>
  <c r="AR10" i="29"/>
  <c r="AT26" i="29"/>
  <c r="AT25" i="29"/>
  <c r="AT22" i="29"/>
  <c r="AU26" i="29"/>
  <c r="AU25" i="29"/>
  <c r="AU22" i="29"/>
  <c r="AV26" i="29"/>
  <c r="AV25" i="29"/>
  <c r="AV22" i="29"/>
  <c r="AW26" i="29"/>
  <c r="AW25" i="29"/>
  <c r="AW22" i="29"/>
  <c r="AX26" i="29"/>
  <c r="AX25" i="29"/>
  <c r="AX22" i="29"/>
  <c r="AY26" i="29"/>
  <c r="AY25" i="29"/>
  <c r="AY22" i="29"/>
  <c r="AZ25" i="29"/>
  <c r="AZ22" i="29"/>
  <c r="BA26" i="29"/>
  <c r="BA25" i="29"/>
  <c r="BA22" i="29"/>
  <c r="BB26" i="29"/>
  <c r="BB25" i="29"/>
  <c r="BC25" i="29" s="1"/>
  <c r="BD25" i="29" s="1"/>
  <c r="BE25" i="29" s="1"/>
  <c r="BF25" i="29" s="1"/>
  <c r="BB22" i="29"/>
  <c r="BC26" i="29"/>
  <c r="BC22" i="29"/>
  <c r="BD26" i="29"/>
  <c r="BD22" i="29"/>
  <c r="BE26" i="29"/>
  <c r="BE22" i="29"/>
  <c r="BF22" i="29" s="1"/>
  <c r="BF10" i="29"/>
  <c r="BH26" i="29"/>
  <c r="BH25" i="29"/>
  <c r="BH22" i="29"/>
  <c r="BI26" i="29"/>
  <c r="BI25" i="29"/>
  <c r="BI22" i="29"/>
  <c r="BJ26" i="29"/>
  <c r="BJ25" i="29"/>
  <c r="BJ22" i="29"/>
  <c r="BK26" i="29"/>
  <c r="BK25" i="29"/>
  <c r="BK22" i="29"/>
  <c r="BL26" i="29"/>
  <c r="BL25" i="29"/>
  <c r="BL22" i="29"/>
  <c r="BM26" i="29"/>
  <c r="BM25" i="29"/>
  <c r="BM22" i="29"/>
  <c r="BN26" i="29"/>
  <c r="BN25" i="29"/>
  <c r="BN22" i="29"/>
  <c r="BO25" i="29"/>
  <c r="BO22" i="29"/>
  <c r="BP25" i="29"/>
  <c r="BP22" i="29"/>
  <c r="BQ25" i="29"/>
  <c r="BQ22" i="29"/>
  <c r="BR25" i="29"/>
  <c r="BR22" i="29"/>
  <c r="BS25" i="29"/>
  <c r="BT25" i="29" s="1"/>
  <c r="BS22" i="29"/>
  <c r="BT22" i="29" s="1"/>
  <c r="BT10" i="29"/>
  <c r="CJ10" i="29"/>
  <c r="CK10" i="29" s="1"/>
  <c r="CN10" i="29"/>
  <c r="CO10" i="29" s="1"/>
  <c r="CP10" i="29" s="1"/>
  <c r="CQ10" i="29" s="1"/>
  <c r="CR10" i="29" s="1"/>
  <c r="AQ24" i="29"/>
  <c r="AR24" i="29" s="1"/>
  <c r="AR23" i="29"/>
  <c r="AT24" i="29"/>
  <c r="BF24" i="29" s="1"/>
  <c r="BF23" i="29"/>
  <c r="BS24" i="29"/>
  <c r="BT24" i="29" s="1"/>
  <c r="BT23" i="29"/>
  <c r="CG24" i="29"/>
  <c r="CH24" i="29" s="1"/>
  <c r="CH23" i="29"/>
  <c r="R82" i="29"/>
  <c r="BV70" i="29"/>
  <c r="CJ70" i="29"/>
  <c r="CX27" i="29"/>
  <c r="CX70" i="29" s="1"/>
  <c r="CV27" i="29"/>
  <c r="CW25" i="29" s="1"/>
  <c r="CK70" i="29"/>
  <c r="CY27" i="29"/>
  <c r="CY70" i="29" s="1"/>
  <c r="CL70" i="29"/>
  <c r="CZ27" i="29"/>
  <c r="CZ70" i="29" s="1"/>
  <c r="CM70" i="29"/>
  <c r="DA27" i="29"/>
  <c r="DA70" i="29" s="1"/>
  <c r="CN70" i="29"/>
  <c r="DB27" i="29"/>
  <c r="DB70" i="29" s="1"/>
  <c r="CO70" i="29"/>
  <c r="DC27" i="29"/>
  <c r="DC70" i="29" s="1"/>
  <c r="CP70" i="29"/>
  <c r="DD27" i="29"/>
  <c r="DD70" i="29" s="1"/>
  <c r="CQ70" i="29"/>
  <c r="DE27" i="29"/>
  <c r="DE70" i="29" s="1"/>
  <c r="CR70" i="29"/>
  <c r="DF27" i="29"/>
  <c r="DF70" i="29" s="1"/>
  <c r="CS70" i="29"/>
  <c r="CS69" i="29" s="1"/>
  <c r="DG27" i="29"/>
  <c r="DG70" i="29" s="1"/>
  <c r="CT70" i="29"/>
  <c r="CT69" i="29" s="1"/>
  <c r="DH27" i="29"/>
  <c r="DH70" i="29" s="1"/>
  <c r="CU70" i="29"/>
  <c r="CU69" i="29" s="1"/>
  <c r="DI27" i="29"/>
  <c r="DI70" i="29" s="1"/>
  <c r="BH63" i="29"/>
  <c r="BH31" i="29"/>
  <c r="BT28" i="29"/>
  <c r="BT31" i="29" s="1"/>
  <c r="BI63" i="29"/>
  <c r="BI31" i="29"/>
  <c r="BJ63" i="29"/>
  <c r="BJ31" i="29"/>
  <c r="BK63" i="29"/>
  <c r="BK31" i="29"/>
  <c r="BL63" i="29"/>
  <c r="BL31" i="29"/>
  <c r="BM63" i="29"/>
  <c r="BM31" i="29"/>
  <c r="BN63" i="29"/>
  <c r="BN31" i="29"/>
  <c r="BO63" i="29"/>
  <c r="BO31" i="29"/>
  <c r="BP63" i="29"/>
  <c r="BP31" i="29"/>
  <c r="AN63" i="29"/>
  <c r="AR31" i="29"/>
  <c r="AT63" i="29"/>
  <c r="BF63" i="29" s="1"/>
  <c r="BF31" i="29"/>
  <c r="BG31" i="29" s="1"/>
  <c r="BR57" i="29"/>
  <c r="CJ57" i="29"/>
  <c r="CJ33" i="29"/>
  <c r="CV31" i="29"/>
  <c r="CK57" i="29"/>
  <c r="CK33" i="29"/>
  <c r="CL57" i="29"/>
  <c r="CL33" i="29"/>
  <c r="CN57" i="29"/>
  <c r="CN33" i="29"/>
  <c r="CO57" i="29"/>
  <c r="CO33" i="29"/>
  <c r="CP57" i="29"/>
  <c r="CP33" i="29"/>
  <c r="CQ57" i="29"/>
  <c r="CQ33" i="29"/>
  <c r="CR57" i="29"/>
  <c r="CR33" i="29"/>
  <c r="CS57" i="29"/>
  <c r="CS33" i="29"/>
  <c r="CT57" i="29"/>
  <c r="CT33" i="29"/>
  <c r="CU57" i="29"/>
  <c r="CU33" i="29"/>
  <c r="T55" i="29"/>
  <c r="T27" i="29" s="1"/>
  <c r="T82" i="29" s="1"/>
  <c r="AD34" i="29"/>
  <c r="BG34" i="29"/>
  <c r="BG35" i="29"/>
  <c r="BG36" i="29"/>
  <c r="S55" i="29"/>
  <c r="S27" i="29" s="1"/>
  <c r="AD37" i="29"/>
  <c r="BG37" i="29"/>
  <c r="BG38" i="29"/>
  <c r="BG39" i="29"/>
  <c r="BG40" i="29"/>
  <c r="BG41" i="29"/>
  <c r="BG42" i="29"/>
  <c r="AH55" i="29"/>
  <c r="AR43" i="29"/>
  <c r="BG43" i="29"/>
  <c r="BG44" i="29"/>
  <c r="BG45" i="29"/>
  <c r="BG46" i="29"/>
  <c r="BG47" i="29"/>
  <c r="BG48" i="29"/>
  <c r="BG49" i="29"/>
  <c r="BV55" i="29"/>
  <c r="CH49" i="29"/>
  <c r="BG50" i="29"/>
  <c r="BG51" i="29"/>
  <c r="BG52" i="29"/>
  <c r="BG54" i="29"/>
  <c r="AD55" i="29"/>
  <c r="AF65" i="29"/>
  <c r="AR55" i="29"/>
  <c r="AL65" i="29"/>
  <c r="AL57" i="29"/>
  <c r="AP65" i="29"/>
  <c r="AP57" i="29"/>
  <c r="AQ65" i="29"/>
  <c r="AQ57" i="29"/>
  <c r="AT65" i="29"/>
  <c r="BF55" i="29"/>
  <c r="BG55" i="29" s="1"/>
  <c r="BG58" i="29" s="1"/>
  <c r="BA65" i="29"/>
  <c r="BA56" i="29"/>
  <c r="BO59" i="29"/>
  <c r="BT57" i="29"/>
  <c r="BB59" i="29"/>
  <c r="BF58" i="29"/>
  <c r="BF59" i="29"/>
  <c r="BT59" i="29"/>
  <c r="AF66" i="29"/>
  <c r="AR61" i="29"/>
  <c r="AG66" i="29"/>
  <c r="AI66" i="29"/>
  <c r="AJ66" i="29"/>
  <c r="AK66" i="29"/>
  <c r="AL66" i="29"/>
  <c r="AM66" i="29"/>
  <c r="AN66" i="29"/>
  <c r="AO66" i="29"/>
  <c r="AP66" i="29"/>
  <c r="AQ66" i="29"/>
  <c r="AT66" i="29"/>
  <c r="BF61" i="29"/>
  <c r="BG61" i="29" s="1"/>
  <c r="AU66" i="29"/>
  <c r="AU67" i="29" s="1"/>
  <c r="AV66" i="29"/>
  <c r="AV67" i="29" s="1"/>
  <c r="AW66" i="29"/>
  <c r="AW67" i="29" s="1"/>
  <c r="AX66" i="29"/>
  <c r="AX67" i="29" s="1"/>
  <c r="AY66" i="29"/>
  <c r="AY67" i="29" s="1"/>
  <c r="AZ66" i="29"/>
  <c r="AZ67" i="29" s="1"/>
  <c r="BA66" i="29"/>
  <c r="BA67" i="29" s="1"/>
  <c r="BB66" i="29"/>
  <c r="BB67" i="29" s="1"/>
  <c r="BC66" i="29"/>
  <c r="BC67" i="29" s="1"/>
  <c r="BD66" i="29"/>
  <c r="BD67" i="29" s="1"/>
  <c r="BE66" i="29"/>
  <c r="BE67" i="29" s="1"/>
  <c r="BH66" i="29"/>
  <c r="BT61" i="29"/>
  <c r="BI66" i="29"/>
  <c r="BI67" i="29" s="1"/>
  <c r="BJ66" i="29"/>
  <c r="BJ67" i="29" s="1"/>
  <c r="BK66" i="29"/>
  <c r="BK67" i="29" s="1"/>
  <c r="BL66" i="29"/>
  <c r="BL67" i="29" s="1"/>
  <c r="BM66" i="29"/>
  <c r="BM67" i="29" s="1"/>
  <c r="BN66" i="29"/>
  <c r="BN67" i="29" s="1"/>
  <c r="BO66" i="29"/>
  <c r="BO67" i="29" s="1"/>
  <c r="BP66" i="29"/>
  <c r="BP67" i="29" s="1"/>
  <c r="BQ66" i="29"/>
  <c r="BQ67" i="29" s="1"/>
  <c r="BG62" i="29"/>
  <c r="AR63" i="29"/>
  <c r="BB65" i="29"/>
  <c r="BF64" i="29"/>
  <c r="BG64" i="29" s="1"/>
  <c r="AF82" i="29"/>
  <c r="AF81" i="29"/>
  <c r="AR71" i="29"/>
  <c r="AG82" i="29"/>
  <c r="AG81" i="29"/>
  <c r="AH81" i="29"/>
  <c r="AI82" i="29"/>
  <c r="AI81" i="29"/>
  <c r="AJ82" i="29"/>
  <c r="AJ81" i="29"/>
  <c r="AK82" i="29"/>
  <c r="AK81" i="29"/>
  <c r="AL82" i="29"/>
  <c r="AL81" i="29"/>
  <c r="AM82" i="29"/>
  <c r="AN82" i="29"/>
  <c r="AO82" i="29"/>
  <c r="AO76" i="29"/>
  <c r="AP82" i="29"/>
  <c r="AP76" i="29"/>
  <c r="AQ82" i="29"/>
  <c r="AQ76" i="29"/>
  <c r="AT82" i="29"/>
  <c r="AT76" i="29"/>
  <c r="BF71" i="29"/>
  <c r="AU82" i="29"/>
  <c r="AU76" i="29"/>
  <c r="AV82" i="29"/>
  <c r="AV76" i="29"/>
  <c r="AW82" i="29"/>
  <c r="AW76" i="29"/>
  <c r="AX82" i="29"/>
  <c r="AX76" i="29"/>
  <c r="AY82" i="29"/>
  <c r="AY76" i="29"/>
  <c r="AZ82" i="29"/>
  <c r="AZ76" i="29"/>
  <c r="BA82" i="29"/>
  <c r="BA76" i="29"/>
  <c r="BB82" i="29"/>
  <c r="BB76" i="29"/>
  <c r="BC82" i="29"/>
  <c r="BC76" i="29"/>
  <c r="BH82" i="29"/>
  <c r="BT71" i="29"/>
  <c r="BI82" i="29"/>
  <c r="BJ82" i="29"/>
  <c r="BK82" i="29"/>
  <c r="BL82" i="29"/>
  <c r="BM82" i="29"/>
  <c r="BN82" i="29"/>
  <c r="BO82" i="29"/>
  <c r="BP82" i="29"/>
  <c r="BV75" i="29"/>
  <c r="CH71" i="29"/>
  <c r="CL82" i="29"/>
  <c r="CL72" i="29"/>
  <c r="BG72" i="29"/>
  <c r="BP73" i="29"/>
  <c r="BT72" i="29"/>
  <c r="CH72" i="29"/>
  <c r="BT73" i="29"/>
  <c r="CR85" i="29"/>
  <c r="CS73" i="29"/>
  <c r="BG74" i="29"/>
  <c r="CH74" i="29"/>
  <c r="CN77" i="29"/>
  <c r="CN84" i="29" s="1"/>
  <c r="CO76" i="29"/>
  <c r="AM81" i="29"/>
  <c r="AR78" i="29"/>
  <c r="AN81" i="29"/>
  <c r="AO81" i="29"/>
  <c r="AP81" i="29"/>
  <c r="AQ81" i="29"/>
  <c r="AT81" i="29"/>
  <c r="BF78" i="29"/>
  <c r="BG78" i="29" s="1"/>
  <c r="AU81" i="29"/>
  <c r="AV81" i="29"/>
  <c r="AW81" i="29"/>
  <c r="AX81" i="29"/>
  <c r="AY81" i="29"/>
  <c r="AZ81" i="29"/>
  <c r="BA81" i="29"/>
  <c r="BB81" i="29"/>
  <c r="BC81" i="29"/>
  <c r="BH81" i="29"/>
  <c r="BT78" i="29"/>
  <c r="BI81" i="29"/>
  <c r="BJ81" i="29"/>
  <c r="BK81" i="29"/>
  <c r="BL81" i="29"/>
  <c r="BM81" i="29"/>
  <c r="BN81" i="29"/>
  <c r="BO81" i="29"/>
  <c r="BP81" i="29"/>
  <c r="CB81" i="29"/>
  <c r="CH78" i="29"/>
  <c r="CC81" i="29"/>
  <c r="CD81" i="29"/>
  <c r="CG81" i="29"/>
  <c r="CJ81" i="29"/>
  <c r="CK81" i="29"/>
  <c r="CL81" i="29"/>
  <c r="CM81" i="29"/>
  <c r="CM77" i="22"/>
  <c r="CM74" i="22"/>
  <c r="CM71" i="22"/>
  <c r="BY74" i="28"/>
  <c r="BY72" i="28" s="1"/>
  <c r="BY71" i="28"/>
  <c r="BZ74" i="28"/>
  <c r="BZ72" i="28" s="1"/>
  <c r="BZ71" i="28"/>
  <c r="CA74" i="28"/>
  <c r="CA72" i="28" s="1"/>
  <c r="CA71" i="28"/>
  <c r="CB74" i="28"/>
  <c r="CB72" i="28" s="1"/>
  <c r="CB71" i="28"/>
  <c r="CC74" i="28"/>
  <c r="CC72" i="28" s="1"/>
  <c r="CC71" i="28"/>
  <c r="CD74" i="28"/>
  <c r="CD72" i="28" s="1"/>
  <c r="CD71" i="28"/>
  <c r="CE74" i="28"/>
  <c r="CE72" i="28" s="1"/>
  <c r="CE71" i="28"/>
  <c r="CF74" i="28"/>
  <c r="CF72" i="28" s="1"/>
  <c r="CF71" i="28"/>
  <c r="CG74" i="28"/>
  <c r="CG72" i="28" s="1"/>
  <c r="CG71" i="28"/>
  <c r="CJ74" i="28"/>
  <c r="CJ71" i="28"/>
  <c r="CK74" i="28"/>
  <c r="CK71" i="28"/>
  <c r="CM77" i="28"/>
  <c r="CM74" i="28"/>
  <c r="CM71" i="28"/>
  <c r="CN74" i="28"/>
  <c r="CN71" i="28"/>
  <c r="CO74" i="28"/>
  <c r="CO71" i="28"/>
  <c r="CP82" i="28"/>
  <c r="CP81" i="28"/>
  <c r="CQ82" i="28"/>
  <c r="CQ81" i="28"/>
  <c r="CR82" i="28"/>
  <c r="CR81" i="28"/>
  <c r="CS82" i="28"/>
  <c r="CS81" i="28"/>
  <c r="CT82" i="28"/>
  <c r="CT81" i="28"/>
  <c r="CU82" i="28"/>
  <c r="CU81" i="28"/>
  <c r="CX74" i="28"/>
  <c r="CX71" i="28"/>
  <c r="CY74" i="28"/>
  <c r="CY71" i="28"/>
  <c r="CZ74" i="28"/>
  <c r="CZ71" i="28"/>
  <c r="DA74" i="28"/>
  <c r="DA71" i="28"/>
  <c r="DB74" i="28"/>
  <c r="DB71" i="28"/>
  <c r="DC74" i="28"/>
  <c r="DC71" i="28"/>
  <c r="DD81" i="28"/>
  <c r="DE81" i="28"/>
  <c r="DF81" i="28"/>
  <c r="DG81" i="28"/>
  <c r="DH81" i="28"/>
  <c r="DI81" i="28"/>
  <c r="D25" i="28"/>
  <c r="D24" i="28"/>
  <c r="D22" i="28"/>
  <c r="E25" i="28"/>
  <c r="E24" i="28"/>
  <c r="E22" i="28"/>
  <c r="F25" i="28"/>
  <c r="F24" i="28"/>
  <c r="F22" i="28"/>
  <c r="G25" i="28"/>
  <c r="G24" i="28"/>
  <c r="G22" i="28"/>
  <c r="H25" i="28"/>
  <c r="H24" i="28"/>
  <c r="H22" i="28"/>
  <c r="I25" i="28"/>
  <c r="I24" i="28"/>
  <c r="I22" i="28"/>
  <c r="J25" i="28"/>
  <c r="J24" i="28"/>
  <c r="J22" i="28"/>
  <c r="K25" i="28"/>
  <c r="K24" i="28"/>
  <c r="K22" i="28"/>
  <c r="L25" i="28"/>
  <c r="L24" i="28"/>
  <c r="L22" i="28"/>
  <c r="M25" i="28"/>
  <c r="M24" i="28"/>
  <c r="M22" i="28"/>
  <c r="N25" i="28"/>
  <c r="N24" i="28"/>
  <c r="N22" i="28"/>
  <c r="O25" i="28"/>
  <c r="P25" i="28" s="1"/>
  <c r="O24" i="28"/>
  <c r="P24" i="28" s="1"/>
  <c r="O22" i="28"/>
  <c r="R25" i="28"/>
  <c r="R24" i="28"/>
  <c r="R22" i="28"/>
  <c r="S25" i="28"/>
  <c r="S24" i="28"/>
  <c r="S22" i="28"/>
  <c r="T25" i="28"/>
  <c r="T24" i="28"/>
  <c r="T22" i="28"/>
  <c r="U25" i="28"/>
  <c r="U24" i="28"/>
  <c r="U22" i="28"/>
  <c r="V25" i="28"/>
  <c r="V24" i="28"/>
  <c r="V22" i="28"/>
  <c r="W25" i="28"/>
  <c r="W24" i="28"/>
  <c r="W22" i="28"/>
  <c r="X25" i="28"/>
  <c r="X24" i="28"/>
  <c r="X22" i="28"/>
  <c r="Y25" i="28"/>
  <c r="Y24" i="28"/>
  <c r="Y22" i="28"/>
  <c r="Z25" i="28"/>
  <c r="Z24" i="28"/>
  <c r="Z22" i="28"/>
  <c r="AA25" i="28"/>
  <c r="AA24" i="28"/>
  <c r="AA22" i="28"/>
  <c r="AB25" i="28"/>
  <c r="AB24" i="28"/>
  <c r="AB22" i="28"/>
  <c r="AC25" i="28"/>
  <c r="AD25" i="28" s="1"/>
  <c r="AC24" i="28"/>
  <c r="AD24" i="28" s="1"/>
  <c r="AF26" i="28"/>
  <c r="AF59" i="28" s="1"/>
  <c r="AF25" i="28"/>
  <c r="AF22" i="28"/>
  <c r="AG25" i="28"/>
  <c r="AG22" i="28"/>
  <c r="AH26" i="28"/>
  <c r="AH59" i="28" s="1"/>
  <c r="AH25" i="28"/>
  <c r="AH22" i="28"/>
  <c r="AI26" i="28"/>
  <c r="AI59" i="28" s="1"/>
  <c r="AI25" i="28"/>
  <c r="AI22" i="28"/>
  <c r="AJ26" i="28"/>
  <c r="AJ59" i="28" s="1"/>
  <c r="AJ25" i="28"/>
  <c r="AJ22" i="28"/>
  <c r="AK26" i="28"/>
  <c r="AK59" i="28" s="1"/>
  <c r="AK25" i="28"/>
  <c r="AK22" i="28"/>
  <c r="AL26" i="28"/>
  <c r="AL59" i="28" s="1"/>
  <c r="AL25" i="28"/>
  <c r="AL22" i="28"/>
  <c r="AM26" i="28"/>
  <c r="AM59" i="28" s="1"/>
  <c r="AM25" i="28"/>
  <c r="AM22" i="28"/>
  <c r="AN26" i="28"/>
  <c r="AN59" i="28" s="1"/>
  <c r="AN25" i="28"/>
  <c r="AN22" i="28"/>
  <c r="AO26" i="28"/>
  <c r="AO59" i="28" s="1"/>
  <c r="AO25" i="28"/>
  <c r="AO22" i="28"/>
  <c r="AP26" i="28"/>
  <c r="AP59" i="28" s="1"/>
  <c r="AP25" i="28"/>
  <c r="AP22" i="28"/>
  <c r="AQ26" i="28"/>
  <c r="AQ25" i="28"/>
  <c r="AR25" i="28" s="1"/>
  <c r="AQ22" i="28"/>
  <c r="AR22" i="28" s="1"/>
  <c r="AR10" i="28"/>
  <c r="AT26" i="28"/>
  <c r="AT25" i="28"/>
  <c r="AT22" i="28"/>
  <c r="AU26" i="28"/>
  <c r="AU25" i="28"/>
  <c r="AU22" i="28"/>
  <c r="AV26" i="28"/>
  <c r="AV25" i="28"/>
  <c r="AV22" i="28"/>
  <c r="AW26" i="28"/>
  <c r="AW25" i="28"/>
  <c r="AW22" i="28"/>
  <c r="AX26" i="28"/>
  <c r="AX25" i="28"/>
  <c r="AX22" i="28"/>
  <c r="AY26" i="28"/>
  <c r="AY25" i="28"/>
  <c r="AY22" i="28"/>
  <c r="AZ25" i="28"/>
  <c r="AZ22" i="28"/>
  <c r="BA26" i="28"/>
  <c r="BA25" i="28"/>
  <c r="BA22" i="28"/>
  <c r="BB26" i="28"/>
  <c r="BB25" i="28"/>
  <c r="BC25" i="28" s="1"/>
  <c r="BD25" i="28" s="1"/>
  <c r="BE25" i="28" s="1"/>
  <c r="BF25" i="28" s="1"/>
  <c r="BB22" i="28"/>
  <c r="BC26" i="28"/>
  <c r="BC22" i="28"/>
  <c r="BD26" i="28"/>
  <c r="BD22" i="28"/>
  <c r="BE26" i="28"/>
  <c r="BE22" i="28"/>
  <c r="BF22" i="28" s="1"/>
  <c r="BF10" i="28"/>
  <c r="BH26" i="28"/>
  <c r="BH25" i="28"/>
  <c r="BH22" i="28"/>
  <c r="BI26" i="28"/>
  <c r="BI25" i="28"/>
  <c r="BI22" i="28"/>
  <c r="BJ26" i="28"/>
  <c r="BJ25" i="28"/>
  <c r="BJ22" i="28"/>
  <c r="BK26" i="28"/>
  <c r="BK25" i="28"/>
  <c r="BK22" i="28"/>
  <c r="BL26" i="28"/>
  <c r="BL25" i="28"/>
  <c r="BL22" i="28"/>
  <c r="BM26" i="28"/>
  <c r="BM25" i="28"/>
  <c r="BM22" i="28"/>
  <c r="BN26" i="28"/>
  <c r="BN25" i="28"/>
  <c r="BN22" i="28"/>
  <c r="BO25" i="28"/>
  <c r="BO22" i="28"/>
  <c r="BP25" i="28"/>
  <c r="BP22" i="28"/>
  <c r="BQ25" i="28"/>
  <c r="BQ22" i="28"/>
  <c r="BR25" i="28"/>
  <c r="BR22" i="28"/>
  <c r="BS25" i="28"/>
  <c r="BT25" i="28" s="1"/>
  <c r="BS22" i="28"/>
  <c r="BT22" i="28" s="1"/>
  <c r="BT10" i="28"/>
  <c r="CJ10" i="28"/>
  <c r="CK10" i="28" s="1"/>
  <c r="CL10" i="28" s="1"/>
  <c r="CM10" i="28" s="1"/>
  <c r="CN10" i="28" s="1"/>
  <c r="CO10" i="28" s="1"/>
  <c r="CP10" i="28" s="1"/>
  <c r="CQ10" i="28" s="1"/>
  <c r="CR10" i="28" s="1"/>
  <c r="CS10" i="28" s="1"/>
  <c r="CT10" i="28" s="1"/>
  <c r="CU10" i="28" s="1"/>
  <c r="AQ24" i="28"/>
  <c r="AR24" i="28" s="1"/>
  <c r="AR23" i="28"/>
  <c r="AT24" i="28"/>
  <c r="BF24" i="28" s="1"/>
  <c r="BF23" i="28"/>
  <c r="BS24" i="28"/>
  <c r="BT24" i="28" s="1"/>
  <c r="BT23" i="28"/>
  <c r="CG24" i="28"/>
  <c r="CH24" i="28" s="1"/>
  <c r="CH23" i="28"/>
  <c r="R82" i="28"/>
  <c r="BV70" i="28"/>
  <c r="CJ70" i="28"/>
  <c r="CX27" i="28"/>
  <c r="CX70" i="28" s="1"/>
  <c r="CV27" i="28"/>
  <c r="CW25" i="28" s="1"/>
  <c r="CK70" i="28"/>
  <c r="CY27" i="28"/>
  <c r="CY70" i="28" s="1"/>
  <c r="CL70" i="28"/>
  <c r="CZ27" i="28"/>
  <c r="CZ70" i="28" s="1"/>
  <c r="CM70" i="28"/>
  <c r="DA27" i="28"/>
  <c r="DA70" i="28" s="1"/>
  <c r="CN70" i="28"/>
  <c r="DB27" i="28"/>
  <c r="DB70" i="28" s="1"/>
  <c r="CO70" i="28"/>
  <c r="DC27" i="28"/>
  <c r="DC70" i="28" s="1"/>
  <c r="CP70" i="28"/>
  <c r="DD27" i="28"/>
  <c r="CQ70" i="28"/>
  <c r="DE27" i="28"/>
  <c r="CR70" i="28"/>
  <c r="DF27" i="28"/>
  <c r="CS70" i="28"/>
  <c r="CS69" i="28" s="1"/>
  <c r="DG27" i="28"/>
  <c r="CT70" i="28"/>
  <c r="CT69" i="28" s="1"/>
  <c r="DH27" i="28"/>
  <c r="CU70" i="28"/>
  <c r="CU69" i="28" s="1"/>
  <c r="DI27" i="28"/>
  <c r="BH63" i="28"/>
  <c r="BH31" i="28"/>
  <c r="BT28" i="28"/>
  <c r="BT31" i="28" s="1"/>
  <c r="BI63" i="28"/>
  <c r="BI31" i="28"/>
  <c r="BJ63" i="28"/>
  <c r="BJ31" i="28"/>
  <c r="BK63" i="28"/>
  <c r="BK31" i="28"/>
  <c r="BL63" i="28"/>
  <c r="BL31" i="28"/>
  <c r="BM63" i="28"/>
  <c r="BM31" i="28"/>
  <c r="BN63" i="28"/>
  <c r="BN31" i="28"/>
  <c r="BO63" i="28"/>
  <c r="BO31" i="28"/>
  <c r="BP63" i="28"/>
  <c r="BP31" i="28"/>
  <c r="AN63" i="28"/>
  <c r="AR31" i="28"/>
  <c r="AT63" i="28"/>
  <c r="BF63" i="28" s="1"/>
  <c r="BF31" i="28"/>
  <c r="BG31" i="28" s="1"/>
  <c r="BR57" i="28"/>
  <c r="CJ57" i="28"/>
  <c r="CJ33" i="28"/>
  <c r="CV31" i="28"/>
  <c r="CK57" i="28"/>
  <c r="CK33" i="28"/>
  <c r="CL57" i="28"/>
  <c r="CL33" i="28"/>
  <c r="CN57" i="28"/>
  <c r="CN33" i="28"/>
  <c r="CO57" i="28"/>
  <c r="CO33" i="28"/>
  <c r="CP57" i="28"/>
  <c r="CP33" i="28"/>
  <c r="CQ57" i="28"/>
  <c r="CQ33" i="28"/>
  <c r="CR57" i="28"/>
  <c r="CR33" i="28"/>
  <c r="CS57" i="28"/>
  <c r="CS33" i="28"/>
  <c r="CT57" i="28"/>
  <c r="CT33" i="28"/>
  <c r="CU57" i="28"/>
  <c r="CU33" i="28"/>
  <c r="T55" i="28"/>
  <c r="T27" i="28" s="1"/>
  <c r="T82" i="28" s="1"/>
  <c r="AD34" i="28"/>
  <c r="BG34" i="28"/>
  <c r="BG35" i="28"/>
  <c r="BG36" i="28"/>
  <c r="S55" i="28"/>
  <c r="S27" i="28" s="1"/>
  <c r="AD37" i="28"/>
  <c r="BG37" i="28"/>
  <c r="BG38" i="28"/>
  <c r="BG39" i="28"/>
  <c r="BG40" i="28"/>
  <c r="BG41" i="28"/>
  <c r="BG42" i="28"/>
  <c r="AH55" i="28"/>
  <c r="AR43" i="28"/>
  <c r="BG43" i="28"/>
  <c r="BG44" i="28"/>
  <c r="BG45" i="28"/>
  <c r="BG46" i="28"/>
  <c r="BG47" i="28"/>
  <c r="BG48" i="28"/>
  <c r="BG49" i="28"/>
  <c r="BV55" i="28"/>
  <c r="CH49" i="28"/>
  <c r="BG50" i="28"/>
  <c r="BG51" i="28"/>
  <c r="BG52" i="28"/>
  <c r="BG54" i="28"/>
  <c r="AD55" i="28"/>
  <c r="AF65" i="28"/>
  <c r="AR55" i="28"/>
  <c r="AL65" i="28"/>
  <c r="AL57" i="28"/>
  <c r="AP65" i="28"/>
  <c r="AP57" i="28"/>
  <c r="AQ65" i="28"/>
  <c r="AQ57" i="28"/>
  <c r="AT65" i="28"/>
  <c r="BF55" i="28"/>
  <c r="BG55" i="28" s="1"/>
  <c r="BG58" i="28" s="1"/>
  <c r="BA65" i="28"/>
  <c r="BA56" i="28"/>
  <c r="BO59" i="28"/>
  <c r="BT57" i="28"/>
  <c r="BB59" i="28"/>
  <c r="BF58" i="28"/>
  <c r="BF59" i="28"/>
  <c r="BT59" i="28"/>
  <c r="AF66" i="28"/>
  <c r="AR61" i="28"/>
  <c r="AG66" i="28"/>
  <c r="AI66" i="28"/>
  <c r="AJ66" i="28"/>
  <c r="AK66" i="28"/>
  <c r="AL66" i="28"/>
  <c r="AM66" i="28"/>
  <c r="AN66" i="28"/>
  <c r="AO66" i="28"/>
  <c r="AP66" i="28"/>
  <c r="AQ66" i="28"/>
  <c r="AT66" i="28"/>
  <c r="BF61" i="28"/>
  <c r="BG61" i="28" s="1"/>
  <c r="AU66" i="28"/>
  <c r="AU67" i="28" s="1"/>
  <c r="AV66" i="28"/>
  <c r="AV67" i="28" s="1"/>
  <c r="AW66" i="28"/>
  <c r="AW67" i="28" s="1"/>
  <c r="AX66" i="28"/>
  <c r="AX67" i="28" s="1"/>
  <c r="AY66" i="28"/>
  <c r="AY67" i="28" s="1"/>
  <c r="AZ66" i="28"/>
  <c r="AZ67" i="28" s="1"/>
  <c r="BA66" i="28"/>
  <c r="BA67" i="28" s="1"/>
  <c r="BB66" i="28"/>
  <c r="BB67" i="28" s="1"/>
  <c r="BC66" i="28"/>
  <c r="BC67" i="28" s="1"/>
  <c r="BD66" i="28"/>
  <c r="BD67" i="28" s="1"/>
  <c r="BE66" i="28"/>
  <c r="BE67" i="28" s="1"/>
  <c r="BH66" i="28"/>
  <c r="BT61" i="28"/>
  <c r="BI66" i="28"/>
  <c r="BI67" i="28" s="1"/>
  <c r="BJ66" i="28"/>
  <c r="BJ67" i="28" s="1"/>
  <c r="BK66" i="28"/>
  <c r="BK67" i="28" s="1"/>
  <c r="BL66" i="28"/>
  <c r="BL67" i="28" s="1"/>
  <c r="BM66" i="28"/>
  <c r="BM67" i="28" s="1"/>
  <c r="BN66" i="28"/>
  <c r="BN67" i="28" s="1"/>
  <c r="BO66" i="28"/>
  <c r="BO67" i="28" s="1"/>
  <c r="BP66" i="28"/>
  <c r="BP67" i="28" s="1"/>
  <c r="BQ66" i="28"/>
  <c r="BQ67" i="28" s="1"/>
  <c r="BG62" i="28"/>
  <c r="AR63" i="28"/>
  <c r="BB65" i="28"/>
  <c r="BF64" i="28"/>
  <c r="BG64" i="28" s="1"/>
  <c r="AF82" i="28"/>
  <c r="AF81" i="28"/>
  <c r="AR71" i="28"/>
  <c r="AG82" i="28"/>
  <c r="AG81" i="28"/>
  <c r="AH81" i="28"/>
  <c r="AI82" i="28"/>
  <c r="AI81" i="28"/>
  <c r="AJ82" i="28"/>
  <c r="AJ81" i="28"/>
  <c r="AK82" i="28"/>
  <c r="AK81" i="28"/>
  <c r="AL82" i="28"/>
  <c r="AL81" i="28"/>
  <c r="AM82" i="28"/>
  <c r="AN82" i="28"/>
  <c r="AO82" i="28"/>
  <c r="AO76" i="28"/>
  <c r="AP82" i="28"/>
  <c r="AP76" i="28"/>
  <c r="AQ82" i="28"/>
  <c r="AQ76" i="28"/>
  <c r="AT82" i="28"/>
  <c r="AT76" i="28"/>
  <c r="BF71" i="28"/>
  <c r="AU82" i="28"/>
  <c r="AU76" i="28"/>
  <c r="AV82" i="28"/>
  <c r="AV76" i="28"/>
  <c r="AW82" i="28"/>
  <c r="AW76" i="28"/>
  <c r="AX82" i="28"/>
  <c r="AX76" i="28"/>
  <c r="AY82" i="28"/>
  <c r="AY76" i="28"/>
  <c r="AZ82" i="28"/>
  <c r="AZ76" i="28"/>
  <c r="BA82" i="28"/>
  <c r="BA76" i="28"/>
  <c r="BB82" i="28"/>
  <c r="BB76" i="28"/>
  <c r="BC82" i="28"/>
  <c r="BC76" i="28"/>
  <c r="BH82" i="28"/>
  <c r="BT71" i="28"/>
  <c r="BI82" i="28"/>
  <c r="BJ82" i="28"/>
  <c r="BK82" i="28"/>
  <c r="BL82" i="28"/>
  <c r="BM82" i="28"/>
  <c r="BN82" i="28"/>
  <c r="BO82" i="28"/>
  <c r="BP82" i="28"/>
  <c r="BV75" i="28"/>
  <c r="CH71" i="28"/>
  <c r="CL82" i="28"/>
  <c r="CL81" i="28"/>
  <c r="CL72" i="28"/>
  <c r="BG72" i="28"/>
  <c r="BP73" i="28"/>
  <c r="BT72" i="28"/>
  <c r="CH72" i="28"/>
  <c r="BT73" i="28"/>
  <c r="BG74" i="28"/>
  <c r="CH74" i="28"/>
  <c r="CN77" i="28"/>
  <c r="CO76" i="28"/>
  <c r="AM81" i="28"/>
  <c r="AR78" i="28"/>
  <c r="AN81" i="28"/>
  <c r="AO81" i="28"/>
  <c r="AP81" i="28"/>
  <c r="AQ81" i="28"/>
  <c r="AT81" i="28"/>
  <c r="BF78" i="28"/>
  <c r="BG78" i="28" s="1"/>
  <c r="AU81" i="28"/>
  <c r="AV81" i="28"/>
  <c r="AW81" i="28"/>
  <c r="AX81" i="28"/>
  <c r="AY81" i="28"/>
  <c r="AZ81" i="28"/>
  <c r="BA81" i="28"/>
  <c r="BB81" i="28"/>
  <c r="BC81" i="28"/>
  <c r="BH81" i="28"/>
  <c r="BT78" i="28"/>
  <c r="BI81" i="28"/>
  <c r="BJ81" i="28"/>
  <c r="BK81" i="28"/>
  <c r="BL81" i="28"/>
  <c r="BM81" i="28"/>
  <c r="BN81" i="28"/>
  <c r="BO81" i="28"/>
  <c r="BP81" i="28"/>
  <c r="CB81" i="28"/>
  <c r="CH78" i="28"/>
  <c r="CC81" i="28"/>
  <c r="CD81" i="28"/>
  <c r="CG81" i="28"/>
  <c r="BY74" i="27"/>
  <c r="BY72" i="27" s="1"/>
  <c r="BY71" i="27"/>
  <c r="BZ74" i="27"/>
  <c r="BZ72" i="27" s="1"/>
  <c r="BZ71" i="27"/>
  <c r="CA74" i="27"/>
  <c r="CA72" i="27" s="1"/>
  <c r="CA71" i="27"/>
  <c r="CB74" i="27"/>
  <c r="CB72" i="27" s="1"/>
  <c r="CB71" i="27"/>
  <c r="CC74" i="27"/>
  <c r="CC72" i="27" s="1"/>
  <c r="CC71" i="27"/>
  <c r="CD74" i="27"/>
  <c r="CD72" i="27" s="1"/>
  <c r="CD71" i="27"/>
  <c r="CE74" i="27"/>
  <c r="CE72" i="27" s="1"/>
  <c r="CE71" i="27"/>
  <c r="CF74" i="27"/>
  <c r="CF72" i="27" s="1"/>
  <c r="CF71" i="27"/>
  <c r="CG74" i="27"/>
  <c r="CG72" i="27" s="1"/>
  <c r="CG71" i="27"/>
  <c r="CJ74" i="27"/>
  <c r="CJ71" i="27"/>
  <c r="CK74" i="27"/>
  <c r="CK71" i="27"/>
  <c r="CM77" i="27"/>
  <c r="CM74" i="27"/>
  <c r="CM71" i="27"/>
  <c r="CN74" i="27"/>
  <c r="CN71" i="27"/>
  <c r="CO74" i="27"/>
  <c r="CO71" i="27"/>
  <c r="CP82" i="27"/>
  <c r="CP81" i="27"/>
  <c r="CQ82" i="27"/>
  <c r="CQ81" i="27"/>
  <c r="CR82" i="27"/>
  <c r="CR81" i="27"/>
  <c r="CS82" i="27"/>
  <c r="CS81" i="27"/>
  <c r="CT82" i="27"/>
  <c r="CT81" i="27"/>
  <c r="CU82" i="27"/>
  <c r="CU81" i="27"/>
  <c r="CX74" i="27"/>
  <c r="CX71" i="27"/>
  <c r="CY74" i="27"/>
  <c r="CY71" i="27"/>
  <c r="CZ74" i="27"/>
  <c r="CZ71" i="27"/>
  <c r="DA74" i="27"/>
  <c r="DA71" i="27"/>
  <c r="DB74" i="27"/>
  <c r="DB71" i="27"/>
  <c r="DC74" i="27"/>
  <c r="DC71" i="27"/>
  <c r="DD81" i="27"/>
  <c r="DE81" i="27"/>
  <c r="DF81" i="27"/>
  <c r="DG81" i="27"/>
  <c r="DH81" i="27"/>
  <c r="DI81" i="27"/>
  <c r="D25" i="27"/>
  <c r="D24" i="27"/>
  <c r="D22" i="27"/>
  <c r="E25" i="27"/>
  <c r="E24" i="27"/>
  <c r="E22" i="27"/>
  <c r="F25" i="27"/>
  <c r="F24" i="27"/>
  <c r="F22" i="27"/>
  <c r="G25" i="27"/>
  <c r="G24" i="27"/>
  <c r="G22" i="27"/>
  <c r="H25" i="27"/>
  <c r="H24" i="27"/>
  <c r="H22" i="27"/>
  <c r="I25" i="27"/>
  <c r="I24" i="27"/>
  <c r="I22" i="27"/>
  <c r="J25" i="27"/>
  <c r="J24" i="27"/>
  <c r="J22" i="27"/>
  <c r="K25" i="27"/>
  <c r="K24" i="27"/>
  <c r="K22" i="27"/>
  <c r="L25" i="27"/>
  <c r="L24" i="27"/>
  <c r="L22" i="27"/>
  <c r="M25" i="27"/>
  <c r="M24" i="27"/>
  <c r="M22" i="27"/>
  <c r="N25" i="27"/>
  <c r="N24" i="27"/>
  <c r="N22" i="27"/>
  <c r="O25" i="27"/>
  <c r="P25" i="27" s="1"/>
  <c r="O24" i="27"/>
  <c r="P24" i="27" s="1"/>
  <c r="O22" i="27"/>
  <c r="R25" i="27"/>
  <c r="R24" i="27"/>
  <c r="R22" i="27"/>
  <c r="S25" i="27"/>
  <c r="S24" i="27"/>
  <c r="S22" i="27"/>
  <c r="T25" i="27"/>
  <c r="T24" i="27"/>
  <c r="T22" i="27"/>
  <c r="U25" i="27"/>
  <c r="U24" i="27"/>
  <c r="U22" i="27"/>
  <c r="V25" i="27"/>
  <c r="V24" i="27"/>
  <c r="V22" i="27"/>
  <c r="W25" i="27"/>
  <c r="W24" i="27"/>
  <c r="W22" i="27"/>
  <c r="X25" i="27"/>
  <c r="X24" i="27"/>
  <c r="X22" i="27"/>
  <c r="Y25" i="27"/>
  <c r="Y24" i="27"/>
  <c r="Y22" i="27"/>
  <c r="Z25" i="27"/>
  <c r="Z24" i="27"/>
  <c r="Z22" i="27"/>
  <c r="AA25" i="27"/>
  <c r="AA24" i="27"/>
  <c r="AA22" i="27"/>
  <c r="AB25" i="27"/>
  <c r="AB24" i="27"/>
  <c r="AB22" i="27"/>
  <c r="AC25" i="27"/>
  <c r="AD25" i="27" s="1"/>
  <c r="AC24" i="27"/>
  <c r="AD24" i="27" s="1"/>
  <c r="AF26" i="27"/>
  <c r="AF59" i="27" s="1"/>
  <c r="AF25" i="27"/>
  <c r="AF22" i="27"/>
  <c r="AG25" i="27"/>
  <c r="AG22" i="27"/>
  <c r="AH26" i="27"/>
  <c r="AH59" i="27" s="1"/>
  <c r="AH25" i="27"/>
  <c r="AH22" i="27"/>
  <c r="AI26" i="27"/>
  <c r="AI59" i="27" s="1"/>
  <c r="AI25" i="27"/>
  <c r="AI22" i="27"/>
  <c r="AJ26" i="27"/>
  <c r="AJ59" i="27" s="1"/>
  <c r="AJ25" i="27"/>
  <c r="AJ22" i="27"/>
  <c r="AK26" i="27"/>
  <c r="AK59" i="27" s="1"/>
  <c r="AK25" i="27"/>
  <c r="AK22" i="27"/>
  <c r="AL26" i="27"/>
  <c r="AL59" i="27" s="1"/>
  <c r="AL25" i="27"/>
  <c r="AL22" i="27"/>
  <c r="AM26" i="27"/>
  <c r="AM59" i="27" s="1"/>
  <c r="AM25" i="27"/>
  <c r="AM22" i="27"/>
  <c r="AN26" i="27"/>
  <c r="AN59" i="27" s="1"/>
  <c r="AN25" i="27"/>
  <c r="AN22" i="27"/>
  <c r="AO26" i="27"/>
  <c r="AO59" i="27" s="1"/>
  <c r="AO25" i="27"/>
  <c r="AO22" i="27"/>
  <c r="AP26" i="27"/>
  <c r="AP59" i="27" s="1"/>
  <c r="AP25" i="27"/>
  <c r="AP22" i="27"/>
  <c r="AQ26" i="27"/>
  <c r="AQ25" i="27"/>
  <c r="AR25" i="27" s="1"/>
  <c r="AQ22" i="27"/>
  <c r="AR22" i="27" s="1"/>
  <c r="AR10" i="27"/>
  <c r="AT26" i="27"/>
  <c r="AT25" i="27"/>
  <c r="AT22" i="27"/>
  <c r="AU26" i="27"/>
  <c r="AU25" i="27"/>
  <c r="AU22" i="27"/>
  <c r="AV26" i="27"/>
  <c r="AV25" i="27"/>
  <c r="AV22" i="27"/>
  <c r="AW26" i="27"/>
  <c r="AW25" i="27"/>
  <c r="AW22" i="27"/>
  <c r="AX26" i="27"/>
  <c r="AX25" i="27"/>
  <c r="AX22" i="27"/>
  <c r="AY26" i="27"/>
  <c r="AY25" i="27"/>
  <c r="AY22" i="27"/>
  <c r="AZ25" i="27"/>
  <c r="AZ22" i="27"/>
  <c r="BA26" i="27"/>
  <c r="BA25" i="27"/>
  <c r="BA22" i="27"/>
  <c r="BB26" i="27"/>
  <c r="BB25" i="27"/>
  <c r="BC25" i="27" s="1"/>
  <c r="BD25" i="27" s="1"/>
  <c r="BE25" i="27" s="1"/>
  <c r="BF25" i="27" s="1"/>
  <c r="BB22" i="27"/>
  <c r="BC26" i="27"/>
  <c r="BC22" i="27"/>
  <c r="BD26" i="27"/>
  <c r="BD22" i="27"/>
  <c r="BE26" i="27"/>
  <c r="BE22" i="27"/>
  <c r="BF22" i="27" s="1"/>
  <c r="BF10" i="27"/>
  <c r="BH26" i="27"/>
  <c r="BH25" i="27"/>
  <c r="BH22" i="27"/>
  <c r="BI26" i="27"/>
  <c r="BI25" i="27"/>
  <c r="BI22" i="27"/>
  <c r="BJ26" i="27"/>
  <c r="BJ25" i="27"/>
  <c r="BJ22" i="27"/>
  <c r="BK26" i="27"/>
  <c r="BK25" i="27"/>
  <c r="BK22" i="27"/>
  <c r="BL26" i="27"/>
  <c r="BL25" i="27"/>
  <c r="BL22" i="27"/>
  <c r="BM26" i="27"/>
  <c r="BM25" i="27"/>
  <c r="BM22" i="27"/>
  <c r="BN26" i="27"/>
  <c r="BN25" i="27"/>
  <c r="BN22" i="27"/>
  <c r="BO25" i="27"/>
  <c r="BO22" i="27"/>
  <c r="BP25" i="27"/>
  <c r="BP22" i="27"/>
  <c r="BQ25" i="27"/>
  <c r="BQ22" i="27"/>
  <c r="BR25" i="27"/>
  <c r="BR22" i="27"/>
  <c r="BS25" i="27"/>
  <c r="BT25" i="27" s="1"/>
  <c r="BS22" i="27"/>
  <c r="BT22" i="27" s="1"/>
  <c r="BT10" i="27"/>
  <c r="CJ10" i="27"/>
  <c r="CK10" i="27" s="1"/>
  <c r="CL10" i="27" s="1"/>
  <c r="CM10" i="27" s="1"/>
  <c r="CN10" i="27" s="1"/>
  <c r="CO10" i="27" s="1"/>
  <c r="CP10" i="27" s="1"/>
  <c r="CQ10" i="27" s="1"/>
  <c r="CR10" i="27" s="1"/>
  <c r="CS10" i="27" s="1"/>
  <c r="CT10" i="27" s="1"/>
  <c r="CU10" i="27" s="1"/>
  <c r="AQ24" i="27"/>
  <c r="AR24" i="27" s="1"/>
  <c r="AR23" i="27"/>
  <c r="AT24" i="27"/>
  <c r="BF24" i="27" s="1"/>
  <c r="BF23" i="27"/>
  <c r="BS24" i="27"/>
  <c r="BT24" i="27" s="1"/>
  <c r="BT23" i="27"/>
  <c r="CG24" i="27"/>
  <c r="CH24" i="27" s="1"/>
  <c r="CH23" i="27"/>
  <c r="R82" i="27"/>
  <c r="BV70" i="27"/>
  <c r="CJ70" i="27"/>
  <c r="CX27" i="27"/>
  <c r="CX70" i="27" s="1"/>
  <c r="CW25" i="27"/>
  <c r="CK70" i="27"/>
  <c r="CY27" i="27"/>
  <c r="CY70" i="27" s="1"/>
  <c r="CL70" i="27"/>
  <c r="CZ27" i="27"/>
  <c r="CZ70" i="27" s="1"/>
  <c r="CM70" i="27"/>
  <c r="DA27" i="27"/>
  <c r="DA70" i="27" s="1"/>
  <c r="CN70" i="27"/>
  <c r="DB27" i="27"/>
  <c r="DB70" i="27" s="1"/>
  <c r="CO70" i="27"/>
  <c r="DC27" i="27"/>
  <c r="DC70" i="27" s="1"/>
  <c r="CP70" i="27"/>
  <c r="DD27" i="27"/>
  <c r="CQ70" i="27"/>
  <c r="DE27" i="27"/>
  <c r="CR70" i="27"/>
  <c r="DF27" i="27"/>
  <c r="CS70" i="27"/>
  <c r="CS69" i="27" s="1"/>
  <c r="DG27" i="27"/>
  <c r="CT70" i="27"/>
  <c r="CT69" i="27" s="1"/>
  <c r="DH27" i="27"/>
  <c r="CU70" i="27"/>
  <c r="CU69" i="27" s="1"/>
  <c r="DI27" i="27"/>
  <c r="BH63" i="27"/>
  <c r="BH31" i="27"/>
  <c r="BT28" i="27"/>
  <c r="BT31" i="27" s="1"/>
  <c r="BI63" i="27"/>
  <c r="BI31" i="27"/>
  <c r="BJ63" i="27"/>
  <c r="BJ31" i="27"/>
  <c r="BK63" i="27"/>
  <c r="BK31" i="27"/>
  <c r="BL63" i="27"/>
  <c r="BL31" i="27"/>
  <c r="BM63" i="27"/>
  <c r="BM31" i="27"/>
  <c r="BN63" i="27"/>
  <c r="BN31" i="27"/>
  <c r="BO63" i="27"/>
  <c r="BO31" i="27"/>
  <c r="BP63" i="27"/>
  <c r="BP31" i="27"/>
  <c r="AN63" i="27"/>
  <c r="AR31" i="27"/>
  <c r="AT63" i="27"/>
  <c r="BF63" i="27" s="1"/>
  <c r="BF31" i="27"/>
  <c r="BG31" i="27" s="1"/>
  <c r="BR57" i="27"/>
  <c r="CJ57" i="27"/>
  <c r="CJ33" i="27"/>
  <c r="CV31" i="27"/>
  <c r="CK57" i="27"/>
  <c r="CK33" i="27"/>
  <c r="CL57" i="27"/>
  <c r="CL33" i="27"/>
  <c r="CM57" i="27"/>
  <c r="CM33" i="27"/>
  <c r="CN57" i="27"/>
  <c r="CN33" i="27"/>
  <c r="CO57" i="27"/>
  <c r="CO33" i="27"/>
  <c r="CP57" i="27"/>
  <c r="CP33" i="27"/>
  <c r="CQ57" i="27"/>
  <c r="CQ33" i="27"/>
  <c r="CR57" i="27"/>
  <c r="CR33" i="27"/>
  <c r="CS57" i="27"/>
  <c r="CS33" i="27"/>
  <c r="CT57" i="27"/>
  <c r="CT33" i="27"/>
  <c r="CU57" i="27"/>
  <c r="CU33" i="27"/>
  <c r="T55" i="27"/>
  <c r="T27" i="27" s="1"/>
  <c r="T82" i="27" s="1"/>
  <c r="AD34" i="27"/>
  <c r="BG34" i="27"/>
  <c r="BG35" i="27"/>
  <c r="BG36" i="27"/>
  <c r="S55" i="27"/>
  <c r="S27" i="27" s="1"/>
  <c r="AD37" i="27"/>
  <c r="BG37" i="27"/>
  <c r="BG38" i="27"/>
  <c r="BG39" i="27"/>
  <c r="BG40" i="27"/>
  <c r="BG41" i="27"/>
  <c r="BG42" i="27"/>
  <c r="AH55" i="27"/>
  <c r="AR43" i="27"/>
  <c r="BG43" i="27"/>
  <c r="BG44" i="27"/>
  <c r="BG45" i="27"/>
  <c r="BG46" i="27"/>
  <c r="BG47" i="27"/>
  <c r="BG48" i="27"/>
  <c r="BG49" i="27"/>
  <c r="BV55" i="27"/>
  <c r="CH49" i="27"/>
  <c r="BG50" i="27"/>
  <c r="BG51" i="27"/>
  <c r="BG52" i="27"/>
  <c r="BG54" i="27"/>
  <c r="AD55" i="27"/>
  <c r="AF65" i="27"/>
  <c r="AR55" i="27"/>
  <c r="AL65" i="27"/>
  <c r="AL57" i="27"/>
  <c r="AP65" i="27"/>
  <c r="AP57" i="27"/>
  <c r="AQ65" i="27"/>
  <c r="AQ57" i="27"/>
  <c r="AT65" i="27"/>
  <c r="BF55" i="27"/>
  <c r="BG55" i="27" s="1"/>
  <c r="BG58" i="27" s="1"/>
  <c r="BA65" i="27"/>
  <c r="BA56" i="27"/>
  <c r="BO59" i="27"/>
  <c r="BT57" i="27"/>
  <c r="BB59" i="27"/>
  <c r="BF58" i="27"/>
  <c r="BF59" i="27"/>
  <c r="BT59" i="27"/>
  <c r="AF66" i="27"/>
  <c r="AR61" i="27"/>
  <c r="AG66" i="27"/>
  <c r="AI66" i="27"/>
  <c r="AJ66" i="27"/>
  <c r="AK66" i="27"/>
  <c r="AL66" i="27"/>
  <c r="AM66" i="27"/>
  <c r="AN66" i="27"/>
  <c r="AO66" i="27"/>
  <c r="AP66" i="27"/>
  <c r="AQ66" i="27"/>
  <c r="AT66" i="27"/>
  <c r="BF61" i="27"/>
  <c r="BG61" i="27" s="1"/>
  <c r="AU66" i="27"/>
  <c r="AU67" i="27" s="1"/>
  <c r="AV66" i="27"/>
  <c r="AV67" i="27" s="1"/>
  <c r="AW66" i="27"/>
  <c r="AW67" i="27" s="1"/>
  <c r="AX66" i="27"/>
  <c r="AX67" i="27" s="1"/>
  <c r="AY66" i="27"/>
  <c r="AY67" i="27" s="1"/>
  <c r="AZ66" i="27"/>
  <c r="AZ67" i="27" s="1"/>
  <c r="BA66" i="27"/>
  <c r="BA67" i="27" s="1"/>
  <c r="BB66" i="27"/>
  <c r="BB67" i="27" s="1"/>
  <c r="BC66" i="27"/>
  <c r="BC67" i="27" s="1"/>
  <c r="BD66" i="27"/>
  <c r="BD67" i="27" s="1"/>
  <c r="BE66" i="27"/>
  <c r="BE67" i="27" s="1"/>
  <c r="BH66" i="27"/>
  <c r="BT61" i="27"/>
  <c r="BI66" i="27"/>
  <c r="BI67" i="27" s="1"/>
  <c r="BJ66" i="27"/>
  <c r="BJ67" i="27" s="1"/>
  <c r="BK66" i="27"/>
  <c r="BK67" i="27" s="1"/>
  <c r="BL66" i="27"/>
  <c r="BL67" i="27" s="1"/>
  <c r="BM66" i="27"/>
  <c r="BM67" i="27" s="1"/>
  <c r="BN66" i="27"/>
  <c r="BN67" i="27" s="1"/>
  <c r="BO66" i="27"/>
  <c r="BO67" i="27" s="1"/>
  <c r="BP66" i="27"/>
  <c r="BP67" i="27" s="1"/>
  <c r="BQ66" i="27"/>
  <c r="BQ67" i="27" s="1"/>
  <c r="BG62" i="27"/>
  <c r="AR63" i="27"/>
  <c r="BB65" i="27"/>
  <c r="BF64" i="27"/>
  <c r="BG64" i="27" s="1"/>
  <c r="AF82" i="27"/>
  <c r="AF81" i="27"/>
  <c r="AR71" i="27"/>
  <c r="AG82" i="27"/>
  <c r="AG81" i="27"/>
  <c r="AH81" i="27"/>
  <c r="AI82" i="27"/>
  <c r="AI81" i="27"/>
  <c r="AJ82" i="27"/>
  <c r="AJ81" i="27"/>
  <c r="AK82" i="27"/>
  <c r="AK81" i="27"/>
  <c r="AL82" i="27"/>
  <c r="AL81" i="27"/>
  <c r="AM82" i="27"/>
  <c r="AN82" i="27"/>
  <c r="AO82" i="27"/>
  <c r="AO76" i="27"/>
  <c r="AP82" i="27"/>
  <c r="AP76" i="27"/>
  <c r="AQ82" i="27"/>
  <c r="AQ76" i="27"/>
  <c r="AT82" i="27"/>
  <c r="AT76" i="27"/>
  <c r="BF71" i="27"/>
  <c r="AU82" i="27"/>
  <c r="AU76" i="27"/>
  <c r="AV82" i="27"/>
  <c r="AV76" i="27"/>
  <c r="AW82" i="27"/>
  <c r="AW76" i="27"/>
  <c r="AX82" i="27"/>
  <c r="AX76" i="27"/>
  <c r="AY82" i="27"/>
  <c r="AY76" i="27"/>
  <c r="AZ82" i="27"/>
  <c r="AZ76" i="27"/>
  <c r="BA82" i="27"/>
  <c r="BA76" i="27"/>
  <c r="BB82" i="27"/>
  <c r="BB76" i="27"/>
  <c r="BC82" i="27"/>
  <c r="BC76" i="27"/>
  <c r="BH82" i="27"/>
  <c r="BT71" i="27"/>
  <c r="BI82" i="27"/>
  <c r="BJ82" i="27"/>
  <c r="BK82" i="27"/>
  <c r="BL82" i="27"/>
  <c r="BM82" i="27"/>
  <c r="BN82" i="27"/>
  <c r="BO82" i="27"/>
  <c r="BP82" i="27"/>
  <c r="BV75" i="27"/>
  <c r="CH71" i="27"/>
  <c r="CL82" i="27"/>
  <c r="CL81" i="27"/>
  <c r="CL72" i="27"/>
  <c r="BG72" i="27"/>
  <c r="BP73" i="27"/>
  <c r="BT72" i="27"/>
  <c r="CH72" i="27"/>
  <c r="BT73" i="27"/>
  <c r="BG74" i="27"/>
  <c r="CH74" i="27"/>
  <c r="CN77" i="27"/>
  <c r="CO76" i="27"/>
  <c r="AM81" i="27"/>
  <c r="AR78" i="27"/>
  <c r="AN81" i="27"/>
  <c r="AO81" i="27"/>
  <c r="AP81" i="27"/>
  <c r="AQ81" i="27"/>
  <c r="AT81" i="27"/>
  <c r="BF78" i="27"/>
  <c r="BG78" i="27" s="1"/>
  <c r="AU81" i="27"/>
  <c r="AV81" i="27"/>
  <c r="AW81" i="27"/>
  <c r="AX81" i="27"/>
  <c r="AY81" i="27"/>
  <c r="AZ81" i="27"/>
  <c r="BA81" i="27"/>
  <c r="BB81" i="27"/>
  <c r="BC81" i="27"/>
  <c r="BH81" i="27"/>
  <c r="BT78" i="27"/>
  <c r="BI81" i="27"/>
  <c r="BJ81" i="27"/>
  <c r="BK81" i="27"/>
  <c r="BL81" i="27"/>
  <c r="BM81" i="27"/>
  <c r="BN81" i="27"/>
  <c r="BO81" i="27"/>
  <c r="BP81" i="27"/>
  <c r="CB81" i="27"/>
  <c r="CH78" i="27"/>
  <c r="CC81" i="27"/>
  <c r="CD81" i="27"/>
  <c r="CG81" i="27"/>
  <c r="BY74" i="26"/>
  <c r="BY72" i="26" s="1"/>
  <c r="BY71" i="26"/>
  <c r="BZ74" i="26"/>
  <c r="BZ72" i="26" s="1"/>
  <c r="BZ71" i="26"/>
  <c r="CA74" i="26"/>
  <c r="CA72" i="26" s="1"/>
  <c r="CA71" i="26"/>
  <c r="CB74" i="26"/>
  <c r="CB72" i="26" s="1"/>
  <c r="CB71" i="26"/>
  <c r="CC74" i="26"/>
  <c r="CC72" i="26" s="1"/>
  <c r="CC71" i="26"/>
  <c r="CD74" i="26"/>
  <c r="CD72" i="26" s="1"/>
  <c r="CD71" i="26"/>
  <c r="CE74" i="26"/>
  <c r="CE72" i="26" s="1"/>
  <c r="CE71" i="26"/>
  <c r="CF74" i="26"/>
  <c r="CF72" i="26" s="1"/>
  <c r="CF71" i="26"/>
  <c r="CG74" i="26"/>
  <c r="CG72" i="26" s="1"/>
  <c r="CG71" i="26"/>
  <c r="CJ74" i="26"/>
  <c r="CJ71" i="26"/>
  <c r="CK74" i="26"/>
  <c r="CK71" i="26"/>
  <c r="CM77" i="26"/>
  <c r="CM74" i="26"/>
  <c r="CM71" i="26"/>
  <c r="CN74" i="26"/>
  <c r="CN71" i="26"/>
  <c r="CO74" i="26"/>
  <c r="CO71" i="26"/>
  <c r="CP82" i="26"/>
  <c r="CP81" i="26"/>
  <c r="CQ82" i="26"/>
  <c r="CQ81" i="26"/>
  <c r="CR82" i="26"/>
  <c r="CR81" i="26"/>
  <c r="CS82" i="26"/>
  <c r="CS81" i="26"/>
  <c r="CT82" i="26"/>
  <c r="CT81" i="26"/>
  <c r="CU82" i="26"/>
  <c r="CU81" i="26"/>
  <c r="CX74" i="26"/>
  <c r="CX71" i="26"/>
  <c r="CY74" i="26"/>
  <c r="CY71" i="26"/>
  <c r="CZ74" i="26"/>
  <c r="CZ71" i="26"/>
  <c r="DA74" i="26"/>
  <c r="DA71" i="26"/>
  <c r="DB74" i="26"/>
  <c r="DB71" i="26"/>
  <c r="DC74" i="26"/>
  <c r="DC71" i="26"/>
  <c r="DD81" i="26"/>
  <c r="DE81" i="26"/>
  <c r="DF81" i="26"/>
  <c r="DG81" i="26"/>
  <c r="DH81" i="26"/>
  <c r="DI81" i="26"/>
  <c r="D25" i="26"/>
  <c r="D24" i="26"/>
  <c r="D22" i="26"/>
  <c r="E25" i="26"/>
  <c r="E24" i="26"/>
  <c r="E22" i="26"/>
  <c r="F25" i="26"/>
  <c r="F24" i="26"/>
  <c r="F22" i="26"/>
  <c r="G25" i="26"/>
  <c r="G24" i="26"/>
  <c r="G22" i="26"/>
  <c r="H25" i="26"/>
  <c r="H24" i="26"/>
  <c r="H22" i="26"/>
  <c r="I25" i="26"/>
  <c r="I24" i="26"/>
  <c r="I22" i="26"/>
  <c r="J25" i="26"/>
  <c r="J24" i="26"/>
  <c r="J22" i="26"/>
  <c r="K25" i="26"/>
  <c r="K24" i="26"/>
  <c r="K22" i="26"/>
  <c r="L25" i="26"/>
  <c r="L24" i="26"/>
  <c r="L22" i="26"/>
  <c r="M25" i="26"/>
  <c r="M24" i="26"/>
  <c r="M22" i="26"/>
  <c r="N25" i="26"/>
  <c r="N24" i="26"/>
  <c r="N22" i="26"/>
  <c r="O25" i="26"/>
  <c r="P25" i="26" s="1"/>
  <c r="O24" i="26"/>
  <c r="P24" i="26" s="1"/>
  <c r="O22" i="26"/>
  <c r="R25" i="26"/>
  <c r="R24" i="26"/>
  <c r="R22" i="26"/>
  <c r="S25" i="26"/>
  <c r="S24" i="26"/>
  <c r="S22" i="26"/>
  <c r="T25" i="26"/>
  <c r="T24" i="26"/>
  <c r="T22" i="26"/>
  <c r="U25" i="26"/>
  <c r="U24" i="26"/>
  <c r="U22" i="26"/>
  <c r="V25" i="26"/>
  <c r="V24" i="26"/>
  <c r="V22" i="26"/>
  <c r="W25" i="26"/>
  <c r="W24" i="26"/>
  <c r="W22" i="26"/>
  <c r="X25" i="26"/>
  <c r="X24" i="26"/>
  <c r="X22" i="26"/>
  <c r="Y25" i="26"/>
  <c r="Y24" i="26"/>
  <c r="Y22" i="26"/>
  <c r="Z25" i="26"/>
  <c r="Z24" i="26"/>
  <c r="Z22" i="26"/>
  <c r="AA25" i="26"/>
  <c r="AA24" i="26"/>
  <c r="AA22" i="26"/>
  <c r="AB25" i="26"/>
  <c r="AB24" i="26"/>
  <c r="AB22" i="26"/>
  <c r="AC25" i="26"/>
  <c r="AD25" i="26" s="1"/>
  <c r="AC24" i="26"/>
  <c r="AD24" i="26" s="1"/>
  <c r="AF26" i="26"/>
  <c r="AF59" i="26" s="1"/>
  <c r="AF25" i="26"/>
  <c r="AF22" i="26"/>
  <c r="AG25" i="26"/>
  <c r="AG22" i="26"/>
  <c r="AH26" i="26"/>
  <c r="AH59" i="26" s="1"/>
  <c r="AH25" i="26"/>
  <c r="AH22" i="26"/>
  <c r="AI26" i="26"/>
  <c r="AI59" i="26" s="1"/>
  <c r="AI25" i="26"/>
  <c r="AI22" i="26"/>
  <c r="AJ26" i="26"/>
  <c r="AJ59" i="26" s="1"/>
  <c r="AJ25" i="26"/>
  <c r="AJ22" i="26"/>
  <c r="AK26" i="26"/>
  <c r="AK59" i="26" s="1"/>
  <c r="AK25" i="26"/>
  <c r="AK22" i="26"/>
  <c r="AL26" i="26"/>
  <c r="AL59" i="26" s="1"/>
  <c r="AL25" i="26"/>
  <c r="AL22" i="26"/>
  <c r="AM26" i="26"/>
  <c r="AM59" i="26" s="1"/>
  <c r="AM25" i="26"/>
  <c r="AM22" i="26"/>
  <c r="AN26" i="26"/>
  <c r="AN59" i="26" s="1"/>
  <c r="AN25" i="26"/>
  <c r="AN22" i="26"/>
  <c r="AO26" i="26"/>
  <c r="AO59" i="26" s="1"/>
  <c r="AO25" i="26"/>
  <c r="AO22" i="26"/>
  <c r="AP26" i="26"/>
  <c r="AP59" i="26" s="1"/>
  <c r="AP25" i="26"/>
  <c r="AP22" i="26"/>
  <c r="AQ26" i="26"/>
  <c r="AQ25" i="26"/>
  <c r="AR25" i="26" s="1"/>
  <c r="AQ22" i="26"/>
  <c r="AR22" i="26" s="1"/>
  <c r="AR10" i="26"/>
  <c r="AT26" i="26"/>
  <c r="AT25" i="26"/>
  <c r="AT22" i="26"/>
  <c r="AU26" i="26"/>
  <c r="AU25" i="26"/>
  <c r="AU22" i="26"/>
  <c r="AV26" i="26"/>
  <c r="AV25" i="26"/>
  <c r="AV22" i="26"/>
  <c r="AW26" i="26"/>
  <c r="AW25" i="26"/>
  <c r="AW22" i="26"/>
  <c r="AX26" i="26"/>
  <c r="AX25" i="26"/>
  <c r="AX22" i="26"/>
  <c r="AY26" i="26"/>
  <c r="AY25" i="26"/>
  <c r="AY22" i="26"/>
  <c r="AZ25" i="26"/>
  <c r="AZ22" i="26"/>
  <c r="BA26" i="26"/>
  <c r="BA25" i="26"/>
  <c r="BA22" i="26"/>
  <c r="BB26" i="26"/>
  <c r="BB25" i="26"/>
  <c r="BC25" i="26" s="1"/>
  <c r="BD25" i="26" s="1"/>
  <c r="BE25" i="26" s="1"/>
  <c r="BF25" i="26" s="1"/>
  <c r="BB22" i="26"/>
  <c r="BC26" i="26"/>
  <c r="BC22" i="26"/>
  <c r="BD26" i="26"/>
  <c r="BD22" i="26"/>
  <c r="BE26" i="26"/>
  <c r="BE22" i="26"/>
  <c r="BF22" i="26" s="1"/>
  <c r="BF10" i="26"/>
  <c r="BH26" i="26"/>
  <c r="BH25" i="26"/>
  <c r="BH22" i="26"/>
  <c r="BI26" i="26"/>
  <c r="BI25" i="26"/>
  <c r="BI22" i="26"/>
  <c r="BJ26" i="26"/>
  <c r="BJ25" i="26"/>
  <c r="BJ22" i="26"/>
  <c r="BK26" i="26"/>
  <c r="BK25" i="26"/>
  <c r="BK22" i="26"/>
  <c r="BL26" i="26"/>
  <c r="BL25" i="26"/>
  <c r="BL22" i="26"/>
  <c r="BM26" i="26"/>
  <c r="BM25" i="26"/>
  <c r="BM22" i="26"/>
  <c r="BN26" i="26"/>
  <c r="BN25" i="26"/>
  <c r="BN22" i="26"/>
  <c r="BO25" i="26"/>
  <c r="BO22" i="26"/>
  <c r="BP25" i="26"/>
  <c r="BP22" i="26"/>
  <c r="BQ25" i="26"/>
  <c r="BQ22" i="26"/>
  <c r="BR25" i="26"/>
  <c r="BR22" i="26"/>
  <c r="BS25" i="26"/>
  <c r="BT25" i="26" s="1"/>
  <c r="BS22" i="26"/>
  <c r="BT22" i="26" s="1"/>
  <c r="BT10" i="26"/>
  <c r="CJ10" i="26"/>
  <c r="CK10" i="26" s="1"/>
  <c r="CL10" i="26" s="1"/>
  <c r="CM10" i="26" s="1"/>
  <c r="CN10" i="26" s="1"/>
  <c r="CO10" i="26" s="1"/>
  <c r="CP10" i="26" s="1"/>
  <c r="CQ10" i="26" s="1"/>
  <c r="CR10" i="26" s="1"/>
  <c r="CS10" i="26" s="1"/>
  <c r="CT10" i="26" s="1"/>
  <c r="CU10" i="26" s="1"/>
  <c r="AQ24" i="26"/>
  <c r="AR24" i="26" s="1"/>
  <c r="AR23" i="26"/>
  <c r="AT24" i="26"/>
  <c r="BF24" i="26" s="1"/>
  <c r="BF23" i="26"/>
  <c r="BS24" i="26"/>
  <c r="BT24" i="26" s="1"/>
  <c r="BT23" i="26"/>
  <c r="CG24" i="26"/>
  <c r="CH24" i="26" s="1"/>
  <c r="CH23" i="26"/>
  <c r="R82" i="26"/>
  <c r="BV70" i="26"/>
  <c r="CJ70" i="26"/>
  <c r="CX27" i="26"/>
  <c r="CX70" i="26" s="1"/>
  <c r="CV27" i="26"/>
  <c r="CW25" i="26" s="1"/>
  <c r="CK70" i="26"/>
  <c r="CY27" i="26"/>
  <c r="CY70" i="26" s="1"/>
  <c r="CL70" i="26"/>
  <c r="CZ27" i="26"/>
  <c r="CZ70" i="26" s="1"/>
  <c r="CM70" i="26"/>
  <c r="DA27" i="26"/>
  <c r="DA70" i="26" s="1"/>
  <c r="CN70" i="26"/>
  <c r="DB27" i="26"/>
  <c r="DB70" i="26" s="1"/>
  <c r="CO70" i="26"/>
  <c r="DC27" i="26"/>
  <c r="DC70" i="26" s="1"/>
  <c r="CP70" i="26"/>
  <c r="DD27" i="26"/>
  <c r="CQ70" i="26"/>
  <c r="DE27" i="26"/>
  <c r="CR70" i="26"/>
  <c r="DF27" i="26"/>
  <c r="CS70" i="26"/>
  <c r="CS69" i="26" s="1"/>
  <c r="DG27" i="26"/>
  <c r="CT70" i="26"/>
  <c r="CT69" i="26" s="1"/>
  <c r="DH27" i="26"/>
  <c r="CU70" i="26"/>
  <c r="CU69" i="26" s="1"/>
  <c r="DI27" i="26"/>
  <c r="BH63" i="26"/>
  <c r="BH31" i="26"/>
  <c r="BT28" i="26"/>
  <c r="BT31" i="26" s="1"/>
  <c r="BI63" i="26"/>
  <c r="BI31" i="26"/>
  <c r="BJ63" i="26"/>
  <c r="BJ31" i="26"/>
  <c r="BK63" i="26"/>
  <c r="BK31" i="26"/>
  <c r="BL63" i="26"/>
  <c r="BL31" i="26"/>
  <c r="BM63" i="26"/>
  <c r="BM31" i="26"/>
  <c r="BN63" i="26"/>
  <c r="BN31" i="26"/>
  <c r="BO63" i="26"/>
  <c r="BO31" i="26"/>
  <c r="BP63" i="26"/>
  <c r="BP31" i="26"/>
  <c r="AN63" i="26"/>
  <c r="AR31" i="26"/>
  <c r="AT63" i="26"/>
  <c r="BF63" i="26" s="1"/>
  <c r="BF31" i="26"/>
  <c r="BG31" i="26" s="1"/>
  <c r="BR57" i="26"/>
  <c r="CJ57" i="26"/>
  <c r="CJ33" i="26"/>
  <c r="CV31" i="26"/>
  <c r="CK57" i="26"/>
  <c r="CK33" i="26"/>
  <c r="CL57" i="26"/>
  <c r="CL33" i="26"/>
  <c r="CM57" i="26"/>
  <c r="CM33" i="26"/>
  <c r="CN57" i="26"/>
  <c r="CN33" i="26"/>
  <c r="CO57" i="26"/>
  <c r="CO33" i="26"/>
  <c r="CP57" i="26"/>
  <c r="CP33" i="26"/>
  <c r="CQ57" i="26"/>
  <c r="CQ33" i="26"/>
  <c r="CR57" i="26"/>
  <c r="CR33" i="26"/>
  <c r="CS57" i="26"/>
  <c r="CS33" i="26"/>
  <c r="CT57" i="26"/>
  <c r="CT33" i="26"/>
  <c r="CU57" i="26"/>
  <c r="CU33" i="26"/>
  <c r="T55" i="26"/>
  <c r="T27" i="26" s="1"/>
  <c r="T82" i="26" s="1"/>
  <c r="AD34" i="26"/>
  <c r="BG34" i="26"/>
  <c r="BG35" i="26"/>
  <c r="BG36" i="26"/>
  <c r="S55" i="26"/>
  <c r="S27" i="26" s="1"/>
  <c r="AD37" i="26"/>
  <c r="BG37" i="26"/>
  <c r="BG38" i="26"/>
  <c r="BG39" i="26"/>
  <c r="BG40" i="26"/>
  <c r="BG41" i="26"/>
  <c r="BG42" i="26"/>
  <c r="AH55" i="26"/>
  <c r="AR43" i="26"/>
  <c r="BG43" i="26"/>
  <c r="BG44" i="26"/>
  <c r="BG45" i="26"/>
  <c r="BG46" i="26"/>
  <c r="BG47" i="26"/>
  <c r="BG48" i="26"/>
  <c r="BG49" i="26"/>
  <c r="BV55" i="26"/>
  <c r="CH49" i="26"/>
  <c r="BG50" i="26"/>
  <c r="BG51" i="26"/>
  <c r="BG52" i="26"/>
  <c r="BG54" i="26"/>
  <c r="AD55" i="26"/>
  <c r="AF65" i="26"/>
  <c r="AR55" i="26"/>
  <c r="AL65" i="26"/>
  <c r="AL57" i="26"/>
  <c r="AP65" i="26"/>
  <c r="AP57" i="26"/>
  <c r="AQ65" i="26"/>
  <c r="AQ57" i="26"/>
  <c r="AT65" i="26"/>
  <c r="BF55" i="26"/>
  <c r="BG55" i="26" s="1"/>
  <c r="BG58" i="26" s="1"/>
  <c r="BA65" i="26"/>
  <c r="BA56" i="26"/>
  <c r="BO59" i="26"/>
  <c r="BT57" i="26"/>
  <c r="BB59" i="26"/>
  <c r="BF58" i="26"/>
  <c r="BF59" i="26"/>
  <c r="BT59" i="26"/>
  <c r="AF66" i="26"/>
  <c r="AR61" i="26"/>
  <c r="AG66" i="26"/>
  <c r="AI66" i="26"/>
  <c r="AJ66" i="26"/>
  <c r="AK66" i="26"/>
  <c r="AL66" i="26"/>
  <c r="AM66" i="26"/>
  <c r="AN66" i="26"/>
  <c r="AO66" i="26"/>
  <c r="AP66" i="26"/>
  <c r="AQ66" i="26"/>
  <c r="AT66" i="26"/>
  <c r="BF61" i="26"/>
  <c r="BG61" i="26" s="1"/>
  <c r="AU66" i="26"/>
  <c r="AU67" i="26" s="1"/>
  <c r="AV66" i="26"/>
  <c r="AV67" i="26" s="1"/>
  <c r="AW66" i="26"/>
  <c r="AW67" i="26" s="1"/>
  <c r="AX66" i="26"/>
  <c r="AX67" i="26" s="1"/>
  <c r="AY66" i="26"/>
  <c r="AY67" i="26" s="1"/>
  <c r="AZ66" i="26"/>
  <c r="AZ67" i="26" s="1"/>
  <c r="BA66" i="26"/>
  <c r="BA67" i="26" s="1"/>
  <c r="BB66" i="26"/>
  <c r="BB67" i="26" s="1"/>
  <c r="BC66" i="26"/>
  <c r="BC67" i="26" s="1"/>
  <c r="BD66" i="26"/>
  <c r="BD67" i="26" s="1"/>
  <c r="BE66" i="26"/>
  <c r="BE67" i="26" s="1"/>
  <c r="BH66" i="26"/>
  <c r="BT61" i="26"/>
  <c r="BI66" i="26"/>
  <c r="BI67" i="26" s="1"/>
  <c r="BJ66" i="26"/>
  <c r="BJ67" i="26" s="1"/>
  <c r="BK66" i="26"/>
  <c r="BK67" i="26" s="1"/>
  <c r="BL66" i="26"/>
  <c r="BL67" i="26" s="1"/>
  <c r="BM66" i="26"/>
  <c r="BM67" i="26" s="1"/>
  <c r="BN66" i="26"/>
  <c r="BN67" i="26" s="1"/>
  <c r="BO66" i="26"/>
  <c r="BO67" i="26" s="1"/>
  <c r="BP66" i="26"/>
  <c r="BP67" i="26" s="1"/>
  <c r="BQ66" i="26"/>
  <c r="BQ67" i="26" s="1"/>
  <c r="BG62" i="26"/>
  <c r="AR63" i="26"/>
  <c r="BB65" i="26"/>
  <c r="BF64" i="26"/>
  <c r="BG64" i="26" s="1"/>
  <c r="AF82" i="26"/>
  <c r="AF81" i="26"/>
  <c r="AR71" i="26"/>
  <c r="AG82" i="26"/>
  <c r="AG81" i="26"/>
  <c r="AH81" i="26"/>
  <c r="AI82" i="26"/>
  <c r="AI81" i="26"/>
  <c r="AJ82" i="26"/>
  <c r="AJ81" i="26"/>
  <c r="AK82" i="26"/>
  <c r="AK81" i="26"/>
  <c r="AL82" i="26"/>
  <c r="AL81" i="26"/>
  <c r="AM82" i="26"/>
  <c r="AN82" i="26"/>
  <c r="AO82" i="26"/>
  <c r="AO76" i="26"/>
  <c r="AP82" i="26"/>
  <c r="AP76" i="26"/>
  <c r="AQ82" i="26"/>
  <c r="AQ76" i="26"/>
  <c r="AT82" i="26"/>
  <c r="AT76" i="26"/>
  <c r="BF71" i="26"/>
  <c r="AU82" i="26"/>
  <c r="AU76" i="26"/>
  <c r="AV82" i="26"/>
  <c r="AV76" i="26"/>
  <c r="AW82" i="26"/>
  <c r="AW76" i="26"/>
  <c r="AX82" i="26"/>
  <c r="AX76" i="26"/>
  <c r="AY82" i="26"/>
  <c r="AY76" i="26"/>
  <c r="AZ82" i="26"/>
  <c r="AZ76" i="26"/>
  <c r="BA82" i="26"/>
  <c r="BA76" i="26"/>
  <c r="BB82" i="26"/>
  <c r="BB76" i="26"/>
  <c r="BC82" i="26"/>
  <c r="BC76" i="26"/>
  <c r="BH82" i="26"/>
  <c r="BT71" i="26"/>
  <c r="BI82" i="26"/>
  <c r="BJ82" i="26"/>
  <c r="BK82" i="26"/>
  <c r="BL82" i="26"/>
  <c r="BM82" i="26"/>
  <c r="BN82" i="26"/>
  <c r="BO82" i="26"/>
  <c r="BP82" i="26"/>
  <c r="BV75" i="26"/>
  <c r="CH71" i="26"/>
  <c r="CL82" i="26"/>
  <c r="CL81" i="26"/>
  <c r="CL72" i="26"/>
  <c r="BG72" i="26"/>
  <c r="BP73" i="26"/>
  <c r="BT72" i="26"/>
  <c r="CH72" i="26"/>
  <c r="BT73" i="26"/>
  <c r="BG74" i="26"/>
  <c r="CH74" i="26"/>
  <c r="CN77" i="26"/>
  <c r="CO76" i="26"/>
  <c r="AM81" i="26"/>
  <c r="AR78" i="26"/>
  <c r="AN81" i="26"/>
  <c r="AO81" i="26"/>
  <c r="AP81" i="26"/>
  <c r="AQ81" i="26"/>
  <c r="AT81" i="26"/>
  <c r="BF78" i="26"/>
  <c r="BG78" i="26" s="1"/>
  <c r="AU81" i="26"/>
  <c r="AV81" i="26"/>
  <c r="AW81" i="26"/>
  <c r="AX81" i="26"/>
  <c r="AY81" i="26"/>
  <c r="AZ81" i="26"/>
  <c r="BA81" i="26"/>
  <c r="BB81" i="26"/>
  <c r="BC81" i="26"/>
  <c r="BH81" i="26"/>
  <c r="BT78" i="26"/>
  <c r="BI81" i="26"/>
  <c r="BJ81" i="26"/>
  <c r="BK81" i="26"/>
  <c r="BL81" i="26"/>
  <c r="BM81" i="26"/>
  <c r="BN81" i="26"/>
  <c r="BO81" i="26"/>
  <c r="BP81" i="26"/>
  <c r="CB81" i="26"/>
  <c r="CH78" i="26"/>
  <c r="CC81" i="26"/>
  <c r="CD81" i="26"/>
  <c r="CG81" i="26"/>
  <c r="CP77" i="22"/>
  <c r="CP84" i="22" s="1"/>
  <c r="CR71" i="22"/>
  <c r="CR77" i="22"/>
  <c r="CR84" i="22" s="1"/>
  <c r="CK33" i="22"/>
  <c r="CJ57" i="22"/>
  <c r="CV55" i="22"/>
  <c r="CW55" i="22" s="1"/>
  <c r="CJ53" i="22"/>
  <c r="CK57" i="22"/>
  <c r="CL30" i="22"/>
  <c r="CL31" i="22" s="1"/>
  <c r="CP81" i="22"/>
  <c r="CP82" i="22"/>
  <c r="CQ81" i="22"/>
  <c r="CR81" i="22"/>
  <c r="CS81" i="22"/>
  <c r="CT81" i="22"/>
  <c r="CU86" i="22"/>
  <c r="CX74" i="22"/>
  <c r="CY74" i="22"/>
  <c r="CZ74" i="22"/>
  <c r="DA74" i="22"/>
  <c r="DB74" i="22"/>
  <c r="BY69" i="23"/>
  <c r="BY67" i="23" s="1"/>
  <c r="BY66" i="23"/>
  <c r="BZ69" i="23"/>
  <c r="BZ67" i="23" s="1"/>
  <c r="BZ66" i="23"/>
  <c r="CA69" i="23"/>
  <c r="CA67" i="23" s="1"/>
  <c r="CA66" i="23"/>
  <c r="CB69" i="23"/>
  <c r="CB67" i="23" s="1"/>
  <c r="CB66" i="23"/>
  <c r="CC69" i="23"/>
  <c r="CC67" i="23" s="1"/>
  <c r="CC66" i="23"/>
  <c r="CD69" i="23"/>
  <c r="CD67" i="23" s="1"/>
  <c r="CD66" i="23"/>
  <c r="CE69" i="23"/>
  <c r="CE67" i="23" s="1"/>
  <c r="CE66" i="23"/>
  <c r="CF69" i="23"/>
  <c r="CF67" i="23" s="1"/>
  <c r="CF66" i="23"/>
  <c r="CG69" i="23"/>
  <c r="CG67" i="23" s="1"/>
  <c r="CG66" i="23"/>
  <c r="CJ69" i="23"/>
  <c r="CJ66" i="23"/>
  <c r="CK69" i="23"/>
  <c r="CK66" i="23"/>
  <c r="CK67" i="23" s="1"/>
  <c r="CL69" i="23"/>
  <c r="CL66" i="23"/>
  <c r="CL67" i="23" s="1"/>
  <c r="CM69" i="23"/>
  <c r="CM66" i="23"/>
  <c r="CM67" i="23" s="1"/>
  <c r="CN69" i="23"/>
  <c r="CN66" i="23"/>
  <c r="CN67" i="23" s="1"/>
  <c r="CO69" i="23"/>
  <c r="CO66" i="23"/>
  <c r="CO67" i="23" s="1"/>
  <c r="D21" i="23"/>
  <c r="D20" i="23"/>
  <c r="D18" i="23"/>
  <c r="E21" i="23"/>
  <c r="E20" i="23"/>
  <c r="E18" i="23"/>
  <c r="F21" i="23"/>
  <c r="F20" i="23"/>
  <c r="F18" i="23"/>
  <c r="G21" i="23"/>
  <c r="G20" i="23"/>
  <c r="G18" i="23"/>
  <c r="H21" i="23"/>
  <c r="H20" i="23"/>
  <c r="H18" i="23"/>
  <c r="I21" i="23"/>
  <c r="I20" i="23"/>
  <c r="I18" i="23"/>
  <c r="J21" i="23"/>
  <c r="J20" i="23"/>
  <c r="J18" i="23"/>
  <c r="K21" i="23"/>
  <c r="K20" i="23"/>
  <c r="K18" i="23"/>
  <c r="L21" i="23"/>
  <c r="L20" i="23"/>
  <c r="L18" i="23"/>
  <c r="M21" i="23"/>
  <c r="M20" i="23"/>
  <c r="M18" i="23"/>
  <c r="N21" i="23"/>
  <c r="N20" i="23"/>
  <c r="N18" i="23"/>
  <c r="O21" i="23"/>
  <c r="P21" i="23" s="1"/>
  <c r="O20" i="23"/>
  <c r="P20" i="23" s="1"/>
  <c r="O18" i="23"/>
  <c r="R21" i="23"/>
  <c r="R20" i="23"/>
  <c r="R18" i="23"/>
  <c r="S21" i="23"/>
  <c r="S20" i="23"/>
  <c r="S18" i="23"/>
  <c r="T21" i="23"/>
  <c r="T20" i="23"/>
  <c r="T18" i="23"/>
  <c r="U21" i="23"/>
  <c r="U20" i="23"/>
  <c r="U18" i="23"/>
  <c r="V21" i="23"/>
  <c r="V20" i="23"/>
  <c r="V18" i="23"/>
  <c r="W21" i="23"/>
  <c r="W20" i="23"/>
  <c r="W18" i="23"/>
  <c r="X21" i="23"/>
  <c r="X20" i="23"/>
  <c r="X18" i="23"/>
  <c r="Y21" i="23"/>
  <c r="Y20" i="23"/>
  <c r="Y18" i="23"/>
  <c r="Z21" i="23"/>
  <c r="Z20" i="23"/>
  <c r="Z18" i="23"/>
  <c r="AA21" i="23"/>
  <c r="AA20" i="23"/>
  <c r="AA18" i="23"/>
  <c r="AB21" i="23"/>
  <c r="AB20" i="23"/>
  <c r="AB18" i="23"/>
  <c r="AC21" i="23"/>
  <c r="AD21" i="23" s="1"/>
  <c r="AC20" i="23"/>
  <c r="AD20" i="23" s="1"/>
  <c r="AF22" i="23"/>
  <c r="AF54" i="23" s="1"/>
  <c r="AF21" i="23"/>
  <c r="AF18" i="23"/>
  <c r="AG21" i="23"/>
  <c r="AG18" i="23"/>
  <c r="AH22" i="23"/>
  <c r="AH54" i="23" s="1"/>
  <c r="AH21" i="23"/>
  <c r="AH18" i="23"/>
  <c r="AI22" i="23"/>
  <c r="AI54" i="23" s="1"/>
  <c r="AI21" i="23"/>
  <c r="AI18" i="23"/>
  <c r="AJ22" i="23"/>
  <c r="AJ54" i="23" s="1"/>
  <c r="AJ21" i="23"/>
  <c r="AJ18" i="23"/>
  <c r="AK22" i="23"/>
  <c r="AK54" i="23" s="1"/>
  <c r="AK21" i="23"/>
  <c r="AK18" i="23"/>
  <c r="AL22" i="23"/>
  <c r="AL54" i="23" s="1"/>
  <c r="AL21" i="23"/>
  <c r="AL18" i="23"/>
  <c r="AM22" i="23"/>
  <c r="AM54" i="23" s="1"/>
  <c r="AM21" i="23"/>
  <c r="AM18" i="23"/>
  <c r="AN22" i="23"/>
  <c r="AN54" i="23" s="1"/>
  <c r="AN21" i="23"/>
  <c r="AN18" i="23"/>
  <c r="AO22" i="23"/>
  <c r="AO54" i="23" s="1"/>
  <c r="AO21" i="23"/>
  <c r="AO18" i="23"/>
  <c r="AP22" i="23"/>
  <c r="AP54" i="23" s="1"/>
  <c r="AP21" i="23"/>
  <c r="AP18" i="23"/>
  <c r="AQ22" i="23"/>
  <c r="AQ21" i="23"/>
  <c r="AR21" i="23" s="1"/>
  <c r="AQ18" i="23"/>
  <c r="AR18" i="23" s="1"/>
  <c r="AR10" i="23"/>
  <c r="AT22" i="23"/>
  <c r="AT21" i="23"/>
  <c r="AT18" i="23"/>
  <c r="AU22" i="23"/>
  <c r="AU21" i="23"/>
  <c r="AU18" i="23"/>
  <c r="AV22" i="23"/>
  <c r="AV21" i="23"/>
  <c r="AV18" i="23"/>
  <c r="AW22" i="23"/>
  <c r="AW21" i="23"/>
  <c r="AW18" i="23"/>
  <c r="AX22" i="23"/>
  <c r="AX21" i="23"/>
  <c r="AX18" i="23"/>
  <c r="AY22" i="23"/>
  <c r="AY21" i="23"/>
  <c r="AY18" i="23"/>
  <c r="AZ21" i="23"/>
  <c r="AZ18" i="23"/>
  <c r="BA22" i="23"/>
  <c r="BA21" i="23"/>
  <c r="BA18" i="23"/>
  <c r="BB22" i="23"/>
  <c r="BB21" i="23"/>
  <c r="BC21" i="23" s="1"/>
  <c r="BD21" i="23" s="1"/>
  <c r="BE21" i="23" s="1"/>
  <c r="BF21" i="23" s="1"/>
  <c r="BB18" i="23"/>
  <c r="BC22" i="23"/>
  <c r="BC18" i="23"/>
  <c r="BD22" i="23"/>
  <c r="BD18" i="23"/>
  <c r="BE22" i="23"/>
  <c r="BE18" i="23"/>
  <c r="BF18" i="23" s="1"/>
  <c r="BF10" i="23"/>
  <c r="BH22" i="23"/>
  <c r="BH21" i="23"/>
  <c r="BH18" i="23"/>
  <c r="BI22" i="23"/>
  <c r="BI21" i="23"/>
  <c r="BI18" i="23"/>
  <c r="BJ22" i="23"/>
  <c r="BJ21" i="23"/>
  <c r="BJ18" i="23"/>
  <c r="BK22" i="23"/>
  <c r="BK21" i="23"/>
  <c r="BK18" i="23"/>
  <c r="BL22" i="23"/>
  <c r="BL21" i="23"/>
  <c r="BL18" i="23"/>
  <c r="BM22" i="23"/>
  <c r="BM21" i="23"/>
  <c r="BM18" i="23"/>
  <c r="BN22" i="23"/>
  <c r="BN21" i="23"/>
  <c r="BN18" i="23"/>
  <c r="BO21" i="23"/>
  <c r="BO18" i="23"/>
  <c r="BP21" i="23"/>
  <c r="BP18" i="23"/>
  <c r="BQ21" i="23"/>
  <c r="BQ18" i="23"/>
  <c r="BR21" i="23"/>
  <c r="BR18" i="23"/>
  <c r="BS21" i="23"/>
  <c r="BT21" i="23" s="1"/>
  <c r="BS18" i="23"/>
  <c r="BT18" i="23" s="1"/>
  <c r="BT10" i="23"/>
  <c r="BV21" i="23"/>
  <c r="BV18" i="23"/>
  <c r="BW10" i="23"/>
  <c r="BX21" i="23"/>
  <c r="BX18" i="23"/>
  <c r="BY21" i="23"/>
  <c r="BY18" i="23"/>
  <c r="BZ21" i="23"/>
  <c r="BZ18" i="23"/>
  <c r="CA10" i="23"/>
  <c r="AQ20" i="23"/>
  <c r="AR20" i="23" s="1"/>
  <c r="AR19" i="23"/>
  <c r="AT20" i="23"/>
  <c r="BF20" i="23" s="1"/>
  <c r="BF19" i="23"/>
  <c r="BS20" i="23"/>
  <c r="BT20" i="23" s="1"/>
  <c r="BT19" i="23"/>
  <c r="R76" i="23"/>
  <c r="CF65" i="23"/>
  <c r="CT23" i="23"/>
  <c r="CT65" i="23" s="1"/>
  <c r="CG65" i="23"/>
  <c r="CU23" i="23"/>
  <c r="CU65" i="23" s="1"/>
  <c r="BH58" i="23"/>
  <c r="BH27" i="23"/>
  <c r="BT24" i="23"/>
  <c r="BT27" i="23" s="1"/>
  <c r="BI58" i="23"/>
  <c r="BI27" i="23"/>
  <c r="BJ58" i="23"/>
  <c r="BJ27" i="23"/>
  <c r="BK58" i="23"/>
  <c r="BK27" i="23"/>
  <c r="BL58" i="23"/>
  <c r="BL27" i="23"/>
  <c r="BM58" i="23"/>
  <c r="BM27" i="23"/>
  <c r="BN58" i="23"/>
  <c r="BN27" i="23"/>
  <c r="BO58" i="23"/>
  <c r="BO27" i="23"/>
  <c r="BP58" i="23"/>
  <c r="BP27" i="23"/>
  <c r="AN58" i="23"/>
  <c r="AR27" i="23"/>
  <c r="AT58" i="23"/>
  <c r="BF58" i="23" s="1"/>
  <c r="BF27" i="23"/>
  <c r="BG27" i="23" s="1"/>
  <c r="BR52" i="23"/>
  <c r="CF52" i="23" s="1"/>
  <c r="T50" i="23"/>
  <c r="T23" i="23" s="1"/>
  <c r="T76" i="23" s="1"/>
  <c r="AD29" i="23"/>
  <c r="BG29" i="23"/>
  <c r="BG30" i="23"/>
  <c r="BG31" i="23"/>
  <c r="S50" i="23"/>
  <c r="S23" i="23" s="1"/>
  <c r="AD32" i="23"/>
  <c r="BG32" i="23"/>
  <c r="BG33" i="23"/>
  <c r="BG34" i="23"/>
  <c r="BG35" i="23"/>
  <c r="BG36" i="23"/>
  <c r="BG37" i="23"/>
  <c r="AH50" i="23"/>
  <c r="AR38" i="23"/>
  <c r="BG38" i="23"/>
  <c r="BG39" i="23"/>
  <c r="BG40" i="23"/>
  <c r="BG41" i="23"/>
  <c r="BG42" i="23"/>
  <c r="BG43" i="23"/>
  <c r="BG44" i="23"/>
  <c r="BV50" i="23"/>
  <c r="CH44" i="23"/>
  <c r="BG45" i="23"/>
  <c r="BG46" i="23"/>
  <c r="BG47" i="23"/>
  <c r="BG49" i="23"/>
  <c r="AD50" i="23"/>
  <c r="AF60" i="23"/>
  <c r="AR50" i="23"/>
  <c r="AL60" i="23"/>
  <c r="AL52" i="23"/>
  <c r="AP60" i="23"/>
  <c r="AP52" i="23"/>
  <c r="AQ60" i="23"/>
  <c r="AQ52" i="23"/>
  <c r="AT60" i="23"/>
  <c r="BF50" i="23"/>
  <c r="BG50" i="23" s="1"/>
  <c r="BG53" i="23" s="1"/>
  <c r="BA60" i="23"/>
  <c r="BA51" i="23"/>
  <c r="BO54" i="23"/>
  <c r="CC52" i="23"/>
  <c r="BT52" i="23"/>
  <c r="BP54" i="23"/>
  <c r="CD52" i="23"/>
  <c r="BQ54" i="23"/>
  <c r="CE52" i="23"/>
  <c r="BB54" i="23"/>
  <c r="BF53" i="23"/>
  <c r="BF54" i="23"/>
  <c r="BT54" i="23"/>
  <c r="AF61" i="23"/>
  <c r="AR56" i="23"/>
  <c r="AG61" i="23"/>
  <c r="AI61" i="23"/>
  <c r="AJ61" i="23"/>
  <c r="AK61" i="23"/>
  <c r="AL61" i="23"/>
  <c r="AM61" i="23"/>
  <c r="AN61" i="23"/>
  <c r="AO61" i="23"/>
  <c r="AP61" i="23"/>
  <c r="AQ61" i="23"/>
  <c r="AT61" i="23"/>
  <c r="BF56" i="23"/>
  <c r="BG56" i="23" s="1"/>
  <c r="AU61" i="23"/>
  <c r="AU62" i="23" s="1"/>
  <c r="AV61" i="23"/>
  <c r="AV62" i="23" s="1"/>
  <c r="AW61" i="23"/>
  <c r="AW62" i="23" s="1"/>
  <c r="AX61" i="23"/>
  <c r="AX62" i="23" s="1"/>
  <c r="AY61" i="23"/>
  <c r="AY62" i="23" s="1"/>
  <c r="AZ61" i="23"/>
  <c r="AZ62" i="23" s="1"/>
  <c r="BA61" i="23"/>
  <c r="BA62" i="23" s="1"/>
  <c r="BB61" i="23"/>
  <c r="BB62" i="23" s="1"/>
  <c r="BC61" i="23"/>
  <c r="BC62" i="23" s="1"/>
  <c r="BD61" i="23"/>
  <c r="BD62" i="23" s="1"/>
  <c r="BE61" i="23"/>
  <c r="BE62" i="23" s="1"/>
  <c r="BH61" i="23"/>
  <c r="BT56" i="23"/>
  <c r="BI61" i="23"/>
  <c r="BI62" i="23" s="1"/>
  <c r="BJ61" i="23"/>
  <c r="BJ62" i="23" s="1"/>
  <c r="BK61" i="23"/>
  <c r="BK62" i="23" s="1"/>
  <c r="BL61" i="23"/>
  <c r="BL62" i="23" s="1"/>
  <c r="BM61" i="23"/>
  <c r="BM62" i="23" s="1"/>
  <c r="BN61" i="23"/>
  <c r="BN62" i="23" s="1"/>
  <c r="BO61" i="23"/>
  <c r="BO62" i="23" s="1"/>
  <c r="BP61" i="23"/>
  <c r="BP62" i="23" s="1"/>
  <c r="BQ61" i="23"/>
  <c r="BQ62" i="23" s="1"/>
  <c r="BG57" i="23"/>
  <c r="AR58" i="23"/>
  <c r="BB60" i="23"/>
  <c r="BF59" i="23"/>
  <c r="BG59" i="23" s="1"/>
  <c r="AF76" i="23"/>
  <c r="AF75" i="23"/>
  <c r="AR66" i="23"/>
  <c r="AG76" i="23"/>
  <c r="AG75" i="23"/>
  <c r="AH75" i="23"/>
  <c r="AI76" i="23"/>
  <c r="AI75" i="23"/>
  <c r="AJ76" i="23"/>
  <c r="AJ75" i="23"/>
  <c r="AK76" i="23"/>
  <c r="AK75" i="23"/>
  <c r="AL76" i="23"/>
  <c r="AL75" i="23"/>
  <c r="AM76" i="23"/>
  <c r="AN76" i="23"/>
  <c r="AO76" i="23"/>
  <c r="AO71" i="23"/>
  <c r="AP76" i="23"/>
  <c r="AP71" i="23"/>
  <c r="AQ76" i="23"/>
  <c r="AQ71" i="23"/>
  <c r="AT76" i="23"/>
  <c r="AT71" i="23"/>
  <c r="BF66" i="23"/>
  <c r="AU76" i="23"/>
  <c r="AU71" i="23"/>
  <c r="AV76" i="23"/>
  <c r="AV71" i="23"/>
  <c r="AW76" i="23"/>
  <c r="AW71" i="23"/>
  <c r="AX76" i="23"/>
  <c r="AX71" i="23"/>
  <c r="AY76" i="23"/>
  <c r="AY71" i="23"/>
  <c r="AZ76" i="23"/>
  <c r="AZ71" i="23"/>
  <c r="BA76" i="23"/>
  <c r="BA71" i="23"/>
  <c r="BB76" i="23"/>
  <c r="BB71" i="23"/>
  <c r="BC76" i="23"/>
  <c r="BC71" i="23"/>
  <c r="BH76" i="23"/>
  <c r="BT66" i="23"/>
  <c r="BI76" i="23"/>
  <c r="BJ76" i="23"/>
  <c r="BK76" i="23"/>
  <c r="BL76" i="23"/>
  <c r="BM76" i="23"/>
  <c r="BN76" i="23"/>
  <c r="BO76" i="23"/>
  <c r="BP76" i="23"/>
  <c r="BV70" i="23"/>
  <c r="CH66" i="23"/>
  <c r="BG67" i="23"/>
  <c r="BP68" i="23"/>
  <c r="BT67" i="23"/>
  <c r="CH67" i="23"/>
  <c r="BT68" i="23"/>
  <c r="BG69" i="23"/>
  <c r="CH69" i="23"/>
  <c r="AM75" i="23"/>
  <c r="AR72" i="23"/>
  <c r="AN75" i="23"/>
  <c r="AO75" i="23"/>
  <c r="AP75" i="23"/>
  <c r="AQ75" i="23"/>
  <c r="AT75" i="23"/>
  <c r="BF72" i="23"/>
  <c r="BG72" i="23" s="1"/>
  <c r="AU75" i="23"/>
  <c r="AV75" i="23"/>
  <c r="AW75" i="23"/>
  <c r="AX75" i="23"/>
  <c r="AY75" i="23"/>
  <c r="AZ75" i="23"/>
  <c r="BA75" i="23"/>
  <c r="BB75" i="23"/>
  <c r="BC75" i="23"/>
  <c r="BH75" i="23"/>
  <c r="BT72" i="23"/>
  <c r="BI75" i="23"/>
  <c r="BJ75" i="23"/>
  <c r="BK75" i="23"/>
  <c r="BL75" i="23"/>
  <c r="BM75" i="23"/>
  <c r="BN75" i="23"/>
  <c r="BO75" i="23"/>
  <c r="BP75" i="23"/>
  <c r="CB75" i="23"/>
  <c r="CH72" i="23"/>
  <c r="CC75" i="23"/>
  <c r="CD75" i="23"/>
  <c r="CE75" i="23"/>
  <c r="CF75" i="23"/>
  <c r="CG75" i="23"/>
  <c r="BY74" i="22"/>
  <c r="BY72" i="22" s="1"/>
  <c r="BY71" i="22"/>
  <c r="BZ74" i="22"/>
  <c r="BZ72" i="22" s="1"/>
  <c r="BZ71" i="22"/>
  <c r="CA74" i="22"/>
  <c r="CA72" i="22" s="1"/>
  <c r="CA71" i="22"/>
  <c r="CB74" i="22"/>
  <c r="CB72" i="22" s="1"/>
  <c r="CB71" i="22"/>
  <c r="CC74" i="22"/>
  <c r="CC72" i="22" s="1"/>
  <c r="CC71" i="22"/>
  <c r="CD74" i="22"/>
  <c r="CD72" i="22" s="1"/>
  <c r="CD71" i="22"/>
  <c r="CE74" i="22"/>
  <c r="CE72" i="22" s="1"/>
  <c r="CF74" i="22"/>
  <c r="CF72" i="22" s="1"/>
  <c r="CF71" i="22"/>
  <c r="CG74" i="22"/>
  <c r="CG72" i="22" s="1"/>
  <c r="CG71" i="22"/>
  <c r="CG10" i="22" s="1"/>
  <c r="CJ74" i="22"/>
  <c r="CK74" i="22"/>
  <c r="CK71" i="22"/>
  <c r="CK81" i="22" s="1"/>
  <c r="CL74" i="22"/>
  <c r="CN74" i="22"/>
  <c r="CO74" i="22"/>
  <c r="CO71" i="22"/>
  <c r="D25" i="22"/>
  <c r="D24" i="22"/>
  <c r="D22" i="22"/>
  <c r="E25" i="22"/>
  <c r="E24" i="22"/>
  <c r="E22" i="22"/>
  <c r="F25" i="22"/>
  <c r="F24" i="22"/>
  <c r="F22" i="22"/>
  <c r="G25" i="22"/>
  <c r="G24" i="22"/>
  <c r="G22" i="22"/>
  <c r="H25" i="22"/>
  <c r="H24" i="22"/>
  <c r="H22" i="22"/>
  <c r="I25" i="22"/>
  <c r="I24" i="22"/>
  <c r="I22" i="22"/>
  <c r="J25" i="22"/>
  <c r="J24" i="22"/>
  <c r="J22" i="22"/>
  <c r="K25" i="22"/>
  <c r="K24" i="22"/>
  <c r="K22" i="22"/>
  <c r="L25" i="22"/>
  <c r="L24" i="22"/>
  <c r="L22" i="22"/>
  <c r="M25" i="22"/>
  <c r="M24" i="22"/>
  <c r="M22" i="22"/>
  <c r="N25" i="22"/>
  <c r="N24" i="22"/>
  <c r="N22" i="22"/>
  <c r="O25" i="22"/>
  <c r="P25" i="22" s="1"/>
  <c r="O24" i="22"/>
  <c r="P24" i="22" s="1"/>
  <c r="O22" i="22"/>
  <c r="R25" i="22"/>
  <c r="R24" i="22"/>
  <c r="R22" i="22"/>
  <c r="S25" i="22"/>
  <c r="S24" i="22"/>
  <c r="S22" i="22"/>
  <c r="T25" i="22"/>
  <c r="T24" i="22"/>
  <c r="T22" i="22"/>
  <c r="U25" i="22"/>
  <c r="U24" i="22"/>
  <c r="U22" i="22"/>
  <c r="V25" i="22"/>
  <c r="V24" i="22"/>
  <c r="V22" i="22"/>
  <c r="W25" i="22"/>
  <c r="W24" i="22"/>
  <c r="W22" i="22"/>
  <c r="X25" i="22"/>
  <c r="X24" i="22"/>
  <c r="X22" i="22"/>
  <c r="Y25" i="22"/>
  <c r="Y24" i="22"/>
  <c r="Y22" i="22"/>
  <c r="Z25" i="22"/>
  <c r="Z24" i="22"/>
  <c r="Z22" i="22"/>
  <c r="AA25" i="22"/>
  <c r="AA24" i="22"/>
  <c r="AA22" i="22"/>
  <c r="AB25" i="22"/>
  <c r="AB24" i="22"/>
  <c r="AB22" i="22"/>
  <c r="AC25" i="22"/>
  <c r="AD25" i="22" s="1"/>
  <c r="AC24" i="22"/>
  <c r="AD24" i="22" s="1"/>
  <c r="AF26" i="22"/>
  <c r="AF59" i="22" s="1"/>
  <c r="AF25" i="22"/>
  <c r="AF22" i="22"/>
  <c r="AG25" i="22"/>
  <c r="AG22" i="22"/>
  <c r="AH26" i="22"/>
  <c r="AH59" i="22" s="1"/>
  <c r="AH25" i="22"/>
  <c r="AH22" i="22"/>
  <c r="AI26" i="22"/>
  <c r="AI59" i="22" s="1"/>
  <c r="AI25" i="22"/>
  <c r="AI22" i="22"/>
  <c r="AJ26" i="22"/>
  <c r="AJ59" i="22" s="1"/>
  <c r="AJ25" i="22"/>
  <c r="AJ22" i="22"/>
  <c r="AK26" i="22"/>
  <c r="AK59" i="22" s="1"/>
  <c r="AK25" i="22"/>
  <c r="AK22" i="22"/>
  <c r="AL26" i="22"/>
  <c r="AL59" i="22" s="1"/>
  <c r="AL25" i="22"/>
  <c r="AL22" i="22"/>
  <c r="AM26" i="22"/>
  <c r="AM59" i="22" s="1"/>
  <c r="AM25" i="22"/>
  <c r="AM22" i="22"/>
  <c r="AN26" i="22"/>
  <c r="AN59" i="22" s="1"/>
  <c r="AN25" i="22"/>
  <c r="AN22" i="22"/>
  <c r="AO26" i="22"/>
  <c r="AO59" i="22" s="1"/>
  <c r="AO25" i="22"/>
  <c r="AO22" i="22"/>
  <c r="AP26" i="22"/>
  <c r="AP59" i="22" s="1"/>
  <c r="AP25" i="22"/>
  <c r="AP22" i="22"/>
  <c r="AQ26" i="22"/>
  <c r="AQ25" i="22"/>
  <c r="AR25" i="22" s="1"/>
  <c r="AQ22" i="22"/>
  <c r="AR22" i="22" s="1"/>
  <c r="AR10" i="22"/>
  <c r="AT26" i="22"/>
  <c r="AT25" i="22"/>
  <c r="AT22" i="22"/>
  <c r="AU26" i="22"/>
  <c r="AU25" i="22"/>
  <c r="AU22" i="22"/>
  <c r="AV26" i="22"/>
  <c r="AV25" i="22"/>
  <c r="AV22" i="22"/>
  <c r="AW26" i="22"/>
  <c r="AW25" i="22"/>
  <c r="AW22" i="22"/>
  <c r="AX26" i="22"/>
  <c r="AX25" i="22"/>
  <c r="AX22" i="22"/>
  <c r="AY26" i="22"/>
  <c r="AY25" i="22"/>
  <c r="AY22" i="22"/>
  <c r="AZ25" i="22"/>
  <c r="AZ22" i="22"/>
  <c r="BA26" i="22"/>
  <c r="BA25" i="22"/>
  <c r="BA22" i="22"/>
  <c r="BB26" i="22"/>
  <c r="BB25" i="22"/>
  <c r="BC25" i="22" s="1"/>
  <c r="BD25" i="22" s="1"/>
  <c r="BE25" i="22" s="1"/>
  <c r="BF25" i="22" s="1"/>
  <c r="BB22" i="22"/>
  <c r="BC26" i="22"/>
  <c r="BC22" i="22"/>
  <c r="BD26" i="22"/>
  <c r="BD22" i="22"/>
  <c r="BE26" i="22"/>
  <c r="BE22" i="22"/>
  <c r="BF22" i="22" s="1"/>
  <c r="BF10" i="22"/>
  <c r="BH26" i="22"/>
  <c r="BH25" i="22"/>
  <c r="BH22" i="22"/>
  <c r="BI26" i="22"/>
  <c r="BI25" i="22"/>
  <c r="BI22" i="22"/>
  <c r="BJ26" i="22"/>
  <c r="BJ25" i="22"/>
  <c r="BJ22" i="22"/>
  <c r="BK26" i="22"/>
  <c r="BK25" i="22"/>
  <c r="BK22" i="22"/>
  <c r="BL26" i="22"/>
  <c r="BL25" i="22"/>
  <c r="BL22" i="22"/>
  <c r="BM26" i="22"/>
  <c r="BM25" i="22"/>
  <c r="BM22" i="22"/>
  <c r="BN26" i="22"/>
  <c r="BN25" i="22"/>
  <c r="BN22" i="22"/>
  <c r="BO25" i="22"/>
  <c r="BO22" i="22"/>
  <c r="BP25" i="22"/>
  <c r="BP22" i="22"/>
  <c r="BQ25" i="22"/>
  <c r="BQ22" i="22"/>
  <c r="BR25" i="22"/>
  <c r="BR22" i="22"/>
  <c r="BS25" i="22"/>
  <c r="BT25" i="22" s="1"/>
  <c r="BS22" i="22"/>
  <c r="BT22" i="22" s="1"/>
  <c r="BT10" i="22"/>
  <c r="BV25" i="22"/>
  <c r="BX25" i="22"/>
  <c r="BY25" i="22"/>
  <c r="BZ25" i="22"/>
  <c r="AQ24" i="22"/>
  <c r="AR24" i="22" s="1"/>
  <c r="AR23" i="22"/>
  <c r="AT24" i="22"/>
  <c r="BF24" i="22" s="1"/>
  <c r="BF23" i="22"/>
  <c r="BS24" i="22"/>
  <c r="BT24" i="22" s="1"/>
  <c r="BT23" i="22"/>
  <c r="R82" i="22"/>
  <c r="CF70" i="22"/>
  <c r="CG70" i="22"/>
  <c r="BH63" i="22"/>
  <c r="BH31" i="22"/>
  <c r="BT28" i="22"/>
  <c r="BT31" i="22" s="1"/>
  <c r="BI63" i="22"/>
  <c r="BI31" i="22"/>
  <c r="BJ63" i="22"/>
  <c r="BJ31" i="22"/>
  <c r="BK63" i="22"/>
  <c r="BK31" i="22"/>
  <c r="BL63" i="22"/>
  <c r="BL31" i="22"/>
  <c r="BM63" i="22"/>
  <c r="BM31" i="22"/>
  <c r="BN63" i="22"/>
  <c r="BN31" i="22"/>
  <c r="BO63" i="22"/>
  <c r="BO31" i="22"/>
  <c r="BP63" i="22"/>
  <c r="BP31" i="22"/>
  <c r="AN63" i="22"/>
  <c r="AR31" i="22"/>
  <c r="AT63" i="22"/>
  <c r="BF63" i="22" s="1"/>
  <c r="BF31" i="22"/>
  <c r="BG31" i="22" s="1"/>
  <c r="BR57" i="22"/>
  <c r="T55" i="22"/>
  <c r="T27" i="22" s="1"/>
  <c r="T82" i="22" s="1"/>
  <c r="AD34" i="22"/>
  <c r="BG34" i="22"/>
  <c r="BG35" i="22"/>
  <c r="BG36" i="22"/>
  <c r="S55" i="22"/>
  <c r="S27" i="22" s="1"/>
  <c r="AD37" i="22"/>
  <c r="BG37" i="22"/>
  <c r="BG38" i="22"/>
  <c r="BG39" i="22"/>
  <c r="BG40" i="22"/>
  <c r="BG41" i="22"/>
  <c r="BG42" i="22"/>
  <c r="AH55" i="22"/>
  <c r="AR43" i="22"/>
  <c r="BG43" i="22"/>
  <c r="BG44" i="22"/>
  <c r="BG45" i="22"/>
  <c r="BG46" i="22"/>
  <c r="BG47" i="22"/>
  <c r="BG48" i="22"/>
  <c r="BG49" i="22"/>
  <c r="CH49" i="22"/>
  <c r="BG50" i="22"/>
  <c r="BG51" i="22"/>
  <c r="BG52" i="22"/>
  <c r="BG54" i="22"/>
  <c r="AD55" i="22"/>
  <c r="AF65" i="22"/>
  <c r="AR55" i="22"/>
  <c r="AL65" i="22"/>
  <c r="AL57" i="22"/>
  <c r="AP65" i="22"/>
  <c r="AP57" i="22"/>
  <c r="AQ65" i="22"/>
  <c r="AQ57" i="22"/>
  <c r="AT65" i="22"/>
  <c r="BF55" i="22"/>
  <c r="BG55" i="22" s="1"/>
  <c r="BG58" i="22" s="1"/>
  <c r="BA65" i="22"/>
  <c r="BA56" i="22"/>
  <c r="BO59" i="22"/>
  <c r="BT57" i="22"/>
  <c r="BP59" i="22"/>
  <c r="BQ59" i="22"/>
  <c r="BB59" i="22"/>
  <c r="BF58" i="22"/>
  <c r="BF59" i="22"/>
  <c r="BT59" i="22"/>
  <c r="AF66" i="22"/>
  <c r="AR61" i="22"/>
  <c r="AG66" i="22"/>
  <c r="AI66" i="22"/>
  <c r="AJ66" i="22"/>
  <c r="AK66" i="22"/>
  <c r="AL66" i="22"/>
  <c r="AM66" i="22"/>
  <c r="AN66" i="22"/>
  <c r="AO66" i="22"/>
  <c r="AP66" i="22"/>
  <c r="AQ66" i="22"/>
  <c r="AT66" i="22"/>
  <c r="BF61" i="22"/>
  <c r="BG61" i="22" s="1"/>
  <c r="AU66" i="22"/>
  <c r="AU67" i="22" s="1"/>
  <c r="AV66" i="22"/>
  <c r="AV67" i="22" s="1"/>
  <c r="AW66" i="22"/>
  <c r="AW67" i="22" s="1"/>
  <c r="AX66" i="22"/>
  <c r="AX67" i="22" s="1"/>
  <c r="AY66" i="22"/>
  <c r="AY67" i="22" s="1"/>
  <c r="AZ66" i="22"/>
  <c r="AZ67" i="22" s="1"/>
  <c r="BA66" i="22"/>
  <c r="BA67" i="22" s="1"/>
  <c r="BB66" i="22"/>
  <c r="BB67" i="22" s="1"/>
  <c r="BC66" i="22"/>
  <c r="BC67" i="22" s="1"/>
  <c r="BD66" i="22"/>
  <c r="BD67" i="22" s="1"/>
  <c r="BE66" i="22"/>
  <c r="BE67" i="22" s="1"/>
  <c r="BH66" i="22"/>
  <c r="BT61" i="22"/>
  <c r="BI66" i="22"/>
  <c r="BI67" i="22" s="1"/>
  <c r="BJ66" i="22"/>
  <c r="BJ67" i="22" s="1"/>
  <c r="BK66" i="22"/>
  <c r="BK67" i="22" s="1"/>
  <c r="BL66" i="22"/>
  <c r="BL67" i="22" s="1"/>
  <c r="BM66" i="22"/>
  <c r="BM67" i="22" s="1"/>
  <c r="BN66" i="22"/>
  <c r="BN67" i="22" s="1"/>
  <c r="BO66" i="22"/>
  <c r="BO67" i="22" s="1"/>
  <c r="BP66" i="22"/>
  <c r="BP67" i="22" s="1"/>
  <c r="BQ66" i="22"/>
  <c r="BQ67" i="22" s="1"/>
  <c r="BG62" i="22"/>
  <c r="AR63" i="22"/>
  <c r="BB65" i="22"/>
  <c r="BF64" i="22"/>
  <c r="BG64" i="22" s="1"/>
  <c r="AF82" i="22"/>
  <c r="AF81" i="22"/>
  <c r="AR71" i="22"/>
  <c r="AG82" i="22"/>
  <c r="AG81" i="22"/>
  <c r="AH81" i="22"/>
  <c r="AI82" i="22"/>
  <c r="AI81" i="22"/>
  <c r="AJ82" i="22"/>
  <c r="AJ81" i="22"/>
  <c r="AK82" i="22"/>
  <c r="AK81" i="22"/>
  <c r="AL82" i="22"/>
  <c r="AL81" i="22"/>
  <c r="AM82" i="22"/>
  <c r="AN82" i="22"/>
  <c r="AO82" i="22"/>
  <c r="AO76" i="22"/>
  <c r="AP82" i="22"/>
  <c r="AP76" i="22"/>
  <c r="AQ82" i="22"/>
  <c r="AQ76" i="22"/>
  <c r="AT82" i="22"/>
  <c r="AT76" i="22"/>
  <c r="BF71" i="22"/>
  <c r="AU82" i="22"/>
  <c r="AU76" i="22"/>
  <c r="AV82" i="22"/>
  <c r="AV76" i="22"/>
  <c r="AW82" i="22"/>
  <c r="AW76" i="22"/>
  <c r="AX82" i="22"/>
  <c r="AX76" i="22"/>
  <c r="AY82" i="22"/>
  <c r="AY76" i="22"/>
  <c r="AZ82" i="22"/>
  <c r="AZ76" i="22"/>
  <c r="BA82" i="22"/>
  <c r="BA76" i="22"/>
  <c r="BB82" i="22"/>
  <c r="BB76" i="22"/>
  <c r="BC82" i="22"/>
  <c r="BC76" i="22"/>
  <c r="BH82" i="22"/>
  <c r="BT71" i="22"/>
  <c r="BI82" i="22"/>
  <c r="BJ82" i="22"/>
  <c r="BK82" i="22"/>
  <c r="BL82" i="22"/>
  <c r="BM82" i="22"/>
  <c r="BN82" i="22"/>
  <c r="BO82" i="22"/>
  <c r="BP82" i="22"/>
  <c r="BV75" i="22"/>
  <c r="CH71" i="22"/>
  <c r="BG72" i="22"/>
  <c r="BP73" i="22"/>
  <c r="BT72" i="22"/>
  <c r="CH72" i="22"/>
  <c r="BT73" i="22"/>
  <c r="BG74" i="22"/>
  <c r="CH74" i="22"/>
  <c r="AM81" i="22"/>
  <c r="AR78" i="22"/>
  <c r="AN81" i="22"/>
  <c r="AO81" i="22"/>
  <c r="AP81" i="22"/>
  <c r="AQ81" i="22"/>
  <c r="AT81" i="22"/>
  <c r="BF78" i="22"/>
  <c r="BG78" i="22" s="1"/>
  <c r="AU81" i="22"/>
  <c r="AV81" i="22"/>
  <c r="AW81" i="22"/>
  <c r="AX81" i="22"/>
  <c r="AY81" i="22"/>
  <c r="AZ81" i="22"/>
  <c r="BA81" i="22"/>
  <c r="BB81" i="22"/>
  <c r="BC81" i="22"/>
  <c r="BH81" i="22"/>
  <c r="BT78" i="22"/>
  <c r="BI81" i="22"/>
  <c r="BJ81" i="22"/>
  <c r="BK81" i="22"/>
  <c r="BL81" i="22"/>
  <c r="BM81" i="22"/>
  <c r="BN81" i="22"/>
  <c r="BO81" i="22"/>
  <c r="BP81" i="22"/>
  <c r="CB81" i="22"/>
  <c r="CH78" i="22"/>
  <c r="CC81" i="22"/>
  <c r="CD81" i="22"/>
  <c r="CE81" i="22"/>
  <c r="CF81" i="22"/>
  <c r="CG81" i="22"/>
  <c r="CH72" i="16"/>
  <c r="CK68" i="16"/>
  <c r="CH64" i="16"/>
  <c r="CF23" i="16"/>
  <c r="CT23" i="16" s="1"/>
  <c r="CT65" i="16" s="1"/>
  <c r="I13" i="18"/>
  <c r="J13" i="18"/>
  <c r="BY69" i="16"/>
  <c r="BY67" i="16" s="1"/>
  <c r="BY76" i="16"/>
  <c r="BZ69" i="16"/>
  <c r="BZ67" i="16" s="1"/>
  <c r="BZ66" i="16"/>
  <c r="CA69" i="16"/>
  <c r="CA67" i="16" s="1"/>
  <c r="CB69" i="16"/>
  <c r="CB67" i="16" s="1"/>
  <c r="CB66" i="16"/>
  <c r="CC69" i="16"/>
  <c r="CC67" i="16" s="1"/>
  <c r="CC66" i="16"/>
  <c r="CD69" i="16"/>
  <c r="CD67" i="16" s="1"/>
  <c r="CD66" i="16"/>
  <c r="CE69" i="16"/>
  <c r="CE67" i="16" s="1"/>
  <c r="CE66" i="16"/>
  <c r="CF69" i="16"/>
  <c r="CF67" i="16" s="1"/>
  <c r="CF66" i="16"/>
  <c r="CG69" i="16"/>
  <c r="CG67" i="16" s="1"/>
  <c r="CG66" i="16"/>
  <c r="D21" i="16"/>
  <c r="D20" i="16"/>
  <c r="D18" i="16"/>
  <c r="E21" i="16"/>
  <c r="E20" i="16"/>
  <c r="E18" i="16"/>
  <c r="F21" i="16"/>
  <c r="F20" i="16"/>
  <c r="F18" i="16"/>
  <c r="G21" i="16"/>
  <c r="G20" i="16"/>
  <c r="G18" i="16"/>
  <c r="H21" i="16"/>
  <c r="H20" i="16"/>
  <c r="H18" i="16"/>
  <c r="I21" i="16"/>
  <c r="I20" i="16"/>
  <c r="I18" i="16"/>
  <c r="J21" i="16"/>
  <c r="J20" i="16"/>
  <c r="J18" i="16"/>
  <c r="K21" i="16"/>
  <c r="K20" i="16"/>
  <c r="K18" i="16"/>
  <c r="L21" i="16"/>
  <c r="L20" i="16"/>
  <c r="L18" i="16"/>
  <c r="M21" i="16"/>
  <c r="M20" i="16"/>
  <c r="M18" i="16"/>
  <c r="N21" i="16"/>
  <c r="N20" i="16"/>
  <c r="N18" i="16"/>
  <c r="O21" i="16"/>
  <c r="P21" i="16" s="1"/>
  <c r="O20" i="16"/>
  <c r="P20" i="16" s="1"/>
  <c r="O18" i="16"/>
  <c r="R21" i="16"/>
  <c r="R20" i="16"/>
  <c r="R18" i="16"/>
  <c r="S21" i="16"/>
  <c r="S20" i="16"/>
  <c r="S18" i="16"/>
  <c r="T21" i="16"/>
  <c r="T20" i="16"/>
  <c r="T18" i="16"/>
  <c r="U21" i="16"/>
  <c r="U20" i="16"/>
  <c r="U18" i="16"/>
  <c r="V21" i="16"/>
  <c r="V20" i="16"/>
  <c r="V18" i="16"/>
  <c r="W21" i="16"/>
  <c r="W20" i="16"/>
  <c r="W18" i="16"/>
  <c r="X21" i="16"/>
  <c r="X20" i="16"/>
  <c r="X18" i="16"/>
  <c r="Y21" i="16"/>
  <c r="Y20" i="16"/>
  <c r="Y18" i="16"/>
  <c r="Z21" i="16"/>
  <c r="Z20" i="16"/>
  <c r="Z18" i="16"/>
  <c r="AA21" i="16"/>
  <c r="AA20" i="16"/>
  <c r="AA18" i="16"/>
  <c r="AB21" i="16"/>
  <c r="AB20" i="16"/>
  <c r="AB18" i="16"/>
  <c r="AC21" i="16"/>
  <c r="AD21" i="16" s="1"/>
  <c r="AC20" i="16"/>
  <c r="AD20" i="16" s="1"/>
  <c r="AF22" i="16"/>
  <c r="AF54" i="16" s="1"/>
  <c r="AF21" i="16"/>
  <c r="AF18" i="16"/>
  <c r="AG21" i="16"/>
  <c r="AG18" i="16"/>
  <c r="AH22" i="16"/>
  <c r="AH54" i="16" s="1"/>
  <c r="AH21" i="16"/>
  <c r="AH18" i="16"/>
  <c r="AI22" i="16"/>
  <c r="AI54" i="16" s="1"/>
  <c r="AI21" i="16"/>
  <c r="AI18" i="16"/>
  <c r="AJ22" i="16"/>
  <c r="AJ54" i="16" s="1"/>
  <c r="AJ21" i="16"/>
  <c r="AJ18" i="16"/>
  <c r="AK22" i="16"/>
  <c r="AK54" i="16" s="1"/>
  <c r="AK21" i="16"/>
  <c r="AK18" i="16"/>
  <c r="AL22" i="16"/>
  <c r="AL54" i="16" s="1"/>
  <c r="AL21" i="16"/>
  <c r="AL18" i="16"/>
  <c r="AM22" i="16"/>
  <c r="AM54" i="16" s="1"/>
  <c r="AM21" i="16"/>
  <c r="AM18" i="16"/>
  <c r="AN22" i="16"/>
  <c r="AN54" i="16" s="1"/>
  <c r="AN21" i="16"/>
  <c r="AN18" i="16"/>
  <c r="AO22" i="16"/>
  <c r="AO54" i="16" s="1"/>
  <c r="AO21" i="16"/>
  <c r="AO18" i="16"/>
  <c r="AP22" i="16"/>
  <c r="AP54" i="16" s="1"/>
  <c r="AP21" i="16"/>
  <c r="AP18" i="16"/>
  <c r="AQ22" i="16"/>
  <c r="AQ21" i="16"/>
  <c r="AR21" i="16" s="1"/>
  <c r="AQ18" i="16"/>
  <c r="AR18" i="16" s="1"/>
  <c r="AR10" i="16"/>
  <c r="AT22" i="16"/>
  <c r="AT21" i="16"/>
  <c r="AT18" i="16"/>
  <c r="AU22" i="16"/>
  <c r="AU21" i="16"/>
  <c r="AU18" i="16"/>
  <c r="AV22" i="16"/>
  <c r="AV21" i="16"/>
  <c r="AV18" i="16"/>
  <c r="AW22" i="16"/>
  <c r="AW21" i="16"/>
  <c r="AW18" i="16"/>
  <c r="AX22" i="16"/>
  <c r="AX21" i="16"/>
  <c r="AX18" i="16"/>
  <c r="AY22" i="16"/>
  <c r="AY21" i="16"/>
  <c r="AY18" i="16"/>
  <c r="AZ21" i="16"/>
  <c r="AZ18" i="16"/>
  <c r="BA22" i="16"/>
  <c r="BA21" i="16"/>
  <c r="BA18" i="16"/>
  <c r="BB22" i="16"/>
  <c r="BB21" i="16"/>
  <c r="BC21" i="16" s="1"/>
  <c r="BD21" i="16" s="1"/>
  <c r="BE21" i="16" s="1"/>
  <c r="BF21" i="16" s="1"/>
  <c r="BB18" i="16"/>
  <c r="BC22" i="16"/>
  <c r="BC18" i="16"/>
  <c r="BD22" i="16"/>
  <c r="BD18" i="16"/>
  <c r="BE22" i="16"/>
  <c r="BE18" i="16"/>
  <c r="BF18" i="16" s="1"/>
  <c r="BF10" i="16"/>
  <c r="BH22" i="16"/>
  <c r="BH21" i="16"/>
  <c r="BH18" i="16"/>
  <c r="BI22" i="16"/>
  <c r="BI21" i="16"/>
  <c r="BI18" i="16"/>
  <c r="BJ22" i="16"/>
  <c r="BJ21" i="16"/>
  <c r="BJ18" i="16"/>
  <c r="BK22" i="16"/>
  <c r="BK21" i="16"/>
  <c r="BK18" i="16"/>
  <c r="BL22" i="16"/>
  <c r="BL21" i="16"/>
  <c r="BL18" i="16"/>
  <c r="BM22" i="16"/>
  <c r="BM21" i="16"/>
  <c r="BM18" i="16"/>
  <c r="BN22" i="16"/>
  <c r="BN21" i="16"/>
  <c r="BN18" i="16"/>
  <c r="BO21" i="16"/>
  <c r="BO18" i="16"/>
  <c r="BP21" i="16"/>
  <c r="BP18" i="16"/>
  <c r="BQ21" i="16"/>
  <c r="BQ18" i="16"/>
  <c r="BR21" i="16"/>
  <c r="BR18" i="16"/>
  <c r="BS21" i="16"/>
  <c r="BT21" i="16" s="1"/>
  <c r="BS18" i="16"/>
  <c r="BT18" i="16" s="1"/>
  <c r="BT10" i="16"/>
  <c r="BV21" i="16"/>
  <c r="BV18" i="16"/>
  <c r="BW10" i="16"/>
  <c r="BX21" i="16"/>
  <c r="BX18" i="16"/>
  <c r="BY21" i="16"/>
  <c r="BY18" i="16"/>
  <c r="BZ21" i="16"/>
  <c r="BZ18" i="16"/>
  <c r="CA10" i="16"/>
  <c r="AQ20" i="16"/>
  <c r="AR20" i="16" s="1"/>
  <c r="AR19" i="16"/>
  <c r="AT20" i="16"/>
  <c r="BF20" i="16" s="1"/>
  <c r="BF19" i="16"/>
  <c r="BS20" i="16"/>
  <c r="BT20" i="16" s="1"/>
  <c r="BT19" i="16"/>
  <c r="R76" i="16"/>
  <c r="BW65" i="16"/>
  <c r="CK65" i="16"/>
  <c r="BX65" i="16"/>
  <c r="CL65" i="16"/>
  <c r="BY65" i="16"/>
  <c r="BZ65" i="16"/>
  <c r="CA65" i="16"/>
  <c r="CB65" i="16"/>
  <c r="CF65" i="16"/>
  <c r="CG65" i="16"/>
  <c r="BH58" i="16"/>
  <c r="BH27" i="16"/>
  <c r="BT24" i="16"/>
  <c r="BT27" i="16" s="1"/>
  <c r="BI58" i="16"/>
  <c r="BI27" i="16"/>
  <c r="BJ58" i="16"/>
  <c r="BJ27" i="16"/>
  <c r="BK58" i="16"/>
  <c r="BK27" i="16"/>
  <c r="BL58" i="16"/>
  <c r="BL27" i="16"/>
  <c r="BM58" i="16"/>
  <c r="BM27" i="16"/>
  <c r="BN58" i="16"/>
  <c r="BN27" i="16"/>
  <c r="BO58" i="16"/>
  <c r="BO27" i="16"/>
  <c r="BP58" i="16"/>
  <c r="BP27" i="16"/>
  <c r="AN58" i="16"/>
  <c r="AR27" i="16"/>
  <c r="AT58" i="16"/>
  <c r="BF58" i="16" s="1"/>
  <c r="BF27" i="16"/>
  <c r="BG27" i="16" s="1"/>
  <c r="BR52" i="16"/>
  <c r="CF52" i="16" s="1"/>
  <c r="T50" i="16"/>
  <c r="T23" i="16" s="1"/>
  <c r="T76" i="16" s="1"/>
  <c r="AD29" i="16"/>
  <c r="BG29" i="16"/>
  <c r="BG30" i="16"/>
  <c r="BG31" i="16"/>
  <c r="S50" i="16"/>
  <c r="S23" i="16" s="1"/>
  <c r="AD32" i="16"/>
  <c r="BG32" i="16"/>
  <c r="BG33" i="16"/>
  <c r="BG34" i="16"/>
  <c r="BG35" i="16"/>
  <c r="BG36" i="16"/>
  <c r="BG37" i="16"/>
  <c r="AH50" i="16"/>
  <c r="AR38" i="16"/>
  <c r="BG38" i="16"/>
  <c r="BG39" i="16"/>
  <c r="BG40" i="16"/>
  <c r="BG41" i="16"/>
  <c r="BG42" i="16"/>
  <c r="BG43" i="16"/>
  <c r="BG44" i="16"/>
  <c r="BV50" i="16"/>
  <c r="CH44" i="16"/>
  <c r="BG45" i="16"/>
  <c r="BG46" i="16"/>
  <c r="BG47" i="16"/>
  <c r="BG49" i="16"/>
  <c r="AD50" i="16"/>
  <c r="AF60" i="16"/>
  <c r="AR50" i="16"/>
  <c r="AL60" i="16"/>
  <c r="AL52" i="16"/>
  <c r="AP60" i="16"/>
  <c r="AP52" i="16"/>
  <c r="AQ60" i="16"/>
  <c r="AQ52" i="16"/>
  <c r="AT60" i="16"/>
  <c r="BF50" i="16"/>
  <c r="BG50" i="16" s="1"/>
  <c r="BG53" i="16" s="1"/>
  <c r="BA60" i="16"/>
  <c r="BA51" i="16"/>
  <c r="BO54" i="16"/>
  <c r="CC52" i="16"/>
  <c r="BT52" i="16"/>
  <c r="BP54" i="16"/>
  <c r="CD52" i="16"/>
  <c r="BQ54" i="16"/>
  <c r="CE52" i="16"/>
  <c r="BB54" i="16"/>
  <c r="BF53" i="16"/>
  <c r="BF54" i="16"/>
  <c r="BT54" i="16"/>
  <c r="AF61" i="16"/>
  <c r="AR56" i="16"/>
  <c r="AG61" i="16"/>
  <c r="AI61" i="16"/>
  <c r="AJ61" i="16"/>
  <c r="AK61" i="16"/>
  <c r="AL61" i="16"/>
  <c r="AM61" i="16"/>
  <c r="AN61" i="16"/>
  <c r="AO61" i="16"/>
  <c r="AP61" i="16"/>
  <c r="AQ61" i="16"/>
  <c r="AT61" i="16"/>
  <c r="BF56" i="16"/>
  <c r="BG56" i="16" s="1"/>
  <c r="AU61" i="16"/>
  <c r="AU62" i="16" s="1"/>
  <c r="AV61" i="16"/>
  <c r="AV62" i="16" s="1"/>
  <c r="AW61" i="16"/>
  <c r="AW62" i="16" s="1"/>
  <c r="AX61" i="16"/>
  <c r="AX62" i="16" s="1"/>
  <c r="AY61" i="16"/>
  <c r="AY62" i="16" s="1"/>
  <c r="AZ61" i="16"/>
  <c r="AZ62" i="16" s="1"/>
  <c r="BA61" i="16"/>
  <c r="BA62" i="16" s="1"/>
  <c r="BB61" i="16"/>
  <c r="BB62" i="16" s="1"/>
  <c r="BC61" i="16"/>
  <c r="BC62" i="16" s="1"/>
  <c r="BD61" i="16"/>
  <c r="BD62" i="16" s="1"/>
  <c r="BE61" i="16"/>
  <c r="BE62" i="16" s="1"/>
  <c r="BH61" i="16"/>
  <c r="BT56" i="16"/>
  <c r="BI61" i="16"/>
  <c r="BI62" i="16" s="1"/>
  <c r="BJ61" i="16"/>
  <c r="BJ62" i="16" s="1"/>
  <c r="BK61" i="16"/>
  <c r="BK62" i="16" s="1"/>
  <c r="BL61" i="16"/>
  <c r="BL62" i="16" s="1"/>
  <c r="BM61" i="16"/>
  <c r="BM62" i="16" s="1"/>
  <c r="BN61" i="16"/>
  <c r="BN62" i="16" s="1"/>
  <c r="BO61" i="16"/>
  <c r="BO62" i="16" s="1"/>
  <c r="BP61" i="16"/>
  <c r="BP62" i="16" s="1"/>
  <c r="BQ61" i="16"/>
  <c r="BQ62" i="16" s="1"/>
  <c r="BG57" i="16"/>
  <c r="AR58" i="16"/>
  <c r="BB60" i="16"/>
  <c r="BF59" i="16"/>
  <c r="BG59" i="16" s="1"/>
  <c r="AF76" i="16"/>
  <c r="AF75" i="16"/>
  <c r="AR66" i="16"/>
  <c r="AG76" i="16"/>
  <c r="AG75" i="16"/>
  <c r="AH75" i="16"/>
  <c r="AI76" i="16"/>
  <c r="AI75" i="16"/>
  <c r="AJ76" i="16"/>
  <c r="AJ75" i="16"/>
  <c r="AK76" i="16"/>
  <c r="AK75" i="16"/>
  <c r="AL76" i="16"/>
  <c r="AL75" i="16"/>
  <c r="AM76" i="16"/>
  <c r="AN76" i="16"/>
  <c r="AO76" i="16"/>
  <c r="AO71" i="16"/>
  <c r="AP76" i="16"/>
  <c r="AP71" i="16"/>
  <c r="AQ76" i="16"/>
  <c r="AQ71" i="16"/>
  <c r="AT76" i="16"/>
  <c r="AT71" i="16"/>
  <c r="BF66" i="16"/>
  <c r="AU76" i="16"/>
  <c r="AU71" i="16"/>
  <c r="AV76" i="16"/>
  <c r="AV71" i="16"/>
  <c r="AW76" i="16"/>
  <c r="AW71" i="16"/>
  <c r="AX76" i="16"/>
  <c r="AX71" i="16"/>
  <c r="AY76" i="16"/>
  <c r="AY71" i="16"/>
  <c r="AZ76" i="16"/>
  <c r="AZ71" i="16"/>
  <c r="BA76" i="16"/>
  <c r="BA71" i="16"/>
  <c r="BB76" i="16"/>
  <c r="BB71" i="16"/>
  <c r="BC76" i="16"/>
  <c r="BC71" i="16"/>
  <c r="BH76" i="16"/>
  <c r="BT66" i="16"/>
  <c r="BI76" i="16"/>
  <c r="BJ76" i="16"/>
  <c r="BK76" i="16"/>
  <c r="BL76" i="16"/>
  <c r="BM76" i="16"/>
  <c r="BN76" i="16"/>
  <c r="BO76" i="16"/>
  <c r="BP76" i="16"/>
  <c r="CH66" i="16"/>
  <c r="BG67" i="16"/>
  <c r="BP68" i="16"/>
  <c r="BT67" i="16"/>
  <c r="CH67" i="16"/>
  <c r="BT68" i="16"/>
  <c r="BG69" i="16"/>
  <c r="CH69" i="16"/>
  <c r="BT70" i="16"/>
  <c r="AM75" i="16"/>
  <c r="AR72" i="16"/>
  <c r="AN75" i="16"/>
  <c r="AO75" i="16"/>
  <c r="AP75" i="16"/>
  <c r="AQ75" i="16"/>
  <c r="AT75" i="16"/>
  <c r="BF72" i="16"/>
  <c r="BG72" i="16" s="1"/>
  <c r="AU75" i="16"/>
  <c r="AV75" i="16"/>
  <c r="AW75" i="16"/>
  <c r="AX75" i="16"/>
  <c r="AY75" i="16"/>
  <c r="AZ75" i="16"/>
  <c r="BA75" i="16"/>
  <c r="BB75" i="16"/>
  <c r="BC75" i="16"/>
  <c r="BH75" i="16"/>
  <c r="BI75" i="16"/>
  <c r="BJ75" i="16"/>
  <c r="BK75" i="16"/>
  <c r="BL75" i="16"/>
  <c r="BM75" i="16"/>
  <c r="BN75" i="16"/>
  <c r="BO75" i="16"/>
  <c r="BP75" i="16"/>
  <c r="BY75" i="16"/>
  <c r="BZ75" i="16"/>
  <c r="CA75" i="16"/>
  <c r="CB75" i="16"/>
  <c r="CC75" i="16"/>
  <c r="CD75" i="16"/>
  <c r="CE75" i="16"/>
  <c r="CF75" i="16"/>
  <c r="CG75" i="16"/>
  <c r="CK16" i="14"/>
  <c r="CK58" i="14" s="1"/>
  <c r="BW6" i="14"/>
  <c r="CA68" i="14"/>
  <c r="CA69" i="14"/>
  <c r="CA70" i="14" s="1"/>
  <c r="CC68" i="14"/>
  <c r="CD68" i="14"/>
  <c r="CE68" i="14"/>
  <c r="CF68" i="14"/>
  <c r="CG68" i="14"/>
  <c r="CB68" i="14"/>
  <c r="CM16" i="14"/>
  <c r="AZ7" i="15"/>
  <c r="BA4" i="15"/>
  <c r="BF7" i="15"/>
  <c r="BG4" i="15"/>
  <c r="BG5" i="15"/>
  <c r="BG6" i="15"/>
  <c r="AN7" i="15"/>
  <c r="AT7" i="15"/>
  <c r="AB7" i="15"/>
  <c r="AC4" i="15"/>
  <c r="AH7" i="15"/>
  <c r="AI4" i="15"/>
  <c r="AO4" i="15" s="1"/>
  <c r="AU4" i="15" s="1"/>
  <c r="AI5" i="15"/>
  <c r="AI6" i="15"/>
  <c r="G4" i="15"/>
  <c r="G7" i="15" s="1"/>
  <c r="E7" i="15"/>
  <c r="Q6" i="15"/>
  <c r="M6" i="15"/>
  <c r="BY29" i="14"/>
  <c r="BY29" i="13"/>
  <c r="BY29" i="12"/>
  <c r="BY29" i="11"/>
  <c r="BY29" i="8"/>
  <c r="CC30" i="14"/>
  <c r="CC30" i="13"/>
  <c r="CC30" i="12"/>
  <c r="CC30" i="11"/>
  <c r="CC30" i="8"/>
  <c r="BY25" i="14"/>
  <c r="BY25" i="13"/>
  <c r="BY25" i="12"/>
  <c r="BY25" i="11"/>
  <c r="BY25" i="8"/>
  <c r="S22" i="10"/>
  <c r="S26" i="10"/>
  <c r="K4" i="15"/>
  <c r="K5" i="15"/>
  <c r="D14" i="14"/>
  <c r="D13" i="14"/>
  <c r="D11" i="14"/>
  <c r="E14" i="14"/>
  <c r="E13" i="14"/>
  <c r="E11" i="14"/>
  <c r="F14" i="14"/>
  <c r="F13" i="14"/>
  <c r="F11" i="14"/>
  <c r="G14" i="14"/>
  <c r="G13" i="14"/>
  <c r="G11" i="14"/>
  <c r="H14" i="14"/>
  <c r="H13" i="14"/>
  <c r="H11" i="14"/>
  <c r="I14" i="14"/>
  <c r="I13" i="14"/>
  <c r="I11" i="14"/>
  <c r="J14" i="14"/>
  <c r="J13" i="14"/>
  <c r="J11" i="14"/>
  <c r="K14" i="14"/>
  <c r="K13" i="14"/>
  <c r="K11" i="14"/>
  <c r="L14" i="14"/>
  <c r="L13" i="14"/>
  <c r="L11" i="14"/>
  <c r="M14" i="14"/>
  <c r="M13" i="14"/>
  <c r="M11" i="14"/>
  <c r="N14" i="14"/>
  <c r="N13" i="14"/>
  <c r="N11" i="14"/>
  <c r="O14" i="14"/>
  <c r="P14" i="14" s="1"/>
  <c r="O13" i="14"/>
  <c r="P13" i="14" s="1"/>
  <c r="O11" i="14"/>
  <c r="R14" i="14"/>
  <c r="R13" i="14"/>
  <c r="R11" i="14"/>
  <c r="S14" i="14"/>
  <c r="S13" i="14"/>
  <c r="S11" i="14"/>
  <c r="T14" i="14"/>
  <c r="T13" i="14"/>
  <c r="T11" i="14"/>
  <c r="U14" i="14"/>
  <c r="U13" i="14"/>
  <c r="U11" i="14"/>
  <c r="V14" i="14"/>
  <c r="V13" i="14"/>
  <c r="V11" i="14"/>
  <c r="W14" i="14"/>
  <c r="W13" i="14"/>
  <c r="W11" i="14"/>
  <c r="X14" i="14"/>
  <c r="X13" i="14"/>
  <c r="X11" i="14"/>
  <c r="Y14" i="14"/>
  <c r="Y13" i="14"/>
  <c r="Y11" i="14"/>
  <c r="Z14" i="14"/>
  <c r="Z13" i="14"/>
  <c r="Z11" i="14"/>
  <c r="AA14" i="14"/>
  <c r="AA13" i="14"/>
  <c r="AA11" i="14"/>
  <c r="AB14" i="14"/>
  <c r="AB13" i="14"/>
  <c r="AB11" i="14"/>
  <c r="AC14" i="14"/>
  <c r="AD14" i="14" s="1"/>
  <c r="AC13" i="14"/>
  <c r="AD13" i="14" s="1"/>
  <c r="AF15" i="14"/>
  <c r="AF47" i="14" s="1"/>
  <c r="AF14" i="14"/>
  <c r="AF11" i="14"/>
  <c r="AG14" i="14"/>
  <c r="AG11" i="14"/>
  <c r="AH15" i="14"/>
  <c r="AH47" i="14" s="1"/>
  <c r="AH14" i="14"/>
  <c r="AH11" i="14"/>
  <c r="AI15" i="14"/>
  <c r="AI47" i="14" s="1"/>
  <c r="AI14" i="14"/>
  <c r="AI11" i="14"/>
  <c r="AJ15" i="14"/>
  <c r="AJ47" i="14" s="1"/>
  <c r="AJ14" i="14"/>
  <c r="AJ11" i="14"/>
  <c r="AK15" i="14"/>
  <c r="AK47" i="14" s="1"/>
  <c r="AK14" i="14"/>
  <c r="AK11" i="14"/>
  <c r="AL15" i="14"/>
  <c r="AL47" i="14" s="1"/>
  <c r="AL14" i="14"/>
  <c r="AL11" i="14"/>
  <c r="AM15" i="14"/>
  <c r="AM47" i="14" s="1"/>
  <c r="AM14" i="14"/>
  <c r="AM11" i="14"/>
  <c r="AN15" i="14"/>
  <c r="AN47" i="14" s="1"/>
  <c r="AN14" i="14"/>
  <c r="AN11" i="14"/>
  <c r="AO15" i="14"/>
  <c r="AO47" i="14" s="1"/>
  <c r="AO14" i="14"/>
  <c r="AO11" i="14"/>
  <c r="AP15" i="14"/>
  <c r="AP47" i="14" s="1"/>
  <c r="AP14" i="14"/>
  <c r="AP11" i="14"/>
  <c r="AQ15" i="14"/>
  <c r="AQ14" i="14"/>
  <c r="AR14" i="14" s="1"/>
  <c r="AQ11" i="14"/>
  <c r="AR11" i="14" s="1"/>
  <c r="AR6" i="14"/>
  <c r="AT15" i="14"/>
  <c r="AT14" i="14"/>
  <c r="AT11" i="14"/>
  <c r="AU15" i="14"/>
  <c r="AU14" i="14"/>
  <c r="AU11" i="14"/>
  <c r="AV15" i="14"/>
  <c r="AV14" i="14"/>
  <c r="AV11" i="14"/>
  <c r="AW15" i="14"/>
  <c r="AW14" i="14"/>
  <c r="AW11" i="14"/>
  <c r="AX15" i="14"/>
  <c r="AX14" i="14"/>
  <c r="AX11" i="14"/>
  <c r="AY15" i="14"/>
  <c r="AY14" i="14"/>
  <c r="AY11" i="14"/>
  <c r="AZ14" i="14"/>
  <c r="AZ11" i="14"/>
  <c r="BA15" i="14"/>
  <c r="BA14" i="14"/>
  <c r="BA11" i="14"/>
  <c r="BB15" i="14"/>
  <c r="BB14" i="14"/>
  <c r="BC14" i="14" s="1"/>
  <c r="BD14" i="14" s="1"/>
  <c r="BE14" i="14" s="1"/>
  <c r="BF14" i="14" s="1"/>
  <c r="BB11" i="14"/>
  <c r="BC15" i="14"/>
  <c r="BC11" i="14"/>
  <c r="BD15" i="14"/>
  <c r="BD11" i="14"/>
  <c r="BE15" i="14"/>
  <c r="BE11" i="14"/>
  <c r="BF11" i="14" s="1"/>
  <c r="BF6" i="14"/>
  <c r="BH15" i="14"/>
  <c r="BH14" i="14"/>
  <c r="BH11" i="14"/>
  <c r="BI15" i="14"/>
  <c r="BI14" i="14"/>
  <c r="BI11" i="14"/>
  <c r="BJ15" i="14"/>
  <c r="BJ14" i="14"/>
  <c r="BJ11" i="14"/>
  <c r="BK15" i="14"/>
  <c r="BK14" i="14"/>
  <c r="BK11" i="14"/>
  <c r="BL15" i="14"/>
  <c r="BL14" i="14"/>
  <c r="BL11" i="14"/>
  <c r="BM15" i="14"/>
  <c r="BM14" i="14"/>
  <c r="BM11" i="14"/>
  <c r="BN15" i="14"/>
  <c r="BN14" i="14"/>
  <c r="BN11" i="14"/>
  <c r="BO14" i="14"/>
  <c r="BO11" i="14"/>
  <c r="BP14" i="14"/>
  <c r="BP11" i="14"/>
  <c r="BQ14" i="14"/>
  <c r="BQ11" i="14"/>
  <c r="BR14" i="14"/>
  <c r="BR11" i="14"/>
  <c r="BS14" i="14"/>
  <c r="BT14" i="14" s="1"/>
  <c r="BS11" i="14"/>
  <c r="BT11" i="14" s="1"/>
  <c r="BT6" i="14"/>
  <c r="BV14" i="14"/>
  <c r="BV11" i="14"/>
  <c r="BW11" i="14"/>
  <c r="AQ13" i="14"/>
  <c r="AR13" i="14" s="1"/>
  <c r="AR12" i="14"/>
  <c r="AT13" i="14"/>
  <c r="BF13" i="14" s="1"/>
  <c r="BF12" i="14"/>
  <c r="BS13" i="14"/>
  <c r="BT13" i="14" s="1"/>
  <c r="BT12" i="14"/>
  <c r="R69" i="14"/>
  <c r="BW58" i="14"/>
  <c r="BX58" i="14"/>
  <c r="BY58" i="14"/>
  <c r="BZ58" i="14"/>
  <c r="CA58" i="14"/>
  <c r="BH51" i="14"/>
  <c r="BH20" i="14"/>
  <c r="BT17" i="14"/>
  <c r="BT20" i="14" s="1"/>
  <c r="BI51" i="14"/>
  <c r="BI20" i="14"/>
  <c r="BJ51" i="14"/>
  <c r="BJ20" i="14"/>
  <c r="BK51" i="14"/>
  <c r="BK20" i="14"/>
  <c r="BL51" i="14"/>
  <c r="BL20" i="14"/>
  <c r="BM51" i="14"/>
  <c r="BM20" i="14"/>
  <c r="BN51" i="14"/>
  <c r="BN20" i="14"/>
  <c r="BO51" i="14"/>
  <c r="BO20" i="14"/>
  <c r="BP51" i="14"/>
  <c r="BP20" i="14"/>
  <c r="AN51" i="14"/>
  <c r="AR20" i="14"/>
  <c r="AT51" i="14"/>
  <c r="BF51" i="14" s="1"/>
  <c r="BF20" i="14"/>
  <c r="BG20" i="14" s="1"/>
  <c r="BR45" i="14"/>
  <c r="CF45" i="14" s="1"/>
  <c r="T43" i="14"/>
  <c r="T16" i="14" s="1"/>
  <c r="T69" i="14" s="1"/>
  <c r="AD22" i="14"/>
  <c r="BG22" i="14"/>
  <c r="BX45" i="14"/>
  <c r="BG23" i="14"/>
  <c r="BG24" i="14"/>
  <c r="S43" i="14"/>
  <c r="S16" i="14" s="1"/>
  <c r="AD25" i="14"/>
  <c r="BG25" i="14"/>
  <c r="BG26" i="14"/>
  <c r="BG27" i="14"/>
  <c r="BG28" i="14"/>
  <c r="BG29" i="14"/>
  <c r="BG30" i="14"/>
  <c r="AH43" i="14"/>
  <c r="AR31" i="14"/>
  <c r="BG31" i="14"/>
  <c r="BG32" i="14"/>
  <c r="BG33" i="14"/>
  <c r="BG34" i="14"/>
  <c r="BG35" i="14"/>
  <c r="BG36" i="14"/>
  <c r="BG37" i="14"/>
  <c r="BV43" i="14"/>
  <c r="CH37" i="14"/>
  <c r="BW45" i="14"/>
  <c r="BG38" i="14"/>
  <c r="BG39" i="14"/>
  <c r="BG40" i="14"/>
  <c r="BG42" i="14"/>
  <c r="AD43" i="14"/>
  <c r="AF53" i="14"/>
  <c r="AR43" i="14"/>
  <c r="AL53" i="14"/>
  <c r="AL45" i="14"/>
  <c r="AP53" i="14"/>
  <c r="AP45" i="14"/>
  <c r="AQ53" i="14"/>
  <c r="AQ45" i="14"/>
  <c r="AT53" i="14"/>
  <c r="BF43" i="14"/>
  <c r="BG43" i="14" s="1"/>
  <c r="BG46" i="14" s="1"/>
  <c r="BA53" i="14"/>
  <c r="BA44" i="14"/>
  <c r="BO47" i="14"/>
  <c r="CC45" i="14"/>
  <c r="BT45" i="14"/>
  <c r="BP47" i="14"/>
  <c r="CD45" i="14"/>
  <c r="BQ47" i="14"/>
  <c r="CE45" i="14"/>
  <c r="BB47" i="14"/>
  <c r="BF46" i="14"/>
  <c r="BF47" i="14"/>
  <c r="BT47" i="14"/>
  <c r="AF54" i="14"/>
  <c r="AR49" i="14"/>
  <c r="AG54" i="14"/>
  <c r="AI54" i="14"/>
  <c r="AJ54" i="14"/>
  <c r="AK54" i="14"/>
  <c r="AL54" i="14"/>
  <c r="AM54" i="14"/>
  <c r="AN54" i="14"/>
  <c r="AO54" i="14"/>
  <c r="AP54" i="14"/>
  <c r="AQ54" i="14"/>
  <c r="AT54" i="14"/>
  <c r="BF49" i="14"/>
  <c r="BG49" i="14" s="1"/>
  <c r="AU54" i="14"/>
  <c r="AU55" i="14" s="1"/>
  <c r="AV54" i="14"/>
  <c r="AV55" i="14" s="1"/>
  <c r="AW54" i="14"/>
  <c r="AW55" i="14" s="1"/>
  <c r="AX54" i="14"/>
  <c r="AX55" i="14" s="1"/>
  <c r="AY54" i="14"/>
  <c r="AY55" i="14" s="1"/>
  <c r="AZ54" i="14"/>
  <c r="AZ55" i="14" s="1"/>
  <c r="BA54" i="14"/>
  <c r="BA55" i="14" s="1"/>
  <c r="BB54" i="14"/>
  <c r="BB55" i="14" s="1"/>
  <c r="BC54" i="14"/>
  <c r="BC55" i="14" s="1"/>
  <c r="BD54" i="14"/>
  <c r="BD55" i="14" s="1"/>
  <c r="BE54" i="14"/>
  <c r="BE55" i="14" s="1"/>
  <c r="BV57" i="14"/>
  <c r="BH54" i="14"/>
  <c r="BT49" i="14"/>
  <c r="BW57" i="14"/>
  <c r="BI54" i="14"/>
  <c r="BI55" i="14" s="1"/>
  <c r="BX57" i="14"/>
  <c r="BJ54" i="14"/>
  <c r="BJ55" i="14" s="1"/>
  <c r="BY57" i="14"/>
  <c r="BK54" i="14"/>
  <c r="BK55" i="14" s="1"/>
  <c r="BZ57" i="14"/>
  <c r="BL54" i="14"/>
  <c r="BL55" i="14" s="1"/>
  <c r="CA57" i="14"/>
  <c r="BM54" i="14"/>
  <c r="BM55" i="14" s="1"/>
  <c r="BN54" i="14"/>
  <c r="BN55" i="14" s="1"/>
  <c r="BO54" i="14"/>
  <c r="BO55" i="14" s="1"/>
  <c r="BP54" i="14"/>
  <c r="BP55" i="14" s="1"/>
  <c r="BQ54" i="14"/>
  <c r="BQ55" i="14" s="1"/>
  <c r="BG50" i="14"/>
  <c r="AR51" i="14"/>
  <c r="BB53" i="14"/>
  <c r="BF52" i="14"/>
  <c r="BG52" i="14" s="1"/>
  <c r="AF69" i="14"/>
  <c r="AF68" i="14"/>
  <c r="AR59" i="14"/>
  <c r="AG69" i="14"/>
  <c r="AG68" i="14"/>
  <c r="AH68" i="14"/>
  <c r="AI69" i="14"/>
  <c r="AI68" i="14"/>
  <c r="AJ69" i="14"/>
  <c r="AJ68" i="14"/>
  <c r="AK69" i="14"/>
  <c r="AK68" i="14"/>
  <c r="AL69" i="14"/>
  <c r="AL68" i="14"/>
  <c r="AM69" i="14"/>
  <c r="AN69" i="14"/>
  <c r="AO69" i="14"/>
  <c r="AO64" i="14"/>
  <c r="AP69" i="14"/>
  <c r="AP64" i="14"/>
  <c r="AQ69" i="14"/>
  <c r="AQ64" i="14"/>
  <c r="AT69" i="14"/>
  <c r="AT64" i="14"/>
  <c r="BF59" i="14"/>
  <c r="AU69" i="14"/>
  <c r="AU64" i="14"/>
  <c r="AV69" i="14"/>
  <c r="AV64" i="14"/>
  <c r="AW69" i="14"/>
  <c r="AW64" i="14"/>
  <c r="AX69" i="14"/>
  <c r="AX64" i="14"/>
  <c r="AY69" i="14"/>
  <c r="AY64" i="14"/>
  <c r="AZ69" i="14"/>
  <c r="AZ64" i="14"/>
  <c r="BA69" i="14"/>
  <c r="BA64" i="14"/>
  <c r="BB69" i="14"/>
  <c r="BB64" i="14"/>
  <c r="BC69" i="14"/>
  <c r="BC64" i="14"/>
  <c r="BH69" i="14"/>
  <c r="BT59" i="14"/>
  <c r="BI69" i="14"/>
  <c r="BJ69" i="14"/>
  <c r="BK69" i="14"/>
  <c r="BL69" i="14"/>
  <c r="BM69" i="14"/>
  <c r="BN69" i="14"/>
  <c r="BO69" i="14"/>
  <c r="BP69" i="14"/>
  <c r="CH59" i="14"/>
  <c r="BG60" i="14"/>
  <c r="BP61" i="14"/>
  <c r="BT60" i="14"/>
  <c r="BT61" i="14"/>
  <c r="BG62" i="14"/>
  <c r="BT63" i="14"/>
  <c r="CH63" i="14" s="1"/>
  <c r="AM68" i="14"/>
  <c r="AR65" i="14"/>
  <c r="AN68" i="14"/>
  <c r="AO68" i="14"/>
  <c r="AP68" i="14"/>
  <c r="AQ68" i="14"/>
  <c r="AT68" i="14"/>
  <c r="BF65" i="14"/>
  <c r="BG65" i="14" s="1"/>
  <c r="AU68" i="14"/>
  <c r="AV68" i="14"/>
  <c r="AW68" i="14"/>
  <c r="AX68" i="14"/>
  <c r="AY68" i="14"/>
  <c r="AZ68" i="14"/>
  <c r="BA68" i="14"/>
  <c r="BB68" i="14"/>
  <c r="BC68" i="14"/>
  <c r="BH68" i="14"/>
  <c r="BT65" i="14"/>
  <c r="CI60" i="14" s="1"/>
  <c r="BI68" i="14"/>
  <c r="BJ68" i="14"/>
  <c r="BK68" i="14"/>
  <c r="BL68" i="14"/>
  <c r="BM68" i="14"/>
  <c r="BN68" i="14"/>
  <c r="BO68" i="14"/>
  <c r="BP68" i="14"/>
  <c r="D14" i="13"/>
  <c r="D13" i="13"/>
  <c r="D11" i="13"/>
  <c r="E14" i="13"/>
  <c r="E13" i="13"/>
  <c r="E11" i="13"/>
  <c r="F14" i="13"/>
  <c r="F13" i="13"/>
  <c r="F11" i="13"/>
  <c r="G14" i="13"/>
  <c r="G13" i="13"/>
  <c r="G11" i="13"/>
  <c r="H14" i="13"/>
  <c r="H13" i="13"/>
  <c r="H11" i="13"/>
  <c r="I14" i="13"/>
  <c r="I13" i="13"/>
  <c r="I11" i="13"/>
  <c r="J14" i="13"/>
  <c r="J13" i="13"/>
  <c r="J11" i="13"/>
  <c r="K14" i="13"/>
  <c r="K13" i="13"/>
  <c r="K11" i="13"/>
  <c r="L14" i="13"/>
  <c r="L13" i="13"/>
  <c r="L11" i="13"/>
  <c r="M14" i="13"/>
  <c r="M13" i="13"/>
  <c r="M11" i="13"/>
  <c r="N14" i="13"/>
  <c r="N13" i="13"/>
  <c r="N11" i="13"/>
  <c r="O14" i="13"/>
  <c r="P14" i="13" s="1"/>
  <c r="O13" i="13"/>
  <c r="P13" i="13" s="1"/>
  <c r="O11" i="13"/>
  <c r="R14" i="13"/>
  <c r="R13" i="13"/>
  <c r="R11" i="13"/>
  <c r="S14" i="13"/>
  <c r="S13" i="13"/>
  <c r="S11" i="13"/>
  <c r="T14" i="13"/>
  <c r="T13" i="13"/>
  <c r="T11" i="13"/>
  <c r="U14" i="13"/>
  <c r="U13" i="13"/>
  <c r="U11" i="13"/>
  <c r="V14" i="13"/>
  <c r="V13" i="13"/>
  <c r="V11" i="13"/>
  <c r="W14" i="13"/>
  <c r="W13" i="13"/>
  <c r="W11" i="13"/>
  <c r="X14" i="13"/>
  <c r="X13" i="13"/>
  <c r="X11" i="13"/>
  <c r="Y14" i="13"/>
  <c r="Y13" i="13"/>
  <c r="Y11" i="13"/>
  <c r="Z14" i="13"/>
  <c r="Z13" i="13"/>
  <c r="Z11" i="13"/>
  <c r="AA14" i="13"/>
  <c r="AA13" i="13"/>
  <c r="AA11" i="13"/>
  <c r="AB14" i="13"/>
  <c r="AB13" i="13"/>
  <c r="AB11" i="13"/>
  <c r="AC14" i="13"/>
  <c r="AD14" i="13" s="1"/>
  <c r="AC13" i="13"/>
  <c r="AD13" i="13" s="1"/>
  <c r="AF15" i="13"/>
  <c r="AF47" i="13" s="1"/>
  <c r="AF14" i="13"/>
  <c r="AF11" i="13"/>
  <c r="AG14" i="13"/>
  <c r="AG11" i="13"/>
  <c r="AH15" i="13"/>
  <c r="AH47" i="13" s="1"/>
  <c r="AH14" i="13"/>
  <c r="AH11" i="13"/>
  <c r="AI15" i="13"/>
  <c r="AI47" i="13" s="1"/>
  <c r="AI14" i="13"/>
  <c r="AI11" i="13"/>
  <c r="AJ15" i="13"/>
  <c r="AJ47" i="13" s="1"/>
  <c r="AJ14" i="13"/>
  <c r="AJ11" i="13"/>
  <c r="AK15" i="13"/>
  <c r="AK47" i="13" s="1"/>
  <c r="AK14" i="13"/>
  <c r="AK11" i="13"/>
  <c r="AL15" i="13"/>
  <c r="AL47" i="13" s="1"/>
  <c r="AL14" i="13"/>
  <c r="AL11" i="13"/>
  <c r="AM15" i="13"/>
  <c r="AM47" i="13" s="1"/>
  <c r="AM14" i="13"/>
  <c r="AM11" i="13"/>
  <c r="AN15" i="13"/>
  <c r="AN47" i="13" s="1"/>
  <c r="AN14" i="13"/>
  <c r="AN11" i="13"/>
  <c r="AO15" i="13"/>
  <c r="AO47" i="13" s="1"/>
  <c r="AO14" i="13"/>
  <c r="AO11" i="13"/>
  <c r="AP15" i="13"/>
  <c r="AP47" i="13" s="1"/>
  <c r="AP14" i="13"/>
  <c r="AP11" i="13"/>
  <c r="AQ15" i="13"/>
  <c r="AQ14" i="13"/>
  <c r="AR14" i="13" s="1"/>
  <c r="AQ11" i="13"/>
  <c r="AR11" i="13" s="1"/>
  <c r="AR6" i="13"/>
  <c r="AT15" i="13"/>
  <c r="AT14" i="13"/>
  <c r="AT11" i="13"/>
  <c r="AU15" i="13"/>
  <c r="AU14" i="13"/>
  <c r="AU11" i="13"/>
  <c r="AV15" i="13"/>
  <c r="AV14" i="13"/>
  <c r="AV11" i="13"/>
  <c r="AW15" i="13"/>
  <c r="AW14" i="13"/>
  <c r="AW11" i="13"/>
  <c r="AX15" i="13"/>
  <c r="AX14" i="13"/>
  <c r="AX11" i="13"/>
  <c r="AY15" i="13"/>
  <c r="AY14" i="13"/>
  <c r="AY11" i="13"/>
  <c r="AZ14" i="13"/>
  <c r="AZ11" i="13"/>
  <c r="BA15" i="13"/>
  <c r="BA14" i="13"/>
  <c r="BA11" i="13"/>
  <c r="BB15" i="13"/>
  <c r="BB14" i="13"/>
  <c r="BC14" i="13" s="1"/>
  <c r="BD14" i="13" s="1"/>
  <c r="BE14" i="13" s="1"/>
  <c r="BF14" i="13" s="1"/>
  <c r="BB11" i="13"/>
  <c r="BC15" i="13"/>
  <c r="BC11" i="13"/>
  <c r="BD15" i="13"/>
  <c r="BD11" i="13"/>
  <c r="BE15" i="13"/>
  <c r="BE11" i="13"/>
  <c r="BF11" i="13" s="1"/>
  <c r="BF6" i="13"/>
  <c r="BH15" i="13"/>
  <c r="BH14" i="13"/>
  <c r="BH11" i="13"/>
  <c r="BI15" i="13"/>
  <c r="BI14" i="13"/>
  <c r="BI11" i="13"/>
  <c r="BJ15" i="13"/>
  <c r="BJ14" i="13"/>
  <c r="BJ11" i="13"/>
  <c r="BK15" i="13"/>
  <c r="BK14" i="13"/>
  <c r="BK11" i="13"/>
  <c r="BL15" i="13"/>
  <c r="BL14" i="13"/>
  <c r="BL11" i="13"/>
  <c r="BM15" i="13"/>
  <c r="BM14" i="13"/>
  <c r="BM11" i="13"/>
  <c r="BN15" i="13"/>
  <c r="BN14" i="13"/>
  <c r="BN11" i="13"/>
  <c r="BO14" i="13"/>
  <c r="BO11" i="13"/>
  <c r="BP14" i="13"/>
  <c r="BP11" i="13"/>
  <c r="BQ14" i="13"/>
  <c r="BQ11" i="13"/>
  <c r="BR14" i="13"/>
  <c r="BR11" i="13"/>
  <c r="BS14" i="13"/>
  <c r="BT14" i="13" s="1"/>
  <c r="BS11" i="13"/>
  <c r="BT11" i="13" s="1"/>
  <c r="BT6" i="13"/>
  <c r="BV14" i="13"/>
  <c r="BV11" i="13"/>
  <c r="BW6" i="13"/>
  <c r="AQ13" i="13"/>
  <c r="AR13" i="13" s="1"/>
  <c r="AR12" i="13"/>
  <c r="AT13" i="13"/>
  <c r="BF13" i="13" s="1"/>
  <c r="BF12" i="13"/>
  <c r="BS13" i="13"/>
  <c r="BT13" i="13" s="1"/>
  <c r="BT12" i="13"/>
  <c r="CG13" i="13"/>
  <c r="CH13" i="13" s="1"/>
  <c r="CH12" i="13"/>
  <c r="R69" i="13"/>
  <c r="BW58" i="13"/>
  <c r="CK16" i="13"/>
  <c r="BH51" i="13"/>
  <c r="BH20" i="13"/>
  <c r="BT17" i="13"/>
  <c r="BT20" i="13" s="1"/>
  <c r="BI51" i="13"/>
  <c r="BI20" i="13"/>
  <c r="BJ51" i="13"/>
  <c r="BJ20" i="13"/>
  <c r="BK51" i="13"/>
  <c r="BK20" i="13"/>
  <c r="BL51" i="13"/>
  <c r="BL20" i="13"/>
  <c r="BM51" i="13"/>
  <c r="BM20" i="13"/>
  <c r="BN51" i="13"/>
  <c r="BN20" i="13"/>
  <c r="BO51" i="13"/>
  <c r="BO20" i="13"/>
  <c r="BP51" i="13"/>
  <c r="BP20" i="13"/>
  <c r="AN51" i="13"/>
  <c r="AR20" i="13"/>
  <c r="AT51" i="13"/>
  <c r="BF51" i="13" s="1"/>
  <c r="BF20" i="13"/>
  <c r="BG20" i="13" s="1"/>
  <c r="BR45" i="13"/>
  <c r="CF45" i="13" s="1"/>
  <c r="T43" i="13"/>
  <c r="T16" i="13" s="1"/>
  <c r="T69" i="13" s="1"/>
  <c r="AD22" i="13"/>
  <c r="BG22" i="13"/>
  <c r="BG23" i="13"/>
  <c r="BG24" i="13"/>
  <c r="S43" i="13"/>
  <c r="S16" i="13" s="1"/>
  <c r="AD25" i="13"/>
  <c r="BG25" i="13"/>
  <c r="BG26" i="13"/>
  <c r="BG27" i="13"/>
  <c r="BG28" i="13"/>
  <c r="BG29" i="13"/>
  <c r="BG30" i="13"/>
  <c r="AH43" i="13"/>
  <c r="AR31" i="13"/>
  <c r="BG31" i="13"/>
  <c r="BG32" i="13"/>
  <c r="BG33" i="13"/>
  <c r="BG34" i="13"/>
  <c r="BG35" i="13"/>
  <c r="BG36" i="13"/>
  <c r="BG37" i="13"/>
  <c r="BV43" i="13"/>
  <c r="CH37" i="13"/>
  <c r="BW45" i="13"/>
  <c r="BG38" i="13"/>
  <c r="BG39" i="13"/>
  <c r="BG40" i="13"/>
  <c r="BG42" i="13"/>
  <c r="AD43" i="13"/>
  <c r="AF53" i="13"/>
  <c r="AR43" i="13"/>
  <c r="AL53" i="13"/>
  <c r="AL45" i="13"/>
  <c r="AP53" i="13"/>
  <c r="AP45" i="13"/>
  <c r="AQ53" i="13"/>
  <c r="AQ45" i="13"/>
  <c r="AT53" i="13"/>
  <c r="BF43" i="13"/>
  <c r="BG43" i="13" s="1"/>
  <c r="BG46" i="13" s="1"/>
  <c r="BA53" i="13"/>
  <c r="BA44" i="13"/>
  <c r="BO47" i="13"/>
  <c r="CC45" i="13"/>
  <c r="BT45" i="13"/>
  <c r="BP47" i="13"/>
  <c r="CD45" i="13"/>
  <c r="BQ47" i="13"/>
  <c r="CE45" i="13"/>
  <c r="BB47" i="13"/>
  <c r="BF46" i="13"/>
  <c r="BF47" i="13"/>
  <c r="BT47" i="13"/>
  <c r="AF54" i="13"/>
  <c r="AR49" i="13"/>
  <c r="AG54" i="13"/>
  <c r="AI54" i="13"/>
  <c r="AJ54" i="13"/>
  <c r="AK54" i="13"/>
  <c r="AL54" i="13"/>
  <c r="AM54" i="13"/>
  <c r="AN54" i="13"/>
  <c r="AO54" i="13"/>
  <c r="AP54" i="13"/>
  <c r="AQ54" i="13"/>
  <c r="AT54" i="13"/>
  <c r="BF49" i="13"/>
  <c r="BG49" i="13" s="1"/>
  <c r="AU54" i="13"/>
  <c r="AU55" i="13" s="1"/>
  <c r="AV54" i="13"/>
  <c r="AV55" i="13" s="1"/>
  <c r="AW54" i="13"/>
  <c r="AW55" i="13" s="1"/>
  <c r="AX54" i="13"/>
  <c r="AX55" i="13" s="1"/>
  <c r="AY54" i="13"/>
  <c r="AY55" i="13" s="1"/>
  <c r="AZ54" i="13"/>
  <c r="AZ55" i="13" s="1"/>
  <c r="BA54" i="13"/>
  <c r="BA55" i="13" s="1"/>
  <c r="BB54" i="13"/>
  <c r="BB55" i="13" s="1"/>
  <c r="BC54" i="13"/>
  <c r="BC55" i="13" s="1"/>
  <c r="BD54" i="13"/>
  <c r="BD55" i="13" s="1"/>
  <c r="BE54" i="13"/>
  <c r="BE55" i="13" s="1"/>
  <c r="BV57" i="13"/>
  <c r="BH54" i="13"/>
  <c r="BT49" i="13"/>
  <c r="BW57" i="13"/>
  <c r="BI54" i="13"/>
  <c r="BI55" i="13" s="1"/>
  <c r="BX57" i="13"/>
  <c r="BJ54" i="13"/>
  <c r="BJ55" i="13" s="1"/>
  <c r="BY57" i="13"/>
  <c r="BK54" i="13"/>
  <c r="BK55" i="13" s="1"/>
  <c r="BZ57" i="13"/>
  <c r="BL54" i="13"/>
  <c r="BL55" i="13" s="1"/>
  <c r="CA57" i="13"/>
  <c r="BM54" i="13"/>
  <c r="BM55" i="13" s="1"/>
  <c r="BN54" i="13"/>
  <c r="BN55" i="13" s="1"/>
  <c r="BO54" i="13"/>
  <c r="BO55" i="13" s="1"/>
  <c r="BP54" i="13"/>
  <c r="BP55" i="13" s="1"/>
  <c r="BQ54" i="13"/>
  <c r="BQ55" i="13" s="1"/>
  <c r="BG50" i="13"/>
  <c r="AR51" i="13"/>
  <c r="BB53" i="13"/>
  <c r="BF52" i="13"/>
  <c r="BG52" i="13" s="1"/>
  <c r="AF69" i="13"/>
  <c r="AF68" i="13"/>
  <c r="AR59" i="13"/>
  <c r="AG69" i="13"/>
  <c r="AG68" i="13"/>
  <c r="AH68" i="13"/>
  <c r="AI69" i="13"/>
  <c r="AI68" i="13"/>
  <c r="AJ69" i="13"/>
  <c r="AJ68" i="13"/>
  <c r="AK69" i="13"/>
  <c r="AK68" i="13"/>
  <c r="AL69" i="13"/>
  <c r="AL68" i="13"/>
  <c r="AM69" i="13"/>
  <c r="AN69" i="13"/>
  <c r="AO69" i="13"/>
  <c r="AO64" i="13"/>
  <c r="AP69" i="13"/>
  <c r="AP64" i="13"/>
  <c r="AQ69" i="13"/>
  <c r="AQ64" i="13"/>
  <c r="AT69" i="13"/>
  <c r="AT64" i="13"/>
  <c r="BF59" i="13"/>
  <c r="AU69" i="13"/>
  <c r="AU64" i="13"/>
  <c r="AV69" i="13"/>
  <c r="AV64" i="13"/>
  <c r="AW69" i="13"/>
  <c r="AW64" i="13"/>
  <c r="AX69" i="13"/>
  <c r="AX64" i="13"/>
  <c r="AY69" i="13"/>
  <c r="AY64" i="13"/>
  <c r="AZ69" i="13"/>
  <c r="AZ64" i="13"/>
  <c r="BA69" i="13"/>
  <c r="BA64" i="13"/>
  <c r="BB69" i="13"/>
  <c r="BB64" i="13"/>
  <c r="BC69" i="13"/>
  <c r="BC64" i="13"/>
  <c r="BH69" i="13"/>
  <c r="BT59" i="13"/>
  <c r="BI69" i="13"/>
  <c r="BJ69" i="13"/>
  <c r="BK69" i="13"/>
  <c r="BL69" i="13"/>
  <c r="BM69" i="13"/>
  <c r="BN69" i="13"/>
  <c r="BO69" i="13"/>
  <c r="BP69" i="13"/>
  <c r="BV68" i="13"/>
  <c r="CH59" i="13"/>
  <c r="BW69" i="13"/>
  <c r="BW68" i="13"/>
  <c r="BX68" i="13"/>
  <c r="BY68" i="13"/>
  <c r="BG60" i="13"/>
  <c r="BP61" i="13"/>
  <c r="BT60" i="13"/>
  <c r="BT61" i="13"/>
  <c r="BG62" i="13"/>
  <c r="BT63" i="13"/>
  <c r="CH63" i="13" s="1"/>
  <c r="AM68" i="13"/>
  <c r="AR65" i="13"/>
  <c r="AN68" i="13"/>
  <c r="AO68" i="13"/>
  <c r="AP68" i="13"/>
  <c r="AQ68" i="13"/>
  <c r="AT68" i="13"/>
  <c r="BF65" i="13"/>
  <c r="BG65" i="13" s="1"/>
  <c r="AU68" i="13"/>
  <c r="AV68" i="13"/>
  <c r="AW68" i="13"/>
  <c r="AX68" i="13"/>
  <c r="AY68" i="13"/>
  <c r="AZ68" i="13"/>
  <c r="BA68" i="13"/>
  <c r="BB68" i="13"/>
  <c r="BC68" i="13"/>
  <c r="BH68" i="13"/>
  <c r="BT65" i="13"/>
  <c r="CI60" i="13" s="1"/>
  <c r="BI68" i="13"/>
  <c r="BJ68" i="13"/>
  <c r="BK68" i="13"/>
  <c r="BL68" i="13"/>
  <c r="BM68" i="13"/>
  <c r="BN68" i="13"/>
  <c r="BO68" i="13"/>
  <c r="BP68" i="13"/>
  <c r="D14" i="12"/>
  <c r="D13" i="12"/>
  <c r="D11" i="12"/>
  <c r="E14" i="12"/>
  <c r="E13" i="12"/>
  <c r="E11" i="12"/>
  <c r="F14" i="12"/>
  <c r="F13" i="12"/>
  <c r="F11" i="12"/>
  <c r="G14" i="12"/>
  <c r="G13" i="12"/>
  <c r="G11" i="12"/>
  <c r="H14" i="12"/>
  <c r="H13" i="12"/>
  <c r="H11" i="12"/>
  <c r="I14" i="12"/>
  <c r="I13" i="12"/>
  <c r="I11" i="12"/>
  <c r="J14" i="12"/>
  <c r="J13" i="12"/>
  <c r="J11" i="12"/>
  <c r="K14" i="12"/>
  <c r="K13" i="12"/>
  <c r="K11" i="12"/>
  <c r="L14" i="12"/>
  <c r="L13" i="12"/>
  <c r="L11" i="12"/>
  <c r="M14" i="12"/>
  <c r="M13" i="12"/>
  <c r="M11" i="12"/>
  <c r="N14" i="12"/>
  <c r="N13" i="12"/>
  <c r="N11" i="12"/>
  <c r="O14" i="12"/>
  <c r="P14" i="12" s="1"/>
  <c r="O13" i="12"/>
  <c r="P13" i="12" s="1"/>
  <c r="O11" i="12"/>
  <c r="R14" i="12"/>
  <c r="R13" i="12"/>
  <c r="R11" i="12"/>
  <c r="S14" i="12"/>
  <c r="S13" i="12"/>
  <c r="S11" i="12"/>
  <c r="T14" i="12"/>
  <c r="T13" i="12"/>
  <c r="T11" i="12"/>
  <c r="U14" i="12"/>
  <c r="U13" i="12"/>
  <c r="U11" i="12"/>
  <c r="V14" i="12"/>
  <c r="V13" i="12"/>
  <c r="V11" i="12"/>
  <c r="W14" i="12"/>
  <c r="W13" i="12"/>
  <c r="W11" i="12"/>
  <c r="X14" i="12"/>
  <c r="X13" i="12"/>
  <c r="X11" i="12"/>
  <c r="Y14" i="12"/>
  <c r="Y13" i="12"/>
  <c r="Y11" i="12"/>
  <c r="Z14" i="12"/>
  <c r="Z13" i="12"/>
  <c r="Z11" i="12"/>
  <c r="AA14" i="12"/>
  <c r="AA13" i="12"/>
  <c r="AA11" i="12"/>
  <c r="AB14" i="12"/>
  <c r="AB13" i="12"/>
  <c r="AB11" i="12"/>
  <c r="AC14" i="12"/>
  <c r="AD14" i="12" s="1"/>
  <c r="AC13" i="12"/>
  <c r="AD13" i="12" s="1"/>
  <c r="AF15" i="12"/>
  <c r="AF47" i="12" s="1"/>
  <c r="AF14" i="12"/>
  <c r="AF11" i="12"/>
  <c r="AG14" i="12"/>
  <c r="AG11" i="12"/>
  <c r="AH15" i="12"/>
  <c r="AH47" i="12" s="1"/>
  <c r="AH14" i="12"/>
  <c r="AH11" i="12"/>
  <c r="AI15" i="12"/>
  <c r="AI47" i="12" s="1"/>
  <c r="AI14" i="12"/>
  <c r="AI11" i="12"/>
  <c r="AJ15" i="12"/>
  <c r="AJ47" i="12" s="1"/>
  <c r="AJ14" i="12"/>
  <c r="AJ11" i="12"/>
  <c r="AK15" i="12"/>
  <c r="AK47" i="12" s="1"/>
  <c r="AK14" i="12"/>
  <c r="AK11" i="12"/>
  <c r="AL15" i="12"/>
  <c r="AL47" i="12" s="1"/>
  <c r="AL14" i="12"/>
  <c r="AL11" i="12"/>
  <c r="AM15" i="12"/>
  <c r="AM47" i="12" s="1"/>
  <c r="AM14" i="12"/>
  <c r="AM11" i="12"/>
  <c r="AN15" i="12"/>
  <c r="AN47" i="12" s="1"/>
  <c r="AN14" i="12"/>
  <c r="AN11" i="12"/>
  <c r="AO15" i="12"/>
  <c r="AO47" i="12" s="1"/>
  <c r="AO14" i="12"/>
  <c r="AO11" i="12"/>
  <c r="AP15" i="12"/>
  <c r="AP47" i="12" s="1"/>
  <c r="AP14" i="12"/>
  <c r="AP11" i="12"/>
  <c r="AQ15" i="12"/>
  <c r="AQ14" i="12"/>
  <c r="AR14" i="12" s="1"/>
  <c r="AQ11" i="12"/>
  <c r="AR11" i="12" s="1"/>
  <c r="AR6" i="12"/>
  <c r="AT15" i="12"/>
  <c r="AT14" i="12"/>
  <c r="AT11" i="12"/>
  <c r="AU15" i="12"/>
  <c r="AU14" i="12"/>
  <c r="AU11" i="12"/>
  <c r="AV15" i="12"/>
  <c r="AV14" i="12"/>
  <c r="AV11" i="12"/>
  <c r="AW15" i="12"/>
  <c r="AW14" i="12"/>
  <c r="AW11" i="12"/>
  <c r="AX15" i="12"/>
  <c r="AX14" i="12"/>
  <c r="AX11" i="12"/>
  <c r="AY15" i="12"/>
  <c r="AY14" i="12"/>
  <c r="AY11" i="12"/>
  <c r="AZ14" i="12"/>
  <c r="AZ11" i="12"/>
  <c r="BA15" i="12"/>
  <c r="BA14" i="12"/>
  <c r="BA11" i="12"/>
  <c r="BB15" i="12"/>
  <c r="BB14" i="12"/>
  <c r="BC14" i="12" s="1"/>
  <c r="BD14" i="12" s="1"/>
  <c r="BE14" i="12" s="1"/>
  <c r="BF14" i="12" s="1"/>
  <c r="BB11" i="12"/>
  <c r="BC15" i="12"/>
  <c r="BC11" i="12"/>
  <c r="BD15" i="12"/>
  <c r="BD11" i="12"/>
  <c r="BE15" i="12"/>
  <c r="BE11" i="12"/>
  <c r="BF11" i="12" s="1"/>
  <c r="BF6" i="12"/>
  <c r="BH15" i="12"/>
  <c r="BH14" i="12"/>
  <c r="BH11" i="12"/>
  <c r="BI15" i="12"/>
  <c r="BI14" i="12"/>
  <c r="BI11" i="12"/>
  <c r="BJ15" i="12"/>
  <c r="BJ14" i="12"/>
  <c r="BJ11" i="12"/>
  <c r="BK15" i="12"/>
  <c r="BK14" i="12"/>
  <c r="BK11" i="12"/>
  <c r="BL15" i="12"/>
  <c r="BL14" i="12"/>
  <c r="BL11" i="12"/>
  <c r="BM15" i="12"/>
  <c r="BM14" i="12"/>
  <c r="BM11" i="12"/>
  <c r="BN15" i="12"/>
  <c r="BN14" i="12"/>
  <c r="BN11" i="12"/>
  <c r="BO14" i="12"/>
  <c r="BO11" i="12"/>
  <c r="BP14" i="12"/>
  <c r="BP11" i="12"/>
  <c r="BQ14" i="12"/>
  <c r="BQ11" i="12"/>
  <c r="BR14" i="12"/>
  <c r="BR11" i="12"/>
  <c r="BS14" i="12"/>
  <c r="BT14" i="12" s="1"/>
  <c r="BS11" i="12"/>
  <c r="BT11" i="12" s="1"/>
  <c r="BT6" i="12"/>
  <c r="BV14" i="12"/>
  <c r="BV11" i="12"/>
  <c r="BW6" i="12"/>
  <c r="AQ13" i="12"/>
  <c r="AR13" i="12" s="1"/>
  <c r="AR12" i="12"/>
  <c r="AT13" i="12"/>
  <c r="BF13" i="12" s="1"/>
  <c r="BF12" i="12"/>
  <c r="BS13" i="12"/>
  <c r="BT13" i="12" s="1"/>
  <c r="BT12" i="12"/>
  <c r="CG13" i="12"/>
  <c r="CH13" i="12" s="1"/>
  <c r="CH12" i="12"/>
  <c r="R69" i="12"/>
  <c r="BH51" i="12"/>
  <c r="BH20" i="12"/>
  <c r="BT17" i="12"/>
  <c r="BT20" i="12" s="1"/>
  <c r="BI51" i="12"/>
  <c r="BI20" i="12"/>
  <c r="BJ51" i="12"/>
  <c r="BJ20" i="12"/>
  <c r="BK51" i="12"/>
  <c r="BK20" i="12"/>
  <c r="BL51" i="12"/>
  <c r="BL20" i="12"/>
  <c r="BM51" i="12"/>
  <c r="BM20" i="12"/>
  <c r="BN51" i="12"/>
  <c r="BN20" i="12"/>
  <c r="BO51" i="12"/>
  <c r="BO20" i="12"/>
  <c r="BP51" i="12"/>
  <c r="BP20" i="12"/>
  <c r="AN51" i="12"/>
  <c r="AR20" i="12"/>
  <c r="AT51" i="12"/>
  <c r="BF51" i="12" s="1"/>
  <c r="BF20" i="12"/>
  <c r="BG20" i="12" s="1"/>
  <c r="BR45" i="12"/>
  <c r="CF45" i="12" s="1"/>
  <c r="T43" i="12"/>
  <c r="T16" i="12" s="1"/>
  <c r="T69" i="12" s="1"/>
  <c r="AD22" i="12"/>
  <c r="BG22" i="12"/>
  <c r="BG23" i="12"/>
  <c r="BG24" i="12"/>
  <c r="S43" i="12"/>
  <c r="S16" i="12" s="1"/>
  <c r="AD25" i="12"/>
  <c r="BG25" i="12"/>
  <c r="BG26" i="12"/>
  <c r="BG27" i="12"/>
  <c r="BG28" i="12"/>
  <c r="BG29" i="12"/>
  <c r="BG30" i="12"/>
  <c r="AH43" i="12"/>
  <c r="AR31" i="12"/>
  <c r="BG31" i="12"/>
  <c r="BG32" i="12"/>
  <c r="BG33" i="12"/>
  <c r="BG34" i="12"/>
  <c r="BG35" i="12"/>
  <c r="BG36" i="12"/>
  <c r="BG37" i="12"/>
  <c r="BV43" i="12"/>
  <c r="CH37" i="12"/>
  <c r="BW45" i="12"/>
  <c r="BG38" i="12"/>
  <c r="BG39" i="12"/>
  <c r="BG40" i="12"/>
  <c r="BG42" i="12"/>
  <c r="AD43" i="12"/>
  <c r="AF53" i="12"/>
  <c r="AR43" i="12"/>
  <c r="AL53" i="12"/>
  <c r="AL45" i="12"/>
  <c r="AP53" i="12"/>
  <c r="AP45" i="12"/>
  <c r="AQ53" i="12"/>
  <c r="AQ45" i="12"/>
  <c r="AT53" i="12"/>
  <c r="BF43" i="12"/>
  <c r="BG43" i="12" s="1"/>
  <c r="BG46" i="12" s="1"/>
  <c r="BA53" i="12"/>
  <c r="BA44" i="12"/>
  <c r="BO47" i="12"/>
  <c r="CC45" i="12"/>
  <c r="BT45" i="12"/>
  <c r="BP47" i="12"/>
  <c r="CD45" i="12"/>
  <c r="BQ47" i="12"/>
  <c r="CE45" i="12"/>
  <c r="BB47" i="12"/>
  <c r="BF46" i="12"/>
  <c r="BF47" i="12"/>
  <c r="BT47" i="12"/>
  <c r="AF54" i="12"/>
  <c r="AR49" i="12"/>
  <c r="AG54" i="12"/>
  <c r="AI54" i="12"/>
  <c r="AJ54" i="12"/>
  <c r="AK54" i="12"/>
  <c r="AL54" i="12"/>
  <c r="AM54" i="12"/>
  <c r="AN54" i="12"/>
  <c r="AO54" i="12"/>
  <c r="AP54" i="12"/>
  <c r="AQ54" i="12"/>
  <c r="AT54" i="12"/>
  <c r="BF49" i="12"/>
  <c r="BG49" i="12" s="1"/>
  <c r="AU54" i="12"/>
  <c r="AU55" i="12" s="1"/>
  <c r="AV54" i="12"/>
  <c r="AV55" i="12" s="1"/>
  <c r="AW54" i="12"/>
  <c r="AW55" i="12" s="1"/>
  <c r="AX54" i="12"/>
  <c r="AX55" i="12" s="1"/>
  <c r="AY54" i="12"/>
  <c r="AY55" i="12" s="1"/>
  <c r="AZ54" i="12"/>
  <c r="AZ55" i="12" s="1"/>
  <c r="BA54" i="12"/>
  <c r="BA55" i="12" s="1"/>
  <c r="BB54" i="12"/>
  <c r="BB55" i="12" s="1"/>
  <c r="BC54" i="12"/>
  <c r="BC55" i="12" s="1"/>
  <c r="BD54" i="12"/>
  <c r="BD55" i="12" s="1"/>
  <c r="BE54" i="12"/>
  <c r="BE55" i="12" s="1"/>
  <c r="BV57" i="12"/>
  <c r="BH54" i="12"/>
  <c r="BT49" i="12"/>
  <c r="BW57" i="12"/>
  <c r="BI54" i="12"/>
  <c r="BI55" i="12" s="1"/>
  <c r="BX57" i="12"/>
  <c r="BJ54" i="12"/>
  <c r="BJ55" i="12" s="1"/>
  <c r="BY57" i="12"/>
  <c r="BK54" i="12"/>
  <c r="BK55" i="12" s="1"/>
  <c r="BZ57" i="12"/>
  <c r="BL54" i="12"/>
  <c r="BL55" i="12" s="1"/>
  <c r="CA57" i="12"/>
  <c r="BM54" i="12"/>
  <c r="BM55" i="12" s="1"/>
  <c r="BN54" i="12"/>
  <c r="BN55" i="12" s="1"/>
  <c r="BO54" i="12"/>
  <c r="BO55" i="12" s="1"/>
  <c r="BP54" i="12"/>
  <c r="BP55" i="12" s="1"/>
  <c r="BQ54" i="12"/>
  <c r="BQ55" i="12" s="1"/>
  <c r="BG50" i="12"/>
  <c r="AR51" i="12"/>
  <c r="BB53" i="12"/>
  <c r="BF52" i="12"/>
  <c r="BG52" i="12" s="1"/>
  <c r="AF69" i="12"/>
  <c r="AF68" i="12"/>
  <c r="AR59" i="12"/>
  <c r="AG69" i="12"/>
  <c r="AG68" i="12"/>
  <c r="AH68" i="12"/>
  <c r="AI69" i="12"/>
  <c r="AI68" i="12"/>
  <c r="AJ69" i="12"/>
  <c r="AJ68" i="12"/>
  <c r="AK69" i="12"/>
  <c r="AK68" i="12"/>
  <c r="AL69" i="12"/>
  <c r="AL68" i="12"/>
  <c r="AM69" i="12"/>
  <c r="AN69" i="12"/>
  <c r="AO69" i="12"/>
  <c r="AO64" i="12"/>
  <c r="AP69" i="12"/>
  <c r="AP64" i="12"/>
  <c r="AQ69" i="12"/>
  <c r="AQ64" i="12"/>
  <c r="AT69" i="12"/>
  <c r="AT64" i="12"/>
  <c r="BF59" i="12"/>
  <c r="AU69" i="12"/>
  <c r="AU64" i="12"/>
  <c r="AV69" i="12"/>
  <c r="AV64" i="12"/>
  <c r="AW69" i="12"/>
  <c r="AW64" i="12"/>
  <c r="AX69" i="12"/>
  <c r="AX64" i="12"/>
  <c r="AY69" i="12"/>
  <c r="AY64" i="12"/>
  <c r="AZ69" i="12"/>
  <c r="AZ64" i="12"/>
  <c r="BA69" i="12"/>
  <c r="BA64" i="12"/>
  <c r="BB69" i="12"/>
  <c r="BB64" i="12"/>
  <c r="BC69" i="12"/>
  <c r="BC64" i="12"/>
  <c r="BH69" i="12"/>
  <c r="BT59" i="12"/>
  <c r="BI69" i="12"/>
  <c r="BJ69" i="12"/>
  <c r="BK69" i="12"/>
  <c r="BL69" i="12"/>
  <c r="BM69" i="12"/>
  <c r="BN69" i="12"/>
  <c r="BO69" i="12"/>
  <c r="BP69" i="12"/>
  <c r="BV68" i="12"/>
  <c r="CH59" i="12"/>
  <c r="BW69" i="12"/>
  <c r="BW68" i="12"/>
  <c r="BX68" i="12"/>
  <c r="BY68" i="12"/>
  <c r="BG60" i="12"/>
  <c r="BP61" i="12"/>
  <c r="BT60" i="12"/>
  <c r="BT61" i="12"/>
  <c r="BG62" i="12"/>
  <c r="BT63" i="12"/>
  <c r="CH63" i="12" s="1"/>
  <c r="AM68" i="12"/>
  <c r="AR65" i="12"/>
  <c r="AN68" i="12"/>
  <c r="AO68" i="12"/>
  <c r="AP68" i="12"/>
  <c r="AQ68" i="12"/>
  <c r="AT68" i="12"/>
  <c r="BF65" i="12"/>
  <c r="BG65" i="12" s="1"/>
  <c r="AU68" i="12"/>
  <c r="AV68" i="12"/>
  <c r="AW68" i="12"/>
  <c r="AX68" i="12"/>
  <c r="AY68" i="12"/>
  <c r="AZ68" i="12"/>
  <c r="BA68" i="12"/>
  <c r="BB68" i="12"/>
  <c r="BC68" i="12"/>
  <c r="BH68" i="12"/>
  <c r="BT65" i="12"/>
  <c r="CI60" i="12" s="1"/>
  <c r="BI68" i="12"/>
  <c r="BJ68" i="12"/>
  <c r="BK68" i="12"/>
  <c r="BL68" i="12"/>
  <c r="BM68" i="12"/>
  <c r="BN68" i="12"/>
  <c r="BO68" i="12"/>
  <c r="BP68" i="12"/>
  <c r="D14" i="11"/>
  <c r="D13" i="11"/>
  <c r="D11" i="11"/>
  <c r="E14" i="11"/>
  <c r="E13" i="11"/>
  <c r="E11" i="11"/>
  <c r="F14" i="11"/>
  <c r="F13" i="11"/>
  <c r="F11" i="11"/>
  <c r="G14" i="11"/>
  <c r="G13" i="11"/>
  <c r="G11" i="11"/>
  <c r="H14" i="11"/>
  <c r="H13" i="11"/>
  <c r="H11" i="11"/>
  <c r="I14" i="11"/>
  <c r="I13" i="11"/>
  <c r="I11" i="11"/>
  <c r="J14" i="11"/>
  <c r="J13" i="11"/>
  <c r="J11" i="11"/>
  <c r="K14" i="11"/>
  <c r="K13" i="11"/>
  <c r="K11" i="11"/>
  <c r="L14" i="11"/>
  <c r="L13" i="11"/>
  <c r="L11" i="11"/>
  <c r="M14" i="11"/>
  <c r="M13" i="11"/>
  <c r="M11" i="11"/>
  <c r="N14" i="11"/>
  <c r="N13" i="11"/>
  <c r="N11" i="11"/>
  <c r="O14" i="11"/>
  <c r="P14" i="11" s="1"/>
  <c r="O13" i="11"/>
  <c r="P13" i="11" s="1"/>
  <c r="O11" i="11"/>
  <c r="R14" i="11"/>
  <c r="R13" i="11"/>
  <c r="R11" i="11"/>
  <c r="S14" i="11"/>
  <c r="S13" i="11"/>
  <c r="S11" i="11"/>
  <c r="T14" i="11"/>
  <c r="T13" i="11"/>
  <c r="T11" i="11"/>
  <c r="U14" i="11"/>
  <c r="U13" i="11"/>
  <c r="U11" i="11"/>
  <c r="V14" i="11"/>
  <c r="V13" i="11"/>
  <c r="V11" i="11"/>
  <c r="W14" i="11"/>
  <c r="W13" i="11"/>
  <c r="W11" i="11"/>
  <c r="X14" i="11"/>
  <c r="X13" i="11"/>
  <c r="X11" i="11"/>
  <c r="Y14" i="11"/>
  <c r="Y13" i="11"/>
  <c r="Y11" i="11"/>
  <c r="Z14" i="11"/>
  <c r="Z13" i="11"/>
  <c r="Z11" i="11"/>
  <c r="AA14" i="11"/>
  <c r="AA13" i="11"/>
  <c r="AA11" i="11"/>
  <c r="AB14" i="11"/>
  <c r="AB13" i="11"/>
  <c r="AB11" i="11"/>
  <c r="AC14" i="11"/>
  <c r="AD14" i="11" s="1"/>
  <c r="AC13" i="11"/>
  <c r="AD13" i="11" s="1"/>
  <c r="AF15" i="11"/>
  <c r="AF47" i="11" s="1"/>
  <c r="AF14" i="11"/>
  <c r="AF11" i="11"/>
  <c r="AG14" i="11"/>
  <c r="AG11" i="11"/>
  <c r="AH15" i="11"/>
  <c r="AH47" i="11" s="1"/>
  <c r="AH14" i="11"/>
  <c r="AH11" i="11"/>
  <c r="AI15" i="11"/>
  <c r="AI47" i="11" s="1"/>
  <c r="AI14" i="11"/>
  <c r="AI11" i="11"/>
  <c r="AJ15" i="11"/>
  <c r="AJ47" i="11" s="1"/>
  <c r="AJ14" i="11"/>
  <c r="AJ11" i="11"/>
  <c r="AK15" i="11"/>
  <c r="AK47" i="11" s="1"/>
  <c r="AK14" i="11"/>
  <c r="AK11" i="11"/>
  <c r="AL15" i="11"/>
  <c r="AL47" i="11" s="1"/>
  <c r="AL14" i="11"/>
  <c r="AL11" i="11"/>
  <c r="AM15" i="11"/>
  <c r="AM47" i="11" s="1"/>
  <c r="AM14" i="11"/>
  <c r="AM11" i="11"/>
  <c r="AN15" i="11"/>
  <c r="AN47" i="11" s="1"/>
  <c r="AN14" i="11"/>
  <c r="AN11" i="11"/>
  <c r="AO15" i="11"/>
  <c r="AO47" i="11" s="1"/>
  <c r="AO14" i="11"/>
  <c r="AO11" i="11"/>
  <c r="AP15" i="11"/>
  <c r="AP47" i="11" s="1"/>
  <c r="AP14" i="11"/>
  <c r="AP11" i="11"/>
  <c r="AQ15" i="11"/>
  <c r="AQ14" i="11"/>
  <c r="AR14" i="11" s="1"/>
  <c r="AQ11" i="11"/>
  <c r="AR11" i="11" s="1"/>
  <c r="AR6" i="11"/>
  <c r="AT15" i="11"/>
  <c r="AT14" i="11"/>
  <c r="AT11" i="11"/>
  <c r="AU15" i="11"/>
  <c r="AU14" i="11"/>
  <c r="AU11" i="11"/>
  <c r="AV15" i="11"/>
  <c r="AV14" i="11"/>
  <c r="AV11" i="11"/>
  <c r="AW15" i="11"/>
  <c r="AW14" i="11"/>
  <c r="AW11" i="11"/>
  <c r="AX15" i="11"/>
  <c r="AX14" i="11"/>
  <c r="AX11" i="11"/>
  <c r="AY15" i="11"/>
  <c r="AY14" i="11"/>
  <c r="AY11" i="11"/>
  <c r="AZ14" i="11"/>
  <c r="AZ11" i="11"/>
  <c r="BA15" i="11"/>
  <c r="BA14" i="11"/>
  <c r="BA11" i="11"/>
  <c r="BB15" i="11"/>
  <c r="BB14" i="11"/>
  <c r="BC14" i="11" s="1"/>
  <c r="BD14" i="11" s="1"/>
  <c r="BE14" i="11" s="1"/>
  <c r="BF14" i="11" s="1"/>
  <c r="BB11" i="11"/>
  <c r="BC15" i="11"/>
  <c r="BC11" i="11"/>
  <c r="BD15" i="11"/>
  <c r="BD11" i="11"/>
  <c r="BE15" i="11"/>
  <c r="BE11" i="11"/>
  <c r="BF11" i="11" s="1"/>
  <c r="BF6" i="11"/>
  <c r="BH15" i="11"/>
  <c r="BH14" i="11"/>
  <c r="BH11" i="11"/>
  <c r="BI15" i="11"/>
  <c r="BI14" i="11"/>
  <c r="BI11" i="11"/>
  <c r="BJ15" i="11"/>
  <c r="BJ14" i="11"/>
  <c r="BJ11" i="11"/>
  <c r="BK15" i="11"/>
  <c r="BK14" i="11"/>
  <c r="BK11" i="11"/>
  <c r="BL15" i="11"/>
  <c r="BL14" i="11"/>
  <c r="BL11" i="11"/>
  <c r="BM15" i="11"/>
  <c r="BM14" i="11"/>
  <c r="BM11" i="11"/>
  <c r="BN15" i="11"/>
  <c r="BN14" i="11"/>
  <c r="BN11" i="11"/>
  <c r="BO14" i="11"/>
  <c r="BO11" i="11"/>
  <c r="BP14" i="11"/>
  <c r="BP11" i="11"/>
  <c r="BQ14" i="11"/>
  <c r="BQ11" i="11"/>
  <c r="BR14" i="11"/>
  <c r="BR11" i="11"/>
  <c r="BS14" i="11"/>
  <c r="BT14" i="11" s="1"/>
  <c r="BS11" i="11"/>
  <c r="BT11" i="11" s="1"/>
  <c r="BT6" i="11"/>
  <c r="BV14" i="11"/>
  <c r="BV11" i="11"/>
  <c r="BW6" i="11"/>
  <c r="AQ13" i="11"/>
  <c r="AR13" i="11" s="1"/>
  <c r="AR12" i="11"/>
  <c r="AT13" i="11"/>
  <c r="BF13" i="11" s="1"/>
  <c r="BF12" i="11"/>
  <c r="BS13" i="11"/>
  <c r="BT13" i="11" s="1"/>
  <c r="BT12" i="11"/>
  <c r="CG13" i="11"/>
  <c r="CH13" i="11" s="1"/>
  <c r="CH12" i="11"/>
  <c r="R69" i="11"/>
  <c r="BH51" i="11"/>
  <c r="BH20" i="11"/>
  <c r="BT17" i="11"/>
  <c r="BT20" i="11" s="1"/>
  <c r="BI51" i="11"/>
  <c r="BI20" i="11"/>
  <c r="BJ51" i="11"/>
  <c r="BJ20" i="11"/>
  <c r="BK51" i="11"/>
  <c r="BK20" i="11"/>
  <c r="BL51" i="11"/>
  <c r="BL20" i="11"/>
  <c r="BM51" i="11"/>
  <c r="BM20" i="11"/>
  <c r="BN51" i="11"/>
  <c r="BN20" i="11"/>
  <c r="BO51" i="11"/>
  <c r="BO20" i="11"/>
  <c r="BP51" i="11"/>
  <c r="BP20" i="11"/>
  <c r="AN51" i="11"/>
  <c r="AR20" i="11"/>
  <c r="AT51" i="11"/>
  <c r="BF51" i="11" s="1"/>
  <c r="BF20" i="11"/>
  <c r="BG20" i="11" s="1"/>
  <c r="BR45" i="11"/>
  <c r="CF45" i="11" s="1"/>
  <c r="T43" i="11"/>
  <c r="T16" i="11" s="1"/>
  <c r="T69" i="11" s="1"/>
  <c r="AD22" i="11"/>
  <c r="BG22" i="11"/>
  <c r="BG23" i="11"/>
  <c r="BG24" i="11"/>
  <c r="S43" i="11"/>
  <c r="S16" i="11" s="1"/>
  <c r="AD25" i="11"/>
  <c r="BG25" i="11"/>
  <c r="BG26" i="11"/>
  <c r="BG27" i="11"/>
  <c r="BG28" i="11"/>
  <c r="BG29" i="11"/>
  <c r="BG30" i="11"/>
  <c r="AH43" i="11"/>
  <c r="AR31" i="11"/>
  <c r="BG31" i="11"/>
  <c r="BG32" i="11"/>
  <c r="BG33" i="11"/>
  <c r="BG34" i="11"/>
  <c r="BG35" i="11"/>
  <c r="BG36" i="11"/>
  <c r="BG37" i="11"/>
  <c r="BV43" i="11"/>
  <c r="CH37" i="11"/>
  <c r="BW45" i="11"/>
  <c r="BG38" i="11"/>
  <c r="BG39" i="11"/>
  <c r="BG40" i="11"/>
  <c r="BG42" i="11"/>
  <c r="AD43" i="11"/>
  <c r="AF53" i="11"/>
  <c r="AR43" i="11"/>
  <c r="AL53" i="11"/>
  <c r="AL45" i="11"/>
  <c r="AP53" i="11"/>
  <c r="AP45" i="11"/>
  <c r="AQ53" i="11"/>
  <c r="AQ45" i="11"/>
  <c r="AT53" i="11"/>
  <c r="BF43" i="11"/>
  <c r="BG43" i="11" s="1"/>
  <c r="BG46" i="11" s="1"/>
  <c r="BA53" i="11"/>
  <c r="BA44" i="11"/>
  <c r="BO47" i="11"/>
  <c r="CC45" i="11"/>
  <c r="BT45" i="11"/>
  <c r="BP47" i="11"/>
  <c r="CD45" i="11"/>
  <c r="BQ47" i="11"/>
  <c r="CE45" i="11"/>
  <c r="BB47" i="11"/>
  <c r="BF46" i="11"/>
  <c r="BF47" i="11"/>
  <c r="BT47" i="11"/>
  <c r="AF54" i="11"/>
  <c r="AR49" i="11"/>
  <c r="AG54" i="11"/>
  <c r="AI54" i="11"/>
  <c r="AJ54" i="11"/>
  <c r="AK54" i="11"/>
  <c r="AL54" i="11"/>
  <c r="AM54" i="11"/>
  <c r="AN54" i="11"/>
  <c r="AO54" i="11"/>
  <c r="AP54" i="11"/>
  <c r="AQ54" i="11"/>
  <c r="AT54" i="11"/>
  <c r="BF49" i="11"/>
  <c r="BG49" i="11" s="1"/>
  <c r="AU54" i="11"/>
  <c r="AU55" i="11" s="1"/>
  <c r="AV54" i="11"/>
  <c r="AV55" i="11" s="1"/>
  <c r="AW54" i="11"/>
  <c r="AW55" i="11" s="1"/>
  <c r="AX54" i="11"/>
  <c r="AX55" i="11" s="1"/>
  <c r="AY54" i="11"/>
  <c r="AY55" i="11" s="1"/>
  <c r="AZ54" i="11"/>
  <c r="AZ55" i="11" s="1"/>
  <c r="BA54" i="11"/>
  <c r="BA55" i="11" s="1"/>
  <c r="BB54" i="11"/>
  <c r="BB55" i="11" s="1"/>
  <c r="BC54" i="11"/>
  <c r="BC55" i="11" s="1"/>
  <c r="BD54" i="11"/>
  <c r="BD55" i="11" s="1"/>
  <c r="BE54" i="11"/>
  <c r="BE55" i="11" s="1"/>
  <c r="BV57" i="11"/>
  <c r="BH54" i="11"/>
  <c r="BT49" i="11"/>
  <c r="BW57" i="11"/>
  <c r="BI54" i="11"/>
  <c r="BI55" i="11" s="1"/>
  <c r="BX57" i="11"/>
  <c r="BJ54" i="11"/>
  <c r="BJ55" i="11" s="1"/>
  <c r="BY57" i="11"/>
  <c r="BK54" i="11"/>
  <c r="BK55" i="11" s="1"/>
  <c r="BZ57" i="11"/>
  <c r="BL54" i="11"/>
  <c r="BL55" i="11" s="1"/>
  <c r="CA57" i="11"/>
  <c r="BM54" i="11"/>
  <c r="BM55" i="11" s="1"/>
  <c r="BN54" i="11"/>
  <c r="BN55" i="11" s="1"/>
  <c r="BO54" i="11"/>
  <c r="BO55" i="11" s="1"/>
  <c r="BP54" i="11"/>
  <c r="BP55" i="11" s="1"/>
  <c r="BQ54" i="11"/>
  <c r="BQ55" i="11" s="1"/>
  <c r="BG50" i="11"/>
  <c r="AR51" i="11"/>
  <c r="BB53" i="11"/>
  <c r="BF52" i="11"/>
  <c r="BG52" i="11" s="1"/>
  <c r="AF69" i="11"/>
  <c r="AF68" i="11"/>
  <c r="AR59" i="11"/>
  <c r="AG69" i="11"/>
  <c r="AG68" i="11"/>
  <c r="AH68" i="11"/>
  <c r="AI69" i="11"/>
  <c r="AI68" i="11"/>
  <c r="AJ69" i="11"/>
  <c r="AJ68" i="11"/>
  <c r="AK69" i="11"/>
  <c r="AK68" i="11"/>
  <c r="AL69" i="11"/>
  <c r="AL68" i="11"/>
  <c r="AM69" i="11"/>
  <c r="AN69" i="11"/>
  <c r="AO69" i="11"/>
  <c r="AO64" i="11"/>
  <c r="AP69" i="11"/>
  <c r="AP64" i="11"/>
  <c r="AQ69" i="11"/>
  <c r="AQ64" i="11"/>
  <c r="AT69" i="11"/>
  <c r="AT64" i="11"/>
  <c r="BF59" i="11"/>
  <c r="AU69" i="11"/>
  <c r="AU64" i="11"/>
  <c r="AV69" i="11"/>
  <c r="AV64" i="11"/>
  <c r="AW69" i="11"/>
  <c r="AW64" i="11"/>
  <c r="AX69" i="11"/>
  <c r="AX64" i="11"/>
  <c r="AY69" i="11"/>
  <c r="AY64" i="11"/>
  <c r="AZ69" i="11"/>
  <c r="AZ64" i="11"/>
  <c r="BA69" i="11"/>
  <c r="BA64" i="11"/>
  <c r="BB69" i="11"/>
  <c r="BB64" i="11"/>
  <c r="BC69" i="11"/>
  <c r="BC64" i="11"/>
  <c r="BH69" i="11"/>
  <c r="BT59" i="11"/>
  <c r="BI69" i="11"/>
  <c r="BJ69" i="11"/>
  <c r="BK69" i="11"/>
  <c r="BL69" i="11"/>
  <c r="BM69" i="11"/>
  <c r="BN69" i="11"/>
  <c r="BO69" i="11"/>
  <c r="BP69" i="11"/>
  <c r="BV68" i="11"/>
  <c r="CH59" i="11"/>
  <c r="BW69" i="11"/>
  <c r="BW68" i="11"/>
  <c r="BX68" i="11"/>
  <c r="BY68" i="11"/>
  <c r="BG60" i="11"/>
  <c r="BP61" i="11"/>
  <c r="BT60" i="11"/>
  <c r="BT61" i="11"/>
  <c r="BG62" i="11"/>
  <c r="BT63" i="11"/>
  <c r="CH63" i="11" s="1"/>
  <c r="AM68" i="11"/>
  <c r="AR65" i="11"/>
  <c r="AN68" i="11"/>
  <c r="AO68" i="11"/>
  <c r="AP68" i="11"/>
  <c r="AQ68" i="11"/>
  <c r="AT68" i="11"/>
  <c r="BF65" i="11"/>
  <c r="BG65" i="11" s="1"/>
  <c r="AU68" i="11"/>
  <c r="AV68" i="11"/>
  <c r="AW68" i="11"/>
  <c r="AX68" i="11"/>
  <c r="AY68" i="11"/>
  <c r="AZ68" i="11"/>
  <c r="BA68" i="11"/>
  <c r="BB68" i="11"/>
  <c r="BC68" i="11"/>
  <c r="BH68" i="11"/>
  <c r="BT65" i="11"/>
  <c r="CI60" i="11" s="1"/>
  <c r="BI68" i="11"/>
  <c r="BJ68" i="11"/>
  <c r="BK68" i="11"/>
  <c r="BL68" i="11"/>
  <c r="BM68" i="11"/>
  <c r="BN68" i="11"/>
  <c r="BO68" i="11"/>
  <c r="BP68" i="11"/>
  <c r="S71" i="10"/>
  <c r="T49" i="10"/>
  <c r="BX37" i="8" s="1"/>
  <c r="T48" i="10"/>
  <c r="BW37" i="8" s="1"/>
  <c r="BW43" i="8" s="1"/>
  <c r="AB68" i="10"/>
  <c r="AB69" i="10" s="1"/>
  <c r="AB73" i="10" s="1"/>
  <c r="CE20" i="8" s="1"/>
  <c r="CE18" i="8" s="1"/>
  <c r="X68" i="10"/>
  <c r="X69" i="10" s="1"/>
  <c r="X73" i="10" s="1"/>
  <c r="CA20" i="8" s="1"/>
  <c r="CA18" i="8" s="1"/>
  <c r="T68" i="10"/>
  <c r="T69" i="10" s="1"/>
  <c r="BW20" i="8" s="1"/>
  <c r="AA68" i="10"/>
  <c r="AA69" i="10" s="1"/>
  <c r="AA73" i="10" s="1"/>
  <c r="CD20" i="8" s="1"/>
  <c r="CD18" i="8" s="1"/>
  <c r="T59" i="10"/>
  <c r="BV37" i="8"/>
  <c r="BV43" i="8" s="1"/>
  <c r="F26" i="10"/>
  <c r="F38" i="10"/>
  <c r="F34" i="10"/>
  <c r="AD16" i="10"/>
  <c r="AD36" i="10" s="1"/>
  <c r="AD18" i="10"/>
  <c r="AD38" i="10" s="1"/>
  <c r="Z16" i="10"/>
  <c r="Z36" i="10" s="1"/>
  <c r="AC11" i="10"/>
  <c r="AC31" i="10" s="1"/>
  <c r="W16" i="10"/>
  <c r="W36" i="10" s="1"/>
  <c r="V16" i="10"/>
  <c r="V36" i="10" s="1"/>
  <c r="AB20" i="10"/>
  <c r="AB40" i="10" s="1"/>
  <c r="V20" i="10"/>
  <c r="V40" i="10" s="1"/>
  <c r="AD14" i="10"/>
  <c r="AD34" i="10" s="1"/>
  <c r="V13" i="10"/>
  <c r="V33" i="10" s="1"/>
  <c r="AC20" i="10"/>
  <c r="AC40" i="10" s="1"/>
  <c r="X20" i="10"/>
  <c r="X40" i="10" s="1"/>
  <c r="Z20" i="10"/>
  <c r="Z40" i="10" s="1"/>
  <c r="U20" i="10"/>
  <c r="U40" i="10" s="1"/>
  <c r="AB15" i="10"/>
  <c r="AB35" i="10" s="1"/>
  <c r="Z14" i="10"/>
  <c r="Z34" i="10" s="1"/>
  <c r="Y10" i="10"/>
  <c r="Y30" i="10" s="1"/>
  <c r="F40" i="10"/>
  <c r="AD20" i="10"/>
  <c r="AD40" i="10" s="1"/>
  <c r="Y20" i="10"/>
  <c r="Y40" i="10" s="1"/>
  <c r="T20" i="10"/>
  <c r="T40" i="10" s="1"/>
  <c r="T15" i="10"/>
  <c r="T35" i="10" s="1"/>
  <c r="Y14" i="10"/>
  <c r="Y34" i="10" s="1"/>
  <c r="AC19" i="10"/>
  <c r="AC39" i="10" s="1"/>
  <c r="Z12" i="10"/>
  <c r="Z32" i="10" s="1"/>
  <c r="AC8" i="10"/>
  <c r="AC28" i="10" s="1"/>
  <c r="F28" i="10"/>
  <c r="Y19" i="10"/>
  <c r="Y39" i="10" s="1"/>
  <c r="X12" i="10"/>
  <c r="X32" i="10" s="1"/>
  <c r="Y8" i="10"/>
  <c r="Y28" i="10" s="1"/>
  <c r="F32" i="10"/>
  <c r="X19" i="10"/>
  <c r="X39" i="10" s="1"/>
  <c r="Z18" i="10"/>
  <c r="Z38" i="10" s="1"/>
  <c r="AA16" i="10"/>
  <c r="AA36" i="10" s="1"/>
  <c r="S16" i="10"/>
  <c r="S36" i="10" s="1"/>
  <c r="V14" i="10"/>
  <c r="V34" i="10" s="1"/>
  <c r="AC12" i="10"/>
  <c r="AC32" i="10" s="1"/>
  <c r="V12" i="10"/>
  <c r="V32" i="10" s="1"/>
  <c r="X11" i="10"/>
  <c r="X31" i="10" s="1"/>
  <c r="X8" i="10"/>
  <c r="X28" i="10" s="1"/>
  <c r="Z6" i="10"/>
  <c r="F39" i="10"/>
  <c r="AD19" i="10"/>
  <c r="AD39" i="10" s="1"/>
  <c r="V19" i="10"/>
  <c r="V39" i="10" s="1"/>
  <c r="AB12" i="10"/>
  <c r="AB32" i="10" s="1"/>
  <c r="U12" i="10"/>
  <c r="U32" i="10" s="1"/>
  <c r="AD8" i="10"/>
  <c r="AD28" i="10" s="1"/>
  <c r="T8" i="10"/>
  <c r="T28" i="10" s="1"/>
  <c r="S59" i="10"/>
  <c r="Y15" i="10"/>
  <c r="Y35" i="10" s="1"/>
  <c r="F36" i="10"/>
  <c r="AA20" i="10"/>
  <c r="AA40" i="10" s="1"/>
  <c r="W20" i="10"/>
  <c r="W40" i="10" s="1"/>
  <c r="AB19" i="10"/>
  <c r="AB39" i="10" s="1"/>
  <c r="T19" i="10"/>
  <c r="T39" i="10" s="1"/>
  <c r="V18" i="10"/>
  <c r="V38" i="10" s="1"/>
  <c r="AC16" i="10"/>
  <c r="AC36" i="10" s="1"/>
  <c r="Y16" i="10"/>
  <c r="Y36" i="10" s="1"/>
  <c r="U16" i="10"/>
  <c r="U36" i="10" s="1"/>
  <c r="AD15" i="10"/>
  <c r="AD35" i="10" s="1"/>
  <c r="X15" i="10"/>
  <c r="X35" i="10" s="1"/>
  <c r="AD12" i="10"/>
  <c r="AD32" i="10" s="1"/>
  <c r="Y12" i="10"/>
  <c r="Y32" i="10" s="1"/>
  <c r="T12" i="10"/>
  <c r="T32" i="10" s="1"/>
  <c r="AD9" i="10"/>
  <c r="AD29" i="10" s="1"/>
  <c r="AB8" i="10"/>
  <c r="AB28" i="10" s="1"/>
  <c r="V8" i="10"/>
  <c r="V28" i="10" s="1"/>
  <c r="AC7" i="10"/>
  <c r="AC27" i="10" s="1"/>
  <c r="Y6" i="10"/>
  <c r="F35" i="10"/>
  <c r="F30" i="10"/>
  <c r="AB16" i="10"/>
  <c r="AB36" i="10" s="1"/>
  <c r="X16" i="10"/>
  <c r="X36" i="10" s="1"/>
  <c r="AC15" i="10"/>
  <c r="AC35" i="10" s="1"/>
  <c r="V15" i="10"/>
  <c r="V35" i="10" s="1"/>
  <c r="Z10" i="10"/>
  <c r="Z30" i="10" s="1"/>
  <c r="Z8" i="10"/>
  <c r="Z28" i="10" s="1"/>
  <c r="U8" i="10"/>
  <c r="U28" i="10" s="1"/>
  <c r="X7" i="10"/>
  <c r="X27" i="10" s="1"/>
  <c r="Z19" i="10"/>
  <c r="Z39" i="10" s="1"/>
  <c r="U19" i="10"/>
  <c r="U39" i="10" s="1"/>
  <c r="AC18" i="10"/>
  <c r="AC38" i="10" s="1"/>
  <c r="U18" i="10"/>
  <c r="U38" i="10" s="1"/>
  <c r="Z15" i="10"/>
  <c r="Z35" i="10" s="1"/>
  <c r="U15" i="10"/>
  <c r="U35" i="10" s="1"/>
  <c r="AC14" i="10"/>
  <c r="AC34" i="10" s="1"/>
  <c r="U14" i="10"/>
  <c r="U34" i="10" s="1"/>
  <c r="AA12" i="10"/>
  <c r="AA32" i="10" s="1"/>
  <c r="W12" i="10"/>
  <c r="W32" i="10" s="1"/>
  <c r="AB11" i="10"/>
  <c r="AB31" i="10" s="1"/>
  <c r="V11" i="10"/>
  <c r="V31" i="10" s="1"/>
  <c r="AD10" i="10"/>
  <c r="AD30" i="10" s="1"/>
  <c r="V10" i="10"/>
  <c r="V30" i="10" s="1"/>
  <c r="AA8" i="10"/>
  <c r="AA28" i="10" s="1"/>
  <c r="W8" i="10"/>
  <c r="W28" i="10" s="1"/>
  <c r="AB7" i="10"/>
  <c r="AB27" i="10" s="1"/>
  <c r="V7" i="10"/>
  <c r="V27" i="10" s="1"/>
  <c r="AD6" i="10"/>
  <c r="AD26" i="10" s="1"/>
  <c r="V6" i="10"/>
  <c r="Z11" i="10"/>
  <c r="Z31" i="10" s="1"/>
  <c r="U11" i="10"/>
  <c r="U31" i="10" s="1"/>
  <c r="AC10" i="10"/>
  <c r="AC30" i="10" s="1"/>
  <c r="U10" i="10"/>
  <c r="U30" i="10" s="1"/>
  <c r="Z7" i="10"/>
  <c r="Z27" i="10" s="1"/>
  <c r="U7" i="10"/>
  <c r="U27" i="10" s="1"/>
  <c r="AC6" i="10"/>
  <c r="U6" i="10"/>
  <c r="F31" i="10"/>
  <c r="Y18" i="10"/>
  <c r="Y38" i="10" s="1"/>
  <c r="AD17" i="10"/>
  <c r="AD37" i="10" s="1"/>
  <c r="AD11" i="10"/>
  <c r="AD31" i="10" s="1"/>
  <c r="Y11" i="10"/>
  <c r="Y31" i="10" s="1"/>
  <c r="T11" i="10"/>
  <c r="T31" i="10" s="1"/>
  <c r="AD7" i="10"/>
  <c r="AD27" i="10" s="1"/>
  <c r="Y7" i="10"/>
  <c r="Y27" i="10" s="1"/>
  <c r="T7" i="10"/>
  <c r="T27" i="10" s="1"/>
  <c r="Z17" i="10"/>
  <c r="Z37" i="10" s="1"/>
  <c r="S13" i="10"/>
  <c r="S33" i="10" s="1"/>
  <c r="W13" i="10"/>
  <c r="W33" i="10" s="1"/>
  <c r="AA13" i="10"/>
  <c r="AA33" i="10" s="1"/>
  <c r="T13" i="10"/>
  <c r="T33" i="10" s="1"/>
  <c r="X13" i="10"/>
  <c r="X33" i="10" s="1"/>
  <c r="AB13" i="10"/>
  <c r="AB33" i="10" s="1"/>
  <c r="U13" i="10"/>
  <c r="U33" i="10" s="1"/>
  <c r="Y13" i="10"/>
  <c r="Y33" i="10" s="1"/>
  <c r="AC13" i="10"/>
  <c r="AC33" i="10" s="1"/>
  <c r="F33" i="10"/>
  <c r="Z9" i="10"/>
  <c r="Z29" i="10" s="1"/>
  <c r="AD13" i="10"/>
  <c r="AD33" i="10" s="1"/>
  <c r="S17" i="10"/>
  <c r="S37" i="10" s="1"/>
  <c r="W17" i="10"/>
  <c r="W37" i="10" s="1"/>
  <c r="AA17" i="10"/>
  <c r="AA37" i="10" s="1"/>
  <c r="T17" i="10"/>
  <c r="T37" i="10" s="1"/>
  <c r="X17" i="10"/>
  <c r="X37" i="10" s="1"/>
  <c r="AB17" i="10"/>
  <c r="AB37" i="10" s="1"/>
  <c r="U17" i="10"/>
  <c r="U37" i="10" s="1"/>
  <c r="Y17" i="10"/>
  <c r="Y37" i="10" s="1"/>
  <c r="AC17" i="10"/>
  <c r="AC37" i="10" s="1"/>
  <c r="F37" i="10"/>
  <c r="S9" i="10"/>
  <c r="S29" i="10" s="1"/>
  <c r="S41" i="10" s="1"/>
  <c r="W9" i="10"/>
  <c r="W29" i="10" s="1"/>
  <c r="AA9" i="10"/>
  <c r="AA29" i="10" s="1"/>
  <c r="T9" i="10"/>
  <c r="T29" i="10" s="1"/>
  <c r="X9" i="10"/>
  <c r="X29" i="10" s="1"/>
  <c r="AB9" i="10"/>
  <c r="AB29" i="10" s="1"/>
  <c r="U9" i="10"/>
  <c r="U29" i="10" s="1"/>
  <c r="Y9" i="10"/>
  <c r="Y29" i="10" s="1"/>
  <c r="AC9" i="10"/>
  <c r="AC29" i="10" s="1"/>
  <c r="F29" i="10"/>
  <c r="AA19" i="10"/>
  <c r="AA39" i="10" s="1"/>
  <c r="W19" i="10"/>
  <c r="W39" i="10" s="1"/>
  <c r="AB18" i="10"/>
  <c r="AB38" i="10" s="1"/>
  <c r="X18" i="10"/>
  <c r="X38" i="10" s="1"/>
  <c r="T18" i="10"/>
  <c r="T38" i="10" s="1"/>
  <c r="AA15" i="10"/>
  <c r="AA35" i="10" s="1"/>
  <c r="W15" i="10"/>
  <c r="W35" i="10" s="1"/>
  <c r="AB14" i="10"/>
  <c r="AB34" i="10" s="1"/>
  <c r="X14" i="10"/>
  <c r="X34" i="10" s="1"/>
  <c r="T14" i="10"/>
  <c r="T34" i="10" s="1"/>
  <c r="AA11" i="10"/>
  <c r="AA31" i="10" s="1"/>
  <c r="W11" i="10"/>
  <c r="W31" i="10" s="1"/>
  <c r="AB10" i="10"/>
  <c r="AB30" i="10" s="1"/>
  <c r="X10" i="10"/>
  <c r="X30" i="10" s="1"/>
  <c r="T10" i="10"/>
  <c r="T30" i="10" s="1"/>
  <c r="AA7" i="10"/>
  <c r="AA27" i="10" s="1"/>
  <c r="W7" i="10"/>
  <c r="W27" i="10" s="1"/>
  <c r="AB6" i="10"/>
  <c r="X6" i="10"/>
  <c r="T6" i="10"/>
  <c r="AA18" i="10"/>
  <c r="AA38" i="10" s="1"/>
  <c r="W18" i="10"/>
  <c r="W38" i="10" s="1"/>
  <c r="AA14" i="10"/>
  <c r="AA34" i="10" s="1"/>
  <c r="W14" i="10"/>
  <c r="W34" i="10" s="1"/>
  <c r="AA10" i="10"/>
  <c r="AA30" i="10" s="1"/>
  <c r="W10" i="10"/>
  <c r="W30" i="10" s="1"/>
  <c r="AA6" i="10"/>
  <c r="W6" i="10"/>
  <c r="BW44" i="8"/>
  <c r="DA94" i="40" l="1"/>
  <c r="DO91" i="40"/>
  <c r="CZ94" i="40"/>
  <c r="DN91" i="40"/>
  <c r="CH95" i="40"/>
  <c r="CH94" i="40"/>
  <c r="BT94" i="40"/>
  <c r="BF94" i="40"/>
  <c r="CO90" i="40"/>
  <c r="CO97" i="40" s="1"/>
  <c r="CP89" i="40"/>
  <c r="DM86" i="40"/>
  <c r="DL82" i="40"/>
  <c r="CI85" i="40"/>
  <c r="BT95" i="40"/>
  <c r="BF89" i="40"/>
  <c r="BG82" i="40"/>
  <c r="BF95" i="40"/>
  <c r="AR94" i="40"/>
  <c r="DL97" i="40"/>
  <c r="DV73" i="40"/>
  <c r="DV35" i="40" s="1"/>
  <c r="DH35" i="40"/>
  <c r="DH119" i="40" s="1"/>
  <c r="DU73" i="40"/>
  <c r="DU35" i="40" s="1"/>
  <c r="DG35" i="40"/>
  <c r="DG119" i="40" s="1"/>
  <c r="DT73" i="40"/>
  <c r="DT35" i="40" s="1"/>
  <c r="DF35" i="40"/>
  <c r="DF119" i="40" s="1"/>
  <c r="DS73" i="40"/>
  <c r="DS35" i="40" s="1"/>
  <c r="DE35" i="40"/>
  <c r="DR73" i="40"/>
  <c r="DJ73" i="40"/>
  <c r="DD35" i="40"/>
  <c r="BH75" i="40"/>
  <c r="BT74" i="40"/>
  <c r="BT75" i="40" s="1"/>
  <c r="AT75" i="40"/>
  <c r="BF75" i="40" s="1"/>
  <c r="BF74" i="40"/>
  <c r="BF64" i="40"/>
  <c r="BA36" i="40"/>
  <c r="BF36" i="40" s="1"/>
  <c r="AZ33" i="40"/>
  <c r="BF73" i="40"/>
  <c r="CH63" i="40"/>
  <c r="CI63" i="40" s="1"/>
  <c r="BV36" i="40"/>
  <c r="CH36" i="40" s="1"/>
  <c r="CI36" i="40" s="1"/>
  <c r="AH73" i="40"/>
  <c r="AR73" i="40" s="1"/>
  <c r="AH35" i="40"/>
  <c r="S95" i="40"/>
  <c r="AD35" i="40"/>
  <c r="AD95" i="40" s="1"/>
  <c r="CJ41" i="40"/>
  <c r="CR39" i="40"/>
  <c r="CS38" i="40"/>
  <c r="CQ65" i="40"/>
  <c r="CQ40" i="40"/>
  <c r="CQ35" i="40"/>
  <c r="CQ95" i="40" s="1"/>
  <c r="CL39" i="40"/>
  <c r="CM38" i="40"/>
  <c r="CK65" i="40"/>
  <c r="CK40" i="40"/>
  <c r="CK35" i="40"/>
  <c r="BT71" i="40"/>
  <c r="CK11" i="40"/>
  <c r="AQ67" i="40"/>
  <c r="AR33" i="40"/>
  <c r="DI95" i="40"/>
  <c r="DI81" i="40"/>
  <c r="DH95" i="40"/>
  <c r="DH81" i="40"/>
  <c r="DG95" i="40"/>
  <c r="DG81" i="40"/>
  <c r="DF95" i="40"/>
  <c r="DF81" i="40"/>
  <c r="DE95" i="40"/>
  <c r="DE81" i="40"/>
  <c r="DD95" i="40"/>
  <c r="DD81" i="40"/>
  <c r="DC95" i="40"/>
  <c r="DC85" i="40"/>
  <c r="DC81" i="40"/>
  <c r="DC12" i="40" s="1"/>
  <c r="DB95" i="40"/>
  <c r="DB85" i="40"/>
  <c r="DB81" i="40"/>
  <c r="DJ81" i="40" s="1"/>
  <c r="DB21" i="40"/>
  <c r="CY95" i="40"/>
  <c r="CY94" i="40"/>
  <c r="CY85" i="40"/>
  <c r="CY81" i="40"/>
  <c r="CX95" i="40"/>
  <c r="CX85" i="40"/>
  <c r="DJ82" i="40"/>
  <c r="CX81" i="40"/>
  <c r="CO99" i="40"/>
  <c r="CO94" i="40"/>
  <c r="CO85" i="40"/>
  <c r="CN94" i="40"/>
  <c r="CN85" i="40"/>
  <c r="CM85" i="40"/>
  <c r="CK95" i="40"/>
  <c r="CK85" i="40"/>
  <c r="CJ95" i="40"/>
  <c r="CJ94" i="40"/>
  <c r="CJ85" i="40"/>
  <c r="CV82" i="40"/>
  <c r="CG95" i="40"/>
  <c r="CG88" i="40"/>
  <c r="CF95" i="40"/>
  <c r="CF94" i="40"/>
  <c r="CF88" i="40"/>
  <c r="CE95" i="40"/>
  <c r="CE94" i="40"/>
  <c r="CE88" i="40"/>
  <c r="CD95" i="40"/>
  <c r="CD88" i="40"/>
  <c r="CH88" i="40" s="1"/>
  <c r="CC95" i="40"/>
  <c r="CC88" i="40"/>
  <c r="CB95" i="40"/>
  <c r="CB88" i="40"/>
  <c r="CA95" i="40"/>
  <c r="CA96" i="40" s="1"/>
  <c r="CB96" i="40" s="1"/>
  <c r="CC96" i="40" s="1"/>
  <c r="CD96" i="40" s="1"/>
  <c r="CE96" i="40" s="1"/>
  <c r="CF96" i="40" s="1"/>
  <c r="CG96" i="40" s="1"/>
  <c r="CA94" i="40"/>
  <c r="CA88" i="40"/>
  <c r="BZ95" i="40"/>
  <c r="BZ94" i="40"/>
  <c r="BZ88" i="40"/>
  <c r="BY95" i="40"/>
  <c r="BY94" i="40"/>
  <c r="BY88" i="40"/>
  <c r="DC118" i="38"/>
  <c r="DC11" i="38"/>
  <c r="DA94" i="39"/>
  <c r="DO91" i="39"/>
  <c r="DO94" i="39" s="1"/>
  <c r="CZ94" i="39"/>
  <c r="DN91" i="39"/>
  <c r="DN94" i="39" s="1"/>
  <c r="CH95" i="39"/>
  <c r="CH94" i="39"/>
  <c r="BT94" i="39"/>
  <c r="BF94" i="39"/>
  <c r="CO90" i="39"/>
  <c r="CO97" i="39" s="1"/>
  <c r="CP89" i="39"/>
  <c r="CI85" i="39"/>
  <c r="BT95" i="39"/>
  <c r="BF89" i="39"/>
  <c r="BG82" i="39"/>
  <c r="BF95" i="39"/>
  <c r="AR94" i="39"/>
  <c r="DV73" i="39"/>
  <c r="DV35" i="39" s="1"/>
  <c r="DH35" i="39"/>
  <c r="DH119" i="39" s="1"/>
  <c r="DU73" i="39"/>
  <c r="DU35" i="39" s="1"/>
  <c r="DG35" i="39"/>
  <c r="DG119" i="39" s="1"/>
  <c r="DT73" i="39"/>
  <c r="DT35" i="39" s="1"/>
  <c r="DF119" i="39"/>
  <c r="DS73" i="39"/>
  <c r="DS35" i="39" s="1"/>
  <c r="DD35" i="39"/>
  <c r="DD119" i="39" s="1"/>
  <c r="DQ73" i="39"/>
  <c r="DC35" i="39"/>
  <c r="BH75" i="39"/>
  <c r="BT74" i="39"/>
  <c r="BT75" i="39" s="1"/>
  <c r="AT75" i="39"/>
  <c r="BF75" i="39" s="1"/>
  <c r="BF74" i="39"/>
  <c r="BF64" i="39"/>
  <c r="BA36" i="39"/>
  <c r="BF36" i="39" s="1"/>
  <c r="AZ33" i="39"/>
  <c r="BF73" i="39"/>
  <c r="AH73" i="39"/>
  <c r="AR73" i="39" s="1"/>
  <c r="AH35" i="39"/>
  <c r="S95" i="39"/>
  <c r="AD35" i="39"/>
  <c r="AD95" i="39" s="1"/>
  <c r="CJ41" i="39"/>
  <c r="CS38" i="39"/>
  <c r="CQ65" i="39"/>
  <c r="CQ40" i="39"/>
  <c r="CQ35" i="39"/>
  <c r="CQ95" i="39" s="1"/>
  <c r="CL39" i="39"/>
  <c r="CM38" i="39"/>
  <c r="CK65" i="39"/>
  <c r="CK40" i="39"/>
  <c r="CK35" i="39"/>
  <c r="CK11" i="39"/>
  <c r="AQ67" i="39"/>
  <c r="AR33" i="39"/>
  <c r="DW95" i="39"/>
  <c r="DW81" i="39"/>
  <c r="DV95" i="39"/>
  <c r="DV81" i="39"/>
  <c r="DU95" i="39"/>
  <c r="DU81" i="39"/>
  <c r="DT95" i="39"/>
  <c r="DT81" i="39"/>
  <c r="DS95" i="39"/>
  <c r="DS81" i="39"/>
  <c r="DR95" i="39"/>
  <c r="DR81" i="39"/>
  <c r="DQ85" i="39"/>
  <c r="DQ81" i="39"/>
  <c r="DP95" i="39"/>
  <c r="DP85" i="39"/>
  <c r="DP81" i="39"/>
  <c r="DO95" i="39"/>
  <c r="DO85" i="39"/>
  <c r="DO81" i="39"/>
  <c r="DN95" i="39"/>
  <c r="DN85" i="39"/>
  <c r="DN81" i="39"/>
  <c r="DM95" i="39"/>
  <c r="DM85" i="39"/>
  <c r="DM81" i="39"/>
  <c r="DL85" i="39"/>
  <c r="DX82" i="39"/>
  <c r="DL81" i="39"/>
  <c r="DI95" i="39"/>
  <c r="DH95" i="39"/>
  <c r="DH81" i="39"/>
  <c r="DG95" i="39"/>
  <c r="DG81" i="39"/>
  <c r="DF95" i="39"/>
  <c r="DF81" i="39"/>
  <c r="DE95" i="39"/>
  <c r="DE81" i="39"/>
  <c r="DE12" i="39" s="1"/>
  <c r="DF12" i="39" s="1"/>
  <c r="DG12" i="39" s="1"/>
  <c r="DH12" i="39" s="1"/>
  <c r="DI12" i="39" s="1"/>
  <c r="DD95" i="39"/>
  <c r="DD81" i="39"/>
  <c r="DC95" i="39"/>
  <c r="DC85" i="39"/>
  <c r="DC81" i="39"/>
  <c r="DB95" i="39"/>
  <c r="DB85" i="39"/>
  <c r="DB81" i="39"/>
  <c r="DB21" i="39"/>
  <c r="CY95" i="39"/>
  <c r="CY94" i="39"/>
  <c r="CY85" i="39"/>
  <c r="CY81" i="39"/>
  <c r="CX95" i="39"/>
  <c r="CX85" i="39"/>
  <c r="DJ82" i="39"/>
  <c r="CX81" i="39"/>
  <c r="CO99" i="39"/>
  <c r="CO94" i="39"/>
  <c r="CO85" i="39"/>
  <c r="CN94" i="39"/>
  <c r="CN85" i="39"/>
  <c r="CM85" i="39"/>
  <c r="CK95" i="39"/>
  <c r="CK85" i="39"/>
  <c r="CJ95" i="39"/>
  <c r="CJ94" i="39"/>
  <c r="CJ85" i="39"/>
  <c r="CV82" i="39"/>
  <c r="CG95" i="39"/>
  <c r="CG88" i="39"/>
  <c r="CF95" i="39"/>
  <c r="CF94" i="39"/>
  <c r="CF88" i="39"/>
  <c r="CE95" i="39"/>
  <c r="CE94" i="39"/>
  <c r="CE88" i="39"/>
  <c r="CD95" i="39"/>
  <c r="CD88" i="39"/>
  <c r="CH88" i="39" s="1"/>
  <c r="CC95" i="39"/>
  <c r="CC88" i="39"/>
  <c r="CB95" i="39"/>
  <c r="CB88" i="39"/>
  <c r="CA95" i="39"/>
  <c r="CA96" i="39" s="1"/>
  <c r="CB96" i="39" s="1"/>
  <c r="CC96" i="39" s="1"/>
  <c r="CD96" i="39" s="1"/>
  <c r="CE96" i="39" s="1"/>
  <c r="CF96" i="39" s="1"/>
  <c r="CG96" i="39" s="1"/>
  <c r="CA94" i="39"/>
  <c r="CA88" i="39"/>
  <c r="BZ95" i="39"/>
  <c r="BZ94" i="39"/>
  <c r="BZ88" i="39"/>
  <c r="BY95" i="39"/>
  <c r="BY94" i="39"/>
  <c r="BY88" i="39"/>
  <c r="DE20" i="38"/>
  <c r="DE19" i="38"/>
  <c r="DF20" i="38"/>
  <c r="DG20" i="38" s="1"/>
  <c r="DH20" i="38" s="1"/>
  <c r="DI20" i="38" s="1"/>
  <c r="DA93" i="38"/>
  <c r="DO90" i="38"/>
  <c r="DO93" i="38" s="1"/>
  <c r="CZ93" i="38"/>
  <c r="DN90" i="38"/>
  <c r="DN93" i="38" s="1"/>
  <c r="CH94" i="38"/>
  <c r="CH93" i="38"/>
  <c r="BT93" i="38"/>
  <c r="BF93" i="38"/>
  <c r="CO89" i="38"/>
  <c r="CO96" i="38" s="1"/>
  <c r="CP88" i="38"/>
  <c r="CI84" i="38"/>
  <c r="BT94" i="38"/>
  <c r="BF88" i="38"/>
  <c r="BG81" i="38"/>
  <c r="BF94" i="38"/>
  <c r="AR93" i="38"/>
  <c r="DV34" i="38"/>
  <c r="DH34" i="38"/>
  <c r="DH118" i="38" s="1"/>
  <c r="DU34" i="38"/>
  <c r="DG34" i="38"/>
  <c r="DG118" i="38" s="1"/>
  <c r="DT34" i="38"/>
  <c r="DS34" i="38"/>
  <c r="DE34" i="38"/>
  <c r="DR34" i="38"/>
  <c r="DQ34" i="38"/>
  <c r="BH74" i="38"/>
  <c r="BT73" i="38"/>
  <c r="BT74" i="38" s="1"/>
  <c r="AT74" i="38"/>
  <c r="BF74" i="38" s="1"/>
  <c r="BF73" i="38"/>
  <c r="BF63" i="38"/>
  <c r="BA35" i="38"/>
  <c r="BF35" i="38" s="1"/>
  <c r="AZ32" i="38"/>
  <c r="BF72" i="38"/>
  <c r="CH62" i="38"/>
  <c r="CI62" i="38" s="1"/>
  <c r="BV35" i="38"/>
  <c r="CH35" i="38" s="1"/>
  <c r="CI35" i="38" s="1"/>
  <c r="AH72" i="38"/>
  <c r="AR72" i="38" s="1"/>
  <c r="AH34" i="38"/>
  <c r="S94" i="38"/>
  <c r="AD34" i="38"/>
  <c r="AD94" i="38" s="1"/>
  <c r="DO34" i="38"/>
  <c r="CJ40" i="38"/>
  <c r="CR38" i="38"/>
  <c r="CS37" i="38"/>
  <c r="CQ64" i="38"/>
  <c r="CQ39" i="38"/>
  <c r="CQ34" i="38"/>
  <c r="CQ94" i="38" s="1"/>
  <c r="CL38" i="38"/>
  <c r="CM37" i="38"/>
  <c r="CK64" i="38"/>
  <c r="CK39" i="38"/>
  <c r="CK34" i="38"/>
  <c r="BT70" i="38"/>
  <c r="CK10" i="38"/>
  <c r="AQ66" i="38"/>
  <c r="AR32" i="38"/>
  <c r="DW94" i="38"/>
  <c r="DW80" i="38"/>
  <c r="DV94" i="38"/>
  <c r="DV80" i="38"/>
  <c r="DU94" i="38"/>
  <c r="DU80" i="38"/>
  <c r="DT94" i="38"/>
  <c r="DT80" i="38"/>
  <c r="DS94" i="38"/>
  <c r="DS80" i="38"/>
  <c r="DR94" i="38"/>
  <c r="DR80" i="38"/>
  <c r="DQ94" i="38"/>
  <c r="DQ84" i="38"/>
  <c r="DQ80" i="38"/>
  <c r="DP84" i="38"/>
  <c r="DP80" i="38"/>
  <c r="DO94" i="38"/>
  <c r="DO84" i="38"/>
  <c r="DO80" i="38"/>
  <c r="DN94" i="38"/>
  <c r="DN84" i="38"/>
  <c r="DN80" i="38"/>
  <c r="DM94" i="38"/>
  <c r="DM84" i="38"/>
  <c r="DM80" i="38"/>
  <c r="DL94" i="38"/>
  <c r="DL84" i="38"/>
  <c r="DY81" i="38"/>
  <c r="DX81" i="38"/>
  <c r="DL80" i="38"/>
  <c r="DX80" i="38" s="1"/>
  <c r="DI94" i="38"/>
  <c r="DI80" i="38"/>
  <c r="DH94" i="38"/>
  <c r="DH80" i="38"/>
  <c r="DG94" i="38"/>
  <c r="DG80" i="38"/>
  <c r="DF94" i="38"/>
  <c r="DF80" i="38"/>
  <c r="DE94" i="38"/>
  <c r="DE80" i="38"/>
  <c r="DD94" i="38"/>
  <c r="DD80" i="38"/>
  <c r="DC94" i="38"/>
  <c r="DC84" i="38"/>
  <c r="DC80" i="38"/>
  <c r="DB94" i="38"/>
  <c r="CY94" i="38"/>
  <c r="CY93" i="38"/>
  <c r="CY84" i="38"/>
  <c r="CY80" i="38"/>
  <c r="CX94" i="38"/>
  <c r="CX84" i="38"/>
  <c r="DJ81" i="38"/>
  <c r="CX80" i="38"/>
  <c r="CO98" i="38"/>
  <c r="CO93" i="38"/>
  <c r="CO84" i="38"/>
  <c r="CN93" i="38"/>
  <c r="CN84" i="38"/>
  <c r="CM84" i="38"/>
  <c r="CK94" i="38"/>
  <c r="CK84" i="38"/>
  <c r="CJ94" i="38"/>
  <c r="CJ93" i="38"/>
  <c r="CJ84" i="38"/>
  <c r="CV81" i="38"/>
  <c r="CG94" i="38"/>
  <c r="CG87" i="38"/>
  <c r="CF94" i="38"/>
  <c r="CF93" i="38"/>
  <c r="CF87" i="38"/>
  <c r="CE94" i="38"/>
  <c r="CE93" i="38"/>
  <c r="CE87" i="38"/>
  <c r="CD94" i="38"/>
  <c r="CD87" i="38"/>
  <c r="CH87" i="38" s="1"/>
  <c r="CC94" i="38"/>
  <c r="CC87" i="38"/>
  <c r="CB94" i="38"/>
  <c r="CB87" i="38"/>
  <c r="CA94" i="38"/>
  <c r="CA95" i="38" s="1"/>
  <c r="CB95" i="38" s="1"/>
  <c r="CC95" i="38" s="1"/>
  <c r="CD95" i="38" s="1"/>
  <c r="CE95" i="38" s="1"/>
  <c r="CF95" i="38" s="1"/>
  <c r="CG95" i="38" s="1"/>
  <c r="CA93" i="38"/>
  <c r="CA87" i="38"/>
  <c r="BZ94" i="38"/>
  <c r="BZ93" i="38"/>
  <c r="BZ87" i="38"/>
  <c r="BY94" i="38"/>
  <c r="BY93" i="38"/>
  <c r="BY87" i="38"/>
  <c r="DG18" i="37"/>
  <c r="DH21" i="37"/>
  <c r="DA93" i="37"/>
  <c r="DO90" i="37"/>
  <c r="DO93" i="37" s="1"/>
  <c r="CZ93" i="37"/>
  <c r="DN90" i="37"/>
  <c r="DN93" i="37" s="1"/>
  <c r="CH94" i="37"/>
  <c r="CH93" i="37"/>
  <c r="BT93" i="37"/>
  <c r="BF93" i="37"/>
  <c r="CO89" i="37"/>
  <c r="CO96" i="37" s="1"/>
  <c r="CP88" i="37"/>
  <c r="CI84" i="37"/>
  <c r="BT94" i="37"/>
  <c r="BF88" i="37"/>
  <c r="BG81" i="37"/>
  <c r="BF94" i="37"/>
  <c r="AR93" i="37"/>
  <c r="DV72" i="37"/>
  <c r="DV34" i="37" s="1"/>
  <c r="DH34" i="37"/>
  <c r="DU72" i="37"/>
  <c r="DU34" i="37" s="1"/>
  <c r="DG34" i="37"/>
  <c r="DT72" i="37"/>
  <c r="DT34" i="37" s="1"/>
  <c r="DF34" i="37"/>
  <c r="DS72" i="37"/>
  <c r="DS34" i="37" s="1"/>
  <c r="DE34" i="37"/>
  <c r="DR72" i="37"/>
  <c r="DR34" i="37" s="1"/>
  <c r="DD34" i="37"/>
  <c r="DQ72" i="37"/>
  <c r="DQ34" i="37" s="1"/>
  <c r="DC34" i="37"/>
  <c r="DP72" i="37"/>
  <c r="DB34" i="37"/>
  <c r="BH74" i="37"/>
  <c r="BT73" i="37"/>
  <c r="BT74" i="37" s="1"/>
  <c r="AT74" i="37"/>
  <c r="BF74" i="37" s="1"/>
  <c r="BF73" i="37"/>
  <c r="BF63" i="37"/>
  <c r="BA35" i="37"/>
  <c r="BF35" i="37" s="1"/>
  <c r="AZ32" i="37"/>
  <c r="BF72" i="37"/>
  <c r="CH62" i="37"/>
  <c r="CI62" i="37" s="1"/>
  <c r="BV35" i="37"/>
  <c r="CH35" i="37" s="1"/>
  <c r="CI35" i="37" s="1"/>
  <c r="AH72" i="37"/>
  <c r="AR72" i="37" s="1"/>
  <c r="AH34" i="37"/>
  <c r="S94" i="37"/>
  <c r="AD34" i="37"/>
  <c r="AD94" i="37" s="1"/>
  <c r="DO34" i="37"/>
  <c r="CJ40" i="37"/>
  <c r="CR38" i="37"/>
  <c r="CS37" i="37"/>
  <c r="CQ64" i="37"/>
  <c r="CQ39" i="37"/>
  <c r="CQ34" i="37"/>
  <c r="CQ94" i="37" s="1"/>
  <c r="CL38" i="37"/>
  <c r="CM37" i="37"/>
  <c r="CK64" i="37"/>
  <c r="CK39" i="37"/>
  <c r="CK34" i="37"/>
  <c r="BT70" i="37"/>
  <c r="DC20" i="37"/>
  <c r="DB17" i="37"/>
  <c r="CK10" i="37"/>
  <c r="AQ66" i="37"/>
  <c r="AR32" i="37"/>
  <c r="DW94" i="37"/>
  <c r="DW80" i="37"/>
  <c r="DV94" i="37"/>
  <c r="DV80" i="37"/>
  <c r="DU94" i="37"/>
  <c r="DU80" i="37"/>
  <c r="DT94" i="37"/>
  <c r="DT80" i="37"/>
  <c r="DS94" i="37"/>
  <c r="DS80" i="37"/>
  <c r="DR94" i="37"/>
  <c r="DR80" i="37"/>
  <c r="DQ94" i="37"/>
  <c r="DQ84" i="37"/>
  <c r="DQ80" i="37"/>
  <c r="DP84" i="37"/>
  <c r="DP80" i="37"/>
  <c r="DO94" i="37"/>
  <c r="DO84" i="37"/>
  <c r="DO80" i="37"/>
  <c r="DN94" i="37"/>
  <c r="DN84" i="37"/>
  <c r="DN80" i="37"/>
  <c r="DM94" i="37"/>
  <c r="DM84" i="37"/>
  <c r="DM80" i="37"/>
  <c r="DL94" i="37"/>
  <c r="DL84" i="37"/>
  <c r="DY81" i="37"/>
  <c r="DX81" i="37"/>
  <c r="DL80" i="37"/>
  <c r="DX80" i="37" s="1"/>
  <c r="DI94" i="37"/>
  <c r="DI80" i="37"/>
  <c r="DH94" i="37"/>
  <c r="DH80" i="37"/>
  <c r="DG94" i="37"/>
  <c r="DG80" i="37"/>
  <c r="DF94" i="37"/>
  <c r="DF80" i="37"/>
  <c r="DE94" i="37"/>
  <c r="DE80" i="37"/>
  <c r="DD94" i="37"/>
  <c r="DD80" i="37"/>
  <c r="DC94" i="37"/>
  <c r="DC84" i="37"/>
  <c r="DC80" i="37"/>
  <c r="DB94" i="37"/>
  <c r="DB84" i="37"/>
  <c r="DB80" i="37"/>
  <c r="DJ80" i="37" s="1"/>
  <c r="CY94" i="37"/>
  <c r="CY93" i="37"/>
  <c r="CY84" i="37"/>
  <c r="CY80" i="37"/>
  <c r="CX94" i="37"/>
  <c r="CX84" i="37"/>
  <c r="DJ81" i="37"/>
  <c r="CX80" i="37"/>
  <c r="CO98" i="37"/>
  <c r="CO93" i="37"/>
  <c r="CO84" i="37"/>
  <c r="CN93" i="37"/>
  <c r="CN84" i="37"/>
  <c r="CM84" i="37"/>
  <c r="CK94" i="37"/>
  <c r="CK84" i="37"/>
  <c r="CJ94" i="37"/>
  <c r="CJ93" i="37"/>
  <c r="CJ84" i="37"/>
  <c r="CV81" i="37"/>
  <c r="CG94" i="37"/>
  <c r="CG87" i="37"/>
  <c r="CF94" i="37"/>
  <c r="CF93" i="37"/>
  <c r="CF87" i="37"/>
  <c r="CE94" i="37"/>
  <c r="CE93" i="37"/>
  <c r="CE87" i="37"/>
  <c r="CD94" i="37"/>
  <c r="CD87" i="37"/>
  <c r="CH87" i="37" s="1"/>
  <c r="CC94" i="37"/>
  <c r="CC87" i="37"/>
  <c r="CB94" i="37"/>
  <c r="CB87" i="37"/>
  <c r="CA94" i="37"/>
  <c r="CA95" i="37" s="1"/>
  <c r="CB95" i="37" s="1"/>
  <c r="CC95" i="37" s="1"/>
  <c r="CD95" i="37" s="1"/>
  <c r="CE95" i="37" s="1"/>
  <c r="CF95" i="37" s="1"/>
  <c r="CG95" i="37" s="1"/>
  <c r="CA93" i="37"/>
  <c r="CA87" i="37"/>
  <c r="BZ94" i="37"/>
  <c r="BZ93" i="37"/>
  <c r="BZ87" i="37"/>
  <c r="BY94" i="37"/>
  <c r="BY93" i="37"/>
  <c r="BY87" i="37"/>
  <c r="DA93" i="35"/>
  <c r="DO90" i="35"/>
  <c r="DO93" i="35" s="1"/>
  <c r="CZ93" i="35"/>
  <c r="DN90" i="35"/>
  <c r="DN93" i="35" s="1"/>
  <c r="CH94" i="35"/>
  <c r="CH93" i="35"/>
  <c r="BT93" i="35"/>
  <c r="BF93" i="35"/>
  <c r="CO89" i="35"/>
  <c r="CO96" i="35" s="1"/>
  <c r="CP88" i="35"/>
  <c r="CI84" i="35"/>
  <c r="BT94" i="35"/>
  <c r="BF88" i="35"/>
  <c r="BG81" i="35"/>
  <c r="BF94" i="35"/>
  <c r="AR93" i="35"/>
  <c r="DV18" i="35"/>
  <c r="DU18" i="35"/>
  <c r="DT18" i="35"/>
  <c r="DS18" i="35"/>
  <c r="DR18" i="35"/>
  <c r="DQ18" i="35"/>
  <c r="DP18" i="35"/>
  <c r="DO18" i="35"/>
  <c r="DN18" i="35"/>
  <c r="DM18" i="35"/>
  <c r="DL18" i="35"/>
  <c r="DH18" i="35"/>
  <c r="DG18" i="35"/>
  <c r="DF18" i="35"/>
  <c r="DE18" i="35"/>
  <c r="DD18" i="35"/>
  <c r="DC18" i="35"/>
  <c r="DB18" i="35"/>
  <c r="DA18" i="35"/>
  <c r="CZ18" i="35"/>
  <c r="CY18" i="35"/>
  <c r="CX18" i="35"/>
  <c r="CU18" i="35"/>
  <c r="CT18" i="35"/>
  <c r="CS18" i="35"/>
  <c r="DA17" i="35"/>
  <c r="CZ17" i="35"/>
  <c r="CY17" i="35"/>
  <c r="CX17" i="35"/>
  <c r="CS17" i="35"/>
  <c r="DV72" i="35"/>
  <c r="DV34" i="35" s="1"/>
  <c r="DH34" i="35"/>
  <c r="DU72" i="35"/>
  <c r="DU34" i="35" s="1"/>
  <c r="DG34" i="35"/>
  <c r="DT72" i="35"/>
  <c r="DT34" i="35" s="1"/>
  <c r="DF34" i="35"/>
  <c r="DS72" i="35"/>
  <c r="DS34" i="35" s="1"/>
  <c r="DE34" i="35"/>
  <c r="DR72" i="35"/>
  <c r="DR34" i="35" s="1"/>
  <c r="DD34" i="35"/>
  <c r="DQ72" i="35"/>
  <c r="DQ34" i="35" s="1"/>
  <c r="DC34" i="35"/>
  <c r="DP72" i="35"/>
  <c r="DB34" i="35"/>
  <c r="BH74" i="35"/>
  <c r="BT73" i="35"/>
  <c r="BT74" i="35" s="1"/>
  <c r="AT74" i="35"/>
  <c r="BF74" i="35" s="1"/>
  <c r="BF73" i="35"/>
  <c r="BF63" i="35"/>
  <c r="BA35" i="35"/>
  <c r="BF35" i="35" s="1"/>
  <c r="AZ32" i="35"/>
  <c r="BF72" i="35"/>
  <c r="CH62" i="35"/>
  <c r="CI62" i="35" s="1"/>
  <c r="BV35" i="35"/>
  <c r="CH35" i="35" s="1"/>
  <c r="CI35" i="35" s="1"/>
  <c r="AH72" i="35"/>
  <c r="AR72" i="35" s="1"/>
  <c r="AH34" i="35"/>
  <c r="S94" i="35"/>
  <c r="AD34" i="35"/>
  <c r="AD94" i="35" s="1"/>
  <c r="DO34" i="35"/>
  <c r="CJ40" i="35"/>
  <c r="CR38" i="35"/>
  <c r="CS37" i="35"/>
  <c r="CQ64" i="35"/>
  <c r="CQ39" i="35"/>
  <c r="CQ34" i="35"/>
  <c r="CQ94" i="35" s="1"/>
  <c r="CL38" i="35"/>
  <c r="CM37" i="35"/>
  <c r="CK64" i="35"/>
  <c r="CK39" i="35"/>
  <c r="CK34" i="35"/>
  <c r="BT70" i="35"/>
  <c r="DC20" i="35"/>
  <c r="DB19" i="35"/>
  <c r="DB17" i="35"/>
  <c r="CK10" i="35"/>
  <c r="AQ66" i="35"/>
  <c r="AR32" i="35"/>
  <c r="DW94" i="35"/>
  <c r="DW80" i="35"/>
  <c r="DV94" i="35"/>
  <c r="DV80" i="35"/>
  <c r="DU94" i="35"/>
  <c r="DU80" i="35"/>
  <c r="DT94" i="35"/>
  <c r="DT80" i="35"/>
  <c r="DS94" i="35"/>
  <c r="DS80" i="35"/>
  <c r="DR94" i="35"/>
  <c r="DR80" i="35"/>
  <c r="DQ94" i="35"/>
  <c r="DQ84" i="35"/>
  <c r="DQ80" i="35"/>
  <c r="DP84" i="35"/>
  <c r="DP80" i="35"/>
  <c r="DO94" i="35"/>
  <c r="DO84" i="35"/>
  <c r="DO80" i="35"/>
  <c r="DN94" i="35"/>
  <c r="DN84" i="35"/>
  <c r="DN80" i="35"/>
  <c r="DM94" i="35"/>
  <c r="DM84" i="35"/>
  <c r="DM80" i="35"/>
  <c r="DL94" i="35"/>
  <c r="DL84" i="35"/>
  <c r="DY81" i="35"/>
  <c r="DX81" i="35"/>
  <c r="DL80" i="35"/>
  <c r="DX80" i="35" s="1"/>
  <c r="DI94" i="35"/>
  <c r="DI80" i="35"/>
  <c r="DH94" i="35"/>
  <c r="DH80" i="35"/>
  <c r="DG94" i="35"/>
  <c r="DG80" i="35"/>
  <c r="DF94" i="35"/>
  <c r="DF80" i="35"/>
  <c r="DE94" i="35"/>
  <c r="DE80" i="35"/>
  <c r="DD94" i="35"/>
  <c r="DD80" i="35"/>
  <c r="DC94" i="35"/>
  <c r="DC84" i="35"/>
  <c r="DC80" i="35"/>
  <c r="DB94" i="35"/>
  <c r="DB84" i="35"/>
  <c r="DB80" i="35"/>
  <c r="DJ80" i="35" s="1"/>
  <c r="CY94" i="35"/>
  <c r="CY93" i="35"/>
  <c r="CY84" i="35"/>
  <c r="CY80" i="35"/>
  <c r="CX94" i="35"/>
  <c r="CX84" i="35"/>
  <c r="DJ81" i="35"/>
  <c r="CX80" i="35"/>
  <c r="CO98" i="35"/>
  <c r="CO93" i="35"/>
  <c r="CO84" i="35"/>
  <c r="CN93" i="35"/>
  <c r="CN84" i="35"/>
  <c r="CM84" i="35"/>
  <c r="CK94" i="35"/>
  <c r="CK84" i="35"/>
  <c r="CJ94" i="35"/>
  <c r="CJ93" i="35"/>
  <c r="CJ84" i="35"/>
  <c r="CV81" i="35"/>
  <c r="CG94" i="35"/>
  <c r="CG87" i="35"/>
  <c r="CF94" i="35"/>
  <c r="CF93" i="35"/>
  <c r="CF87" i="35"/>
  <c r="CE94" i="35"/>
  <c r="CE93" i="35"/>
  <c r="CE87" i="35"/>
  <c r="CD94" i="35"/>
  <c r="CD87" i="35"/>
  <c r="CH87" i="35" s="1"/>
  <c r="CC94" i="35"/>
  <c r="CC87" i="35"/>
  <c r="CB94" i="35"/>
  <c r="CB87" i="35"/>
  <c r="CA94" i="35"/>
  <c r="CA95" i="35" s="1"/>
  <c r="CB95" i="35" s="1"/>
  <c r="CC95" i="35" s="1"/>
  <c r="CD95" i="35" s="1"/>
  <c r="CE95" i="35" s="1"/>
  <c r="CF95" i="35" s="1"/>
  <c r="CG95" i="35" s="1"/>
  <c r="CA93" i="35"/>
  <c r="CA87" i="35"/>
  <c r="BZ94" i="35"/>
  <c r="BZ93" i="35"/>
  <c r="BZ87" i="35"/>
  <c r="BY94" i="35"/>
  <c r="BY93" i="35"/>
  <c r="BY87" i="35"/>
  <c r="DS72" i="33"/>
  <c r="DE34" i="33"/>
  <c r="DX38" i="33"/>
  <c r="DY38" i="33" s="1"/>
  <c r="DL21" i="33"/>
  <c r="DM21" i="33" s="1"/>
  <c r="DN21" i="33" s="1"/>
  <c r="DO21" i="33" s="1"/>
  <c r="DP21" i="33" s="1"/>
  <c r="DQ21" i="33" s="1"/>
  <c r="DR21" i="33" s="1"/>
  <c r="DS21" i="33" s="1"/>
  <c r="DT21" i="33" s="1"/>
  <c r="DU21" i="33" s="1"/>
  <c r="DV21" i="33" s="1"/>
  <c r="DW21" i="33" s="1"/>
  <c r="DW18" i="33" s="1"/>
  <c r="DI18" i="33"/>
  <c r="DA80" i="33"/>
  <c r="DA20" i="33"/>
  <c r="DA19" i="33" s="1"/>
  <c r="DA93" i="34"/>
  <c r="DO90" i="34"/>
  <c r="DO93" i="34" s="1"/>
  <c r="CZ93" i="34"/>
  <c r="DN90" i="34"/>
  <c r="DN93" i="34" s="1"/>
  <c r="CH94" i="34"/>
  <c r="CH93" i="34"/>
  <c r="BT93" i="34"/>
  <c r="BF93" i="34"/>
  <c r="CO89" i="34"/>
  <c r="CO96" i="34" s="1"/>
  <c r="CP88" i="34"/>
  <c r="CI84" i="34"/>
  <c r="BT94" i="34"/>
  <c r="BF88" i="34"/>
  <c r="BG81" i="34"/>
  <c r="BF94" i="34"/>
  <c r="AR93" i="34"/>
  <c r="DV18" i="34"/>
  <c r="DU18" i="34"/>
  <c r="DT18" i="34"/>
  <c r="DS18" i="34"/>
  <c r="DR18" i="34"/>
  <c r="DQ18" i="34"/>
  <c r="DP18" i="34"/>
  <c r="DO18" i="34"/>
  <c r="DN18" i="34"/>
  <c r="DM18" i="34"/>
  <c r="DL18" i="34"/>
  <c r="DH18" i="34"/>
  <c r="DG18" i="34"/>
  <c r="DF18" i="34"/>
  <c r="DE18" i="34"/>
  <c r="DD18" i="34"/>
  <c r="DC18" i="34"/>
  <c r="DB18" i="34"/>
  <c r="DA18" i="34"/>
  <c r="CZ18" i="34"/>
  <c r="CY18" i="34"/>
  <c r="CX18" i="34"/>
  <c r="CU18" i="34"/>
  <c r="CT18" i="34"/>
  <c r="CS18" i="34"/>
  <c r="DA17" i="34"/>
  <c r="CZ17" i="34"/>
  <c r="CY17" i="34"/>
  <c r="CX17" i="34"/>
  <c r="CS17" i="34"/>
  <c r="DV72" i="34"/>
  <c r="DV34" i="34" s="1"/>
  <c r="DH34" i="34"/>
  <c r="DU72" i="34"/>
  <c r="DU34" i="34" s="1"/>
  <c r="DG34" i="34"/>
  <c r="DT72" i="34"/>
  <c r="DT34" i="34" s="1"/>
  <c r="DF34" i="34"/>
  <c r="DS72" i="34"/>
  <c r="DS34" i="34" s="1"/>
  <c r="DE34" i="34"/>
  <c r="DR72" i="34"/>
  <c r="DR34" i="34" s="1"/>
  <c r="DD34" i="34"/>
  <c r="DQ72" i="34"/>
  <c r="DQ34" i="34" s="1"/>
  <c r="DC34" i="34"/>
  <c r="DP72" i="34"/>
  <c r="DB34" i="34"/>
  <c r="BH74" i="34"/>
  <c r="BT73" i="34"/>
  <c r="BT74" i="34" s="1"/>
  <c r="AT74" i="34"/>
  <c r="BF74" i="34" s="1"/>
  <c r="BF73" i="34"/>
  <c r="BF63" i="34"/>
  <c r="BA35" i="34"/>
  <c r="BF35" i="34" s="1"/>
  <c r="AZ32" i="34"/>
  <c r="BF72" i="34"/>
  <c r="CH62" i="34"/>
  <c r="CI62" i="34" s="1"/>
  <c r="BV35" i="34"/>
  <c r="CH35" i="34" s="1"/>
  <c r="CI35" i="34" s="1"/>
  <c r="AH72" i="34"/>
  <c r="AR72" i="34" s="1"/>
  <c r="AH34" i="34"/>
  <c r="S94" i="34"/>
  <c r="AD34" i="34"/>
  <c r="AD94" i="34" s="1"/>
  <c r="DO34" i="34"/>
  <c r="CJ40" i="34"/>
  <c r="CR38" i="34"/>
  <c r="CS37" i="34"/>
  <c r="CQ64" i="34"/>
  <c r="CQ39" i="34"/>
  <c r="CQ34" i="34"/>
  <c r="CQ94" i="34" s="1"/>
  <c r="CL38" i="34"/>
  <c r="CM37" i="34"/>
  <c r="CK64" i="34"/>
  <c r="CK39" i="34"/>
  <c r="CK34" i="34"/>
  <c r="BT70" i="34"/>
  <c r="DC20" i="34"/>
  <c r="DC19" i="34" s="1"/>
  <c r="DB17" i="34"/>
  <c r="CK10" i="34"/>
  <c r="AQ66" i="34"/>
  <c r="AR32" i="34"/>
  <c r="DW94" i="34"/>
  <c r="DW80" i="34"/>
  <c r="DV94" i="34"/>
  <c r="DV80" i="34"/>
  <c r="DU94" i="34"/>
  <c r="DU80" i="34"/>
  <c r="DT94" i="34"/>
  <c r="DT80" i="34"/>
  <c r="DS94" i="34"/>
  <c r="DS80" i="34"/>
  <c r="DR94" i="34"/>
  <c r="DR80" i="34"/>
  <c r="DQ94" i="34"/>
  <c r="DQ84" i="34"/>
  <c r="DQ80" i="34"/>
  <c r="DP84" i="34"/>
  <c r="DP80" i="34"/>
  <c r="DO94" i="34"/>
  <c r="DO84" i="34"/>
  <c r="DO80" i="34"/>
  <c r="DN94" i="34"/>
  <c r="DN84" i="34"/>
  <c r="DN80" i="34"/>
  <c r="DM94" i="34"/>
  <c r="DM84" i="34"/>
  <c r="DM80" i="34"/>
  <c r="DL94" i="34"/>
  <c r="DL84" i="34"/>
  <c r="DY81" i="34"/>
  <c r="DX81" i="34"/>
  <c r="DL80" i="34"/>
  <c r="DX80" i="34" s="1"/>
  <c r="DI94" i="34"/>
  <c r="DI80" i="34"/>
  <c r="DH94" i="34"/>
  <c r="DH80" i="34"/>
  <c r="DG94" i="34"/>
  <c r="DG80" i="34"/>
  <c r="DF94" i="34"/>
  <c r="DF80" i="34"/>
  <c r="DE94" i="34"/>
  <c r="DE80" i="34"/>
  <c r="DD94" i="34"/>
  <c r="DD80" i="34"/>
  <c r="DC94" i="34"/>
  <c r="DC84" i="34"/>
  <c r="DC80" i="34"/>
  <c r="DB94" i="34"/>
  <c r="DB84" i="34"/>
  <c r="DB80" i="34"/>
  <c r="CY94" i="34"/>
  <c r="CY93" i="34"/>
  <c r="CY84" i="34"/>
  <c r="CY80" i="34"/>
  <c r="CX94" i="34"/>
  <c r="CX84" i="34"/>
  <c r="DK81" i="34"/>
  <c r="DJ81" i="34"/>
  <c r="CX80" i="34"/>
  <c r="CO98" i="34"/>
  <c r="CO93" i="34"/>
  <c r="CO84" i="34"/>
  <c r="CN93" i="34"/>
  <c r="CN84" i="34"/>
  <c r="CM84" i="34"/>
  <c r="CK94" i="34"/>
  <c r="CK84" i="34"/>
  <c r="CJ94" i="34"/>
  <c r="CJ93" i="34"/>
  <c r="CJ84" i="34"/>
  <c r="CV81" i="34"/>
  <c r="CG94" i="34"/>
  <c r="CG87" i="34"/>
  <c r="CF94" i="34"/>
  <c r="CF93" i="34"/>
  <c r="CF87" i="34"/>
  <c r="CE94" i="34"/>
  <c r="CE93" i="34"/>
  <c r="CE87" i="34"/>
  <c r="CD94" i="34"/>
  <c r="CD87" i="34"/>
  <c r="CH87" i="34" s="1"/>
  <c r="CC94" i="34"/>
  <c r="CC87" i="34"/>
  <c r="CB94" i="34"/>
  <c r="CB87" i="34"/>
  <c r="CA94" i="34"/>
  <c r="CA95" i="34" s="1"/>
  <c r="CB95" i="34" s="1"/>
  <c r="CC95" i="34" s="1"/>
  <c r="CD95" i="34" s="1"/>
  <c r="CE95" i="34" s="1"/>
  <c r="CF95" i="34" s="1"/>
  <c r="CG95" i="34" s="1"/>
  <c r="CA93" i="34"/>
  <c r="CA87" i="34"/>
  <c r="BZ94" i="34"/>
  <c r="BZ93" i="34"/>
  <c r="BZ87" i="34"/>
  <c r="BY94" i="34"/>
  <c r="BY93" i="34"/>
  <c r="BY87" i="34"/>
  <c r="DA93" i="33"/>
  <c r="DO90" i="33"/>
  <c r="DO93" i="33" s="1"/>
  <c r="CZ93" i="33"/>
  <c r="DN90" i="33"/>
  <c r="DN93" i="33" s="1"/>
  <c r="CH94" i="33"/>
  <c r="CH93" i="33"/>
  <c r="BT93" i="33"/>
  <c r="BF93" i="33"/>
  <c r="CO89" i="33"/>
  <c r="CO96" i="33" s="1"/>
  <c r="CP88" i="33"/>
  <c r="CI84" i="33"/>
  <c r="BT94" i="33"/>
  <c r="BF88" i="33"/>
  <c r="BG81" i="33"/>
  <c r="BF94" i="33"/>
  <c r="AR93" i="33"/>
  <c r="DV18" i="33"/>
  <c r="DU18" i="33"/>
  <c r="DT18" i="33"/>
  <c r="DS18" i="33"/>
  <c r="DR18" i="33"/>
  <c r="DQ18" i="33"/>
  <c r="DP18" i="33"/>
  <c r="DO18" i="33"/>
  <c r="DN18" i="33"/>
  <c r="DM18" i="33"/>
  <c r="DL18" i="33"/>
  <c r="DH18" i="33"/>
  <c r="DG18" i="33"/>
  <c r="DF18" i="33"/>
  <c r="DE18" i="33"/>
  <c r="DD18" i="33"/>
  <c r="DC18" i="33"/>
  <c r="DB18" i="33"/>
  <c r="DA18" i="33"/>
  <c r="CZ18" i="33"/>
  <c r="CY18" i="33"/>
  <c r="CX18" i="33"/>
  <c r="CU18" i="33"/>
  <c r="CT18" i="33"/>
  <c r="CS18" i="33"/>
  <c r="CY17" i="33"/>
  <c r="CX17" i="33"/>
  <c r="CS17" i="33"/>
  <c r="DV34" i="33"/>
  <c r="DH34" i="33"/>
  <c r="DU34" i="33"/>
  <c r="DT34" i="33"/>
  <c r="DF34" i="33"/>
  <c r="DS34" i="33"/>
  <c r="DR34" i="33"/>
  <c r="DD34" i="33"/>
  <c r="DQ34" i="33"/>
  <c r="DC34" i="33"/>
  <c r="DP34" i="33"/>
  <c r="DB34" i="33"/>
  <c r="DN34" i="33"/>
  <c r="DM34" i="33"/>
  <c r="DJ72" i="33"/>
  <c r="BH74" i="33"/>
  <c r="BT73" i="33"/>
  <c r="BT74" i="33" s="1"/>
  <c r="AT74" i="33"/>
  <c r="BF74" i="33" s="1"/>
  <c r="BF73" i="33"/>
  <c r="BF63" i="33"/>
  <c r="BA35" i="33"/>
  <c r="BF35" i="33" s="1"/>
  <c r="AZ32" i="33"/>
  <c r="BF72" i="33"/>
  <c r="CH62" i="33"/>
  <c r="CI62" i="33" s="1"/>
  <c r="BV35" i="33"/>
  <c r="CH35" i="33" s="1"/>
  <c r="CI35" i="33" s="1"/>
  <c r="AH72" i="33"/>
  <c r="AR72" i="33" s="1"/>
  <c r="AH34" i="33"/>
  <c r="S94" i="33"/>
  <c r="AD34" i="33"/>
  <c r="AD94" i="33" s="1"/>
  <c r="CJ40" i="33"/>
  <c r="CR38" i="33"/>
  <c r="CS37" i="33"/>
  <c r="CQ64" i="33"/>
  <c r="CQ39" i="33"/>
  <c r="CQ34" i="33"/>
  <c r="CQ94" i="33" s="1"/>
  <c r="CL38" i="33"/>
  <c r="CM37" i="33"/>
  <c r="CK64" i="33"/>
  <c r="CK39" i="33"/>
  <c r="CK34" i="33"/>
  <c r="BT70" i="33"/>
  <c r="CK10" i="33"/>
  <c r="AQ66" i="33"/>
  <c r="AR32" i="33"/>
  <c r="DW94" i="33"/>
  <c r="DW80" i="33"/>
  <c r="DV94" i="33"/>
  <c r="DV80" i="33"/>
  <c r="DU94" i="33"/>
  <c r="DU80" i="33"/>
  <c r="DT94" i="33"/>
  <c r="DT80" i="33"/>
  <c r="DS94" i="33"/>
  <c r="DS80" i="33"/>
  <c r="DR94" i="33"/>
  <c r="DR80" i="33"/>
  <c r="DQ94" i="33"/>
  <c r="DQ84" i="33"/>
  <c r="DQ80" i="33"/>
  <c r="DP94" i="33"/>
  <c r="DP84" i="33"/>
  <c r="DP80" i="33"/>
  <c r="DO94" i="33"/>
  <c r="DO84" i="33"/>
  <c r="DO80" i="33"/>
  <c r="DN94" i="33"/>
  <c r="DN84" i="33"/>
  <c r="DN80" i="33"/>
  <c r="DM94" i="33"/>
  <c r="DM84" i="33"/>
  <c r="DM80" i="33"/>
  <c r="DL84" i="33"/>
  <c r="DY81" i="33"/>
  <c r="DX81" i="33"/>
  <c r="DL80" i="33"/>
  <c r="DX80" i="33" s="1"/>
  <c r="DI94" i="33"/>
  <c r="DI80" i="33"/>
  <c r="DH94" i="33"/>
  <c r="DH80" i="33"/>
  <c r="DG94" i="33"/>
  <c r="DG80" i="33"/>
  <c r="DF94" i="33"/>
  <c r="DF80" i="33"/>
  <c r="DE94" i="33"/>
  <c r="DE80" i="33"/>
  <c r="DD94" i="33"/>
  <c r="DD80" i="33"/>
  <c r="DC94" i="33"/>
  <c r="DC84" i="33"/>
  <c r="DB94" i="33"/>
  <c r="DB84" i="33"/>
  <c r="DB80" i="33"/>
  <c r="DA94" i="33"/>
  <c r="DA84" i="33"/>
  <c r="CZ94" i="33"/>
  <c r="CZ84" i="33"/>
  <c r="CY94" i="33"/>
  <c r="CY93" i="33"/>
  <c r="CY84" i="33"/>
  <c r="CY80" i="33"/>
  <c r="CX94" i="33"/>
  <c r="CX84" i="33"/>
  <c r="DJ81" i="33"/>
  <c r="CX80" i="33"/>
  <c r="CO98" i="33"/>
  <c r="CO93" i="33"/>
  <c r="CO84" i="33"/>
  <c r="CN93" i="33"/>
  <c r="CN84" i="33"/>
  <c r="CM84" i="33"/>
  <c r="CK94" i="33"/>
  <c r="CK84" i="33"/>
  <c r="CJ94" i="33"/>
  <c r="CJ93" i="33"/>
  <c r="CJ84" i="33"/>
  <c r="CV81" i="33"/>
  <c r="CG94" i="33"/>
  <c r="CG87" i="33"/>
  <c r="CF94" i="33"/>
  <c r="CF93" i="33"/>
  <c r="CF87" i="33"/>
  <c r="CE94" i="33"/>
  <c r="CE93" i="33"/>
  <c r="CE87" i="33"/>
  <c r="CD94" i="33"/>
  <c r="CD87" i="33"/>
  <c r="CH87" i="33" s="1"/>
  <c r="CC94" i="33"/>
  <c r="CC87" i="33"/>
  <c r="CB94" i="33"/>
  <c r="CB87" i="33"/>
  <c r="CA94" i="33"/>
  <c r="CA95" i="33" s="1"/>
  <c r="CB95" i="33" s="1"/>
  <c r="CC95" i="33" s="1"/>
  <c r="CD95" i="33" s="1"/>
  <c r="CE95" i="33" s="1"/>
  <c r="CF95" i="33" s="1"/>
  <c r="CG95" i="33" s="1"/>
  <c r="CA93" i="33"/>
  <c r="CA87" i="33"/>
  <c r="BZ94" i="33"/>
  <c r="BZ93" i="33"/>
  <c r="BZ87" i="33"/>
  <c r="BY94" i="33"/>
  <c r="BY93" i="33"/>
  <c r="BY87" i="33"/>
  <c r="DA92" i="30"/>
  <c r="DO89" i="30"/>
  <c r="DO92" i="30" s="1"/>
  <c r="CZ92" i="30"/>
  <c r="DN89" i="30"/>
  <c r="DN92" i="30" s="1"/>
  <c r="CY92" i="30"/>
  <c r="DM89" i="30"/>
  <c r="DM92" i="30" s="1"/>
  <c r="DI33" i="30"/>
  <c r="DW71" i="30"/>
  <c r="DW33" i="30" s="1"/>
  <c r="DH33" i="30"/>
  <c r="DV71" i="30"/>
  <c r="DV33" i="30" s="1"/>
  <c r="DG33" i="30"/>
  <c r="DU71" i="30"/>
  <c r="DU33" i="30" s="1"/>
  <c r="DF33" i="30"/>
  <c r="DT71" i="30"/>
  <c r="DT33" i="30" s="1"/>
  <c r="DE33" i="30"/>
  <c r="DS71" i="30"/>
  <c r="DS33" i="30" s="1"/>
  <c r="DD33" i="30"/>
  <c r="DR71" i="30"/>
  <c r="DR33" i="30" s="1"/>
  <c r="DC33" i="30"/>
  <c r="DQ71" i="30"/>
  <c r="DQ33" i="30" s="1"/>
  <c r="DB33" i="30"/>
  <c r="DP71" i="30"/>
  <c r="DP33" i="30" s="1"/>
  <c r="DN71" i="30"/>
  <c r="DL71" i="30"/>
  <c r="CX33" i="30"/>
  <c r="CX93" i="30" s="1"/>
  <c r="CZ19" i="30"/>
  <c r="DA19" i="30" s="1"/>
  <c r="DB19" i="30" s="1"/>
  <c r="CZ79" i="30"/>
  <c r="CZ11" i="30" s="1"/>
  <c r="DA11" i="30" s="1"/>
  <c r="DA92" i="32"/>
  <c r="DO89" i="32"/>
  <c r="DO92" i="32" s="1"/>
  <c r="CZ92" i="32"/>
  <c r="DN89" i="32"/>
  <c r="DN92" i="32" s="1"/>
  <c r="CY92" i="32"/>
  <c r="DM89" i="32"/>
  <c r="DM92" i="32" s="1"/>
  <c r="CH93" i="32"/>
  <c r="CH92" i="32"/>
  <c r="BT92" i="32"/>
  <c r="BF92" i="32"/>
  <c r="CO88" i="32"/>
  <c r="CO95" i="32" s="1"/>
  <c r="CP87" i="32"/>
  <c r="CI83" i="32"/>
  <c r="BT93" i="32"/>
  <c r="BF87" i="32"/>
  <c r="BG80" i="32"/>
  <c r="BF93" i="32"/>
  <c r="AR92" i="32"/>
  <c r="DV18" i="32"/>
  <c r="DU18" i="32"/>
  <c r="DT18" i="32"/>
  <c r="DS18" i="32"/>
  <c r="DR18" i="32"/>
  <c r="DQ18" i="32"/>
  <c r="DP18" i="32"/>
  <c r="DO18" i="32"/>
  <c r="DN18" i="32"/>
  <c r="DM18" i="32"/>
  <c r="DL18" i="32"/>
  <c r="DH18" i="32"/>
  <c r="DG18" i="32"/>
  <c r="DF18" i="32"/>
  <c r="DE18" i="32"/>
  <c r="DD18" i="32"/>
  <c r="DC18" i="32"/>
  <c r="DB18" i="32"/>
  <c r="DA18" i="32"/>
  <c r="CZ18" i="32"/>
  <c r="CY18" i="32"/>
  <c r="CX18" i="32"/>
  <c r="CU18" i="32"/>
  <c r="CT18" i="32"/>
  <c r="CS18" i="32"/>
  <c r="CX17" i="32"/>
  <c r="CS17" i="32"/>
  <c r="DV71" i="32"/>
  <c r="DV33" i="32" s="1"/>
  <c r="DH33" i="32"/>
  <c r="DU71" i="32"/>
  <c r="DU33" i="32" s="1"/>
  <c r="DG33" i="32"/>
  <c r="DT71" i="32"/>
  <c r="DT33" i="32" s="1"/>
  <c r="DF33" i="32"/>
  <c r="DS71" i="32"/>
  <c r="DS33" i="32" s="1"/>
  <c r="DE33" i="32"/>
  <c r="DR71" i="32"/>
  <c r="DR33" i="32" s="1"/>
  <c r="DD33" i="32"/>
  <c r="DQ71" i="32"/>
  <c r="DQ33" i="32" s="1"/>
  <c r="DC33" i="32"/>
  <c r="DP71" i="32"/>
  <c r="DP33" i="32" s="1"/>
  <c r="DB33" i="32"/>
  <c r="DN71" i="32"/>
  <c r="DN33" i="32" s="1"/>
  <c r="CZ33" i="32"/>
  <c r="DM71" i="32"/>
  <c r="DM33" i="32" s="1"/>
  <c r="CY33" i="32"/>
  <c r="DL71" i="32"/>
  <c r="DJ71" i="32"/>
  <c r="DK71" i="32" s="1"/>
  <c r="CX33" i="32"/>
  <c r="DJ33" i="32" s="1"/>
  <c r="BH73" i="32"/>
  <c r="BT72" i="32"/>
  <c r="BT73" i="32" s="1"/>
  <c r="AT73" i="32"/>
  <c r="BF73" i="32" s="1"/>
  <c r="BF72" i="32"/>
  <c r="BF62" i="32"/>
  <c r="BA34" i="32"/>
  <c r="BF34" i="32" s="1"/>
  <c r="AZ32" i="32"/>
  <c r="BF71" i="32"/>
  <c r="CH61" i="32"/>
  <c r="CI61" i="32" s="1"/>
  <c r="BV34" i="32"/>
  <c r="CH34" i="32" s="1"/>
  <c r="CI34" i="32" s="1"/>
  <c r="AH71" i="32"/>
  <c r="AR71" i="32" s="1"/>
  <c r="AH33" i="32"/>
  <c r="S93" i="32"/>
  <c r="AD33" i="32"/>
  <c r="AD93" i="32" s="1"/>
  <c r="CJ39" i="32"/>
  <c r="CR37" i="32"/>
  <c r="CS36" i="32"/>
  <c r="CQ63" i="32"/>
  <c r="CQ38" i="32"/>
  <c r="CQ33" i="32"/>
  <c r="CQ93" i="32" s="1"/>
  <c r="CL37" i="32"/>
  <c r="CM36" i="32"/>
  <c r="CK63" i="32"/>
  <c r="CK38" i="32"/>
  <c r="CK33" i="32"/>
  <c r="BT69" i="32"/>
  <c r="CK10" i="32"/>
  <c r="AQ65" i="32"/>
  <c r="AR32" i="32"/>
  <c r="DW93" i="32"/>
  <c r="DW79" i="32"/>
  <c r="DV93" i="32"/>
  <c r="DV79" i="32"/>
  <c r="DU93" i="32"/>
  <c r="DU79" i="32"/>
  <c r="DT93" i="32"/>
  <c r="DT79" i="32"/>
  <c r="DS93" i="32"/>
  <c r="DS79" i="32"/>
  <c r="DR93" i="32"/>
  <c r="DR79" i="32"/>
  <c r="DQ93" i="32"/>
  <c r="DQ83" i="32"/>
  <c r="DQ79" i="32"/>
  <c r="DP93" i="32"/>
  <c r="DP83" i="32"/>
  <c r="DP79" i="32"/>
  <c r="DO93" i="32"/>
  <c r="DO83" i="32"/>
  <c r="DO79" i="32"/>
  <c r="DN93" i="32"/>
  <c r="DN83" i="32"/>
  <c r="DN79" i="32"/>
  <c r="DM93" i="32"/>
  <c r="DM83" i="32"/>
  <c r="DM79" i="32"/>
  <c r="DL83" i="32"/>
  <c r="DY80" i="32"/>
  <c r="DX80" i="32"/>
  <c r="DL79" i="32"/>
  <c r="DX79" i="32" s="1"/>
  <c r="DI93" i="32"/>
  <c r="DI79" i="32"/>
  <c r="DH93" i="32"/>
  <c r="DH79" i="32"/>
  <c r="DG93" i="32"/>
  <c r="DG79" i="32"/>
  <c r="DF93" i="32"/>
  <c r="DF79" i="32"/>
  <c r="DE93" i="32"/>
  <c r="DE79" i="32"/>
  <c r="DD93" i="32"/>
  <c r="DD79" i="32"/>
  <c r="DC93" i="32"/>
  <c r="DC83" i="32"/>
  <c r="DC79" i="32"/>
  <c r="DB93" i="32"/>
  <c r="DB83" i="32"/>
  <c r="DB79" i="32"/>
  <c r="DA93" i="32"/>
  <c r="DA83" i="32"/>
  <c r="DA79" i="32"/>
  <c r="CZ93" i="32"/>
  <c r="CZ83" i="32"/>
  <c r="CZ79" i="32"/>
  <c r="CY93" i="32"/>
  <c r="CY83" i="32"/>
  <c r="CY79" i="32"/>
  <c r="CY19" i="32"/>
  <c r="CX93" i="32"/>
  <c r="CX83" i="32"/>
  <c r="DK80" i="32"/>
  <c r="DJ80" i="32"/>
  <c r="CX79" i="32"/>
  <c r="CO97" i="32"/>
  <c r="CO92" i="32"/>
  <c r="CO83" i="32"/>
  <c r="CN92" i="32"/>
  <c r="CN83" i="32"/>
  <c r="CM83" i="32"/>
  <c r="CK93" i="32"/>
  <c r="CK83" i="32"/>
  <c r="CJ93" i="32"/>
  <c r="CJ92" i="32"/>
  <c r="CJ83" i="32"/>
  <c r="CV80" i="32"/>
  <c r="CG93" i="32"/>
  <c r="CG86" i="32"/>
  <c r="CF93" i="32"/>
  <c r="CF92" i="32"/>
  <c r="CF86" i="32"/>
  <c r="CE93" i="32"/>
  <c r="CE92" i="32"/>
  <c r="CE86" i="32"/>
  <c r="CD93" i="32"/>
  <c r="CD86" i="32"/>
  <c r="CH86" i="32" s="1"/>
  <c r="CC93" i="32"/>
  <c r="CC86" i="32"/>
  <c r="CB93" i="32"/>
  <c r="CB86" i="32"/>
  <c r="CA93" i="32"/>
  <c r="CA94" i="32" s="1"/>
  <c r="CB94" i="32" s="1"/>
  <c r="CC94" i="32" s="1"/>
  <c r="CD94" i="32" s="1"/>
  <c r="CE94" i="32" s="1"/>
  <c r="CF94" i="32" s="1"/>
  <c r="CG94" i="32" s="1"/>
  <c r="CA92" i="32"/>
  <c r="CA86" i="32"/>
  <c r="BZ93" i="32"/>
  <c r="BZ92" i="32"/>
  <c r="BZ86" i="32"/>
  <c r="BY93" i="32"/>
  <c r="BY92" i="32"/>
  <c r="BY86" i="32"/>
  <c r="DW93" i="30"/>
  <c r="DW79" i="30"/>
  <c r="DV93" i="30"/>
  <c r="DV79" i="30"/>
  <c r="DU93" i="30"/>
  <c r="DU79" i="30"/>
  <c r="DT93" i="30"/>
  <c r="DT79" i="30"/>
  <c r="DS93" i="30"/>
  <c r="DS79" i="30"/>
  <c r="DR93" i="30"/>
  <c r="DR79" i="30"/>
  <c r="DQ93" i="30"/>
  <c r="DQ83" i="30"/>
  <c r="DQ79" i="30"/>
  <c r="DP93" i="30"/>
  <c r="DP83" i="30"/>
  <c r="DP79" i="30"/>
  <c r="DO93" i="30"/>
  <c r="DO83" i="30"/>
  <c r="DO79" i="30"/>
  <c r="DN93" i="30"/>
  <c r="DN83" i="30"/>
  <c r="DN79" i="30"/>
  <c r="DM93" i="30"/>
  <c r="DM83" i="30"/>
  <c r="DM79" i="30"/>
  <c r="DL83" i="30"/>
  <c r="DY80" i="30"/>
  <c r="DX80" i="30"/>
  <c r="DX79" i="30"/>
  <c r="DC80" i="30"/>
  <c r="DD21" i="30"/>
  <c r="DE21" i="30" s="1"/>
  <c r="DF21" i="30" s="1"/>
  <c r="DG21" i="30" s="1"/>
  <c r="DH21" i="30" s="1"/>
  <c r="DI21" i="30" s="1"/>
  <c r="DL21" i="30" s="1"/>
  <c r="DM21" i="30" s="1"/>
  <c r="DN21" i="30" s="1"/>
  <c r="DO21" i="30" s="1"/>
  <c r="DP21" i="30" s="1"/>
  <c r="DQ21" i="30" s="1"/>
  <c r="DR21" i="30" s="1"/>
  <c r="DS21" i="30" s="1"/>
  <c r="DT21" i="30" s="1"/>
  <c r="DU21" i="30" s="1"/>
  <c r="DV21" i="30" s="1"/>
  <c r="DW21" i="30" s="1"/>
  <c r="CU79" i="30"/>
  <c r="DA83" i="30"/>
  <c r="CZ83" i="30"/>
  <c r="CY83" i="30"/>
  <c r="CY79" i="30"/>
  <c r="DD74" i="30"/>
  <c r="DJ74" i="30" s="1"/>
  <c r="DJ76" i="30"/>
  <c r="DB83" i="30"/>
  <c r="DB79" i="30"/>
  <c r="DB11" i="30" s="1"/>
  <c r="BZ44" i="30"/>
  <c r="BZ38" i="29"/>
  <c r="BZ38" i="28"/>
  <c r="BZ38" i="27"/>
  <c r="BZ38" i="26"/>
  <c r="BZ33" i="23"/>
  <c r="BZ38" i="22"/>
  <c r="BZ33" i="16"/>
  <c r="CD44" i="30"/>
  <c r="CD38" i="29"/>
  <c r="CD38" i="28"/>
  <c r="CD38" i="27"/>
  <c r="CD38" i="26"/>
  <c r="CD33" i="23"/>
  <c r="CD38" i="22"/>
  <c r="CD33" i="16"/>
  <c r="BZ51" i="30"/>
  <c r="BZ45" i="29"/>
  <c r="BZ45" i="28"/>
  <c r="BZ45" i="27"/>
  <c r="BZ45" i="26"/>
  <c r="BZ40" i="23"/>
  <c r="BZ45" i="22"/>
  <c r="BZ40" i="16"/>
  <c r="CD51" i="30"/>
  <c r="CD45" i="29"/>
  <c r="CD45" i="28"/>
  <c r="CD45" i="27"/>
  <c r="CD45" i="26"/>
  <c r="CD40" i="23"/>
  <c r="CD45" i="22"/>
  <c r="CD40" i="16"/>
  <c r="BZ54" i="30"/>
  <c r="BZ48" i="29"/>
  <c r="BZ48" i="28"/>
  <c r="BZ48" i="27"/>
  <c r="BZ48" i="26"/>
  <c r="BZ43" i="23"/>
  <c r="BZ48" i="22"/>
  <c r="BZ43" i="16"/>
  <c r="CD54" i="30"/>
  <c r="CD48" i="29"/>
  <c r="CD48" i="28"/>
  <c r="CD48" i="27"/>
  <c r="CD48" i="26"/>
  <c r="CD43" i="23"/>
  <c r="CD48" i="22"/>
  <c r="CD43" i="16"/>
  <c r="BZ41" i="30"/>
  <c r="BZ35" i="29"/>
  <c r="BZ35" i="28"/>
  <c r="BZ35" i="27"/>
  <c r="BZ35" i="26"/>
  <c r="BZ30" i="23"/>
  <c r="BZ35" i="22"/>
  <c r="BZ30" i="16"/>
  <c r="CD41" i="30"/>
  <c r="CD35" i="29"/>
  <c r="CD35" i="28"/>
  <c r="CD35" i="27"/>
  <c r="CD35" i="26"/>
  <c r="CD30" i="23"/>
  <c r="CD35" i="22"/>
  <c r="CD30" i="16"/>
  <c r="CA44" i="30"/>
  <c r="CA38" i="29"/>
  <c r="CA38" i="28"/>
  <c r="CA38" i="27"/>
  <c r="CA38" i="26"/>
  <c r="CA33" i="23"/>
  <c r="CA38" i="22"/>
  <c r="CA33" i="16"/>
  <c r="CE44" i="30"/>
  <c r="CE38" i="29"/>
  <c r="CE38" i="28"/>
  <c r="CE38" i="27"/>
  <c r="CE38" i="26"/>
  <c r="CE33" i="23"/>
  <c r="CE38" i="22"/>
  <c r="CE33" i="16"/>
  <c r="BZ45" i="30"/>
  <c r="BZ39" i="29"/>
  <c r="BZ39" i="28"/>
  <c r="BZ39" i="27"/>
  <c r="BZ39" i="26"/>
  <c r="BZ34" i="23"/>
  <c r="BZ39" i="22"/>
  <c r="BZ34" i="16"/>
  <c r="CD45" i="30"/>
  <c r="CD39" i="29"/>
  <c r="CD39" i="28"/>
  <c r="CD39" i="27"/>
  <c r="CD39" i="26"/>
  <c r="CD34" i="23"/>
  <c r="CD39" i="22"/>
  <c r="CD34" i="16"/>
  <c r="CA51" i="30"/>
  <c r="CA45" i="29"/>
  <c r="CA45" i="28"/>
  <c r="CA45" i="27"/>
  <c r="CA45" i="26"/>
  <c r="CA40" i="23"/>
  <c r="CA45" i="22"/>
  <c r="CA40" i="16"/>
  <c r="CE51" i="30"/>
  <c r="CE45" i="29"/>
  <c r="CE45" i="28"/>
  <c r="CE45" i="27"/>
  <c r="CE45" i="26"/>
  <c r="CE40" i="23"/>
  <c r="CE45" i="22"/>
  <c r="CE40" i="16"/>
  <c r="BZ52" i="30"/>
  <c r="BZ46" i="29"/>
  <c r="BZ46" i="28"/>
  <c r="BZ46" i="27"/>
  <c r="BZ46" i="26"/>
  <c r="BZ41" i="23"/>
  <c r="BZ46" i="22"/>
  <c r="BZ41" i="16"/>
  <c r="CD52" i="30"/>
  <c r="CD46" i="29"/>
  <c r="CD46" i="28"/>
  <c r="CD46" i="27"/>
  <c r="CD46" i="26"/>
  <c r="CD41" i="23"/>
  <c r="CD46" i="22"/>
  <c r="CD41" i="16"/>
  <c r="CA54" i="30"/>
  <c r="CA48" i="29"/>
  <c r="CA48" i="28"/>
  <c r="CA48" i="27"/>
  <c r="CA48" i="26"/>
  <c r="CA43" i="23"/>
  <c r="CA48" i="22"/>
  <c r="CA43" i="16"/>
  <c r="CE54" i="30"/>
  <c r="CE48" i="29"/>
  <c r="CE48" i="28"/>
  <c r="CE48" i="27"/>
  <c r="CE48" i="26"/>
  <c r="CE43" i="23"/>
  <c r="CE48" i="22"/>
  <c r="CE43" i="16"/>
  <c r="BZ49" i="30"/>
  <c r="BZ43" i="29"/>
  <c r="BZ43" i="28"/>
  <c r="BZ43" i="27"/>
  <c r="BZ43" i="26"/>
  <c r="BZ38" i="23"/>
  <c r="BZ43" i="22"/>
  <c r="BZ38" i="16"/>
  <c r="CD49" i="30"/>
  <c r="CD43" i="29"/>
  <c r="CD43" i="28"/>
  <c r="CD43" i="27"/>
  <c r="CD43" i="26"/>
  <c r="CD38" i="23"/>
  <c r="CD43" i="22"/>
  <c r="CD38" i="16"/>
  <c r="CF43" i="30"/>
  <c r="CF37" i="29"/>
  <c r="CF37" i="28"/>
  <c r="CF37" i="27"/>
  <c r="CF37" i="26"/>
  <c r="CF32" i="23"/>
  <c r="CF37" i="22"/>
  <c r="CF32" i="16"/>
  <c r="CB43" i="30"/>
  <c r="CB37" i="29"/>
  <c r="CB37" i="28"/>
  <c r="CB37" i="27"/>
  <c r="CB37" i="26"/>
  <c r="CB32" i="23"/>
  <c r="CB37" i="22"/>
  <c r="CB32" i="16"/>
  <c r="BX43" i="30"/>
  <c r="BX37" i="29"/>
  <c r="BX37" i="28"/>
  <c r="BX37" i="27"/>
  <c r="BX37" i="26"/>
  <c r="BX32" i="23"/>
  <c r="BX37" i="22"/>
  <c r="BX32" i="16"/>
  <c r="CE43" i="30"/>
  <c r="CE37" i="29"/>
  <c r="CE37" i="28"/>
  <c r="CE37" i="27"/>
  <c r="CE37" i="26"/>
  <c r="CE32" i="23"/>
  <c r="CE37" i="22"/>
  <c r="CE32" i="16"/>
  <c r="CA43" i="30"/>
  <c r="CA37" i="29"/>
  <c r="CA37" i="28"/>
  <c r="CA37" i="27"/>
  <c r="CA37" i="26"/>
  <c r="CA32" i="23"/>
  <c r="CA37" i="22"/>
  <c r="CA32" i="16"/>
  <c r="CD43" i="30"/>
  <c r="CD37" i="29"/>
  <c r="CD37" i="28"/>
  <c r="CD37" i="27"/>
  <c r="CD37" i="26"/>
  <c r="CD32" i="23"/>
  <c r="CD37" i="22"/>
  <c r="CD32" i="16"/>
  <c r="BZ43" i="30"/>
  <c r="BZ37" i="29"/>
  <c r="BZ37" i="28"/>
  <c r="BZ37" i="27"/>
  <c r="BZ37" i="26"/>
  <c r="BZ32" i="23"/>
  <c r="BZ37" i="22"/>
  <c r="BZ32" i="16"/>
  <c r="CF47" i="30"/>
  <c r="CF41" i="29"/>
  <c r="CF41" i="28"/>
  <c r="CF41" i="27"/>
  <c r="CF41" i="26"/>
  <c r="CF36" i="23"/>
  <c r="CF41" i="22"/>
  <c r="CF36" i="16"/>
  <c r="CB47" i="30"/>
  <c r="CB41" i="29"/>
  <c r="CB41" i="28"/>
  <c r="CB41" i="27"/>
  <c r="CB41" i="26"/>
  <c r="CB36" i="23"/>
  <c r="CB41" i="22"/>
  <c r="CB36" i="16"/>
  <c r="BX47" i="30"/>
  <c r="BX41" i="29"/>
  <c r="BX41" i="28"/>
  <c r="BX41" i="27"/>
  <c r="BX41" i="26"/>
  <c r="BX36" i="23"/>
  <c r="BX41" i="22"/>
  <c r="BX36" i="16"/>
  <c r="CE47" i="30"/>
  <c r="CE41" i="29"/>
  <c r="CE41" i="28"/>
  <c r="CE41" i="27"/>
  <c r="CE41" i="26"/>
  <c r="CE36" i="23"/>
  <c r="CE41" i="22"/>
  <c r="CE36" i="16"/>
  <c r="CA47" i="30"/>
  <c r="CA41" i="29"/>
  <c r="CA41" i="28"/>
  <c r="CA41" i="27"/>
  <c r="CA41" i="26"/>
  <c r="CA36" i="23"/>
  <c r="CA41" i="22"/>
  <c r="CA36" i="16"/>
  <c r="CD47" i="30"/>
  <c r="CD41" i="29"/>
  <c r="CD41" i="28"/>
  <c r="CD41" i="27"/>
  <c r="CD41" i="26"/>
  <c r="CD36" i="23"/>
  <c r="CD41" i="22"/>
  <c r="CD36" i="16"/>
  <c r="BZ47" i="30"/>
  <c r="BZ41" i="29"/>
  <c r="BZ41" i="28"/>
  <c r="BZ41" i="27"/>
  <c r="BZ41" i="26"/>
  <c r="BZ36" i="23"/>
  <c r="BZ41" i="22"/>
  <c r="BZ36" i="16"/>
  <c r="CG48" i="30"/>
  <c r="CG42" i="29"/>
  <c r="CG42" i="28"/>
  <c r="CG42" i="27"/>
  <c r="CG42" i="26"/>
  <c r="CG37" i="23"/>
  <c r="CG42" i="22"/>
  <c r="CG37" i="16"/>
  <c r="CC43" i="30"/>
  <c r="CC37" i="29"/>
  <c r="CC37" i="28"/>
  <c r="CC37" i="27"/>
  <c r="CC37" i="26"/>
  <c r="CC32" i="23"/>
  <c r="CC37" i="22"/>
  <c r="CC32" i="16"/>
  <c r="CF48" i="30"/>
  <c r="CF42" i="29"/>
  <c r="CF42" i="28"/>
  <c r="CF42" i="27"/>
  <c r="CF42" i="26"/>
  <c r="CF37" i="23"/>
  <c r="CF42" i="22"/>
  <c r="CF37" i="16"/>
  <c r="CB48" i="30"/>
  <c r="CB42" i="29"/>
  <c r="CB42" i="28"/>
  <c r="CB42" i="27"/>
  <c r="CB42" i="26"/>
  <c r="CB37" i="23"/>
  <c r="CB42" i="22"/>
  <c r="CB37" i="16"/>
  <c r="BX48" i="30"/>
  <c r="BX42" i="29"/>
  <c r="BX42" i="28"/>
  <c r="BX42" i="27"/>
  <c r="BX42" i="26"/>
  <c r="BX37" i="23"/>
  <c r="BX42" i="22"/>
  <c r="BX37" i="16"/>
  <c r="CE48" i="30"/>
  <c r="CE42" i="29"/>
  <c r="CE42" i="28"/>
  <c r="CE42" i="27"/>
  <c r="CE42" i="26"/>
  <c r="CE37" i="23"/>
  <c r="CE42" i="22"/>
  <c r="CE37" i="16"/>
  <c r="CA48" i="30"/>
  <c r="CA42" i="29"/>
  <c r="CA42" i="28"/>
  <c r="CA42" i="27"/>
  <c r="CA42" i="26"/>
  <c r="CA37" i="23"/>
  <c r="CA42" i="22"/>
  <c r="CA37" i="16"/>
  <c r="CD48" i="30"/>
  <c r="CD42" i="29"/>
  <c r="CD42" i="28"/>
  <c r="CD42" i="27"/>
  <c r="CD42" i="26"/>
  <c r="CD37" i="23"/>
  <c r="CD42" i="22"/>
  <c r="CD37" i="16"/>
  <c r="BZ48" i="30"/>
  <c r="BZ42" i="29"/>
  <c r="BZ42" i="28"/>
  <c r="BZ42" i="27"/>
  <c r="BZ42" i="26"/>
  <c r="BZ37" i="23"/>
  <c r="BZ42" i="22"/>
  <c r="BZ37" i="16"/>
  <c r="CC47" i="30"/>
  <c r="CC41" i="29"/>
  <c r="CC41" i="28"/>
  <c r="CC41" i="27"/>
  <c r="CC41" i="26"/>
  <c r="CC36" i="23"/>
  <c r="CC41" i="22"/>
  <c r="CC36" i="16"/>
  <c r="CB41" i="30"/>
  <c r="CB35" i="29"/>
  <c r="CB35" i="28"/>
  <c r="CB35" i="27"/>
  <c r="CB35" i="26"/>
  <c r="CB30" i="23"/>
  <c r="CB35" i="22"/>
  <c r="CB30" i="16"/>
  <c r="CG41" i="30"/>
  <c r="CG35" i="29"/>
  <c r="CG35" i="28"/>
  <c r="CG35" i="27"/>
  <c r="CG35" i="26"/>
  <c r="CG30" i="23"/>
  <c r="CG35" i="22"/>
  <c r="CG30" i="16"/>
  <c r="CB45" i="30"/>
  <c r="CB39" i="29"/>
  <c r="CB39" i="28"/>
  <c r="CB39" i="27"/>
  <c r="CB39" i="26"/>
  <c r="CB34" i="23"/>
  <c r="CB39" i="22"/>
  <c r="CB34" i="16"/>
  <c r="CG45" i="30"/>
  <c r="CG39" i="29"/>
  <c r="CG39" i="28"/>
  <c r="CG39" i="27"/>
  <c r="CG39" i="26"/>
  <c r="CG34" i="23"/>
  <c r="CG39" i="22"/>
  <c r="CG34" i="16"/>
  <c r="CG47" i="30"/>
  <c r="CG41" i="29"/>
  <c r="CG41" i="28"/>
  <c r="CG41" i="27"/>
  <c r="CG41" i="26"/>
  <c r="CG36" i="23"/>
  <c r="CG41" i="22"/>
  <c r="CG36" i="16"/>
  <c r="CB54" i="30"/>
  <c r="CB48" i="29"/>
  <c r="CB48" i="28"/>
  <c r="CB48" i="27"/>
  <c r="CB48" i="26"/>
  <c r="CB43" i="23"/>
  <c r="CB48" i="22"/>
  <c r="CB43" i="16"/>
  <c r="BX41" i="30"/>
  <c r="BX35" i="29"/>
  <c r="BX35" i="28"/>
  <c r="BX35" i="27"/>
  <c r="BX35" i="26"/>
  <c r="BX30" i="23"/>
  <c r="BX35" i="22"/>
  <c r="BX30" i="16"/>
  <c r="CC41" i="30"/>
  <c r="CC35" i="29"/>
  <c r="CC35" i="28"/>
  <c r="CC35" i="27"/>
  <c r="CC35" i="26"/>
  <c r="CC30" i="23"/>
  <c r="CC35" i="22"/>
  <c r="CC30" i="16"/>
  <c r="BX44" i="30"/>
  <c r="BX38" i="29"/>
  <c r="BX38" i="28"/>
  <c r="BX38" i="27"/>
  <c r="BX38" i="26"/>
  <c r="BX33" i="23"/>
  <c r="BX38" i="22"/>
  <c r="BX33" i="16"/>
  <c r="CF44" i="30"/>
  <c r="CF38" i="29"/>
  <c r="CF38" i="28"/>
  <c r="CF38" i="27"/>
  <c r="CF38" i="26"/>
  <c r="CF33" i="23"/>
  <c r="CF38" i="22"/>
  <c r="CF33" i="16"/>
  <c r="BX45" i="30"/>
  <c r="BX39" i="29"/>
  <c r="BX39" i="28"/>
  <c r="BX39" i="27"/>
  <c r="BX39" i="26"/>
  <c r="BX34" i="23"/>
  <c r="BX39" i="22"/>
  <c r="BX34" i="16"/>
  <c r="CC45" i="30"/>
  <c r="CC39" i="29"/>
  <c r="CC39" i="28"/>
  <c r="CC39" i="27"/>
  <c r="CC39" i="26"/>
  <c r="CC34" i="23"/>
  <c r="CC39" i="22"/>
  <c r="CC34" i="16"/>
  <c r="CG40" i="30"/>
  <c r="CG34" i="29"/>
  <c r="CG34" i="28"/>
  <c r="CG34" i="27"/>
  <c r="CG34" i="26"/>
  <c r="CG29" i="23"/>
  <c r="CG34" i="22"/>
  <c r="CG29" i="16"/>
  <c r="BY41" i="30"/>
  <c r="BY35" i="29"/>
  <c r="BY35" i="28"/>
  <c r="BY35" i="27"/>
  <c r="BY35" i="26"/>
  <c r="BY30" i="23"/>
  <c r="BY35" i="22"/>
  <c r="BY30" i="16"/>
  <c r="CE41" i="30"/>
  <c r="CE35" i="29"/>
  <c r="CE35" i="28"/>
  <c r="CE35" i="27"/>
  <c r="CE35" i="26"/>
  <c r="CE30" i="23"/>
  <c r="CE35" i="22"/>
  <c r="CE30" i="16"/>
  <c r="BZ42" i="30"/>
  <c r="BZ36" i="29"/>
  <c r="BZ36" i="28"/>
  <c r="BZ36" i="27"/>
  <c r="BZ36" i="26"/>
  <c r="BZ31" i="23"/>
  <c r="BZ36" i="22"/>
  <c r="BZ31" i="16"/>
  <c r="CD42" i="30"/>
  <c r="CD36" i="29"/>
  <c r="CD36" i="28"/>
  <c r="CD36" i="27"/>
  <c r="CD36" i="26"/>
  <c r="CD31" i="23"/>
  <c r="CD36" i="22"/>
  <c r="CD31" i="16"/>
  <c r="BY44" i="30"/>
  <c r="BY38" i="29"/>
  <c r="BY38" i="28"/>
  <c r="BY38" i="27"/>
  <c r="BY38" i="26"/>
  <c r="BY33" i="23"/>
  <c r="BY38" i="22"/>
  <c r="BY33" i="16"/>
  <c r="CG44" i="30"/>
  <c r="CG38" i="29"/>
  <c r="CG38" i="28"/>
  <c r="CG38" i="27"/>
  <c r="CG38" i="26"/>
  <c r="CG33" i="23"/>
  <c r="CG38" i="22"/>
  <c r="CG33" i="16"/>
  <c r="BY45" i="30"/>
  <c r="BY39" i="29"/>
  <c r="BY39" i="28"/>
  <c r="BY39" i="27"/>
  <c r="BY39" i="26"/>
  <c r="BY34" i="23"/>
  <c r="BY39" i="22"/>
  <c r="BY34" i="16"/>
  <c r="CE45" i="30"/>
  <c r="CE39" i="29"/>
  <c r="CE39" i="28"/>
  <c r="CE39" i="27"/>
  <c r="CE39" i="26"/>
  <c r="CE34" i="23"/>
  <c r="CE39" i="22"/>
  <c r="CE34" i="16"/>
  <c r="BZ46" i="30"/>
  <c r="BZ40" i="29"/>
  <c r="BZ40" i="28"/>
  <c r="BZ40" i="27"/>
  <c r="BZ40" i="26"/>
  <c r="BZ35" i="23"/>
  <c r="BZ40" i="22"/>
  <c r="BZ35" i="16"/>
  <c r="CD46" i="30"/>
  <c r="CD40" i="29"/>
  <c r="CD40" i="28"/>
  <c r="CD40" i="27"/>
  <c r="CD40" i="26"/>
  <c r="CD35" i="23"/>
  <c r="CD40" i="22"/>
  <c r="CD35" i="16"/>
  <c r="BX51" i="30"/>
  <c r="BX45" i="29"/>
  <c r="BX45" i="28"/>
  <c r="BX45" i="27"/>
  <c r="BX45" i="26"/>
  <c r="BX40" i="23"/>
  <c r="BX45" i="22"/>
  <c r="BX40" i="16"/>
  <c r="CF51" i="30"/>
  <c r="CF45" i="29"/>
  <c r="CF45" i="28"/>
  <c r="CF45" i="27"/>
  <c r="CF45" i="26"/>
  <c r="CF40" i="23"/>
  <c r="CF45" i="22"/>
  <c r="CF40" i="16"/>
  <c r="BX52" i="30"/>
  <c r="BX46" i="29"/>
  <c r="BX46" i="28"/>
  <c r="BX46" i="27"/>
  <c r="BX46" i="26"/>
  <c r="BX41" i="23"/>
  <c r="BX46" i="22"/>
  <c r="BX41" i="16"/>
  <c r="CC52" i="30"/>
  <c r="CC46" i="29"/>
  <c r="CC46" i="28"/>
  <c r="CC46" i="27"/>
  <c r="CC46" i="26"/>
  <c r="CC41" i="23"/>
  <c r="CC46" i="22"/>
  <c r="CC41" i="16"/>
  <c r="BX54" i="30"/>
  <c r="BX48" i="29"/>
  <c r="BX48" i="28"/>
  <c r="BX48" i="27"/>
  <c r="BX48" i="26"/>
  <c r="BX43" i="23"/>
  <c r="BX48" i="22"/>
  <c r="BX43" i="16"/>
  <c r="CF54" i="30"/>
  <c r="CF48" i="29"/>
  <c r="CF48" i="28"/>
  <c r="CF48" i="27"/>
  <c r="CF48" i="26"/>
  <c r="CF43" i="23"/>
  <c r="CF48" i="22"/>
  <c r="CF43" i="16"/>
  <c r="BX49" i="30"/>
  <c r="BX43" i="29"/>
  <c r="BX43" i="28"/>
  <c r="BX43" i="27"/>
  <c r="BX43" i="26"/>
  <c r="BX38" i="23"/>
  <c r="BX43" i="22"/>
  <c r="BX38" i="16"/>
  <c r="CC49" i="30"/>
  <c r="CC43" i="29"/>
  <c r="CC43" i="28"/>
  <c r="CC43" i="27"/>
  <c r="CC43" i="26"/>
  <c r="CC38" i="23"/>
  <c r="CC43" i="22"/>
  <c r="CC38" i="16"/>
  <c r="CA41" i="30"/>
  <c r="CA35" i="29"/>
  <c r="CA35" i="28"/>
  <c r="CA35" i="27"/>
  <c r="CA35" i="26"/>
  <c r="CA30" i="23"/>
  <c r="CA35" i="22"/>
  <c r="CA30" i="16"/>
  <c r="BX42" i="30"/>
  <c r="BX36" i="29"/>
  <c r="BX36" i="28"/>
  <c r="BX36" i="27"/>
  <c r="BX36" i="26"/>
  <c r="BX31" i="23"/>
  <c r="BX36" i="22"/>
  <c r="BX31" i="16"/>
  <c r="CC42" i="30"/>
  <c r="CC36" i="29"/>
  <c r="CC36" i="28"/>
  <c r="CC36" i="27"/>
  <c r="CC36" i="26"/>
  <c r="CC31" i="23"/>
  <c r="CC36" i="22"/>
  <c r="CC31" i="16"/>
  <c r="CC44" i="30"/>
  <c r="CC38" i="29"/>
  <c r="CC38" i="28"/>
  <c r="CC38" i="27"/>
  <c r="CC38" i="26"/>
  <c r="CC33" i="23"/>
  <c r="CC38" i="22"/>
  <c r="CC33" i="16"/>
  <c r="BY52" i="30"/>
  <c r="BY46" i="29"/>
  <c r="BY46" i="28"/>
  <c r="BY46" i="27"/>
  <c r="BY46" i="26"/>
  <c r="BY41" i="23"/>
  <c r="BY46" i="22"/>
  <c r="BY41" i="16"/>
  <c r="CF52" i="30"/>
  <c r="CF46" i="29"/>
  <c r="CF46" i="28"/>
  <c r="CF46" i="27"/>
  <c r="CF46" i="26"/>
  <c r="CF41" i="23"/>
  <c r="CF46" i="22"/>
  <c r="CF41" i="16"/>
  <c r="CA53" i="30"/>
  <c r="CA47" i="29"/>
  <c r="CA47" i="28"/>
  <c r="CA47" i="27"/>
  <c r="CA47" i="26"/>
  <c r="CA42" i="23"/>
  <c r="CA47" i="22"/>
  <c r="CA42" i="16"/>
  <c r="CE53" i="30"/>
  <c r="CE47" i="29"/>
  <c r="CE47" i="28"/>
  <c r="CE47" i="27"/>
  <c r="CE47" i="26"/>
  <c r="CE42" i="23"/>
  <c r="CE47" i="22"/>
  <c r="CE42" i="16"/>
  <c r="CF41" i="30"/>
  <c r="CF35" i="29"/>
  <c r="CF35" i="28"/>
  <c r="CF35" i="27"/>
  <c r="CF35" i="26"/>
  <c r="CF30" i="23"/>
  <c r="CF35" i="22"/>
  <c r="CF30" i="16"/>
  <c r="BY42" i="30"/>
  <c r="BY36" i="29"/>
  <c r="BY36" i="28"/>
  <c r="BY36" i="27"/>
  <c r="BY36" i="26"/>
  <c r="BY31" i="23"/>
  <c r="BY36" i="22"/>
  <c r="BY31" i="16"/>
  <c r="CE42" i="30"/>
  <c r="CE36" i="29"/>
  <c r="CE36" i="28"/>
  <c r="CE36" i="27"/>
  <c r="CE36" i="26"/>
  <c r="CE31" i="23"/>
  <c r="CE36" i="22"/>
  <c r="CE31" i="16"/>
  <c r="CG43" i="30"/>
  <c r="CG37" i="29"/>
  <c r="CG37" i="28"/>
  <c r="CG37" i="27"/>
  <c r="CG37" i="26"/>
  <c r="CG32" i="23"/>
  <c r="CG37" i="22"/>
  <c r="CG32" i="16"/>
  <c r="CB46" i="30"/>
  <c r="CB40" i="29"/>
  <c r="CB40" i="28"/>
  <c r="CB40" i="27"/>
  <c r="CB40" i="26"/>
  <c r="CB35" i="23"/>
  <c r="CB40" i="22"/>
  <c r="CB35" i="16"/>
  <c r="CG46" i="30"/>
  <c r="CG40" i="29"/>
  <c r="CG40" i="28"/>
  <c r="CG40" i="27"/>
  <c r="CG40" i="26"/>
  <c r="CG35" i="23"/>
  <c r="CG40" i="22"/>
  <c r="CG35" i="16"/>
  <c r="CA52" i="30"/>
  <c r="CA46" i="29"/>
  <c r="CA46" i="28"/>
  <c r="CA46" i="27"/>
  <c r="CA46" i="26"/>
  <c r="CA41" i="23"/>
  <c r="CA46" i="22"/>
  <c r="CA41" i="16"/>
  <c r="CG52" i="30"/>
  <c r="CG46" i="29"/>
  <c r="CG46" i="28"/>
  <c r="CG46" i="27"/>
  <c r="CG46" i="26"/>
  <c r="CG41" i="23"/>
  <c r="CG46" i="22"/>
  <c r="CG41" i="16"/>
  <c r="BX53" i="30"/>
  <c r="BX47" i="29"/>
  <c r="BX47" i="28"/>
  <c r="BX47" i="27"/>
  <c r="BX47" i="26"/>
  <c r="BX42" i="23"/>
  <c r="BX47" i="22"/>
  <c r="BX42" i="16"/>
  <c r="CB53" i="30"/>
  <c r="CB47" i="29"/>
  <c r="CB47" i="28"/>
  <c r="CB47" i="27"/>
  <c r="CB47" i="26"/>
  <c r="CB42" i="23"/>
  <c r="CB47" i="22"/>
  <c r="CB42" i="16"/>
  <c r="CF53" i="30"/>
  <c r="CF47" i="29"/>
  <c r="CF47" i="28"/>
  <c r="CF47" i="27"/>
  <c r="CF47" i="26"/>
  <c r="CF42" i="23"/>
  <c r="CF47" i="22"/>
  <c r="CF42" i="16"/>
  <c r="BY54" i="30"/>
  <c r="BY48" i="29"/>
  <c r="BY48" i="28"/>
  <c r="BY48" i="27"/>
  <c r="BY48" i="26"/>
  <c r="BY43" i="23"/>
  <c r="BY48" i="22"/>
  <c r="BY43" i="16"/>
  <c r="CE49" i="30"/>
  <c r="CE43" i="29"/>
  <c r="CE43" i="28"/>
  <c r="CE43" i="27"/>
  <c r="CE43" i="26"/>
  <c r="CE38" i="23"/>
  <c r="CE43" i="22"/>
  <c r="CE38" i="16"/>
  <c r="BZ50" i="30"/>
  <c r="BZ44" i="29"/>
  <c r="BZ44" i="28"/>
  <c r="BZ44" i="27"/>
  <c r="BZ44" i="26"/>
  <c r="BZ39" i="23"/>
  <c r="BZ44" i="22"/>
  <c r="BZ39" i="16"/>
  <c r="CD50" i="30"/>
  <c r="CD44" i="29"/>
  <c r="CD44" i="28"/>
  <c r="CD44" i="27"/>
  <c r="CD44" i="26"/>
  <c r="CD39" i="23"/>
  <c r="CD44" i="22"/>
  <c r="CD39" i="16"/>
  <c r="CB52" i="30"/>
  <c r="CB46" i="29"/>
  <c r="CB46" i="28"/>
  <c r="CB46" i="27"/>
  <c r="CB46" i="26"/>
  <c r="CB41" i="23"/>
  <c r="CB46" i="22"/>
  <c r="CB41" i="16"/>
  <c r="CG42" i="30"/>
  <c r="CG36" i="29"/>
  <c r="CG36" i="28"/>
  <c r="CG36" i="27"/>
  <c r="CG36" i="26"/>
  <c r="CG31" i="23"/>
  <c r="CG36" i="22"/>
  <c r="CG31" i="16"/>
  <c r="BX46" i="30"/>
  <c r="BX40" i="29"/>
  <c r="BX40" i="28"/>
  <c r="BX40" i="27"/>
  <c r="BX40" i="26"/>
  <c r="BX35" i="23"/>
  <c r="BX40" i="22"/>
  <c r="BX35" i="16"/>
  <c r="CE46" i="30"/>
  <c r="CE40" i="29"/>
  <c r="CE40" i="28"/>
  <c r="CE40" i="27"/>
  <c r="CE40" i="26"/>
  <c r="CE35" i="23"/>
  <c r="CE40" i="22"/>
  <c r="CE35" i="16"/>
  <c r="BY49" i="30"/>
  <c r="BY43" i="29"/>
  <c r="BY43" i="28"/>
  <c r="BY43" i="27"/>
  <c r="BY43" i="26"/>
  <c r="BY38" i="23"/>
  <c r="BY43" i="22"/>
  <c r="BY38" i="16"/>
  <c r="CG49" i="30"/>
  <c r="CG43" i="29"/>
  <c r="CG43" i="28"/>
  <c r="CG43" i="27"/>
  <c r="CG43" i="26"/>
  <c r="CG38" i="23"/>
  <c r="CG43" i="22"/>
  <c r="CG38" i="16"/>
  <c r="CA42" i="30"/>
  <c r="CA36" i="29"/>
  <c r="CA36" i="28"/>
  <c r="CA36" i="27"/>
  <c r="CA36" i="26"/>
  <c r="CA31" i="23"/>
  <c r="CA36" i="22"/>
  <c r="CA31" i="16"/>
  <c r="CA45" i="30"/>
  <c r="CA39" i="29"/>
  <c r="CA39" i="28"/>
  <c r="CA39" i="27"/>
  <c r="CA39" i="26"/>
  <c r="CA34" i="23"/>
  <c r="CA39" i="22"/>
  <c r="CA34" i="16"/>
  <c r="BY46" i="30"/>
  <c r="BY40" i="29"/>
  <c r="BY40" i="28"/>
  <c r="BY40" i="27"/>
  <c r="BY40" i="26"/>
  <c r="BY35" i="23"/>
  <c r="BY40" i="22"/>
  <c r="BY35" i="16"/>
  <c r="CF46" i="30"/>
  <c r="CF40" i="29"/>
  <c r="CF40" i="28"/>
  <c r="CF40" i="27"/>
  <c r="CF40" i="26"/>
  <c r="CF35" i="23"/>
  <c r="CF40" i="22"/>
  <c r="CF35" i="16"/>
  <c r="BY51" i="30"/>
  <c r="BY45" i="29"/>
  <c r="BY45" i="28"/>
  <c r="BY45" i="27"/>
  <c r="BY45" i="26"/>
  <c r="BY40" i="23"/>
  <c r="BY45" i="22"/>
  <c r="BY40" i="16"/>
  <c r="CD53" i="30"/>
  <c r="CD47" i="29"/>
  <c r="CD47" i="28"/>
  <c r="CD47" i="27"/>
  <c r="CD47" i="26"/>
  <c r="CD42" i="23"/>
  <c r="CD47" i="22"/>
  <c r="CD42" i="16"/>
  <c r="CC54" i="30"/>
  <c r="CC48" i="29"/>
  <c r="CC48" i="28"/>
  <c r="CC48" i="27"/>
  <c r="CC48" i="26"/>
  <c r="CC43" i="23"/>
  <c r="CC48" i="22"/>
  <c r="CC43" i="16"/>
  <c r="CA49" i="30"/>
  <c r="CA43" i="29"/>
  <c r="CA43" i="28"/>
  <c r="CA43" i="27"/>
  <c r="CA43" i="26"/>
  <c r="CA38" i="23"/>
  <c r="CA43" i="22"/>
  <c r="CA38" i="16"/>
  <c r="CB42" i="30"/>
  <c r="CB36" i="29"/>
  <c r="CB36" i="28"/>
  <c r="CB36" i="27"/>
  <c r="CB36" i="26"/>
  <c r="CB31" i="23"/>
  <c r="CB36" i="22"/>
  <c r="CB31" i="16"/>
  <c r="CA46" i="30"/>
  <c r="CA40" i="29"/>
  <c r="CA40" i="28"/>
  <c r="CA40" i="27"/>
  <c r="CA40" i="26"/>
  <c r="CA35" i="23"/>
  <c r="CA40" i="22"/>
  <c r="CA35" i="16"/>
  <c r="CB49" i="30"/>
  <c r="CB43" i="29"/>
  <c r="CB43" i="28"/>
  <c r="CB43" i="27"/>
  <c r="CB43" i="26"/>
  <c r="CB38" i="23"/>
  <c r="CB43" i="22"/>
  <c r="CB38" i="16"/>
  <c r="CF42" i="30"/>
  <c r="CF36" i="29"/>
  <c r="CF36" i="28"/>
  <c r="CF36" i="27"/>
  <c r="CF36" i="26"/>
  <c r="CF31" i="23"/>
  <c r="CF36" i="22"/>
  <c r="CF31" i="16"/>
  <c r="CC46" i="30"/>
  <c r="CC40" i="29"/>
  <c r="CC40" i="28"/>
  <c r="CC40" i="27"/>
  <c r="CC40" i="26"/>
  <c r="CC35" i="23"/>
  <c r="CC40" i="22"/>
  <c r="CC35" i="16"/>
  <c r="CF49" i="30"/>
  <c r="CF43" i="29"/>
  <c r="CF43" i="28"/>
  <c r="CF43" i="27"/>
  <c r="CF43" i="26"/>
  <c r="CF38" i="23"/>
  <c r="CF43" i="22"/>
  <c r="CF38" i="16"/>
  <c r="CB51" i="30"/>
  <c r="CB45" i="29"/>
  <c r="CB45" i="28"/>
  <c r="CB45" i="27"/>
  <c r="CB45" i="26"/>
  <c r="CB40" i="23"/>
  <c r="CB45" i="22"/>
  <c r="CB40" i="16"/>
  <c r="CB50" i="30"/>
  <c r="CB44" i="29"/>
  <c r="CB44" i="28"/>
  <c r="CB44" i="27"/>
  <c r="CB44" i="26"/>
  <c r="CB39" i="23"/>
  <c r="CB44" i="22"/>
  <c r="CB39" i="16"/>
  <c r="CG50" i="30"/>
  <c r="CG44" i="29"/>
  <c r="CG44" i="28"/>
  <c r="CG44" i="27"/>
  <c r="CG44" i="26"/>
  <c r="CG39" i="23"/>
  <c r="CG44" i="22"/>
  <c r="CG39" i="16"/>
  <c r="CB44" i="30"/>
  <c r="CB38" i="29"/>
  <c r="CB38" i="28"/>
  <c r="CB38" i="27"/>
  <c r="CB38" i="26"/>
  <c r="CB33" i="23"/>
  <c r="CB38" i="22"/>
  <c r="CB33" i="16"/>
  <c r="CC51" i="30"/>
  <c r="CC45" i="29"/>
  <c r="CC45" i="28"/>
  <c r="CC45" i="27"/>
  <c r="CC45" i="26"/>
  <c r="CC40" i="23"/>
  <c r="CC45" i="22"/>
  <c r="CC40" i="16"/>
  <c r="CE52" i="30"/>
  <c r="CE46" i="29"/>
  <c r="CE46" i="28"/>
  <c r="CE46" i="27"/>
  <c r="CE46" i="26"/>
  <c r="CE41" i="23"/>
  <c r="CE46" i="22"/>
  <c r="CE41" i="16"/>
  <c r="BX50" i="30"/>
  <c r="BX44" i="29"/>
  <c r="BX44" i="28"/>
  <c r="BX44" i="27"/>
  <c r="BX44" i="26"/>
  <c r="BX39" i="23"/>
  <c r="BX44" i="22"/>
  <c r="BX39" i="16"/>
  <c r="CC50" i="30"/>
  <c r="CC44" i="29"/>
  <c r="CC44" i="28"/>
  <c r="CC44" i="27"/>
  <c r="CC44" i="26"/>
  <c r="CC39" i="23"/>
  <c r="CC44" i="22"/>
  <c r="CC39" i="16"/>
  <c r="CA50" i="30"/>
  <c r="CA44" i="29"/>
  <c r="CA44" i="28"/>
  <c r="CA44" i="27"/>
  <c r="CA44" i="26"/>
  <c r="CA39" i="23"/>
  <c r="CA44" i="22"/>
  <c r="CA39" i="16"/>
  <c r="CF50" i="30"/>
  <c r="CF44" i="29"/>
  <c r="CF44" i="28"/>
  <c r="CF44" i="27"/>
  <c r="CF44" i="26"/>
  <c r="CF39" i="23"/>
  <c r="CF44" i="22"/>
  <c r="CF39" i="16"/>
  <c r="BY48" i="30"/>
  <c r="BY42" i="29"/>
  <c r="BY42" i="28"/>
  <c r="BY42" i="27"/>
  <c r="BY42" i="26"/>
  <c r="BY37" i="23"/>
  <c r="BY42" i="22"/>
  <c r="BY37" i="16"/>
  <c r="CG51" i="30"/>
  <c r="CG45" i="29"/>
  <c r="CG45" i="28"/>
  <c r="CG45" i="27"/>
  <c r="CG45" i="26"/>
  <c r="CG40" i="23"/>
  <c r="CG45" i="22"/>
  <c r="CG40" i="16"/>
  <c r="BY50" i="30"/>
  <c r="BY44" i="29"/>
  <c r="BY44" i="28"/>
  <c r="BY44" i="27"/>
  <c r="BY44" i="26"/>
  <c r="BY39" i="23"/>
  <c r="BY44" i="22"/>
  <c r="BY39" i="16"/>
  <c r="CE50" i="30"/>
  <c r="CE44" i="29"/>
  <c r="CE44" i="28"/>
  <c r="CE44" i="27"/>
  <c r="CE44" i="26"/>
  <c r="CE39" i="23"/>
  <c r="CE44" i="22"/>
  <c r="CE39" i="16"/>
  <c r="BY53" i="30"/>
  <c r="BY47" i="29"/>
  <c r="BY47" i="28"/>
  <c r="BY47" i="27"/>
  <c r="BY47" i="26"/>
  <c r="BY42" i="23"/>
  <c r="BY47" i="22"/>
  <c r="BY42" i="16"/>
  <c r="BZ53" i="30"/>
  <c r="BZ47" i="29"/>
  <c r="BZ47" i="28"/>
  <c r="BZ47" i="27"/>
  <c r="BZ47" i="26"/>
  <c r="BZ42" i="23"/>
  <c r="BZ47" i="22"/>
  <c r="BZ42" i="16"/>
  <c r="CF45" i="30"/>
  <c r="CF39" i="29"/>
  <c r="CF39" i="28"/>
  <c r="CF39" i="27"/>
  <c r="CF39" i="26"/>
  <c r="CF34" i="23"/>
  <c r="CF39" i="22"/>
  <c r="CF34" i="16"/>
  <c r="CC53" i="30"/>
  <c r="CC47" i="29"/>
  <c r="CC47" i="28"/>
  <c r="CC47" i="27"/>
  <c r="CC47" i="26"/>
  <c r="CC42" i="23"/>
  <c r="CC47" i="22"/>
  <c r="CC42" i="16"/>
  <c r="CG54" i="30"/>
  <c r="CG48" i="29"/>
  <c r="CG48" i="28"/>
  <c r="CG48" i="27"/>
  <c r="CG48" i="26"/>
  <c r="CG43" i="23"/>
  <c r="CG48" i="22"/>
  <c r="CG43" i="16"/>
  <c r="CG53" i="30"/>
  <c r="CG47" i="29"/>
  <c r="CG47" i="28"/>
  <c r="CG47" i="27"/>
  <c r="CG47" i="26"/>
  <c r="CG42" i="23"/>
  <c r="CG47" i="22"/>
  <c r="CG42" i="16"/>
  <c r="CH83" i="30"/>
  <c r="CI83" i="30" s="1"/>
  <c r="CH93" i="30"/>
  <c r="CH92" i="30"/>
  <c r="BT92" i="30"/>
  <c r="BF92" i="30"/>
  <c r="CO88" i="30"/>
  <c r="CO95" i="30" s="1"/>
  <c r="CP87" i="30"/>
  <c r="BT93" i="30"/>
  <c r="BF87" i="30"/>
  <c r="BG80" i="30"/>
  <c r="BF93" i="30"/>
  <c r="AR92" i="30"/>
  <c r="DJ71" i="30"/>
  <c r="DK71" i="30" s="1"/>
  <c r="DJ33" i="30"/>
  <c r="BH73" i="30"/>
  <c r="BT72" i="30"/>
  <c r="BT73" i="30" s="1"/>
  <c r="AT73" i="30"/>
  <c r="BF73" i="30" s="1"/>
  <c r="BF72" i="30"/>
  <c r="BF62" i="30"/>
  <c r="BA34" i="30"/>
  <c r="BF34" i="30" s="1"/>
  <c r="AZ31" i="30"/>
  <c r="BF71" i="30"/>
  <c r="BV34" i="30"/>
  <c r="AH71" i="30"/>
  <c r="AR71" i="30" s="1"/>
  <c r="AH33" i="30"/>
  <c r="S93" i="30"/>
  <c r="AD33" i="30"/>
  <c r="AD93" i="30" s="1"/>
  <c r="CJ39" i="30"/>
  <c r="CR37" i="30"/>
  <c r="CS36" i="30"/>
  <c r="CS37" i="30" s="1"/>
  <c r="CS33" i="30" s="1"/>
  <c r="CQ63" i="30"/>
  <c r="CQ38" i="30"/>
  <c r="CQ33" i="30"/>
  <c r="CQ93" i="30" s="1"/>
  <c r="CL37" i="30"/>
  <c r="CM36" i="30"/>
  <c r="CK63" i="30"/>
  <c r="CK38" i="30"/>
  <c r="CK33" i="30"/>
  <c r="BT69" i="30"/>
  <c r="CK10" i="30"/>
  <c r="AQ65" i="30"/>
  <c r="AR31" i="30"/>
  <c r="DB93" i="30"/>
  <c r="DA93" i="30"/>
  <c r="CZ93" i="30"/>
  <c r="CY93" i="30"/>
  <c r="CO97" i="30"/>
  <c r="CO92" i="30"/>
  <c r="CN92" i="30"/>
  <c r="CK93" i="30"/>
  <c r="CJ93" i="30"/>
  <c r="CJ92" i="30"/>
  <c r="CV80" i="30"/>
  <c r="CG93" i="30"/>
  <c r="CG86" i="30"/>
  <c r="CF93" i="30"/>
  <c r="CF92" i="30"/>
  <c r="CF86" i="30"/>
  <c r="CE92" i="30"/>
  <c r="CE86" i="30"/>
  <c r="CD86" i="30"/>
  <c r="CH86" i="30" s="1"/>
  <c r="CC86" i="30"/>
  <c r="CB93" i="30"/>
  <c r="CB86" i="30"/>
  <c r="CA93" i="30"/>
  <c r="CA94" i="30" s="1"/>
  <c r="CB94" i="30" s="1"/>
  <c r="CA92" i="30"/>
  <c r="CA86" i="30"/>
  <c r="BZ93" i="30"/>
  <c r="BZ92" i="30"/>
  <c r="BZ86" i="30"/>
  <c r="BY93" i="30"/>
  <c r="BY92" i="30"/>
  <c r="BY86" i="30"/>
  <c r="CL32" i="22"/>
  <c r="CL70" i="22" s="1"/>
  <c r="CL27" i="22"/>
  <c r="CL33" i="22"/>
  <c r="CL57" i="22"/>
  <c r="CJ70" i="22"/>
  <c r="CX27" i="22"/>
  <c r="DJ27" i="22" s="1"/>
  <c r="DJ65" i="22"/>
  <c r="DK65" i="22" s="1"/>
  <c r="CY73" i="22"/>
  <c r="CO86" i="22"/>
  <c r="CR86" i="22"/>
  <c r="CH82" i="29"/>
  <c r="CH81" i="29"/>
  <c r="CW72" i="29"/>
  <c r="BT81" i="29"/>
  <c r="BF81" i="29"/>
  <c r="CO77" i="29"/>
  <c r="CO84" i="29" s="1"/>
  <c r="CP76" i="29"/>
  <c r="CS85" i="29"/>
  <c r="CT73" i="29"/>
  <c r="CS71" i="29"/>
  <c r="CI72" i="29"/>
  <c r="BT82" i="29"/>
  <c r="BF76" i="29"/>
  <c r="BG71" i="29"/>
  <c r="BF82" i="29"/>
  <c r="AR81" i="29"/>
  <c r="BH67" i="29"/>
  <c r="BT66" i="29"/>
  <c r="BT67" i="29" s="1"/>
  <c r="AT67" i="29"/>
  <c r="BF67" i="29" s="1"/>
  <c r="BF66" i="29"/>
  <c r="BF56" i="29"/>
  <c r="BA28" i="29"/>
  <c r="BF28" i="29" s="1"/>
  <c r="AZ26" i="29"/>
  <c r="BF65" i="29"/>
  <c r="BV28" i="29"/>
  <c r="AH65" i="29"/>
  <c r="AR65" i="29" s="1"/>
  <c r="AH27" i="29"/>
  <c r="S82" i="29"/>
  <c r="AD27" i="29"/>
  <c r="AD82" i="29" s="1"/>
  <c r="CW31" i="29"/>
  <c r="CV29" i="29"/>
  <c r="CV57" i="29"/>
  <c r="BT63" i="29"/>
  <c r="DJ70" i="29"/>
  <c r="CV70" i="29"/>
  <c r="CS10" i="29"/>
  <c r="AQ59" i="29"/>
  <c r="AR26" i="29"/>
  <c r="CO86" i="29"/>
  <c r="CO82" i="29"/>
  <c r="CO81" i="29"/>
  <c r="CO72" i="29"/>
  <c r="CN82" i="29"/>
  <c r="CN81" i="29"/>
  <c r="CN72" i="29"/>
  <c r="CN15" i="29"/>
  <c r="CM82" i="29"/>
  <c r="CM72" i="29"/>
  <c r="CK82" i="29"/>
  <c r="CK72" i="29"/>
  <c r="CJ82" i="29"/>
  <c r="CJ72" i="29"/>
  <c r="CG82" i="29"/>
  <c r="CG75" i="29"/>
  <c r="CF82" i="29"/>
  <c r="CF81" i="29"/>
  <c r="CF75" i="29"/>
  <c r="CE81" i="29"/>
  <c r="CE75" i="29"/>
  <c r="CD75" i="29"/>
  <c r="CH75" i="29" s="1"/>
  <c r="CC75" i="29"/>
  <c r="CB82" i="29"/>
  <c r="CB75" i="29"/>
  <c r="CA82" i="29"/>
  <c r="CA83" i="29" s="1"/>
  <c r="CB83" i="29" s="1"/>
  <c r="CA81" i="29"/>
  <c r="CA75" i="29"/>
  <c r="BZ82" i="29"/>
  <c r="BZ81" i="29"/>
  <c r="BZ75" i="29"/>
  <c r="BY82" i="29"/>
  <c r="BY81" i="29"/>
  <c r="BY75" i="29"/>
  <c r="CH82" i="28"/>
  <c r="CH81" i="28"/>
  <c r="CW72" i="28"/>
  <c r="BT81" i="28"/>
  <c r="BF81" i="28"/>
  <c r="CO77" i="28"/>
  <c r="CP76" i="28"/>
  <c r="CI72" i="28"/>
  <c r="BT82" i="28"/>
  <c r="BF76" i="28"/>
  <c r="BG71" i="28"/>
  <c r="BF82" i="28"/>
  <c r="AR81" i="28"/>
  <c r="BH67" i="28"/>
  <c r="BT66" i="28"/>
  <c r="BT67" i="28" s="1"/>
  <c r="AT67" i="28"/>
  <c r="BF67" i="28" s="1"/>
  <c r="BF66" i="28"/>
  <c r="BF56" i="28"/>
  <c r="BA28" i="28"/>
  <c r="BF28" i="28" s="1"/>
  <c r="AZ26" i="28"/>
  <c r="BF65" i="28"/>
  <c r="BV28" i="28"/>
  <c r="AH65" i="28"/>
  <c r="AR65" i="28" s="1"/>
  <c r="AH27" i="28"/>
  <c r="S82" i="28"/>
  <c r="AD27" i="28"/>
  <c r="AD82" i="28" s="1"/>
  <c r="CW31" i="28"/>
  <c r="CV29" i="28"/>
  <c r="CV57" i="28"/>
  <c r="BT63" i="28"/>
  <c r="DI70" i="28"/>
  <c r="DI82" i="28"/>
  <c r="DH70" i="28"/>
  <c r="DH82" i="28"/>
  <c r="DG70" i="28"/>
  <c r="DG82" i="28"/>
  <c r="DF70" i="28"/>
  <c r="DF82" i="28"/>
  <c r="DE70" i="28"/>
  <c r="DE82" i="28"/>
  <c r="DD70" i="28"/>
  <c r="DD82" i="28"/>
  <c r="DJ70" i="28"/>
  <c r="CV70" i="28"/>
  <c r="AQ59" i="28"/>
  <c r="AR26" i="28"/>
  <c r="DC82" i="28"/>
  <c r="DC81" i="28"/>
  <c r="DC72" i="28"/>
  <c r="DB82" i="28"/>
  <c r="DB81" i="28"/>
  <c r="DB72" i="28"/>
  <c r="DA82" i="28"/>
  <c r="DA81" i="28"/>
  <c r="DA72" i="28"/>
  <c r="CZ82" i="28"/>
  <c r="CZ81" i="28"/>
  <c r="CZ72" i="28"/>
  <c r="CY82" i="28"/>
  <c r="CY81" i="28"/>
  <c r="CY72" i="28"/>
  <c r="CX82" i="28"/>
  <c r="CX81" i="28"/>
  <c r="CX72" i="28"/>
  <c r="DJ71" i="28"/>
  <c r="CX10" i="28"/>
  <c r="CY10" i="28" s="1"/>
  <c r="CZ10" i="28" s="1"/>
  <c r="DA10" i="28" s="1"/>
  <c r="DB10" i="28" s="1"/>
  <c r="DC10" i="28" s="1"/>
  <c r="DD10" i="28" s="1"/>
  <c r="DE10" i="28" s="1"/>
  <c r="DF10" i="28" s="1"/>
  <c r="DG10" i="28" s="1"/>
  <c r="DH10" i="28" s="1"/>
  <c r="DI10" i="28" s="1"/>
  <c r="CO82" i="28"/>
  <c r="CO81" i="28"/>
  <c r="CO72" i="28"/>
  <c r="CN82" i="28"/>
  <c r="CN81" i="28"/>
  <c r="CN72" i="28"/>
  <c r="CN15" i="28"/>
  <c r="CM82" i="28"/>
  <c r="CM81" i="28"/>
  <c r="CM72" i="28"/>
  <c r="CK82" i="28"/>
  <c r="CK81" i="28"/>
  <c r="CK72" i="28"/>
  <c r="CJ82" i="28"/>
  <c r="CJ81" i="28"/>
  <c r="CJ72" i="28"/>
  <c r="CV71" i="28"/>
  <c r="CG82" i="28"/>
  <c r="CG75" i="28"/>
  <c r="CF82" i="28"/>
  <c r="CF81" i="28"/>
  <c r="CF75" i="28"/>
  <c r="CE81" i="28"/>
  <c r="CE75" i="28"/>
  <c r="CD75" i="28"/>
  <c r="CH75" i="28" s="1"/>
  <c r="CC75" i="28"/>
  <c r="CB82" i="28"/>
  <c r="CB75" i="28"/>
  <c r="CA82" i="28"/>
  <c r="CA83" i="28" s="1"/>
  <c r="CB83" i="28" s="1"/>
  <c r="CA81" i="28"/>
  <c r="CA75" i="28"/>
  <c r="BZ82" i="28"/>
  <c r="BZ81" i="28"/>
  <c r="BZ75" i="28"/>
  <c r="BY82" i="28"/>
  <c r="BY81" i="28"/>
  <c r="BY75" i="28"/>
  <c r="CH82" i="27"/>
  <c r="CH81" i="27"/>
  <c r="CW72" i="27"/>
  <c r="BT81" i="27"/>
  <c r="BF81" i="27"/>
  <c r="CO77" i="27"/>
  <c r="CP76" i="27"/>
  <c r="CI72" i="27"/>
  <c r="BT82" i="27"/>
  <c r="BF76" i="27"/>
  <c r="BG71" i="27"/>
  <c r="BF82" i="27"/>
  <c r="AR81" i="27"/>
  <c r="BH67" i="27"/>
  <c r="BT66" i="27"/>
  <c r="BT67" i="27" s="1"/>
  <c r="AT67" i="27"/>
  <c r="BF67" i="27" s="1"/>
  <c r="BF66" i="27"/>
  <c r="BF56" i="27"/>
  <c r="BA28" i="27"/>
  <c r="BF28" i="27" s="1"/>
  <c r="AZ26" i="27"/>
  <c r="BF65" i="27"/>
  <c r="BV28" i="27"/>
  <c r="AH65" i="27"/>
  <c r="AR65" i="27" s="1"/>
  <c r="AH27" i="27"/>
  <c r="S82" i="27"/>
  <c r="AD27" i="27"/>
  <c r="AD82" i="27" s="1"/>
  <c r="CW31" i="27"/>
  <c r="CV29" i="27"/>
  <c r="CV57" i="27"/>
  <c r="BT63" i="27"/>
  <c r="DI70" i="27"/>
  <c r="DI82" i="27"/>
  <c r="DH70" i="27"/>
  <c r="DH82" i="27"/>
  <c r="DG70" i="27"/>
  <c r="DG82" i="27"/>
  <c r="DF70" i="27"/>
  <c r="DF82" i="27"/>
  <c r="DE70" i="27"/>
  <c r="DE82" i="27"/>
  <c r="DD70" i="27"/>
  <c r="DD82" i="27"/>
  <c r="DJ70" i="27"/>
  <c r="CV70" i="27"/>
  <c r="AQ59" i="27"/>
  <c r="AR26" i="27"/>
  <c r="DC82" i="27"/>
  <c r="DC81" i="27"/>
  <c r="DC72" i="27"/>
  <c r="DB82" i="27"/>
  <c r="DB81" i="27"/>
  <c r="DB72" i="27"/>
  <c r="DA82" i="27"/>
  <c r="DA81" i="27"/>
  <c r="DA72" i="27"/>
  <c r="CZ82" i="27"/>
  <c r="CZ81" i="27"/>
  <c r="CZ72" i="27"/>
  <c r="CY82" i="27"/>
  <c r="CY81" i="27"/>
  <c r="CY72" i="27"/>
  <c r="CX82" i="27"/>
  <c r="CX81" i="27"/>
  <c r="CX72" i="27"/>
  <c r="DJ71" i="27"/>
  <c r="CX10" i="27"/>
  <c r="CY10" i="27" s="1"/>
  <c r="CZ10" i="27" s="1"/>
  <c r="DA10" i="27" s="1"/>
  <c r="DB10" i="27" s="1"/>
  <c r="DC10" i="27" s="1"/>
  <c r="DD10" i="27" s="1"/>
  <c r="DE10" i="27" s="1"/>
  <c r="DF10" i="27" s="1"/>
  <c r="DG10" i="27" s="1"/>
  <c r="DH10" i="27" s="1"/>
  <c r="DI10" i="27" s="1"/>
  <c r="CO82" i="27"/>
  <c r="CO81" i="27"/>
  <c r="CO72" i="27"/>
  <c r="CN82" i="27"/>
  <c r="CN81" i="27"/>
  <c r="CN72" i="27"/>
  <c r="CM82" i="27"/>
  <c r="CM81" i="27"/>
  <c r="CM72" i="27"/>
  <c r="CM15" i="27"/>
  <c r="CK82" i="27"/>
  <c r="CK81" i="27"/>
  <c r="CK72" i="27"/>
  <c r="CJ82" i="27"/>
  <c r="CJ81" i="27"/>
  <c r="CJ72" i="27"/>
  <c r="CV71" i="27"/>
  <c r="CG82" i="27"/>
  <c r="CG75" i="27"/>
  <c r="CF82" i="27"/>
  <c r="CF81" i="27"/>
  <c r="CF75" i="27"/>
  <c r="CE81" i="27"/>
  <c r="CE75" i="27"/>
  <c r="CD75" i="27"/>
  <c r="CH75" i="27" s="1"/>
  <c r="CC75" i="27"/>
  <c r="CB82" i="27"/>
  <c r="CB75" i="27"/>
  <c r="CA82" i="27"/>
  <c r="CA83" i="27" s="1"/>
  <c r="CB83" i="27" s="1"/>
  <c r="CA81" i="27"/>
  <c r="CA75" i="27"/>
  <c r="BZ82" i="27"/>
  <c r="BZ81" i="27"/>
  <c r="BZ75" i="27"/>
  <c r="BY82" i="27"/>
  <c r="BY81" i="27"/>
  <c r="BY75" i="27"/>
  <c r="CH82" i="26"/>
  <c r="CH81" i="26"/>
  <c r="CW72" i="26"/>
  <c r="BT81" i="26"/>
  <c r="BF81" i="26"/>
  <c r="CO77" i="26"/>
  <c r="CP76" i="26"/>
  <c r="CI72" i="26"/>
  <c r="BT82" i="26"/>
  <c r="BF76" i="26"/>
  <c r="BG71" i="26"/>
  <c r="BF82" i="26"/>
  <c r="AR81" i="26"/>
  <c r="BH67" i="26"/>
  <c r="BT66" i="26"/>
  <c r="BT67" i="26" s="1"/>
  <c r="AT67" i="26"/>
  <c r="BF67" i="26" s="1"/>
  <c r="BF66" i="26"/>
  <c r="BF56" i="26"/>
  <c r="BA28" i="26"/>
  <c r="BF28" i="26" s="1"/>
  <c r="AZ26" i="26"/>
  <c r="BF65" i="26"/>
  <c r="BV28" i="26"/>
  <c r="AH65" i="26"/>
  <c r="AR65" i="26" s="1"/>
  <c r="AH27" i="26"/>
  <c r="S82" i="26"/>
  <c r="AD27" i="26"/>
  <c r="AD82" i="26" s="1"/>
  <c r="CW31" i="26"/>
  <c r="CV29" i="26"/>
  <c r="CV57" i="26"/>
  <c r="BT63" i="26"/>
  <c r="DI70" i="26"/>
  <c r="DI82" i="26"/>
  <c r="DH70" i="26"/>
  <c r="DH82" i="26"/>
  <c r="DG70" i="26"/>
  <c r="DG82" i="26"/>
  <c r="DF70" i="26"/>
  <c r="DF82" i="26"/>
  <c r="DE70" i="26"/>
  <c r="DE82" i="26"/>
  <c r="DD70" i="26"/>
  <c r="DD82" i="26"/>
  <c r="DJ70" i="26"/>
  <c r="CV70" i="26"/>
  <c r="AQ59" i="26"/>
  <c r="AR26" i="26"/>
  <c r="DC82" i="26"/>
  <c r="DC81" i="26"/>
  <c r="DC72" i="26"/>
  <c r="DB82" i="26"/>
  <c r="DB81" i="26"/>
  <c r="DB72" i="26"/>
  <c r="DA82" i="26"/>
  <c r="DA81" i="26"/>
  <c r="DA72" i="26"/>
  <c r="CZ82" i="26"/>
  <c r="CZ81" i="26"/>
  <c r="CZ72" i="26"/>
  <c r="CY82" i="26"/>
  <c r="CY81" i="26"/>
  <c r="CY72" i="26"/>
  <c r="CX82" i="26"/>
  <c r="CX81" i="26"/>
  <c r="CX72" i="26"/>
  <c r="DJ71" i="26"/>
  <c r="CX10" i="26"/>
  <c r="CY10" i="26" s="1"/>
  <c r="CZ10" i="26" s="1"/>
  <c r="DA10" i="26" s="1"/>
  <c r="DB10" i="26" s="1"/>
  <c r="DC10" i="26" s="1"/>
  <c r="DD10" i="26" s="1"/>
  <c r="DE10" i="26" s="1"/>
  <c r="DF10" i="26" s="1"/>
  <c r="DG10" i="26" s="1"/>
  <c r="DH10" i="26" s="1"/>
  <c r="DI10" i="26" s="1"/>
  <c r="CO82" i="26"/>
  <c r="CO81" i="26"/>
  <c r="CO72" i="26"/>
  <c r="CN82" i="26"/>
  <c r="CN81" i="26"/>
  <c r="CN72" i="26"/>
  <c r="CM82" i="26"/>
  <c r="CM81" i="26"/>
  <c r="CM72" i="26"/>
  <c r="CM15" i="26"/>
  <c r="CK82" i="26"/>
  <c r="CK81" i="26"/>
  <c r="CK72" i="26"/>
  <c r="CJ82" i="26"/>
  <c r="CJ81" i="26"/>
  <c r="CJ72" i="26"/>
  <c r="CV71" i="26"/>
  <c r="CG82" i="26"/>
  <c r="CG75" i="26"/>
  <c r="CF82" i="26"/>
  <c r="CF81" i="26"/>
  <c r="CF75" i="26"/>
  <c r="CE81" i="26"/>
  <c r="CE75" i="26"/>
  <c r="CD75" i="26"/>
  <c r="CH75" i="26" s="1"/>
  <c r="CC75" i="26"/>
  <c r="CB82" i="26"/>
  <c r="CB75" i="26"/>
  <c r="CA82" i="26"/>
  <c r="CA83" i="26" s="1"/>
  <c r="CB83" i="26" s="1"/>
  <c r="CA81" i="26"/>
  <c r="CA75" i="26"/>
  <c r="BZ82" i="26"/>
  <c r="BZ81" i="26"/>
  <c r="BZ75" i="26"/>
  <c r="BY82" i="26"/>
  <c r="BY81" i="26"/>
  <c r="BY75" i="26"/>
  <c r="CW72" i="22"/>
  <c r="CH81" i="22"/>
  <c r="CH82" i="22"/>
  <c r="CM30" i="22"/>
  <c r="CM31" i="22" s="1"/>
  <c r="CO72" i="22"/>
  <c r="CO81" i="22"/>
  <c r="CN72" i="22"/>
  <c r="CN81" i="22"/>
  <c r="CM81" i="22"/>
  <c r="CL72" i="22"/>
  <c r="CL81" i="22"/>
  <c r="CL82" i="22"/>
  <c r="CK72" i="22"/>
  <c r="CK82" i="22"/>
  <c r="CJ72" i="22"/>
  <c r="CJ82" i="22"/>
  <c r="CJ81" i="22"/>
  <c r="CU81" i="22"/>
  <c r="CX82" i="22"/>
  <c r="CX81" i="22"/>
  <c r="CX72" i="22"/>
  <c r="BT75" i="23"/>
  <c r="BF75" i="23"/>
  <c r="CI67" i="23"/>
  <c r="BT76" i="23"/>
  <c r="BF71" i="23"/>
  <c r="BG66" i="23"/>
  <c r="BF76" i="23"/>
  <c r="AR75" i="23"/>
  <c r="BH62" i="23"/>
  <c r="BT61" i="23"/>
  <c r="BT62" i="23" s="1"/>
  <c r="AT62" i="23"/>
  <c r="BF62" i="23" s="1"/>
  <c r="BF61" i="23"/>
  <c r="BF51" i="23"/>
  <c r="BA24" i="23"/>
  <c r="BF24" i="23" s="1"/>
  <c r="AZ22" i="23"/>
  <c r="BF60" i="23"/>
  <c r="AH60" i="23"/>
  <c r="AR60" i="23" s="1"/>
  <c r="AH23" i="23"/>
  <c r="S76" i="23"/>
  <c r="AD23" i="23"/>
  <c r="AD76" i="23" s="1"/>
  <c r="BT58" i="23"/>
  <c r="CA21" i="23"/>
  <c r="CA18" i="23"/>
  <c r="CB10" i="23"/>
  <c r="BW21" i="23"/>
  <c r="BW18" i="23"/>
  <c r="AQ54" i="23"/>
  <c r="AR22" i="23"/>
  <c r="CJ67" i="23"/>
  <c r="CV66" i="23"/>
  <c r="CG76" i="23"/>
  <c r="CG70" i="23"/>
  <c r="CF76" i="23"/>
  <c r="CF70" i="23"/>
  <c r="CE70" i="23"/>
  <c r="CD70" i="23"/>
  <c r="CH70" i="23" s="1"/>
  <c r="CC70" i="23"/>
  <c r="CB76" i="23"/>
  <c r="CB70" i="23"/>
  <c r="CA76" i="23"/>
  <c r="CA77" i="23" s="1"/>
  <c r="CB77" i="23" s="1"/>
  <c r="CA75" i="23"/>
  <c r="CA70" i="23"/>
  <c r="BZ76" i="23"/>
  <c r="BZ75" i="23"/>
  <c r="BZ70" i="23"/>
  <c r="BY76" i="23"/>
  <c r="BY75" i="23"/>
  <c r="BY70" i="23"/>
  <c r="CM72" i="22"/>
  <c r="CV71" i="22"/>
  <c r="BT81" i="22"/>
  <c r="BF81" i="22"/>
  <c r="CI72" i="22"/>
  <c r="BT82" i="22"/>
  <c r="BF76" i="22"/>
  <c r="BG71" i="22"/>
  <c r="BF82" i="22"/>
  <c r="AR81" i="22"/>
  <c r="BH67" i="22"/>
  <c r="BT66" i="22"/>
  <c r="BT67" i="22" s="1"/>
  <c r="AT67" i="22"/>
  <c r="BF67" i="22" s="1"/>
  <c r="BF66" i="22"/>
  <c r="BF56" i="22"/>
  <c r="BA28" i="22"/>
  <c r="BF28" i="22" s="1"/>
  <c r="AZ26" i="22"/>
  <c r="BF65" i="22"/>
  <c r="AH65" i="22"/>
  <c r="AR65" i="22" s="1"/>
  <c r="AH27" i="22"/>
  <c r="S82" i="22"/>
  <c r="AD27" i="22"/>
  <c r="AD82" i="22" s="1"/>
  <c r="BT63" i="22"/>
  <c r="CA25" i="22"/>
  <c r="BW25" i="22"/>
  <c r="AQ59" i="22"/>
  <c r="AR26" i="22"/>
  <c r="CG82" i="22"/>
  <c r="CG75" i="22"/>
  <c r="CF82" i="22"/>
  <c r="CF75" i="22"/>
  <c r="CE75" i="22"/>
  <c r="CD75" i="22"/>
  <c r="CH75" i="22" s="1"/>
  <c r="CC75" i="22"/>
  <c r="CB82" i="22"/>
  <c r="CB75" i="22"/>
  <c r="CA82" i="22"/>
  <c r="CA83" i="22" s="1"/>
  <c r="CB83" i="22" s="1"/>
  <c r="CA81" i="22"/>
  <c r="CA75" i="22"/>
  <c r="BZ82" i="22"/>
  <c r="BZ81" i="22"/>
  <c r="BZ75" i="22"/>
  <c r="BY82" i="22"/>
  <c r="BY81" i="22"/>
  <c r="BY75" i="22"/>
  <c r="CL68" i="16"/>
  <c r="CK66" i="16"/>
  <c r="CK67" i="16" s="1"/>
  <c r="CC70" i="16"/>
  <c r="CB76" i="16"/>
  <c r="CB70" i="16"/>
  <c r="BZ76" i="16"/>
  <c r="BZ70" i="16"/>
  <c r="CF76" i="16"/>
  <c r="CG76" i="16"/>
  <c r="CG70" i="16"/>
  <c r="CD70" i="16"/>
  <c r="CE70" i="16"/>
  <c r="CF70" i="16"/>
  <c r="CA18" i="16"/>
  <c r="CB10" i="16"/>
  <c r="CB18" i="16" s="1"/>
  <c r="CH70" i="16"/>
  <c r="BT75" i="16"/>
  <c r="BF75" i="16"/>
  <c r="CI67" i="16"/>
  <c r="BT76" i="16"/>
  <c r="BF71" i="16"/>
  <c r="BG66" i="16"/>
  <c r="BF76" i="16"/>
  <c r="AR75" i="16"/>
  <c r="BH62" i="16"/>
  <c r="BT61" i="16"/>
  <c r="BT62" i="16" s="1"/>
  <c r="AT62" i="16"/>
  <c r="BF62" i="16" s="1"/>
  <c r="BF61" i="16"/>
  <c r="BF51" i="16"/>
  <c r="BA24" i="16"/>
  <c r="BF24" i="16" s="1"/>
  <c r="AZ22" i="16"/>
  <c r="BF60" i="16"/>
  <c r="AH60" i="16"/>
  <c r="AR60" i="16" s="1"/>
  <c r="AH23" i="16"/>
  <c r="S76" i="16"/>
  <c r="AD23" i="16"/>
  <c r="AD76" i="16" s="1"/>
  <c r="BT58" i="16"/>
  <c r="CA21" i="16"/>
  <c r="BW21" i="16"/>
  <c r="BW18" i="16"/>
  <c r="AQ54" i="16"/>
  <c r="AR22" i="16"/>
  <c r="CA76" i="16"/>
  <c r="CA77" i="16" s="1"/>
  <c r="CB77" i="16" s="1"/>
  <c r="BY12" i="14"/>
  <c r="BY13" i="14" s="1"/>
  <c r="BG7" i="15"/>
  <c r="BI7" i="15"/>
  <c r="BA7" i="15"/>
  <c r="BC7" i="15"/>
  <c r="AO6" i="15"/>
  <c r="AO5" i="15"/>
  <c r="AO7" i="15"/>
  <c r="AI7" i="15"/>
  <c r="AK7" i="15"/>
  <c r="AC7" i="15"/>
  <c r="AE7" i="15"/>
  <c r="K7" i="15"/>
  <c r="W6" i="15"/>
  <c r="Y6" i="15" s="1"/>
  <c r="S6" i="15"/>
  <c r="BZ26" i="14"/>
  <c r="BZ26" i="13"/>
  <c r="BZ26" i="12"/>
  <c r="BZ26" i="11"/>
  <c r="BZ26" i="8"/>
  <c r="CD26" i="14"/>
  <c r="CD26" i="13"/>
  <c r="CD26" i="12"/>
  <c r="CD26" i="11"/>
  <c r="CD26" i="8"/>
  <c r="BZ33" i="14"/>
  <c r="BZ33" i="13"/>
  <c r="BZ33" i="12"/>
  <c r="BZ33" i="11"/>
  <c r="BZ33" i="8"/>
  <c r="CD33" i="14"/>
  <c r="CD33" i="13"/>
  <c r="CD33" i="12"/>
  <c r="CD33" i="11"/>
  <c r="CD33" i="8"/>
  <c r="BZ36" i="14"/>
  <c r="BZ36" i="13"/>
  <c r="BZ36" i="12"/>
  <c r="BZ36" i="11"/>
  <c r="BZ36" i="8"/>
  <c r="CD36" i="14"/>
  <c r="CD36" i="13"/>
  <c r="CD36" i="12"/>
  <c r="CD36" i="11"/>
  <c r="CD36" i="8"/>
  <c r="BZ23" i="14"/>
  <c r="BZ23" i="13"/>
  <c r="BZ23" i="12"/>
  <c r="BZ23" i="11"/>
  <c r="BZ23" i="8"/>
  <c r="CD23" i="14"/>
  <c r="CD23" i="13"/>
  <c r="CD23" i="12"/>
  <c r="CD23" i="11"/>
  <c r="CD23" i="8"/>
  <c r="CA26" i="14"/>
  <c r="CA26" i="13"/>
  <c r="CA26" i="12"/>
  <c r="CA26" i="11"/>
  <c r="CA26" i="8"/>
  <c r="CE26" i="14"/>
  <c r="CE26" i="13"/>
  <c r="CE26" i="12"/>
  <c r="CE26" i="11"/>
  <c r="CE26" i="8"/>
  <c r="BZ27" i="14"/>
  <c r="BZ27" i="13"/>
  <c r="BZ27" i="12"/>
  <c r="BZ27" i="11"/>
  <c r="BZ27" i="8"/>
  <c r="CD27" i="14"/>
  <c r="CD27" i="13"/>
  <c r="CD27" i="12"/>
  <c r="CD27" i="11"/>
  <c r="CD27" i="8"/>
  <c r="CA33" i="14"/>
  <c r="CA33" i="13"/>
  <c r="CA33" i="12"/>
  <c r="CA33" i="11"/>
  <c r="CA33" i="8"/>
  <c r="CE33" i="14"/>
  <c r="CE33" i="13"/>
  <c r="CE33" i="12"/>
  <c r="CE33" i="11"/>
  <c r="CE33" i="8"/>
  <c r="BZ34" i="14"/>
  <c r="BZ34" i="13"/>
  <c r="BZ34" i="12"/>
  <c r="BZ34" i="11"/>
  <c r="BZ34" i="8"/>
  <c r="CD34" i="14"/>
  <c r="CD34" i="13"/>
  <c r="CD34" i="12"/>
  <c r="CD34" i="11"/>
  <c r="CD34" i="8"/>
  <c r="CA36" i="14"/>
  <c r="CA36" i="13"/>
  <c r="CA36" i="12"/>
  <c r="CA36" i="11"/>
  <c r="CA36" i="8"/>
  <c r="CE36" i="14"/>
  <c r="CE36" i="13"/>
  <c r="CE36" i="12"/>
  <c r="CE36" i="11"/>
  <c r="CE36" i="8"/>
  <c r="BZ31" i="14"/>
  <c r="BZ31" i="13"/>
  <c r="BZ31" i="12"/>
  <c r="BZ31" i="11"/>
  <c r="BZ31" i="8"/>
  <c r="CD31" i="14"/>
  <c r="CD31" i="13"/>
  <c r="CD31" i="12"/>
  <c r="CD31" i="11"/>
  <c r="CD31" i="8"/>
  <c r="CF25" i="14"/>
  <c r="CF25" i="13"/>
  <c r="CF25" i="12"/>
  <c r="CF25" i="11"/>
  <c r="CF25" i="8"/>
  <c r="CB25" i="14"/>
  <c r="CB25" i="13"/>
  <c r="CB25" i="12"/>
  <c r="CB25" i="11"/>
  <c r="CB25" i="8"/>
  <c r="BX25" i="14"/>
  <c r="BX25" i="13"/>
  <c r="BX25" i="12"/>
  <c r="BX25" i="11"/>
  <c r="BX25" i="8"/>
  <c r="CE25" i="14"/>
  <c r="CE25" i="13"/>
  <c r="CE25" i="12"/>
  <c r="CE25" i="11"/>
  <c r="CE25" i="8"/>
  <c r="CA25" i="14"/>
  <c r="CA25" i="13"/>
  <c r="CA25" i="12"/>
  <c r="CA25" i="11"/>
  <c r="CA25" i="8"/>
  <c r="CD25" i="14"/>
  <c r="CD25" i="13"/>
  <c r="CD25" i="12"/>
  <c r="CD25" i="11"/>
  <c r="CD25" i="8"/>
  <c r="BZ25" i="14"/>
  <c r="BZ25" i="13"/>
  <c r="BZ25" i="12"/>
  <c r="BZ25" i="11"/>
  <c r="BZ25" i="8"/>
  <c r="CF29" i="14"/>
  <c r="CF29" i="13"/>
  <c r="CF29" i="12"/>
  <c r="CF29" i="11"/>
  <c r="CF29" i="8"/>
  <c r="CB29" i="14"/>
  <c r="CB29" i="13"/>
  <c r="CB29" i="12"/>
  <c r="CB29" i="11"/>
  <c r="CB29" i="8"/>
  <c r="BX29" i="14"/>
  <c r="BX29" i="13"/>
  <c r="BX29" i="12"/>
  <c r="BX29" i="11"/>
  <c r="BX29" i="8"/>
  <c r="CE29" i="14"/>
  <c r="CE29" i="13"/>
  <c r="CE29" i="12"/>
  <c r="CE29" i="11"/>
  <c r="CE29" i="8"/>
  <c r="CA29" i="14"/>
  <c r="CA29" i="13"/>
  <c r="CA29" i="12"/>
  <c r="CA29" i="11"/>
  <c r="CA29" i="8"/>
  <c r="CD29" i="14"/>
  <c r="CD29" i="13"/>
  <c r="CD29" i="12"/>
  <c r="CD29" i="11"/>
  <c r="CD29" i="8"/>
  <c r="BZ29" i="14"/>
  <c r="BZ29" i="13"/>
  <c r="BZ29" i="12"/>
  <c r="BZ29" i="11"/>
  <c r="BZ29" i="8"/>
  <c r="CG30" i="14"/>
  <c r="CG30" i="13"/>
  <c r="CG30" i="12"/>
  <c r="CG30" i="11"/>
  <c r="CG30" i="8"/>
  <c r="CC25" i="14"/>
  <c r="CC25" i="13"/>
  <c r="CC25" i="12"/>
  <c r="CC25" i="11"/>
  <c r="CC25" i="8"/>
  <c r="CF30" i="14"/>
  <c r="CF30" i="13"/>
  <c r="CF30" i="12"/>
  <c r="CF30" i="11"/>
  <c r="CF30" i="8"/>
  <c r="CB30" i="14"/>
  <c r="CB30" i="13"/>
  <c r="CB30" i="12"/>
  <c r="CB30" i="11"/>
  <c r="CB30" i="8"/>
  <c r="BX30" i="14"/>
  <c r="BX30" i="13"/>
  <c r="BX30" i="12"/>
  <c r="BX30" i="11"/>
  <c r="BX30" i="8"/>
  <c r="CE30" i="14"/>
  <c r="CE30" i="13"/>
  <c r="CE30" i="12"/>
  <c r="CE30" i="11"/>
  <c r="CE30" i="8"/>
  <c r="CA30" i="14"/>
  <c r="CA30" i="13"/>
  <c r="CA30" i="12"/>
  <c r="CA30" i="11"/>
  <c r="CA30" i="8"/>
  <c r="CD30" i="14"/>
  <c r="CD30" i="13"/>
  <c r="CD30" i="12"/>
  <c r="CD30" i="11"/>
  <c r="CD30" i="8"/>
  <c r="BZ30" i="14"/>
  <c r="BZ30" i="13"/>
  <c r="BZ30" i="12"/>
  <c r="BZ30" i="11"/>
  <c r="BZ30" i="8"/>
  <c r="CC29" i="14"/>
  <c r="CC29" i="13"/>
  <c r="CC29" i="12"/>
  <c r="CC29" i="11"/>
  <c r="CC29" i="8"/>
  <c r="CB23" i="14"/>
  <c r="CB23" i="13"/>
  <c r="CB23" i="12"/>
  <c r="CB23" i="11"/>
  <c r="CB23" i="8"/>
  <c r="CG23" i="14"/>
  <c r="CG23" i="13"/>
  <c r="CG23" i="12"/>
  <c r="CG23" i="11"/>
  <c r="CG23" i="8"/>
  <c r="CB27" i="14"/>
  <c r="CB27" i="13"/>
  <c r="CB27" i="12"/>
  <c r="CB27" i="11"/>
  <c r="CB27" i="8"/>
  <c r="CG27" i="14"/>
  <c r="CG27" i="13"/>
  <c r="CG27" i="12"/>
  <c r="CG27" i="11"/>
  <c r="CG27" i="8"/>
  <c r="CG29" i="14"/>
  <c r="CG29" i="13"/>
  <c r="CG29" i="12"/>
  <c r="CG29" i="11"/>
  <c r="CG29" i="8"/>
  <c r="CB36" i="14"/>
  <c r="CB36" i="13"/>
  <c r="CB36" i="12"/>
  <c r="CB36" i="11"/>
  <c r="CB36" i="8"/>
  <c r="BX23" i="14"/>
  <c r="BX23" i="13"/>
  <c r="BX23" i="12"/>
  <c r="BX23" i="11"/>
  <c r="BX23" i="8"/>
  <c r="CC23" i="14"/>
  <c r="CC23" i="13"/>
  <c r="CC23" i="12"/>
  <c r="CC23" i="11"/>
  <c r="CC23" i="8"/>
  <c r="BX26" i="14"/>
  <c r="BX26" i="13"/>
  <c r="BX26" i="12"/>
  <c r="BX26" i="11"/>
  <c r="BX26" i="8"/>
  <c r="CF26" i="14"/>
  <c r="CF26" i="13"/>
  <c r="CF26" i="12"/>
  <c r="CF26" i="11"/>
  <c r="CF26" i="8"/>
  <c r="BX27" i="14"/>
  <c r="BX27" i="13"/>
  <c r="BX27" i="12"/>
  <c r="BX27" i="11"/>
  <c r="BX27" i="8"/>
  <c r="CC27" i="14"/>
  <c r="CC27" i="13"/>
  <c r="CC27" i="12"/>
  <c r="CC27" i="11"/>
  <c r="CC27" i="8"/>
  <c r="CG22" i="14"/>
  <c r="CG22" i="13"/>
  <c r="CG22" i="12"/>
  <c r="CG22" i="11"/>
  <c r="CG22" i="8"/>
  <c r="BY23" i="14"/>
  <c r="BY23" i="13"/>
  <c r="BY23" i="12"/>
  <c r="BY23" i="11"/>
  <c r="BY23" i="8"/>
  <c r="CE23" i="14"/>
  <c r="CE23" i="13"/>
  <c r="CE23" i="12"/>
  <c r="CE23" i="11"/>
  <c r="CE23" i="8"/>
  <c r="BZ24" i="14"/>
  <c r="BZ24" i="13"/>
  <c r="BZ24" i="12"/>
  <c r="BZ24" i="11"/>
  <c r="BZ24" i="8"/>
  <c r="CD24" i="14"/>
  <c r="CD24" i="13"/>
  <c r="CD24" i="12"/>
  <c r="CD24" i="11"/>
  <c r="CD24" i="8"/>
  <c r="BY26" i="14"/>
  <c r="BY26" i="13"/>
  <c r="BY26" i="12"/>
  <c r="BY26" i="11"/>
  <c r="BY26" i="8"/>
  <c r="CG26" i="14"/>
  <c r="CG26" i="13"/>
  <c r="CG26" i="12"/>
  <c r="CG26" i="11"/>
  <c r="CG26" i="8"/>
  <c r="BY27" i="14"/>
  <c r="BY27" i="13"/>
  <c r="BY27" i="12"/>
  <c r="BY27" i="11"/>
  <c r="BY27" i="8"/>
  <c r="CE27" i="14"/>
  <c r="CE27" i="13"/>
  <c r="CE27" i="12"/>
  <c r="CE27" i="11"/>
  <c r="CE27" i="8"/>
  <c r="BZ28" i="14"/>
  <c r="BZ28" i="13"/>
  <c r="BZ28" i="12"/>
  <c r="BZ28" i="11"/>
  <c r="BZ28" i="8"/>
  <c r="CD28" i="14"/>
  <c r="CD28" i="13"/>
  <c r="CD28" i="12"/>
  <c r="CD28" i="11"/>
  <c r="CD28" i="8"/>
  <c r="BX33" i="14"/>
  <c r="BX33" i="13"/>
  <c r="BX33" i="12"/>
  <c r="BX33" i="11"/>
  <c r="BX33" i="8"/>
  <c r="CF33" i="14"/>
  <c r="CF33" i="13"/>
  <c r="CF33" i="12"/>
  <c r="CF33" i="11"/>
  <c r="CF33" i="8"/>
  <c r="BX34" i="14"/>
  <c r="BX34" i="13"/>
  <c r="BX34" i="12"/>
  <c r="BX34" i="11"/>
  <c r="BX34" i="8"/>
  <c r="CC34" i="14"/>
  <c r="CC34" i="13"/>
  <c r="CC34" i="12"/>
  <c r="CC34" i="11"/>
  <c r="CC34" i="8"/>
  <c r="BX36" i="14"/>
  <c r="BX36" i="13"/>
  <c r="BX36" i="12"/>
  <c r="BX36" i="11"/>
  <c r="BX36" i="8"/>
  <c r="CF36" i="14"/>
  <c r="CF36" i="13"/>
  <c r="CF36" i="12"/>
  <c r="CF36" i="11"/>
  <c r="CF36" i="8"/>
  <c r="BX31" i="14"/>
  <c r="BX31" i="13"/>
  <c r="BX31" i="12"/>
  <c r="BX31" i="11"/>
  <c r="BX31" i="8"/>
  <c r="CC31" i="14"/>
  <c r="CC31" i="13"/>
  <c r="CC31" i="12"/>
  <c r="CC31" i="11"/>
  <c r="CC31" i="8"/>
  <c r="CA23" i="14"/>
  <c r="CA23" i="13"/>
  <c r="CA23" i="12"/>
  <c r="CA23" i="11"/>
  <c r="CA23" i="8"/>
  <c r="BX24" i="14"/>
  <c r="BX24" i="13"/>
  <c r="BX24" i="12"/>
  <c r="BX24" i="11"/>
  <c r="BX24" i="8"/>
  <c r="CC24" i="14"/>
  <c r="CC24" i="13"/>
  <c r="CC24" i="12"/>
  <c r="CC24" i="11"/>
  <c r="CC24" i="8"/>
  <c r="CC26" i="14"/>
  <c r="CC26" i="13"/>
  <c r="CC26" i="12"/>
  <c r="CC26" i="11"/>
  <c r="CC26" i="8"/>
  <c r="BY34" i="14"/>
  <c r="BY34" i="13"/>
  <c r="BY34" i="12"/>
  <c r="BY34" i="11"/>
  <c r="BY34" i="8"/>
  <c r="CF34" i="14"/>
  <c r="CF34" i="13"/>
  <c r="CF34" i="12"/>
  <c r="CF34" i="11"/>
  <c r="CF34" i="8"/>
  <c r="CA35" i="14"/>
  <c r="CA35" i="13"/>
  <c r="CA35" i="12"/>
  <c r="CA35" i="11"/>
  <c r="CA35" i="8"/>
  <c r="CE35" i="14"/>
  <c r="CE35" i="13"/>
  <c r="CE35" i="12"/>
  <c r="CE35" i="11"/>
  <c r="CE35" i="8"/>
  <c r="CF23" i="14"/>
  <c r="CF23" i="13"/>
  <c r="CF23" i="12"/>
  <c r="CF23" i="11"/>
  <c r="CF23" i="8"/>
  <c r="BY24" i="14"/>
  <c r="BY24" i="13"/>
  <c r="BY24" i="12"/>
  <c r="BY24" i="11"/>
  <c r="BY24" i="8"/>
  <c r="CE24" i="14"/>
  <c r="CE24" i="13"/>
  <c r="CE24" i="12"/>
  <c r="CE24" i="11"/>
  <c r="CE24" i="8"/>
  <c r="CG25" i="14"/>
  <c r="CG25" i="13"/>
  <c r="CG25" i="12"/>
  <c r="CG25" i="11"/>
  <c r="CG25" i="8"/>
  <c r="CB28" i="14"/>
  <c r="CB28" i="13"/>
  <c r="CB28" i="12"/>
  <c r="CB28" i="11"/>
  <c r="CB28" i="8"/>
  <c r="CG28" i="14"/>
  <c r="CG28" i="13"/>
  <c r="CG28" i="12"/>
  <c r="CG28" i="11"/>
  <c r="CG28" i="8"/>
  <c r="CA34" i="14"/>
  <c r="CA34" i="13"/>
  <c r="CA34" i="12"/>
  <c r="CA34" i="11"/>
  <c r="CA34" i="8"/>
  <c r="CG34" i="14"/>
  <c r="CG34" i="13"/>
  <c r="CG34" i="12"/>
  <c r="CG34" i="11"/>
  <c r="CG34" i="8"/>
  <c r="BX35" i="14"/>
  <c r="BX35" i="13"/>
  <c r="BX35" i="12"/>
  <c r="BX35" i="11"/>
  <c r="BX35" i="8"/>
  <c r="CB35" i="14"/>
  <c r="CB35" i="13"/>
  <c r="CB35" i="12"/>
  <c r="CB35" i="11"/>
  <c r="CB35" i="8"/>
  <c r="CF35" i="14"/>
  <c r="CF35" i="13"/>
  <c r="CF35" i="12"/>
  <c r="CF35" i="11"/>
  <c r="CF35" i="8"/>
  <c r="BY36" i="14"/>
  <c r="BY36" i="13"/>
  <c r="BY36" i="12"/>
  <c r="BY36" i="11"/>
  <c r="BY36" i="8"/>
  <c r="CE31" i="14"/>
  <c r="CE31" i="13"/>
  <c r="CE31" i="12"/>
  <c r="CE31" i="11"/>
  <c r="CE31" i="8"/>
  <c r="BZ32" i="14"/>
  <c r="BZ32" i="13"/>
  <c r="BZ32" i="12"/>
  <c r="BZ32" i="11"/>
  <c r="BZ32" i="8"/>
  <c r="CD32" i="14"/>
  <c r="CD32" i="13"/>
  <c r="CD32" i="12"/>
  <c r="CD32" i="11"/>
  <c r="CD32" i="8"/>
  <c r="CB34" i="14"/>
  <c r="CB34" i="13"/>
  <c r="CB34" i="12"/>
  <c r="CB34" i="11"/>
  <c r="CB34" i="8"/>
  <c r="CG24" i="14"/>
  <c r="CG24" i="13"/>
  <c r="CG24" i="12"/>
  <c r="CG24" i="11"/>
  <c r="CG24" i="8"/>
  <c r="BX28" i="14"/>
  <c r="BX28" i="13"/>
  <c r="BX28" i="12"/>
  <c r="BX28" i="11"/>
  <c r="BX28" i="8"/>
  <c r="CE28" i="14"/>
  <c r="CE28" i="13"/>
  <c r="CE28" i="12"/>
  <c r="CE28" i="11"/>
  <c r="CE28" i="8"/>
  <c r="BY31" i="14"/>
  <c r="BY31" i="13"/>
  <c r="BY31" i="12"/>
  <c r="BY31" i="11"/>
  <c r="BY31" i="8"/>
  <c r="CG31" i="14"/>
  <c r="CG31" i="13"/>
  <c r="CG31" i="12"/>
  <c r="CG31" i="11"/>
  <c r="CG31" i="8"/>
  <c r="CA24" i="14"/>
  <c r="CA24" i="13"/>
  <c r="CA24" i="12"/>
  <c r="CA24" i="11"/>
  <c r="CA24" i="8"/>
  <c r="CA27" i="14"/>
  <c r="CA27" i="13"/>
  <c r="CA27" i="12"/>
  <c r="CA27" i="11"/>
  <c r="CA27" i="8"/>
  <c r="BY28" i="14"/>
  <c r="BY28" i="13"/>
  <c r="BY28" i="12"/>
  <c r="BY28" i="11"/>
  <c r="BY28" i="8"/>
  <c r="CF28" i="14"/>
  <c r="CF28" i="13"/>
  <c r="CF28" i="12"/>
  <c r="CF28" i="11"/>
  <c r="CF28" i="8"/>
  <c r="BY33" i="14"/>
  <c r="BY33" i="13"/>
  <c r="BY33" i="12"/>
  <c r="BY33" i="11"/>
  <c r="BY33" i="8"/>
  <c r="CD35" i="14"/>
  <c r="CD35" i="13"/>
  <c r="CD35" i="12"/>
  <c r="CD35" i="11"/>
  <c r="CD35" i="8"/>
  <c r="CC36" i="14"/>
  <c r="CC36" i="13"/>
  <c r="CC36" i="12"/>
  <c r="CC36" i="11"/>
  <c r="CC36" i="8"/>
  <c r="CA31" i="14"/>
  <c r="CA31" i="13"/>
  <c r="CA31" i="12"/>
  <c r="CA31" i="11"/>
  <c r="CA31" i="8"/>
  <c r="CB24" i="14"/>
  <c r="CB24" i="13"/>
  <c r="CB24" i="12"/>
  <c r="CB24" i="11"/>
  <c r="CB24" i="8"/>
  <c r="CA28" i="14"/>
  <c r="CA28" i="13"/>
  <c r="CA28" i="12"/>
  <c r="CA28" i="11"/>
  <c r="CA28" i="8"/>
  <c r="CB31" i="14"/>
  <c r="CB31" i="13"/>
  <c r="CB31" i="12"/>
  <c r="CB31" i="11"/>
  <c r="CB31" i="8"/>
  <c r="CF24" i="14"/>
  <c r="CF24" i="13"/>
  <c r="CF24" i="12"/>
  <c r="CF24" i="11"/>
  <c r="CF24" i="8"/>
  <c r="CC28" i="14"/>
  <c r="CC28" i="13"/>
  <c r="CC28" i="12"/>
  <c r="CC28" i="11"/>
  <c r="CC28" i="8"/>
  <c r="CF31" i="14"/>
  <c r="CF31" i="13"/>
  <c r="CF31" i="12"/>
  <c r="CF31" i="11"/>
  <c r="CF31" i="8"/>
  <c r="CB33" i="14"/>
  <c r="CB33" i="13"/>
  <c r="CB33" i="12"/>
  <c r="CB33" i="11"/>
  <c r="CB33" i="8"/>
  <c r="CB32" i="14"/>
  <c r="CB32" i="13"/>
  <c r="CB32" i="12"/>
  <c r="CB32" i="11"/>
  <c r="CB32" i="8"/>
  <c r="CG32" i="14"/>
  <c r="CG32" i="13"/>
  <c r="CG32" i="12"/>
  <c r="CG32" i="11"/>
  <c r="CG32" i="8"/>
  <c r="CB26" i="14"/>
  <c r="CB26" i="13"/>
  <c r="CB26" i="12"/>
  <c r="CB26" i="11"/>
  <c r="CB26" i="8"/>
  <c r="CC33" i="14"/>
  <c r="CC33" i="13"/>
  <c r="CC33" i="12"/>
  <c r="CC33" i="11"/>
  <c r="CC33" i="8"/>
  <c r="CE34" i="14"/>
  <c r="CE34" i="13"/>
  <c r="CE34" i="12"/>
  <c r="CE34" i="11"/>
  <c r="CE34" i="8"/>
  <c r="BX32" i="14"/>
  <c r="BX32" i="13"/>
  <c r="BX32" i="12"/>
  <c r="BX32" i="11"/>
  <c r="BX32" i="8"/>
  <c r="CC32" i="14"/>
  <c r="CC32" i="13"/>
  <c r="CC32" i="12"/>
  <c r="CC32" i="11"/>
  <c r="CC32" i="8"/>
  <c r="CA32" i="14"/>
  <c r="CA32" i="13"/>
  <c r="CA32" i="12"/>
  <c r="CA32" i="11"/>
  <c r="CA32" i="8"/>
  <c r="CF32" i="14"/>
  <c r="CF32" i="13"/>
  <c r="CF32" i="12"/>
  <c r="CF32" i="11"/>
  <c r="CF32" i="8"/>
  <c r="BY30" i="14"/>
  <c r="BY30" i="13"/>
  <c r="BY30" i="12"/>
  <c r="BY30" i="11"/>
  <c r="BY30" i="8"/>
  <c r="CG33" i="14"/>
  <c r="CG33" i="13"/>
  <c r="CG33" i="12"/>
  <c r="CG33" i="11"/>
  <c r="CG33" i="8"/>
  <c r="BY32" i="14"/>
  <c r="BY32" i="13"/>
  <c r="BY32" i="12"/>
  <c r="BY32" i="11"/>
  <c r="BY32" i="8"/>
  <c r="CE32" i="14"/>
  <c r="CE32" i="13"/>
  <c r="CE32" i="12"/>
  <c r="CE32" i="11"/>
  <c r="CE32" i="8"/>
  <c r="BY35" i="14"/>
  <c r="BY35" i="13"/>
  <c r="BY35" i="12"/>
  <c r="BY35" i="11"/>
  <c r="BY35" i="8"/>
  <c r="BZ35" i="14"/>
  <c r="BZ35" i="13"/>
  <c r="BZ35" i="12"/>
  <c r="BZ35" i="11"/>
  <c r="BZ35" i="8"/>
  <c r="CF27" i="14"/>
  <c r="CF27" i="13"/>
  <c r="CF27" i="12"/>
  <c r="CF27" i="11"/>
  <c r="CF27" i="8"/>
  <c r="CC35" i="14"/>
  <c r="CC35" i="13"/>
  <c r="CC35" i="12"/>
  <c r="CC35" i="11"/>
  <c r="CC35" i="8"/>
  <c r="CG36" i="14"/>
  <c r="CG36" i="13"/>
  <c r="CG36" i="12"/>
  <c r="CG36" i="11"/>
  <c r="CG36" i="8"/>
  <c r="CG35" i="14"/>
  <c r="CG35" i="13"/>
  <c r="CG35" i="12"/>
  <c r="CG35" i="11"/>
  <c r="CG35" i="8"/>
  <c r="M5" i="15"/>
  <c r="Q5" i="15"/>
  <c r="Q4" i="15"/>
  <c r="M4" i="15"/>
  <c r="M7" i="15" s="1"/>
  <c r="W4" i="15"/>
  <c r="BT68" i="14"/>
  <c r="BF68" i="14"/>
  <c r="BT69" i="14"/>
  <c r="BF64" i="14"/>
  <c r="BG59" i="14"/>
  <c r="BF69" i="14"/>
  <c r="AR68" i="14"/>
  <c r="BH55" i="14"/>
  <c r="BT54" i="14"/>
  <c r="BT55" i="14" s="1"/>
  <c r="AT55" i="14"/>
  <c r="BF55" i="14" s="1"/>
  <c r="BF54" i="14"/>
  <c r="BF44" i="14"/>
  <c r="BA17" i="14"/>
  <c r="BF17" i="14" s="1"/>
  <c r="AZ15" i="14"/>
  <c r="BF53" i="14"/>
  <c r="AH53" i="14"/>
  <c r="AR53" i="14" s="1"/>
  <c r="AH16" i="14"/>
  <c r="S69" i="14"/>
  <c r="AD16" i="14"/>
  <c r="AD69" i="14" s="1"/>
  <c r="BT51" i="14"/>
  <c r="BW14" i="14"/>
  <c r="AQ47" i="14"/>
  <c r="AR15" i="14"/>
  <c r="BT68" i="13"/>
  <c r="BF68" i="13"/>
  <c r="BT69" i="13"/>
  <c r="BF64" i="13"/>
  <c r="BG59" i="13"/>
  <c r="BF69" i="13"/>
  <c r="AR68" i="13"/>
  <c r="BH55" i="13"/>
  <c r="BT54" i="13"/>
  <c r="BT55" i="13" s="1"/>
  <c r="AT55" i="13"/>
  <c r="BF55" i="13" s="1"/>
  <c r="BF54" i="13"/>
  <c r="BF44" i="13"/>
  <c r="BA17" i="13"/>
  <c r="BF17" i="13" s="1"/>
  <c r="AZ15" i="13"/>
  <c r="BF53" i="13"/>
  <c r="BV44" i="13"/>
  <c r="AH53" i="13"/>
  <c r="AR53" i="13" s="1"/>
  <c r="AH16" i="13"/>
  <c r="S69" i="13"/>
  <c r="AD16" i="13"/>
  <c r="AD69" i="13" s="1"/>
  <c r="BT51" i="13"/>
  <c r="BW14" i="13"/>
  <c r="BW11" i="13"/>
  <c r="AQ47" i="13"/>
  <c r="AR15" i="13"/>
  <c r="BT68" i="12"/>
  <c r="BF68" i="12"/>
  <c r="BT69" i="12"/>
  <c r="BF64" i="12"/>
  <c r="BG59" i="12"/>
  <c r="BF69" i="12"/>
  <c r="AR68" i="12"/>
  <c r="BH55" i="12"/>
  <c r="BT54" i="12"/>
  <c r="BT55" i="12" s="1"/>
  <c r="AT55" i="12"/>
  <c r="BF55" i="12" s="1"/>
  <c r="BF54" i="12"/>
  <c r="BF44" i="12"/>
  <c r="BA17" i="12"/>
  <c r="BF17" i="12" s="1"/>
  <c r="AZ15" i="12"/>
  <c r="BF53" i="12"/>
  <c r="BV44" i="12"/>
  <c r="AH53" i="12"/>
  <c r="AR53" i="12" s="1"/>
  <c r="AH16" i="12"/>
  <c r="S69" i="12"/>
  <c r="AD16" i="12"/>
  <c r="AD69" i="12" s="1"/>
  <c r="BT51" i="12"/>
  <c r="BW14" i="12"/>
  <c r="BW11" i="12"/>
  <c r="AQ47" i="12"/>
  <c r="AR15" i="12"/>
  <c r="BT68" i="11"/>
  <c r="BF68" i="11"/>
  <c r="BT69" i="11"/>
  <c r="BF64" i="11"/>
  <c r="BG59" i="11"/>
  <c r="BF69" i="11"/>
  <c r="AR68" i="11"/>
  <c r="BH55" i="11"/>
  <c r="BT54" i="11"/>
  <c r="BT55" i="11" s="1"/>
  <c r="AT55" i="11"/>
  <c r="BF55" i="11" s="1"/>
  <c r="BF54" i="11"/>
  <c r="BF44" i="11"/>
  <c r="BA17" i="11"/>
  <c r="BF17" i="11" s="1"/>
  <c r="AZ15" i="11"/>
  <c r="BF53" i="11"/>
  <c r="BV44" i="11"/>
  <c r="AH53" i="11"/>
  <c r="AR53" i="11" s="1"/>
  <c r="AH16" i="11"/>
  <c r="S69" i="11"/>
  <c r="AD16" i="11"/>
  <c r="AD69" i="11" s="1"/>
  <c r="BT51" i="11"/>
  <c r="BW14" i="11"/>
  <c r="BW11" i="11"/>
  <c r="AQ47" i="11"/>
  <c r="AR15" i="11"/>
  <c r="BW18" i="8"/>
  <c r="BW17" i="8"/>
  <c r="AE69" i="10"/>
  <c r="S73" i="10"/>
  <c r="BV44" i="8"/>
  <c r="S21" i="10"/>
  <c r="AD41" i="10"/>
  <c r="AB21" i="10"/>
  <c r="AB26" i="10"/>
  <c r="U26" i="10"/>
  <c r="U21" i="10"/>
  <c r="V21" i="10"/>
  <c r="V26" i="10"/>
  <c r="CH37" i="8"/>
  <c r="AC26" i="10"/>
  <c r="AC21" i="10"/>
  <c r="W26" i="10"/>
  <c r="W21" i="10"/>
  <c r="T21" i="10"/>
  <c r="T26" i="10"/>
  <c r="T41" i="10" s="1"/>
  <c r="Y26" i="10"/>
  <c r="Y21" i="10"/>
  <c r="Z21" i="10"/>
  <c r="Z26" i="10"/>
  <c r="AA26" i="10"/>
  <c r="AA21" i="10"/>
  <c r="X21" i="10"/>
  <c r="X26" i="10"/>
  <c r="V4" i="10"/>
  <c r="AD4" i="10"/>
  <c r="T4" i="10"/>
  <c r="AA4" i="10"/>
  <c r="X4" i="10"/>
  <c r="U4" i="10"/>
  <c r="AC4" i="10"/>
  <c r="Z4" i="10"/>
  <c r="AB4" i="10"/>
  <c r="Y4" i="10"/>
  <c r="W4" i="10"/>
  <c r="S4" i="10"/>
  <c r="BT37" i="8"/>
  <c r="BT42" i="8"/>
  <c r="AF43" i="8"/>
  <c r="AF16" i="8" s="1"/>
  <c r="AU43" i="8"/>
  <c r="BW16" i="9"/>
  <c r="BX16" i="9"/>
  <c r="BY16" i="9"/>
  <c r="BZ16" i="9"/>
  <c r="CA16" i="9"/>
  <c r="CB16" i="9"/>
  <c r="CC16" i="9"/>
  <c r="CD16" i="9"/>
  <c r="CE16" i="9"/>
  <c r="CF16" i="9"/>
  <c r="CG16" i="9"/>
  <c r="BV16" i="9"/>
  <c r="BV20" i="9"/>
  <c r="BU16" i="9"/>
  <c r="BW20" i="9"/>
  <c r="BX20" i="9"/>
  <c r="BY20" i="9"/>
  <c r="BZ20" i="9"/>
  <c r="CA20" i="9"/>
  <c r="CB20" i="9"/>
  <c r="CC20" i="9"/>
  <c r="CD20" i="9"/>
  <c r="CE20" i="9"/>
  <c r="CF20" i="9"/>
  <c r="CG20" i="9"/>
  <c r="K69" i="9"/>
  <c r="J69" i="9"/>
  <c r="I69" i="9"/>
  <c r="H69" i="9"/>
  <c r="G69" i="9"/>
  <c r="F69" i="9"/>
  <c r="E69" i="9"/>
  <c r="D69" i="9"/>
  <c r="P69" i="9" s="1"/>
  <c r="BT67" i="9"/>
  <c r="BF67" i="9"/>
  <c r="AL67" i="9"/>
  <c r="AK67" i="9"/>
  <c r="AJ67" i="9"/>
  <c r="AI67" i="9"/>
  <c r="AH67" i="9"/>
  <c r="AG67" i="9"/>
  <c r="AF67" i="9"/>
  <c r="AR67" i="9" s="1"/>
  <c r="BT66" i="9"/>
  <c r="BB66" i="9"/>
  <c r="BF66" i="9" s="1"/>
  <c r="AR66" i="9"/>
  <c r="BQ65" i="9"/>
  <c r="BQ68" i="9" s="1"/>
  <c r="BP65" i="9"/>
  <c r="BO65" i="9"/>
  <c r="BN65" i="9"/>
  <c r="BM65" i="9"/>
  <c r="BL65" i="9"/>
  <c r="BK65" i="9"/>
  <c r="BJ65" i="9"/>
  <c r="BI65" i="9"/>
  <c r="BH65" i="9"/>
  <c r="BE65" i="9"/>
  <c r="BE68" i="9" s="1"/>
  <c r="BD65" i="9"/>
  <c r="BD68" i="9" s="1"/>
  <c r="BC65" i="9"/>
  <c r="BB65" i="9"/>
  <c r="BA65" i="9"/>
  <c r="AZ65" i="9"/>
  <c r="AY65" i="9"/>
  <c r="AX65" i="9"/>
  <c r="AW65" i="9"/>
  <c r="AV65" i="9"/>
  <c r="AU65" i="9"/>
  <c r="AT65" i="9"/>
  <c r="AQ65" i="9"/>
  <c r="AP65" i="9"/>
  <c r="AO65" i="9"/>
  <c r="AN65" i="9"/>
  <c r="AM65" i="9"/>
  <c r="AD65" i="9"/>
  <c r="P65" i="9"/>
  <c r="BE64" i="9"/>
  <c r="BD64" i="9"/>
  <c r="BS63" i="9"/>
  <c r="BF63" i="9"/>
  <c r="AR63" i="9"/>
  <c r="CA62" i="9"/>
  <c r="BX62" i="9"/>
  <c r="BW62" i="9"/>
  <c r="BV62" i="9"/>
  <c r="CH62" i="9" s="1"/>
  <c r="BT62" i="9"/>
  <c r="BF62" i="9"/>
  <c r="AR62" i="9"/>
  <c r="BS61" i="9"/>
  <c r="BO61" i="9"/>
  <c r="BN61" i="9"/>
  <c r="BM61" i="9"/>
  <c r="BL61" i="9"/>
  <c r="BK61" i="9"/>
  <c r="BJ61" i="9"/>
  <c r="BI61" i="9"/>
  <c r="BH61" i="9"/>
  <c r="BE61" i="9"/>
  <c r="BD61" i="9"/>
  <c r="BA61" i="9"/>
  <c r="AL61" i="9"/>
  <c r="AK61" i="9"/>
  <c r="AJ61" i="9"/>
  <c r="AI61" i="9"/>
  <c r="AH61" i="9"/>
  <c r="AG61" i="9"/>
  <c r="AF61" i="9"/>
  <c r="AR61" i="9" s="1"/>
  <c r="AC61" i="9"/>
  <c r="AB61" i="9"/>
  <c r="AA61" i="9"/>
  <c r="Z61" i="9"/>
  <c r="Y61" i="9"/>
  <c r="X61" i="9"/>
  <c r="W61" i="9"/>
  <c r="V61" i="9"/>
  <c r="U61" i="9"/>
  <c r="T61" i="9"/>
  <c r="S61" i="9"/>
  <c r="R61" i="9"/>
  <c r="CA60" i="9"/>
  <c r="BZ60" i="9"/>
  <c r="BY60" i="9"/>
  <c r="BX60" i="9"/>
  <c r="BW60" i="9"/>
  <c r="BV60" i="9"/>
  <c r="CH60" i="9" s="1"/>
  <c r="BR60" i="9"/>
  <c r="BR61" i="9" s="1"/>
  <c r="BQ60" i="9"/>
  <c r="BQ61" i="9" s="1"/>
  <c r="BP60" i="9"/>
  <c r="BC60" i="9"/>
  <c r="BB60" i="9"/>
  <c r="AY60" i="9"/>
  <c r="AX60" i="9"/>
  <c r="AW60" i="9"/>
  <c r="AV60" i="9"/>
  <c r="AU60" i="9"/>
  <c r="AU61" i="9" s="1"/>
  <c r="BF61" i="9" s="1"/>
  <c r="AT60" i="9"/>
  <c r="BF60" i="9" s="1"/>
  <c r="AQ60" i="9"/>
  <c r="AP60" i="9"/>
  <c r="AO60" i="9"/>
  <c r="AN60" i="9"/>
  <c r="AM60" i="9"/>
  <c r="AR60" i="9" s="1"/>
  <c r="P60" i="9"/>
  <c r="CG59" i="9"/>
  <c r="CF59" i="9"/>
  <c r="CE59" i="9"/>
  <c r="CD59" i="9"/>
  <c r="CC59" i="9"/>
  <c r="CB59" i="9"/>
  <c r="CA59" i="9"/>
  <c r="BZ59" i="9"/>
  <c r="BY59" i="9"/>
  <c r="BX59" i="9"/>
  <c r="BW59" i="9"/>
  <c r="BV59" i="9"/>
  <c r="BS59" i="9"/>
  <c r="BP59" i="9"/>
  <c r="BO59" i="9"/>
  <c r="BN59" i="9"/>
  <c r="BM59" i="9"/>
  <c r="BL59" i="9"/>
  <c r="BK59" i="9"/>
  <c r="BJ59" i="9"/>
  <c r="BI59" i="9"/>
  <c r="BH59" i="9"/>
  <c r="BC59" i="9"/>
  <c r="BB59" i="9"/>
  <c r="BA59" i="9"/>
  <c r="AZ59" i="9"/>
  <c r="AY59" i="9"/>
  <c r="AX59" i="9"/>
  <c r="AW59" i="9"/>
  <c r="AV59" i="9"/>
  <c r="AU59" i="9"/>
  <c r="AT59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D59" i="9"/>
  <c r="P59" i="9"/>
  <c r="CA58" i="9"/>
  <c r="BZ58" i="9"/>
  <c r="BY58" i="9"/>
  <c r="BX58" i="9"/>
  <c r="BW58" i="9"/>
  <c r="BV58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R55" i="9" s="1"/>
  <c r="BQ53" i="9"/>
  <c r="BP53" i="9"/>
  <c r="BO53" i="9"/>
  <c r="BN53" i="9"/>
  <c r="BM53" i="9"/>
  <c r="BL53" i="9"/>
  <c r="BK53" i="9"/>
  <c r="BJ53" i="9"/>
  <c r="BI53" i="9"/>
  <c r="BH53" i="9"/>
  <c r="BT53" i="9" s="1"/>
  <c r="BT52" i="9"/>
  <c r="BB52" i="9"/>
  <c r="AR52" i="9"/>
  <c r="BQ51" i="9"/>
  <c r="AM51" i="9"/>
  <c r="AL51" i="9"/>
  <c r="AK51" i="9"/>
  <c r="AJ51" i="9"/>
  <c r="AI51" i="9"/>
  <c r="AH51" i="9"/>
  <c r="AG51" i="9"/>
  <c r="AF51" i="9"/>
  <c r="BT50" i="9"/>
  <c r="BF50" i="9"/>
  <c r="AR50" i="9"/>
  <c r="BQ49" i="9"/>
  <c r="BP49" i="9"/>
  <c r="BO49" i="9"/>
  <c r="BN49" i="9"/>
  <c r="BM49" i="9"/>
  <c r="BL49" i="9"/>
  <c r="BK49" i="9"/>
  <c r="BJ49" i="9"/>
  <c r="BI49" i="9"/>
  <c r="BH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BF48" i="9"/>
  <c r="AR48" i="9"/>
  <c r="AD48" i="9"/>
  <c r="P48" i="9"/>
  <c r="BN47" i="9"/>
  <c r="BM47" i="9"/>
  <c r="BL47" i="9"/>
  <c r="BK47" i="9"/>
  <c r="BJ47" i="9"/>
  <c r="BI47" i="9"/>
  <c r="BH47" i="9"/>
  <c r="BA47" i="9"/>
  <c r="AZ47" i="9"/>
  <c r="AY47" i="9"/>
  <c r="AX47" i="9"/>
  <c r="AW47" i="9"/>
  <c r="AV47" i="9"/>
  <c r="AU47" i="9"/>
  <c r="AT47" i="9"/>
  <c r="BT46" i="9"/>
  <c r="BB46" i="9"/>
  <c r="AR46" i="9"/>
  <c r="CB45" i="9"/>
  <c r="CA45" i="9"/>
  <c r="BZ45" i="9"/>
  <c r="BY45" i="9"/>
  <c r="BQ45" i="9"/>
  <c r="BP45" i="9"/>
  <c r="BO45" i="9"/>
  <c r="BE45" i="9"/>
  <c r="BE47" i="9" s="1"/>
  <c r="BD45" i="9"/>
  <c r="BD47" i="9" s="1"/>
  <c r="BC45" i="9"/>
  <c r="BC47" i="9" s="1"/>
  <c r="BB45" i="9"/>
  <c r="BF45" i="9" s="1"/>
  <c r="CG44" i="9"/>
  <c r="CF44" i="9"/>
  <c r="CE44" i="9"/>
  <c r="CD44" i="9"/>
  <c r="CC44" i="9"/>
  <c r="BZ44" i="9"/>
  <c r="BN44" i="9"/>
  <c r="BM44" i="9"/>
  <c r="BL44" i="9"/>
  <c r="BK44" i="9"/>
  <c r="BJ44" i="9"/>
  <c r="BI44" i="9"/>
  <c r="BH44" i="9"/>
  <c r="BT44" i="9" s="1"/>
  <c r="CH43" i="9"/>
  <c r="CI43" i="9" s="1"/>
  <c r="BT43" i="9"/>
  <c r="BE43" i="9"/>
  <c r="BE53" i="9" s="1"/>
  <c r="BD43" i="9"/>
  <c r="BD53" i="9" s="1"/>
  <c r="BC43" i="9"/>
  <c r="BC53" i="9" s="1"/>
  <c r="BB43" i="9"/>
  <c r="BB44" i="9" s="1"/>
  <c r="BA43" i="9"/>
  <c r="AZ43" i="9"/>
  <c r="AZ53" i="9" s="1"/>
  <c r="AY43" i="9"/>
  <c r="AY53" i="9" s="1"/>
  <c r="AX43" i="9"/>
  <c r="AX53" i="9" s="1"/>
  <c r="AW43" i="9"/>
  <c r="AW53" i="9" s="1"/>
  <c r="AV43" i="9"/>
  <c r="AV53" i="9" s="1"/>
  <c r="AU43" i="9"/>
  <c r="AU53" i="9" s="1"/>
  <c r="AT43" i="9"/>
  <c r="AQ43" i="9"/>
  <c r="AP43" i="9"/>
  <c r="AO43" i="9"/>
  <c r="AO53" i="9" s="1"/>
  <c r="AN43" i="9"/>
  <c r="AN53" i="9" s="1"/>
  <c r="AM43" i="9"/>
  <c r="AM53" i="9" s="1"/>
  <c r="AL43" i="9"/>
  <c r="AK43" i="9"/>
  <c r="AK53" i="9" s="1"/>
  <c r="AJ43" i="9"/>
  <c r="AJ53" i="9" s="1"/>
  <c r="AI43" i="9"/>
  <c r="AI53" i="9" s="1"/>
  <c r="AG43" i="9"/>
  <c r="AG53" i="9" s="1"/>
  <c r="AF43" i="9"/>
  <c r="AC43" i="9"/>
  <c r="AB43" i="9"/>
  <c r="AA43" i="9"/>
  <c r="Z43" i="9"/>
  <c r="Y43" i="9"/>
  <c r="X43" i="9"/>
  <c r="W43" i="9"/>
  <c r="R43" i="9"/>
  <c r="O43" i="9"/>
  <c r="N43" i="9"/>
  <c r="M43" i="9"/>
  <c r="L43" i="9"/>
  <c r="K43" i="9"/>
  <c r="J43" i="9"/>
  <c r="I43" i="9"/>
  <c r="H43" i="9"/>
  <c r="G43" i="9"/>
  <c r="F43" i="9"/>
  <c r="E43" i="9"/>
  <c r="D43" i="9"/>
  <c r="P43" i="9" s="1"/>
  <c r="BF42" i="9"/>
  <c r="AR42" i="9"/>
  <c r="AD42" i="9"/>
  <c r="P42" i="9"/>
  <c r="BF41" i="9"/>
  <c r="BF40" i="9"/>
  <c r="AR40" i="9"/>
  <c r="BF39" i="9"/>
  <c r="AR39" i="9"/>
  <c r="BF38" i="9"/>
  <c r="AR38" i="9"/>
  <c r="BF37" i="9"/>
  <c r="AH37" i="9"/>
  <c r="AR37" i="9" s="1"/>
  <c r="BF36" i="9"/>
  <c r="AH36" i="9"/>
  <c r="AR36" i="9" s="1"/>
  <c r="AD36" i="9"/>
  <c r="BF35" i="9"/>
  <c r="AH35" i="9"/>
  <c r="AR35" i="9" s="1"/>
  <c r="AD35" i="9"/>
  <c r="BF34" i="9"/>
  <c r="AH34" i="9"/>
  <c r="AR34" i="9" s="1"/>
  <c r="AD34" i="9"/>
  <c r="P34" i="9"/>
  <c r="BF33" i="9"/>
  <c r="AH33" i="9"/>
  <c r="AR33" i="9" s="1"/>
  <c r="AD33" i="9"/>
  <c r="P33" i="9"/>
  <c r="BF32" i="9"/>
  <c r="AH32" i="9"/>
  <c r="AR32" i="9" s="1"/>
  <c r="AD32" i="9"/>
  <c r="P32" i="9"/>
  <c r="BF31" i="9"/>
  <c r="AH31" i="9"/>
  <c r="AD31" i="9"/>
  <c r="P31" i="9"/>
  <c r="BF30" i="9"/>
  <c r="AR30" i="9"/>
  <c r="U30" i="9"/>
  <c r="T30" i="9"/>
  <c r="AD30" i="9" s="1"/>
  <c r="P30" i="9"/>
  <c r="BF29" i="9"/>
  <c r="AR29" i="9"/>
  <c r="T29" i="9"/>
  <c r="AD29" i="9" s="1"/>
  <c r="P29" i="9"/>
  <c r="BF28" i="9"/>
  <c r="AR28" i="9"/>
  <c r="U28" i="9"/>
  <c r="T28" i="9"/>
  <c r="S28" i="9"/>
  <c r="AD28" i="9" s="1"/>
  <c r="P28" i="9"/>
  <c r="BF27" i="9"/>
  <c r="AR27" i="9"/>
  <c r="AD27" i="9"/>
  <c r="P27" i="9"/>
  <c r="BF26" i="9"/>
  <c r="AR26" i="9"/>
  <c r="V26" i="9"/>
  <c r="V43" i="9" s="1"/>
  <c r="U26" i="9"/>
  <c r="AD26" i="9" s="1"/>
  <c r="P26" i="9"/>
  <c r="BF25" i="9"/>
  <c r="AR25" i="9"/>
  <c r="T25" i="9"/>
  <c r="S25" i="9"/>
  <c r="P25" i="9"/>
  <c r="BF24" i="9"/>
  <c r="AR24" i="9"/>
  <c r="AD24" i="9"/>
  <c r="P24" i="9"/>
  <c r="BF23" i="9"/>
  <c r="AR23" i="9"/>
  <c r="U23" i="9"/>
  <c r="T23" i="9"/>
  <c r="AD23" i="9" s="1"/>
  <c r="P23" i="9"/>
  <c r="BF22" i="9"/>
  <c r="AR22" i="9"/>
  <c r="U22" i="9"/>
  <c r="U43" i="9" s="1"/>
  <c r="T22" i="9"/>
  <c r="P22" i="9"/>
  <c r="BW45" i="9"/>
  <c r="BS20" i="9"/>
  <c r="BR20" i="9"/>
  <c r="BQ20" i="9"/>
  <c r="BE20" i="9"/>
  <c r="BE51" i="9" s="1"/>
  <c r="BD20" i="9"/>
  <c r="BD51" i="9" s="1"/>
  <c r="BC20" i="9"/>
  <c r="BC51" i="9" s="1"/>
  <c r="BB20" i="9"/>
  <c r="BB51" i="9" s="1"/>
  <c r="BA20" i="9"/>
  <c r="BA51" i="9" s="1"/>
  <c r="AZ20" i="9"/>
  <c r="AZ51" i="9" s="1"/>
  <c r="AY20" i="9"/>
  <c r="AY51" i="9" s="1"/>
  <c r="AX20" i="9"/>
  <c r="AX51" i="9" s="1"/>
  <c r="AW20" i="9"/>
  <c r="AW51" i="9" s="1"/>
  <c r="AV20" i="9"/>
  <c r="AV51" i="9" s="1"/>
  <c r="AU20" i="9"/>
  <c r="AU51" i="9" s="1"/>
  <c r="AT20" i="9"/>
  <c r="U20" i="9"/>
  <c r="AD20" i="9" s="1"/>
  <c r="P20" i="9"/>
  <c r="AQ19" i="9"/>
  <c r="AQ20" i="9" s="1"/>
  <c r="AQ51" i="9" s="1"/>
  <c r="AP19" i="9"/>
  <c r="AP20" i="9" s="1"/>
  <c r="AP51" i="9" s="1"/>
  <c r="AO19" i="9"/>
  <c r="AO20" i="9" s="1"/>
  <c r="AO51" i="9" s="1"/>
  <c r="AN19" i="9"/>
  <c r="AN20" i="9" s="1"/>
  <c r="BW18" i="9"/>
  <c r="BV18" i="9"/>
  <c r="BQ18" i="9"/>
  <c r="BT18" i="9" s="1"/>
  <c r="BF18" i="9"/>
  <c r="CG17" i="9"/>
  <c r="CG18" i="9" s="1"/>
  <c r="CF17" i="9"/>
  <c r="CF18" i="9" s="1"/>
  <c r="CE17" i="9"/>
  <c r="CE18" i="9" s="1"/>
  <c r="CD17" i="9"/>
  <c r="CD18" i="9" s="1"/>
  <c r="CC17" i="9"/>
  <c r="CC18" i="9" s="1"/>
  <c r="CB17" i="9"/>
  <c r="CB18" i="9" s="1"/>
  <c r="CA17" i="9"/>
  <c r="CA18" i="9" s="1"/>
  <c r="BZ17" i="9"/>
  <c r="BZ18" i="9" s="1"/>
  <c r="BY17" i="9"/>
  <c r="BY18" i="9" s="1"/>
  <c r="BX17" i="9"/>
  <c r="BX18" i="9" s="1"/>
  <c r="BW17" i="9"/>
  <c r="BV17" i="9"/>
  <c r="CH17" i="9" s="1"/>
  <c r="BP17" i="9"/>
  <c r="BO17" i="9"/>
  <c r="BN17" i="9"/>
  <c r="BM17" i="9"/>
  <c r="BL17" i="9"/>
  <c r="BK17" i="9"/>
  <c r="BJ17" i="9"/>
  <c r="BI17" i="9"/>
  <c r="BH17" i="9"/>
  <c r="BE17" i="9"/>
  <c r="BD17" i="9"/>
  <c r="BC17" i="9"/>
  <c r="BB17" i="9"/>
  <c r="AZ17" i="9"/>
  <c r="AY17" i="9"/>
  <c r="CH16" i="9"/>
  <c r="BR16" i="9"/>
  <c r="BS45" i="9" s="1"/>
  <c r="CG45" i="9" s="1"/>
  <c r="BQ16" i="9"/>
  <c r="BQ69" i="9" s="1"/>
  <c r="BP16" i="9"/>
  <c r="BO16" i="9"/>
  <c r="BN16" i="9"/>
  <c r="BM16" i="9"/>
  <c r="BL16" i="9"/>
  <c r="BK16" i="9"/>
  <c r="BJ16" i="9"/>
  <c r="BI16" i="9"/>
  <c r="BH16" i="9"/>
  <c r="BT16" i="9" s="1"/>
  <c r="BE16" i="9"/>
  <c r="BE69" i="9" s="1"/>
  <c r="BD16" i="9"/>
  <c r="BD69" i="9" s="1"/>
  <c r="BC16" i="9"/>
  <c r="BB16" i="9"/>
  <c r="BA16" i="9"/>
  <c r="AZ16" i="9"/>
  <c r="AY16" i="9"/>
  <c r="AX16" i="9"/>
  <c r="AW16" i="9"/>
  <c r="AV16" i="9"/>
  <c r="AU16" i="9"/>
  <c r="AT16" i="9"/>
  <c r="BF16" i="9" s="1"/>
  <c r="AQ16" i="9"/>
  <c r="AP16" i="9"/>
  <c r="AO16" i="9"/>
  <c r="AN16" i="9"/>
  <c r="AM16" i="9"/>
  <c r="AL16" i="9"/>
  <c r="AK16" i="9"/>
  <c r="AJ16" i="9"/>
  <c r="AI16" i="9"/>
  <c r="AG16" i="9"/>
  <c r="AF16" i="9"/>
  <c r="AC16" i="9"/>
  <c r="AC69" i="9" s="1"/>
  <c r="AB16" i="9"/>
  <c r="AB69" i="9" s="1"/>
  <c r="AA16" i="9"/>
  <c r="AA69" i="9" s="1"/>
  <c r="Z16" i="9"/>
  <c r="Z69" i="9" s="1"/>
  <c r="Y16" i="9"/>
  <c r="Y69" i="9" s="1"/>
  <c r="X16" i="9"/>
  <c r="X69" i="9" s="1"/>
  <c r="W16" i="9"/>
  <c r="W69" i="9" s="1"/>
  <c r="V16" i="9"/>
  <c r="V69" i="9" s="1"/>
  <c r="U16" i="9"/>
  <c r="U69" i="9" s="1"/>
  <c r="R16" i="9"/>
  <c r="P16" i="9"/>
  <c r="O16" i="9"/>
  <c r="O69" i="9" s="1"/>
  <c r="N16" i="9"/>
  <c r="N69" i="9" s="1"/>
  <c r="M16" i="9"/>
  <c r="M69" i="9" s="1"/>
  <c r="L16" i="9"/>
  <c r="L69" i="9" s="1"/>
  <c r="K16" i="9"/>
  <c r="J16" i="9"/>
  <c r="I16" i="9"/>
  <c r="H16" i="9"/>
  <c r="G16" i="9"/>
  <c r="F16" i="9"/>
  <c r="E16" i="9"/>
  <c r="D16" i="9"/>
  <c r="BG13" i="9"/>
  <c r="CG12" i="9"/>
  <c r="CF12" i="9"/>
  <c r="CF13" i="9" s="1"/>
  <c r="CE12" i="9"/>
  <c r="CE13" i="9" s="1"/>
  <c r="CD12" i="9"/>
  <c r="CD13" i="9" s="1"/>
  <c r="CC12" i="9"/>
  <c r="CC13" i="9" s="1"/>
  <c r="CB12" i="9"/>
  <c r="CB13" i="9" s="1"/>
  <c r="CA12" i="9"/>
  <c r="CA13" i="9" s="1"/>
  <c r="BZ12" i="9"/>
  <c r="BZ13" i="9" s="1"/>
  <c r="BY12" i="9"/>
  <c r="BY13" i="9" s="1"/>
  <c r="BX12" i="9"/>
  <c r="BX13" i="9" s="1"/>
  <c r="BW12" i="9"/>
  <c r="BW13" i="9" s="1"/>
  <c r="BV12" i="9"/>
  <c r="BV13" i="9" s="1"/>
  <c r="BS12" i="9"/>
  <c r="BR12" i="9"/>
  <c r="BR13" i="9" s="1"/>
  <c r="BQ12" i="9"/>
  <c r="BQ13" i="9" s="1"/>
  <c r="BP12" i="9"/>
  <c r="BP13" i="9" s="1"/>
  <c r="BO12" i="9"/>
  <c r="BO13" i="9" s="1"/>
  <c r="BN12" i="9"/>
  <c r="BN13" i="9" s="1"/>
  <c r="BM12" i="9"/>
  <c r="BM13" i="9" s="1"/>
  <c r="BL12" i="9"/>
  <c r="BL13" i="9" s="1"/>
  <c r="BK12" i="9"/>
  <c r="BK13" i="9" s="1"/>
  <c r="BJ12" i="9"/>
  <c r="BJ13" i="9" s="1"/>
  <c r="BI12" i="9"/>
  <c r="BI13" i="9" s="1"/>
  <c r="BH12" i="9"/>
  <c r="BH13" i="9" s="1"/>
  <c r="BE12" i="9"/>
  <c r="BE13" i="9" s="1"/>
  <c r="BD12" i="9"/>
  <c r="BD13" i="9" s="1"/>
  <c r="BC12" i="9"/>
  <c r="BC13" i="9" s="1"/>
  <c r="BB12" i="9"/>
  <c r="BB13" i="9" s="1"/>
  <c r="BA12" i="9"/>
  <c r="BA13" i="9" s="1"/>
  <c r="AZ12" i="9"/>
  <c r="AZ13" i="9" s="1"/>
  <c r="AY12" i="9"/>
  <c r="AY13" i="9" s="1"/>
  <c r="AX12" i="9"/>
  <c r="AX13" i="9" s="1"/>
  <c r="AW12" i="9"/>
  <c r="AW13" i="9" s="1"/>
  <c r="AV12" i="9"/>
  <c r="AV13" i="9" s="1"/>
  <c r="AU12" i="9"/>
  <c r="AU13" i="9" s="1"/>
  <c r="AT12" i="9"/>
  <c r="AQ12" i="9"/>
  <c r="AP12" i="9"/>
  <c r="AP13" i="9" s="1"/>
  <c r="AO12" i="9"/>
  <c r="AO13" i="9" s="1"/>
  <c r="AN12" i="9"/>
  <c r="AN13" i="9" s="1"/>
  <c r="AM12" i="9"/>
  <c r="AM13" i="9" s="1"/>
  <c r="AL12" i="9"/>
  <c r="AL13" i="9" s="1"/>
  <c r="AK12" i="9"/>
  <c r="AK13" i="9" s="1"/>
  <c r="AJ12" i="9"/>
  <c r="AJ13" i="9" s="1"/>
  <c r="AI12" i="9"/>
  <c r="AI13" i="9" s="1"/>
  <c r="AH12" i="9"/>
  <c r="AH13" i="9" s="1"/>
  <c r="AG12" i="9"/>
  <c r="AG13" i="9" s="1"/>
  <c r="AF12" i="9"/>
  <c r="AF13" i="9" s="1"/>
  <c r="AC12" i="9"/>
  <c r="AB12" i="9"/>
  <c r="AA12" i="9"/>
  <c r="Z12" i="9"/>
  <c r="Y12" i="9"/>
  <c r="X12" i="9"/>
  <c r="AD12" i="9" s="1"/>
  <c r="W12" i="9"/>
  <c r="V12" i="9"/>
  <c r="U12" i="9"/>
  <c r="T12" i="9"/>
  <c r="S12" i="9"/>
  <c r="R12" i="9"/>
  <c r="O12" i="9"/>
  <c r="N12" i="9"/>
  <c r="M12" i="9"/>
  <c r="L12" i="9"/>
  <c r="K12" i="9"/>
  <c r="J12" i="9"/>
  <c r="P12" i="9" s="1"/>
  <c r="H12" i="9"/>
  <c r="G12" i="9"/>
  <c r="F12" i="9"/>
  <c r="E12" i="9"/>
  <c r="D12" i="9"/>
  <c r="CH10" i="9"/>
  <c r="BT10" i="9"/>
  <c r="BF10" i="9"/>
  <c r="AR10" i="9"/>
  <c r="CH9" i="9"/>
  <c r="BT9" i="9"/>
  <c r="BF9" i="9"/>
  <c r="AR9" i="9"/>
  <c r="CH8" i="9"/>
  <c r="BT8" i="9"/>
  <c r="BF8" i="9"/>
  <c r="AR8" i="9"/>
  <c r="U8" i="9"/>
  <c r="CH7" i="9"/>
  <c r="BT7" i="9"/>
  <c r="BF7" i="9"/>
  <c r="AR7" i="9"/>
  <c r="I7" i="9"/>
  <c r="I12" i="9" s="1"/>
  <c r="BV6" i="9"/>
  <c r="BS6" i="9"/>
  <c r="BR6" i="9"/>
  <c r="BQ6" i="9"/>
  <c r="BP6" i="9"/>
  <c r="BO6" i="9"/>
  <c r="BN6" i="9"/>
  <c r="BM6" i="9"/>
  <c r="BL6" i="9"/>
  <c r="BK6" i="9"/>
  <c r="BJ6" i="9"/>
  <c r="BI6" i="9"/>
  <c r="BH6" i="9"/>
  <c r="BE6" i="9"/>
  <c r="BD6" i="9"/>
  <c r="BC6" i="9"/>
  <c r="BB6" i="9"/>
  <c r="BA6" i="9"/>
  <c r="AZ6" i="9"/>
  <c r="AY6" i="9"/>
  <c r="AX6" i="9"/>
  <c r="AW6" i="9"/>
  <c r="AV6" i="9"/>
  <c r="AU6" i="9"/>
  <c r="AT6" i="9"/>
  <c r="AQ6" i="9"/>
  <c r="AP6" i="9"/>
  <c r="AO6" i="9"/>
  <c r="AN6" i="9"/>
  <c r="AM6" i="9"/>
  <c r="AL6" i="9"/>
  <c r="AK6" i="9"/>
  <c r="AJ6" i="9"/>
  <c r="AI6" i="9"/>
  <c r="AH6" i="9"/>
  <c r="AG6" i="9"/>
  <c r="AF6" i="9"/>
  <c r="AC6" i="9"/>
  <c r="AB6" i="9"/>
  <c r="AA6" i="9"/>
  <c r="Z6" i="9"/>
  <c r="Y6" i="9"/>
  <c r="X6" i="9"/>
  <c r="W6" i="9"/>
  <c r="V6" i="9"/>
  <c r="U6" i="9"/>
  <c r="T6" i="9"/>
  <c r="S6" i="9"/>
  <c r="R6" i="9"/>
  <c r="O6" i="9"/>
  <c r="N6" i="9"/>
  <c r="M6" i="9"/>
  <c r="L6" i="9"/>
  <c r="K6" i="9"/>
  <c r="J6" i="9"/>
  <c r="I6" i="9"/>
  <c r="H6" i="9"/>
  <c r="G6" i="9"/>
  <c r="F6" i="9"/>
  <c r="E6" i="9"/>
  <c r="D6" i="9"/>
  <c r="BV6" i="8"/>
  <c r="BV11" i="8" s="1"/>
  <c r="BS6" i="8"/>
  <c r="BS11" i="8" s="1"/>
  <c r="BT11" i="8"/>
  <c r="BW16" i="8"/>
  <c r="BW6" i="8" s="1"/>
  <c r="CB45" i="8"/>
  <c r="CA45" i="8"/>
  <c r="BZ45" i="8"/>
  <c r="BY45" i="8"/>
  <c r="BZ60" i="8"/>
  <c r="BY60" i="8"/>
  <c r="CA62" i="8"/>
  <c r="CA60" i="8" s="1"/>
  <c r="BX62" i="8"/>
  <c r="BX60" i="8" s="1"/>
  <c r="BW62" i="8"/>
  <c r="BW60" i="8" s="1"/>
  <c r="BV62" i="8"/>
  <c r="BV60" i="8" s="1"/>
  <c r="BX68" i="8"/>
  <c r="BH49" i="8"/>
  <c r="BV57" i="8" s="1"/>
  <c r="BH17" i="8"/>
  <c r="BH16" i="8"/>
  <c r="BR6" i="8"/>
  <c r="BR11" i="8" s="1"/>
  <c r="BT7" i="8"/>
  <c r="BT6" i="8"/>
  <c r="BH20" i="8"/>
  <c r="K69" i="8"/>
  <c r="J69" i="8"/>
  <c r="I69" i="8"/>
  <c r="H69" i="8"/>
  <c r="G69" i="8"/>
  <c r="F69" i="8"/>
  <c r="E69" i="8"/>
  <c r="D69" i="8"/>
  <c r="P69" i="8" s="1"/>
  <c r="BT67" i="8"/>
  <c r="BF67" i="8"/>
  <c r="AL67" i="8"/>
  <c r="AK67" i="8"/>
  <c r="AJ67" i="8"/>
  <c r="AI67" i="8"/>
  <c r="AH67" i="8"/>
  <c r="AG67" i="8"/>
  <c r="AF67" i="8"/>
  <c r="AR67" i="8" s="1"/>
  <c r="BT66" i="8"/>
  <c r="BB66" i="8"/>
  <c r="BF66" i="8" s="1"/>
  <c r="AR66" i="8"/>
  <c r="BQ65" i="8"/>
  <c r="BQ68" i="8" s="1"/>
  <c r="BP65" i="8"/>
  <c r="BO65" i="8"/>
  <c r="BN65" i="8"/>
  <c r="BM65" i="8"/>
  <c r="BL65" i="8"/>
  <c r="BK65" i="8"/>
  <c r="BJ65" i="8"/>
  <c r="BI65" i="8"/>
  <c r="BH65" i="8"/>
  <c r="BE65" i="8"/>
  <c r="BE68" i="8" s="1"/>
  <c r="BD65" i="8"/>
  <c r="BD68" i="8" s="1"/>
  <c r="BC65" i="8"/>
  <c r="BB65" i="8"/>
  <c r="BA65" i="8"/>
  <c r="AZ65" i="8"/>
  <c r="AY65" i="8"/>
  <c r="AX65" i="8"/>
  <c r="AW65" i="8"/>
  <c r="AV65" i="8"/>
  <c r="AU65" i="8"/>
  <c r="AT65" i="8"/>
  <c r="AQ65" i="8"/>
  <c r="AP65" i="8"/>
  <c r="AO65" i="8"/>
  <c r="AN65" i="8"/>
  <c r="AM65" i="8"/>
  <c r="AD65" i="8"/>
  <c r="P65" i="8"/>
  <c r="BE64" i="8"/>
  <c r="BD64" i="8"/>
  <c r="BS63" i="8"/>
  <c r="BF63" i="8"/>
  <c r="AR63" i="8"/>
  <c r="CH62" i="8"/>
  <c r="BT62" i="8"/>
  <c r="BF62" i="8"/>
  <c r="AR62" i="8"/>
  <c r="BS61" i="8"/>
  <c r="BO61" i="8"/>
  <c r="BN61" i="8"/>
  <c r="BM61" i="8"/>
  <c r="BL61" i="8"/>
  <c r="BK61" i="8"/>
  <c r="BJ61" i="8"/>
  <c r="BI61" i="8"/>
  <c r="BH61" i="8"/>
  <c r="BE61" i="8"/>
  <c r="BD61" i="8"/>
  <c r="BA61" i="8"/>
  <c r="AL61" i="8"/>
  <c r="AK61" i="8"/>
  <c r="AJ61" i="8"/>
  <c r="AI61" i="8"/>
  <c r="AH61" i="8"/>
  <c r="AG61" i="8"/>
  <c r="AF61" i="8"/>
  <c r="AC61" i="8"/>
  <c r="AB61" i="8"/>
  <c r="AA61" i="8"/>
  <c r="Z61" i="8"/>
  <c r="Y61" i="8"/>
  <c r="X61" i="8"/>
  <c r="W61" i="8"/>
  <c r="V61" i="8"/>
  <c r="U61" i="8"/>
  <c r="T61" i="8"/>
  <c r="S61" i="8"/>
  <c r="R61" i="8"/>
  <c r="BR60" i="8"/>
  <c r="BR61" i="8" s="1"/>
  <c r="BQ60" i="8"/>
  <c r="BQ61" i="8" s="1"/>
  <c r="BP60" i="8"/>
  <c r="BC60" i="8"/>
  <c r="BB60" i="8"/>
  <c r="AY60" i="8"/>
  <c r="AX60" i="8"/>
  <c r="AX59" i="8" s="1"/>
  <c r="AW60" i="8"/>
  <c r="AV60" i="8"/>
  <c r="AV59" i="8" s="1"/>
  <c r="AU60" i="8"/>
  <c r="AU61" i="8" s="1"/>
  <c r="AT60" i="8"/>
  <c r="AQ60" i="8"/>
  <c r="AP60" i="8"/>
  <c r="AO60" i="8"/>
  <c r="AN60" i="8"/>
  <c r="AN59" i="8" s="1"/>
  <c r="AM60" i="8"/>
  <c r="P60" i="8"/>
  <c r="BS59" i="8"/>
  <c r="BP59" i="8"/>
  <c r="BO59" i="8"/>
  <c r="BN59" i="8"/>
  <c r="BM59" i="8"/>
  <c r="BL59" i="8"/>
  <c r="BK59" i="8"/>
  <c r="BJ59" i="8"/>
  <c r="BI59" i="8"/>
  <c r="BH59" i="8"/>
  <c r="BC59" i="8"/>
  <c r="BB59" i="8"/>
  <c r="BA59" i="8"/>
  <c r="AZ59" i="8"/>
  <c r="AY59" i="8"/>
  <c r="AW59" i="8"/>
  <c r="AU59" i="8"/>
  <c r="AQ59" i="8"/>
  <c r="AP59" i="8"/>
  <c r="AO59" i="8"/>
  <c r="AM59" i="8"/>
  <c r="AL59" i="8"/>
  <c r="AK59" i="8"/>
  <c r="AJ59" i="8"/>
  <c r="AI59" i="8"/>
  <c r="AH59" i="8"/>
  <c r="AG59" i="8"/>
  <c r="AF59" i="8"/>
  <c r="AD59" i="8"/>
  <c r="P59" i="8"/>
  <c r="AQ55" i="8"/>
  <c r="AP55" i="8"/>
  <c r="AO55" i="8"/>
  <c r="AN55" i="8"/>
  <c r="AM55" i="8"/>
  <c r="AL55" i="8"/>
  <c r="AK55" i="8"/>
  <c r="AJ55" i="8"/>
  <c r="AI55" i="8"/>
  <c r="AH55" i="8"/>
  <c r="AG55" i="8"/>
  <c r="AF55" i="8"/>
  <c r="AR55" i="8" s="1"/>
  <c r="BQ53" i="8"/>
  <c r="BP53" i="8"/>
  <c r="BO53" i="8"/>
  <c r="BN53" i="8"/>
  <c r="BM53" i="8"/>
  <c r="BL53" i="8"/>
  <c r="BK53" i="8"/>
  <c r="BJ53" i="8"/>
  <c r="BI53" i="8"/>
  <c r="BH53" i="8"/>
  <c r="BT52" i="8"/>
  <c r="BB52" i="8"/>
  <c r="AR52" i="8"/>
  <c r="BQ51" i="8"/>
  <c r="AM51" i="8"/>
  <c r="AL51" i="8"/>
  <c r="AK51" i="8"/>
  <c r="AJ51" i="8"/>
  <c r="AI51" i="8"/>
  <c r="AH51" i="8"/>
  <c r="AG51" i="8"/>
  <c r="AF51" i="8"/>
  <c r="BT50" i="8"/>
  <c r="BF50" i="8"/>
  <c r="AR50" i="8"/>
  <c r="BQ49" i="8"/>
  <c r="BP49" i="8"/>
  <c r="BO49" i="8"/>
  <c r="BN49" i="8"/>
  <c r="BM49" i="8"/>
  <c r="CA57" i="8" s="1"/>
  <c r="BL49" i="8"/>
  <c r="BZ57" i="8" s="1"/>
  <c r="BK49" i="8"/>
  <c r="BY57" i="8" s="1"/>
  <c r="BJ49" i="8"/>
  <c r="BX57" i="8" s="1"/>
  <c r="BI49" i="8"/>
  <c r="BW57" i="8" s="1"/>
  <c r="BE49" i="8"/>
  <c r="BD49" i="8"/>
  <c r="BC49" i="8"/>
  <c r="BB49" i="8"/>
  <c r="BA49" i="8"/>
  <c r="AZ49" i="8"/>
  <c r="AY49" i="8"/>
  <c r="AX49" i="8"/>
  <c r="AW49" i="8"/>
  <c r="AV49" i="8"/>
  <c r="AU49" i="8"/>
  <c r="AT49" i="8"/>
  <c r="AQ49" i="8"/>
  <c r="AP49" i="8"/>
  <c r="AO49" i="8"/>
  <c r="AN49" i="8"/>
  <c r="AM49" i="8"/>
  <c r="AL49" i="8"/>
  <c r="AK49" i="8"/>
  <c r="AJ49" i="8"/>
  <c r="AI49" i="8"/>
  <c r="AH49" i="8"/>
  <c r="AG49" i="8"/>
  <c r="AF49" i="8"/>
  <c r="BF48" i="8"/>
  <c r="AR48" i="8"/>
  <c r="AD48" i="8"/>
  <c r="P48" i="8"/>
  <c r="BN47" i="8"/>
  <c r="BM47" i="8"/>
  <c r="BL47" i="8"/>
  <c r="BK47" i="8"/>
  <c r="BJ47" i="8"/>
  <c r="BI47" i="8"/>
  <c r="BH47" i="8"/>
  <c r="BA47" i="8"/>
  <c r="AZ47" i="8"/>
  <c r="AY47" i="8"/>
  <c r="AX47" i="8"/>
  <c r="AW47" i="8"/>
  <c r="AV47" i="8"/>
  <c r="AU47" i="8"/>
  <c r="AT47" i="8"/>
  <c r="BT46" i="8"/>
  <c r="BB46" i="8"/>
  <c r="AR46" i="8"/>
  <c r="BQ45" i="8"/>
  <c r="CE45" i="8" s="1"/>
  <c r="BP45" i="8"/>
  <c r="CD45" i="8" s="1"/>
  <c r="BO45" i="8"/>
  <c r="CC45" i="8" s="1"/>
  <c r="BE45" i="8"/>
  <c r="BE47" i="8" s="1"/>
  <c r="BD45" i="8"/>
  <c r="BD47" i="8" s="1"/>
  <c r="BC45" i="8"/>
  <c r="BC47" i="8" s="1"/>
  <c r="BB45" i="8"/>
  <c r="BF45" i="8" s="1"/>
  <c r="BN44" i="8"/>
  <c r="BM44" i="8"/>
  <c r="BL44" i="8"/>
  <c r="BK44" i="8"/>
  <c r="BJ44" i="8"/>
  <c r="BI44" i="8"/>
  <c r="BH44" i="8"/>
  <c r="BT44" i="8" s="1"/>
  <c r="BT43" i="8"/>
  <c r="BE43" i="8"/>
  <c r="BE53" i="8" s="1"/>
  <c r="BD43" i="8"/>
  <c r="BD53" i="8" s="1"/>
  <c r="BC43" i="8"/>
  <c r="BC53" i="8" s="1"/>
  <c r="BB43" i="8"/>
  <c r="BB44" i="8" s="1"/>
  <c r="BA43" i="8"/>
  <c r="AZ43" i="8"/>
  <c r="AZ53" i="8" s="1"/>
  <c r="AY43" i="8"/>
  <c r="AY53" i="8" s="1"/>
  <c r="AX43" i="8"/>
  <c r="AX53" i="8" s="1"/>
  <c r="AW43" i="8"/>
  <c r="AW53" i="8" s="1"/>
  <c r="AV43" i="8"/>
  <c r="AV53" i="8" s="1"/>
  <c r="AT43" i="8"/>
  <c r="AQ43" i="8"/>
  <c r="AP43" i="8"/>
  <c r="AO43" i="8"/>
  <c r="AO53" i="8" s="1"/>
  <c r="AN43" i="8"/>
  <c r="AN53" i="8" s="1"/>
  <c r="AM43" i="8"/>
  <c r="AM53" i="8" s="1"/>
  <c r="AL43" i="8"/>
  <c r="AL16" i="8" s="1"/>
  <c r="AK43" i="8"/>
  <c r="AK53" i="8" s="1"/>
  <c r="AJ43" i="8"/>
  <c r="AJ53" i="8" s="1"/>
  <c r="AI43" i="8"/>
  <c r="AI53" i="8" s="1"/>
  <c r="AG43" i="8"/>
  <c r="AG53" i="8" s="1"/>
  <c r="AC43" i="8"/>
  <c r="AC16" i="8" s="1"/>
  <c r="AC69" i="8" s="1"/>
  <c r="AB43" i="8"/>
  <c r="AB16" i="8" s="1"/>
  <c r="AB69" i="8" s="1"/>
  <c r="AA43" i="8"/>
  <c r="AA16" i="8" s="1"/>
  <c r="AA69" i="8" s="1"/>
  <c r="Z43" i="8"/>
  <c r="Z16" i="8" s="1"/>
  <c r="Z69" i="8" s="1"/>
  <c r="Y43" i="8"/>
  <c r="Y16" i="8" s="1"/>
  <c r="Y69" i="8" s="1"/>
  <c r="X43" i="8"/>
  <c r="X16" i="8" s="1"/>
  <c r="X69" i="8" s="1"/>
  <c r="W43" i="8"/>
  <c r="W16" i="8" s="1"/>
  <c r="W69" i="8" s="1"/>
  <c r="R43" i="8"/>
  <c r="R16" i="8" s="1"/>
  <c r="O43" i="8"/>
  <c r="N43" i="8"/>
  <c r="M43" i="8"/>
  <c r="L43" i="8"/>
  <c r="K43" i="8"/>
  <c r="J43" i="8"/>
  <c r="I43" i="8"/>
  <c r="H43" i="8"/>
  <c r="G43" i="8"/>
  <c r="F43" i="8"/>
  <c r="E43" i="8"/>
  <c r="D43" i="8"/>
  <c r="BF42" i="8"/>
  <c r="AR42" i="8"/>
  <c r="AD42" i="8"/>
  <c r="P42" i="8"/>
  <c r="BF41" i="8"/>
  <c r="BF40" i="8"/>
  <c r="AR40" i="8"/>
  <c r="BF39" i="8"/>
  <c r="AR39" i="8"/>
  <c r="BF38" i="8"/>
  <c r="AR38" i="8"/>
  <c r="BF37" i="8"/>
  <c r="AH37" i="8"/>
  <c r="AR37" i="8" s="1"/>
  <c r="BF36" i="8"/>
  <c r="AH36" i="8"/>
  <c r="AR36" i="8" s="1"/>
  <c r="AD36" i="8"/>
  <c r="BF35" i="8"/>
  <c r="AH35" i="8"/>
  <c r="AR35" i="8" s="1"/>
  <c r="AD35" i="8"/>
  <c r="BF34" i="8"/>
  <c r="AH34" i="8"/>
  <c r="AR34" i="8" s="1"/>
  <c r="AD34" i="8"/>
  <c r="P34" i="8"/>
  <c r="BF33" i="8"/>
  <c r="AH33" i="8"/>
  <c r="AR33" i="8" s="1"/>
  <c r="AD33" i="8"/>
  <c r="P33" i="8"/>
  <c r="BF32" i="8"/>
  <c r="AH32" i="8"/>
  <c r="AR32" i="8" s="1"/>
  <c r="AD32" i="8"/>
  <c r="P32" i="8"/>
  <c r="BF31" i="8"/>
  <c r="AH31" i="8"/>
  <c r="AD31" i="8"/>
  <c r="P31" i="8"/>
  <c r="BF30" i="8"/>
  <c r="AR30" i="8"/>
  <c r="U30" i="8"/>
  <c r="T30" i="8"/>
  <c r="AD30" i="8" s="1"/>
  <c r="P30" i="8"/>
  <c r="BF29" i="8"/>
  <c r="AR29" i="8"/>
  <c r="T29" i="8"/>
  <c r="AD29" i="8" s="1"/>
  <c r="P29" i="8"/>
  <c r="BF28" i="8"/>
  <c r="AR28" i="8"/>
  <c r="U28" i="8"/>
  <c r="T28" i="8"/>
  <c r="S28" i="8"/>
  <c r="AD28" i="8" s="1"/>
  <c r="P28" i="8"/>
  <c r="BF27" i="8"/>
  <c r="AR27" i="8"/>
  <c r="AD27" i="8"/>
  <c r="P27" i="8"/>
  <c r="BF26" i="8"/>
  <c r="AR26" i="8"/>
  <c r="V26" i="8"/>
  <c r="V43" i="8" s="1"/>
  <c r="V16" i="8" s="1"/>
  <c r="V69" i="8" s="1"/>
  <c r="U26" i="8"/>
  <c r="AD26" i="8" s="1"/>
  <c r="P26" i="8"/>
  <c r="BF25" i="8"/>
  <c r="AR25" i="8"/>
  <c r="T25" i="8"/>
  <c r="S25" i="8"/>
  <c r="P25" i="8"/>
  <c r="BF24" i="8"/>
  <c r="AR24" i="8"/>
  <c r="AD24" i="8"/>
  <c r="P24" i="8"/>
  <c r="BF23" i="8"/>
  <c r="AR23" i="8"/>
  <c r="U23" i="8"/>
  <c r="T23" i="8"/>
  <c r="AD23" i="8" s="1"/>
  <c r="P23" i="8"/>
  <c r="BF22" i="8"/>
  <c r="AR22" i="8"/>
  <c r="U22" i="8"/>
  <c r="U43" i="8" s="1"/>
  <c r="U16" i="8" s="1"/>
  <c r="U69" i="8" s="1"/>
  <c r="T22" i="8"/>
  <c r="P22" i="8"/>
  <c r="BS20" i="8"/>
  <c r="BR20" i="8"/>
  <c r="BQ20" i="8"/>
  <c r="BE20" i="8"/>
  <c r="BE51" i="8" s="1"/>
  <c r="BD20" i="8"/>
  <c r="BD51" i="8" s="1"/>
  <c r="BC20" i="8"/>
  <c r="BC51" i="8" s="1"/>
  <c r="BB20" i="8"/>
  <c r="BB51" i="8" s="1"/>
  <c r="BA20" i="8"/>
  <c r="BA51" i="8" s="1"/>
  <c r="AZ20" i="8"/>
  <c r="AZ51" i="8" s="1"/>
  <c r="AY20" i="8"/>
  <c r="AY51" i="8" s="1"/>
  <c r="AX20" i="8"/>
  <c r="AX51" i="8" s="1"/>
  <c r="AW20" i="8"/>
  <c r="AW51" i="8" s="1"/>
  <c r="AV20" i="8"/>
  <c r="AV51" i="8" s="1"/>
  <c r="AU20" i="8"/>
  <c r="AU51" i="8" s="1"/>
  <c r="AT20" i="8"/>
  <c r="U20" i="8"/>
  <c r="AD20" i="8" s="1"/>
  <c r="P20" i="8"/>
  <c r="AQ19" i="8"/>
  <c r="AQ20" i="8" s="1"/>
  <c r="AQ51" i="8" s="1"/>
  <c r="AP19" i="8"/>
  <c r="AP20" i="8" s="1"/>
  <c r="AP51" i="8" s="1"/>
  <c r="AO19" i="8"/>
  <c r="AO20" i="8" s="1"/>
  <c r="AO51" i="8" s="1"/>
  <c r="AN19" i="8"/>
  <c r="AN20" i="8" s="1"/>
  <c r="BQ18" i="8"/>
  <c r="BT18" i="8" s="1"/>
  <c r="BF18" i="8"/>
  <c r="BP17" i="8"/>
  <c r="BO17" i="8"/>
  <c r="BN17" i="8"/>
  <c r="BM17" i="8"/>
  <c r="BL17" i="8"/>
  <c r="BK17" i="8"/>
  <c r="BJ17" i="8"/>
  <c r="BI17" i="8"/>
  <c r="BE17" i="8"/>
  <c r="BD17" i="8"/>
  <c r="BC17" i="8"/>
  <c r="BB17" i="8"/>
  <c r="AZ17" i="8"/>
  <c r="AY17" i="8"/>
  <c r="BR16" i="8"/>
  <c r="BS45" i="8" s="1"/>
  <c r="CG45" i="8" s="1"/>
  <c r="BQ16" i="8"/>
  <c r="BQ69" i="8" s="1"/>
  <c r="BP16" i="8"/>
  <c r="BO16" i="8"/>
  <c r="BN16" i="8"/>
  <c r="BM16" i="8"/>
  <c r="BL16" i="8"/>
  <c r="BK16" i="8"/>
  <c r="BJ16" i="8"/>
  <c r="BI16" i="8"/>
  <c r="BT16" i="8"/>
  <c r="BE16" i="8"/>
  <c r="BE69" i="8" s="1"/>
  <c r="O16" i="8"/>
  <c r="O69" i="8" s="1"/>
  <c r="N16" i="8"/>
  <c r="N69" i="8" s="1"/>
  <c r="M16" i="8"/>
  <c r="M69" i="8" s="1"/>
  <c r="L16" i="8"/>
  <c r="L69" i="8" s="1"/>
  <c r="K16" i="8"/>
  <c r="J16" i="8"/>
  <c r="I16" i="8"/>
  <c r="H16" i="8"/>
  <c r="G16" i="8"/>
  <c r="F16" i="8"/>
  <c r="E16" i="8"/>
  <c r="D16" i="8"/>
  <c r="CG12" i="8"/>
  <c r="CF12" i="8"/>
  <c r="CF13" i="8" s="1"/>
  <c r="CE12" i="8"/>
  <c r="CE13" i="8" s="1"/>
  <c r="CD12" i="8"/>
  <c r="CD13" i="8" s="1"/>
  <c r="CC12" i="8"/>
  <c r="CC13" i="8" s="1"/>
  <c r="CB12" i="8"/>
  <c r="CB13" i="8" s="1"/>
  <c r="CA12" i="8"/>
  <c r="CA13" i="8" s="1"/>
  <c r="BZ12" i="8"/>
  <c r="BZ13" i="8" s="1"/>
  <c r="BY12" i="8"/>
  <c r="BY13" i="8" s="1"/>
  <c r="BX12" i="8"/>
  <c r="BX13" i="8" s="1"/>
  <c r="BW12" i="8"/>
  <c r="BW13" i="8" s="1"/>
  <c r="BV12" i="8"/>
  <c r="BV13" i="8" s="1"/>
  <c r="BS12" i="8"/>
  <c r="BR12" i="8"/>
  <c r="BR13" i="8" s="1"/>
  <c r="BQ12" i="8"/>
  <c r="BQ13" i="8" s="1"/>
  <c r="BP12" i="8"/>
  <c r="BP13" i="8" s="1"/>
  <c r="BO12" i="8"/>
  <c r="BO13" i="8" s="1"/>
  <c r="BN12" i="8"/>
  <c r="BN13" i="8" s="1"/>
  <c r="BM12" i="8"/>
  <c r="BM13" i="8" s="1"/>
  <c r="BL12" i="8"/>
  <c r="BL13" i="8" s="1"/>
  <c r="BK12" i="8"/>
  <c r="BK13" i="8" s="1"/>
  <c r="BJ12" i="8"/>
  <c r="BJ13" i="8" s="1"/>
  <c r="BI12" i="8"/>
  <c r="BI13" i="8" s="1"/>
  <c r="BH12" i="8"/>
  <c r="BH13" i="8" s="1"/>
  <c r="BE12" i="8"/>
  <c r="BE13" i="8" s="1"/>
  <c r="BD12" i="8"/>
  <c r="BD13" i="8" s="1"/>
  <c r="BC12" i="8"/>
  <c r="BC13" i="8" s="1"/>
  <c r="BB12" i="8"/>
  <c r="BB13" i="8" s="1"/>
  <c r="BA12" i="8"/>
  <c r="BA13" i="8" s="1"/>
  <c r="AZ12" i="8"/>
  <c r="AZ13" i="8" s="1"/>
  <c r="AY12" i="8"/>
  <c r="AY13" i="8" s="1"/>
  <c r="AX12" i="8"/>
  <c r="AX13" i="8" s="1"/>
  <c r="AW12" i="8"/>
  <c r="AW13" i="8" s="1"/>
  <c r="AV12" i="8"/>
  <c r="AV13" i="8" s="1"/>
  <c r="AU12" i="8"/>
  <c r="AU13" i="8" s="1"/>
  <c r="AT12" i="8"/>
  <c r="AQ12" i="8"/>
  <c r="AP12" i="8"/>
  <c r="AP13" i="8" s="1"/>
  <c r="AO12" i="8"/>
  <c r="AO13" i="8" s="1"/>
  <c r="AN12" i="8"/>
  <c r="AN13" i="8" s="1"/>
  <c r="AM12" i="8"/>
  <c r="AM13" i="8" s="1"/>
  <c r="AL12" i="8"/>
  <c r="AL13" i="8" s="1"/>
  <c r="AK12" i="8"/>
  <c r="AK13" i="8" s="1"/>
  <c r="AJ12" i="8"/>
  <c r="AJ13" i="8" s="1"/>
  <c r="AI12" i="8"/>
  <c r="AI13" i="8" s="1"/>
  <c r="AH12" i="8"/>
  <c r="AH13" i="8" s="1"/>
  <c r="AG12" i="8"/>
  <c r="AG13" i="8" s="1"/>
  <c r="AF12" i="8"/>
  <c r="AF13" i="8" s="1"/>
  <c r="AC12" i="8"/>
  <c r="AB12" i="8"/>
  <c r="AA12" i="8"/>
  <c r="Z12" i="8"/>
  <c r="Y12" i="8"/>
  <c r="X12" i="8"/>
  <c r="AD12" i="8" s="1"/>
  <c r="W12" i="8"/>
  <c r="V12" i="8"/>
  <c r="U12" i="8"/>
  <c r="T12" i="8"/>
  <c r="S12" i="8"/>
  <c r="R12" i="8"/>
  <c r="O12" i="8"/>
  <c r="N12" i="8"/>
  <c r="M12" i="8"/>
  <c r="L12" i="8"/>
  <c r="K12" i="8"/>
  <c r="J12" i="8"/>
  <c r="P12" i="8" s="1"/>
  <c r="H12" i="8"/>
  <c r="G12" i="8"/>
  <c r="F12" i="8"/>
  <c r="E12" i="8"/>
  <c r="D12" i="8"/>
  <c r="CH10" i="8"/>
  <c r="BT10" i="8"/>
  <c r="BF10" i="8"/>
  <c r="AR10" i="8"/>
  <c r="CH9" i="8"/>
  <c r="BT9" i="8"/>
  <c r="BF9" i="8"/>
  <c r="AR9" i="8"/>
  <c r="CH8" i="8"/>
  <c r="BT8" i="8"/>
  <c r="BF8" i="8"/>
  <c r="AR8" i="8"/>
  <c r="U8" i="8"/>
  <c r="CH7" i="8"/>
  <c r="BF7" i="8"/>
  <c r="AR7" i="8"/>
  <c r="I7" i="8"/>
  <c r="I12" i="8" s="1"/>
  <c r="BQ6" i="8"/>
  <c r="BP6" i="8"/>
  <c r="BO6" i="8"/>
  <c r="BN6" i="8"/>
  <c r="BM6" i="8"/>
  <c r="BL6" i="8"/>
  <c r="BK6" i="8"/>
  <c r="BJ6" i="8"/>
  <c r="BI6" i="8"/>
  <c r="BH6" i="8"/>
  <c r="BE6" i="8"/>
  <c r="BD6" i="8"/>
  <c r="BC6" i="8"/>
  <c r="BB6" i="8"/>
  <c r="BA6" i="8"/>
  <c r="AZ6" i="8"/>
  <c r="AY6" i="8"/>
  <c r="AX6" i="8"/>
  <c r="AW6" i="8"/>
  <c r="AV6" i="8"/>
  <c r="AU6" i="8"/>
  <c r="AT6" i="8"/>
  <c r="AQ6" i="8"/>
  <c r="AP6" i="8"/>
  <c r="AO6" i="8"/>
  <c r="AN6" i="8"/>
  <c r="AM6" i="8"/>
  <c r="AL6" i="8"/>
  <c r="AK6" i="8"/>
  <c r="AJ6" i="8"/>
  <c r="AI6" i="8"/>
  <c r="AH6" i="8"/>
  <c r="AG6" i="8"/>
  <c r="AF6" i="8"/>
  <c r="AF14" i="8" s="1"/>
  <c r="AC6" i="8"/>
  <c r="AB6" i="8"/>
  <c r="AA6" i="8"/>
  <c r="Z6" i="8"/>
  <c r="Y6" i="8"/>
  <c r="X6" i="8"/>
  <c r="W6" i="8"/>
  <c r="V6" i="8"/>
  <c r="U6" i="8"/>
  <c r="T6" i="8"/>
  <c r="S6" i="8"/>
  <c r="R6" i="8"/>
  <c r="O6" i="8"/>
  <c r="N6" i="8"/>
  <c r="M6" i="8"/>
  <c r="L6" i="8"/>
  <c r="K6" i="8"/>
  <c r="J6" i="8"/>
  <c r="I6" i="8"/>
  <c r="H6" i="8"/>
  <c r="G6" i="8"/>
  <c r="F6" i="8"/>
  <c r="E6" i="8"/>
  <c r="D6" i="8"/>
  <c r="BH57" i="2"/>
  <c r="CC57" i="2"/>
  <c r="BW20" i="2"/>
  <c r="BV45" i="2"/>
  <c r="BX45" i="2"/>
  <c r="BW57" i="2"/>
  <c r="BW6" i="2"/>
  <c r="BV6" i="2"/>
  <c r="BS57" i="2"/>
  <c r="BS61" i="2"/>
  <c r="BV57" i="2" s="1"/>
  <c r="CG57" i="2"/>
  <c r="CF57" i="2"/>
  <c r="CE57" i="2"/>
  <c r="CD57" i="2"/>
  <c r="CB57" i="2"/>
  <c r="CA57" i="2"/>
  <c r="BZ57" i="2"/>
  <c r="BR6" i="2"/>
  <c r="BR20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Z18" i="2"/>
  <c r="BY18" i="2"/>
  <c r="BX18" i="2"/>
  <c r="BW18" i="2"/>
  <c r="BV18" i="2"/>
  <c r="CG17" i="2"/>
  <c r="CG18" i="2" s="1"/>
  <c r="CF17" i="2"/>
  <c r="CF18" i="2" s="1"/>
  <c r="CE17" i="2"/>
  <c r="CE18" i="2" s="1"/>
  <c r="BQ6" i="2"/>
  <c r="BQ63" i="2"/>
  <c r="BQ66" i="2" s="1"/>
  <c r="BQ53" i="2"/>
  <c r="BQ51" i="2"/>
  <c r="BQ49" i="2"/>
  <c r="AT67" i="7"/>
  <c r="AB67" i="7"/>
  <c r="K67" i="7"/>
  <c r="J67" i="7"/>
  <c r="I67" i="7"/>
  <c r="H67" i="7"/>
  <c r="G67" i="7"/>
  <c r="F67" i="7"/>
  <c r="E67" i="7"/>
  <c r="D67" i="7"/>
  <c r="P67" i="7" s="1"/>
  <c r="BK66" i="7"/>
  <c r="AT66" i="7"/>
  <c r="BF65" i="7"/>
  <c r="AL65" i="7"/>
  <c r="AK65" i="7"/>
  <c r="AJ65" i="7"/>
  <c r="AI65" i="7"/>
  <c r="AH65" i="7"/>
  <c r="AG65" i="7"/>
  <c r="AF65" i="7"/>
  <c r="AR65" i="7" s="1"/>
  <c r="BB64" i="7"/>
  <c r="AR64" i="7"/>
  <c r="BE63" i="7"/>
  <c r="BE66" i="7" s="1"/>
  <c r="BD63" i="7"/>
  <c r="BD66" i="7" s="1"/>
  <c r="BC63" i="7"/>
  <c r="BC66" i="7" s="1"/>
  <c r="BA63" i="7"/>
  <c r="BA66" i="7" s="1"/>
  <c r="AZ63" i="7"/>
  <c r="AZ66" i="7" s="1"/>
  <c r="AY63" i="7"/>
  <c r="AY66" i="7" s="1"/>
  <c r="AX63" i="7"/>
  <c r="AW63" i="7"/>
  <c r="AW66" i="7" s="1"/>
  <c r="AV63" i="7"/>
  <c r="AV66" i="7" s="1"/>
  <c r="AU63" i="7"/>
  <c r="AU66" i="7" s="1"/>
  <c r="AT63" i="7"/>
  <c r="AQ63" i="7"/>
  <c r="AQ66" i="7" s="1"/>
  <c r="AP63" i="7"/>
  <c r="AP66" i="7" s="1"/>
  <c r="AO63" i="7"/>
  <c r="AN63" i="7"/>
  <c r="AN66" i="7" s="1"/>
  <c r="AM63" i="7"/>
  <c r="AM66" i="7" s="1"/>
  <c r="AD63" i="7"/>
  <c r="P63" i="7"/>
  <c r="BE62" i="7"/>
  <c r="BD62" i="7"/>
  <c r="BB62" i="7"/>
  <c r="BT61" i="7"/>
  <c r="BF61" i="7"/>
  <c r="AR61" i="7"/>
  <c r="BT60" i="7"/>
  <c r="BG60" i="7"/>
  <c r="BF60" i="7"/>
  <c r="AR60" i="7"/>
  <c r="BR59" i="7"/>
  <c r="BN59" i="7"/>
  <c r="BM59" i="7"/>
  <c r="BL59" i="7"/>
  <c r="BK59" i="7"/>
  <c r="BJ59" i="7"/>
  <c r="BI59" i="7"/>
  <c r="BH59" i="7"/>
  <c r="BE59" i="7"/>
  <c r="BD59" i="7"/>
  <c r="BA59" i="7"/>
  <c r="AL59" i="7"/>
  <c r="AK59" i="7"/>
  <c r="AJ59" i="7"/>
  <c r="AI59" i="7"/>
  <c r="AR59" i="7" s="1"/>
  <c r="AH59" i="7"/>
  <c r="AG59" i="7"/>
  <c r="AF59" i="7"/>
  <c r="AC59" i="7"/>
  <c r="AB59" i="7"/>
  <c r="AA59" i="7"/>
  <c r="Z59" i="7"/>
  <c r="Y59" i="7"/>
  <c r="X59" i="7"/>
  <c r="W59" i="7"/>
  <c r="V59" i="7"/>
  <c r="U59" i="7"/>
  <c r="T59" i="7"/>
  <c r="S59" i="7"/>
  <c r="R59" i="7"/>
  <c r="BC58" i="7"/>
  <c r="BB58" i="7"/>
  <c r="AY58" i="7"/>
  <c r="AX58" i="7"/>
  <c r="AW58" i="7"/>
  <c r="AV58" i="7"/>
  <c r="AU58" i="7"/>
  <c r="AU59" i="7" s="1"/>
  <c r="BF59" i="7" s="1"/>
  <c r="AT58" i="7"/>
  <c r="BF58" i="7" s="1"/>
  <c r="BG58" i="7" s="1"/>
  <c r="AQ58" i="7"/>
  <c r="AP58" i="7"/>
  <c r="AO58" i="7"/>
  <c r="AN58" i="7"/>
  <c r="AM58" i="7"/>
  <c r="AR58" i="7" s="1"/>
  <c r="P58" i="7"/>
  <c r="BM57" i="7"/>
  <c r="BL57" i="7"/>
  <c r="BK57" i="7"/>
  <c r="BJ57" i="7"/>
  <c r="BI57" i="7"/>
  <c r="BI67" i="7" s="1"/>
  <c r="BH57" i="7"/>
  <c r="BC57" i="7"/>
  <c r="BB57" i="7"/>
  <c r="BB67" i="7" s="1"/>
  <c r="BA57" i="7"/>
  <c r="AZ57" i="7"/>
  <c r="AY57" i="7"/>
  <c r="AX57" i="7"/>
  <c r="AX62" i="7" s="1"/>
  <c r="AW57" i="7"/>
  <c r="AV57" i="7"/>
  <c r="AU57" i="7"/>
  <c r="AT57" i="7"/>
  <c r="BF57" i="7" s="1"/>
  <c r="AQ57" i="7"/>
  <c r="AQ62" i="7" s="1"/>
  <c r="AP57" i="7"/>
  <c r="AP62" i="7" s="1"/>
  <c r="AO57" i="7"/>
  <c r="AO62" i="7" s="1"/>
  <c r="AN57" i="7"/>
  <c r="AM57" i="7"/>
  <c r="AM67" i="7" s="1"/>
  <c r="AL57" i="7"/>
  <c r="AK57" i="7"/>
  <c r="AK67" i="7" s="1"/>
  <c r="AJ57" i="7"/>
  <c r="AI57" i="7"/>
  <c r="AI67" i="7" s="1"/>
  <c r="AH57" i="7"/>
  <c r="AG57" i="7"/>
  <c r="AG67" i="7" s="1"/>
  <c r="AF57" i="7"/>
  <c r="AD57" i="7"/>
  <c r="P57" i="7"/>
  <c r="AQ55" i="7"/>
  <c r="AP55" i="7"/>
  <c r="AO55" i="7"/>
  <c r="AN55" i="7"/>
  <c r="AM55" i="7"/>
  <c r="AL55" i="7"/>
  <c r="AK55" i="7"/>
  <c r="AJ55" i="7"/>
  <c r="AI55" i="7"/>
  <c r="AH55" i="7"/>
  <c r="AG55" i="7"/>
  <c r="AF55" i="7"/>
  <c r="AV54" i="7"/>
  <c r="AV55" i="7" s="1"/>
  <c r="AX53" i="7"/>
  <c r="AT53" i="7"/>
  <c r="AO53" i="7"/>
  <c r="AK53" i="7"/>
  <c r="AG53" i="7"/>
  <c r="BB52" i="7"/>
  <c r="BF52" i="7" s="1"/>
  <c r="BG52" i="7" s="1"/>
  <c r="AR52" i="7"/>
  <c r="BD51" i="7"/>
  <c r="AZ51" i="7"/>
  <c r="AV51" i="7"/>
  <c r="AQ51" i="7"/>
  <c r="AM51" i="7"/>
  <c r="AL51" i="7"/>
  <c r="AK51" i="7"/>
  <c r="AJ51" i="7"/>
  <c r="AI51" i="7"/>
  <c r="AH51" i="7"/>
  <c r="AG51" i="7"/>
  <c r="AF51" i="7"/>
  <c r="BG50" i="7"/>
  <c r="BF50" i="7"/>
  <c r="AR50" i="7"/>
  <c r="BE49" i="7"/>
  <c r="BD49" i="7"/>
  <c r="BC49" i="7"/>
  <c r="BB49" i="7"/>
  <c r="BB54" i="7" s="1"/>
  <c r="BB55" i="7" s="1"/>
  <c r="BA49" i="7"/>
  <c r="AZ49" i="7"/>
  <c r="AY49" i="7"/>
  <c r="AX49" i="7"/>
  <c r="AX54" i="7" s="1"/>
  <c r="AX55" i="7" s="1"/>
  <c r="AW49" i="7"/>
  <c r="AV49" i="7"/>
  <c r="AU49" i="7"/>
  <c r="AT49" i="7"/>
  <c r="AT54" i="7" s="1"/>
  <c r="AQ49" i="7"/>
  <c r="AP49" i="7"/>
  <c r="AO49" i="7"/>
  <c r="AN49" i="7"/>
  <c r="AM49" i="7"/>
  <c r="AL49" i="7"/>
  <c r="AK49" i="7"/>
  <c r="AJ49" i="7"/>
  <c r="AI49" i="7"/>
  <c r="AH49" i="7"/>
  <c r="AG49" i="7"/>
  <c r="AF49" i="7"/>
  <c r="AR49" i="7" s="1"/>
  <c r="BF48" i="7"/>
  <c r="AR48" i="7"/>
  <c r="AD48" i="7"/>
  <c r="P48" i="7"/>
  <c r="BE47" i="7"/>
  <c r="BD47" i="7"/>
  <c r="BA47" i="7"/>
  <c r="AZ47" i="7"/>
  <c r="AY47" i="7"/>
  <c r="AX47" i="7"/>
  <c r="AW47" i="7"/>
  <c r="AV47" i="7"/>
  <c r="AU47" i="7"/>
  <c r="AT47" i="7"/>
  <c r="BF46" i="7"/>
  <c r="BB46" i="7"/>
  <c r="BB47" i="7" s="1"/>
  <c r="AR46" i="7"/>
  <c r="BE45" i="7"/>
  <c r="BD45" i="7"/>
  <c r="BC45" i="7"/>
  <c r="BC47" i="7" s="1"/>
  <c r="BB45" i="7"/>
  <c r="BF45" i="7" s="1"/>
  <c r="BT43" i="7"/>
  <c r="BU43" i="7" s="1"/>
  <c r="BE43" i="7"/>
  <c r="BE53" i="7" s="1"/>
  <c r="BD43" i="7"/>
  <c r="BD53" i="7" s="1"/>
  <c r="BC43" i="7"/>
  <c r="BC53" i="7" s="1"/>
  <c r="BB43" i="7"/>
  <c r="BB44" i="7" s="1"/>
  <c r="BA43" i="7"/>
  <c r="BA53" i="7" s="1"/>
  <c r="AZ43" i="7"/>
  <c r="AZ53" i="7" s="1"/>
  <c r="AY43" i="7"/>
  <c r="AY53" i="7" s="1"/>
  <c r="AX43" i="7"/>
  <c r="AW43" i="7"/>
  <c r="AW53" i="7" s="1"/>
  <c r="AV43" i="7"/>
  <c r="AV53" i="7" s="1"/>
  <c r="AU43" i="7"/>
  <c r="AU53" i="7" s="1"/>
  <c r="AT43" i="7"/>
  <c r="BF43" i="7" s="1"/>
  <c r="AQ43" i="7"/>
  <c r="AP43" i="7"/>
  <c r="AO43" i="7"/>
  <c r="AN43" i="7"/>
  <c r="AN53" i="7" s="1"/>
  <c r="AM43" i="7"/>
  <c r="AM53" i="7" s="1"/>
  <c r="AL43" i="7"/>
  <c r="AL53" i="7" s="1"/>
  <c r="AK43" i="7"/>
  <c r="AJ43" i="7"/>
  <c r="AJ53" i="7" s="1"/>
  <c r="AI43" i="7"/>
  <c r="AI53" i="7" s="1"/>
  <c r="AG43" i="7"/>
  <c r="AF43" i="7"/>
  <c r="AF53" i="7" s="1"/>
  <c r="AC43" i="7"/>
  <c r="AB43" i="7"/>
  <c r="AA43" i="7"/>
  <c r="Z43" i="7"/>
  <c r="Z16" i="7" s="1"/>
  <c r="Z67" i="7" s="1"/>
  <c r="Y43" i="7"/>
  <c r="X43" i="7"/>
  <c r="W43" i="7"/>
  <c r="V43" i="7"/>
  <c r="V16" i="7" s="1"/>
  <c r="V67" i="7" s="1"/>
  <c r="R43" i="7"/>
  <c r="O43" i="7"/>
  <c r="N43" i="7"/>
  <c r="M43" i="7"/>
  <c r="L43" i="7"/>
  <c r="K43" i="7"/>
  <c r="J43" i="7"/>
  <c r="I43" i="7"/>
  <c r="H43" i="7"/>
  <c r="G43" i="7"/>
  <c r="F43" i="7"/>
  <c r="E43" i="7"/>
  <c r="D43" i="7"/>
  <c r="BF42" i="7"/>
  <c r="AR42" i="7"/>
  <c r="AD42" i="7"/>
  <c r="P42" i="7"/>
  <c r="BF41" i="7"/>
  <c r="BG40" i="7"/>
  <c r="BF40" i="7"/>
  <c r="AR40" i="7"/>
  <c r="BF39" i="7"/>
  <c r="BG39" i="7" s="1"/>
  <c r="AR39" i="7"/>
  <c r="BF38" i="7"/>
  <c r="BG38" i="7" s="1"/>
  <c r="AR38" i="7"/>
  <c r="BF37" i="7"/>
  <c r="AH37" i="7"/>
  <c r="AR37" i="7" s="1"/>
  <c r="BF36" i="7"/>
  <c r="BG36" i="7" s="1"/>
  <c r="AH36" i="7"/>
  <c r="AR36" i="7" s="1"/>
  <c r="AD36" i="7"/>
  <c r="BF35" i="7"/>
  <c r="AR35" i="7"/>
  <c r="AH35" i="7"/>
  <c r="AD35" i="7"/>
  <c r="BF34" i="7"/>
  <c r="AH34" i="7"/>
  <c r="AR34" i="7" s="1"/>
  <c r="AD34" i="7"/>
  <c r="P34" i="7"/>
  <c r="BF33" i="7"/>
  <c r="AH33" i="7"/>
  <c r="AR33" i="7" s="1"/>
  <c r="AD33" i="7"/>
  <c r="P33" i="7"/>
  <c r="BF32" i="7"/>
  <c r="AH32" i="7"/>
  <c r="AR32" i="7" s="1"/>
  <c r="AD32" i="7"/>
  <c r="P32" i="7"/>
  <c r="BF31" i="7"/>
  <c r="AH31" i="7"/>
  <c r="AD31" i="7"/>
  <c r="P31" i="7"/>
  <c r="BF30" i="7"/>
  <c r="BG30" i="7" s="1"/>
  <c r="AR30" i="7"/>
  <c r="U30" i="7"/>
  <c r="T30" i="7"/>
  <c r="AD30" i="7" s="1"/>
  <c r="P30" i="7"/>
  <c r="BF29" i="7"/>
  <c r="BG29" i="7" s="1"/>
  <c r="AR29" i="7"/>
  <c r="T29" i="7"/>
  <c r="AD29" i="7" s="1"/>
  <c r="P29" i="7"/>
  <c r="BG28" i="7"/>
  <c r="BF28" i="7"/>
  <c r="AR28" i="7"/>
  <c r="U28" i="7"/>
  <c r="AD28" i="7" s="1"/>
  <c r="T28" i="7"/>
  <c r="S28" i="7"/>
  <c r="P28" i="7"/>
  <c r="BG27" i="7"/>
  <c r="BF27" i="7"/>
  <c r="AR27" i="7"/>
  <c r="AD27" i="7"/>
  <c r="P27" i="7"/>
  <c r="BF26" i="7"/>
  <c r="BG26" i="7" s="1"/>
  <c r="AR26" i="7"/>
  <c r="AD26" i="7"/>
  <c r="V26" i="7"/>
  <c r="U26" i="7"/>
  <c r="P26" i="7"/>
  <c r="BG25" i="7"/>
  <c r="BF25" i="7"/>
  <c r="AR25" i="7"/>
  <c r="T25" i="7"/>
  <c r="AD25" i="7" s="1"/>
  <c r="S25" i="7"/>
  <c r="S43" i="7" s="1"/>
  <c r="P25" i="7"/>
  <c r="BF24" i="7"/>
  <c r="BG24" i="7" s="1"/>
  <c r="AR24" i="7"/>
  <c r="AD24" i="7"/>
  <c r="P24" i="7"/>
  <c r="BG23" i="7"/>
  <c r="BF23" i="7"/>
  <c r="AR23" i="7"/>
  <c r="U23" i="7"/>
  <c r="AD23" i="7" s="1"/>
  <c r="T23" i="7"/>
  <c r="P23" i="7"/>
  <c r="BF22" i="7"/>
  <c r="BG22" i="7" s="1"/>
  <c r="AR22" i="7"/>
  <c r="U22" i="7"/>
  <c r="U43" i="7" s="1"/>
  <c r="U16" i="7" s="1"/>
  <c r="U67" i="7" s="1"/>
  <c r="T22" i="7"/>
  <c r="P22" i="7"/>
  <c r="BO20" i="7"/>
  <c r="BE20" i="7"/>
  <c r="BE51" i="7" s="1"/>
  <c r="BD20" i="7"/>
  <c r="BC20" i="7"/>
  <c r="BB20" i="7"/>
  <c r="BB51" i="7" s="1"/>
  <c r="BA20" i="7"/>
  <c r="BA51" i="7" s="1"/>
  <c r="AZ20" i="7"/>
  <c r="AY20" i="7"/>
  <c r="AY51" i="7" s="1"/>
  <c r="AX20" i="7"/>
  <c r="AX51" i="7" s="1"/>
  <c r="AW20" i="7"/>
  <c r="AW51" i="7" s="1"/>
  <c r="AV20" i="7"/>
  <c r="AU20" i="7"/>
  <c r="AU51" i="7" s="1"/>
  <c r="AT20" i="7"/>
  <c r="AQ20" i="7"/>
  <c r="AP20" i="7"/>
  <c r="U20" i="7"/>
  <c r="AD20" i="7" s="1"/>
  <c r="P20" i="7"/>
  <c r="AQ19" i="7"/>
  <c r="AP19" i="7"/>
  <c r="AO19" i="7"/>
  <c r="AO20" i="7" s="1"/>
  <c r="AO51" i="7" s="1"/>
  <c r="AN19" i="7"/>
  <c r="AN20" i="7" s="1"/>
  <c r="BF18" i="7"/>
  <c r="BS17" i="7"/>
  <c r="BR17" i="7"/>
  <c r="BR20" i="7" s="1"/>
  <c r="BQ17" i="7"/>
  <c r="BQ20" i="7" s="1"/>
  <c r="BP17" i="7"/>
  <c r="BP20" i="7" s="1"/>
  <c r="BO17" i="7"/>
  <c r="BO16" i="7" s="1"/>
  <c r="BN17" i="7"/>
  <c r="BN20" i="7" s="1"/>
  <c r="BM17" i="7"/>
  <c r="BM20" i="7" s="1"/>
  <c r="BL17" i="7"/>
  <c r="BL20" i="7" s="1"/>
  <c r="BK17" i="7"/>
  <c r="BJ17" i="7"/>
  <c r="BJ20" i="7" s="1"/>
  <c r="BI17" i="7"/>
  <c r="BI20" i="7" s="1"/>
  <c r="BH17" i="7"/>
  <c r="BH20" i="7" s="1"/>
  <c r="BE17" i="7"/>
  <c r="BD17" i="7"/>
  <c r="BB17" i="7"/>
  <c r="AZ17" i="7"/>
  <c r="AY17" i="7"/>
  <c r="BR16" i="7"/>
  <c r="BQ16" i="7"/>
  <c r="BP16" i="7"/>
  <c r="BN16" i="7"/>
  <c r="BM16" i="7"/>
  <c r="BL16" i="7"/>
  <c r="BJ16" i="7"/>
  <c r="BI16" i="7"/>
  <c r="BH16" i="7"/>
  <c r="BE16" i="7"/>
  <c r="BE67" i="7" s="1"/>
  <c r="BD16" i="7"/>
  <c r="BD67" i="7" s="1"/>
  <c r="BB16" i="7"/>
  <c r="BA16" i="7"/>
  <c r="AZ16" i="7"/>
  <c r="AZ54" i="7" s="1"/>
  <c r="AZ55" i="7" s="1"/>
  <c r="AY16" i="7"/>
  <c r="AX16" i="7"/>
  <c r="AW16" i="7"/>
  <c r="BG13" i="7" s="1"/>
  <c r="AV16" i="7"/>
  <c r="AU16" i="7"/>
  <c r="AT16" i="7"/>
  <c r="AQ16" i="7"/>
  <c r="AQ54" i="7" s="1"/>
  <c r="AO16" i="7"/>
  <c r="AN16" i="7"/>
  <c r="AM16" i="7"/>
  <c r="AM54" i="7" s="1"/>
  <c r="AL16" i="7"/>
  <c r="AK16" i="7"/>
  <c r="AJ16" i="7"/>
  <c r="AI16" i="7"/>
  <c r="AI54" i="7" s="1"/>
  <c r="AG16" i="7"/>
  <c r="AF16" i="7"/>
  <c r="AC16" i="7"/>
  <c r="AC67" i="7" s="1"/>
  <c r="AB16" i="7"/>
  <c r="AA16" i="7"/>
  <c r="AA67" i="7" s="1"/>
  <c r="Y16" i="7"/>
  <c r="Y67" i="7" s="1"/>
  <c r="X16" i="7"/>
  <c r="X67" i="7" s="1"/>
  <c r="W16" i="7"/>
  <c r="W67" i="7" s="1"/>
  <c r="S16" i="7"/>
  <c r="S67" i="7" s="1"/>
  <c r="R16" i="7"/>
  <c r="R67" i="7" s="1"/>
  <c r="P16" i="7"/>
  <c r="O16" i="7"/>
  <c r="O67" i="7" s="1"/>
  <c r="N16" i="7"/>
  <c r="N67" i="7" s="1"/>
  <c r="M16" i="7"/>
  <c r="M67" i="7" s="1"/>
  <c r="L16" i="7"/>
  <c r="L67" i="7" s="1"/>
  <c r="K16" i="7"/>
  <c r="J16" i="7"/>
  <c r="I16" i="7"/>
  <c r="H16" i="7"/>
  <c r="G16" i="7"/>
  <c r="F16" i="7"/>
  <c r="E16" i="7"/>
  <c r="D16" i="7"/>
  <c r="AX15" i="7"/>
  <c r="AO14" i="7"/>
  <c r="X14" i="7"/>
  <c r="BT13" i="7"/>
  <c r="BP13" i="7"/>
  <c r="BL13" i="7"/>
  <c r="BH13" i="7"/>
  <c r="BD13" i="7"/>
  <c r="AZ13" i="7"/>
  <c r="AV13" i="7"/>
  <c r="AQ13" i="7"/>
  <c r="AR13" i="7" s="1"/>
  <c r="AM13" i="7"/>
  <c r="AI13" i="7"/>
  <c r="Z13" i="7"/>
  <c r="V13" i="7"/>
  <c r="R13" i="7"/>
  <c r="BS12" i="7"/>
  <c r="BS13" i="7" s="1"/>
  <c r="BR12" i="7"/>
  <c r="BR13" i="7" s="1"/>
  <c r="BQ12" i="7"/>
  <c r="BQ13" i="7" s="1"/>
  <c r="BP12" i="7"/>
  <c r="BO12" i="7"/>
  <c r="BO13" i="7" s="1"/>
  <c r="BN12" i="7"/>
  <c r="BN13" i="7" s="1"/>
  <c r="BM12" i="7"/>
  <c r="BM13" i="7" s="1"/>
  <c r="BL12" i="7"/>
  <c r="BK12" i="7"/>
  <c r="BK13" i="7" s="1"/>
  <c r="BJ12" i="7"/>
  <c r="BJ13" i="7" s="1"/>
  <c r="BI12" i="7"/>
  <c r="BI13" i="7" s="1"/>
  <c r="BH12" i="7"/>
  <c r="BE12" i="7"/>
  <c r="BE13" i="7" s="1"/>
  <c r="BD12" i="7"/>
  <c r="BC12" i="7"/>
  <c r="BC13" i="7" s="1"/>
  <c r="BB12" i="7"/>
  <c r="BB13" i="7" s="1"/>
  <c r="BA12" i="7"/>
  <c r="BA13" i="7" s="1"/>
  <c r="AZ12" i="7"/>
  <c r="AY12" i="7"/>
  <c r="AY13" i="7" s="1"/>
  <c r="AX12" i="7"/>
  <c r="AX13" i="7" s="1"/>
  <c r="AW12" i="7"/>
  <c r="AW13" i="7" s="1"/>
  <c r="AV12" i="7"/>
  <c r="AU12" i="7"/>
  <c r="AU13" i="7" s="1"/>
  <c r="AT12" i="7"/>
  <c r="AT13" i="7" s="1"/>
  <c r="AR12" i="7"/>
  <c r="AQ12" i="7"/>
  <c r="AP12" i="7"/>
  <c r="AP13" i="7" s="1"/>
  <c r="AO12" i="7"/>
  <c r="AO13" i="7" s="1"/>
  <c r="AN12" i="7"/>
  <c r="AN13" i="7" s="1"/>
  <c r="AM12" i="7"/>
  <c r="AL12" i="7"/>
  <c r="AL13" i="7" s="1"/>
  <c r="AK12" i="7"/>
  <c r="AK13" i="7" s="1"/>
  <c r="AJ12" i="7"/>
  <c r="AJ13" i="7" s="1"/>
  <c r="AI12" i="7"/>
  <c r="AH12" i="7"/>
  <c r="AH13" i="7" s="1"/>
  <c r="AG12" i="7"/>
  <c r="AG13" i="7" s="1"/>
  <c r="AF12" i="7"/>
  <c r="AF13" i="7" s="1"/>
  <c r="AC12" i="7"/>
  <c r="AB12" i="7"/>
  <c r="AA12" i="7"/>
  <c r="Z12" i="7"/>
  <c r="Y12" i="7"/>
  <c r="X12" i="7"/>
  <c r="AD12" i="7" s="1"/>
  <c r="W12" i="7"/>
  <c r="V12" i="7"/>
  <c r="U12" i="7"/>
  <c r="T12" i="7"/>
  <c r="S12" i="7"/>
  <c r="R12" i="7"/>
  <c r="O12" i="7"/>
  <c r="N12" i="7"/>
  <c r="M12" i="7"/>
  <c r="L12" i="7"/>
  <c r="K12" i="7"/>
  <c r="J12" i="7"/>
  <c r="P12" i="7" s="1"/>
  <c r="H12" i="7"/>
  <c r="G12" i="7"/>
  <c r="F12" i="7"/>
  <c r="E12" i="7"/>
  <c r="D12" i="7"/>
  <c r="BC11" i="7"/>
  <c r="BB11" i="7"/>
  <c r="AU11" i="7"/>
  <c r="AT11" i="7"/>
  <c r="AL11" i="7"/>
  <c r="AK11" i="7"/>
  <c r="AA11" i="7"/>
  <c r="Z11" i="7"/>
  <c r="S11" i="7"/>
  <c r="R11" i="7"/>
  <c r="J11" i="7"/>
  <c r="H11" i="7"/>
  <c r="F11" i="7"/>
  <c r="D11" i="7"/>
  <c r="BT10" i="7"/>
  <c r="BF10" i="7"/>
  <c r="AR10" i="7"/>
  <c r="BT9" i="7"/>
  <c r="BF9" i="7"/>
  <c r="AR9" i="7"/>
  <c r="BT8" i="7"/>
  <c r="BF8" i="7"/>
  <c r="AR8" i="7"/>
  <c r="U8" i="7"/>
  <c r="BT7" i="7"/>
  <c r="BF7" i="7"/>
  <c r="AR7" i="7"/>
  <c r="I7" i="7"/>
  <c r="BI6" i="7"/>
  <c r="BH6" i="7"/>
  <c r="BH14" i="7" s="1"/>
  <c r="BF6" i="7"/>
  <c r="BE6" i="7"/>
  <c r="BD6" i="7"/>
  <c r="BC6" i="7"/>
  <c r="BC15" i="7" s="1"/>
  <c r="BB6" i="7"/>
  <c r="BB14" i="7" s="1"/>
  <c r="BA6" i="7"/>
  <c r="AZ6" i="7"/>
  <c r="AY6" i="7"/>
  <c r="AY11" i="7" s="1"/>
  <c r="AX6" i="7"/>
  <c r="AX14" i="7" s="1"/>
  <c r="AW6" i="7"/>
  <c r="AV6" i="7"/>
  <c r="AU6" i="7"/>
  <c r="AT6" i="7"/>
  <c r="AT15" i="7" s="1"/>
  <c r="AQ6" i="7"/>
  <c r="AP6" i="7"/>
  <c r="AP11" i="7" s="1"/>
  <c r="AO6" i="7"/>
  <c r="AN6" i="7"/>
  <c r="AM6" i="7"/>
  <c r="AL6" i="7"/>
  <c r="AK6" i="7"/>
  <c r="AK14" i="7" s="1"/>
  <c r="AJ6" i="7"/>
  <c r="AI6" i="7"/>
  <c r="AH6" i="7"/>
  <c r="AH11" i="7" s="1"/>
  <c r="AG6" i="7"/>
  <c r="AG14" i="7" s="1"/>
  <c r="AF6" i="7"/>
  <c r="AC6" i="7"/>
  <c r="AB6" i="7"/>
  <c r="AB14" i="7" s="1"/>
  <c r="AA6" i="7"/>
  <c r="Z6" i="7"/>
  <c r="Z14" i="7" s="1"/>
  <c r="Y6" i="7"/>
  <c r="X6" i="7"/>
  <c r="W6" i="7"/>
  <c r="V6" i="7"/>
  <c r="V14" i="7" s="1"/>
  <c r="U6" i="7"/>
  <c r="T6" i="7"/>
  <c r="S6" i="7"/>
  <c r="R6" i="7"/>
  <c r="R14" i="7" s="1"/>
  <c r="O6" i="7"/>
  <c r="N6" i="7"/>
  <c r="M6" i="7"/>
  <c r="M14" i="7" s="1"/>
  <c r="L6" i="7"/>
  <c r="K6" i="7"/>
  <c r="J6" i="7"/>
  <c r="H6" i="7"/>
  <c r="G6" i="7"/>
  <c r="F6" i="7"/>
  <c r="E6" i="7"/>
  <c r="E14" i="7" s="1"/>
  <c r="D6" i="7"/>
  <c r="C3" i="7"/>
  <c r="BC67" i="6"/>
  <c r="AL67" i="6"/>
  <c r="K67" i="6"/>
  <c r="J67" i="6"/>
  <c r="I67" i="6"/>
  <c r="H67" i="6"/>
  <c r="G67" i="6"/>
  <c r="F67" i="6"/>
  <c r="E67" i="6"/>
  <c r="D67" i="6"/>
  <c r="P67" i="6" s="1"/>
  <c r="BJ66" i="6"/>
  <c r="BH66" i="6"/>
  <c r="BF65" i="6"/>
  <c r="AL65" i="6"/>
  <c r="AK65" i="6"/>
  <c r="AJ65" i="6"/>
  <c r="AI65" i="6"/>
  <c r="AR65" i="6" s="1"/>
  <c r="AH65" i="6"/>
  <c r="AG65" i="6"/>
  <c r="AF65" i="6"/>
  <c r="BF64" i="6"/>
  <c r="BB64" i="6"/>
  <c r="AR64" i="6"/>
  <c r="BE63" i="6"/>
  <c r="BE66" i="6" s="1"/>
  <c r="BD63" i="6"/>
  <c r="BD66" i="6" s="1"/>
  <c r="BC63" i="6"/>
  <c r="BB63" i="6"/>
  <c r="BA63" i="6"/>
  <c r="BA66" i="6" s="1"/>
  <c r="AZ63" i="6"/>
  <c r="AZ66" i="6" s="1"/>
  <c r="AY63" i="6"/>
  <c r="AX63" i="6"/>
  <c r="AW63" i="6"/>
  <c r="AW66" i="6" s="1"/>
  <c r="AV63" i="6"/>
  <c r="AV66" i="6" s="1"/>
  <c r="AU63" i="6"/>
  <c r="AT63" i="6"/>
  <c r="AQ63" i="6"/>
  <c r="AQ66" i="6" s="1"/>
  <c r="AP63" i="6"/>
  <c r="AO63" i="6"/>
  <c r="AN63" i="6"/>
  <c r="AR63" i="6" s="1"/>
  <c r="AM63" i="6"/>
  <c r="AM66" i="6" s="1"/>
  <c r="AD63" i="6"/>
  <c r="P63" i="6"/>
  <c r="BE62" i="6"/>
  <c r="BD62" i="6"/>
  <c r="AQ62" i="6"/>
  <c r="BT61" i="6"/>
  <c r="BF61" i="6"/>
  <c r="AR61" i="6"/>
  <c r="BT60" i="6"/>
  <c r="BG60" i="6"/>
  <c r="BF60" i="6"/>
  <c r="AR60" i="6"/>
  <c r="BS59" i="6"/>
  <c r="BS58" i="6" s="1"/>
  <c r="BS57" i="6" s="1"/>
  <c r="BR59" i="6"/>
  <c r="BR58" i="6" s="1"/>
  <c r="BR57" i="6" s="1"/>
  <c r="BO59" i="6"/>
  <c r="BN59" i="6"/>
  <c r="BN58" i="6" s="1"/>
  <c r="BM59" i="6"/>
  <c r="BL59" i="6"/>
  <c r="BK59" i="6"/>
  <c r="BJ59" i="6"/>
  <c r="BI59" i="6"/>
  <c r="BH59" i="6"/>
  <c r="BE59" i="6"/>
  <c r="BD59" i="6"/>
  <c r="BA59" i="6"/>
  <c r="AL59" i="6"/>
  <c r="AK59" i="6"/>
  <c r="AJ59" i="6"/>
  <c r="AI59" i="6"/>
  <c r="AH59" i="6"/>
  <c r="AG59" i="6"/>
  <c r="AF59" i="6"/>
  <c r="AR59" i="6" s="1"/>
  <c r="AC59" i="6"/>
  <c r="AB59" i="6"/>
  <c r="AA59" i="6"/>
  <c r="Z59" i="6"/>
  <c r="Y59" i="6"/>
  <c r="X59" i="6"/>
  <c r="W59" i="6"/>
  <c r="V59" i="6"/>
  <c r="U59" i="6"/>
  <c r="T59" i="6"/>
  <c r="S59" i="6"/>
  <c r="R59" i="6"/>
  <c r="BC58" i="6"/>
  <c r="BB58" i="6"/>
  <c r="AY58" i="6"/>
  <c r="AX58" i="6"/>
  <c r="AW58" i="6"/>
  <c r="AV58" i="6"/>
  <c r="AU58" i="6"/>
  <c r="AU59" i="6" s="1"/>
  <c r="BF59" i="6" s="1"/>
  <c r="AT58" i="6"/>
  <c r="BF58" i="6" s="1"/>
  <c r="BG58" i="6" s="1"/>
  <c r="AQ58" i="6"/>
  <c r="AP58" i="6"/>
  <c r="AP57" i="6" s="1"/>
  <c r="AO58" i="6"/>
  <c r="AN58" i="6"/>
  <c r="AR58" i="6" s="1"/>
  <c r="AM58" i="6"/>
  <c r="P58" i="6"/>
  <c r="BM57" i="6"/>
  <c r="BL57" i="6"/>
  <c r="BK57" i="6"/>
  <c r="BJ57" i="6"/>
  <c r="BI57" i="6"/>
  <c r="BH57" i="6"/>
  <c r="BC57" i="6"/>
  <c r="BC66" i="6" s="1"/>
  <c r="BB57" i="6"/>
  <c r="BA57" i="6"/>
  <c r="AZ57" i="6"/>
  <c r="AY57" i="6"/>
  <c r="AY67" i="6" s="1"/>
  <c r="AX57" i="6"/>
  <c r="AW57" i="6"/>
  <c r="AV57" i="6"/>
  <c r="AU57" i="6"/>
  <c r="AU67" i="6" s="1"/>
  <c r="AT57" i="6"/>
  <c r="AQ57" i="6"/>
  <c r="AO57" i="6"/>
  <c r="AN57" i="6"/>
  <c r="AM57" i="6"/>
  <c r="AM67" i="6" s="1"/>
  <c r="AL57" i="6"/>
  <c r="AL66" i="6" s="1"/>
  <c r="AK57" i="6"/>
  <c r="AJ57" i="6"/>
  <c r="AI57" i="6"/>
  <c r="AI67" i="6" s="1"/>
  <c r="AH57" i="6"/>
  <c r="AG57" i="6"/>
  <c r="AF57" i="6"/>
  <c r="AD57" i="6"/>
  <c r="P57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AR55" i="6" s="1"/>
  <c r="AU53" i="6"/>
  <c r="AO53" i="6"/>
  <c r="BF52" i="6"/>
  <c r="BB52" i="6"/>
  <c r="AR52" i="6"/>
  <c r="AY51" i="6"/>
  <c r="AM51" i="6"/>
  <c r="AL51" i="6"/>
  <c r="AK51" i="6"/>
  <c r="AJ51" i="6"/>
  <c r="AI51" i="6"/>
  <c r="AH51" i="6"/>
  <c r="AG51" i="6"/>
  <c r="AF51" i="6"/>
  <c r="BG50" i="6"/>
  <c r="BF50" i="6"/>
  <c r="AR50" i="6"/>
  <c r="BE49" i="6"/>
  <c r="BE54" i="6" s="1"/>
  <c r="BE55" i="6" s="1"/>
  <c r="BD49" i="6"/>
  <c r="BC49" i="6"/>
  <c r="BC54" i="6" s="1"/>
  <c r="BC55" i="6" s="1"/>
  <c r="BB49" i="6"/>
  <c r="BA49" i="6"/>
  <c r="AZ49" i="6"/>
  <c r="AY49" i="6"/>
  <c r="AX49" i="6"/>
  <c r="AW49" i="6"/>
  <c r="AV49" i="6"/>
  <c r="AU49" i="6"/>
  <c r="AU54" i="6" s="1"/>
  <c r="AU55" i="6" s="1"/>
  <c r="AT49" i="6"/>
  <c r="AQ49" i="6"/>
  <c r="AP49" i="6"/>
  <c r="AO49" i="6"/>
  <c r="AO54" i="6" s="1"/>
  <c r="AN49" i="6"/>
  <c r="AM49" i="6"/>
  <c r="AL49" i="6"/>
  <c r="AL54" i="6" s="1"/>
  <c r="AK49" i="6"/>
  <c r="AK54" i="6" s="1"/>
  <c r="AJ49" i="6"/>
  <c r="AI49" i="6"/>
  <c r="AH49" i="6"/>
  <c r="AG49" i="6"/>
  <c r="AF49" i="6"/>
  <c r="BF48" i="6"/>
  <c r="AR48" i="6"/>
  <c r="AD48" i="6"/>
  <c r="P48" i="6"/>
  <c r="BD47" i="6"/>
  <c r="BC47" i="6"/>
  <c r="BA47" i="6"/>
  <c r="AZ47" i="6"/>
  <c r="AY47" i="6"/>
  <c r="AX47" i="6"/>
  <c r="AW47" i="6"/>
  <c r="AV47" i="6"/>
  <c r="AU47" i="6"/>
  <c r="AT47" i="6"/>
  <c r="AN47" i="6"/>
  <c r="BF46" i="6"/>
  <c r="BB46" i="6"/>
  <c r="AR46" i="6"/>
  <c r="BE45" i="6"/>
  <c r="BE47" i="6" s="1"/>
  <c r="BD45" i="6"/>
  <c r="BC45" i="6"/>
  <c r="BB45" i="6"/>
  <c r="BF45" i="6" s="1"/>
  <c r="BT43" i="6"/>
  <c r="BE43" i="6"/>
  <c r="BE53" i="6" s="1"/>
  <c r="BD43" i="6"/>
  <c r="BD53" i="6" s="1"/>
  <c r="BC43" i="6"/>
  <c r="BC53" i="6" s="1"/>
  <c r="BB43" i="6"/>
  <c r="BB53" i="6" s="1"/>
  <c r="BA43" i="6"/>
  <c r="AZ43" i="6"/>
  <c r="AZ53" i="6" s="1"/>
  <c r="AY43" i="6"/>
  <c r="AY53" i="6" s="1"/>
  <c r="AX43" i="6"/>
  <c r="AX53" i="6" s="1"/>
  <c r="AW43" i="6"/>
  <c r="AV43" i="6"/>
  <c r="AV53" i="6" s="1"/>
  <c r="AU43" i="6"/>
  <c r="AT43" i="6"/>
  <c r="AT53" i="6" s="1"/>
  <c r="AQ43" i="6"/>
  <c r="AQ53" i="6" s="1"/>
  <c r="AP43" i="6"/>
  <c r="AP53" i="6" s="1"/>
  <c r="AO43" i="6"/>
  <c r="AN43" i="6"/>
  <c r="AN53" i="6" s="1"/>
  <c r="AM43" i="6"/>
  <c r="AM53" i="6" s="1"/>
  <c r="AL43" i="6"/>
  <c r="AK43" i="6"/>
  <c r="AK53" i="6" s="1"/>
  <c r="AJ43" i="6"/>
  <c r="AI43" i="6"/>
  <c r="AI53" i="6" s="1"/>
  <c r="AG43" i="6"/>
  <c r="AG53" i="6" s="1"/>
  <c r="AF43" i="6"/>
  <c r="AC43" i="6"/>
  <c r="AB43" i="6"/>
  <c r="AA43" i="6"/>
  <c r="AA16" i="6" s="1"/>
  <c r="AA67" i="6" s="1"/>
  <c r="Z43" i="6"/>
  <c r="Y43" i="6"/>
  <c r="X43" i="6"/>
  <c r="W43" i="6"/>
  <c r="W16" i="6" s="1"/>
  <c r="W67" i="6" s="1"/>
  <c r="S43" i="6"/>
  <c r="S16" i="6" s="1"/>
  <c r="S67" i="6" s="1"/>
  <c r="R43" i="6"/>
  <c r="O43" i="6"/>
  <c r="N43" i="6"/>
  <c r="M43" i="6"/>
  <c r="L43" i="6"/>
  <c r="K43" i="6"/>
  <c r="J43" i="6"/>
  <c r="I43" i="6"/>
  <c r="H43" i="6"/>
  <c r="G43" i="6"/>
  <c r="F43" i="6"/>
  <c r="E43" i="6"/>
  <c r="D43" i="6"/>
  <c r="P43" i="6" s="1"/>
  <c r="BF42" i="6"/>
  <c r="BG42" i="6" s="1"/>
  <c r="AR42" i="6"/>
  <c r="AD42" i="6"/>
  <c r="P42" i="6"/>
  <c r="BF41" i="6"/>
  <c r="BF40" i="6"/>
  <c r="BG40" i="6" s="1"/>
  <c r="AR40" i="6"/>
  <c r="BG39" i="6"/>
  <c r="BF39" i="6"/>
  <c r="AR39" i="6"/>
  <c r="BF38" i="6"/>
  <c r="BG38" i="6" s="1"/>
  <c r="AR38" i="6"/>
  <c r="BF37" i="6"/>
  <c r="AR37" i="6"/>
  <c r="BG37" i="6" s="1"/>
  <c r="AH37" i="6"/>
  <c r="BF36" i="6"/>
  <c r="AR36" i="6"/>
  <c r="BG36" i="6" s="1"/>
  <c r="AH36" i="6"/>
  <c r="AD36" i="6"/>
  <c r="BF35" i="6"/>
  <c r="BG35" i="6" s="1"/>
  <c r="AH35" i="6"/>
  <c r="AR35" i="6" s="1"/>
  <c r="AD35" i="6"/>
  <c r="BG34" i="6"/>
  <c r="BF34" i="6"/>
  <c r="AR34" i="6"/>
  <c r="AH34" i="6"/>
  <c r="AD34" i="6"/>
  <c r="P34" i="6"/>
  <c r="BF33" i="6"/>
  <c r="AR33" i="6"/>
  <c r="BG33" i="6" s="1"/>
  <c r="AH33" i="6"/>
  <c r="AD33" i="6"/>
  <c r="P33" i="6"/>
  <c r="BG32" i="6"/>
  <c r="BF32" i="6"/>
  <c r="AR32" i="6"/>
  <c r="AH32" i="6"/>
  <c r="AD32" i="6"/>
  <c r="P32" i="6"/>
  <c r="BF31" i="6"/>
  <c r="AR31" i="6"/>
  <c r="BG31" i="6" s="1"/>
  <c r="AH31" i="6"/>
  <c r="AH43" i="6" s="1"/>
  <c r="AD31" i="6"/>
  <c r="P31" i="6"/>
  <c r="BG30" i="6"/>
  <c r="BF30" i="6"/>
  <c r="AR30" i="6"/>
  <c r="U30" i="6"/>
  <c r="AD30" i="6" s="1"/>
  <c r="T30" i="6"/>
  <c r="P30" i="6"/>
  <c r="BF29" i="6"/>
  <c r="BG29" i="6" s="1"/>
  <c r="AR29" i="6"/>
  <c r="AD29" i="6"/>
  <c r="T29" i="6"/>
  <c r="P29" i="6"/>
  <c r="BF28" i="6"/>
  <c r="BG28" i="6" s="1"/>
  <c r="AR28" i="6"/>
  <c r="AD28" i="6"/>
  <c r="U28" i="6"/>
  <c r="T28" i="6"/>
  <c r="S28" i="6"/>
  <c r="P28" i="6"/>
  <c r="BF27" i="6"/>
  <c r="BG27" i="6" s="1"/>
  <c r="AR27" i="6"/>
  <c r="AD27" i="6"/>
  <c r="P27" i="6"/>
  <c r="BF26" i="6"/>
  <c r="AR26" i="6"/>
  <c r="BG26" i="6" s="1"/>
  <c r="V26" i="6"/>
  <c r="V43" i="6" s="1"/>
  <c r="V16" i="6" s="1"/>
  <c r="V67" i="6" s="1"/>
  <c r="U26" i="6"/>
  <c r="AD26" i="6" s="1"/>
  <c r="P26" i="6"/>
  <c r="BF25" i="6"/>
  <c r="BG25" i="6" s="1"/>
  <c r="AR25" i="6"/>
  <c r="AD25" i="6"/>
  <c r="T25" i="6"/>
  <c r="S25" i="6"/>
  <c r="P25" i="6"/>
  <c r="BG24" i="6"/>
  <c r="BF24" i="6"/>
  <c r="AR24" i="6"/>
  <c r="AD24" i="6"/>
  <c r="P24" i="6"/>
  <c r="BF23" i="6"/>
  <c r="BG23" i="6" s="1"/>
  <c r="AR23" i="6"/>
  <c r="AD23" i="6"/>
  <c r="U23" i="6"/>
  <c r="T23" i="6"/>
  <c r="P23" i="6"/>
  <c r="BG22" i="6"/>
  <c r="BF22" i="6"/>
  <c r="AR22" i="6"/>
  <c r="U22" i="6"/>
  <c r="T22" i="6"/>
  <c r="T43" i="6" s="1"/>
  <c r="P22" i="6"/>
  <c r="BP20" i="6"/>
  <c r="BH20" i="6"/>
  <c r="BE20" i="6"/>
  <c r="BE51" i="6" s="1"/>
  <c r="BD20" i="6"/>
  <c r="BC20" i="6"/>
  <c r="BC51" i="6" s="1"/>
  <c r="BB20" i="6"/>
  <c r="BB51" i="6" s="1"/>
  <c r="BA20" i="6"/>
  <c r="BA51" i="6" s="1"/>
  <c r="AZ20" i="6"/>
  <c r="AY20" i="6"/>
  <c r="AX20" i="6"/>
  <c r="AX51" i="6" s="1"/>
  <c r="AW20" i="6"/>
  <c r="AW51" i="6" s="1"/>
  <c r="AV20" i="6"/>
  <c r="AU20" i="6"/>
  <c r="AU51" i="6" s="1"/>
  <c r="AT20" i="6"/>
  <c r="AT51" i="6" s="1"/>
  <c r="AQ20" i="6"/>
  <c r="AO20" i="6"/>
  <c r="AO51" i="6" s="1"/>
  <c r="AD20" i="6"/>
  <c r="U20" i="6"/>
  <c r="P20" i="6"/>
  <c r="AQ19" i="6"/>
  <c r="AP19" i="6"/>
  <c r="AP20" i="6" s="1"/>
  <c r="AO19" i="6"/>
  <c r="AN19" i="6"/>
  <c r="AN20" i="6" s="1"/>
  <c r="BF18" i="6"/>
  <c r="BS17" i="6"/>
  <c r="BS20" i="6" s="1"/>
  <c r="BR17" i="6"/>
  <c r="BR20" i="6" s="1"/>
  <c r="BQ17" i="6"/>
  <c r="BQ20" i="6" s="1"/>
  <c r="BP17" i="6"/>
  <c r="BP16" i="6" s="1"/>
  <c r="BO17" i="6"/>
  <c r="BO20" i="6" s="1"/>
  <c r="BN17" i="6"/>
  <c r="BN20" i="6" s="1"/>
  <c r="BM17" i="6"/>
  <c r="BM20" i="6" s="1"/>
  <c r="BL17" i="6"/>
  <c r="BL16" i="6" s="1"/>
  <c r="BK17" i="6"/>
  <c r="BK20" i="6" s="1"/>
  <c r="BJ17" i="6"/>
  <c r="BJ20" i="6" s="1"/>
  <c r="BI17" i="6"/>
  <c r="BI20" i="6" s="1"/>
  <c r="BH17" i="6"/>
  <c r="BH16" i="6" s="1"/>
  <c r="BE17" i="6"/>
  <c r="BC17" i="6"/>
  <c r="BB17" i="6"/>
  <c r="AY17" i="6"/>
  <c r="BS16" i="6"/>
  <c r="BR16" i="6"/>
  <c r="BQ16" i="6"/>
  <c r="BO16" i="6"/>
  <c r="BN16" i="6"/>
  <c r="BM16" i="6"/>
  <c r="BK16" i="6"/>
  <c r="BJ16" i="6"/>
  <c r="BJ67" i="6" s="1"/>
  <c r="BI16" i="6"/>
  <c r="BE16" i="6"/>
  <c r="BE67" i="6" s="1"/>
  <c r="BC16" i="6"/>
  <c r="BB16" i="6"/>
  <c r="AY16" i="6"/>
  <c r="AY54" i="6" s="1"/>
  <c r="AY55" i="6" s="1"/>
  <c r="AX16" i="6"/>
  <c r="AU16" i="6"/>
  <c r="AT16" i="6"/>
  <c r="AO16" i="6"/>
  <c r="AM16" i="6"/>
  <c r="AM54" i="6" s="1"/>
  <c r="AL16" i="6"/>
  <c r="AK16" i="6"/>
  <c r="AI16" i="6"/>
  <c r="AI54" i="6" s="1"/>
  <c r="AG16" i="6"/>
  <c r="AC16" i="6"/>
  <c r="AC67" i="6" s="1"/>
  <c r="AB16" i="6"/>
  <c r="AB67" i="6" s="1"/>
  <c r="Z16" i="6"/>
  <c r="Z67" i="6" s="1"/>
  <c r="Y16" i="6"/>
  <c r="Y67" i="6" s="1"/>
  <c r="X16" i="6"/>
  <c r="X67" i="6" s="1"/>
  <c r="T16" i="6"/>
  <c r="T67" i="6" s="1"/>
  <c r="R16" i="6"/>
  <c r="R67" i="6" s="1"/>
  <c r="O16" i="6"/>
  <c r="O67" i="6" s="1"/>
  <c r="N16" i="6"/>
  <c r="N67" i="6" s="1"/>
  <c r="M16" i="6"/>
  <c r="M67" i="6" s="1"/>
  <c r="L16" i="6"/>
  <c r="L67" i="6" s="1"/>
  <c r="K16" i="6"/>
  <c r="J16" i="6"/>
  <c r="I16" i="6"/>
  <c r="H16" i="6"/>
  <c r="G16" i="6"/>
  <c r="F16" i="6"/>
  <c r="E16" i="6"/>
  <c r="D16" i="6"/>
  <c r="BC15" i="6"/>
  <c r="AL15" i="6"/>
  <c r="AL47" i="6" s="1"/>
  <c r="AU14" i="6"/>
  <c r="AL14" i="6"/>
  <c r="AC14" i="6"/>
  <c r="AD14" i="6" s="1"/>
  <c r="Y14" i="6"/>
  <c r="U14" i="6"/>
  <c r="L14" i="6"/>
  <c r="H14" i="6"/>
  <c r="D14" i="6"/>
  <c r="BQ13" i="6"/>
  <c r="BM13" i="6"/>
  <c r="BI13" i="6"/>
  <c r="BE13" i="6"/>
  <c r="BC13" i="6"/>
  <c r="BA13" i="6"/>
  <c r="AY13" i="6"/>
  <c r="AW13" i="6"/>
  <c r="AU13" i="6"/>
  <c r="AP13" i="6"/>
  <c r="AN13" i="6"/>
  <c r="AL13" i="6"/>
  <c r="AJ13" i="6"/>
  <c r="AH13" i="6"/>
  <c r="AF13" i="6"/>
  <c r="AA13" i="6"/>
  <c r="W13" i="6"/>
  <c r="S13" i="6"/>
  <c r="N13" i="6"/>
  <c r="F13" i="6"/>
  <c r="BS12" i="6"/>
  <c r="BR12" i="6"/>
  <c r="BR13" i="6" s="1"/>
  <c r="BQ12" i="6"/>
  <c r="BP12" i="6"/>
  <c r="BP13" i="6" s="1"/>
  <c r="BO12" i="6"/>
  <c r="BO13" i="6" s="1"/>
  <c r="BN12" i="6"/>
  <c r="BN13" i="6" s="1"/>
  <c r="BM12" i="6"/>
  <c r="BL12" i="6"/>
  <c r="BL13" i="6" s="1"/>
  <c r="BK12" i="6"/>
  <c r="BK13" i="6" s="1"/>
  <c r="BJ12" i="6"/>
  <c r="BJ13" i="6" s="1"/>
  <c r="BI12" i="6"/>
  <c r="BH12" i="6"/>
  <c r="BH13" i="6" s="1"/>
  <c r="BE12" i="6"/>
  <c r="BD12" i="6"/>
  <c r="BD13" i="6" s="1"/>
  <c r="BC12" i="6"/>
  <c r="BB12" i="6"/>
  <c r="BB13" i="6" s="1"/>
  <c r="BA12" i="6"/>
  <c r="AZ12" i="6"/>
  <c r="AZ13" i="6" s="1"/>
  <c r="AY12" i="6"/>
  <c r="AX12" i="6"/>
  <c r="AX13" i="6" s="1"/>
  <c r="AW12" i="6"/>
  <c r="AV12" i="6"/>
  <c r="AV13" i="6" s="1"/>
  <c r="AU12" i="6"/>
  <c r="AT12" i="6"/>
  <c r="AT13" i="6" s="1"/>
  <c r="AQ12" i="6"/>
  <c r="AQ13" i="6" s="1"/>
  <c r="AR13" i="6" s="1"/>
  <c r="AP12" i="6"/>
  <c r="AO12" i="6"/>
  <c r="AO13" i="6" s="1"/>
  <c r="AN12" i="6"/>
  <c r="AM12" i="6"/>
  <c r="AM13" i="6" s="1"/>
  <c r="AL12" i="6"/>
  <c r="AK12" i="6"/>
  <c r="AK13" i="6" s="1"/>
  <c r="AJ12" i="6"/>
  <c r="AI12" i="6"/>
  <c r="AI13" i="6" s="1"/>
  <c r="AH12" i="6"/>
  <c r="AG12" i="6"/>
  <c r="AG13" i="6" s="1"/>
  <c r="AF12" i="6"/>
  <c r="AC12" i="6"/>
  <c r="AB12" i="6"/>
  <c r="AA12" i="6"/>
  <c r="Z12" i="6"/>
  <c r="Y12" i="6"/>
  <c r="X12" i="6"/>
  <c r="AD12" i="6" s="1"/>
  <c r="W12" i="6"/>
  <c r="V12" i="6"/>
  <c r="U12" i="6"/>
  <c r="T12" i="6"/>
  <c r="S12" i="6"/>
  <c r="R12" i="6"/>
  <c r="O12" i="6"/>
  <c r="N12" i="6"/>
  <c r="M12" i="6"/>
  <c r="L12" i="6"/>
  <c r="K12" i="6"/>
  <c r="J12" i="6"/>
  <c r="P12" i="6" s="1"/>
  <c r="I12" i="6"/>
  <c r="H12" i="6"/>
  <c r="G12" i="6"/>
  <c r="F12" i="6"/>
  <c r="E12" i="6"/>
  <c r="D12" i="6"/>
  <c r="BC11" i="6"/>
  <c r="AU11" i="6"/>
  <c r="AP11" i="6"/>
  <c r="AL11" i="6"/>
  <c r="AA11" i="6"/>
  <c r="Y11" i="6"/>
  <c r="W11" i="6"/>
  <c r="U11" i="6"/>
  <c r="S11" i="6"/>
  <c r="O11" i="6"/>
  <c r="M11" i="6"/>
  <c r="K11" i="6"/>
  <c r="I11" i="6"/>
  <c r="G11" i="6"/>
  <c r="E11" i="6"/>
  <c r="BT10" i="6"/>
  <c r="BF10" i="6"/>
  <c r="AR10" i="6"/>
  <c r="BT9" i="6"/>
  <c r="BF9" i="6"/>
  <c r="AR9" i="6"/>
  <c r="BT8" i="6"/>
  <c r="BF8" i="6"/>
  <c r="AR8" i="6"/>
  <c r="U8" i="6"/>
  <c r="BT7" i="6"/>
  <c r="BF7" i="6"/>
  <c r="AR7" i="6"/>
  <c r="I7" i="6"/>
  <c r="BH6" i="6"/>
  <c r="BH11" i="6" s="1"/>
  <c r="BE6" i="6"/>
  <c r="BF6" i="6" s="1"/>
  <c r="BD6" i="6"/>
  <c r="BD15" i="6" s="1"/>
  <c r="BC6" i="6"/>
  <c r="BB6" i="6"/>
  <c r="BB15" i="6" s="1"/>
  <c r="BA6" i="6"/>
  <c r="AZ6" i="6"/>
  <c r="AY6" i="6"/>
  <c r="AY14" i="6" s="1"/>
  <c r="AX6" i="6"/>
  <c r="AX15" i="6" s="1"/>
  <c r="AW6" i="6"/>
  <c r="AV6" i="6"/>
  <c r="AU6" i="6"/>
  <c r="AT6" i="6"/>
  <c r="AT15" i="6" s="1"/>
  <c r="AR6" i="6"/>
  <c r="AQ6" i="6"/>
  <c r="AQ15" i="6" s="1"/>
  <c r="AP6" i="6"/>
  <c r="AO6" i="6"/>
  <c r="AN6" i="6"/>
  <c r="AN15" i="6" s="1"/>
  <c r="AM6" i="6"/>
  <c r="AL6" i="6"/>
  <c r="AK6" i="6"/>
  <c r="AK15" i="6" s="1"/>
  <c r="AK47" i="6" s="1"/>
  <c r="AJ6" i="6"/>
  <c r="AJ15" i="6" s="1"/>
  <c r="AJ47" i="6" s="1"/>
  <c r="AI6" i="6"/>
  <c r="AH6" i="6"/>
  <c r="AH14" i="6" s="1"/>
  <c r="AG6" i="6"/>
  <c r="AF6" i="6"/>
  <c r="AC6" i="6"/>
  <c r="AC13" i="6" s="1"/>
  <c r="AD13" i="6" s="1"/>
  <c r="AB6" i="6"/>
  <c r="AA6" i="6"/>
  <c r="AA14" i="6" s="1"/>
  <c r="Z6" i="6"/>
  <c r="Z13" i="6" s="1"/>
  <c r="Y6" i="6"/>
  <c r="Y13" i="6" s="1"/>
  <c r="X6" i="6"/>
  <c r="W6" i="6"/>
  <c r="W14" i="6" s="1"/>
  <c r="V6" i="6"/>
  <c r="V13" i="6" s="1"/>
  <c r="U6" i="6"/>
  <c r="U13" i="6" s="1"/>
  <c r="T6" i="6"/>
  <c r="S6" i="6"/>
  <c r="S14" i="6" s="1"/>
  <c r="R6" i="6"/>
  <c r="R13" i="6" s="1"/>
  <c r="O6" i="6"/>
  <c r="O14" i="6" s="1"/>
  <c r="P14" i="6" s="1"/>
  <c r="N6" i="6"/>
  <c r="M6" i="6"/>
  <c r="M13" i="6" s="1"/>
  <c r="L6" i="6"/>
  <c r="L11" i="6" s="1"/>
  <c r="K6" i="6"/>
  <c r="K14" i="6" s="1"/>
  <c r="J6" i="6"/>
  <c r="I6" i="6"/>
  <c r="I13" i="6" s="1"/>
  <c r="H6" i="6"/>
  <c r="H11" i="6" s="1"/>
  <c r="G6" i="6"/>
  <c r="G14" i="6" s="1"/>
  <c r="F6" i="6"/>
  <c r="E6" i="6"/>
  <c r="E13" i="6" s="1"/>
  <c r="D6" i="6"/>
  <c r="D11" i="6" s="1"/>
  <c r="C3" i="6"/>
  <c r="BI72" i="5"/>
  <c r="BM71" i="5"/>
  <c r="BL71" i="5"/>
  <c r="BK71" i="5"/>
  <c r="BJ71" i="5"/>
  <c r="BI71" i="5"/>
  <c r="AF67" i="5"/>
  <c r="N67" i="5"/>
  <c r="K67" i="5"/>
  <c r="J67" i="5"/>
  <c r="I67" i="5"/>
  <c r="H67" i="5"/>
  <c r="G67" i="5"/>
  <c r="F67" i="5"/>
  <c r="E67" i="5"/>
  <c r="D67" i="5"/>
  <c r="P67" i="5" s="1"/>
  <c r="BJ66" i="5"/>
  <c r="BE66" i="5"/>
  <c r="BA66" i="5"/>
  <c r="AJ66" i="5"/>
  <c r="BF65" i="5"/>
  <c r="AL65" i="5"/>
  <c r="AK65" i="5"/>
  <c r="AJ65" i="5"/>
  <c r="AI65" i="5"/>
  <c r="AH65" i="5"/>
  <c r="AG65" i="5"/>
  <c r="AR65" i="5" s="1"/>
  <c r="AF65" i="5"/>
  <c r="BF64" i="5"/>
  <c r="BB64" i="5"/>
  <c r="AR64" i="5"/>
  <c r="BI63" i="5"/>
  <c r="BH63" i="5"/>
  <c r="BH66" i="5" s="1"/>
  <c r="BE63" i="5"/>
  <c r="BD63" i="5"/>
  <c r="BD66" i="5" s="1"/>
  <c r="BC63" i="5"/>
  <c r="BB63" i="5"/>
  <c r="BA63" i="5"/>
  <c r="AZ63" i="5"/>
  <c r="AZ66" i="5" s="1"/>
  <c r="AY63" i="5"/>
  <c r="AX63" i="5"/>
  <c r="AW63" i="5"/>
  <c r="AV63" i="5"/>
  <c r="AU63" i="5"/>
  <c r="AT63" i="5"/>
  <c r="AQ63" i="5"/>
  <c r="AQ66" i="5" s="1"/>
  <c r="AP63" i="5"/>
  <c r="AO63" i="5"/>
  <c r="AN63" i="5"/>
  <c r="AM63" i="5"/>
  <c r="AD63" i="5"/>
  <c r="P63" i="5"/>
  <c r="BE62" i="5"/>
  <c r="BD62" i="5"/>
  <c r="BA62" i="5"/>
  <c r="CH61" i="5"/>
  <c r="BT61" i="5"/>
  <c r="BF61" i="5"/>
  <c r="AR61" i="5"/>
  <c r="CH60" i="5"/>
  <c r="BT60" i="5"/>
  <c r="BF60" i="5"/>
  <c r="BG60" i="5" s="1"/>
  <c r="AR60" i="5"/>
  <c r="BS59" i="5"/>
  <c r="BR59" i="5"/>
  <c r="BV59" i="5" s="1"/>
  <c r="BV58" i="5" s="1"/>
  <c r="BQ59" i="5"/>
  <c r="BP59" i="5"/>
  <c r="BO59" i="5"/>
  <c r="BN59" i="5"/>
  <c r="BM59" i="5"/>
  <c r="BL59" i="5"/>
  <c r="BK59" i="5"/>
  <c r="BJ59" i="5"/>
  <c r="BI59" i="5"/>
  <c r="BH59" i="5"/>
  <c r="BE59" i="5"/>
  <c r="BD59" i="5"/>
  <c r="BA59" i="5"/>
  <c r="AU59" i="5"/>
  <c r="BF59" i="5" s="1"/>
  <c r="AL59" i="5"/>
  <c r="AK59" i="5"/>
  <c r="AJ59" i="5"/>
  <c r="AI59" i="5"/>
  <c r="AH59" i="5"/>
  <c r="AG59" i="5"/>
  <c r="AF59" i="5"/>
  <c r="AC59" i="5"/>
  <c r="AB59" i="5"/>
  <c r="AA59" i="5"/>
  <c r="Z59" i="5"/>
  <c r="Y59" i="5"/>
  <c r="X59" i="5"/>
  <c r="W59" i="5"/>
  <c r="V59" i="5"/>
  <c r="U59" i="5"/>
  <c r="T59" i="5"/>
  <c r="S59" i="5"/>
  <c r="R59" i="5"/>
  <c r="BT58" i="5"/>
  <c r="BC58" i="5"/>
  <c r="BB58" i="5"/>
  <c r="BB57" i="5" s="1"/>
  <c r="AY58" i="5"/>
  <c r="AX58" i="5"/>
  <c r="AX57" i="5" s="1"/>
  <c r="AW58" i="5"/>
  <c r="AV58" i="5"/>
  <c r="AV57" i="5" s="1"/>
  <c r="AU58" i="5"/>
  <c r="AT58" i="5"/>
  <c r="AT57" i="5" s="1"/>
  <c r="AQ58" i="5"/>
  <c r="AQ57" i="5" s="1"/>
  <c r="AP58" i="5"/>
  <c r="AO58" i="5"/>
  <c r="AO57" i="5" s="1"/>
  <c r="AN58" i="5"/>
  <c r="AM58" i="5"/>
  <c r="P58" i="5"/>
  <c r="BV57" i="5"/>
  <c r="BS57" i="5"/>
  <c r="BR57" i="5"/>
  <c r="BQ57" i="5"/>
  <c r="BP57" i="5"/>
  <c r="BO57" i="5"/>
  <c r="BN57" i="5"/>
  <c r="BM57" i="5"/>
  <c r="BM72" i="5" s="1"/>
  <c r="BL57" i="5"/>
  <c r="BL72" i="5" s="1"/>
  <c r="BK57" i="5"/>
  <c r="BJ57" i="5"/>
  <c r="BJ72" i="5" s="1"/>
  <c r="BI57" i="5"/>
  <c r="BH57" i="5"/>
  <c r="BC57" i="5"/>
  <c r="BA57" i="5"/>
  <c r="BA67" i="5" s="1"/>
  <c r="AZ57" i="5"/>
  <c r="AY57" i="5"/>
  <c r="AW57" i="5"/>
  <c r="AW66" i="5" s="1"/>
  <c r="AU57" i="5"/>
  <c r="AP57" i="5"/>
  <c r="AN57" i="5"/>
  <c r="AL57" i="5"/>
  <c r="AK57" i="5"/>
  <c r="AJ57" i="5"/>
  <c r="AJ67" i="5" s="1"/>
  <c r="AI57" i="5"/>
  <c r="AH57" i="5"/>
  <c r="AG57" i="5"/>
  <c r="AF57" i="5"/>
  <c r="AF66" i="5" s="1"/>
  <c r="AD57" i="5"/>
  <c r="P57" i="5"/>
  <c r="AZ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BB54" i="5"/>
  <c r="BB55" i="5" s="1"/>
  <c r="AX54" i="5"/>
  <c r="AX55" i="5" s="1"/>
  <c r="AT54" i="5"/>
  <c r="AT55" i="5" s="1"/>
  <c r="AK54" i="5"/>
  <c r="AG54" i="5"/>
  <c r="BD53" i="5"/>
  <c r="AZ53" i="5"/>
  <c r="AX53" i="5"/>
  <c r="AV53" i="5"/>
  <c r="AT53" i="5"/>
  <c r="AQ53" i="5"/>
  <c r="AO53" i="5"/>
  <c r="AM53" i="5"/>
  <c r="AK53" i="5"/>
  <c r="AI53" i="5"/>
  <c r="AG53" i="5"/>
  <c r="BG52" i="5"/>
  <c r="BB52" i="5"/>
  <c r="BF52" i="5" s="1"/>
  <c r="BU43" i="5" s="1"/>
  <c r="AR52" i="5"/>
  <c r="BB51" i="5"/>
  <c r="AX51" i="5"/>
  <c r="AT51" i="5"/>
  <c r="AM51" i="5"/>
  <c r="AL51" i="5"/>
  <c r="AK51" i="5"/>
  <c r="AJ51" i="5"/>
  <c r="AI51" i="5"/>
  <c r="AH51" i="5"/>
  <c r="AG51" i="5"/>
  <c r="AF51" i="5"/>
  <c r="BF50" i="5"/>
  <c r="AR50" i="5"/>
  <c r="BG50" i="5" s="1"/>
  <c r="BE49" i="5"/>
  <c r="BE54" i="5" s="1"/>
  <c r="BE55" i="5" s="1"/>
  <c r="BD49" i="5"/>
  <c r="BD54" i="5" s="1"/>
  <c r="BD55" i="5" s="1"/>
  <c r="BC49" i="5"/>
  <c r="BC54" i="5" s="1"/>
  <c r="BC55" i="5" s="1"/>
  <c r="BB49" i="5"/>
  <c r="BA49" i="5"/>
  <c r="BA54" i="5" s="1"/>
  <c r="BA55" i="5" s="1"/>
  <c r="AZ49" i="5"/>
  <c r="AZ54" i="5" s="1"/>
  <c r="AY49" i="5"/>
  <c r="AY54" i="5" s="1"/>
  <c r="AY55" i="5" s="1"/>
  <c r="AX49" i="5"/>
  <c r="AW49" i="5"/>
  <c r="AW54" i="5" s="1"/>
  <c r="AW55" i="5" s="1"/>
  <c r="AV49" i="5"/>
  <c r="AV54" i="5" s="1"/>
  <c r="AV55" i="5" s="1"/>
  <c r="AU49" i="5"/>
  <c r="AU54" i="5" s="1"/>
  <c r="AT49" i="5"/>
  <c r="AQ49" i="5"/>
  <c r="AP49" i="5"/>
  <c r="AO49" i="5"/>
  <c r="AN49" i="5"/>
  <c r="AN54" i="5" s="1"/>
  <c r="AM49" i="5"/>
  <c r="AM54" i="5" s="1"/>
  <c r="AL49" i="5"/>
  <c r="AK49" i="5"/>
  <c r="AJ49" i="5"/>
  <c r="AJ54" i="5" s="1"/>
  <c r="AI49" i="5"/>
  <c r="AI54" i="5" s="1"/>
  <c r="AH49" i="5"/>
  <c r="AG49" i="5"/>
  <c r="AF49" i="5"/>
  <c r="AF54" i="5" s="1"/>
  <c r="BF48" i="5"/>
  <c r="AR48" i="5"/>
  <c r="AD48" i="5"/>
  <c r="P48" i="5"/>
  <c r="BA47" i="5"/>
  <c r="AZ47" i="5"/>
  <c r="AY47" i="5"/>
  <c r="AX47" i="5"/>
  <c r="AW47" i="5"/>
  <c r="AV47" i="5"/>
  <c r="AU47" i="5"/>
  <c r="AT47" i="5"/>
  <c r="BB46" i="5"/>
  <c r="BF46" i="5" s="1"/>
  <c r="AR46" i="5"/>
  <c r="BE45" i="5"/>
  <c r="BE47" i="5" s="1"/>
  <c r="BD45" i="5"/>
  <c r="BD47" i="5" s="1"/>
  <c r="BC45" i="5"/>
  <c r="BC47" i="5" s="1"/>
  <c r="BB45" i="5"/>
  <c r="BF45" i="5" s="1"/>
  <c r="BA44" i="5"/>
  <c r="CH43" i="5"/>
  <c r="BT43" i="5"/>
  <c r="BE43" i="5"/>
  <c r="BE53" i="5" s="1"/>
  <c r="BD43" i="5"/>
  <c r="BC43" i="5"/>
  <c r="BC53" i="5" s="1"/>
  <c r="BB43" i="5"/>
  <c r="BB44" i="5" s="1"/>
  <c r="BA43" i="5"/>
  <c r="BA53" i="5" s="1"/>
  <c r="AZ43" i="5"/>
  <c r="AY43" i="5"/>
  <c r="AY53" i="5" s="1"/>
  <c r="AX43" i="5"/>
  <c r="AW43" i="5"/>
  <c r="AW53" i="5" s="1"/>
  <c r="AV43" i="5"/>
  <c r="AU43" i="5"/>
  <c r="AU53" i="5" s="1"/>
  <c r="AT43" i="5"/>
  <c r="AQ43" i="5"/>
  <c r="AQ45" i="5" s="1"/>
  <c r="AP43" i="5"/>
  <c r="AP53" i="5" s="1"/>
  <c r="AO43" i="5"/>
  <c r="AN43" i="5"/>
  <c r="AN53" i="5" s="1"/>
  <c r="AM43" i="5"/>
  <c r="AL43" i="5"/>
  <c r="AK43" i="5"/>
  <c r="AJ43" i="5"/>
  <c r="AJ53" i="5" s="1"/>
  <c r="AI43" i="5"/>
  <c r="AH43" i="5"/>
  <c r="AH53" i="5" s="1"/>
  <c r="AG43" i="5"/>
  <c r="AF43" i="5"/>
  <c r="AC43" i="5"/>
  <c r="AB43" i="5"/>
  <c r="AA43" i="5"/>
  <c r="Z43" i="5"/>
  <c r="Y43" i="5"/>
  <c r="X43" i="5"/>
  <c r="W43" i="5"/>
  <c r="U43" i="5"/>
  <c r="R43" i="5"/>
  <c r="O43" i="5"/>
  <c r="N43" i="5"/>
  <c r="M43" i="5"/>
  <c r="L43" i="5"/>
  <c r="K43" i="5"/>
  <c r="J43" i="5"/>
  <c r="I43" i="5"/>
  <c r="H43" i="5"/>
  <c r="G43" i="5"/>
  <c r="F43" i="5"/>
  <c r="E43" i="5"/>
  <c r="D43" i="5"/>
  <c r="P43" i="5" s="1"/>
  <c r="BF42" i="5"/>
  <c r="BG42" i="5" s="1"/>
  <c r="AR42" i="5"/>
  <c r="AD42" i="5"/>
  <c r="P42" i="5"/>
  <c r="BF41" i="5"/>
  <c r="BF40" i="5"/>
  <c r="BG40" i="5" s="1"/>
  <c r="AR40" i="5"/>
  <c r="BF39" i="5"/>
  <c r="AR39" i="5"/>
  <c r="BG39" i="5" s="1"/>
  <c r="BF38" i="5"/>
  <c r="BG38" i="5" s="1"/>
  <c r="AR38" i="5"/>
  <c r="BG37" i="5"/>
  <c r="BF37" i="5"/>
  <c r="AR37" i="5"/>
  <c r="AH37" i="5"/>
  <c r="BG36" i="5"/>
  <c r="BF36" i="5"/>
  <c r="AR36" i="5"/>
  <c r="AH36" i="5"/>
  <c r="AD36" i="5"/>
  <c r="BF35" i="5"/>
  <c r="BG35" i="5" s="1"/>
  <c r="AH35" i="5"/>
  <c r="AR35" i="5" s="1"/>
  <c r="AD35" i="5"/>
  <c r="BF34" i="5"/>
  <c r="AR34" i="5"/>
  <c r="BG34" i="5" s="1"/>
  <c r="AH34" i="5"/>
  <c r="AD34" i="5"/>
  <c r="P34" i="5"/>
  <c r="BG33" i="5"/>
  <c r="BF33" i="5"/>
  <c r="AR33" i="5"/>
  <c r="AH33" i="5"/>
  <c r="AD33" i="5"/>
  <c r="P33" i="5"/>
  <c r="BF32" i="5"/>
  <c r="AR32" i="5"/>
  <c r="BG32" i="5" s="1"/>
  <c r="AH32" i="5"/>
  <c r="AD32" i="5"/>
  <c r="P32" i="5"/>
  <c r="BG31" i="5"/>
  <c r="BF31" i="5"/>
  <c r="AR31" i="5"/>
  <c r="AH31" i="5"/>
  <c r="AD31" i="5"/>
  <c r="P31" i="5"/>
  <c r="BF30" i="5"/>
  <c r="AR30" i="5"/>
  <c r="BG30" i="5" s="1"/>
  <c r="U30" i="5"/>
  <c r="T30" i="5"/>
  <c r="AD30" i="5" s="1"/>
  <c r="P30" i="5"/>
  <c r="BF29" i="5"/>
  <c r="BG29" i="5" s="1"/>
  <c r="AR29" i="5"/>
  <c r="AD29" i="5"/>
  <c r="T29" i="5"/>
  <c r="P29" i="5"/>
  <c r="BF28" i="5"/>
  <c r="BG28" i="5" s="1"/>
  <c r="AR28" i="5"/>
  <c r="U28" i="5"/>
  <c r="T28" i="5"/>
  <c r="AD28" i="5" s="1"/>
  <c r="S28" i="5"/>
  <c r="P28" i="5"/>
  <c r="BF27" i="5"/>
  <c r="BG27" i="5" s="1"/>
  <c r="AR27" i="5"/>
  <c r="AD27" i="5"/>
  <c r="P27" i="5"/>
  <c r="BG26" i="5"/>
  <c r="BF26" i="5"/>
  <c r="AR26" i="5"/>
  <c r="V26" i="5"/>
  <c r="V43" i="5" s="1"/>
  <c r="V16" i="5" s="1"/>
  <c r="V67" i="5" s="1"/>
  <c r="U26" i="5"/>
  <c r="P26" i="5"/>
  <c r="BF25" i="5"/>
  <c r="BG25" i="5" s="1"/>
  <c r="AR25" i="5"/>
  <c r="T25" i="5"/>
  <c r="S25" i="5"/>
  <c r="P25" i="5"/>
  <c r="BF24" i="5"/>
  <c r="AR24" i="5"/>
  <c r="BG24" i="5" s="1"/>
  <c r="AD24" i="5"/>
  <c r="P24" i="5"/>
  <c r="BF23" i="5"/>
  <c r="BG23" i="5" s="1"/>
  <c r="AR23" i="5"/>
  <c r="U23" i="5"/>
  <c r="T23" i="5"/>
  <c r="AD23" i="5" s="1"/>
  <c r="P23" i="5"/>
  <c r="BF22" i="5"/>
  <c r="AR22" i="5"/>
  <c r="BG22" i="5" s="1"/>
  <c r="U22" i="5"/>
  <c r="AD22" i="5" s="1"/>
  <c r="T22" i="5"/>
  <c r="T43" i="5" s="1"/>
  <c r="T16" i="5" s="1"/>
  <c r="T67" i="5" s="1"/>
  <c r="P22" i="5"/>
  <c r="CE20" i="5"/>
  <c r="CA20" i="5"/>
  <c r="BW20" i="5"/>
  <c r="BS20" i="5"/>
  <c r="BQ20" i="5"/>
  <c r="BO20" i="5"/>
  <c r="BM20" i="5"/>
  <c r="BK20" i="5"/>
  <c r="BI20" i="5"/>
  <c r="BE20" i="5"/>
  <c r="BE51" i="5" s="1"/>
  <c r="BD20" i="5"/>
  <c r="BD51" i="5" s="1"/>
  <c r="BC20" i="5"/>
  <c r="BC51" i="5" s="1"/>
  <c r="BB20" i="5"/>
  <c r="BA20" i="5"/>
  <c r="BA51" i="5" s="1"/>
  <c r="AZ20" i="5"/>
  <c r="AZ51" i="5" s="1"/>
  <c r="AY20" i="5"/>
  <c r="AY51" i="5" s="1"/>
  <c r="AX20" i="5"/>
  <c r="AW20" i="5"/>
  <c r="AW51" i="5" s="1"/>
  <c r="AV20" i="5"/>
  <c r="AV51" i="5" s="1"/>
  <c r="AU20" i="5"/>
  <c r="AU51" i="5" s="1"/>
  <c r="AT20" i="5"/>
  <c r="AP20" i="5"/>
  <c r="AN20" i="5"/>
  <c r="AN51" i="5" s="1"/>
  <c r="U20" i="5"/>
  <c r="AD20" i="5" s="1"/>
  <c r="P20" i="5"/>
  <c r="AQ19" i="5"/>
  <c r="AQ20" i="5" s="1"/>
  <c r="AP19" i="5"/>
  <c r="AO19" i="5"/>
  <c r="AO20" i="5" s="1"/>
  <c r="AO16" i="5" s="1"/>
  <c r="AO54" i="5" s="1"/>
  <c r="AN19" i="5"/>
  <c r="BF18" i="5"/>
  <c r="CG17" i="5"/>
  <c r="CE17" i="5"/>
  <c r="CC17" i="5"/>
  <c r="CA17" i="5"/>
  <c r="BY17" i="5"/>
  <c r="BW17" i="5"/>
  <c r="BV17" i="5"/>
  <c r="BV20" i="5" s="1"/>
  <c r="BS17" i="5"/>
  <c r="BR17" i="5"/>
  <c r="BR20" i="5" s="1"/>
  <c r="BQ17" i="5"/>
  <c r="BP17" i="5"/>
  <c r="BO17" i="5"/>
  <c r="BN17" i="5"/>
  <c r="BN20" i="5" s="1"/>
  <c r="BM17" i="5"/>
  <c r="BL17" i="5"/>
  <c r="BK17" i="5"/>
  <c r="BJ17" i="5"/>
  <c r="BJ20" i="5" s="1"/>
  <c r="BI17" i="5"/>
  <c r="BH17" i="5"/>
  <c r="BE17" i="5"/>
  <c r="BD17" i="5"/>
  <c r="BC17" i="5"/>
  <c r="BB17" i="5"/>
  <c r="AZ17" i="5"/>
  <c r="AY17" i="5"/>
  <c r="CE16" i="5"/>
  <c r="CA16" i="5"/>
  <c r="BW16" i="5"/>
  <c r="BV16" i="5"/>
  <c r="BS16" i="5"/>
  <c r="BQ16" i="5"/>
  <c r="BO16" i="5"/>
  <c r="BM16" i="5"/>
  <c r="BK16" i="5"/>
  <c r="BI16" i="5"/>
  <c r="BE16" i="5"/>
  <c r="BE67" i="5" s="1"/>
  <c r="BD16" i="5"/>
  <c r="BD67" i="5" s="1"/>
  <c r="BC16" i="5"/>
  <c r="BB16" i="5"/>
  <c r="BA16" i="5"/>
  <c r="AZ16" i="5"/>
  <c r="AY16" i="5"/>
  <c r="AX16" i="5"/>
  <c r="AW16" i="5"/>
  <c r="AV16" i="5"/>
  <c r="AU16" i="5"/>
  <c r="BG13" i="5" s="1"/>
  <c r="AT16" i="5"/>
  <c r="AN16" i="5"/>
  <c r="AM16" i="5"/>
  <c r="AL16" i="5"/>
  <c r="AK16" i="5"/>
  <c r="AJ16" i="5"/>
  <c r="AI16" i="5"/>
  <c r="AH16" i="5"/>
  <c r="AG16" i="5"/>
  <c r="AF16" i="5"/>
  <c r="AC16" i="5"/>
  <c r="AC67" i="5" s="1"/>
  <c r="AB16" i="5"/>
  <c r="AB67" i="5" s="1"/>
  <c r="AA16" i="5"/>
  <c r="AA67" i="5" s="1"/>
  <c r="Z16" i="5"/>
  <c r="Z67" i="5" s="1"/>
  <c r="Y16" i="5"/>
  <c r="Y67" i="5" s="1"/>
  <c r="X16" i="5"/>
  <c r="X67" i="5" s="1"/>
  <c r="W16" i="5"/>
  <c r="W67" i="5" s="1"/>
  <c r="U16" i="5"/>
  <c r="U67" i="5" s="1"/>
  <c r="R16" i="5"/>
  <c r="R67" i="5" s="1"/>
  <c r="P16" i="5"/>
  <c r="O16" i="5"/>
  <c r="O67" i="5" s="1"/>
  <c r="N16" i="5"/>
  <c r="M16" i="5"/>
  <c r="M67" i="5" s="1"/>
  <c r="L16" i="5"/>
  <c r="L67" i="5" s="1"/>
  <c r="K16" i="5"/>
  <c r="J16" i="5"/>
  <c r="I16" i="5"/>
  <c r="H16" i="5"/>
  <c r="G16" i="5"/>
  <c r="F16" i="5"/>
  <c r="E16" i="5"/>
  <c r="D16" i="5"/>
  <c r="BH15" i="5"/>
  <c r="AU14" i="5"/>
  <c r="AC14" i="5"/>
  <c r="AD14" i="5" s="1"/>
  <c r="N14" i="5"/>
  <c r="F14" i="5"/>
  <c r="CG13" i="5"/>
  <c r="CH13" i="5" s="1"/>
  <c r="CE13" i="5"/>
  <c r="CC13" i="5"/>
  <c r="CA13" i="5"/>
  <c r="BY13" i="5"/>
  <c r="BW13" i="5"/>
  <c r="BR13" i="5"/>
  <c r="BP13" i="5"/>
  <c r="BN13" i="5"/>
  <c r="BL13" i="5"/>
  <c r="BJ13" i="5"/>
  <c r="BH13" i="5"/>
  <c r="BD13" i="5"/>
  <c r="AQ13" i="5"/>
  <c r="AR13" i="5" s="1"/>
  <c r="AM13" i="5"/>
  <c r="AD13" i="5"/>
  <c r="M13" i="5"/>
  <c r="E13" i="5"/>
  <c r="CH12" i="5"/>
  <c r="CG12" i="5"/>
  <c r="CF12" i="5"/>
  <c r="CF13" i="5" s="1"/>
  <c r="CE12" i="5"/>
  <c r="CD12" i="5"/>
  <c r="CD13" i="5" s="1"/>
  <c r="CC12" i="5"/>
  <c r="CB12" i="5"/>
  <c r="CB13" i="5" s="1"/>
  <c r="CA12" i="5"/>
  <c r="BZ12" i="5"/>
  <c r="BZ13" i="5" s="1"/>
  <c r="BY12" i="5"/>
  <c r="BX12" i="5"/>
  <c r="BX13" i="5" s="1"/>
  <c r="BW12" i="5"/>
  <c r="BV12" i="5"/>
  <c r="BV13" i="5" s="1"/>
  <c r="BS12" i="5"/>
  <c r="BR12" i="5"/>
  <c r="BQ12" i="5"/>
  <c r="BQ13" i="5" s="1"/>
  <c r="BP12" i="5"/>
  <c r="BO12" i="5"/>
  <c r="BO13" i="5" s="1"/>
  <c r="BN12" i="5"/>
  <c r="BM12" i="5"/>
  <c r="BM13" i="5" s="1"/>
  <c r="BL12" i="5"/>
  <c r="BK12" i="5"/>
  <c r="BK13" i="5" s="1"/>
  <c r="BJ12" i="5"/>
  <c r="BI12" i="5"/>
  <c r="BI13" i="5" s="1"/>
  <c r="BH12" i="5"/>
  <c r="BE12" i="5"/>
  <c r="BE13" i="5" s="1"/>
  <c r="BD12" i="5"/>
  <c r="BC12" i="5"/>
  <c r="BC13" i="5" s="1"/>
  <c r="BB12" i="5"/>
  <c r="BB13" i="5" s="1"/>
  <c r="BA12" i="5"/>
  <c r="BA13" i="5" s="1"/>
  <c r="AZ12" i="5"/>
  <c r="AZ13" i="5" s="1"/>
  <c r="AY12" i="5"/>
  <c r="AY13" i="5" s="1"/>
  <c r="AX12" i="5"/>
  <c r="AX13" i="5" s="1"/>
  <c r="AW12" i="5"/>
  <c r="AW13" i="5" s="1"/>
  <c r="AV12" i="5"/>
  <c r="AV13" i="5" s="1"/>
  <c r="AU12" i="5"/>
  <c r="AU13" i="5" s="1"/>
  <c r="AT12" i="5"/>
  <c r="AT13" i="5" s="1"/>
  <c r="AQ12" i="5"/>
  <c r="AR12" i="5" s="1"/>
  <c r="AP12" i="5"/>
  <c r="AP13" i="5" s="1"/>
  <c r="AO12" i="5"/>
  <c r="AO13" i="5" s="1"/>
  <c r="AN12" i="5"/>
  <c r="AN13" i="5" s="1"/>
  <c r="AM12" i="5"/>
  <c r="AL12" i="5"/>
  <c r="AL13" i="5" s="1"/>
  <c r="AK12" i="5"/>
  <c r="AK13" i="5" s="1"/>
  <c r="AJ12" i="5"/>
  <c r="AJ13" i="5" s="1"/>
  <c r="AI12" i="5"/>
  <c r="AI13" i="5" s="1"/>
  <c r="AH12" i="5"/>
  <c r="AH13" i="5" s="1"/>
  <c r="AG12" i="5"/>
  <c r="AG13" i="5" s="1"/>
  <c r="AF12" i="5"/>
  <c r="AF13" i="5" s="1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O12" i="5"/>
  <c r="N12" i="5"/>
  <c r="M12" i="5"/>
  <c r="L12" i="5"/>
  <c r="K12" i="5"/>
  <c r="J12" i="5"/>
  <c r="P12" i="5" s="1"/>
  <c r="H12" i="5"/>
  <c r="G12" i="5"/>
  <c r="F12" i="5"/>
  <c r="E12" i="5"/>
  <c r="D12" i="5"/>
  <c r="BI11" i="5"/>
  <c r="BD11" i="5"/>
  <c r="AZ11" i="5"/>
  <c r="AV11" i="5"/>
  <c r="AQ11" i="5"/>
  <c r="AR11" i="5" s="1"/>
  <c r="AM11" i="5"/>
  <c r="AB11" i="5"/>
  <c r="X11" i="5"/>
  <c r="T11" i="5"/>
  <c r="N11" i="5"/>
  <c r="J11" i="5"/>
  <c r="F11" i="5"/>
  <c r="CH10" i="5"/>
  <c r="BT10" i="5"/>
  <c r="BF10" i="5"/>
  <c r="AR10" i="5"/>
  <c r="CH9" i="5"/>
  <c r="BT9" i="5"/>
  <c r="BF9" i="5"/>
  <c r="AR9" i="5"/>
  <c r="CH8" i="5"/>
  <c r="BT8" i="5"/>
  <c r="BF8" i="5"/>
  <c r="AR8" i="5"/>
  <c r="U8" i="5"/>
  <c r="CH7" i="5"/>
  <c r="BT7" i="5"/>
  <c r="BF7" i="5"/>
  <c r="AR7" i="5"/>
  <c r="I7" i="5"/>
  <c r="BI6" i="5"/>
  <c r="BH6" i="5"/>
  <c r="BE6" i="5"/>
  <c r="BD6" i="5"/>
  <c r="BD15" i="5" s="1"/>
  <c r="BC6" i="5"/>
  <c r="BB6" i="5"/>
  <c r="BB14" i="5" s="1"/>
  <c r="BC14" i="5" s="1"/>
  <c r="BD14" i="5" s="1"/>
  <c r="BE14" i="5" s="1"/>
  <c r="BF14" i="5" s="1"/>
  <c r="BA6" i="5"/>
  <c r="AZ6" i="5"/>
  <c r="AY6" i="5"/>
  <c r="AY14" i="5" s="1"/>
  <c r="AX6" i="5"/>
  <c r="AX14" i="5" s="1"/>
  <c r="AW6" i="5"/>
  <c r="AV6" i="5"/>
  <c r="AU6" i="5"/>
  <c r="AT6" i="5"/>
  <c r="AT14" i="5" s="1"/>
  <c r="AR6" i="5"/>
  <c r="AQ6" i="5"/>
  <c r="AP6" i="5"/>
  <c r="AO6" i="5"/>
  <c r="AO14" i="5" s="1"/>
  <c r="AN6" i="5"/>
  <c r="AM6" i="5"/>
  <c r="AL6" i="5"/>
  <c r="AK6" i="5"/>
  <c r="AK14" i="5" s="1"/>
  <c r="AJ6" i="5"/>
  <c r="AI6" i="5"/>
  <c r="AH6" i="5"/>
  <c r="AH14" i="5" s="1"/>
  <c r="AG6" i="5"/>
  <c r="AG14" i="5" s="1"/>
  <c r="AF6" i="5"/>
  <c r="AC6" i="5"/>
  <c r="AC13" i="5" s="1"/>
  <c r="AB6" i="5"/>
  <c r="AB14" i="5" s="1"/>
  <c r="AA6" i="5"/>
  <c r="Z6" i="5"/>
  <c r="Y6" i="5"/>
  <c r="Y13" i="5" s="1"/>
  <c r="X6" i="5"/>
  <c r="X14" i="5" s="1"/>
  <c r="W6" i="5"/>
  <c r="V6" i="5"/>
  <c r="U6" i="5"/>
  <c r="U13" i="5" s="1"/>
  <c r="T6" i="5"/>
  <c r="T14" i="5" s="1"/>
  <c r="S6" i="5"/>
  <c r="R6" i="5"/>
  <c r="O6" i="5"/>
  <c r="O14" i="5" s="1"/>
  <c r="P14" i="5" s="1"/>
  <c r="N6" i="5"/>
  <c r="N13" i="5" s="1"/>
  <c r="M6" i="5"/>
  <c r="M14" i="5" s="1"/>
  <c r="L6" i="5"/>
  <c r="K6" i="5"/>
  <c r="K14" i="5" s="1"/>
  <c r="J6" i="5"/>
  <c r="J13" i="5" s="1"/>
  <c r="H6" i="5"/>
  <c r="G6" i="5"/>
  <c r="G14" i="5" s="1"/>
  <c r="F6" i="5"/>
  <c r="F13" i="5" s="1"/>
  <c r="E6" i="5"/>
  <c r="E14" i="5" s="1"/>
  <c r="D6" i="5"/>
  <c r="C3" i="5"/>
  <c r="BK72" i="4"/>
  <c r="BM71" i="4"/>
  <c r="BL71" i="4"/>
  <c r="BK71" i="4"/>
  <c r="BJ71" i="4"/>
  <c r="BI71" i="4"/>
  <c r="BH67" i="4"/>
  <c r="AU67" i="4"/>
  <c r="AC67" i="4"/>
  <c r="Y67" i="4"/>
  <c r="L67" i="4"/>
  <c r="K67" i="4"/>
  <c r="J67" i="4"/>
  <c r="I67" i="4"/>
  <c r="H67" i="4"/>
  <c r="G67" i="4"/>
  <c r="F67" i="4"/>
  <c r="E67" i="4"/>
  <c r="D67" i="4"/>
  <c r="P67" i="4" s="1"/>
  <c r="BV66" i="4"/>
  <c r="BE66" i="4"/>
  <c r="AY66" i="4"/>
  <c r="BF65" i="4"/>
  <c r="AL65" i="4"/>
  <c r="AK65" i="4"/>
  <c r="AJ65" i="4"/>
  <c r="AI65" i="4"/>
  <c r="AR65" i="4" s="1"/>
  <c r="AH65" i="4"/>
  <c r="AG65" i="4"/>
  <c r="AF65" i="4"/>
  <c r="BF64" i="4"/>
  <c r="BB64" i="4"/>
  <c r="AR64" i="4"/>
  <c r="BI63" i="4"/>
  <c r="BH63" i="4"/>
  <c r="BH66" i="4" s="1"/>
  <c r="BE63" i="4"/>
  <c r="BD63" i="4"/>
  <c r="BD66" i="4" s="1"/>
  <c r="BC63" i="4"/>
  <c r="BB63" i="4"/>
  <c r="BA63" i="4"/>
  <c r="AZ63" i="4"/>
  <c r="AZ66" i="4" s="1"/>
  <c r="AY63" i="4"/>
  <c r="AX63" i="4"/>
  <c r="AW63" i="4"/>
  <c r="AV63" i="4"/>
  <c r="AV66" i="4" s="1"/>
  <c r="AU63" i="4"/>
  <c r="AT63" i="4"/>
  <c r="AQ63" i="4"/>
  <c r="AQ66" i="4" s="1"/>
  <c r="AP63" i="4"/>
  <c r="AO63" i="4"/>
  <c r="AN63" i="4"/>
  <c r="AM63" i="4"/>
  <c r="AD63" i="4"/>
  <c r="P63" i="4"/>
  <c r="BE62" i="4"/>
  <c r="BD62" i="4"/>
  <c r="BA62" i="4"/>
  <c r="AW62" i="4"/>
  <c r="AQ62" i="4"/>
  <c r="CH61" i="4"/>
  <c r="BT61" i="4"/>
  <c r="BF61" i="4"/>
  <c r="AR61" i="4"/>
  <c r="CH60" i="4"/>
  <c r="BT60" i="4"/>
  <c r="BF60" i="4"/>
  <c r="BG60" i="4" s="1"/>
  <c r="AR60" i="4"/>
  <c r="BS59" i="4"/>
  <c r="BV59" i="4" s="1"/>
  <c r="BW59" i="4" s="1"/>
  <c r="BX59" i="4" s="1"/>
  <c r="BY59" i="4" s="1"/>
  <c r="BZ59" i="4" s="1"/>
  <c r="CA59" i="4" s="1"/>
  <c r="CB59" i="4" s="1"/>
  <c r="CC59" i="4" s="1"/>
  <c r="CD59" i="4" s="1"/>
  <c r="CE59" i="4" s="1"/>
  <c r="CF59" i="4" s="1"/>
  <c r="CG59" i="4" s="1"/>
  <c r="BR59" i="4"/>
  <c r="BQ59" i="4"/>
  <c r="BP59" i="4"/>
  <c r="BO59" i="4"/>
  <c r="BN59" i="4"/>
  <c r="BM59" i="4"/>
  <c r="BL59" i="4"/>
  <c r="BK59" i="4"/>
  <c r="BJ59" i="4"/>
  <c r="BI59" i="4"/>
  <c r="BH59" i="4"/>
  <c r="BE59" i="4"/>
  <c r="BD59" i="4"/>
  <c r="BA59" i="4"/>
  <c r="AU59" i="4"/>
  <c r="BF59" i="4" s="1"/>
  <c r="AL59" i="4"/>
  <c r="AK59" i="4"/>
  <c r="AJ59" i="4"/>
  <c r="AI59" i="4"/>
  <c r="AH59" i="4"/>
  <c r="AG59" i="4"/>
  <c r="AF59" i="4"/>
  <c r="AR59" i="4" s="1"/>
  <c r="AC59" i="4"/>
  <c r="AB59" i="4"/>
  <c r="AA59" i="4"/>
  <c r="Z59" i="4"/>
  <c r="Y59" i="4"/>
  <c r="X59" i="4"/>
  <c r="W59" i="4"/>
  <c r="V59" i="4"/>
  <c r="U59" i="4"/>
  <c r="T59" i="4"/>
  <c r="S59" i="4"/>
  <c r="R59" i="4"/>
  <c r="CH58" i="4"/>
  <c r="BT58" i="4"/>
  <c r="BF58" i="4"/>
  <c r="BC58" i="4"/>
  <c r="BB58" i="4"/>
  <c r="BB57" i="4" s="1"/>
  <c r="AY58" i="4"/>
  <c r="AX58" i="4"/>
  <c r="AX57" i="4" s="1"/>
  <c r="AW58" i="4"/>
  <c r="AV58" i="4"/>
  <c r="AV57" i="4" s="1"/>
  <c r="AU58" i="4"/>
  <c r="AT58" i="4"/>
  <c r="AT57" i="4" s="1"/>
  <c r="AQ58" i="4"/>
  <c r="AQ57" i="4" s="1"/>
  <c r="AP58" i="4"/>
  <c r="AO58" i="4"/>
  <c r="AO57" i="4" s="1"/>
  <c r="AN58" i="4"/>
  <c r="AM58" i="4"/>
  <c r="P58" i="4"/>
  <c r="CG57" i="4"/>
  <c r="CF57" i="4"/>
  <c r="CE57" i="4"/>
  <c r="CD57" i="4"/>
  <c r="CC57" i="4"/>
  <c r="CB57" i="4"/>
  <c r="CA57" i="4"/>
  <c r="BZ57" i="4"/>
  <c r="BY57" i="4"/>
  <c r="BX57" i="4"/>
  <c r="BW57" i="4"/>
  <c r="BW67" i="4" s="1"/>
  <c r="BV57" i="4"/>
  <c r="BS57" i="4"/>
  <c r="BR57" i="4"/>
  <c r="BQ57" i="4"/>
  <c r="BP57" i="4"/>
  <c r="BO57" i="4"/>
  <c r="BN57" i="4"/>
  <c r="BM57" i="4"/>
  <c r="BM72" i="4" s="1"/>
  <c r="BL57" i="4"/>
  <c r="BL72" i="4" s="1"/>
  <c r="BK57" i="4"/>
  <c r="BJ57" i="4"/>
  <c r="BJ72" i="4" s="1"/>
  <c r="BI57" i="4"/>
  <c r="BH57" i="4"/>
  <c r="BC57" i="4"/>
  <c r="BC62" i="4" s="1"/>
  <c r="BA57" i="4"/>
  <c r="BA67" i="4" s="1"/>
  <c r="AZ57" i="4"/>
  <c r="AZ62" i="4" s="1"/>
  <c r="AY57" i="4"/>
  <c r="AY62" i="4" s="1"/>
  <c r="AW57" i="4"/>
  <c r="AW67" i="4" s="1"/>
  <c r="AU57" i="4"/>
  <c r="AU62" i="4" s="1"/>
  <c r="AP57" i="4"/>
  <c r="AP62" i="4" s="1"/>
  <c r="AN57" i="4"/>
  <c r="AL57" i="4"/>
  <c r="AL67" i="4" s="1"/>
  <c r="AK57" i="4"/>
  <c r="AK67" i="4" s="1"/>
  <c r="AJ57" i="4"/>
  <c r="AJ67" i="4" s="1"/>
  <c r="AI57" i="4"/>
  <c r="AH57" i="4"/>
  <c r="AG57" i="4"/>
  <c r="AG67" i="4" s="1"/>
  <c r="AF57" i="4"/>
  <c r="AF67" i="4" s="1"/>
  <c r="AD57" i="4"/>
  <c r="P57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R55" i="4" s="1"/>
  <c r="BC53" i="4"/>
  <c r="AY53" i="4"/>
  <c r="AU53" i="4"/>
  <c r="AP53" i="4"/>
  <c r="AL53" i="4"/>
  <c r="BF52" i="4"/>
  <c r="BG52" i="4" s="1"/>
  <c r="BB52" i="4"/>
  <c r="BB53" i="4" s="1"/>
  <c r="AR52" i="4"/>
  <c r="BE51" i="4"/>
  <c r="BA51" i="4"/>
  <c r="AW51" i="4"/>
  <c r="AM51" i="4"/>
  <c r="AL51" i="4"/>
  <c r="AK51" i="4"/>
  <c r="AJ51" i="4"/>
  <c r="AI51" i="4"/>
  <c r="AH51" i="4"/>
  <c r="AG51" i="4"/>
  <c r="AF51" i="4"/>
  <c r="BF50" i="4"/>
  <c r="BG50" i="4" s="1"/>
  <c r="AR50" i="4"/>
  <c r="BI49" i="4"/>
  <c r="BH49" i="4"/>
  <c r="BE49" i="4"/>
  <c r="BE54" i="4" s="1"/>
  <c r="BE55" i="4" s="1"/>
  <c r="BD49" i="4"/>
  <c r="BC49" i="4"/>
  <c r="BC54" i="4" s="1"/>
  <c r="BC55" i="4" s="1"/>
  <c r="BB49" i="4"/>
  <c r="BB54" i="4" s="1"/>
  <c r="BB55" i="4" s="1"/>
  <c r="BA49" i="4"/>
  <c r="BA54" i="4" s="1"/>
  <c r="BA55" i="4" s="1"/>
  <c r="AZ49" i="4"/>
  <c r="AY49" i="4"/>
  <c r="AY54" i="4" s="1"/>
  <c r="AY55" i="4" s="1"/>
  <c r="AX49" i="4"/>
  <c r="AX54" i="4" s="1"/>
  <c r="AX55" i="4" s="1"/>
  <c r="AW49" i="4"/>
  <c r="AW54" i="4" s="1"/>
  <c r="AW55" i="4" s="1"/>
  <c r="AV49" i="4"/>
  <c r="AU49" i="4"/>
  <c r="AU54" i="4" s="1"/>
  <c r="AU55" i="4" s="1"/>
  <c r="AT49" i="4"/>
  <c r="AT54" i="4" s="1"/>
  <c r="AQ49" i="4"/>
  <c r="AP49" i="4"/>
  <c r="AO49" i="4"/>
  <c r="AO54" i="4" s="1"/>
  <c r="AN49" i="4"/>
  <c r="AM49" i="4"/>
  <c r="AL49" i="4"/>
  <c r="AL54" i="4" s="1"/>
  <c r="AK49" i="4"/>
  <c r="AK54" i="4" s="1"/>
  <c r="AJ49" i="4"/>
  <c r="AJ54" i="4" s="1"/>
  <c r="AI49" i="4"/>
  <c r="AH49" i="4"/>
  <c r="AG49" i="4"/>
  <c r="AG54" i="4" s="1"/>
  <c r="AF49" i="4"/>
  <c r="AR49" i="4" s="1"/>
  <c r="BF48" i="4"/>
  <c r="AR48" i="4"/>
  <c r="AD48" i="4"/>
  <c r="P48" i="4"/>
  <c r="BC47" i="4"/>
  <c r="BA47" i="4"/>
  <c r="AZ47" i="4"/>
  <c r="AY47" i="4"/>
  <c r="AX47" i="4"/>
  <c r="AW47" i="4"/>
  <c r="AV47" i="4"/>
  <c r="AU47" i="4"/>
  <c r="AT47" i="4"/>
  <c r="BF46" i="4"/>
  <c r="BB46" i="4"/>
  <c r="BB47" i="4" s="1"/>
  <c r="AR46" i="4"/>
  <c r="BE45" i="4"/>
  <c r="BE47" i="4" s="1"/>
  <c r="BD45" i="4"/>
  <c r="BD47" i="4" s="1"/>
  <c r="BC45" i="4"/>
  <c r="BB45" i="4"/>
  <c r="BB44" i="4"/>
  <c r="CG43" i="4"/>
  <c r="CF43" i="4"/>
  <c r="CE43" i="4"/>
  <c r="CD43" i="4"/>
  <c r="CC43" i="4"/>
  <c r="CB43" i="4"/>
  <c r="CA43" i="4"/>
  <c r="BZ43" i="4"/>
  <c r="BY43" i="4"/>
  <c r="BX43" i="4"/>
  <c r="BW43" i="4"/>
  <c r="BV43" i="4"/>
  <c r="CH43" i="4" s="1"/>
  <c r="BT43" i="4"/>
  <c r="BU43" i="4" s="1"/>
  <c r="BE43" i="4"/>
  <c r="BE53" i="4" s="1"/>
  <c r="BD43" i="4"/>
  <c r="BD53" i="4" s="1"/>
  <c r="BC43" i="4"/>
  <c r="BB43" i="4"/>
  <c r="BA43" i="4"/>
  <c r="BA44" i="4" s="1"/>
  <c r="AZ43" i="4"/>
  <c r="AZ53" i="4" s="1"/>
  <c r="AY43" i="4"/>
  <c r="AX43" i="4"/>
  <c r="AX53" i="4" s="1"/>
  <c r="AW43" i="4"/>
  <c r="AW53" i="4" s="1"/>
  <c r="AV43" i="4"/>
  <c r="AV53" i="4" s="1"/>
  <c r="AU43" i="4"/>
  <c r="AT43" i="4"/>
  <c r="AT53" i="4" s="1"/>
  <c r="AQ43" i="4"/>
  <c r="AQ53" i="4" s="1"/>
  <c r="AP43" i="4"/>
  <c r="AO43" i="4"/>
  <c r="AO53" i="4" s="1"/>
  <c r="AN43" i="4"/>
  <c r="AN53" i="4" s="1"/>
  <c r="AM43" i="4"/>
  <c r="AM53" i="4" s="1"/>
  <c r="AL43" i="4"/>
  <c r="AK43" i="4"/>
  <c r="AK53" i="4" s="1"/>
  <c r="AJ43" i="4"/>
  <c r="AJ53" i="4" s="1"/>
  <c r="AI43" i="4"/>
  <c r="AI53" i="4" s="1"/>
  <c r="AG43" i="4"/>
  <c r="AG53" i="4" s="1"/>
  <c r="AF43" i="4"/>
  <c r="AF53" i="4" s="1"/>
  <c r="AC43" i="4"/>
  <c r="AB43" i="4"/>
  <c r="AA43" i="4"/>
  <c r="Z43" i="4"/>
  <c r="Z16" i="4" s="1"/>
  <c r="Z67" i="4" s="1"/>
  <c r="Y43" i="4"/>
  <c r="X43" i="4"/>
  <c r="W43" i="4"/>
  <c r="V43" i="4"/>
  <c r="V16" i="4" s="1"/>
  <c r="V67" i="4" s="1"/>
  <c r="R43" i="4"/>
  <c r="O43" i="4"/>
  <c r="N43" i="4"/>
  <c r="M43" i="4"/>
  <c r="L43" i="4"/>
  <c r="K43" i="4"/>
  <c r="J43" i="4"/>
  <c r="I43" i="4"/>
  <c r="H43" i="4"/>
  <c r="G43" i="4"/>
  <c r="F43" i="4"/>
  <c r="E43" i="4"/>
  <c r="D43" i="4"/>
  <c r="BF42" i="4"/>
  <c r="AR42" i="4"/>
  <c r="BG42" i="4" s="1"/>
  <c r="AD42" i="4"/>
  <c r="P42" i="4"/>
  <c r="BF41" i="4"/>
  <c r="BG40" i="4"/>
  <c r="BF40" i="4"/>
  <c r="AR40" i="4"/>
  <c r="BF39" i="4"/>
  <c r="BG39" i="4" s="1"/>
  <c r="AR39" i="4"/>
  <c r="BF38" i="4"/>
  <c r="AR38" i="4"/>
  <c r="BG38" i="4" s="1"/>
  <c r="BF37" i="4"/>
  <c r="BG37" i="4" s="1"/>
  <c r="AH37" i="4"/>
  <c r="AR37" i="4" s="1"/>
  <c r="BF36" i="4"/>
  <c r="BG36" i="4" s="1"/>
  <c r="AH36" i="4"/>
  <c r="AR36" i="4" s="1"/>
  <c r="AD36" i="4"/>
  <c r="BF35" i="4"/>
  <c r="AR35" i="4"/>
  <c r="BG35" i="4" s="1"/>
  <c r="AH35" i="4"/>
  <c r="AD35" i="4"/>
  <c r="BF34" i="4"/>
  <c r="AH34" i="4"/>
  <c r="AR34" i="4" s="1"/>
  <c r="AD34" i="4"/>
  <c r="P34" i="4"/>
  <c r="BF33" i="4"/>
  <c r="AH33" i="4"/>
  <c r="AR33" i="4" s="1"/>
  <c r="AD33" i="4"/>
  <c r="P33" i="4"/>
  <c r="BF32" i="4"/>
  <c r="AH32" i="4"/>
  <c r="AR32" i="4" s="1"/>
  <c r="AD32" i="4"/>
  <c r="P32" i="4"/>
  <c r="BF31" i="4"/>
  <c r="AH31" i="4"/>
  <c r="AD31" i="4"/>
  <c r="P31" i="4"/>
  <c r="BF30" i="4"/>
  <c r="BG30" i="4" s="1"/>
  <c r="AR30" i="4"/>
  <c r="U30" i="4"/>
  <c r="T30" i="4"/>
  <c r="AD30" i="4" s="1"/>
  <c r="P30" i="4"/>
  <c r="BF29" i="4"/>
  <c r="AR29" i="4"/>
  <c r="BG29" i="4" s="1"/>
  <c r="T29" i="4"/>
  <c r="AD29" i="4" s="1"/>
  <c r="P29" i="4"/>
  <c r="BG28" i="4"/>
  <c r="BF28" i="4"/>
  <c r="AR28" i="4"/>
  <c r="U28" i="4"/>
  <c r="T28" i="4"/>
  <c r="S28" i="4"/>
  <c r="P28" i="4"/>
  <c r="BG27" i="4"/>
  <c r="BF27" i="4"/>
  <c r="AR27" i="4"/>
  <c r="AD27" i="4"/>
  <c r="P27" i="4"/>
  <c r="BF26" i="4"/>
  <c r="BG26" i="4" s="1"/>
  <c r="AR26" i="4"/>
  <c r="AD26" i="4"/>
  <c r="V26" i="4"/>
  <c r="U26" i="4"/>
  <c r="P26" i="4"/>
  <c r="BG25" i="4"/>
  <c r="BF25" i="4"/>
  <c r="AR25" i="4"/>
  <c r="T25" i="4"/>
  <c r="S25" i="4"/>
  <c r="S43" i="4" s="1"/>
  <c r="S16" i="4" s="1"/>
  <c r="S67" i="4" s="1"/>
  <c r="P25" i="4"/>
  <c r="BF24" i="4"/>
  <c r="BG24" i="4" s="1"/>
  <c r="AR24" i="4"/>
  <c r="AD24" i="4"/>
  <c r="P24" i="4"/>
  <c r="BG23" i="4"/>
  <c r="BF23" i="4"/>
  <c r="AR23" i="4"/>
  <c r="U23" i="4"/>
  <c r="T23" i="4"/>
  <c r="AD23" i="4" s="1"/>
  <c r="P23" i="4"/>
  <c r="BF22" i="4"/>
  <c r="BG22" i="4" s="1"/>
  <c r="AR22" i="4"/>
  <c r="U22" i="4"/>
  <c r="U43" i="4" s="1"/>
  <c r="U16" i="4" s="1"/>
  <c r="U67" i="4" s="1"/>
  <c r="T22" i="4"/>
  <c r="P22" i="4"/>
  <c r="CF20" i="4"/>
  <c r="CB20" i="4"/>
  <c r="BX20" i="4"/>
  <c r="BR20" i="4"/>
  <c r="BP20" i="4"/>
  <c r="BN20" i="4"/>
  <c r="BL20" i="4"/>
  <c r="BJ20" i="4"/>
  <c r="BH20" i="4"/>
  <c r="BE20" i="4"/>
  <c r="BD20" i="4"/>
  <c r="BD51" i="4" s="1"/>
  <c r="BC20" i="4"/>
  <c r="BC51" i="4" s="1"/>
  <c r="BB20" i="4"/>
  <c r="BB51" i="4" s="1"/>
  <c r="BA20" i="4"/>
  <c r="AZ20" i="4"/>
  <c r="AZ51" i="4" s="1"/>
  <c r="AY20" i="4"/>
  <c r="AY51" i="4" s="1"/>
  <c r="AX20" i="4"/>
  <c r="AX51" i="4" s="1"/>
  <c r="AW20" i="4"/>
  <c r="AV20" i="4"/>
  <c r="AV51" i="4" s="1"/>
  <c r="AU20" i="4"/>
  <c r="AU51" i="4" s="1"/>
  <c r="AT20" i="4"/>
  <c r="BF20" i="4" s="1"/>
  <c r="AQ20" i="4"/>
  <c r="AQ51" i="4" s="1"/>
  <c r="AO20" i="4"/>
  <c r="AO51" i="4" s="1"/>
  <c r="AD20" i="4"/>
  <c r="U20" i="4"/>
  <c r="P20" i="4"/>
  <c r="AQ19" i="4"/>
  <c r="AP19" i="4"/>
  <c r="AP20" i="4" s="1"/>
  <c r="AO19" i="4"/>
  <c r="AN19" i="4"/>
  <c r="AN20" i="4" s="1"/>
  <c r="BF18" i="4"/>
  <c r="CF17" i="4"/>
  <c r="CD17" i="4"/>
  <c r="CB17" i="4"/>
  <c r="BZ17" i="4"/>
  <c r="BX17" i="4"/>
  <c r="BW17" i="4"/>
  <c r="BW20" i="4" s="1"/>
  <c r="BV17" i="4"/>
  <c r="BS17" i="4"/>
  <c r="BS20" i="4" s="1"/>
  <c r="BR17" i="4"/>
  <c r="BQ17" i="4"/>
  <c r="BP17" i="4"/>
  <c r="BO17" i="4"/>
  <c r="BO20" i="4" s="1"/>
  <c r="BN17" i="4"/>
  <c r="BM17" i="4"/>
  <c r="BL17" i="4"/>
  <c r="BK17" i="4"/>
  <c r="BK20" i="4" s="1"/>
  <c r="BJ17" i="4"/>
  <c r="BI17" i="4"/>
  <c r="BH17" i="4"/>
  <c r="BT17" i="4" s="1"/>
  <c r="BT20" i="4" s="1"/>
  <c r="BU20" i="4" s="1"/>
  <c r="BE17" i="4"/>
  <c r="BD17" i="4"/>
  <c r="BC17" i="4"/>
  <c r="BB17" i="4"/>
  <c r="AY17" i="4"/>
  <c r="CF16" i="4"/>
  <c r="CB16" i="4"/>
  <c r="BX16" i="4"/>
  <c r="BW16" i="4"/>
  <c r="BR16" i="4"/>
  <c r="BP16" i="4"/>
  <c r="BN16" i="4"/>
  <c r="BL16" i="4"/>
  <c r="BJ16" i="4"/>
  <c r="BH16" i="4"/>
  <c r="BH54" i="4" s="1"/>
  <c r="BH55" i="4" s="1"/>
  <c r="BE16" i="4"/>
  <c r="BE67" i="4" s="1"/>
  <c r="BC16" i="4"/>
  <c r="BB16" i="4"/>
  <c r="BA16" i="4"/>
  <c r="AY16" i="4"/>
  <c r="AX16" i="4"/>
  <c r="AW16" i="4"/>
  <c r="AU16" i="4"/>
  <c r="AT16" i="4"/>
  <c r="AQ16" i="4"/>
  <c r="AO16" i="4"/>
  <c r="AM16" i="4"/>
  <c r="AL16" i="4"/>
  <c r="AK16" i="4"/>
  <c r="AJ16" i="4"/>
  <c r="AI16" i="4"/>
  <c r="AH15" i="4" s="1"/>
  <c r="AH47" i="4" s="1"/>
  <c r="AG16" i="4"/>
  <c r="AF16" i="4"/>
  <c r="AC16" i="4"/>
  <c r="AB16" i="4"/>
  <c r="AB67" i="4" s="1"/>
  <c r="AA16" i="4"/>
  <c r="AA67" i="4" s="1"/>
  <c r="Y16" i="4"/>
  <c r="X16" i="4"/>
  <c r="X67" i="4" s="1"/>
  <c r="W16" i="4"/>
  <c r="W67" i="4" s="1"/>
  <c r="R16" i="4"/>
  <c r="R67" i="4" s="1"/>
  <c r="O16" i="4"/>
  <c r="O67" i="4" s="1"/>
  <c r="N16" i="4"/>
  <c r="N67" i="4" s="1"/>
  <c r="M16" i="4"/>
  <c r="M67" i="4" s="1"/>
  <c r="L16" i="4"/>
  <c r="K16" i="4"/>
  <c r="J16" i="4"/>
  <c r="I16" i="4"/>
  <c r="H16" i="4"/>
  <c r="G16" i="4"/>
  <c r="F16" i="4"/>
  <c r="E16" i="4"/>
  <c r="D16" i="4"/>
  <c r="BC15" i="4"/>
  <c r="AY15" i="4"/>
  <c r="AL15" i="4"/>
  <c r="AL47" i="4" s="1"/>
  <c r="BH14" i="4"/>
  <c r="R14" i="4"/>
  <c r="CF13" i="4"/>
  <c r="CD13" i="4"/>
  <c r="CB13" i="4"/>
  <c r="BZ13" i="4"/>
  <c r="BX13" i="4"/>
  <c r="BV13" i="4"/>
  <c r="BS13" i="4"/>
  <c r="BT13" i="4" s="1"/>
  <c r="BQ13" i="4"/>
  <c r="BO13" i="4"/>
  <c r="BM13" i="4"/>
  <c r="BK13" i="4"/>
  <c r="BI13" i="4"/>
  <c r="AY13" i="4"/>
  <c r="AU13" i="4"/>
  <c r="AP13" i="4"/>
  <c r="AJ13" i="4"/>
  <c r="AH13" i="4"/>
  <c r="AF13" i="4"/>
  <c r="W13" i="4"/>
  <c r="N13" i="4"/>
  <c r="J13" i="4"/>
  <c r="F13" i="4"/>
  <c r="CG12" i="4"/>
  <c r="CF12" i="4"/>
  <c r="CE12" i="4"/>
  <c r="CE13" i="4" s="1"/>
  <c r="CD12" i="4"/>
  <c r="CC12" i="4"/>
  <c r="CC13" i="4" s="1"/>
  <c r="CB12" i="4"/>
  <c r="CA12" i="4"/>
  <c r="CA13" i="4" s="1"/>
  <c r="BZ12" i="4"/>
  <c r="BY12" i="4"/>
  <c r="BY13" i="4" s="1"/>
  <c r="BX12" i="4"/>
  <c r="BW12" i="4"/>
  <c r="BW13" i="4" s="1"/>
  <c r="BV12" i="4"/>
  <c r="BT12" i="4"/>
  <c r="BS12" i="4"/>
  <c r="BR12" i="4"/>
  <c r="BR13" i="4" s="1"/>
  <c r="BQ12" i="4"/>
  <c r="BP12" i="4"/>
  <c r="BP13" i="4" s="1"/>
  <c r="BO12" i="4"/>
  <c r="BN12" i="4"/>
  <c r="BN13" i="4" s="1"/>
  <c r="BM12" i="4"/>
  <c r="BL12" i="4"/>
  <c r="BL13" i="4" s="1"/>
  <c r="BK12" i="4"/>
  <c r="BJ12" i="4"/>
  <c r="BJ13" i="4" s="1"/>
  <c r="BI12" i="4"/>
  <c r="BH12" i="4"/>
  <c r="BH13" i="4" s="1"/>
  <c r="BE12" i="4"/>
  <c r="BE13" i="4" s="1"/>
  <c r="BD12" i="4"/>
  <c r="BD13" i="4" s="1"/>
  <c r="BC12" i="4"/>
  <c r="BC13" i="4" s="1"/>
  <c r="BB12" i="4"/>
  <c r="BB13" i="4" s="1"/>
  <c r="BA12" i="4"/>
  <c r="BA13" i="4" s="1"/>
  <c r="AZ12" i="4"/>
  <c r="AZ13" i="4" s="1"/>
  <c r="AY12" i="4"/>
  <c r="AX12" i="4"/>
  <c r="AX13" i="4" s="1"/>
  <c r="AW12" i="4"/>
  <c r="AW13" i="4" s="1"/>
  <c r="AV12" i="4"/>
  <c r="AV13" i="4" s="1"/>
  <c r="AU12" i="4"/>
  <c r="AT12" i="4"/>
  <c r="AT13" i="4" s="1"/>
  <c r="AR12" i="4"/>
  <c r="AQ12" i="4"/>
  <c r="AQ13" i="4" s="1"/>
  <c r="AR13" i="4" s="1"/>
  <c r="AP12" i="4"/>
  <c r="AO12" i="4"/>
  <c r="AO13" i="4" s="1"/>
  <c r="AN12" i="4"/>
  <c r="AN13" i="4" s="1"/>
  <c r="AM12" i="4"/>
  <c r="AM13" i="4" s="1"/>
  <c r="AL12" i="4"/>
  <c r="AL13" i="4" s="1"/>
  <c r="AK12" i="4"/>
  <c r="AK13" i="4" s="1"/>
  <c r="AJ12" i="4"/>
  <c r="AI12" i="4"/>
  <c r="AI13" i="4" s="1"/>
  <c r="AH12" i="4"/>
  <c r="AG12" i="4"/>
  <c r="AG13" i="4" s="1"/>
  <c r="AF12" i="4"/>
  <c r="AC12" i="4"/>
  <c r="AB12" i="4"/>
  <c r="AA12" i="4"/>
  <c r="Z12" i="4"/>
  <c r="Y12" i="4"/>
  <c r="X12" i="4"/>
  <c r="AD12" i="4" s="1"/>
  <c r="W12" i="4"/>
  <c r="V12" i="4"/>
  <c r="U12" i="4"/>
  <c r="T12" i="4"/>
  <c r="S12" i="4"/>
  <c r="R12" i="4"/>
  <c r="P12" i="4"/>
  <c r="O12" i="4"/>
  <c r="N12" i="4"/>
  <c r="M12" i="4"/>
  <c r="L12" i="4"/>
  <c r="K12" i="4"/>
  <c r="J12" i="4"/>
  <c r="H12" i="4"/>
  <c r="G12" i="4"/>
  <c r="F12" i="4"/>
  <c r="E12" i="4"/>
  <c r="D12" i="4"/>
  <c r="BH11" i="4"/>
  <c r="BC11" i="4"/>
  <c r="AY11" i="4"/>
  <c r="AU11" i="4"/>
  <c r="AP11" i="4"/>
  <c r="AL11" i="4"/>
  <c r="AH11" i="4"/>
  <c r="X11" i="4"/>
  <c r="T11" i="4"/>
  <c r="S11" i="4"/>
  <c r="N11" i="4"/>
  <c r="M11" i="4"/>
  <c r="J11" i="4"/>
  <c r="I11" i="4"/>
  <c r="F11" i="4"/>
  <c r="E11" i="4"/>
  <c r="CH10" i="4"/>
  <c r="BT10" i="4"/>
  <c r="BF10" i="4"/>
  <c r="AR10" i="4"/>
  <c r="CH9" i="4"/>
  <c r="BT9" i="4"/>
  <c r="BF9" i="4"/>
  <c r="AR9" i="4"/>
  <c r="CH8" i="4"/>
  <c r="BT8" i="4"/>
  <c r="BF8" i="4"/>
  <c r="AR8" i="4"/>
  <c r="U8" i="4"/>
  <c r="CH7" i="4"/>
  <c r="BT7" i="4"/>
  <c r="BF7" i="4"/>
  <c r="AR7" i="4"/>
  <c r="I7" i="4"/>
  <c r="I12" i="4" s="1"/>
  <c r="BI6" i="4"/>
  <c r="BJ6" i="4" s="1"/>
  <c r="BH6" i="4"/>
  <c r="BF6" i="4"/>
  <c r="BE6" i="4"/>
  <c r="BE15" i="4" s="1"/>
  <c r="BD6" i="4"/>
  <c r="BC6" i="4"/>
  <c r="BB6" i="4"/>
  <c r="BA6" i="4"/>
  <c r="AZ6" i="4"/>
  <c r="AZ14" i="4" s="1"/>
  <c r="AY6" i="4"/>
  <c r="AY14" i="4" s="1"/>
  <c r="AX6" i="4"/>
  <c r="AW6" i="4"/>
  <c r="AV6" i="4"/>
  <c r="AU6" i="4"/>
  <c r="AU14" i="4" s="1"/>
  <c r="AT6" i="4"/>
  <c r="AQ6" i="4"/>
  <c r="AP6" i="4"/>
  <c r="AP14" i="4" s="1"/>
  <c r="AO6" i="4"/>
  <c r="AN6" i="4"/>
  <c r="AM6" i="4"/>
  <c r="AM14" i="4" s="1"/>
  <c r="AL6" i="4"/>
  <c r="AL14" i="4" s="1"/>
  <c r="AK6" i="4"/>
  <c r="AJ6" i="4"/>
  <c r="AI6" i="4"/>
  <c r="AH6" i="4"/>
  <c r="AH14" i="4" s="1"/>
  <c r="AG6" i="4"/>
  <c r="AF6" i="4"/>
  <c r="AC6" i="4"/>
  <c r="AC14" i="4" s="1"/>
  <c r="AD14" i="4" s="1"/>
  <c r="AB6" i="4"/>
  <c r="AA6" i="4"/>
  <c r="AA14" i="4" s="1"/>
  <c r="Z6" i="4"/>
  <c r="Y6" i="4"/>
  <c r="Y14" i="4" s="1"/>
  <c r="X6" i="4"/>
  <c r="W6" i="4"/>
  <c r="W14" i="4" s="1"/>
  <c r="V6" i="4"/>
  <c r="U6" i="4"/>
  <c r="U14" i="4" s="1"/>
  <c r="T6" i="4"/>
  <c r="S6" i="4"/>
  <c r="S14" i="4" s="1"/>
  <c r="R6" i="4"/>
  <c r="R13" i="4" s="1"/>
  <c r="O6" i="4"/>
  <c r="N6" i="4"/>
  <c r="N14" i="4" s="1"/>
  <c r="M6" i="4"/>
  <c r="M13" i="4" s="1"/>
  <c r="L6" i="4"/>
  <c r="L14" i="4" s="1"/>
  <c r="K6" i="4"/>
  <c r="J6" i="4"/>
  <c r="J14" i="4" s="1"/>
  <c r="I6" i="4"/>
  <c r="I13" i="4" s="1"/>
  <c r="H6" i="4"/>
  <c r="H14" i="4" s="1"/>
  <c r="G6" i="4"/>
  <c r="F6" i="4"/>
  <c r="F14" i="4" s="1"/>
  <c r="E6" i="4"/>
  <c r="E13" i="4" s="1"/>
  <c r="D6" i="4"/>
  <c r="D14" i="4" s="1"/>
  <c r="C3" i="4"/>
  <c r="B15" i="3"/>
  <c r="B16" i="3" s="1"/>
  <c r="B17" i="3" s="1"/>
  <c r="B14" i="3"/>
  <c r="B9" i="3"/>
  <c r="B10" i="3" s="1"/>
  <c r="B11" i="3" s="1"/>
  <c r="E8" i="3"/>
  <c r="B8" i="3"/>
  <c r="F4" i="3"/>
  <c r="E4" i="3"/>
  <c r="B3" i="3"/>
  <c r="K67" i="2"/>
  <c r="J67" i="2"/>
  <c r="I67" i="2"/>
  <c r="H67" i="2"/>
  <c r="G67" i="2"/>
  <c r="F67" i="2"/>
  <c r="E67" i="2"/>
  <c r="D67" i="2"/>
  <c r="P67" i="2" s="1"/>
  <c r="BT65" i="2"/>
  <c r="BF65" i="2"/>
  <c r="AL65" i="2"/>
  <c r="AK65" i="2"/>
  <c r="AJ65" i="2"/>
  <c r="AI65" i="2"/>
  <c r="AH65" i="2"/>
  <c r="AG65" i="2"/>
  <c r="AF65" i="2"/>
  <c r="BT64" i="2"/>
  <c r="BB64" i="2"/>
  <c r="BF64" i="2" s="1"/>
  <c r="AR64" i="2"/>
  <c r="BP63" i="2"/>
  <c r="BO63" i="2"/>
  <c r="BN63" i="2"/>
  <c r="BM63" i="2"/>
  <c r="BL63" i="2"/>
  <c r="BK63" i="2"/>
  <c r="BJ63" i="2"/>
  <c r="BI63" i="2"/>
  <c r="BH63" i="2"/>
  <c r="BE63" i="2"/>
  <c r="BE66" i="2" s="1"/>
  <c r="BD63" i="2"/>
  <c r="BD66" i="2" s="1"/>
  <c r="BC63" i="2"/>
  <c r="BB63" i="2"/>
  <c r="BA63" i="2"/>
  <c r="AZ63" i="2"/>
  <c r="AY63" i="2"/>
  <c r="AX63" i="2"/>
  <c r="AW63" i="2"/>
  <c r="AV63" i="2"/>
  <c r="AU63" i="2"/>
  <c r="AT63" i="2"/>
  <c r="AQ63" i="2"/>
  <c r="AP63" i="2"/>
  <c r="AO63" i="2"/>
  <c r="AN63" i="2"/>
  <c r="AM63" i="2"/>
  <c r="AD63" i="2"/>
  <c r="P63" i="2"/>
  <c r="BE62" i="2"/>
  <c r="BD62" i="2"/>
  <c r="BT61" i="2"/>
  <c r="CH61" i="2" s="1"/>
  <c r="BF61" i="2"/>
  <c r="AR61" i="2"/>
  <c r="CH60" i="2"/>
  <c r="BT60" i="2"/>
  <c r="BF60" i="2"/>
  <c r="AR60" i="2"/>
  <c r="BX59" i="2"/>
  <c r="BW59" i="2"/>
  <c r="BO59" i="2"/>
  <c r="BN59" i="2"/>
  <c r="BM59" i="2"/>
  <c r="BL59" i="2"/>
  <c r="BK59" i="2"/>
  <c r="BJ59" i="2"/>
  <c r="BI59" i="2"/>
  <c r="BH59" i="2"/>
  <c r="BE59" i="2"/>
  <c r="BD59" i="2"/>
  <c r="BA59" i="2"/>
  <c r="AL59" i="2"/>
  <c r="AK59" i="2"/>
  <c r="AJ59" i="2"/>
  <c r="AI59" i="2"/>
  <c r="AH59" i="2"/>
  <c r="AG59" i="2"/>
  <c r="AF59" i="2"/>
  <c r="AR59" i="2" s="1"/>
  <c r="AC59" i="2"/>
  <c r="AB59" i="2"/>
  <c r="AA59" i="2"/>
  <c r="Z59" i="2"/>
  <c r="Y59" i="2"/>
  <c r="X59" i="2"/>
  <c r="W59" i="2"/>
  <c r="V59" i="2"/>
  <c r="U59" i="2"/>
  <c r="T59" i="2"/>
  <c r="S59" i="2"/>
  <c r="R59" i="2"/>
  <c r="BS59" i="2"/>
  <c r="BR58" i="2"/>
  <c r="BR59" i="2" s="1"/>
  <c r="BQ58" i="2"/>
  <c r="BQ59" i="2" s="1"/>
  <c r="BP58" i="2"/>
  <c r="BP59" i="2" s="1"/>
  <c r="BC58" i="2"/>
  <c r="BB58" i="2"/>
  <c r="AY58" i="2"/>
  <c r="AY57" i="2" s="1"/>
  <c r="AX58" i="2"/>
  <c r="AW58" i="2"/>
  <c r="AV58" i="2"/>
  <c r="AV57" i="2" s="1"/>
  <c r="AU58" i="2"/>
  <c r="AU59" i="2" s="1"/>
  <c r="BF59" i="2" s="1"/>
  <c r="AT58" i="2"/>
  <c r="AQ58" i="2"/>
  <c r="AQ57" i="2" s="1"/>
  <c r="AP58" i="2"/>
  <c r="AP57" i="2" s="1"/>
  <c r="AO58" i="2"/>
  <c r="AN58" i="2"/>
  <c r="AM58" i="2"/>
  <c r="AM57" i="2" s="1"/>
  <c r="P58" i="2"/>
  <c r="BV66" i="2"/>
  <c r="BP57" i="2"/>
  <c r="BO57" i="2"/>
  <c r="BN57" i="2"/>
  <c r="BM57" i="2"/>
  <c r="BL57" i="2"/>
  <c r="BK57" i="2"/>
  <c r="BJ57" i="2"/>
  <c r="BI57" i="2"/>
  <c r="BC57" i="2"/>
  <c r="BC66" i="2" s="1"/>
  <c r="BB57" i="2"/>
  <c r="BA57" i="2"/>
  <c r="BA66" i="2" s="1"/>
  <c r="AZ57" i="2"/>
  <c r="AZ62" i="2" s="1"/>
  <c r="AX57" i="2"/>
  <c r="AW57" i="2"/>
  <c r="AW62" i="2" s="1"/>
  <c r="AT57" i="2"/>
  <c r="AO57" i="2"/>
  <c r="AO62" i="2" s="1"/>
  <c r="AN57" i="2"/>
  <c r="AL57" i="2"/>
  <c r="AL66" i="2" s="1"/>
  <c r="AK57" i="2"/>
  <c r="AJ57" i="2"/>
  <c r="AI57" i="2"/>
  <c r="AI66" i="2" s="1"/>
  <c r="AH57" i="2"/>
  <c r="AH66" i="2" s="1"/>
  <c r="AG57" i="2"/>
  <c r="AF57" i="2"/>
  <c r="AD57" i="2"/>
  <c r="P57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BP53" i="2"/>
  <c r="BO53" i="2"/>
  <c r="BN53" i="2"/>
  <c r="BM53" i="2"/>
  <c r="BL53" i="2"/>
  <c r="BK53" i="2"/>
  <c r="BJ53" i="2"/>
  <c r="BI53" i="2"/>
  <c r="BH53" i="2"/>
  <c r="BT52" i="2"/>
  <c r="BB52" i="2"/>
  <c r="AR52" i="2"/>
  <c r="AM51" i="2"/>
  <c r="AL51" i="2"/>
  <c r="AK51" i="2"/>
  <c r="AJ51" i="2"/>
  <c r="AI51" i="2"/>
  <c r="AH51" i="2"/>
  <c r="AG51" i="2"/>
  <c r="AF51" i="2"/>
  <c r="BT50" i="2"/>
  <c r="BF50" i="2"/>
  <c r="AR50" i="2"/>
  <c r="BP49" i="2"/>
  <c r="BO49" i="2"/>
  <c r="BN49" i="2"/>
  <c r="BM49" i="2"/>
  <c r="BL49" i="2"/>
  <c r="BK49" i="2"/>
  <c r="BJ49" i="2"/>
  <c r="BI49" i="2"/>
  <c r="BH49" i="2"/>
  <c r="BE49" i="2"/>
  <c r="BD49" i="2"/>
  <c r="BC49" i="2"/>
  <c r="BA49" i="2"/>
  <c r="AZ49" i="2"/>
  <c r="AY49" i="2"/>
  <c r="AX49" i="2"/>
  <c r="AW49" i="2"/>
  <c r="AV49" i="2"/>
  <c r="AU49" i="2"/>
  <c r="AT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BF48" i="2"/>
  <c r="AR48" i="2"/>
  <c r="AD48" i="2"/>
  <c r="P48" i="2"/>
  <c r="BN47" i="2"/>
  <c r="BM47" i="2"/>
  <c r="BL47" i="2"/>
  <c r="BK47" i="2"/>
  <c r="BJ47" i="2"/>
  <c r="BI47" i="2"/>
  <c r="BH47" i="2"/>
  <c r="BA47" i="2"/>
  <c r="AZ47" i="2"/>
  <c r="AY47" i="2"/>
  <c r="AX47" i="2"/>
  <c r="AW47" i="2"/>
  <c r="AV47" i="2"/>
  <c r="AU47" i="2"/>
  <c r="AT47" i="2"/>
  <c r="BT46" i="2"/>
  <c r="BB46" i="2"/>
  <c r="AR46" i="2"/>
  <c r="CB45" i="2"/>
  <c r="CA45" i="2"/>
  <c r="BZ45" i="2"/>
  <c r="BY45" i="2"/>
  <c r="BW45" i="2"/>
  <c r="BQ45" i="2"/>
  <c r="BP45" i="2"/>
  <c r="CD45" i="2" s="1"/>
  <c r="BO45" i="2"/>
  <c r="BO47" i="2" s="1"/>
  <c r="BE45" i="2"/>
  <c r="BE47" i="2" s="1"/>
  <c r="BD45" i="2"/>
  <c r="BD47" i="2" s="1"/>
  <c r="BC45" i="2"/>
  <c r="BC47" i="2" s="1"/>
  <c r="BB45" i="2"/>
  <c r="BF45" i="2" s="1"/>
  <c r="BN44" i="2"/>
  <c r="B23" i="3" s="1"/>
  <c r="BM44" i="2"/>
  <c r="BL44" i="2"/>
  <c r="BK44" i="2"/>
  <c r="BJ44" i="2"/>
  <c r="BI44" i="2"/>
  <c r="BH44" i="2"/>
  <c r="CH43" i="2"/>
  <c r="BT43" i="2"/>
  <c r="BE43" i="2"/>
  <c r="BE53" i="2" s="1"/>
  <c r="BD43" i="2"/>
  <c r="BD53" i="2" s="1"/>
  <c r="BC43" i="2"/>
  <c r="BC53" i="2" s="1"/>
  <c r="BB43" i="2"/>
  <c r="BB44" i="2" s="1"/>
  <c r="BA43" i="2"/>
  <c r="BA53" i="2" s="1"/>
  <c r="AZ43" i="2"/>
  <c r="AZ53" i="2" s="1"/>
  <c r="AY43" i="2"/>
  <c r="AY53" i="2" s="1"/>
  <c r="AX43" i="2"/>
  <c r="AX53" i="2" s="1"/>
  <c r="AW43" i="2"/>
  <c r="AW53" i="2" s="1"/>
  <c r="AV43" i="2"/>
  <c r="AV53" i="2" s="1"/>
  <c r="AU43" i="2"/>
  <c r="AU53" i="2" s="1"/>
  <c r="AT43" i="2"/>
  <c r="AT53" i="2" s="1"/>
  <c r="AQ43" i="2"/>
  <c r="AP43" i="2"/>
  <c r="AP53" i="2" s="1"/>
  <c r="AO43" i="2"/>
  <c r="AO53" i="2" s="1"/>
  <c r="AN43" i="2"/>
  <c r="AN53" i="2" s="1"/>
  <c r="AM43" i="2"/>
  <c r="AM53" i="2" s="1"/>
  <c r="AL43" i="2"/>
  <c r="AL53" i="2" s="1"/>
  <c r="AK43" i="2"/>
  <c r="AK53" i="2" s="1"/>
  <c r="AJ43" i="2"/>
  <c r="AJ53" i="2" s="1"/>
  <c r="AI43" i="2"/>
  <c r="AI53" i="2" s="1"/>
  <c r="AG43" i="2"/>
  <c r="AG53" i="2" s="1"/>
  <c r="AF43" i="2"/>
  <c r="AF53" i="2" s="1"/>
  <c r="AC43" i="2"/>
  <c r="AB43" i="2"/>
  <c r="AA43" i="2"/>
  <c r="Z43" i="2"/>
  <c r="Y43" i="2"/>
  <c r="X43" i="2"/>
  <c r="W43" i="2"/>
  <c r="R43" i="2"/>
  <c r="O43" i="2"/>
  <c r="N43" i="2"/>
  <c r="M43" i="2"/>
  <c r="L43" i="2"/>
  <c r="K43" i="2"/>
  <c r="J43" i="2"/>
  <c r="I43" i="2"/>
  <c r="H43" i="2"/>
  <c r="G43" i="2"/>
  <c r="F43" i="2"/>
  <c r="E43" i="2"/>
  <c r="D43" i="2"/>
  <c r="BF42" i="2"/>
  <c r="AR42" i="2"/>
  <c r="AD42" i="2"/>
  <c r="P42" i="2"/>
  <c r="BF41" i="2"/>
  <c r="BF40" i="2"/>
  <c r="AR40" i="2"/>
  <c r="BF39" i="2"/>
  <c r="AR39" i="2"/>
  <c r="BF38" i="2"/>
  <c r="AR38" i="2"/>
  <c r="BF37" i="2"/>
  <c r="AH37" i="2"/>
  <c r="AR37" i="2" s="1"/>
  <c r="BF36" i="2"/>
  <c r="AH36" i="2"/>
  <c r="AR36" i="2" s="1"/>
  <c r="BG36" i="2" s="1"/>
  <c r="AD36" i="2"/>
  <c r="BF35" i="2"/>
  <c r="AH35" i="2"/>
  <c r="AR35" i="2" s="1"/>
  <c r="AD35" i="2"/>
  <c r="BF34" i="2"/>
  <c r="AH34" i="2"/>
  <c r="AR34" i="2" s="1"/>
  <c r="AD34" i="2"/>
  <c r="P34" i="2"/>
  <c r="BF33" i="2"/>
  <c r="AH33" i="2"/>
  <c r="AR33" i="2" s="1"/>
  <c r="BG33" i="2" s="1"/>
  <c r="AD33" i="2"/>
  <c r="P33" i="2"/>
  <c r="BF32" i="2"/>
  <c r="AH32" i="2"/>
  <c r="AR32" i="2" s="1"/>
  <c r="BG32" i="2" s="1"/>
  <c r="AD32" i="2"/>
  <c r="P32" i="2"/>
  <c r="BF31" i="2"/>
  <c r="AH31" i="2"/>
  <c r="AR31" i="2" s="1"/>
  <c r="BG31" i="2" s="1"/>
  <c r="AD31" i="2"/>
  <c r="P31" i="2"/>
  <c r="BF30" i="2"/>
  <c r="AR30" i="2"/>
  <c r="U30" i="2"/>
  <c r="T30" i="2"/>
  <c r="P30" i="2"/>
  <c r="BF29" i="2"/>
  <c r="AR29" i="2"/>
  <c r="T29" i="2"/>
  <c r="AD29" i="2" s="1"/>
  <c r="P29" i="2"/>
  <c r="BF28" i="2"/>
  <c r="AR28" i="2"/>
  <c r="U28" i="2"/>
  <c r="T28" i="2"/>
  <c r="S28" i="2"/>
  <c r="AD28" i="2" s="1"/>
  <c r="P28" i="2"/>
  <c r="BF27" i="2"/>
  <c r="AR27" i="2"/>
  <c r="AD27" i="2"/>
  <c r="P27" i="2"/>
  <c r="BF26" i="2"/>
  <c r="AR26" i="2"/>
  <c r="V26" i="2"/>
  <c r="V43" i="2" s="1"/>
  <c r="V16" i="2" s="1"/>
  <c r="V67" i="2" s="1"/>
  <c r="U26" i="2"/>
  <c r="P26" i="2"/>
  <c r="BF25" i="2"/>
  <c r="AR25" i="2"/>
  <c r="T25" i="2"/>
  <c r="S25" i="2"/>
  <c r="P25" i="2"/>
  <c r="BF24" i="2"/>
  <c r="AR24" i="2"/>
  <c r="AD24" i="2"/>
  <c r="P24" i="2"/>
  <c r="BF23" i="2"/>
  <c r="AR23" i="2"/>
  <c r="U23" i="2"/>
  <c r="T23" i="2"/>
  <c r="P23" i="2"/>
  <c r="BF22" i="2"/>
  <c r="AR22" i="2"/>
  <c r="U22" i="2"/>
  <c r="U43" i="2" s="1"/>
  <c r="T22" i="2"/>
  <c r="T43" i="2" s="1"/>
  <c r="T16" i="2" s="1"/>
  <c r="T67" i="2" s="1"/>
  <c r="P22" i="2"/>
  <c r="BX20" i="2"/>
  <c r="BV20" i="2"/>
  <c r="BS20" i="2"/>
  <c r="BQ20" i="2"/>
  <c r="BE20" i="2"/>
  <c r="BE51" i="2" s="1"/>
  <c r="BD20" i="2"/>
  <c r="BD51" i="2" s="1"/>
  <c r="BC20" i="2"/>
  <c r="BC51" i="2" s="1"/>
  <c r="BB20" i="2"/>
  <c r="BB51" i="2" s="1"/>
  <c r="BA20" i="2"/>
  <c r="BA51" i="2" s="1"/>
  <c r="AZ20" i="2"/>
  <c r="AZ51" i="2" s="1"/>
  <c r="AY20" i="2"/>
  <c r="AY51" i="2" s="1"/>
  <c r="AX20" i="2"/>
  <c r="AX51" i="2" s="1"/>
  <c r="AW20" i="2"/>
  <c r="AW51" i="2" s="1"/>
  <c r="AV20" i="2"/>
  <c r="AV51" i="2" s="1"/>
  <c r="AU20" i="2"/>
  <c r="AU51" i="2" s="1"/>
  <c r="AT20" i="2"/>
  <c r="U20" i="2"/>
  <c r="AD20" i="2" s="1"/>
  <c r="P20" i="2"/>
  <c r="AQ19" i="2"/>
  <c r="AQ20" i="2" s="1"/>
  <c r="AP19" i="2"/>
  <c r="AP20" i="2" s="1"/>
  <c r="AO19" i="2"/>
  <c r="AO20" i="2" s="1"/>
  <c r="AN19" i="2"/>
  <c r="AN20" i="2" s="1"/>
  <c r="AN16" i="2" s="1"/>
  <c r="BQ18" i="2"/>
  <c r="BT18" i="2" s="1"/>
  <c r="BF18" i="2"/>
  <c r="CG20" i="2"/>
  <c r="CF20" i="2"/>
  <c r="CE20" i="2"/>
  <c r="BZ20" i="2"/>
  <c r="BY20" i="2"/>
  <c r="BP17" i="2"/>
  <c r="BO17" i="2"/>
  <c r="BN17" i="2"/>
  <c r="BM17" i="2"/>
  <c r="BL17" i="2"/>
  <c r="BL51" i="2" s="1"/>
  <c r="BK17" i="2"/>
  <c r="BK20" i="2" s="1"/>
  <c r="BJ17" i="2"/>
  <c r="BJ51" i="2" s="1"/>
  <c r="BI17" i="2"/>
  <c r="BI20" i="2" s="1"/>
  <c r="BH17" i="2"/>
  <c r="BE17" i="2"/>
  <c r="BD17" i="2"/>
  <c r="BC17" i="2"/>
  <c r="BB17" i="2"/>
  <c r="AZ17" i="2"/>
  <c r="AY17" i="2"/>
  <c r="BV67" i="2"/>
  <c r="BR16" i="2"/>
  <c r="BS45" i="2" s="1"/>
  <c r="CG45" i="2" s="1"/>
  <c r="BQ16" i="2"/>
  <c r="BQ67" i="2" s="1"/>
  <c r="BO16" i="2"/>
  <c r="BM16" i="2"/>
  <c r="BK16" i="2"/>
  <c r="BE16" i="2"/>
  <c r="BE67" i="2" s="1"/>
  <c r="BD16" i="2"/>
  <c r="BD67" i="2" s="1"/>
  <c r="BC16" i="2"/>
  <c r="BB16" i="2"/>
  <c r="BA16" i="2"/>
  <c r="AZ16" i="2"/>
  <c r="AY16" i="2"/>
  <c r="AX16" i="2"/>
  <c r="AW16" i="2"/>
  <c r="AV16" i="2"/>
  <c r="AU16" i="2"/>
  <c r="AT16" i="2"/>
  <c r="AM16" i="2"/>
  <c r="AL16" i="2"/>
  <c r="AK16" i="2"/>
  <c r="AJ16" i="2"/>
  <c r="AI16" i="2"/>
  <c r="AG16" i="2"/>
  <c r="AF16" i="2"/>
  <c r="AC16" i="2"/>
  <c r="AC67" i="2" s="1"/>
  <c r="AB16" i="2"/>
  <c r="AB67" i="2" s="1"/>
  <c r="AA16" i="2"/>
  <c r="AA67" i="2" s="1"/>
  <c r="Z16" i="2"/>
  <c r="Z67" i="2" s="1"/>
  <c r="Y16" i="2"/>
  <c r="Y67" i="2" s="1"/>
  <c r="X16" i="2"/>
  <c r="X67" i="2" s="1"/>
  <c r="W16" i="2"/>
  <c r="W67" i="2" s="1"/>
  <c r="R16" i="2"/>
  <c r="O16" i="2"/>
  <c r="O67" i="2" s="1"/>
  <c r="N16" i="2"/>
  <c r="N67" i="2" s="1"/>
  <c r="M16" i="2"/>
  <c r="M67" i="2" s="1"/>
  <c r="L16" i="2"/>
  <c r="L67" i="2" s="1"/>
  <c r="K16" i="2"/>
  <c r="J16" i="2"/>
  <c r="I16" i="2"/>
  <c r="H16" i="2"/>
  <c r="G16" i="2"/>
  <c r="F16" i="2"/>
  <c r="E16" i="2"/>
  <c r="D16" i="2"/>
  <c r="CG12" i="2"/>
  <c r="CG13" i="2" s="1"/>
  <c r="CH13" i="2" s="1"/>
  <c r="CF12" i="2"/>
  <c r="CF13" i="2" s="1"/>
  <c r="CE12" i="2"/>
  <c r="CE13" i="2" s="1"/>
  <c r="CD12" i="2"/>
  <c r="CD13" i="2" s="1"/>
  <c r="CC12" i="2"/>
  <c r="CC13" i="2" s="1"/>
  <c r="CB12" i="2"/>
  <c r="CB13" i="2" s="1"/>
  <c r="CA12" i="2"/>
  <c r="CA13" i="2" s="1"/>
  <c r="BZ12" i="2"/>
  <c r="BZ13" i="2" s="1"/>
  <c r="BY12" i="2"/>
  <c r="BY13" i="2" s="1"/>
  <c r="BX12" i="2"/>
  <c r="BX13" i="2" s="1"/>
  <c r="BW12" i="2"/>
  <c r="BW13" i="2" s="1"/>
  <c r="BV12" i="2"/>
  <c r="BV13" i="2" s="1"/>
  <c r="BS12" i="2"/>
  <c r="BS13" i="2" s="1"/>
  <c r="BT13" i="2" s="1"/>
  <c r="BR12" i="2"/>
  <c r="BR13" i="2" s="1"/>
  <c r="BQ12" i="2"/>
  <c r="BQ13" i="2" s="1"/>
  <c r="BP12" i="2"/>
  <c r="BP13" i="2" s="1"/>
  <c r="BO12" i="2"/>
  <c r="BO13" i="2" s="1"/>
  <c r="BN12" i="2"/>
  <c r="BN13" i="2" s="1"/>
  <c r="BM12" i="2"/>
  <c r="BM13" i="2" s="1"/>
  <c r="BL12" i="2"/>
  <c r="BL13" i="2" s="1"/>
  <c r="BK12" i="2"/>
  <c r="BK13" i="2" s="1"/>
  <c r="BJ12" i="2"/>
  <c r="BJ13" i="2" s="1"/>
  <c r="BI12" i="2"/>
  <c r="BI13" i="2" s="1"/>
  <c r="BH12" i="2"/>
  <c r="BH13" i="2" s="1"/>
  <c r="BE12" i="2"/>
  <c r="BE13" i="2" s="1"/>
  <c r="BD12" i="2"/>
  <c r="BD13" i="2" s="1"/>
  <c r="BC12" i="2"/>
  <c r="BC13" i="2" s="1"/>
  <c r="BB12" i="2"/>
  <c r="BB13" i="2" s="1"/>
  <c r="BA12" i="2"/>
  <c r="BA13" i="2" s="1"/>
  <c r="AZ12" i="2"/>
  <c r="AZ13" i="2" s="1"/>
  <c r="AY12" i="2"/>
  <c r="AY13" i="2" s="1"/>
  <c r="AX12" i="2"/>
  <c r="AX13" i="2" s="1"/>
  <c r="AW12" i="2"/>
  <c r="AW13" i="2" s="1"/>
  <c r="AV12" i="2"/>
  <c r="AV13" i="2" s="1"/>
  <c r="AU12" i="2"/>
  <c r="AU13" i="2" s="1"/>
  <c r="AT12" i="2"/>
  <c r="AQ12" i="2"/>
  <c r="AQ13" i="2" s="1"/>
  <c r="AR13" i="2" s="1"/>
  <c r="AP12" i="2"/>
  <c r="AP13" i="2" s="1"/>
  <c r="AO12" i="2"/>
  <c r="AO13" i="2" s="1"/>
  <c r="AN12" i="2"/>
  <c r="AN13" i="2" s="1"/>
  <c r="AM12" i="2"/>
  <c r="AM13" i="2" s="1"/>
  <c r="AL12" i="2"/>
  <c r="AL13" i="2" s="1"/>
  <c r="AK12" i="2"/>
  <c r="AK13" i="2" s="1"/>
  <c r="AJ12" i="2"/>
  <c r="AJ13" i="2" s="1"/>
  <c r="AI12" i="2"/>
  <c r="AI13" i="2" s="1"/>
  <c r="AH12" i="2"/>
  <c r="AH13" i="2" s="1"/>
  <c r="AG12" i="2"/>
  <c r="AG13" i="2" s="1"/>
  <c r="AF12" i="2"/>
  <c r="AF13" i="2" s="1"/>
  <c r="AC12" i="2"/>
  <c r="AB12" i="2"/>
  <c r="AA12" i="2"/>
  <c r="Z12" i="2"/>
  <c r="Y12" i="2"/>
  <c r="X12" i="2"/>
  <c r="AD12" i="2" s="1"/>
  <c r="W12" i="2"/>
  <c r="V12" i="2"/>
  <c r="U12" i="2"/>
  <c r="T12" i="2"/>
  <c r="S12" i="2"/>
  <c r="R12" i="2"/>
  <c r="O12" i="2"/>
  <c r="N12" i="2"/>
  <c r="M12" i="2"/>
  <c r="L12" i="2"/>
  <c r="K12" i="2"/>
  <c r="J12" i="2"/>
  <c r="P12" i="2" s="1"/>
  <c r="H12" i="2"/>
  <c r="G12" i="2"/>
  <c r="F12" i="2"/>
  <c r="E12" i="2"/>
  <c r="D12" i="2"/>
  <c r="CH10" i="2"/>
  <c r="BT10" i="2"/>
  <c r="BF10" i="2"/>
  <c r="AR10" i="2"/>
  <c r="CH9" i="2"/>
  <c r="BT9" i="2"/>
  <c r="BF9" i="2"/>
  <c r="AR9" i="2"/>
  <c r="CH8" i="2"/>
  <c r="BT8" i="2"/>
  <c r="BF8" i="2"/>
  <c r="AR8" i="2"/>
  <c r="U8" i="2"/>
  <c r="U6" i="2" s="1"/>
  <c r="CH7" i="2"/>
  <c r="BT7" i="2"/>
  <c r="BF7" i="2"/>
  <c r="AR7" i="2"/>
  <c r="I7" i="2"/>
  <c r="I12" i="2" s="1"/>
  <c r="BP6" i="2"/>
  <c r="BP14" i="2" s="1"/>
  <c r="BO6" i="2"/>
  <c r="BO14" i="2" s="1"/>
  <c r="BN6" i="2"/>
  <c r="BN15" i="2" s="1"/>
  <c r="BM6" i="2"/>
  <c r="BM14" i="2" s="1"/>
  <c r="BL6" i="2"/>
  <c r="BL15" i="2" s="1"/>
  <c r="BK6" i="2"/>
  <c r="BJ6" i="2"/>
  <c r="BJ15" i="2" s="1"/>
  <c r="BI6" i="2"/>
  <c r="BI14" i="2" s="1"/>
  <c r="BH6" i="2"/>
  <c r="BH11" i="2" s="1"/>
  <c r="BE6" i="2"/>
  <c r="BE11" i="2" s="1"/>
  <c r="BF11" i="2" s="1"/>
  <c r="BD6" i="2"/>
  <c r="BD15" i="2" s="1"/>
  <c r="BC6" i="2"/>
  <c r="BC11" i="2" s="1"/>
  <c r="BB6" i="2"/>
  <c r="BB15" i="2" s="1"/>
  <c r="BA6" i="2"/>
  <c r="BA14" i="2" s="1"/>
  <c r="AZ6" i="2"/>
  <c r="AY6" i="2"/>
  <c r="AY14" i="2" s="1"/>
  <c r="AX6" i="2"/>
  <c r="AX14" i="2" s="1"/>
  <c r="AW6" i="2"/>
  <c r="AW14" i="2" s="1"/>
  <c r="AV6" i="2"/>
  <c r="AV15" i="2" s="1"/>
  <c r="AU6" i="2"/>
  <c r="AU14" i="2" s="1"/>
  <c r="AT6" i="2"/>
  <c r="AT14" i="2" s="1"/>
  <c r="AQ6" i="2"/>
  <c r="AQ15" i="2" s="1"/>
  <c r="AP6" i="2"/>
  <c r="AP14" i="2" s="1"/>
  <c r="AO6" i="2"/>
  <c r="AN6" i="2"/>
  <c r="AN14" i="2" s="1"/>
  <c r="AM6" i="2"/>
  <c r="AL6" i="2"/>
  <c r="AL14" i="2" s="1"/>
  <c r="AK6" i="2"/>
  <c r="AK14" i="2" s="1"/>
  <c r="AJ6" i="2"/>
  <c r="AJ14" i="2" s="1"/>
  <c r="AI6" i="2"/>
  <c r="AI15" i="2" s="1"/>
  <c r="AI47" i="2" s="1"/>
  <c r="AH6" i="2"/>
  <c r="AH14" i="2" s="1"/>
  <c r="AG6" i="2"/>
  <c r="AG14" i="2" s="1"/>
  <c r="AF6" i="2"/>
  <c r="AF14" i="2" s="1"/>
  <c r="AC6" i="2"/>
  <c r="AC13" i="2" s="1"/>
  <c r="AD13" i="2" s="1"/>
  <c r="AB6" i="2"/>
  <c r="AB11" i="2" s="1"/>
  <c r="AA6" i="2"/>
  <c r="AA14" i="2" s="1"/>
  <c r="Z6" i="2"/>
  <c r="Z13" i="2" s="1"/>
  <c r="Y6" i="2"/>
  <c r="Y13" i="2" s="1"/>
  <c r="X6" i="2"/>
  <c r="X11" i="2" s="1"/>
  <c r="W6" i="2"/>
  <c r="W14" i="2" s="1"/>
  <c r="V6" i="2"/>
  <c r="V13" i="2" s="1"/>
  <c r="T6" i="2"/>
  <c r="T11" i="2" s="1"/>
  <c r="S6" i="2"/>
  <c r="S14" i="2" s="1"/>
  <c r="R6" i="2"/>
  <c r="R13" i="2" s="1"/>
  <c r="O6" i="2"/>
  <c r="O13" i="2" s="1"/>
  <c r="P13" i="2" s="1"/>
  <c r="N6" i="2"/>
  <c r="N14" i="2" s="1"/>
  <c r="M6" i="2"/>
  <c r="M13" i="2" s="1"/>
  <c r="L6" i="2"/>
  <c r="L14" i="2" s="1"/>
  <c r="K6" i="2"/>
  <c r="K13" i="2" s="1"/>
  <c r="J6" i="2"/>
  <c r="J14" i="2" s="1"/>
  <c r="I6" i="2"/>
  <c r="I13" i="2" s="1"/>
  <c r="H6" i="2"/>
  <c r="H14" i="2" s="1"/>
  <c r="G6" i="2"/>
  <c r="G13" i="2" s="1"/>
  <c r="F6" i="2"/>
  <c r="F14" i="2" s="1"/>
  <c r="E6" i="2"/>
  <c r="E13" i="2" s="1"/>
  <c r="D6" i="2"/>
  <c r="D14" i="2" s="1"/>
  <c r="DX73" i="39" l="1"/>
  <c r="DQ35" i="39"/>
  <c r="CV94" i="40"/>
  <c r="CX94" i="40"/>
  <c r="CW81" i="40"/>
  <c r="CW80" i="40" s="1"/>
  <c r="CW79" i="40" s="1"/>
  <c r="DJ94" i="40"/>
  <c r="DC21" i="40"/>
  <c r="DB18" i="40"/>
  <c r="CK78" i="40"/>
  <c r="CK41" i="40"/>
  <c r="CM39" i="40"/>
  <c r="CN38" i="40"/>
  <c r="CL65" i="40"/>
  <c r="CL40" i="40"/>
  <c r="CL35" i="40"/>
  <c r="CQ78" i="40"/>
  <c r="CQ41" i="40"/>
  <c r="CS39" i="40"/>
  <c r="CT38" i="40"/>
  <c r="CR65" i="40"/>
  <c r="CR40" i="40"/>
  <c r="CR35" i="40"/>
  <c r="CR95" i="40" s="1"/>
  <c r="AG33" i="40"/>
  <c r="AG67" i="40" s="1"/>
  <c r="AR67" i="40" s="1"/>
  <c r="AR35" i="40"/>
  <c r="BG35" i="40" s="1"/>
  <c r="BG32" i="40" s="1"/>
  <c r="AH74" i="40"/>
  <c r="AR74" i="40" s="1"/>
  <c r="AH95" i="40"/>
  <c r="AR95" i="40" s="1"/>
  <c r="DD119" i="40"/>
  <c r="DJ35" i="40"/>
  <c r="DJ95" i="40" s="1"/>
  <c r="DR35" i="40"/>
  <c r="DX35" i="40" s="1"/>
  <c r="DX73" i="40"/>
  <c r="DE119" i="40"/>
  <c r="DE12" i="40"/>
  <c r="DF12" i="40" s="1"/>
  <c r="DG12" i="40" s="1"/>
  <c r="DH12" i="40" s="1"/>
  <c r="DI12" i="40" s="1"/>
  <c r="DL95" i="40"/>
  <c r="DL85" i="40"/>
  <c r="DL81" i="40"/>
  <c r="DL94" i="40"/>
  <c r="DN86" i="40"/>
  <c r="DM82" i="40"/>
  <c r="CP90" i="40"/>
  <c r="CP97" i="40" s="1"/>
  <c r="CQ89" i="40"/>
  <c r="DX81" i="39"/>
  <c r="DE118" i="38"/>
  <c r="DE11" i="38"/>
  <c r="DJ34" i="38"/>
  <c r="CV94" i="39"/>
  <c r="CX94" i="39"/>
  <c r="CW81" i="39"/>
  <c r="CW80" i="39" s="1"/>
  <c r="CW79" i="39" s="1"/>
  <c r="DJ94" i="39"/>
  <c r="DC21" i="39"/>
  <c r="DB18" i="39"/>
  <c r="DX94" i="39"/>
  <c r="CK78" i="39"/>
  <c r="CK41" i="39"/>
  <c r="CM39" i="39"/>
  <c r="CN38" i="39"/>
  <c r="CL65" i="39"/>
  <c r="CL40" i="39"/>
  <c r="CL35" i="39"/>
  <c r="CQ78" i="39"/>
  <c r="CQ41" i="39"/>
  <c r="CS39" i="39"/>
  <c r="CT38" i="39"/>
  <c r="CR65" i="39"/>
  <c r="CR40" i="39"/>
  <c r="CR35" i="39"/>
  <c r="CR95" i="39" s="1"/>
  <c r="AG33" i="39"/>
  <c r="AG67" i="39" s="1"/>
  <c r="AR67" i="39" s="1"/>
  <c r="AR35" i="39"/>
  <c r="BG35" i="39" s="1"/>
  <c r="BG32" i="39" s="1"/>
  <c r="AH74" i="39"/>
  <c r="AR74" i="39" s="1"/>
  <c r="AH95" i="39"/>
  <c r="AR95" i="39" s="1"/>
  <c r="DC119" i="39"/>
  <c r="DC12" i="39"/>
  <c r="DJ35" i="39"/>
  <c r="DJ95" i="39" s="1"/>
  <c r="DE119" i="39"/>
  <c r="CP90" i="39"/>
  <c r="CP97" i="39" s="1"/>
  <c r="CQ89" i="39"/>
  <c r="CV93" i="38"/>
  <c r="CX93" i="38"/>
  <c r="CW80" i="38"/>
  <c r="CW79" i="38" s="1"/>
  <c r="CW78" i="38" s="1"/>
  <c r="DJ93" i="38"/>
  <c r="DB17" i="38"/>
  <c r="DX93" i="38"/>
  <c r="CK77" i="38"/>
  <c r="CK40" i="38"/>
  <c r="CM38" i="38"/>
  <c r="CN37" i="38"/>
  <c r="CL64" i="38"/>
  <c r="CL39" i="38"/>
  <c r="CL34" i="38"/>
  <c r="CQ77" i="38"/>
  <c r="CQ40" i="38"/>
  <c r="CS38" i="38"/>
  <c r="CT37" i="38"/>
  <c r="CR64" i="38"/>
  <c r="CR39" i="38"/>
  <c r="CR34" i="38"/>
  <c r="CR94" i="38" s="1"/>
  <c r="AG32" i="38"/>
  <c r="AG66" i="38" s="1"/>
  <c r="AR66" i="38" s="1"/>
  <c r="AR34" i="38"/>
  <c r="BG34" i="38" s="1"/>
  <c r="BG31" i="38" s="1"/>
  <c r="AH73" i="38"/>
  <c r="AR73" i="38" s="1"/>
  <c r="AH94" i="38"/>
  <c r="AR94" i="38" s="1"/>
  <c r="DJ94" i="38"/>
  <c r="DF11" i="38"/>
  <c r="DG11" i="38" s="1"/>
  <c r="DH11" i="38" s="1"/>
  <c r="DI11" i="38" s="1"/>
  <c r="DL11" i="38" s="1"/>
  <c r="DM11" i="38" s="1"/>
  <c r="DN11" i="38" s="1"/>
  <c r="DO11" i="38" s="1"/>
  <c r="DP11" i="38" s="1"/>
  <c r="DQ11" i="38" s="1"/>
  <c r="DR11" i="38" s="1"/>
  <c r="DS11" i="38" s="1"/>
  <c r="DT11" i="38" s="1"/>
  <c r="DU11" i="38" s="1"/>
  <c r="DV11" i="38" s="1"/>
  <c r="DW11" i="38" s="1"/>
  <c r="DP34" i="38"/>
  <c r="DX72" i="38"/>
  <c r="DY72" i="38" s="1"/>
  <c r="CP89" i="38"/>
  <c r="CP96" i="38" s="1"/>
  <c r="CQ88" i="38"/>
  <c r="DI21" i="37"/>
  <c r="DH18" i="37"/>
  <c r="CV93" i="37"/>
  <c r="CX93" i="37"/>
  <c r="CW80" i="37"/>
  <c r="CW79" i="37" s="1"/>
  <c r="CW78" i="37" s="1"/>
  <c r="DJ93" i="37"/>
  <c r="DX93" i="37"/>
  <c r="DD20" i="37"/>
  <c r="DC19" i="37"/>
  <c r="DC17" i="37"/>
  <c r="CK77" i="37"/>
  <c r="CK40" i="37"/>
  <c r="CM38" i="37"/>
  <c r="CN37" i="37"/>
  <c r="CL64" i="37"/>
  <c r="CL39" i="37"/>
  <c r="CL34" i="37"/>
  <c r="CQ77" i="37"/>
  <c r="CQ40" i="37"/>
  <c r="CS38" i="37"/>
  <c r="CT37" i="37"/>
  <c r="CR64" i="37"/>
  <c r="CR39" i="37"/>
  <c r="CR34" i="37"/>
  <c r="CR94" i="37" s="1"/>
  <c r="AG32" i="37"/>
  <c r="AG66" i="37" s="1"/>
  <c r="AR66" i="37" s="1"/>
  <c r="AR34" i="37"/>
  <c r="BG34" i="37" s="1"/>
  <c r="BG31" i="37" s="1"/>
  <c r="AH73" i="37"/>
  <c r="AR73" i="37" s="1"/>
  <c r="AH94" i="37"/>
  <c r="AR94" i="37" s="1"/>
  <c r="DJ34" i="37"/>
  <c r="DJ94" i="37" s="1"/>
  <c r="DB11" i="37"/>
  <c r="DC11" i="37" s="1"/>
  <c r="DD11" i="37" s="1"/>
  <c r="DE11" i="37" s="1"/>
  <c r="DF11" i="37" s="1"/>
  <c r="DG11" i="37" s="1"/>
  <c r="DH11" i="37" s="1"/>
  <c r="DI11" i="37" s="1"/>
  <c r="DL11" i="37" s="1"/>
  <c r="DM11" i="37" s="1"/>
  <c r="DN11" i="37" s="1"/>
  <c r="DO11" i="37" s="1"/>
  <c r="DP11" i="37" s="1"/>
  <c r="DQ11" i="37" s="1"/>
  <c r="DR11" i="37" s="1"/>
  <c r="DS11" i="37" s="1"/>
  <c r="DT11" i="37" s="1"/>
  <c r="DU11" i="37" s="1"/>
  <c r="DV11" i="37" s="1"/>
  <c r="DW11" i="37" s="1"/>
  <c r="DP34" i="37"/>
  <c r="DX72" i="37"/>
  <c r="DY72" i="37" s="1"/>
  <c r="CP89" i="37"/>
  <c r="CP96" i="37" s="1"/>
  <c r="CQ88" i="37"/>
  <c r="CV93" i="35"/>
  <c r="CX93" i="35"/>
  <c r="CW80" i="35"/>
  <c r="CW79" i="35" s="1"/>
  <c r="CW78" i="35" s="1"/>
  <c r="DJ93" i="35"/>
  <c r="DX93" i="35"/>
  <c r="DD20" i="35"/>
  <c r="DC19" i="35"/>
  <c r="DC17" i="35"/>
  <c r="CK77" i="35"/>
  <c r="CK40" i="35"/>
  <c r="CM38" i="35"/>
  <c r="CN37" i="35"/>
  <c r="CL64" i="35"/>
  <c r="CL39" i="35"/>
  <c r="CL34" i="35"/>
  <c r="CQ77" i="35"/>
  <c r="CQ40" i="35"/>
  <c r="CS38" i="35"/>
  <c r="CT37" i="35"/>
  <c r="CR64" i="35"/>
  <c r="CR39" i="35"/>
  <c r="CR34" i="35"/>
  <c r="CR94" i="35" s="1"/>
  <c r="AG32" i="35"/>
  <c r="AG66" i="35" s="1"/>
  <c r="AR66" i="35" s="1"/>
  <c r="AR34" i="35"/>
  <c r="BG34" i="35" s="1"/>
  <c r="BG31" i="35" s="1"/>
  <c r="AH73" i="35"/>
  <c r="AR73" i="35" s="1"/>
  <c r="AH94" i="35"/>
  <c r="AR94" i="35" s="1"/>
  <c r="DJ34" i="35"/>
  <c r="DB11" i="35"/>
  <c r="DC11" i="35" s="1"/>
  <c r="DD11" i="35" s="1"/>
  <c r="DE11" i="35" s="1"/>
  <c r="DF11" i="35" s="1"/>
  <c r="DG11" i="35" s="1"/>
  <c r="DH11" i="35" s="1"/>
  <c r="DI11" i="35" s="1"/>
  <c r="DL11" i="35" s="1"/>
  <c r="DM11" i="35" s="1"/>
  <c r="DN11" i="35" s="1"/>
  <c r="DO11" i="35" s="1"/>
  <c r="DP11" i="35" s="1"/>
  <c r="DQ11" i="35" s="1"/>
  <c r="DR11" i="35" s="1"/>
  <c r="DS11" i="35" s="1"/>
  <c r="DT11" i="35" s="1"/>
  <c r="DU11" i="35" s="1"/>
  <c r="DV11" i="35" s="1"/>
  <c r="DW11" i="35" s="1"/>
  <c r="DP34" i="35"/>
  <c r="DX72" i="35"/>
  <c r="DY72" i="35" s="1"/>
  <c r="CP89" i="35"/>
  <c r="CP96" i="35" s="1"/>
  <c r="CQ88" i="35"/>
  <c r="DJ80" i="34"/>
  <c r="DA11" i="33"/>
  <c r="DJ80" i="33"/>
  <c r="CV93" i="34"/>
  <c r="CX93" i="34"/>
  <c r="CW80" i="34"/>
  <c r="CW79" i="34" s="1"/>
  <c r="CW78" i="34" s="1"/>
  <c r="DJ93" i="34"/>
  <c r="DX93" i="34"/>
  <c r="DD20" i="34"/>
  <c r="DD19" i="34" s="1"/>
  <c r="DC17" i="34"/>
  <c r="CK77" i="34"/>
  <c r="CK40" i="34"/>
  <c r="CM38" i="34"/>
  <c r="CN37" i="34"/>
  <c r="CL64" i="34"/>
  <c r="CL39" i="34"/>
  <c r="CL34" i="34"/>
  <c r="CQ77" i="34"/>
  <c r="CQ40" i="34"/>
  <c r="CS38" i="34"/>
  <c r="CT37" i="34"/>
  <c r="CR64" i="34"/>
  <c r="CR39" i="34"/>
  <c r="CR34" i="34"/>
  <c r="CR94" i="34" s="1"/>
  <c r="AG32" i="34"/>
  <c r="AG66" i="34" s="1"/>
  <c r="AR66" i="34" s="1"/>
  <c r="AR34" i="34"/>
  <c r="BG34" i="34" s="1"/>
  <c r="BG31" i="34" s="1"/>
  <c r="AH73" i="34"/>
  <c r="AR73" i="34" s="1"/>
  <c r="AH94" i="34"/>
  <c r="AR94" i="34" s="1"/>
  <c r="DB11" i="34"/>
  <c r="DC11" i="34" s="1"/>
  <c r="DD11" i="34" s="1"/>
  <c r="DE11" i="34" s="1"/>
  <c r="DF11" i="34" s="1"/>
  <c r="DG11" i="34" s="1"/>
  <c r="DH11" i="34" s="1"/>
  <c r="DI11" i="34" s="1"/>
  <c r="DM11" i="34" s="1"/>
  <c r="DN11" i="34" s="1"/>
  <c r="DO11" i="34" s="1"/>
  <c r="DP11" i="34" s="1"/>
  <c r="DQ11" i="34" s="1"/>
  <c r="DR11" i="34" s="1"/>
  <c r="DS11" i="34" s="1"/>
  <c r="DT11" i="34" s="1"/>
  <c r="DU11" i="34" s="1"/>
  <c r="DV11" i="34" s="1"/>
  <c r="DW11" i="34" s="1"/>
  <c r="DP34" i="34"/>
  <c r="DX72" i="34"/>
  <c r="DY72" i="34" s="1"/>
  <c r="CP89" i="34"/>
  <c r="CP96" i="34" s="1"/>
  <c r="CQ88" i="34"/>
  <c r="CV93" i="33"/>
  <c r="CX93" i="33"/>
  <c r="CW80" i="33"/>
  <c r="CW79" i="33" s="1"/>
  <c r="CW78" i="33" s="1"/>
  <c r="DJ94" i="33"/>
  <c r="DJ93" i="33"/>
  <c r="CZ17" i="33"/>
  <c r="DX93" i="33"/>
  <c r="CK77" i="33"/>
  <c r="CK40" i="33"/>
  <c r="CM38" i="33"/>
  <c r="CN37" i="33"/>
  <c r="CL64" i="33"/>
  <c r="CL39" i="33"/>
  <c r="CL34" i="33"/>
  <c r="CQ77" i="33"/>
  <c r="CQ40" i="33"/>
  <c r="CS38" i="33"/>
  <c r="CT37" i="33"/>
  <c r="CR64" i="33"/>
  <c r="CR39" i="33"/>
  <c r="CR34" i="33"/>
  <c r="CR94" i="33" s="1"/>
  <c r="AG32" i="33"/>
  <c r="AG66" i="33" s="1"/>
  <c r="AR66" i="33" s="1"/>
  <c r="AR34" i="33"/>
  <c r="BG34" i="33" s="1"/>
  <c r="BG31" i="33" s="1"/>
  <c r="AH73" i="33"/>
  <c r="AR73" i="33" s="1"/>
  <c r="AH94" i="33"/>
  <c r="AR94" i="33" s="1"/>
  <c r="DX72" i="33"/>
  <c r="DY72" i="33" s="1"/>
  <c r="DB11" i="33"/>
  <c r="DC11" i="33" s="1"/>
  <c r="CP89" i="33"/>
  <c r="CP96" i="33" s="1"/>
  <c r="CQ88" i="33"/>
  <c r="DC19" i="30"/>
  <c r="DX71" i="30"/>
  <c r="DY71" i="30" s="1"/>
  <c r="CV92" i="32"/>
  <c r="DJ79" i="32"/>
  <c r="CW79" i="32"/>
  <c r="CW78" i="32" s="1"/>
  <c r="CW77" i="32" s="1"/>
  <c r="DJ93" i="32"/>
  <c r="DJ92" i="32"/>
  <c r="CZ19" i="32"/>
  <c r="CY17" i="32"/>
  <c r="DX92" i="32"/>
  <c r="CK76" i="32"/>
  <c r="CK39" i="32"/>
  <c r="CM37" i="32"/>
  <c r="CN36" i="32"/>
  <c r="CL63" i="32"/>
  <c r="CL38" i="32"/>
  <c r="CL33" i="32"/>
  <c r="CQ76" i="32"/>
  <c r="CQ39" i="32"/>
  <c r="CS37" i="32"/>
  <c r="CT36" i="32"/>
  <c r="CR63" i="32"/>
  <c r="CR38" i="32"/>
  <c r="CR33" i="32"/>
  <c r="CR93" i="32" s="1"/>
  <c r="AG32" i="32"/>
  <c r="AG65" i="32" s="1"/>
  <c r="AR65" i="32" s="1"/>
  <c r="AR33" i="32"/>
  <c r="BG33" i="32" s="1"/>
  <c r="BG31" i="32" s="1"/>
  <c r="AH72" i="32"/>
  <c r="AR72" i="32" s="1"/>
  <c r="AH93" i="32"/>
  <c r="AR93" i="32" s="1"/>
  <c r="DX71" i="32"/>
  <c r="DY71" i="32" s="1"/>
  <c r="DL33" i="32"/>
  <c r="CX90" i="32"/>
  <c r="CY90" i="32"/>
  <c r="CP88" i="32"/>
  <c r="CP95" i="32" s="1"/>
  <c r="CQ87" i="32"/>
  <c r="DX92" i="30"/>
  <c r="DB92" i="30"/>
  <c r="DB95" i="30"/>
  <c r="DD80" i="30"/>
  <c r="DC95" i="30"/>
  <c r="CA40" i="30"/>
  <c r="CA61" i="30" s="1"/>
  <c r="CA34" i="30" s="1"/>
  <c r="CA34" i="29"/>
  <c r="CA55" i="29" s="1"/>
  <c r="CA28" i="29" s="1"/>
  <c r="CA34" i="28"/>
  <c r="CA55" i="28" s="1"/>
  <c r="CA28" i="28" s="1"/>
  <c r="CA34" i="27"/>
  <c r="CA55" i="27" s="1"/>
  <c r="CA28" i="27" s="1"/>
  <c r="CA34" i="26"/>
  <c r="CA55" i="26" s="1"/>
  <c r="CA28" i="26" s="1"/>
  <c r="CA29" i="23"/>
  <c r="CA50" i="23" s="1"/>
  <c r="CA24" i="23" s="1"/>
  <c r="CA34" i="22"/>
  <c r="CA55" i="22" s="1"/>
  <c r="CA28" i="22" s="1"/>
  <c r="CA29" i="16"/>
  <c r="CA50" i="16" s="1"/>
  <c r="CA24" i="16" s="1"/>
  <c r="CD40" i="30"/>
  <c r="CD61" i="30" s="1"/>
  <c r="CD34" i="29"/>
  <c r="CD55" i="29" s="1"/>
  <c r="CD34" i="28"/>
  <c r="CD55" i="28" s="1"/>
  <c r="CD34" i="27"/>
  <c r="CD55" i="27" s="1"/>
  <c r="CD34" i="26"/>
  <c r="CD55" i="26" s="1"/>
  <c r="CD29" i="23"/>
  <c r="CD50" i="23" s="1"/>
  <c r="CD34" i="22"/>
  <c r="CD55" i="22" s="1"/>
  <c r="CD29" i="16"/>
  <c r="CD50" i="16" s="1"/>
  <c r="CC40" i="30"/>
  <c r="CC61" i="30" s="1"/>
  <c r="CC34" i="29"/>
  <c r="CC55" i="29" s="1"/>
  <c r="CC34" i="28"/>
  <c r="CC55" i="28" s="1"/>
  <c r="CC34" i="27"/>
  <c r="CC55" i="27" s="1"/>
  <c r="CC34" i="26"/>
  <c r="CC55" i="26" s="1"/>
  <c r="CC29" i="23"/>
  <c r="CC50" i="23" s="1"/>
  <c r="CC34" i="22"/>
  <c r="CC55" i="22" s="1"/>
  <c r="CC29" i="16"/>
  <c r="CC50" i="16" s="1"/>
  <c r="CB40" i="30"/>
  <c r="CB61" i="30" s="1"/>
  <c r="CB34" i="30" s="1"/>
  <c r="CB34" i="29"/>
  <c r="CB55" i="29" s="1"/>
  <c r="CB28" i="29" s="1"/>
  <c r="CB34" i="28"/>
  <c r="CB55" i="28" s="1"/>
  <c r="CB28" i="28" s="1"/>
  <c r="CB34" i="27"/>
  <c r="CB55" i="27" s="1"/>
  <c r="CB28" i="27" s="1"/>
  <c r="CB34" i="26"/>
  <c r="CB55" i="26" s="1"/>
  <c r="CB28" i="26" s="1"/>
  <c r="CB29" i="23"/>
  <c r="CB50" i="23" s="1"/>
  <c r="CB24" i="23" s="1"/>
  <c r="CB34" i="22"/>
  <c r="CB55" i="22" s="1"/>
  <c r="CB28" i="22" s="1"/>
  <c r="CB29" i="16"/>
  <c r="CB50" i="16" s="1"/>
  <c r="CB24" i="16" s="1"/>
  <c r="BZ40" i="30"/>
  <c r="BZ61" i="30" s="1"/>
  <c r="BZ34" i="30" s="1"/>
  <c r="BZ34" i="29"/>
  <c r="BZ55" i="29" s="1"/>
  <c r="BZ28" i="29" s="1"/>
  <c r="BZ34" i="28"/>
  <c r="BZ55" i="28" s="1"/>
  <c r="BZ28" i="28" s="1"/>
  <c r="BZ34" i="27"/>
  <c r="BZ55" i="27" s="1"/>
  <c r="BZ28" i="27" s="1"/>
  <c r="BZ34" i="26"/>
  <c r="BZ55" i="26" s="1"/>
  <c r="BZ28" i="26" s="1"/>
  <c r="BZ29" i="23"/>
  <c r="BZ50" i="23" s="1"/>
  <c r="BZ24" i="23" s="1"/>
  <c r="BZ34" i="22"/>
  <c r="BZ55" i="22" s="1"/>
  <c r="BZ28" i="22" s="1"/>
  <c r="BZ29" i="16"/>
  <c r="BZ50" i="16" s="1"/>
  <c r="BZ24" i="16" s="1"/>
  <c r="CF40" i="30"/>
  <c r="CF61" i="30" s="1"/>
  <c r="CF34" i="30" s="1"/>
  <c r="CF34" i="29"/>
  <c r="CF55" i="29" s="1"/>
  <c r="CF28" i="29" s="1"/>
  <c r="CF34" i="28"/>
  <c r="CF55" i="28" s="1"/>
  <c r="CF28" i="28" s="1"/>
  <c r="CF34" i="27"/>
  <c r="CF55" i="27" s="1"/>
  <c r="CF28" i="27" s="1"/>
  <c r="CF34" i="26"/>
  <c r="CF55" i="26" s="1"/>
  <c r="CF28" i="26" s="1"/>
  <c r="CF29" i="23"/>
  <c r="CF50" i="23" s="1"/>
  <c r="CF24" i="23" s="1"/>
  <c r="CF34" i="22"/>
  <c r="CF55" i="22" s="1"/>
  <c r="CF28" i="22" s="1"/>
  <c r="CF29" i="16"/>
  <c r="CF50" i="16" s="1"/>
  <c r="CF24" i="16" s="1"/>
  <c r="BY40" i="30"/>
  <c r="BY61" i="30" s="1"/>
  <c r="BY34" i="30" s="1"/>
  <c r="BY34" i="29"/>
  <c r="BY55" i="29" s="1"/>
  <c r="BY28" i="29" s="1"/>
  <c r="BY34" i="28"/>
  <c r="BY55" i="28" s="1"/>
  <c r="BY28" i="28" s="1"/>
  <c r="BY34" i="27"/>
  <c r="BY55" i="27" s="1"/>
  <c r="BY28" i="27" s="1"/>
  <c r="BY34" i="26"/>
  <c r="BY55" i="26" s="1"/>
  <c r="BY28" i="26" s="1"/>
  <c r="BY29" i="23"/>
  <c r="BY50" i="23" s="1"/>
  <c r="BY24" i="23" s="1"/>
  <c r="BY34" i="22"/>
  <c r="BY55" i="22" s="1"/>
  <c r="BY28" i="22" s="1"/>
  <c r="BY29" i="16"/>
  <c r="BY50" i="16" s="1"/>
  <c r="BY24" i="16" s="1"/>
  <c r="BX40" i="30"/>
  <c r="BX61" i="30" s="1"/>
  <c r="BX34" i="29"/>
  <c r="BX55" i="29" s="1"/>
  <c r="BX34" i="28"/>
  <c r="BX55" i="28" s="1"/>
  <c r="BX34" i="27"/>
  <c r="BX55" i="27" s="1"/>
  <c r="BX34" i="26"/>
  <c r="BX55" i="26" s="1"/>
  <c r="BX29" i="23"/>
  <c r="BX50" i="23" s="1"/>
  <c r="BX34" i="22"/>
  <c r="BX55" i="22" s="1"/>
  <c r="BX29" i="16"/>
  <c r="BX50" i="16" s="1"/>
  <c r="CE40" i="30"/>
  <c r="CE61" i="30" s="1"/>
  <c r="CE34" i="29"/>
  <c r="CE55" i="29" s="1"/>
  <c r="CE34" i="28"/>
  <c r="CE55" i="28" s="1"/>
  <c r="CE34" i="27"/>
  <c r="CE55" i="27" s="1"/>
  <c r="CE34" i="26"/>
  <c r="CE55" i="26" s="1"/>
  <c r="CE29" i="23"/>
  <c r="CE50" i="23" s="1"/>
  <c r="CE34" i="22"/>
  <c r="CE55" i="22" s="1"/>
  <c r="CE29" i="16"/>
  <c r="CE50" i="16" s="1"/>
  <c r="CH39" i="16"/>
  <c r="CH44" i="22"/>
  <c r="CH39" i="23"/>
  <c r="CH44" i="26"/>
  <c r="CH44" i="27"/>
  <c r="CH44" i="28"/>
  <c r="CH44" i="29"/>
  <c r="CH50" i="30"/>
  <c r="CH35" i="16"/>
  <c r="CH40" i="22"/>
  <c r="CH35" i="23"/>
  <c r="CH40" i="26"/>
  <c r="CH40" i="27"/>
  <c r="CH40" i="28"/>
  <c r="CH40" i="29"/>
  <c r="CH46" i="30"/>
  <c r="CH42" i="16"/>
  <c r="CH47" i="22"/>
  <c r="CH42" i="23"/>
  <c r="CH47" i="26"/>
  <c r="CH47" i="27"/>
  <c r="CH47" i="28"/>
  <c r="CH47" i="29"/>
  <c r="CH53" i="30"/>
  <c r="CH31" i="16"/>
  <c r="CH36" i="22"/>
  <c r="CH31" i="23"/>
  <c r="CH36" i="26"/>
  <c r="CH36" i="27"/>
  <c r="CH36" i="28"/>
  <c r="CH36" i="29"/>
  <c r="CH42" i="30"/>
  <c r="CH38" i="16"/>
  <c r="CH43" i="22"/>
  <c r="CH38" i="23"/>
  <c r="CH43" i="26"/>
  <c r="CH43" i="27"/>
  <c r="CH43" i="28"/>
  <c r="CH43" i="29"/>
  <c r="CH49" i="30"/>
  <c r="CH43" i="16"/>
  <c r="CH48" i="22"/>
  <c r="CH43" i="23"/>
  <c r="CH48" i="26"/>
  <c r="CH48" i="27"/>
  <c r="CH48" i="28"/>
  <c r="CH48" i="29"/>
  <c r="CH54" i="30"/>
  <c r="CH41" i="16"/>
  <c r="CH46" i="22"/>
  <c r="CH41" i="23"/>
  <c r="CH46" i="26"/>
  <c r="CH46" i="27"/>
  <c r="CH46" i="28"/>
  <c r="CH46" i="29"/>
  <c r="CH52" i="30"/>
  <c r="CH40" i="16"/>
  <c r="CH45" i="22"/>
  <c r="CH40" i="23"/>
  <c r="CH45" i="26"/>
  <c r="CH45" i="27"/>
  <c r="CH45" i="28"/>
  <c r="CH45" i="29"/>
  <c r="CH51" i="30"/>
  <c r="CG50" i="16"/>
  <c r="CG24" i="16" s="1"/>
  <c r="CG55" i="22"/>
  <c r="CG28" i="22" s="1"/>
  <c r="CG50" i="23"/>
  <c r="CG24" i="23" s="1"/>
  <c r="CG55" i="26"/>
  <c r="CG28" i="26" s="1"/>
  <c r="CG55" i="27"/>
  <c r="CG28" i="27" s="1"/>
  <c r="CG55" i="28"/>
  <c r="CG28" i="28" s="1"/>
  <c r="CG55" i="29"/>
  <c r="CG28" i="29" s="1"/>
  <c r="CG61" i="30"/>
  <c r="CG34" i="30" s="1"/>
  <c r="CH34" i="16"/>
  <c r="CH39" i="22"/>
  <c r="CH34" i="23"/>
  <c r="CH39" i="26"/>
  <c r="CH39" i="27"/>
  <c r="CH39" i="28"/>
  <c r="CH39" i="29"/>
  <c r="CH45" i="30"/>
  <c r="CH33" i="16"/>
  <c r="CH38" i="22"/>
  <c r="CH33" i="23"/>
  <c r="CH38" i="26"/>
  <c r="CH38" i="27"/>
  <c r="CH38" i="28"/>
  <c r="CH38" i="29"/>
  <c r="CH44" i="30"/>
  <c r="CH30" i="16"/>
  <c r="CH35" i="22"/>
  <c r="CH30" i="23"/>
  <c r="CH35" i="26"/>
  <c r="CH35" i="27"/>
  <c r="CH35" i="28"/>
  <c r="CH35" i="29"/>
  <c r="CH41" i="30"/>
  <c r="CH37" i="16"/>
  <c r="CH42" i="22"/>
  <c r="CH37" i="23"/>
  <c r="CH42" i="26"/>
  <c r="CH42" i="27"/>
  <c r="CH42" i="28"/>
  <c r="CH42" i="29"/>
  <c r="CH48" i="30"/>
  <c r="CH36" i="16"/>
  <c r="CH41" i="22"/>
  <c r="CH36" i="23"/>
  <c r="CH41" i="26"/>
  <c r="CH41" i="27"/>
  <c r="CH41" i="28"/>
  <c r="CH41" i="29"/>
  <c r="CH47" i="30"/>
  <c r="CH32" i="16"/>
  <c r="CH37" i="22"/>
  <c r="CH32" i="23"/>
  <c r="CH37" i="26"/>
  <c r="CH37" i="27"/>
  <c r="CH37" i="28"/>
  <c r="CH37" i="29"/>
  <c r="CH43" i="30"/>
  <c r="CV92" i="30"/>
  <c r="CK76" i="30"/>
  <c r="CK39" i="30"/>
  <c r="CM37" i="30"/>
  <c r="CN36" i="30"/>
  <c r="CL63" i="30"/>
  <c r="CL38" i="30"/>
  <c r="CL33" i="30"/>
  <c r="CQ76" i="30"/>
  <c r="CQ39" i="30"/>
  <c r="CT36" i="30"/>
  <c r="CR63" i="30"/>
  <c r="CR38" i="30"/>
  <c r="CR33" i="30"/>
  <c r="CR93" i="30" s="1"/>
  <c r="AG31" i="30"/>
  <c r="AG65" i="30" s="1"/>
  <c r="AR65" i="30" s="1"/>
  <c r="AR33" i="30"/>
  <c r="BG33" i="30" s="1"/>
  <c r="BG30" i="30" s="1"/>
  <c r="AH72" i="30"/>
  <c r="AR72" i="30" s="1"/>
  <c r="AH93" i="30"/>
  <c r="AR93" i="30" s="1"/>
  <c r="CP88" i="30"/>
  <c r="CP95" i="30" s="1"/>
  <c r="CQ87" i="30"/>
  <c r="CM32" i="22"/>
  <c r="CM27" i="22"/>
  <c r="CM82" i="22" s="1"/>
  <c r="CM33" i="22"/>
  <c r="CM57" i="22"/>
  <c r="CN22" i="29"/>
  <c r="CO15" i="29"/>
  <c r="AG26" i="29"/>
  <c r="AG59" i="29" s="1"/>
  <c r="AR59" i="29" s="1"/>
  <c r="AR27" i="29"/>
  <c r="BG27" i="29" s="1"/>
  <c r="BG25" i="29" s="1"/>
  <c r="AH66" i="29"/>
  <c r="AR66" i="29" s="1"/>
  <c r="AH82" i="29"/>
  <c r="AR82" i="29" s="1"/>
  <c r="CS86" i="29"/>
  <c r="CS82" i="29"/>
  <c r="CS81" i="29"/>
  <c r="CT85" i="29"/>
  <c r="CU73" i="29"/>
  <c r="CT71" i="29"/>
  <c r="CP77" i="29"/>
  <c r="CP84" i="29" s="1"/>
  <c r="CQ76" i="29"/>
  <c r="CV82" i="28"/>
  <c r="CV81" i="28"/>
  <c r="CN22" i="28"/>
  <c r="CO15" i="28"/>
  <c r="DJ82" i="28"/>
  <c r="DJ81" i="28"/>
  <c r="AG26" i="28"/>
  <c r="AG59" i="28" s="1"/>
  <c r="AR59" i="28" s="1"/>
  <c r="AR27" i="28"/>
  <c r="BG27" i="28" s="1"/>
  <c r="BG25" i="28" s="1"/>
  <c r="AH66" i="28"/>
  <c r="AR66" i="28" s="1"/>
  <c r="AH82" i="28"/>
  <c r="AR82" i="28" s="1"/>
  <c r="CP77" i="28"/>
  <c r="CQ76" i="28"/>
  <c r="CV82" i="27"/>
  <c r="CV81" i="27"/>
  <c r="CM22" i="27"/>
  <c r="CN15" i="27"/>
  <c r="DJ82" i="27"/>
  <c r="DJ81" i="27"/>
  <c r="AG26" i="27"/>
  <c r="AG59" i="27" s="1"/>
  <c r="AR59" i="27" s="1"/>
  <c r="AR27" i="27"/>
  <c r="BG27" i="27" s="1"/>
  <c r="BG25" i="27" s="1"/>
  <c r="AH66" i="27"/>
  <c r="AR66" i="27" s="1"/>
  <c r="AH82" i="27"/>
  <c r="AR82" i="27" s="1"/>
  <c r="CP77" i="27"/>
  <c r="CQ76" i="27"/>
  <c r="CV82" i="26"/>
  <c r="CV81" i="26"/>
  <c r="CM22" i="26"/>
  <c r="CN15" i="26"/>
  <c r="DJ82" i="26"/>
  <c r="DJ81" i="26"/>
  <c r="AG26" i="26"/>
  <c r="AG59" i="26" s="1"/>
  <c r="AR59" i="26" s="1"/>
  <c r="AR27" i="26"/>
  <c r="BG27" i="26" s="1"/>
  <c r="BG25" i="26" s="1"/>
  <c r="AH66" i="26"/>
  <c r="AR66" i="26" s="1"/>
  <c r="AH82" i="26"/>
  <c r="AR82" i="26" s="1"/>
  <c r="CP77" i="26"/>
  <c r="CQ76" i="26"/>
  <c r="BV20" i="8"/>
  <c r="BV17" i="8" s="1"/>
  <c r="BV27" i="23"/>
  <c r="BV31" i="22"/>
  <c r="BV27" i="16"/>
  <c r="BV20" i="14"/>
  <c r="BV20" i="13"/>
  <c r="BV20" i="12"/>
  <c r="BV20" i="11"/>
  <c r="BV16" i="12"/>
  <c r="BV16" i="13"/>
  <c r="CN30" i="22"/>
  <c r="CN31" i="22" s="1"/>
  <c r="CF22" i="22"/>
  <c r="CG22" i="22"/>
  <c r="CF10" i="22"/>
  <c r="CV81" i="22"/>
  <c r="CB21" i="23"/>
  <c r="CB18" i="23"/>
  <c r="AG22" i="23"/>
  <c r="AG54" i="23" s="1"/>
  <c r="AR54" i="23" s="1"/>
  <c r="AR23" i="23"/>
  <c r="BG23" i="23" s="1"/>
  <c r="BG21" i="23" s="1"/>
  <c r="AH61" i="23"/>
  <c r="AR61" i="23" s="1"/>
  <c r="AH76" i="23"/>
  <c r="AR76" i="23" s="1"/>
  <c r="CE24" i="22"/>
  <c r="CB25" i="22"/>
  <c r="AG26" i="22"/>
  <c r="AG59" i="22" s="1"/>
  <c r="AR59" i="22" s="1"/>
  <c r="AR27" i="22"/>
  <c r="BG27" i="22" s="1"/>
  <c r="BG25" i="22" s="1"/>
  <c r="AH66" i="22"/>
  <c r="AR66" i="22" s="1"/>
  <c r="AH82" i="22"/>
  <c r="AR82" i="22" s="1"/>
  <c r="CM68" i="16"/>
  <c r="CM66" i="16" s="1"/>
  <c r="CM67" i="16" s="1"/>
  <c r="CL66" i="16"/>
  <c r="CL67" i="16" s="1"/>
  <c r="CA19" i="16"/>
  <c r="CA20" i="16" s="1"/>
  <c r="CB21" i="16"/>
  <c r="AG22" i="16"/>
  <c r="AG54" i="16" s="1"/>
  <c r="AR54" i="16" s="1"/>
  <c r="AR23" i="16"/>
  <c r="BG23" i="16" s="1"/>
  <c r="BG21" i="16" s="1"/>
  <c r="AH61" i="16"/>
  <c r="AR61" i="16" s="1"/>
  <c r="AH76" i="16"/>
  <c r="AR76" i="16" s="1"/>
  <c r="BZ12" i="14"/>
  <c r="BZ13" i="14" s="1"/>
  <c r="AU5" i="15"/>
  <c r="AU6" i="15"/>
  <c r="Q7" i="15"/>
  <c r="X41" i="10"/>
  <c r="CA22" i="14"/>
  <c r="CA43" i="14" s="1"/>
  <c r="CA17" i="14" s="1"/>
  <c r="CA22" i="13"/>
  <c r="CA43" i="13" s="1"/>
  <c r="CA22" i="12"/>
  <c r="CA43" i="12" s="1"/>
  <c r="CA22" i="11"/>
  <c r="CA43" i="11" s="1"/>
  <c r="CA22" i="8"/>
  <c r="CA43" i="8" s="1"/>
  <c r="CA44" i="8" s="1"/>
  <c r="CA16" i="8" s="1"/>
  <c r="CA58" i="8" s="1"/>
  <c r="AA41" i="10"/>
  <c r="CD22" i="14"/>
  <c r="CD43" i="14" s="1"/>
  <c r="CD22" i="13"/>
  <c r="CD43" i="13" s="1"/>
  <c r="CD22" i="12"/>
  <c r="CD43" i="12" s="1"/>
  <c r="CD22" i="11"/>
  <c r="CD43" i="11" s="1"/>
  <c r="CD22" i="8"/>
  <c r="CD43" i="8" s="1"/>
  <c r="CD44" i="8" s="1"/>
  <c r="CD16" i="8" s="1"/>
  <c r="Z41" i="10"/>
  <c r="CC22" i="14"/>
  <c r="CC43" i="14" s="1"/>
  <c r="CC22" i="13"/>
  <c r="CC43" i="13" s="1"/>
  <c r="CC22" i="12"/>
  <c r="CC43" i="12" s="1"/>
  <c r="CC22" i="11"/>
  <c r="CC43" i="11" s="1"/>
  <c r="CC22" i="8"/>
  <c r="CC43" i="8" s="1"/>
  <c r="CC44" i="8" s="1"/>
  <c r="CC16" i="8" s="1"/>
  <c r="Y41" i="10"/>
  <c r="CB22" i="14"/>
  <c r="CB43" i="14" s="1"/>
  <c r="CB22" i="13"/>
  <c r="CB43" i="13" s="1"/>
  <c r="CB22" i="12"/>
  <c r="CB43" i="12" s="1"/>
  <c r="CB22" i="11"/>
  <c r="CB43" i="11" s="1"/>
  <c r="CB22" i="8"/>
  <c r="CB43" i="8" s="1"/>
  <c r="CB44" i="8" s="1"/>
  <c r="CB16" i="8" s="1"/>
  <c r="W41" i="10"/>
  <c r="BZ22" i="14"/>
  <c r="BZ43" i="14" s="1"/>
  <c r="BZ17" i="14" s="1"/>
  <c r="BZ22" i="13"/>
  <c r="BZ43" i="13" s="1"/>
  <c r="BZ22" i="12"/>
  <c r="BZ43" i="12" s="1"/>
  <c r="BZ22" i="11"/>
  <c r="BZ43" i="11" s="1"/>
  <c r="BZ22" i="8"/>
  <c r="BZ43" i="8" s="1"/>
  <c r="BZ44" i="8" s="1"/>
  <c r="BZ16" i="8" s="1"/>
  <c r="BZ58" i="8" s="1"/>
  <c r="AC41" i="10"/>
  <c r="CF22" i="14"/>
  <c r="CF43" i="14" s="1"/>
  <c r="CF22" i="13"/>
  <c r="CF43" i="13" s="1"/>
  <c r="CF22" i="12"/>
  <c r="CF43" i="12" s="1"/>
  <c r="CF22" i="11"/>
  <c r="CF43" i="11" s="1"/>
  <c r="CF22" i="8"/>
  <c r="CF43" i="8" s="1"/>
  <c r="CF44" i="8" s="1"/>
  <c r="CF16" i="8" s="1"/>
  <c r="V41" i="10"/>
  <c r="BY22" i="14"/>
  <c r="BY43" i="14" s="1"/>
  <c r="BY17" i="14" s="1"/>
  <c r="BY22" i="13"/>
  <c r="BY43" i="13" s="1"/>
  <c r="BY22" i="12"/>
  <c r="BY43" i="12" s="1"/>
  <c r="BY22" i="11"/>
  <c r="BY43" i="11" s="1"/>
  <c r="BY22" i="8"/>
  <c r="BY43" i="8" s="1"/>
  <c r="BY44" i="8" s="1"/>
  <c r="BY16" i="8" s="1"/>
  <c r="BY58" i="8" s="1"/>
  <c r="U41" i="10"/>
  <c r="BX22" i="14"/>
  <c r="BX43" i="14" s="1"/>
  <c r="BX22" i="13"/>
  <c r="BX43" i="13" s="1"/>
  <c r="BX22" i="12"/>
  <c r="BX43" i="12" s="1"/>
  <c r="BX22" i="11"/>
  <c r="BX43" i="11" s="1"/>
  <c r="BX22" i="8"/>
  <c r="BX43" i="8" s="1"/>
  <c r="BX44" i="8" s="1"/>
  <c r="AB41" i="10"/>
  <c r="CE22" i="14"/>
  <c r="CE43" i="14" s="1"/>
  <c r="CE22" i="13"/>
  <c r="CE43" i="13" s="1"/>
  <c r="CE22" i="12"/>
  <c r="CE43" i="12" s="1"/>
  <c r="CE22" i="11"/>
  <c r="CE43" i="11" s="1"/>
  <c r="CE22" i="8"/>
  <c r="CE43" i="8" s="1"/>
  <c r="CE44" i="8" s="1"/>
  <c r="CE16" i="8" s="1"/>
  <c r="Y4" i="15"/>
  <c r="S5" i="15"/>
  <c r="W5" i="15"/>
  <c r="W7" i="15" s="1"/>
  <c r="CH32" i="8"/>
  <c r="CH32" i="11"/>
  <c r="CH32" i="12"/>
  <c r="CH32" i="13"/>
  <c r="CH32" i="14"/>
  <c r="CH28" i="8"/>
  <c r="CH28" i="11"/>
  <c r="CH28" i="12"/>
  <c r="CH28" i="13"/>
  <c r="CH28" i="14"/>
  <c r="CH35" i="8"/>
  <c r="CH35" i="11"/>
  <c r="CH35" i="12"/>
  <c r="CH35" i="13"/>
  <c r="CH35" i="14"/>
  <c r="CH24" i="8"/>
  <c r="CH24" i="11"/>
  <c r="CH24" i="12"/>
  <c r="CH24" i="13"/>
  <c r="CH24" i="14"/>
  <c r="CH31" i="8"/>
  <c r="CH31" i="11"/>
  <c r="CH31" i="12"/>
  <c r="CH31" i="13"/>
  <c r="CH31" i="14"/>
  <c r="CH36" i="8"/>
  <c r="CH36" i="11"/>
  <c r="CH36" i="12"/>
  <c r="CH36" i="13"/>
  <c r="CH36" i="14"/>
  <c r="CH34" i="8"/>
  <c r="CH34" i="11"/>
  <c r="CH34" i="12"/>
  <c r="CH34" i="13"/>
  <c r="CH34" i="14"/>
  <c r="CH33" i="8"/>
  <c r="CH33" i="11"/>
  <c r="CH33" i="12"/>
  <c r="CH33" i="13"/>
  <c r="CH33" i="14"/>
  <c r="CG43" i="8"/>
  <c r="CG44" i="8" s="1"/>
  <c r="CG16" i="8" s="1"/>
  <c r="CG43" i="11"/>
  <c r="CG43" i="12"/>
  <c r="CG43" i="13"/>
  <c r="CG43" i="14"/>
  <c r="CH27" i="8"/>
  <c r="CH27" i="11"/>
  <c r="CH27" i="12"/>
  <c r="CH27" i="13"/>
  <c r="CH27" i="14"/>
  <c r="CH26" i="8"/>
  <c r="CH26" i="11"/>
  <c r="CH26" i="12"/>
  <c r="CH26" i="13"/>
  <c r="CH26" i="14"/>
  <c r="CH23" i="8"/>
  <c r="CH23" i="11"/>
  <c r="CH23" i="12"/>
  <c r="CH23" i="13"/>
  <c r="CH23" i="14"/>
  <c r="CH30" i="8"/>
  <c r="CH30" i="11"/>
  <c r="CH30" i="12"/>
  <c r="CH30" i="13"/>
  <c r="CH30" i="14"/>
  <c r="CH29" i="8"/>
  <c r="CH29" i="11"/>
  <c r="CH29" i="12"/>
  <c r="CH29" i="13"/>
  <c r="CH29" i="14"/>
  <c r="CH25" i="8"/>
  <c r="CH25" i="11"/>
  <c r="CH25" i="12"/>
  <c r="CH25" i="13"/>
  <c r="CH25" i="14"/>
  <c r="BX14" i="14"/>
  <c r="BX11" i="14"/>
  <c r="AG15" i="14"/>
  <c r="AG47" i="14" s="1"/>
  <c r="AR47" i="14" s="1"/>
  <c r="AR16" i="14"/>
  <c r="BG16" i="14" s="1"/>
  <c r="BG14" i="14" s="1"/>
  <c r="AH54" i="14"/>
  <c r="AR54" i="14" s="1"/>
  <c r="AH69" i="14"/>
  <c r="AR69" i="14" s="1"/>
  <c r="AG15" i="13"/>
  <c r="AG47" i="13" s="1"/>
  <c r="AR47" i="13" s="1"/>
  <c r="AR16" i="13"/>
  <c r="BG16" i="13" s="1"/>
  <c r="BG14" i="13" s="1"/>
  <c r="AH54" i="13"/>
  <c r="AR54" i="13" s="1"/>
  <c r="AH69" i="13"/>
  <c r="AR69" i="13" s="1"/>
  <c r="BV58" i="13"/>
  <c r="CJ16" i="13"/>
  <c r="BV69" i="13"/>
  <c r="AG15" i="12"/>
  <c r="AG47" i="12" s="1"/>
  <c r="AR47" i="12" s="1"/>
  <c r="AR16" i="12"/>
  <c r="BG16" i="12" s="1"/>
  <c r="BG14" i="12" s="1"/>
  <c r="AH54" i="12"/>
  <c r="AR54" i="12" s="1"/>
  <c r="AH69" i="12"/>
  <c r="AR69" i="12" s="1"/>
  <c r="BV58" i="12"/>
  <c r="BV69" i="12"/>
  <c r="AG15" i="11"/>
  <c r="AG47" i="11" s="1"/>
  <c r="AR47" i="11" s="1"/>
  <c r="AR16" i="11"/>
  <c r="BG16" i="11" s="1"/>
  <c r="BG14" i="11" s="1"/>
  <c r="AH54" i="11"/>
  <c r="AR54" i="11" s="1"/>
  <c r="AH69" i="11"/>
  <c r="AR69" i="11" s="1"/>
  <c r="BV16" i="8"/>
  <c r="BV58" i="8" s="1"/>
  <c r="CH20" i="8"/>
  <c r="CI20" i="8" s="1"/>
  <c r="BV18" i="8"/>
  <c r="AP16" i="8"/>
  <c r="AQ16" i="8"/>
  <c r="AT16" i="8"/>
  <c r="BA16" i="8"/>
  <c r="AJ16" i="8"/>
  <c r="AX16" i="8"/>
  <c r="AW15" i="8" s="1"/>
  <c r="BB16" i="8"/>
  <c r="BB54" i="8" s="1"/>
  <c r="BB55" i="8" s="1"/>
  <c r="AN16" i="8"/>
  <c r="AM15" i="8" s="1"/>
  <c r="AM47" i="8" s="1"/>
  <c r="BC16" i="8"/>
  <c r="BC69" i="8" s="1"/>
  <c r="CH43" i="8"/>
  <c r="CI43" i="8" s="1"/>
  <c r="BF43" i="8"/>
  <c r="AU53" i="8"/>
  <c r="AR61" i="8"/>
  <c r="CH60" i="8"/>
  <c r="BF60" i="8"/>
  <c r="BY68" i="8"/>
  <c r="BY69" i="8"/>
  <c r="BF61" i="8"/>
  <c r="BT53" i="8"/>
  <c r="AT59" i="8"/>
  <c r="AR60" i="8"/>
  <c r="BW45" i="8"/>
  <c r="AU16" i="8"/>
  <c r="AT15" i="8" s="1"/>
  <c r="AK16" i="8"/>
  <c r="AK54" i="8" s="1"/>
  <c r="AO16" i="8"/>
  <c r="AO69" i="8" s="1"/>
  <c r="AY16" i="8"/>
  <c r="AY69" i="8" s="1"/>
  <c r="P16" i="8"/>
  <c r="AG16" i="8"/>
  <c r="AG69" i="8" s="1"/>
  <c r="AV16" i="8"/>
  <c r="AV54" i="8" s="1"/>
  <c r="AV55" i="8" s="1"/>
  <c r="AZ16" i="8"/>
  <c r="AZ54" i="8" s="1"/>
  <c r="AZ55" i="8" s="1"/>
  <c r="BD16" i="8"/>
  <c r="BD69" i="8" s="1"/>
  <c r="BW58" i="8"/>
  <c r="AI16" i="8"/>
  <c r="AH15" i="8" s="1"/>
  <c r="AH47" i="8" s="1"/>
  <c r="AM16" i="8"/>
  <c r="AL15" i="8" s="1"/>
  <c r="AL47" i="8" s="1"/>
  <c r="AW16" i="8"/>
  <c r="AW54" i="8" s="1"/>
  <c r="AW55" i="8" s="1"/>
  <c r="P43" i="8"/>
  <c r="D14" i="9"/>
  <c r="D13" i="9"/>
  <c r="D11" i="9"/>
  <c r="E14" i="9"/>
  <c r="E13" i="9"/>
  <c r="E11" i="9"/>
  <c r="F14" i="9"/>
  <c r="F13" i="9"/>
  <c r="F11" i="9"/>
  <c r="G14" i="9"/>
  <c r="G13" i="9"/>
  <c r="G11" i="9"/>
  <c r="H14" i="9"/>
  <c r="H13" i="9"/>
  <c r="H11" i="9"/>
  <c r="I14" i="9"/>
  <c r="I13" i="9"/>
  <c r="I11" i="9"/>
  <c r="J14" i="9"/>
  <c r="J13" i="9"/>
  <c r="J11" i="9"/>
  <c r="K14" i="9"/>
  <c r="K13" i="9"/>
  <c r="K11" i="9"/>
  <c r="L14" i="9"/>
  <c r="L13" i="9"/>
  <c r="L11" i="9"/>
  <c r="M14" i="9"/>
  <c r="M13" i="9"/>
  <c r="M11" i="9"/>
  <c r="N14" i="9"/>
  <c r="N13" i="9"/>
  <c r="N11" i="9"/>
  <c r="O14" i="9"/>
  <c r="P14" i="9" s="1"/>
  <c r="O13" i="9"/>
  <c r="P13" i="9" s="1"/>
  <c r="O11" i="9"/>
  <c r="R14" i="9"/>
  <c r="R13" i="9"/>
  <c r="R11" i="9"/>
  <c r="S14" i="9"/>
  <c r="S13" i="9"/>
  <c r="S11" i="9"/>
  <c r="T14" i="9"/>
  <c r="T13" i="9"/>
  <c r="T11" i="9"/>
  <c r="U14" i="9"/>
  <c r="U13" i="9"/>
  <c r="U11" i="9"/>
  <c r="V14" i="9"/>
  <c r="V13" i="9"/>
  <c r="V11" i="9"/>
  <c r="W14" i="9"/>
  <c r="W13" i="9"/>
  <c r="W11" i="9"/>
  <c r="X14" i="9"/>
  <c r="X13" i="9"/>
  <c r="X11" i="9"/>
  <c r="Y14" i="9"/>
  <c r="Y13" i="9"/>
  <c r="Y11" i="9"/>
  <c r="Z14" i="9"/>
  <c r="Z13" i="9"/>
  <c r="Z11" i="9"/>
  <c r="AA14" i="9"/>
  <c r="AA13" i="9"/>
  <c r="AA11" i="9"/>
  <c r="AB14" i="9"/>
  <c r="AB13" i="9"/>
  <c r="AB11" i="9"/>
  <c r="AC14" i="9"/>
  <c r="AD14" i="9" s="1"/>
  <c r="AC13" i="9"/>
  <c r="AD13" i="9" s="1"/>
  <c r="AF15" i="9"/>
  <c r="AF47" i="9" s="1"/>
  <c r="AF14" i="9"/>
  <c r="AF11" i="9"/>
  <c r="AG14" i="9"/>
  <c r="AG11" i="9"/>
  <c r="AH15" i="9"/>
  <c r="AH47" i="9" s="1"/>
  <c r="AH14" i="9"/>
  <c r="AH11" i="9"/>
  <c r="AI15" i="9"/>
  <c r="AI47" i="9" s="1"/>
  <c r="AI14" i="9"/>
  <c r="AI11" i="9"/>
  <c r="AJ15" i="9"/>
  <c r="AJ47" i="9" s="1"/>
  <c r="AJ14" i="9"/>
  <c r="AJ11" i="9"/>
  <c r="AK15" i="9"/>
  <c r="AK47" i="9" s="1"/>
  <c r="AK14" i="9"/>
  <c r="AK11" i="9"/>
  <c r="AL15" i="9"/>
  <c r="AL47" i="9" s="1"/>
  <c r="AL14" i="9"/>
  <c r="AL11" i="9"/>
  <c r="AM15" i="9"/>
  <c r="AM47" i="9" s="1"/>
  <c r="AM14" i="9"/>
  <c r="AM11" i="9"/>
  <c r="AN15" i="9"/>
  <c r="AN47" i="9" s="1"/>
  <c r="AN14" i="9"/>
  <c r="AN11" i="9"/>
  <c r="AO15" i="9"/>
  <c r="AO47" i="9" s="1"/>
  <c r="AO14" i="9"/>
  <c r="AO11" i="9"/>
  <c r="AP15" i="9"/>
  <c r="AP47" i="9" s="1"/>
  <c r="AP14" i="9"/>
  <c r="AP11" i="9"/>
  <c r="AQ15" i="9"/>
  <c r="AQ14" i="9"/>
  <c r="AR14" i="9" s="1"/>
  <c r="AQ11" i="9"/>
  <c r="AR11" i="9" s="1"/>
  <c r="AR6" i="9"/>
  <c r="AT15" i="9"/>
  <c r="AT14" i="9"/>
  <c r="AT11" i="9"/>
  <c r="AU15" i="9"/>
  <c r="AU14" i="9"/>
  <c r="AU11" i="9"/>
  <c r="AV15" i="9"/>
  <c r="AV14" i="9"/>
  <c r="AV11" i="9"/>
  <c r="AW15" i="9"/>
  <c r="AW14" i="9"/>
  <c r="AW11" i="9"/>
  <c r="AX15" i="9"/>
  <c r="AX14" i="9"/>
  <c r="AX11" i="9"/>
  <c r="AY15" i="9"/>
  <c r="AY14" i="9"/>
  <c r="AY11" i="9"/>
  <c r="AZ14" i="9"/>
  <c r="AZ11" i="9"/>
  <c r="BA15" i="9"/>
  <c r="BA14" i="9"/>
  <c r="BA11" i="9"/>
  <c r="BB15" i="9"/>
  <c r="BB14" i="9"/>
  <c r="BC14" i="9" s="1"/>
  <c r="BD14" i="9" s="1"/>
  <c r="BE14" i="9" s="1"/>
  <c r="BF14" i="9" s="1"/>
  <c r="BB11" i="9"/>
  <c r="BC15" i="9"/>
  <c r="BC11" i="9"/>
  <c r="BD15" i="9"/>
  <c r="BD11" i="9"/>
  <c r="BE15" i="9"/>
  <c r="BE11" i="9"/>
  <c r="BF11" i="9" s="1"/>
  <c r="BF6" i="9"/>
  <c r="BH15" i="9"/>
  <c r="BH14" i="9"/>
  <c r="BH11" i="9"/>
  <c r="BI15" i="9"/>
  <c r="BI14" i="9"/>
  <c r="BI11" i="9"/>
  <c r="BJ15" i="9"/>
  <c r="BJ14" i="9"/>
  <c r="BJ11" i="9"/>
  <c r="BK15" i="9"/>
  <c r="BK14" i="9"/>
  <c r="BK11" i="9"/>
  <c r="BL15" i="9"/>
  <c r="BL14" i="9"/>
  <c r="BL11" i="9"/>
  <c r="BM15" i="9"/>
  <c r="BM14" i="9"/>
  <c r="BM11" i="9"/>
  <c r="BN15" i="9"/>
  <c r="BN14" i="9"/>
  <c r="BN11" i="9"/>
  <c r="BO14" i="9"/>
  <c r="BO11" i="9"/>
  <c r="BP14" i="9"/>
  <c r="BP11" i="9"/>
  <c r="BQ14" i="9"/>
  <c r="BQ11" i="9"/>
  <c r="BR14" i="9"/>
  <c r="BR11" i="9"/>
  <c r="BS14" i="9"/>
  <c r="BT14" i="9" s="1"/>
  <c r="BS11" i="9"/>
  <c r="BT11" i="9" s="1"/>
  <c r="BT6" i="9"/>
  <c r="BV14" i="9"/>
  <c r="BV11" i="9"/>
  <c r="BW6" i="9"/>
  <c r="AQ13" i="9"/>
  <c r="AR13" i="9" s="1"/>
  <c r="AR12" i="9"/>
  <c r="AT13" i="9"/>
  <c r="BF13" i="9" s="1"/>
  <c r="BF12" i="9"/>
  <c r="BS13" i="9"/>
  <c r="BT13" i="9" s="1"/>
  <c r="BT12" i="9"/>
  <c r="CG13" i="9"/>
  <c r="CH13" i="9" s="1"/>
  <c r="CH12" i="9"/>
  <c r="R69" i="9"/>
  <c r="BH51" i="9"/>
  <c r="BH20" i="9"/>
  <c r="BT17" i="9"/>
  <c r="BT20" i="9" s="1"/>
  <c r="BI51" i="9"/>
  <c r="BI20" i="9"/>
  <c r="BJ51" i="9"/>
  <c r="BJ20" i="9"/>
  <c r="BK51" i="9"/>
  <c r="BK20" i="9"/>
  <c r="BL51" i="9"/>
  <c r="BL20" i="9"/>
  <c r="BM51" i="9"/>
  <c r="BM20" i="9"/>
  <c r="BN51" i="9"/>
  <c r="BN20" i="9"/>
  <c r="BO51" i="9"/>
  <c r="BO20" i="9"/>
  <c r="BP51" i="9"/>
  <c r="BP20" i="9"/>
  <c r="CH20" i="9"/>
  <c r="CI17" i="9"/>
  <c r="CH18" i="9"/>
  <c r="AN51" i="9"/>
  <c r="AR20" i="9"/>
  <c r="AT51" i="9"/>
  <c r="BF51" i="9" s="1"/>
  <c r="BF20" i="9"/>
  <c r="BG20" i="9" s="1"/>
  <c r="BR45" i="9"/>
  <c r="CF45" i="9" s="1"/>
  <c r="T43" i="9"/>
  <c r="T16" i="9" s="1"/>
  <c r="T69" i="9" s="1"/>
  <c r="AD22" i="9"/>
  <c r="BG22" i="9"/>
  <c r="BG23" i="9"/>
  <c r="BG24" i="9"/>
  <c r="S43" i="9"/>
  <c r="S16" i="9" s="1"/>
  <c r="AD25" i="9"/>
  <c r="BG25" i="9"/>
  <c r="BG26" i="9"/>
  <c r="BG27" i="9"/>
  <c r="BG28" i="9"/>
  <c r="BG29" i="9"/>
  <c r="BG30" i="9"/>
  <c r="AH43" i="9"/>
  <c r="AR31" i="9"/>
  <c r="BG31" i="9"/>
  <c r="BG32" i="9"/>
  <c r="BG33" i="9"/>
  <c r="BG34" i="9"/>
  <c r="BG35" i="9"/>
  <c r="BG36" i="9"/>
  <c r="BG37" i="9"/>
  <c r="BG38" i="9"/>
  <c r="BG39" i="9"/>
  <c r="BG40" i="9"/>
  <c r="BG42" i="9"/>
  <c r="AD43" i="9"/>
  <c r="AF53" i="9"/>
  <c r="AR43" i="9"/>
  <c r="AL53" i="9"/>
  <c r="AL45" i="9"/>
  <c r="AP53" i="9"/>
  <c r="AP45" i="9"/>
  <c r="AQ53" i="9"/>
  <c r="AQ45" i="9"/>
  <c r="AT53" i="9"/>
  <c r="BF43" i="9"/>
  <c r="BG43" i="9" s="1"/>
  <c r="BG46" i="9" s="1"/>
  <c r="BA53" i="9"/>
  <c r="BA44" i="9"/>
  <c r="BX45" i="9"/>
  <c r="BO47" i="9"/>
  <c r="CC45" i="9"/>
  <c r="BT45" i="9"/>
  <c r="BP47" i="9"/>
  <c r="CD45" i="9"/>
  <c r="BQ47" i="9"/>
  <c r="CE45" i="9"/>
  <c r="BB47" i="9"/>
  <c r="BF46" i="9"/>
  <c r="BF47" i="9"/>
  <c r="BT47" i="9"/>
  <c r="AF54" i="9"/>
  <c r="AR49" i="9"/>
  <c r="AG54" i="9"/>
  <c r="AI54" i="9"/>
  <c r="AJ54" i="9"/>
  <c r="AK54" i="9"/>
  <c r="AL54" i="9"/>
  <c r="AM54" i="9"/>
  <c r="AN54" i="9"/>
  <c r="AO54" i="9"/>
  <c r="AP54" i="9"/>
  <c r="AQ54" i="9"/>
  <c r="AT54" i="9"/>
  <c r="BF49" i="9"/>
  <c r="AU54" i="9"/>
  <c r="AU55" i="9" s="1"/>
  <c r="AV54" i="9"/>
  <c r="AV55" i="9" s="1"/>
  <c r="AW54" i="9"/>
  <c r="AW55" i="9" s="1"/>
  <c r="AX54" i="9"/>
  <c r="AX55" i="9" s="1"/>
  <c r="AY54" i="9"/>
  <c r="AY55" i="9" s="1"/>
  <c r="AZ54" i="9"/>
  <c r="AZ55" i="9" s="1"/>
  <c r="BA54" i="9"/>
  <c r="BA55" i="9" s="1"/>
  <c r="BB54" i="9"/>
  <c r="BB55" i="9" s="1"/>
  <c r="BC54" i="9"/>
  <c r="BC55" i="9" s="1"/>
  <c r="BD54" i="9"/>
  <c r="BD55" i="9" s="1"/>
  <c r="BE54" i="9"/>
  <c r="BE55" i="9" s="1"/>
  <c r="BV57" i="9"/>
  <c r="BH54" i="9"/>
  <c r="BT49" i="9"/>
  <c r="BW57" i="9"/>
  <c r="BI54" i="9"/>
  <c r="BI55" i="9" s="1"/>
  <c r="BX57" i="9"/>
  <c r="BJ54" i="9"/>
  <c r="BJ55" i="9" s="1"/>
  <c r="BY57" i="9"/>
  <c r="BK54" i="9"/>
  <c r="BK55" i="9" s="1"/>
  <c r="BZ57" i="9"/>
  <c r="BL54" i="9"/>
  <c r="BL55" i="9" s="1"/>
  <c r="CA57" i="9"/>
  <c r="BM54" i="9"/>
  <c r="BM55" i="9" s="1"/>
  <c r="BN54" i="9"/>
  <c r="BN55" i="9" s="1"/>
  <c r="BO54" i="9"/>
  <c r="BO55" i="9" s="1"/>
  <c r="BP54" i="9"/>
  <c r="BP55" i="9" s="1"/>
  <c r="BQ54" i="9"/>
  <c r="BQ55" i="9" s="1"/>
  <c r="BG50" i="9"/>
  <c r="AR51" i="9"/>
  <c r="BB53" i="9"/>
  <c r="BF52" i="9"/>
  <c r="AF69" i="9"/>
  <c r="AF68" i="9"/>
  <c r="AR59" i="9"/>
  <c r="AG69" i="9"/>
  <c r="AG68" i="9"/>
  <c r="AH68" i="9"/>
  <c r="AI69" i="9"/>
  <c r="AI68" i="9"/>
  <c r="AJ69" i="9"/>
  <c r="AJ68" i="9"/>
  <c r="AK69" i="9"/>
  <c r="AK68" i="9"/>
  <c r="AL69" i="9"/>
  <c r="AL68" i="9"/>
  <c r="AM69" i="9"/>
  <c r="AN69" i="9"/>
  <c r="AO69" i="9"/>
  <c r="AO64" i="9"/>
  <c r="AP69" i="9"/>
  <c r="AP64" i="9"/>
  <c r="AQ69" i="9"/>
  <c r="AQ64" i="9"/>
  <c r="AT69" i="9"/>
  <c r="AT64" i="9"/>
  <c r="BF59" i="9"/>
  <c r="AU69" i="9"/>
  <c r="AU64" i="9"/>
  <c r="AV69" i="9"/>
  <c r="AV64" i="9"/>
  <c r="AW69" i="9"/>
  <c r="AW64" i="9"/>
  <c r="AX69" i="9"/>
  <c r="AX64" i="9"/>
  <c r="AY69" i="9"/>
  <c r="AY64" i="9"/>
  <c r="AZ69" i="9"/>
  <c r="AZ64" i="9"/>
  <c r="BA69" i="9"/>
  <c r="BA64" i="9"/>
  <c r="BB69" i="9"/>
  <c r="BB64" i="9"/>
  <c r="BC69" i="9"/>
  <c r="BC64" i="9"/>
  <c r="BH69" i="9"/>
  <c r="BT59" i="9"/>
  <c r="BI69" i="9"/>
  <c r="BJ69" i="9"/>
  <c r="BK69" i="9"/>
  <c r="BL69" i="9"/>
  <c r="BM69" i="9"/>
  <c r="BN69" i="9"/>
  <c r="BO69" i="9"/>
  <c r="BP69" i="9"/>
  <c r="BV69" i="9"/>
  <c r="BV68" i="9"/>
  <c r="CH59" i="9"/>
  <c r="BW69" i="9"/>
  <c r="BW68" i="9"/>
  <c r="BX69" i="9"/>
  <c r="BX68" i="9"/>
  <c r="BY69" i="9"/>
  <c r="BY68" i="9"/>
  <c r="BG60" i="9"/>
  <c r="BP61" i="9"/>
  <c r="BT60" i="9"/>
  <c r="BT61" i="9"/>
  <c r="BG62" i="9"/>
  <c r="BT63" i="9"/>
  <c r="CH63" i="9" s="1"/>
  <c r="AM68" i="9"/>
  <c r="AR65" i="9"/>
  <c r="AN68" i="9"/>
  <c r="AO68" i="9"/>
  <c r="AP68" i="9"/>
  <c r="AQ68" i="9"/>
  <c r="AT68" i="9"/>
  <c r="BF65" i="9"/>
  <c r="BG65" i="9" s="1"/>
  <c r="AU68" i="9"/>
  <c r="AV68" i="9"/>
  <c r="AW68" i="9"/>
  <c r="AX68" i="9"/>
  <c r="AY68" i="9"/>
  <c r="AZ68" i="9"/>
  <c r="BA68" i="9"/>
  <c r="BB68" i="9"/>
  <c r="BC68" i="9"/>
  <c r="BH68" i="9"/>
  <c r="BT65" i="9"/>
  <c r="CI60" i="9" s="1"/>
  <c r="BI68" i="9"/>
  <c r="BJ68" i="9"/>
  <c r="BK68" i="9"/>
  <c r="BL68" i="9"/>
  <c r="BM68" i="9"/>
  <c r="BN68" i="9"/>
  <c r="BO68" i="9"/>
  <c r="BP68" i="9"/>
  <c r="BV14" i="8"/>
  <c r="BX17" i="8"/>
  <c r="BY17" i="8"/>
  <c r="BZ17" i="8"/>
  <c r="CA17" i="8"/>
  <c r="CB17" i="8"/>
  <c r="CC17" i="8"/>
  <c r="CD17" i="8"/>
  <c r="CE17" i="8"/>
  <c r="CF17" i="8"/>
  <c r="CG17" i="8"/>
  <c r="D14" i="8"/>
  <c r="D13" i="8"/>
  <c r="D11" i="8"/>
  <c r="E14" i="8"/>
  <c r="E13" i="8"/>
  <c r="E11" i="8"/>
  <c r="F14" i="8"/>
  <c r="F13" i="8"/>
  <c r="F11" i="8"/>
  <c r="G14" i="8"/>
  <c r="G13" i="8"/>
  <c r="G11" i="8"/>
  <c r="H14" i="8"/>
  <c r="H13" i="8"/>
  <c r="H11" i="8"/>
  <c r="I14" i="8"/>
  <c r="I13" i="8"/>
  <c r="I11" i="8"/>
  <c r="J14" i="8"/>
  <c r="J13" i="8"/>
  <c r="J11" i="8"/>
  <c r="K14" i="8"/>
  <c r="K13" i="8"/>
  <c r="K11" i="8"/>
  <c r="L14" i="8"/>
  <c r="L13" i="8"/>
  <c r="L11" i="8"/>
  <c r="M14" i="8"/>
  <c r="M13" i="8"/>
  <c r="M11" i="8"/>
  <c r="N14" i="8"/>
  <c r="N13" i="8"/>
  <c r="N11" i="8"/>
  <c r="O14" i="8"/>
  <c r="P14" i="8" s="1"/>
  <c r="O13" i="8"/>
  <c r="P13" i="8" s="1"/>
  <c r="O11" i="8"/>
  <c r="R14" i="8"/>
  <c r="R13" i="8"/>
  <c r="R11" i="8"/>
  <c r="S14" i="8"/>
  <c r="S13" i="8"/>
  <c r="S11" i="8"/>
  <c r="T14" i="8"/>
  <c r="T13" i="8"/>
  <c r="T11" i="8"/>
  <c r="U14" i="8"/>
  <c r="U13" i="8"/>
  <c r="U11" i="8"/>
  <c r="V14" i="8"/>
  <c r="V13" i="8"/>
  <c r="V11" i="8"/>
  <c r="W14" i="8"/>
  <c r="W13" i="8"/>
  <c r="W11" i="8"/>
  <c r="X14" i="8"/>
  <c r="X13" i="8"/>
  <c r="X11" i="8"/>
  <c r="Y14" i="8"/>
  <c r="Y13" i="8"/>
  <c r="Y11" i="8"/>
  <c r="Z14" i="8"/>
  <c r="Z13" i="8"/>
  <c r="Z11" i="8"/>
  <c r="AA14" i="8"/>
  <c r="AA13" i="8"/>
  <c r="AA11" i="8"/>
  <c r="AB14" i="8"/>
  <c r="AB13" i="8"/>
  <c r="AB11" i="8"/>
  <c r="AC14" i="8"/>
  <c r="AD14" i="8" s="1"/>
  <c r="AC13" i="8"/>
  <c r="AD13" i="8" s="1"/>
  <c r="AF11" i="8"/>
  <c r="AG14" i="8"/>
  <c r="AG11" i="8"/>
  <c r="AH14" i="8"/>
  <c r="AH11" i="8"/>
  <c r="AI15" i="8"/>
  <c r="AI47" i="8" s="1"/>
  <c r="AI14" i="8"/>
  <c r="AI11" i="8"/>
  <c r="AJ14" i="8"/>
  <c r="AJ11" i="8"/>
  <c r="AK15" i="8"/>
  <c r="AK47" i="8" s="1"/>
  <c r="AK14" i="8"/>
  <c r="AK11" i="8"/>
  <c r="AL14" i="8"/>
  <c r="AL11" i="8"/>
  <c r="AM14" i="8"/>
  <c r="AM11" i="8"/>
  <c r="AN14" i="8"/>
  <c r="AN11" i="8"/>
  <c r="AO15" i="8"/>
  <c r="AO47" i="8" s="1"/>
  <c r="AO14" i="8"/>
  <c r="AO11" i="8"/>
  <c r="AP15" i="8"/>
  <c r="AP47" i="8" s="1"/>
  <c r="AP14" i="8"/>
  <c r="AP11" i="8"/>
  <c r="AQ15" i="8"/>
  <c r="AQ14" i="8"/>
  <c r="AR14" i="8" s="1"/>
  <c r="AQ11" i="8"/>
  <c r="AR11" i="8" s="1"/>
  <c r="AR6" i="8"/>
  <c r="AT14" i="8"/>
  <c r="AT11" i="8"/>
  <c r="AU14" i="8"/>
  <c r="AU11" i="8"/>
  <c r="AV15" i="8"/>
  <c r="AV14" i="8"/>
  <c r="AV11" i="8"/>
  <c r="AW14" i="8"/>
  <c r="AW11" i="8"/>
  <c r="AX14" i="8"/>
  <c r="AX11" i="8"/>
  <c r="AY15" i="8"/>
  <c r="AY14" i="8"/>
  <c r="AY11" i="8"/>
  <c r="AZ14" i="8"/>
  <c r="AZ11" i="8"/>
  <c r="BA15" i="8"/>
  <c r="BA14" i="8"/>
  <c r="BA11" i="8"/>
  <c r="BB15" i="8"/>
  <c r="BB14" i="8"/>
  <c r="BB11" i="8"/>
  <c r="BC15" i="8"/>
  <c r="BC11" i="8"/>
  <c r="BD15" i="8"/>
  <c r="BD11" i="8"/>
  <c r="BE15" i="8"/>
  <c r="BE11" i="8"/>
  <c r="BF11" i="8" s="1"/>
  <c r="BF6" i="8"/>
  <c r="BH15" i="8"/>
  <c r="BH14" i="8"/>
  <c r="BH11" i="8"/>
  <c r="BI15" i="8"/>
  <c r="BI14" i="8"/>
  <c r="BI11" i="8"/>
  <c r="BJ15" i="8"/>
  <c r="BJ14" i="8"/>
  <c r="BJ11" i="8"/>
  <c r="BK15" i="8"/>
  <c r="BK14" i="8"/>
  <c r="BK11" i="8"/>
  <c r="BL15" i="8"/>
  <c r="BL14" i="8"/>
  <c r="BL11" i="8"/>
  <c r="BM15" i="8"/>
  <c r="BM14" i="8"/>
  <c r="BM11" i="8"/>
  <c r="BN15" i="8"/>
  <c r="BN14" i="8"/>
  <c r="BN11" i="8"/>
  <c r="BO14" i="8"/>
  <c r="BO11" i="8"/>
  <c r="BP14" i="8"/>
  <c r="BP11" i="8"/>
  <c r="BQ14" i="8"/>
  <c r="BQ11" i="8"/>
  <c r="BR14" i="8"/>
  <c r="AQ13" i="8"/>
  <c r="AR13" i="8" s="1"/>
  <c r="AR12" i="8"/>
  <c r="AT13" i="8"/>
  <c r="BF13" i="8" s="1"/>
  <c r="BF12" i="8"/>
  <c r="BS13" i="8"/>
  <c r="BT13" i="8" s="1"/>
  <c r="BT12" i="8"/>
  <c r="CG13" i="8"/>
  <c r="CH13" i="8" s="1"/>
  <c r="CH12" i="8"/>
  <c r="R69" i="8"/>
  <c r="BH51" i="8"/>
  <c r="BT17" i="8"/>
  <c r="BT20" i="8" s="1"/>
  <c r="BI51" i="8"/>
  <c r="BI20" i="8"/>
  <c r="BJ51" i="8"/>
  <c r="BJ20" i="8"/>
  <c r="BK51" i="8"/>
  <c r="BK20" i="8"/>
  <c r="BL51" i="8"/>
  <c r="BL20" i="8"/>
  <c r="BM51" i="8"/>
  <c r="BM20" i="8"/>
  <c r="BN51" i="8"/>
  <c r="BN20" i="8"/>
  <c r="BO51" i="8"/>
  <c r="BO20" i="8"/>
  <c r="BP51" i="8"/>
  <c r="BP20" i="8"/>
  <c r="AN51" i="8"/>
  <c r="AR20" i="8"/>
  <c r="AT51" i="8"/>
  <c r="BF51" i="8" s="1"/>
  <c r="BF20" i="8"/>
  <c r="BG20" i="8" s="1"/>
  <c r="BR45" i="8"/>
  <c r="CF45" i="8" s="1"/>
  <c r="T43" i="8"/>
  <c r="T16" i="8" s="1"/>
  <c r="T69" i="8" s="1"/>
  <c r="AD22" i="8"/>
  <c r="BG22" i="8"/>
  <c r="BG23" i="8"/>
  <c r="BG24" i="8"/>
  <c r="S43" i="8"/>
  <c r="S16" i="8" s="1"/>
  <c r="AD25" i="8"/>
  <c r="BG25" i="8"/>
  <c r="BG26" i="8"/>
  <c r="BG27" i="8"/>
  <c r="BG28" i="8"/>
  <c r="BG29" i="8"/>
  <c r="BG30" i="8"/>
  <c r="AH43" i="8"/>
  <c r="AL45" i="8" s="1"/>
  <c r="AR31" i="8"/>
  <c r="BG31" i="8" s="1"/>
  <c r="BG32" i="8"/>
  <c r="BG33" i="8"/>
  <c r="BG34" i="8"/>
  <c r="BG35" i="8"/>
  <c r="BG36" i="8"/>
  <c r="BG37" i="8"/>
  <c r="BG38" i="8"/>
  <c r="BG39" i="8"/>
  <c r="BG40" i="8"/>
  <c r="BG42" i="8"/>
  <c r="AF53" i="8"/>
  <c r="AL53" i="8"/>
  <c r="AP53" i="8"/>
  <c r="AQ53" i="8"/>
  <c r="AT53" i="8"/>
  <c r="BA53" i="8"/>
  <c r="BA44" i="8"/>
  <c r="BO47" i="8"/>
  <c r="BP47" i="8"/>
  <c r="BQ47" i="8"/>
  <c r="BB47" i="8"/>
  <c r="BF47" i="8" s="1"/>
  <c r="BF46" i="8"/>
  <c r="AF54" i="8"/>
  <c r="AR49" i="8"/>
  <c r="AJ54" i="8"/>
  <c r="AL54" i="8"/>
  <c r="AP54" i="8"/>
  <c r="AQ54" i="8"/>
  <c r="AT54" i="8"/>
  <c r="BF49" i="8"/>
  <c r="AX54" i="8"/>
  <c r="AX55" i="8" s="1"/>
  <c r="BA54" i="8"/>
  <c r="BA55" i="8" s="1"/>
  <c r="BE54" i="8"/>
  <c r="BE55" i="8" s="1"/>
  <c r="BH54" i="8"/>
  <c r="BT49" i="8"/>
  <c r="BI54" i="8"/>
  <c r="BI55" i="8" s="1"/>
  <c r="BJ54" i="8"/>
  <c r="BJ55" i="8" s="1"/>
  <c r="BK54" i="8"/>
  <c r="BK55" i="8" s="1"/>
  <c r="BL54" i="8"/>
  <c r="BL55" i="8" s="1"/>
  <c r="BM54" i="8"/>
  <c r="BM55" i="8" s="1"/>
  <c r="BN54" i="8"/>
  <c r="BN55" i="8" s="1"/>
  <c r="BO54" i="8"/>
  <c r="BO55" i="8" s="1"/>
  <c r="BP54" i="8"/>
  <c r="BP55" i="8" s="1"/>
  <c r="BQ54" i="8"/>
  <c r="BQ55" i="8" s="1"/>
  <c r="BG50" i="8"/>
  <c r="AR51" i="8"/>
  <c r="BB53" i="8"/>
  <c r="BF52" i="8"/>
  <c r="AF69" i="8"/>
  <c r="AF68" i="8"/>
  <c r="AR59" i="8"/>
  <c r="AG68" i="8"/>
  <c r="AH68" i="8"/>
  <c r="AI68" i="8"/>
  <c r="AJ69" i="8"/>
  <c r="AJ68" i="8"/>
  <c r="AK68" i="8"/>
  <c r="AL69" i="8"/>
  <c r="AL68" i="8"/>
  <c r="AO64" i="8"/>
  <c r="AP69" i="8"/>
  <c r="AP64" i="8"/>
  <c r="AQ69" i="8"/>
  <c r="AQ64" i="8"/>
  <c r="AT69" i="8"/>
  <c r="AT64" i="8"/>
  <c r="BF59" i="8"/>
  <c r="AU64" i="8"/>
  <c r="AV64" i="8"/>
  <c r="AW64" i="8"/>
  <c r="AX69" i="8"/>
  <c r="AX64" i="8"/>
  <c r="AY64" i="8"/>
  <c r="AZ64" i="8"/>
  <c r="BA69" i="8"/>
  <c r="BA64" i="8"/>
  <c r="BB69" i="8"/>
  <c r="BB64" i="8"/>
  <c r="BC64" i="8"/>
  <c r="BH69" i="8"/>
  <c r="BT59" i="8"/>
  <c r="BI69" i="8"/>
  <c r="BJ69" i="8"/>
  <c r="BK69" i="8"/>
  <c r="BL69" i="8"/>
  <c r="BM69" i="8"/>
  <c r="BN69" i="8"/>
  <c r="BO69" i="8"/>
  <c r="BP69" i="8"/>
  <c r="BV69" i="8"/>
  <c r="BV68" i="8"/>
  <c r="CH59" i="8"/>
  <c r="BW69" i="8"/>
  <c r="BW68" i="8"/>
  <c r="BG60" i="8"/>
  <c r="BP61" i="8"/>
  <c r="BT61" i="8" s="1"/>
  <c r="BT60" i="8"/>
  <c r="BG62" i="8"/>
  <c r="BT63" i="8"/>
  <c r="CH63" i="8" s="1"/>
  <c r="AM68" i="8"/>
  <c r="AR65" i="8"/>
  <c r="AN68" i="8"/>
  <c r="AO68" i="8"/>
  <c r="AP68" i="8"/>
  <c r="AQ68" i="8"/>
  <c r="AT68" i="8"/>
  <c r="BF65" i="8"/>
  <c r="BG65" i="8" s="1"/>
  <c r="AU68" i="8"/>
  <c r="AV68" i="8"/>
  <c r="AW68" i="8"/>
  <c r="AX68" i="8"/>
  <c r="AY68" i="8"/>
  <c r="AZ68" i="8"/>
  <c r="BA68" i="8"/>
  <c r="BB68" i="8"/>
  <c r="BC68" i="8"/>
  <c r="BH68" i="8"/>
  <c r="BT65" i="8"/>
  <c r="CI60" i="8" s="1"/>
  <c r="BI68" i="8"/>
  <c r="BJ68" i="8"/>
  <c r="BK68" i="8"/>
  <c r="BL68" i="8"/>
  <c r="BM68" i="8"/>
  <c r="BN68" i="8"/>
  <c r="BO68" i="8"/>
  <c r="BP68" i="8"/>
  <c r="BH51" i="2"/>
  <c r="BT17" i="2"/>
  <c r="BM51" i="2"/>
  <c r="CA17" i="2"/>
  <c r="B1" i="3"/>
  <c r="B4" i="3" s="1"/>
  <c r="B5" i="3" s="1"/>
  <c r="CB17" i="2"/>
  <c r="BO51" i="2"/>
  <c r="CC17" i="2"/>
  <c r="BP51" i="2"/>
  <c r="CD17" i="2"/>
  <c r="BR45" i="2"/>
  <c r="CF45" i="2" s="1"/>
  <c r="BG28" i="2"/>
  <c r="BG40" i="2"/>
  <c r="CE45" i="2"/>
  <c r="BQ47" i="2"/>
  <c r="BG50" i="2"/>
  <c r="CI43" i="2"/>
  <c r="BQ54" i="2"/>
  <c r="BQ55" i="2" s="1"/>
  <c r="BY66" i="2"/>
  <c r="BG26" i="2"/>
  <c r="BG39" i="2"/>
  <c r="BG22" i="2"/>
  <c r="AP51" i="2"/>
  <c r="AP16" i="2"/>
  <c r="AP54" i="2" s="1"/>
  <c r="AR12" i="2"/>
  <c r="BG13" i="2"/>
  <c r="AU54" i="2"/>
  <c r="AU55" i="2" s="1"/>
  <c r="AY54" i="2"/>
  <c r="AY55" i="2" s="1"/>
  <c r="BJ66" i="2"/>
  <c r="BN66" i="2"/>
  <c r="BF20" i="2"/>
  <c r="U16" i="2"/>
  <c r="U67" i="2" s="1"/>
  <c r="BG25" i="2"/>
  <c r="BG30" i="2"/>
  <c r="P43" i="2"/>
  <c r="AL54" i="2"/>
  <c r="BT53" i="2"/>
  <c r="AD23" i="2"/>
  <c r="S43" i="2"/>
  <c r="S16" i="2" s="1"/>
  <c r="S67" i="2" s="1"/>
  <c r="AR55" i="2"/>
  <c r="BF63" i="2"/>
  <c r="AO15" i="2"/>
  <c r="AO47" i="2" s="1"/>
  <c r="BG24" i="2"/>
  <c r="AD26" i="2"/>
  <c r="BG37" i="2"/>
  <c r="BC54" i="2"/>
  <c r="BC55" i="2" s="1"/>
  <c r="BT49" i="2"/>
  <c r="BX67" i="2"/>
  <c r="BG34" i="2"/>
  <c r="BF6" i="2"/>
  <c r="G11" i="2"/>
  <c r="AF11" i="2"/>
  <c r="AN11" i="2"/>
  <c r="AY11" i="2"/>
  <c r="BP11" i="2"/>
  <c r="H13" i="2"/>
  <c r="G14" i="2"/>
  <c r="T14" i="2"/>
  <c r="AB14" i="2"/>
  <c r="BN14" i="2"/>
  <c r="AJ15" i="2"/>
  <c r="AJ47" i="2" s="1"/>
  <c r="AY15" i="2"/>
  <c r="BF16" i="2"/>
  <c r="BI16" i="2"/>
  <c r="BM20" i="2"/>
  <c r="P16" i="2"/>
  <c r="AD25" i="2"/>
  <c r="CC45" i="2"/>
  <c r="BB47" i="2"/>
  <c r="AG54" i="2"/>
  <c r="AK54" i="2"/>
  <c r="BD54" i="2"/>
  <c r="BD55" i="2" s="1"/>
  <c r="BI51" i="2"/>
  <c r="AF67" i="2"/>
  <c r="AJ67" i="2"/>
  <c r="AO66" i="2"/>
  <c r="BI66" i="2"/>
  <c r="BM66" i="2"/>
  <c r="AR65" i="2"/>
  <c r="BH15" i="2"/>
  <c r="K11" i="2"/>
  <c r="AH11" i="2"/>
  <c r="AP11" i="2"/>
  <c r="BA11" i="2"/>
  <c r="BJ11" i="2"/>
  <c r="J13" i="2"/>
  <c r="K14" i="2"/>
  <c r="V14" i="2"/>
  <c r="BH14" i="2"/>
  <c r="AL15" i="2"/>
  <c r="AL47" i="2" s="1"/>
  <c r="BC15" i="2"/>
  <c r="BO20" i="2"/>
  <c r="AD30" i="2"/>
  <c r="BG42" i="2"/>
  <c r="AV54" i="2"/>
  <c r="AV55" i="2" s="1"/>
  <c r="AZ54" i="2"/>
  <c r="AZ55" i="2" s="1"/>
  <c r="BE54" i="2"/>
  <c r="BE55" i="2" s="1"/>
  <c r="BK54" i="2"/>
  <c r="BK55" i="2" s="1"/>
  <c r="BO54" i="2"/>
  <c r="BO55" i="2" s="1"/>
  <c r="BK51" i="2"/>
  <c r="BB53" i="2"/>
  <c r="AG67" i="2"/>
  <c r="AK67" i="2"/>
  <c r="AT67" i="2"/>
  <c r="BT57" i="2"/>
  <c r="BM67" i="2"/>
  <c r="CH57" i="2"/>
  <c r="AZ66" i="2"/>
  <c r="BX66" i="2"/>
  <c r="AL67" i="2"/>
  <c r="O11" i="2"/>
  <c r="AJ11" i="2"/>
  <c r="AU11" i="2"/>
  <c r="BL11" i="2"/>
  <c r="BF12" i="2"/>
  <c r="D13" i="2"/>
  <c r="L13" i="2"/>
  <c r="O14" i="2"/>
  <c r="P14" i="2" s="1"/>
  <c r="X14" i="2"/>
  <c r="BJ14" i="2"/>
  <c r="AF15" i="2"/>
  <c r="AF47" i="2" s="1"/>
  <c r="AU15" i="2"/>
  <c r="AD16" i="2"/>
  <c r="BA15" i="2"/>
  <c r="AI54" i="2"/>
  <c r="AM54" i="2"/>
  <c r="AW54" i="2"/>
  <c r="AW55" i="2" s="1"/>
  <c r="BA54" i="2"/>
  <c r="BA55" i="2" s="1"/>
  <c r="AT51" i="2"/>
  <c r="BB67" i="2"/>
  <c r="BW67" i="2"/>
  <c r="AM67" i="2"/>
  <c r="BG60" i="2"/>
  <c r="BC67" i="2"/>
  <c r="AM15" i="2"/>
  <c r="AM47" i="2" s="1"/>
  <c r="Y11" i="2"/>
  <c r="AL11" i="2"/>
  <c r="AW11" i="2"/>
  <c r="BN11" i="2"/>
  <c r="F13" i="2"/>
  <c r="N13" i="2"/>
  <c r="R14" i="2"/>
  <c r="Z14" i="2"/>
  <c r="BL14" i="2"/>
  <c r="AH15" i="2"/>
  <c r="AH47" i="2" s="1"/>
  <c r="AW15" i="2"/>
  <c r="BG23" i="2"/>
  <c r="BG27" i="2"/>
  <c r="BG29" i="2"/>
  <c r="BG38" i="2"/>
  <c r="BT44" i="2"/>
  <c r="AF54" i="2"/>
  <c r="AJ54" i="2"/>
  <c r="AN54" i="2"/>
  <c r="AT54" i="2"/>
  <c r="AT55" i="2" s="1"/>
  <c r="AX54" i="2"/>
  <c r="AX55" i="2" s="1"/>
  <c r="BM54" i="2"/>
  <c r="BM55" i="2" s="1"/>
  <c r="AD67" i="2"/>
  <c r="AN67" i="2"/>
  <c r="AX67" i="2"/>
  <c r="BK67" i="2"/>
  <c r="BO67" i="2"/>
  <c r="AR58" i="2"/>
  <c r="BF58" i="2"/>
  <c r="CH58" i="2"/>
  <c r="AX66" i="2"/>
  <c r="BB66" i="2"/>
  <c r="BH66" i="2"/>
  <c r="BL66" i="2"/>
  <c r="BP66" i="2"/>
  <c r="BT12" i="2"/>
  <c r="AQ47" i="2"/>
  <c r="AR15" i="2"/>
  <c r="U13" i="2"/>
  <c r="U11" i="2"/>
  <c r="U14" i="2"/>
  <c r="BQ14" i="2"/>
  <c r="BQ11" i="2"/>
  <c r="AR20" i="2"/>
  <c r="AY67" i="2"/>
  <c r="AY66" i="2"/>
  <c r="AY62" i="2"/>
  <c r="AN54" i="4"/>
  <c r="AQ16" i="2"/>
  <c r="AP15" i="2" s="1"/>
  <c r="AP47" i="2" s="1"/>
  <c r="AQ51" i="2"/>
  <c r="AP62" i="2"/>
  <c r="AP67" i="2"/>
  <c r="AP66" i="2"/>
  <c r="AV62" i="2"/>
  <c r="AV67" i="2"/>
  <c r="AV66" i="2"/>
  <c r="AO51" i="2"/>
  <c r="AO16" i="2"/>
  <c r="AN15" i="2" s="1"/>
  <c r="AN47" i="2" s="1"/>
  <c r="BG58" i="2"/>
  <c r="BJ14" i="4"/>
  <c r="BJ11" i="4"/>
  <c r="BG20" i="2"/>
  <c r="BG35" i="2"/>
  <c r="AD43" i="2"/>
  <c r="BF53" i="2"/>
  <c r="BF47" i="2"/>
  <c r="AQ54" i="2"/>
  <c r="BF51" i="2"/>
  <c r="AQ67" i="2"/>
  <c r="AQ62" i="2"/>
  <c r="BT59" i="2"/>
  <c r="AM66" i="2"/>
  <c r="AQ66" i="2"/>
  <c r="S13" i="2"/>
  <c r="AO14" i="2"/>
  <c r="BB14" i="2"/>
  <c r="BC14" i="2" s="1"/>
  <c r="BD14" i="2" s="1"/>
  <c r="BE14" i="2" s="1"/>
  <c r="BF14" i="2" s="1"/>
  <c r="AR49" i="2"/>
  <c r="AF66" i="2"/>
  <c r="AN66" i="2"/>
  <c r="K13" i="4"/>
  <c r="K14" i="4"/>
  <c r="O13" i="4"/>
  <c r="P13" i="4" s="1"/>
  <c r="O14" i="4"/>
  <c r="P14" i="4" s="1"/>
  <c r="AQ15" i="4"/>
  <c r="AQ11" i="4"/>
  <c r="AR11" i="4" s="1"/>
  <c r="BD15" i="4"/>
  <c r="BD11" i="4"/>
  <c r="AX67" i="4"/>
  <c r="AX62" i="4"/>
  <c r="D11" i="2"/>
  <c r="H11" i="2"/>
  <c r="L11" i="2"/>
  <c r="R11" i="2"/>
  <c r="V11" i="2"/>
  <c r="Z11" i="2"/>
  <c r="AG11" i="2"/>
  <c r="AK11" i="2"/>
  <c r="AO11" i="2"/>
  <c r="AT11" i="2"/>
  <c r="AX11" i="2"/>
  <c r="BB11" i="2"/>
  <c r="BK11" i="2"/>
  <c r="BO11" i="2"/>
  <c r="CH12" i="2"/>
  <c r="T13" i="2"/>
  <c r="X13" i="2"/>
  <c r="AB13" i="2"/>
  <c r="AT13" i="2"/>
  <c r="BF13" i="2" s="1"/>
  <c r="Y14" i="2"/>
  <c r="AC14" i="2"/>
  <c r="AD14" i="2" s="1"/>
  <c r="BK14" i="2"/>
  <c r="AK15" i="2"/>
  <c r="AK47" i="2" s="1"/>
  <c r="AT15" i="2"/>
  <c r="AX15" i="2"/>
  <c r="BJ16" i="2"/>
  <c r="BN16" i="2"/>
  <c r="CH16" i="2"/>
  <c r="CH17" i="2"/>
  <c r="BJ20" i="2"/>
  <c r="BN20" i="2"/>
  <c r="AD22" i="2"/>
  <c r="BF43" i="2"/>
  <c r="BF46" i="2"/>
  <c r="BB49" i="2"/>
  <c r="BB54" i="2" s="1"/>
  <c r="BB55" i="2" s="1"/>
  <c r="AN51" i="2"/>
  <c r="AR51" i="2" s="1"/>
  <c r="BN51" i="2"/>
  <c r="BT51" i="2" s="1"/>
  <c r="AQ53" i="2"/>
  <c r="BI54" i="2"/>
  <c r="BI55" i="2" s="1"/>
  <c r="BT58" i="2"/>
  <c r="AT62" i="2"/>
  <c r="AX62" i="2"/>
  <c r="BB62" i="2"/>
  <c r="AR63" i="2"/>
  <c r="BG63" i="2" s="1"/>
  <c r="BT63" i="2"/>
  <c r="CI58" i="2" s="1"/>
  <c r="AG66" i="2"/>
  <c r="AK66" i="2"/>
  <c r="AT66" i="2"/>
  <c r="BK66" i="2"/>
  <c r="BO66" i="2"/>
  <c r="BW66" i="2"/>
  <c r="R67" i="2"/>
  <c r="AI67" i="2"/>
  <c r="AZ67" i="2"/>
  <c r="BI67" i="2"/>
  <c r="BY67" i="2"/>
  <c r="B22" i="3"/>
  <c r="B24" i="3" s="1"/>
  <c r="V11" i="4"/>
  <c r="V13" i="4"/>
  <c r="Z11" i="4"/>
  <c r="Z13" i="4"/>
  <c r="AF15" i="4"/>
  <c r="AF47" i="4" s="1"/>
  <c r="AF14" i="4"/>
  <c r="AJ15" i="4"/>
  <c r="AJ47" i="4" s="1"/>
  <c r="AJ14" i="4"/>
  <c r="AN15" i="4"/>
  <c r="AN47" i="4" s="1"/>
  <c r="AN14" i="4"/>
  <c r="AR6" i="4"/>
  <c r="AW15" i="4"/>
  <c r="AW14" i="4"/>
  <c r="BA15" i="4"/>
  <c r="BA14" i="4"/>
  <c r="Y11" i="4"/>
  <c r="AJ11" i="4"/>
  <c r="BA11" i="4"/>
  <c r="H13" i="4"/>
  <c r="Y13" i="4"/>
  <c r="E14" i="4"/>
  <c r="V14" i="4"/>
  <c r="AZ17" i="4"/>
  <c r="BZ20" i="4"/>
  <c r="BZ16" i="4"/>
  <c r="AP16" i="4"/>
  <c r="AP67" i="4" s="1"/>
  <c r="AP51" i="4"/>
  <c r="BG32" i="4"/>
  <c r="BG33" i="4"/>
  <c r="BG34" i="4"/>
  <c r="BF47" i="4"/>
  <c r="AI54" i="4"/>
  <c r="AM54" i="4"/>
  <c r="AQ54" i="4"/>
  <c r="AZ54" i="4"/>
  <c r="AZ55" i="4" s="1"/>
  <c r="AF54" i="4"/>
  <c r="AI67" i="4"/>
  <c r="BT57" i="4"/>
  <c r="CH57" i="4"/>
  <c r="AO67" i="4"/>
  <c r="AO62" i="4"/>
  <c r="AR63" i="4"/>
  <c r="AL66" i="4"/>
  <c r="BC66" i="4"/>
  <c r="L13" i="5"/>
  <c r="L14" i="5"/>
  <c r="L11" i="5"/>
  <c r="R14" i="5"/>
  <c r="R13" i="5"/>
  <c r="R11" i="5"/>
  <c r="V14" i="5"/>
  <c r="V11" i="5"/>
  <c r="Z14" i="5"/>
  <c r="Z13" i="5"/>
  <c r="Z11" i="5"/>
  <c r="AF15" i="5"/>
  <c r="AF47" i="5" s="1"/>
  <c r="AF14" i="5"/>
  <c r="AF11" i="5"/>
  <c r="AJ15" i="5"/>
  <c r="AJ47" i="5" s="1"/>
  <c r="AJ14" i="5"/>
  <c r="AN15" i="5"/>
  <c r="AN47" i="5" s="1"/>
  <c r="AN11" i="5"/>
  <c r="AN14" i="5"/>
  <c r="AW15" i="5"/>
  <c r="AW11" i="5"/>
  <c r="AW14" i="5"/>
  <c r="BA15" i="5"/>
  <c r="BA11" i="5"/>
  <c r="BA14" i="5"/>
  <c r="BE11" i="5"/>
  <c r="BF11" i="5" s="1"/>
  <c r="BF6" i="5"/>
  <c r="BH20" i="5"/>
  <c r="BH16" i="5"/>
  <c r="BL20" i="5"/>
  <c r="BZ17" i="5"/>
  <c r="BL16" i="5"/>
  <c r="BP20" i="5"/>
  <c r="CD17" i="5"/>
  <c r="BP16" i="5"/>
  <c r="BT17" i="5"/>
  <c r="BT20" i="5" s="1"/>
  <c r="BU20" i="5" s="1"/>
  <c r="AQ51" i="5"/>
  <c r="AQ16" i="5"/>
  <c r="AP15" i="5" s="1"/>
  <c r="AP47" i="5" s="1"/>
  <c r="AP51" i="5"/>
  <c r="AP16" i="5"/>
  <c r="AO15" i="5" s="1"/>
  <c r="AO47" i="5" s="1"/>
  <c r="AU55" i="5"/>
  <c r="BF54" i="5"/>
  <c r="U43" i="6"/>
  <c r="U16" i="6" s="1"/>
  <c r="U67" i="6" s="1"/>
  <c r="AD22" i="6"/>
  <c r="AJ16" i="6"/>
  <c r="AJ54" i="6" s="1"/>
  <c r="AJ53" i="6"/>
  <c r="AR43" i="6"/>
  <c r="AW16" i="6"/>
  <c r="AW54" i="6" s="1"/>
  <c r="AW55" i="6" s="1"/>
  <c r="AW53" i="6"/>
  <c r="BF53" i="6" s="1"/>
  <c r="BA44" i="6"/>
  <c r="BA16" i="6"/>
  <c r="BA54" i="6" s="1"/>
  <c r="BA55" i="6" s="1"/>
  <c r="BA53" i="6"/>
  <c r="W13" i="2"/>
  <c r="AR57" i="2"/>
  <c r="BA62" i="2"/>
  <c r="AJ66" i="2"/>
  <c r="AW66" i="2"/>
  <c r="G13" i="4"/>
  <c r="G14" i="4"/>
  <c r="AM15" i="4"/>
  <c r="AM47" i="4" s="1"/>
  <c r="AM11" i="4"/>
  <c r="BI14" i="4"/>
  <c r="BI11" i="4"/>
  <c r="AH66" i="4"/>
  <c r="BF13" i="5"/>
  <c r="E11" i="2"/>
  <c r="M11" i="2"/>
  <c r="W11" i="2"/>
  <c r="AA11" i="2"/>
  <c r="M14" i="2"/>
  <c r="AM14" i="2"/>
  <c r="AZ14" i="2"/>
  <c r="BI15" i="2"/>
  <c r="AH43" i="2"/>
  <c r="AP45" i="2" s="1"/>
  <c r="BA44" i="2"/>
  <c r="AZ15" i="2" s="1"/>
  <c r="BT45" i="2"/>
  <c r="BP47" i="2"/>
  <c r="BT47" i="2" s="1"/>
  <c r="AU57" i="2"/>
  <c r="BC62" i="2"/>
  <c r="AW67" i="2"/>
  <c r="BA67" i="2"/>
  <c r="AG11" i="4"/>
  <c r="AG14" i="4"/>
  <c r="AK15" i="4"/>
  <c r="AK47" i="4" s="1"/>
  <c r="AK11" i="4"/>
  <c r="AK14" i="4"/>
  <c r="AO11" i="4"/>
  <c r="AO14" i="4"/>
  <c r="AT15" i="4"/>
  <c r="AT11" i="4"/>
  <c r="AT14" i="4"/>
  <c r="AX15" i="4"/>
  <c r="AX11" i="4"/>
  <c r="AX14" i="4"/>
  <c r="BB15" i="4"/>
  <c r="BB11" i="4"/>
  <c r="BB14" i="4"/>
  <c r="BC14" i="4" s="1"/>
  <c r="BD14" i="4" s="1"/>
  <c r="BE14" i="4" s="1"/>
  <c r="BF14" i="4" s="1"/>
  <c r="G11" i="4"/>
  <c r="K11" i="4"/>
  <c r="O11" i="4"/>
  <c r="U11" i="4"/>
  <c r="AA11" i="4"/>
  <c r="BF13" i="4"/>
  <c r="CH12" i="4"/>
  <c r="CG13" i="4"/>
  <c r="CH13" i="4" s="1"/>
  <c r="S13" i="4"/>
  <c r="AA13" i="4"/>
  <c r="I14" i="4"/>
  <c r="Z14" i="4"/>
  <c r="AQ14" i="4"/>
  <c r="AR14" i="4" s="1"/>
  <c r="BV20" i="4"/>
  <c r="BV16" i="4"/>
  <c r="AP45" i="4"/>
  <c r="BI72" i="4"/>
  <c r="AV62" i="4"/>
  <c r="BB67" i="4"/>
  <c r="BB62" i="4"/>
  <c r="AT66" i="4"/>
  <c r="AX66" i="4"/>
  <c r="BB66" i="4"/>
  <c r="AP66" i="4"/>
  <c r="AY67" i="4"/>
  <c r="D13" i="5"/>
  <c r="D14" i="5"/>
  <c r="D11" i="5"/>
  <c r="H13" i="5"/>
  <c r="H11" i="5"/>
  <c r="H14" i="5"/>
  <c r="I12" i="5"/>
  <c r="I6" i="5"/>
  <c r="AJ11" i="5"/>
  <c r="AA13" i="2"/>
  <c r="AI15" i="4"/>
  <c r="AI47" i="4" s="1"/>
  <c r="AI11" i="4"/>
  <c r="AV15" i="4"/>
  <c r="AV11" i="4"/>
  <c r="AZ15" i="4"/>
  <c r="AZ11" i="4"/>
  <c r="AI14" i="4"/>
  <c r="AH43" i="4"/>
  <c r="AR31" i="4"/>
  <c r="BG31" i="4" s="1"/>
  <c r="BI54" i="4"/>
  <c r="BI55" i="4" s="1"/>
  <c r="AT67" i="4"/>
  <c r="AT62" i="4"/>
  <c r="BF57" i="4"/>
  <c r="I11" i="2"/>
  <c r="S11" i="2"/>
  <c r="E14" i="2"/>
  <c r="I14" i="2"/>
  <c r="AI14" i="2"/>
  <c r="AQ14" i="2"/>
  <c r="AR14" i="2" s="1"/>
  <c r="AV14" i="2"/>
  <c r="BM15" i="2"/>
  <c r="AR6" i="2"/>
  <c r="F11" i="2"/>
  <c r="J11" i="2"/>
  <c r="N11" i="2"/>
  <c r="AI11" i="2"/>
  <c r="AM11" i="2"/>
  <c r="AQ11" i="2"/>
  <c r="AR11" i="2" s="1"/>
  <c r="AV11" i="2"/>
  <c r="AZ11" i="2"/>
  <c r="BD11" i="2"/>
  <c r="BI11" i="2"/>
  <c r="BM11" i="2"/>
  <c r="BH16" i="2"/>
  <c r="BL16" i="2"/>
  <c r="BK15" i="2" s="1"/>
  <c r="BP16" i="2"/>
  <c r="BT20" i="2"/>
  <c r="BU20" i="2" s="1"/>
  <c r="BH20" i="2"/>
  <c r="BL20" i="2"/>
  <c r="BP20" i="2"/>
  <c r="BF52" i="2"/>
  <c r="BF57" i="2"/>
  <c r="T13" i="4"/>
  <c r="T14" i="4"/>
  <c r="X13" i="4"/>
  <c r="X14" i="4"/>
  <c r="AB13" i="4"/>
  <c r="AB14" i="4"/>
  <c r="AB11" i="4"/>
  <c r="D11" i="4"/>
  <c r="H11" i="4"/>
  <c r="L11" i="4"/>
  <c r="R11" i="4"/>
  <c r="W11" i="4"/>
  <c r="AF11" i="4"/>
  <c r="AN11" i="4"/>
  <c r="AW11" i="4"/>
  <c r="BE11" i="4"/>
  <c r="BF11" i="4" s="1"/>
  <c r="D13" i="4"/>
  <c r="L13" i="4"/>
  <c r="U13" i="4"/>
  <c r="AC13" i="4"/>
  <c r="AD13" i="4" s="1"/>
  <c r="M14" i="4"/>
  <c r="AV14" i="4"/>
  <c r="AP15" i="4"/>
  <c r="AP47" i="4" s="1"/>
  <c r="BI15" i="4"/>
  <c r="AV16" i="4"/>
  <c r="AZ16" i="4"/>
  <c r="BD16" i="4"/>
  <c r="BD67" i="4" s="1"/>
  <c r="BI20" i="4"/>
  <c r="BI16" i="4"/>
  <c r="BH15" i="4" s="1"/>
  <c r="BM20" i="4"/>
  <c r="CA17" i="4"/>
  <c r="BM16" i="4"/>
  <c r="BQ20" i="4"/>
  <c r="CE17" i="4"/>
  <c r="BQ16" i="4"/>
  <c r="CD20" i="4"/>
  <c r="CD16" i="4"/>
  <c r="AR20" i="4"/>
  <c r="BG20" i="4" s="1"/>
  <c r="AN16" i="4"/>
  <c r="AN67" i="4" s="1"/>
  <c r="P16" i="4"/>
  <c r="T43" i="4"/>
  <c r="AD22" i="4"/>
  <c r="AD28" i="4"/>
  <c r="P43" i="4"/>
  <c r="BF44" i="4"/>
  <c r="BA17" i="4"/>
  <c r="BF45" i="4"/>
  <c r="AT55" i="4"/>
  <c r="AN51" i="4"/>
  <c r="AR51" i="4" s="1"/>
  <c r="BX67" i="4"/>
  <c r="AR58" i="4"/>
  <c r="BG58" i="4" s="1"/>
  <c r="AQ67" i="4"/>
  <c r="AO66" i="4"/>
  <c r="BI66" i="4"/>
  <c r="AU66" i="4"/>
  <c r="BC67" i="4"/>
  <c r="V13" i="5"/>
  <c r="BF51" i="5"/>
  <c r="BF12" i="4"/>
  <c r="AD25" i="4"/>
  <c r="AR43" i="4"/>
  <c r="BF49" i="4"/>
  <c r="BG49" i="4" s="1"/>
  <c r="AT51" i="4"/>
  <c r="BF51" i="4" s="1"/>
  <c r="AM57" i="4"/>
  <c r="AM67" i="4" s="1"/>
  <c r="AI66" i="4"/>
  <c r="BW66" i="4"/>
  <c r="AZ67" i="4"/>
  <c r="S13" i="5"/>
  <c r="S14" i="5"/>
  <c r="W13" i="5"/>
  <c r="W14" i="5"/>
  <c r="AA13" i="5"/>
  <c r="AA14" i="5"/>
  <c r="G11" i="5"/>
  <c r="K11" i="5"/>
  <c r="O11" i="5"/>
  <c r="U11" i="5"/>
  <c r="Y11" i="5"/>
  <c r="AK11" i="5"/>
  <c r="AT11" i="5"/>
  <c r="BB11" i="5"/>
  <c r="G13" i="5"/>
  <c r="O13" i="5"/>
  <c r="P13" i="5" s="1"/>
  <c r="X13" i="5"/>
  <c r="AT15" i="5"/>
  <c r="AR16" i="5"/>
  <c r="CC20" i="5"/>
  <c r="CC16" i="5"/>
  <c r="BF20" i="5"/>
  <c r="AL53" i="5"/>
  <c r="AL45" i="5"/>
  <c r="BB47" i="5"/>
  <c r="BF47" i="5" s="1"/>
  <c r="AH54" i="5"/>
  <c r="AL54" i="5"/>
  <c r="AR54" i="5" s="1"/>
  <c r="AP54" i="5"/>
  <c r="AR51" i="5"/>
  <c r="AO51" i="5"/>
  <c r="AO67" i="5"/>
  <c r="AO62" i="5"/>
  <c r="AR63" i="5"/>
  <c r="AW67" i="5"/>
  <c r="AQ47" i="6"/>
  <c r="AR15" i="6"/>
  <c r="AV15" i="6"/>
  <c r="AZ15" i="6"/>
  <c r="AG54" i="6"/>
  <c r="BF43" i="4"/>
  <c r="BG43" i="4" s="1"/>
  <c r="BG46" i="4" s="1"/>
  <c r="AL45" i="4"/>
  <c r="BA53" i="4"/>
  <c r="BF53" i="4" s="1"/>
  <c r="AR57" i="4"/>
  <c r="BF63" i="4"/>
  <c r="BG63" i="4" s="1"/>
  <c r="AF66" i="4"/>
  <c r="AJ66" i="4"/>
  <c r="AN66" i="4"/>
  <c r="AW66" i="4"/>
  <c r="BA66" i="4"/>
  <c r="BJ66" i="4"/>
  <c r="BX66" i="4"/>
  <c r="BJ67" i="4"/>
  <c r="AH15" i="5"/>
  <c r="AH47" i="5" s="1"/>
  <c r="AH11" i="5"/>
  <c r="AL15" i="5"/>
  <c r="AL47" i="5" s="1"/>
  <c r="AL11" i="5"/>
  <c r="AP11" i="5"/>
  <c r="AU15" i="5"/>
  <c r="AU11" i="5"/>
  <c r="AY15" i="5"/>
  <c r="AY11" i="5"/>
  <c r="BC15" i="5"/>
  <c r="BC11" i="5"/>
  <c r="BH14" i="5"/>
  <c r="BH11" i="5"/>
  <c r="AG11" i="5"/>
  <c r="BF12" i="5"/>
  <c r="BT12" i="5"/>
  <c r="BS13" i="5"/>
  <c r="BT13" i="5" s="1"/>
  <c r="J14" i="5"/>
  <c r="U14" i="5"/>
  <c r="AL14" i="5"/>
  <c r="AG15" i="5"/>
  <c r="AG47" i="5" s="1"/>
  <c r="AX15" i="5"/>
  <c r="BF17" i="5"/>
  <c r="S43" i="5"/>
  <c r="S16" i="5" s="1"/>
  <c r="S67" i="5" s="1"/>
  <c r="AD25" i="5"/>
  <c r="AD43" i="5"/>
  <c r="BF44" i="5"/>
  <c r="BA17" i="5"/>
  <c r="AQ54" i="5"/>
  <c r="BC67" i="5"/>
  <c r="BC66" i="5"/>
  <c r="BC62" i="5"/>
  <c r="BF16" i="6"/>
  <c r="AV51" i="6"/>
  <c r="AV16" i="6"/>
  <c r="AZ16" i="6"/>
  <c r="AZ54" i="6" s="1"/>
  <c r="AZ55" i="6" s="1"/>
  <c r="AZ51" i="6"/>
  <c r="AZ17" i="6"/>
  <c r="BD16" i="6"/>
  <c r="BD17" i="6"/>
  <c r="BD51" i="6"/>
  <c r="BG52" i="6"/>
  <c r="BU43" i="6"/>
  <c r="BK16" i="4"/>
  <c r="BJ15" i="4" s="1"/>
  <c r="BO16" i="4"/>
  <c r="BS16" i="4"/>
  <c r="BY17" i="4"/>
  <c r="CC17" i="4"/>
  <c r="CH17" i="4" s="1"/>
  <c r="CH20" i="4" s="1"/>
  <c r="CG17" i="4"/>
  <c r="AG66" i="4"/>
  <c r="AK66" i="4"/>
  <c r="BK66" i="4"/>
  <c r="BY66" i="4"/>
  <c r="AI15" i="5"/>
  <c r="AI47" i="5" s="1"/>
  <c r="AI14" i="5"/>
  <c r="AM15" i="5"/>
  <c r="AM47" i="5" s="1"/>
  <c r="AM14" i="5"/>
  <c r="AQ15" i="5"/>
  <c r="AQ14" i="5"/>
  <c r="AR14" i="5" s="1"/>
  <c r="AV15" i="5"/>
  <c r="AV14" i="5"/>
  <c r="AZ15" i="5"/>
  <c r="AZ14" i="5"/>
  <c r="BI14" i="5"/>
  <c r="E11" i="5"/>
  <c r="M11" i="5"/>
  <c r="S11" i="5"/>
  <c r="W11" i="5"/>
  <c r="AA11" i="5"/>
  <c r="AI11" i="5"/>
  <c r="AO11" i="5"/>
  <c r="AX11" i="5"/>
  <c r="K13" i="5"/>
  <c r="T13" i="5"/>
  <c r="AB13" i="5"/>
  <c r="Y14" i="5"/>
  <c r="AP14" i="5"/>
  <c r="AK15" i="5"/>
  <c r="AK47" i="5" s="1"/>
  <c r="BB15" i="5"/>
  <c r="BF16" i="5"/>
  <c r="BY20" i="5"/>
  <c r="BY16" i="5"/>
  <c r="CG20" i="5"/>
  <c r="CG16" i="5"/>
  <c r="AD26" i="5"/>
  <c r="AR43" i="5"/>
  <c r="BF43" i="5"/>
  <c r="AP45" i="5"/>
  <c r="BF49" i="5"/>
  <c r="BF55" i="5"/>
  <c r="AR55" i="5"/>
  <c r="AD67" i="5"/>
  <c r="AI67" i="5"/>
  <c r="AI66" i="5"/>
  <c r="AN67" i="5"/>
  <c r="AN66" i="5"/>
  <c r="AW62" i="5"/>
  <c r="AD16" i="5"/>
  <c r="AR49" i="5"/>
  <c r="AF53" i="5"/>
  <c r="AP67" i="5"/>
  <c r="AP66" i="5"/>
  <c r="AP62" i="5"/>
  <c r="AY67" i="5"/>
  <c r="AY66" i="5"/>
  <c r="BK72" i="5"/>
  <c r="BK67" i="5"/>
  <c r="BK66" i="5"/>
  <c r="AV67" i="5"/>
  <c r="AV62" i="5"/>
  <c r="BB62" i="5"/>
  <c r="BB67" i="5"/>
  <c r="AY62" i="5"/>
  <c r="AT66" i="5"/>
  <c r="BF66" i="5" s="1"/>
  <c r="AX66" i="5"/>
  <c r="BB66" i="5"/>
  <c r="BF63" i="5"/>
  <c r="BG63" i="5" s="1"/>
  <c r="AF15" i="6"/>
  <c r="AF47" i="6" s="1"/>
  <c r="AW15" i="6"/>
  <c r="BF13" i="6"/>
  <c r="BF12" i="6"/>
  <c r="BS13" i="6"/>
  <c r="BT13" i="6" s="1"/>
  <c r="BT12" i="6"/>
  <c r="AP14" i="6"/>
  <c r="AH15" i="6"/>
  <c r="AH47" i="6" s="1"/>
  <c r="AY15" i="6"/>
  <c r="AN16" i="6"/>
  <c r="AM15" i="6" s="1"/>
  <c r="AM47" i="6" s="1"/>
  <c r="AN51" i="6"/>
  <c r="AR51" i="6" s="1"/>
  <c r="AR20" i="6"/>
  <c r="P16" i="6"/>
  <c r="AQ51" i="6"/>
  <c r="AQ16" i="6"/>
  <c r="AQ54" i="6" s="1"/>
  <c r="AF16" i="6"/>
  <c r="AF53" i="6"/>
  <c r="AQ67" i="6"/>
  <c r="AW67" i="6"/>
  <c r="BA67" i="6"/>
  <c r="BI67" i="6"/>
  <c r="BI66" i="6"/>
  <c r="BN57" i="6"/>
  <c r="AR20" i="5"/>
  <c r="BB53" i="5"/>
  <c r="BF53" i="5" s="1"/>
  <c r="AG67" i="5"/>
  <c r="AR67" i="5" s="1"/>
  <c r="AG66" i="5"/>
  <c r="AK67" i="5"/>
  <c r="AK66" i="5"/>
  <c r="AZ67" i="5"/>
  <c r="BH67" i="5"/>
  <c r="BV67" i="5"/>
  <c r="BV66" i="5"/>
  <c r="AM57" i="5"/>
  <c r="AM67" i="5" s="1"/>
  <c r="AR58" i="5"/>
  <c r="AQ67" i="5"/>
  <c r="AQ62" i="5"/>
  <c r="AO66" i="5"/>
  <c r="AO15" i="6"/>
  <c r="AO47" i="6" s="1"/>
  <c r="BH15" i="6"/>
  <c r="BH14" i="6"/>
  <c r="BI6" i="6"/>
  <c r="BG13" i="6"/>
  <c r="AH53" i="6"/>
  <c r="AH16" i="6"/>
  <c r="AH54" i="6" s="1"/>
  <c r="AL45" i="6"/>
  <c r="AD67" i="6"/>
  <c r="AP62" i="6"/>
  <c r="AP67" i="6"/>
  <c r="AP66" i="6"/>
  <c r="AV15" i="7"/>
  <c r="AV14" i="7"/>
  <c r="AV11" i="7"/>
  <c r="AZ14" i="7"/>
  <c r="AZ11" i="7"/>
  <c r="BD15" i="7"/>
  <c r="BD11" i="7"/>
  <c r="BI14" i="7"/>
  <c r="BI11" i="7"/>
  <c r="BI15" i="7"/>
  <c r="BJ6" i="7"/>
  <c r="BJ16" i="5"/>
  <c r="BN16" i="5"/>
  <c r="BR16" i="5"/>
  <c r="BX17" i="5"/>
  <c r="CB17" i="5"/>
  <c r="CF17" i="5"/>
  <c r="AH67" i="5"/>
  <c r="AH66" i="5"/>
  <c r="AL67" i="5"/>
  <c r="AL66" i="5"/>
  <c r="AU67" i="5"/>
  <c r="AU66" i="5"/>
  <c r="BI67" i="5"/>
  <c r="AT62" i="5"/>
  <c r="BF57" i="5"/>
  <c r="AT67" i="5"/>
  <c r="AX62" i="5"/>
  <c r="AX67" i="5"/>
  <c r="BF58" i="5"/>
  <c r="BG58" i="5" s="1"/>
  <c r="AR59" i="5"/>
  <c r="BW59" i="5"/>
  <c r="AU62" i="5"/>
  <c r="AV66" i="5"/>
  <c r="BI66" i="5"/>
  <c r="F14" i="6"/>
  <c r="F11" i="6"/>
  <c r="J14" i="6"/>
  <c r="J11" i="6"/>
  <c r="N14" i="6"/>
  <c r="N11" i="6"/>
  <c r="T14" i="6"/>
  <c r="T13" i="6"/>
  <c r="T11" i="6"/>
  <c r="X14" i="6"/>
  <c r="X13" i="6"/>
  <c r="X11" i="6"/>
  <c r="AB14" i="6"/>
  <c r="AB13" i="6"/>
  <c r="AB11" i="6"/>
  <c r="AH11" i="6"/>
  <c r="AY11" i="6"/>
  <c r="J13" i="6"/>
  <c r="BT16" i="6"/>
  <c r="BH67" i="6"/>
  <c r="BT17" i="6"/>
  <c r="BT20" i="6" s="1"/>
  <c r="BU20" i="6" s="1"/>
  <c r="AP51" i="6"/>
  <c r="AP16" i="6"/>
  <c r="AP54" i="6" s="1"/>
  <c r="BL20" i="6"/>
  <c r="AQ45" i="6"/>
  <c r="AR49" i="6"/>
  <c r="AN54" i="6"/>
  <c r="AT54" i="6"/>
  <c r="AX54" i="6"/>
  <c r="AX55" i="6" s="1"/>
  <c r="BB54" i="6"/>
  <c r="BB55" i="6" s="1"/>
  <c r="BF49" i="6"/>
  <c r="BT57" i="5"/>
  <c r="AZ62" i="5"/>
  <c r="AI11" i="6"/>
  <c r="AM11" i="6"/>
  <c r="AQ11" i="6"/>
  <c r="AR11" i="6" s="1"/>
  <c r="AV11" i="6"/>
  <c r="AZ11" i="6"/>
  <c r="BD11" i="6"/>
  <c r="G13" i="6"/>
  <c r="K13" i="6"/>
  <c r="O13" i="6"/>
  <c r="P13" i="6" s="1"/>
  <c r="E14" i="6"/>
  <c r="I14" i="6"/>
  <c r="M14" i="6"/>
  <c r="R14" i="6"/>
  <c r="V14" i="6"/>
  <c r="Z14" i="6"/>
  <c r="AI14" i="6"/>
  <c r="AM14" i="6"/>
  <c r="AQ14" i="6"/>
  <c r="AR14" i="6" s="1"/>
  <c r="AV14" i="6"/>
  <c r="AZ14" i="6"/>
  <c r="BF43" i="6"/>
  <c r="BG43" i="6" s="1"/>
  <c r="BG46" i="6" s="1"/>
  <c r="BB44" i="6"/>
  <c r="BA15" i="6" s="1"/>
  <c r="AF67" i="6"/>
  <c r="AF66" i="6"/>
  <c r="AR57" i="6"/>
  <c r="AN67" i="6"/>
  <c r="AT67" i="6"/>
  <c r="AT62" i="6"/>
  <c r="BF57" i="6"/>
  <c r="AX67" i="6"/>
  <c r="AX62" i="6"/>
  <c r="BB67" i="6"/>
  <c r="BB62" i="6"/>
  <c r="BO58" i="6"/>
  <c r="BO57" i="6" s="1"/>
  <c r="BP59" i="6"/>
  <c r="AU62" i="6"/>
  <c r="AT66" i="6"/>
  <c r="AX66" i="6"/>
  <c r="BB66" i="6"/>
  <c r="BF63" i="6"/>
  <c r="BG63" i="6" s="1"/>
  <c r="AU66" i="6"/>
  <c r="K11" i="7"/>
  <c r="K13" i="7"/>
  <c r="K14" i="7"/>
  <c r="O11" i="7"/>
  <c r="O13" i="7"/>
  <c r="P13" i="7" s="1"/>
  <c r="O14" i="7"/>
  <c r="P14" i="7" s="1"/>
  <c r="U13" i="7"/>
  <c r="U11" i="7"/>
  <c r="U14" i="7"/>
  <c r="Y13" i="7"/>
  <c r="Y11" i="7"/>
  <c r="Y14" i="7"/>
  <c r="AC13" i="7"/>
  <c r="AD13" i="7" s="1"/>
  <c r="AC14" i="7"/>
  <c r="AD14" i="7" s="1"/>
  <c r="AI15" i="7"/>
  <c r="AI47" i="7" s="1"/>
  <c r="AI14" i="7"/>
  <c r="AI11" i="7"/>
  <c r="AM15" i="7"/>
  <c r="AM47" i="7" s="1"/>
  <c r="AM14" i="7"/>
  <c r="AM11" i="7"/>
  <c r="AQ15" i="7"/>
  <c r="AQ14" i="7"/>
  <c r="AR14" i="7" s="1"/>
  <c r="AQ11" i="7"/>
  <c r="AR11" i="7" s="1"/>
  <c r="AR6" i="7"/>
  <c r="AF11" i="6"/>
  <c r="AJ11" i="6"/>
  <c r="AN11" i="6"/>
  <c r="AW11" i="6"/>
  <c r="BA11" i="6"/>
  <c r="BE11" i="6"/>
  <c r="BF11" i="6" s="1"/>
  <c r="D13" i="6"/>
  <c r="H13" i="6"/>
  <c r="L13" i="6"/>
  <c r="AF14" i="6"/>
  <c r="AJ14" i="6"/>
  <c r="AN14" i="6"/>
  <c r="AW14" i="6"/>
  <c r="BA14" i="6"/>
  <c r="BE15" i="6"/>
  <c r="AD16" i="6"/>
  <c r="BF51" i="6"/>
  <c r="BF20" i="6"/>
  <c r="AP45" i="6"/>
  <c r="AL53" i="6"/>
  <c r="AG67" i="6"/>
  <c r="AG66" i="6"/>
  <c r="AK67" i="6"/>
  <c r="AK66" i="6"/>
  <c r="AO67" i="6"/>
  <c r="BK67" i="6"/>
  <c r="AY62" i="6"/>
  <c r="AO66" i="6"/>
  <c r="AH66" i="6"/>
  <c r="AY66" i="6"/>
  <c r="G13" i="7"/>
  <c r="G11" i="7"/>
  <c r="G14" i="7"/>
  <c r="R11" i="6"/>
  <c r="V11" i="6"/>
  <c r="Z11" i="6"/>
  <c r="AG11" i="6"/>
  <c r="AK11" i="6"/>
  <c r="AO11" i="6"/>
  <c r="AT11" i="6"/>
  <c r="AX11" i="6"/>
  <c r="BB11" i="6"/>
  <c r="AR12" i="6"/>
  <c r="AG14" i="6"/>
  <c r="AK14" i="6"/>
  <c r="AO14" i="6"/>
  <c r="AT14" i="6"/>
  <c r="AX14" i="6"/>
  <c r="BB14" i="6"/>
  <c r="BC14" i="6" s="1"/>
  <c r="BD14" i="6" s="1"/>
  <c r="BE14" i="6" s="1"/>
  <c r="BF14" i="6" s="1"/>
  <c r="BB47" i="6"/>
  <c r="BF47" i="6" s="1"/>
  <c r="AV67" i="6"/>
  <c r="AZ67" i="6"/>
  <c r="AO62" i="6"/>
  <c r="BC62" i="6"/>
  <c r="I12" i="7"/>
  <c r="I6" i="7"/>
  <c r="AV62" i="6"/>
  <c r="AZ62" i="6"/>
  <c r="AI66" i="6"/>
  <c r="D13" i="7"/>
  <c r="D14" i="7"/>
  <c r="H13" i="7"/>
  <c r="H14" i="7"/>
  <c r="L13" i="7"/>
  <c r="L14" i="7"/>
  <c r="AF15" i="7"/>
  <c r="AF47" i="7" s="1"/>
  <c r="AF14" i="7"/>
  <c r="AF11" i="7"/>
  <c r="AJ15" i="7"/>
  <c r="AJ47" i="7" s="1"/>
  <c r="AJ14" i="7"/>
  <c r="AJ11" i="7"/>
  <c r="AN15" i="7"/>
  <c r="AN47" i="7" s="1"/>
  <c r="AN14" i="7"/>
  <c r="AN11" i="7"/>
  <c r="AW15" i="7"/>
  <c r="AW14" i="7"/>
  <c r="AW11" i="7"/>
  <c r="BA15" i="7"/>
  <c r="BA14" i="7"/>
  <c r="BA11" i="7"/>
  <c r="BE15" i="7"/>
  <c r="BE11" i="7"/>
  <c r="BF11" i="7" s="1"/>
  <c r="L11" i="7"/>
  <c r="V11" i="7"/>
  <c r="AG11" i="7"/>
  <c r="AO11" i="7"/>
  <c r="AX11" i="7"/>
  <c r="M13" i="7"/>
  <c r="AT14" i="7"/>
  <c r="AK15" i="7"/>
  <c r="AK47" i="7" s="1"/>
  <c r="BB15" i="7"/>
  <c r="AW67" i="7"/>
  <c r="BA67" i="7"/>
  <c r="AW62" i="6"/>
  <c r="BA62" i="6"/>
  <c r="AJ66" i="6"/>
  <c r="AN66" i="6"/>
  <c r="S14" i="7"/>
  <c r="S13" i="7"/>
  <c r="W14" i="7"/>
  <c r="W13" i="7"/>
  <c r="AA14" i="7"/>
  <c r="AA13" i="7"/>
  <c r="M11" i="7"/>
  <c r="W11" i="7"/>
  <c r="BH11" i="7"/>
  <c r="BH15" i="7"/>
  <c r="BK16" i="7"/>
  <c r="BK67" i="7" s="1"/>
  <c r="BK20" i="7"/>
  <c r="BS16" i="7"/>
  <c r="BS20" i="7"/>
  <c r="AP51" i="7"/>
  <c r="AP16" i="7"/>
  <c r="AP54" i="7" s="1"/>
  <c r="AJ54" i="7"/>
  <c r="AN54" i="7"/>
  <c r="AT55" i="7"/>
  <c r="BF49" i="7"/>
  <c r="BG49" i="7" s="1"/>
  <c r="AR51" i="7"/>
  <c r="BK66" i="6"/>
  <c r="F14" i="7"/>
  <c r="F13" i="7"/>
  <c r="J14" i="7"/>
  <c r="J13" i="7"/>
  <c r="N14" i="7"/>
  <c r="N11" i="7"/>
  <c r="N13" i="7"/>
  <c r="T13" i="7"/>
  <c r="T11" i="7"/>
  <c r="X13" i="7"/>
  <c r="X11" i="7"/>
  <c r="AB13" i="7"/>
  <c r="AB11" i="7"/>
  <c r="AH15" i="7"/>
  <c r="AH47" i="7" s="1"/>
  <c r="AH14" i="7"/>
  <c r="AL15" i="7"/>
  <c r="AL47" i="7" s="1"/>
  <c r="AL14" i="7"/>
  <c r="AP15" i="7"/>
  <c r="AP47" i="7" s="1"/>
  <c r="AP14" i="7"/>
  <c r="AU15" i="7"/>
  <c r="AU14" i="7"/>
  <c r="AY15" i="7"/>
  <c r="AY14" i="7"/>
  <c r="E11" i="7"/>
  <c r="BF13" i="7"/>
  <c r="E13" i="7"/>
  <c r="T14" i="7"/>
  <c r="AH43" i="7"/>
  <c r="AR43" i="7" s="1"/>
  <c r="BG43" i="7" s="1"/>
  <c r="BG46" i="7" s="1"/>
  <c r="AR31" i="7"/>
  <c r="BF64" i="7"/>
  <c r="BB63" i="7"/>
  <c r="BB66" i="7" s="1"/>
  <c r="BF12" i="7"/>
  <c r="BT16" i="7"/>
  <c r="BU16" i="7" s="1"/>
  <c r="BG31" i="7"/>
  <c r="BG32" i="7"/>
  <c r="BG33" i="7"/>
  <c r="BG34" i="7"/>
  <c r="BG35" i="7"/>
  <c r="AG54" i="7"/>
  <c r="AK54" i="7"/>
  <c r="AO54" i="7"/>
  <c r="AU54" i="7"/>
  <c r="AU55" i="7" s="1"/>
  <c r="AY54" i="7"/>
  <c r="AY55" i="7" s="1"/>
  <c r="AF67" i="7"/>
  <c r="AJ67" i="7"/>
  <c r="AN67" i="7"/>
  <c r="BJ67" i="7"/>
  <c r="BN58" i="7"/>
  <c r="BO59" i="7"/>
  <c r="AG66" i="7"/>
  <c r="AX66" i="7"/>
  <c r="BF66" i="7" s="1"/>
  <c r="AX67" i="7"/>
  <c r="BT12" i="7"/>
  <c r="AR20" i="7"/>
  <c r="AN51" i="7"/>
  <c r="BF20" i="7"/>
  <c r="BG37" i="7"/>
  <c r="BG42" i="7"/>
  <c r="BF47" i="7"/>
  <c r="AL54" i="7"/>
  <c r="BD54" i="7"/>
  <c r="BD55" i="7" s="1"/>
  <c r="AU67" i="7"/>
  <c r="AY67" i="7"/>
  <c r="BR58" i="7"/>
  <c r="BR57" i="7" s="1"/>
  <c r="BS59" i="7"/>
  <c r="BS58" i="7" s="1"/>
  <c r="BS57" i="7" s="1"/>
  <c r="AT62" i="7"/>
  <c r="AK66" i="7"/>
  <c r="BC51" i="7"/>
  <c r="BC16" i="7"/>
  <c r="BC67" i="7" s="1"/>
  <c r="BC17" i="7"/>
  <c r="T43" i="7"/>
  <c r="AD22" i="7"/>
  <c r="P43" i="7"/>
  <c r="AQ53" i="7"/>
  <c r="AW54" i="7"/>
  <c r="AW55" i="7" s="1"/>
  <c r="BA54" i="7"/>
  <c r="BA55" i="7" s="1"/>
  <c r="BE54" i="7"/>
  <c r="BE55" i="7" s="1"/>
  <c r="BB53" i="7"/>
  <c r="BF53" i="7" s="1"/>
  <c r="AR55" i="7"/>
  <c r="AL67" i="7"/>
  <c r="AV67" i="7"/>
  <c r="BF67" i="7" s="1"/>
  <c r="AZ67" i="7"/>
  <c r="BH67" i="7"/>
  <c r="BH66" i="7"/>
  <c r="BF62" i="7"/>
  <c r="AR63" i="7"/>
  <c r="AO66" i="7"/>
  <c r="AO67" i="7"/>
  <c r="BT17" i="7"/>
  <c r="BT20" i="7" s="1"/>
  <c r="BU20" i="7" s="1"/>
  <c r="AL45" i="7"/>
  <c r="AP53" i="7"/>
  <c r="AF54" i="7"/>
  <c r="AU62" i="7"/>
  <c r="AY62" i="7"/>
  <c r="BC62" i="7"/>
  <c r="AH66" i="7"/>
  <c r="AL66" i="7"/>
  <c r="AP67" i="7"/>
  <c r="BA44" i="7"/>
  <c r="AZ15" i="7" s="1"/>
  <c r="AT51" i="7"/>
  <c r="BF51" i="7" s="1"/>
  <c r="AV62" i="7"/>
  <c r="AZ62" i="7"/>
  <c r="AI66" i="7"/>
  <c r="BI66" i="7"/>
  <c r="AQ67" i="7"/>
  <c r="AR57" i="7"/>
  <c r="BG57" i="7" s="1"/>
  <c r="AW62" i="7"/>
  <c r="BA62" i="7"/>
  <c r="AF66" i="7"/>
  <c r="AJ66" i="7"/>
  <c r="BJ66" i="7"/>
  <c r="CQ90" i="40" l="1"/>
  <c r="CQ97" i="40" s="1"/>
  <c r="CR89" i="40"/>
  <c r="DM95" i="40"/>
  <c r="DM85" i="40"/>
  <c r="DM81" i="40"/>
  <c r="DM94" i="40"/>
  <c r="DM97" i="40"/>
  <c r="DO86" i="40"/>
  <c r="DN82" i="40"/>
  <c r="DL12" i="40"/>
  <c r="DM12" i="40" s="1"/>
  <c r="CR78" i="40"/>
  <c r="CR41" i="40"/>
  <c r="CT39" i="40"/>
  <c r="CU38" i="40"/>
  <c r="CS65" i="40"/>
  <c r="CS40" i="40"/>
  <c r="CS35" i="40"/>
  <c r="CS95" i="40" s="1"/>
  <c r="CL95" i="40"/>
  <c r="CL78" i="40"/>
  <c r="CL41" i="40"/>
  <c r="CN39" i="40"/>
  <c r="CO38" i="40"/>
  <c r="CO39" i="40" s="1"/>
  <c r="CM65" i="40"/>
  <c r="CM40" i="40"/>
  <c r="CM35" i="40"/>
  <c r="DD21" i="40"/>
  <c r="DC20" i="40"/>
  <c r="DC18" i="40"/>
  <c r="CQ90" i="39"/>
  <c r="CQ97" i="39" s="1"/>
  <c r="CR89" i="39"/>
  <c r="DQ95" i="39"/>
  <c r="CR78" i="39"/>
  <c r="CR41" i="39"/>
  <c r="CT39" i="39"/>
  <c r="CU38" i="39"/>
  <c r="CS65" i="39"/>
  <c r="CS40" i="39"/>
  <c r="CS35" i="39"/>
  <c r="CS95" i="39" s="1"/>
  <c r="CL95" i="39"/>
  <c r="CL78" i="39"/>
  <c r="CL41" i="39"/>
  <c r="CN39" i="39"/>
  <c r="CO38" i="39"/>
  <c r="CO39" i="39" s="1"/>
  <c r="CM65" i="39"/>
  <c r="CM40" i="39"/>
  <c r="CM35" i="39"/>
  <c r="DD21" i="39"/>
  <c r="DC20" i="39"/>
  <c r="DC18" i="39"/>
  <c r="CQ89" i="38"/>
  <c r="CQ96" i="38" s="1"/>
  <c r="CR88" i="38"/>
  <c r="DP94" i="38"/>
  <c r="DX34" i="38"/>
  <c r="CR77" i="38"/>
  <c r="CR40" i="38"/>
  <c r="CT38" i="38"/>
  <c r="CU37" i="38"/>
  <c r="CS64" i="38"/>
  <c r="CS39" i="38"/>
  <c r="CS34" i="38"/>
  <c r="CS94" i="38" s="1"/>
  <c r="CL94" i="38"/>
  <c r="CL77" i="38"/>
  <c r="CL40" i="38"/>
  <c r="CN38" i="38"/>
  <c r="CO37" i="38"/>
  <c r="CO38" i="38" s="1"/>
  <c r="CM64" i="38"/>
  <c r="CM39" i="38"/>
  <c r="CM34" i="38"/>
  <c r="DC17" i="38"/>
  <c r="DL21" i="37"/>
  <c r="DI18" i="37"/>
  <c r="CQ89" i="37"/>
  <c r="CQ96" i="37" s="1"/>
  <c r="CR88" i="37"/>
  <c r="DP94" i="37"/>
  <c r="DX34" i="37"/>
  <c r="CR77" i="37"/>
  <c r="CR40" i="37"/>
  <c r="CT38" i="37"/>
  <c r="CU37" i="37"/>
  <c r="CS64" i="37"/>
  <c r="CS39" i="37"/>
  <c r="CS34" i="37"/>
  <c r="CS94" i="37" s="1"/>
  <c r="CL94" i="37"/>
  <c r="CL77" i="37"/>
  <c r="CL40" i="37"/>
  <c r="CN38" i="37"/>
  <c r="CO37" i="37"/>
  <c r="CO38" i="37" s="1"/>
  <c r="CM64" i="37"/>
  <c r="CM39" i="37"/>
  <c r="CM34" i="37"/>
  <c r="DE20" i="37"/>
  <c r="DD19" i="37"/>
  <c r="DD17" i="37"/>
  <c r="CQ89" i="35"/>
  <c r="CQ96" i="35" s="1"/>
  <c r="CR88" i="35"/>
  <c r="DP94" i="35"/>
  <c r="DX34" i="35"/>
  <c r="DJ94" i="35"/>
  <c r="CR77" i="35"/>
  <c r="CR40" i="35"/>
  <c r="CT38" i="35"/>
  <c r="CU37" i="35"/>
  <c r="CS64" i="35"/>
  <c r="CS39" i="35"/>
  <c r="CS34" i="35"/>
  <c r="CS94" i="35" s="1"/>
  <c r="CL94" i="35"/>
  <c r="CL77" i="35"/>
  <c r="CL40" i="35"/>
  <c r="CN38" i="35"/>
  <c r="CO37" i="35"/>
  <c r="CO38" i="35" s="1"/>
  <c r="CM64" i="35"/>
  <c r="CM39" i="35"/>
  <c r="CM34" i="35"/>
  <c r="DE20" i="35"/>
  <c r="DD19" i="35"/>
  <c r="DD17" i="35"/>
  <c r="DD11" i="33"/>
  <c r="DE11" i="33" s="1"/>
  <c r="DF11" i="33" s="1"/>
  <c r="DG11" i="33" s="1"/>
  <c r="DH11" i="33" s="1"/>
  <c r="DI11" i="33" s="1"/>
  <c r="CQ89" i="34"/>
  <c r="CQ96" i="34" s="1"/>
  <c r="CR88" i="34"/>
  <c r="DP94" i="34"/>
  <c r="DX34" i="34"/>
  <c r="DJ94" i="34"/>
  <c r="CR77" i="34"/>
  <c r="CR40" i="34"/>
  <c r="CT38" i="34"/>
  <c r="CU37" i="34"/>
  <c r="CS64" i="34"/>
  <c r="CS39" i="34"/>
  <c r="CS34" i="34"/>
  <c r="CS94" i="34" s="1"/>
  <c r="CL94" i="34"/>
  <c r="CL77" i="34"/>
  <c r="CL40" i="34"/>
  <c r="CN38" i="34"/>
  <c r="CO37" i="34"/>
  <c r="CO38" i="34" s="1"/>
  <c r="CM64" i="34"/>
  <c r="CM39" i="34"/>
  <c r="CM34" i="34"/>
  <c r="DE20" i="34"/>
  <c r="DE19" i="34" s="1"/>
  <c r="DD17" i="34"/>
  <c r="CQ89" i="33"/>
  <c r="CQ96" i="33" s="1"/>
  <c r="CR88" i="33"/>
  <c r="DX34" i="33"/>
  <c r="DL94" i="33"/>
  <c r="CR77" i="33"/>
  <c r="CR40" i="33"/>
  <c r="CT38" i="33"/>
  <c r="CU37" i="33"/>
  <c r="CS64" i="33"/>
  <c r="CS39" i="33"/>
  <c r="CS34" i="33"/>
  <c r="CS94" i="33" s="1"/>
  <c r="CL94" i="33"/>
  <c r="CL77" i="33"/>
  <c r="CL40" i="33"/>
  <c r="CN38" i="33"/>
  <c r="CO37" i="33"/>
  <c r="CO38" i="33" s="1"/>
  <c r="CM64" i="33"/>
  <c r="CM39" i="33"/>
  <c r="CM34" i="33"/>
  <c r="DB20" i="33"/>
  <c r="DB19" i="33" s="1"/>
  <c r="DA17" i="33"/>
  <c r="DX33" i="30"/>
  <c r="DL93" i="30"/>
  <c r="DD19" i="30"/>
  <c r="DE19" i="30" s="1"/>
  <c r="DF19" i="30" s="1"/>
  <c r="CQ88" i="32"/>
  <c r="CQ95" i="32" s="1"/>
  <c r="CR87" i="32"/>
  <c r="DX33" i="32"/>
  <c r="DL93" i="32"/>
  <c r="CR76" i="32"/>
  <c r="CR39" i="32"/>
  <c r="CT37" i="32"/>
  <c r="CU36" i="32"/>
  <c r="CS63" i="32"/>
  <c r="CS38" i="32"/>
  <c r="CS33" i="32"/>
  <c r="CS93" i="32" s="1"/>
  <c r="CL93" i="32"/>
  <c r="CL76" i="32"/>
  <c r="CL39" i="32"/>
  <c r="CN37" i="32"/>
  <c r="CO36" i="32"/>
  <c r="CO37" i="32" s="1"/>
  <c r="CM63" i="32"/>
  <c r="CM38" i="32"/>
  <c r="CM33" i="32"/>
  <c r="DA19" i="32"/>
  <c r="CZ17" i="32"/>
  <c r="CZ90" i="32" s="1"/>
  <c r="DC92" i="30"/>
  <c r="DC83" i="30"/>
  <c r="DC79" i="30"/>
  <c r="DC11" i="30" s="1"/>
  <c r="DC93" i="30"/>
  <c r="DD95" i="30"/>
  <c r="DE84" i="30"/>
  <c r="DE80" i="30" s="1"/>
  <c r="CE51" i="16"/>
  <c r="CE23" i="16" s="1"/>
  <c r="CE24" i="16"/>
  <c r="CE56" i="22"/>
  <c r="CE28" i="22"/>
  <c r="CE51" i="23"/>
  <c r="CE23" i="23" s="1"/>
  <c r="CE24" i="23"/>
  <c r="CE56" i="26"/>
  <c r="CE28" i="26"/>
  <c r="CE56" i="27"/>
  <c r="CE28" i="27"/>
  <c r="CE56" i="28"/>
  <c r="CE28" i="28"/>
  <c r="CE56" i="29"/>
  <c r="CE28" i="29"/>
  <c r="CE62" i="30"/>
  <c r="CE34" i="30"/>
  <c r="BX24" i="16"/>
  <c r="CH50" i="16"/>
  <c r="CI50" i="16" s="1"/>
  <c r="BX28" i="22"/>
  <c r="CH55" i="22"/>
  <c r="CI55" i="22" s="1"/>
  <c r="BX24" i="23"/>
  <c r="CH50" i="23"/>
  <c r="CI50" i="23" s="1"/>
  <c r="BX28" i="26"/>
  <c r="CH55" i="26"/>
  <c r="CI55" i="26" s="1"/>
  <c r="BX28" i="27"/>
  <c r="CH55" i="27"/>
  <c r="CI55" i="27" s="1"/>
  <c r="BX28" i="28"/>
  <c r="CH55" i="28"/>
  <c r="CI55" i="28" s="1"/>
  <c r="BX28" i="29"/>
  <c r="CH55" i="29"/>
  <c r="CI55" i="29" s="1"/>
  <c r="BX34" i="30"/>
  <c r="CH61" i="30"/>
  <c r="CI61" i="30" s="1"/>
  <c r="CC51" i="16"/>
  <c r="CC23" i="16" s="1"/>
  <c r="CC24" i="16"/>
  <c r="CC56" i="22"/>
  <c r="CC28" i="22"/>
  <c r="CC51" i="23"/>
  <c r="CC23" i="23" s="1"/>
  <c r="CC24" i="23"/>
  <c r="CC56" i="26"/>
  <c r="CC28" i="26"/>
  <c r="CC56" i="27"/>
  <c r="CC28" i="27"/>
  <c r="CC56" i="28"/>
  <c r="CC28" i="28"/>
  <c r="CC56" i="29"/>
  <c r="CC28" i="29"/>
  <c r="CC62" i="30"/>
  <c r="CC34" i="30"/>
  <c r="CD51" i="16"/>
  <c r="CD23" i="16" s="1"/>
  <c r="CD24" i="16"/>
  <c r="CD56" i="22"/>
  <c r="CD28" i="22"/>
  <c r="CD51" i="23"/>
  <c r="CD23" i="23" s="1"/>
  <c r="CD24" i="23"/>
  <c r="CD56" i="26"/>
  <c r="CD28" i="26"/>
  <c r="CD56" i="27"/>
  <c r="CD28" i="27"/>
  <c r="CD56" i="28"/>
  <c r="CD28" i="28"/>
  <c r="CD56" i="29"/>
  <c r="CD28" i="29"/>
  <c r="CD62" i="30"/>
  <c r="CD34" i="30"/>
  <c r="CQ88" i="30"/>
  <c r="CQ95" i="30" s="1"/>
  <c r="CR87" i="30"/>
  <c r="CR76" i="30"/>
  <c r="CR39" i="30"/>
  <c r="CT37" i="30"/>
  <c r="CU36" i="30"/>
  <c r="CS63" i="30"/>
  <c r="CS38" i="30"/>
  <c r="CS76" i="30" s="1"/>
  <c r="CS93" i="30"/>
  <c r="CL93" i="30"/>
  <c r="CL76" i="30"/>
  <c r="CL39" i="30"/>
  <c r="CN37" i="30"/>
  <c r="CO36" i="30"/>
  <c r="CO37" i="30" s="1"/>
  <c r="CM63" i="30"/>
  <c r="CM38" i="30"/>
  <c r="CM33" i="30"/>
  <c r="CN32" i="22"/>
  <c r="CN70" i="22" s="1"/>
  <c r="CN27" i="22"/>
  <c r="CN33" i="22"/>
  <c r="CN57" i="22"/>
  <c r="CM70" i="22"/>
  <c r="CY82" i="22"/>
  <c r="CY81" i="22"/>
  <c r="CY72" i="22"/>
  <c r="DA73" i="22"/>
  <c r="CQ77" i="29"/>
  <c r="CQ84" i="29" s="1"/>
  <c r="CR76" i="29"/>
  <c r="CT86" i="29"/>
  <c r="CT82" i="29"/>
  <c r="CT81" i="29"/>
  <c r="CT10" i="29"/>
  <c r="CU85" i="29"/>
  <c r="CX73" i="29"/>
  <c r="CU71" i="29"/>
  <c r="CO22" i="29"/>
  <c r="CP15" i="29"/>
  <c r="CQ77" i="28"/>
  <c r="CR76" i="28"/>
  <c r="CO22" i="28"/>
  <c r="CP15" i="28"/>
  <c r="CQ77" i="27"/>
  <c r="CR76" i="27"/>
  <c r="CN22" i="27"/>
  <c r="CO15" i="27"/>
  <c r="CQ77" i="26"/>
  <c r="CR76" i="26"/>
  <c r="CN22" i="26"/>
  <c r="CO15" i="26"/>
  <c r="CH20" i="11"/>
  <c r="CI20" i="11" s="1"/>
  <c r="BV16" i="11"/>
  <c r="BV18" i="11"/>
  <c r="CH18" i="11" s="1"/>
  <c r="BV17" i="11"/>
  <c r="CH20" i="12"/>
  <c r="CI20" i="12" s="1"/>
  <c r="BV18" i="12"/>
  <c r="CH18" i="12" s="1"/>
  <c r="BV17" i="12"/>
  <c r="CH20" i="13"/>
  <c r="CI20" i="13" s="1"/>
  <c r="BV18" i="13"/>
  <c r="CH18" i="13" s="1"/>
  <c r="BV17" i="13"/>
  <c r="CI20" i="14"/>
  <c r="BV18" i="14"/>
  <c r="CH18" i="14" s="1"/>
  <c r="BV16" i="14"/>
  <c r="BV17" i="14"/>
  <c r="BV25" i="16"/>
  <c r="CH25" i="16" s="1"/>
  <c r="BV23" i="16"/>
  <c r="BV24" i="16"/>
  <c r="CH24" i="16" s="1"/>
  <c r="CI24" i="16" s="1"/>
  <c r="BV57" i="22"/>
  <c r="BV29" i="22"/>
  <c r="CH29" i="22" s="1"/>
  <c r="BV27" i="22"/>
  <c r="BV28" i="22"/>
  <c r="CH28" i="22" s="1"/>
  <c r="CI28" i="22" s="1"/>
  <c r="BV25" i="23"/>
  <c r="CH25" i="23" s="1"/>
  <c r="BV23" i="23"/>
  <c r="BV24" i="23"/>
  <c r="CH24" i="23" s="1"/>
  <c r="CI24" i="23" s="1"/>
  <c r="CO30" i="22"/>
  <c r="CO31" i="22" s="1"/>
  <c r="CH11" i="22"/>
  <c r="CC25" i="22"/>
  <c r="CF23" i="22"/>
  <c r="CF24" i="22" s="1"/>
  <c r="CN68" i="16"/>
  <c r="CB19" i="16"/>
  <c r="CB20" i="16" s="1"/>
  <c r="CA12" i="14"/>
  <c r="CA13" i="14" s="1"/>
  <c r="AW7" i="15"/>
  <c r="AU7" i="15"/>
  <c r="AQ7" i="15"/>
  <c r="S7" i="15"/>
  <c r="CG44" i="14"/>
  <c r="CG16" i="14" s="1"/>
  <c r="CG69" i="14" s="1"/>
  <c r="CG17" i="14"/>
  <c r="CG44" i="13"/>
  <c r="CG16" i="13" s="1"/>
  <c r="CU16" i="13" s="1"/>
  <c r="CG17" i="13"/>
  <c r="CG44" i="12"/>
  <c r="CG16" i="12" s="1"/>
  <c r="CG17" i="12"/>
  <c r="CG44" i="11"/>
  <c r="CG16" i="11" s="1"/>
  <c r="CU16" i="11" s="1"/>
  <c r="CG17" i="11"/>
  <c r="Y5" i="15"/>
  <c r="Y7" i="15" s="1"/>
  <c r="CE44" i="11"/>
  <c r="CE16" i="11" s="1"/>
  <c r="CS16" i="11" s="1"/>
  <c r="CE17" i="11"/>
  <c r="CE44" i="12"/>
  <c r="CE16" i="12" s="1"/>
  <c r="CE17" i="12"/>
  <c r="CE44" i="13"/>
  <c r="CE16" i="13" s="1"/>
  <c r="CS16" i="13" s="1"/>
  <c r="CE17" i="13"/>
  <c r="CE44" i="14"/>
  <c r="CE16" i="14" s="1"/>
  <c r="CE69" i="14" s="1"/>
  <c r="CE17" i="14"/>
  <c r="BX16" i="8"/>
  <c r="BX45" i="8"/>
  <c r="BX44" i="11"/>
  <c r="BX17" i="11"/>
  <c r="CH43" i="11"/>
  <c r="CI43" i="11" s="1"/>
  <c r="BX44" i="12"/>
  <c r="BX17" i="12"/>
  <c r="CH43" i="12"/>
  <c r="CI43" i="12" s="1"/>
  <c r="BX44" i="13"/>
  <c r="BX17" i="13"/>
  <c r="CH43" i="13"/>
  <c r="CI43" i="13" s="1"/>
  <c r="BX17" i="14"/>
  <c r="CH43" i="14"/>
  <c r="CI43" i="14" s="1"/>
  <c r="BY44" i="11"/>
  <c r="BY16" i="11" s="1"/>
  <c r="BY17" i="11"/>
  <c r="BY44" i="12"/>
  <c r="BY16" i="12" s="1"/>
  <c r="BY17" i="12"/>
  <c r="BY44" i="13"/>
  <c r="BY16" i="13" s="1"/>
  <c r="BY17" i="13"/>
  <c r="CF44" i="11"/>
  <c r="CF16" i="11" s="1"/>
  <c r="CT16" i="11" s="1"/>
  <c r="CF17" i="11"/>
  <c r="CF44" i="12"/>
  <c r="CF16" i="12" s="1"/>
  <c r="CF17" i="12"/>
  <c r="CF44" i="13"/>
  <c r="CF16" i="13" s="1"/>
  <c r="CT16" i="13" s="1"/>
  <c r="CF17" i="13"/>
  <c r="CF44" i="14"/>
  <c r="CF16" i="14" s="1"/>
  <c r="CF69" i="14" s="1"/>
  <c r="CF17" i="14"/>
  <c r="BZ44" i="11"/>
  <c r="BZ16" i="11" s="1"/>
  <c r="BZ17" i="11"/>
  <c r="BZ44" i="12"/>
  <c r="BZ16" i="12" s="1"/>
  <c r="BZ58" i="12" s="1"/>
  <c r="BZ17" i="12"/>
  <c r="BZ44" i="13"/>
  <c r="BZ16" i="13" s="1"/>
  <c r="BZ17" i="13"/>
  <c r="CB44" i="11"/>
  <c r="CB16" i="11" s="1"/>
  <c r="CP16" i="11" s="1"/>
  <c r="CB17" i="11"/>
  <c r="CB44" i="12"/>
  <c r="CB16" i="12" s="1"/>
  <c r="CB17" i="12"/>
  <c r="CB44" i="13"/>
  <c r="CB16" i="13" s="1"/>
  <c r="CP16" i="13" s="1"/>
  <c r="CB17" i="13"/>
  <c r="CB44" i="14"/>
  <c r="CB17" i="14"/>
  <c r="CC44" i="11"/>
  <c r="CC16" i="11" s="1"/>
  <c r="CQ16" i="11" s="1"/>
  <c r="CC17" i="11"/>
  <c r="CC44" i="12"/>
  <c r="CC16" i="12" s="1"/>
  <c r="CC17" i="12"/>
  <c r="CC44" i="13"/>
  <c r="CC16" i="13" s="1"/>
  <c r="CQ16" i="13" s="1"/>
  <c r="CC17" i="13"/>
  <c r="CC44" i="14"/>
  <c r="CC16" i="14" s="1"/>
  <c r="CC69" i="14" s="1"/>
  <c r="CC17" i="14"/>
  <c r="CD44" i="11"/>
  <c r="CD16" i="11" s="1"/>
  <c r="CR16" i="11" s="1"/>
  <c r="CD17" i="11"/>
  <c r="CD44" i="12"/>
  <c r="CD16" i="12" s="1"/>
  <c r="CD17" i="12"/>
  <c r="CD44" i="13"/>
  <c r="CD16" i="13" s="1"/>
  <c r="CR16" i="13" s="1"/>
  <c r="CD17" i="13"/>
  <c r="CD44" i="14"/>
  <c r="CD16" i="14" s="1"/>
  <c r="CD69" i="14" s="1"/>
  <c r="CD17" i="14"/>
  <c r="CA44" i="11"/>
  <c r="CA16" i="11" s="1"/>
  <c r="CA17" i="11"/>
  <c r="CA44" i="12"/>
  <c r="CA16" i="12" s="1"/>
  <c r="CA58" i="12" s="1"/>
  <c r="CA17" i="12"/>
  <c r="CA44" i="13"/>
  <c r="CA16" i="13" s="1"/>
  <c r="CA17" i="13"/>
  <c r="BY14" i="14"/>
  <c r="BY11" i="14"/>
  <c r="BT47" i="8"/>
  <c r="AU69" i="8"/>
  <c r="AU54" i="8"/>
  <c r="AU55" i="8" s="1"/>
  <c r="AN69" i="8"/>
  <c r="AN54" i="8"/>
  <c r="AW69" i="8"/>
  <c r="BD54" i="8"/>
  <c r="BD55" i="8" s="1"/>
  <c r="BC54" i="8"/>
  <c r="BC55" i="8" s="1"/>
  <c r="AV69" i="8"/>
  <c r="AM69" i="8"/>
  <c r="AY54" i="8"/>
  <c r="AY55" i="8" s="1"/>
  <c r="AO54" i="8"/>
  <c r="BC14" i="8"/>
  <c r="BD14" i="8" s="1"/>
  <c r="BE14" i="8" s="1"/>
  <c r="BF14" i="8" s="1"/>
  <c r="AX15" i="8"/>
  <c r="AM54" i="8"/>
  <c r="AJ15" i="8"/>
  <c r="AJ47" i="8" s="1"/>
  <c r="AK69" i="8"/>
  <c r="AU15" i="8"/>
  <c r="AN15" i="8"/>
  <c r="AN47" i="8" s="1"/>
  <c r="AG54" i="8"/>
  <c r="AF15" i="8"/>
  <c r="AF47" i="8" s="1"/>
  <c r="AP45" i="8"/>
  <c r="AR43" i="8"/>
  <c r="BG43" i="8" s="1"/>
  <c r="BG46" i="8" s="1"/>
  <c r="AQ45" i="8"/>
  <c r="AD43" i="8"/>
  <c r="BG13" i="8"/>
  <c r="AI54" i="8"/>
  <c r="AI69" i="8"/>
  <c r="AZ69" i="8"/>
  <c r="BF16" i="8"/>
  <c r="BT45" i="8"/>
  <c r="BT68" i="9"/>
  <c r="BF68" i="9"/>
  <c r="BT69" i="9"/>
  <c r="BF64" i="9"/>
  <c r="BG59" i="9"/>
  <c r="BF69" i="9"/>
  <c r="AR68" i="9"/>
  <c r="BG52" i="9"/>
  <c r="BU43" i="9"/>
  <c r="BH55" i="9"/>
  <c r="BT54" i="9"/>
  <c r="BT55" i="9" s="1"/>
  <c r="BG49" i="9"/>
  <c r="AT55" i="9"/>
  <c r="BF55" i="9" s="1"/>
  <c r="BF54" i="9"/>
  <c r="BF44" i="9"/>
  <c r="BA17" i="9"/>
  <c r="BF17" i="9" s="1"/>
  <c r="AZ15" i="9"/>
  <c r="BF53" i="9"/>
  <c r="AH53" i="9"/>
  <c r="AR53" i="9" s="1"/>
  <c r="AH16" i="9"/>
  <c r="S69" i="9"/>
  <c r="AD16" i="9"/>
  <c r="AD69" i="9" s="1"/>
  <c r="BT51" i="9"/>
  <c r="BW14" i="9"/>
  <c r="BW11" i="9"/>
  <c r="BX6" i="9"/>
  <c r="AQ47" i="9"/>
  <c r="AR15" i="9"/>
  <c r="BT68" i="8"/>
  <c r="BF68" i="8"/>
  <c r="BT69" i="8"/>
  <c r="BF64" i="8"/>
  <c r="BG59" i="8"/>
  <c r="AR68" i="8"/>
  <c r="BG52" i="8"/>
  <c r="BH55" i="8"/>
  <c r="BT54" i="8"/>
  <c r="BT55" i="8" s="1"/>
  <c r="BG49" i="8"/>
  <c r="AT55" i="8"/>
  <c r="BF44" i="8"/>
  <c r="BA17" i="8"/>
  <c r="BF17" i="8" s="1"/>
  <c r="AZ15" i="8"/>
  <c r="BF53" i="8"/>
  <c r="AH53" i="8"/>
  <c r="AR53" i="8" s="1"/>
  <c r="AH16" i="8"/>
  <c r="S69" i="8"/>
  <c r="AD16" i="8"/>
  <c r="AD69" i="8" s="1"/>
  <c r="CH17" i="8"/>
  <c r="BT51" i="8"/>
  <c r="BS14" i="8"/>
  <c r="BT14" i="8" s="1"/>
  <c r="AQ47" i="8"/>
  <c r="AR15" i="8"/>
  <c r="CH20" i="2"/>
  <c r="CI17" i="2"/>
  <c r="CD18" i="2"/>
  <c r="CD20" i="2"/>
  <c r="CC18" i="2"/>
  <c r="CC20" i="2"/>
  <c r="CB18" i="2"/>
  <c r="CB20" i="2"/>
  <c r="CA18" i="2"/>
  <c r="CH18" i="2" s="1"/>
  <c r="CA20" i="2"/>
  <c r="BT66" i="2"/>
  <c r="AR66" i="5"/>
  <c r="BT57" i="6"/>
  <c r="BC54" i="7"/>
  <c r="BC55" i="7" s="1"/>
  <c r="BC14" i="7"/>
  <c r="BD14" i="7" s="1"/>
  <c r="BE14" i="7" s="1"/>
  <c r="BF14" i="7" s="1"/>
  <c r="BX59" i="5"/>
  <c r="BW58" i="5"/>
  <c r="BJ67" i="5"/>
  <c r="BJ6" i="5"/>
  <c r="AR16" i="6"/>
  <c r="BG16" i="6" s="1"/>
  <c r="BG14" i="6" s="1"/>
  <c r="AF54" i="6"/>
  <c r="AR54" i="6" s="1"/>
  <c r="BI69" i="5"/>
  <c r="BG13" i="4"/>
  <c r="AU15" i="4"/>
  <c r="BG57" i="4"/>
  <c r="BF62" i="4"/>
  <c r="BF66" i="4"/>
  <c r="AO67" i="2"/>
  <c r="AR66" i="7"/>
  <c r="BO58" i="7"/>
  <c r="BO57" i="7" s="1"/>
  <c r="BP59" i="7"/>
  <c r="BF63" i="7"/>
  <c r="BG63" i="7" s="1"/>
  <c r="BF16" i="7"/>
  <c r="BF54" i="7"/>
  <c r="BF66" i="6"/>
  <c r="BF62" i="6"/>
  <c r="BG57" i="6"/>
  <c r="AJ67" i="6"/>
  <c r="BG49" i="6"/>
  <c r="BU16" i="6"/>
  <c r="BF67" i="5"/>
  <c r="BX20" i="5"/>
  <c r="BX16" i="5"/>
  <c r="CH16" i="5" s="1"/>
  <c r="BJ11" i="7"/>
  <c r="BJ15" i="7"/>
  <c r="BK6" i="7"/>
  <c r="BJ14" i="7"/>
  <c r="BI14" i="6"/>
  <c r="BJ6" i="6"/>
  <c r="BI11" i="6"/>
  <c r="BI15" i="6"/>
  <c r="AG15" i="6"/>
  <c r="AG47" i="6" s="1"/>
  <c r="AR47" i="6" s="1"/>
  <c r="AH67" i="6"/>
  <c r="AR67" i="6" s="1"/>
  <c r="CH17" i="5"/>
  <c r="CH20" i="5" s="1"/>
  <c r="BY20" i="4"/>
  <c r="BY16" i="4"/>
  <c r="BY67" i="4" s="1"/>
  <c r="BG20" i="5"/>
  <c r="CA20" i="4"/>
  <c r="CA16" i="4"/>
  <c r="BT16" i="4"/>
  <c r="BU16" i="4" s="1"/>
  <c r="BP67" i="2"/>
  <c r="BP54" i="2"/>
  <c r="BP55" i="2" s="1"/>
  <c r="BI67" i="4"/>
  <c r="CH16" i="4"/>
  <c r="AU67" i="2"/>
  <c r="BF67" i="2" s="1"/>
  <c r="AU66" i="2"/>
  <c r="AU62" i="2"/>
  <c r="AH16" i="2"/>
  <c r="AH53" i="2"/>
  <c r="AR53" i="2" s="1"/>
  <c r="AD43" i="6"/>
  <c r="BT16" i="5"/>
  <c r="BU16" i="5" s="1"/>
  <c r="BE15" i="5"/>
  <c r="AV54" i="4"/>
  <c r="BF49" i="2"/>
  <c r="BG49" i="2" s="1"/>
  <c r="AP15" i="6"/>
  <c r="AP47" i="6" s="1"/>
  <c r="AP54" i="4"/>
  <c r="AR66" i="2"/>
  <c r="AQ45" i="2"/>
  <c r="AL45" i="2"/>
  <c r="BF54" i="2"/>
  <c r="AH53" i="7"/>
  <c r="AR53" i="7" s="1"/>
  <c r="AH16" i="7"/>
  <c r="AO15" i="7"/>
  <c r="AO47" i="7" s="1"/>
  <c r="AR15" i="7"/>
  <c r="AQ47" i="7"/>
  <c r="CC20" i="4"/>
  <c r="CC16" i="4"/>
  <c r="CD20" i="5"/>
  <c r="CD16" i="5"/>
  <c r="BF16" i="4"/>
  <c r="I14" i="7"/>
  <c r="I11" i="7"/>
  <c r="I13" i="7"/>
  <c r="BF62" i="5"/>
  <c r="BG16" i="5"/>
  <c r="BG14" i="5" s="1"/>
  <c r="BI15" i="5"/>
  <c r="AR15" i="5"/>
  <c r="AQ47" i="5"/>
  <c r="BD67" i="6"/>
  <c r="BD54" i="6"/>
  <c r="BD55" i="6" s="1"/>
  <c r="AV54" i="6"/>
  <c r="AV55" i="6" s="1"/>
  <c r="AU15" i="6"/>
  <c r="AR66" i="4"/>
  <c r="AM66" i="5"/>
  <c r="CE20" i="4"/>
  <c r="CE16" i="4"/>
  <c r="BL54" i="2"/>
  <c r="BL55" i="2" s="1"/>
  <c r="BL67" i="2"/>
  <c r="BF67" i="4"/>
  <c r="AM66" i="4"/>
  <c r="BN67" i="2"/>
  <c r="BN54" i="2"/>
  <c r="BN55" i="2" s="1"/>
  <c r="BK6" i="4"/>
  <c r="AO54" i="2"/>
  <c r="BF55" i="2"/>
  <c r="BF55" i="7"/>
  <c r="AT55" i="6"/>
  <c r="BF55" i="6" s="1"/>
  <c r="CB20" i="5"/>
  <c r="CB16" i="5"/>
  <c r="BG49" i="5"/>
  <c r="BG52" i="2"/>
  <c r="BU43" i="2"/>
  <c r="BF44" i="2"/>
  <c r="BA17" i="2"/>
  <c r="BF17" i="2" s="1"/>
  <c r="BF66" i="2"/>
  <c r="T16" i="7"/>
  <c r="AD43" i="7"/>
  <c r="BG20" i="7"/>
  <c r="BN57" i="7"/>
  <c r="BA17" i="7"/>
  <c r="BF17" i="7" s="1"/>
  <c r="BF44" i="7"/>
  <c r="AQ45" i="7"/>
  <c r="AP45" i="7"/>
  <c r="BG20" i="6"/>
  <c r="BP58" i="6"/>
  <c r="BP57" i="6" s="1"/>
  <c r="BQ59" i="6"/>
  <c r="BQ58" i="6" s="1"/>
  <c r="BQ57" i="6" s="1"/>
  <c r="BF67" i="6"/>
  <c r="AR66" i="6"/>
  <c r="CF20" i="5"/>
  <c r="CF16" i="5"/>
  <c r="AR57" i="5"/>
  <c r="BG57" i="5" s="1"/>
  <c r="BT58" i="6"/>
  <c r="AR53" i="6"/>
  <c r="AR53" i="5"/>
  <c r="BG43" i="5"/>
  <c r="BG46" i="5" s="1"/>
  <c r="CG20" i="4"/>
  <c r="CG16" i="4"/>
  <c r="AI15" i="6"/>
  <c r="AI47" i="6" s="1"/>
  <c r="T16" i="4"/>
  <c r="AD43" i="4"/>
  <c r="BG57" i="2"/>
  <c r="BF62" i="2"/>
  <c r="BT16" i="2"/>
  <c r="BU16" i="2" s="1"/>
  <c r="BH54" i="2"/>
  <c r="BH67" i="2"/>
  <c r="BE15" i="2"/>
  <c r="BK67" i="4"/>
  <c r="AH16" i="4"/>
  <c r="AH53" i="4"/>
  <c r="AR53" i="4" s="1"/>
  <c r="AQ45" i="4"/>
  <c r="I14" i="5"/>
  <c r="I11" i="5"/>
  <c r="I13" i="5"/>
  <c r="BI69" i="4"/>
  <c r="AV67" i="4"/>
  <c r="AO15" i="4"/>
  <c r="AO47" i="4" s="1"/>
  <c r="AR43" i="2"/>
  <c r="BG43" i="2" s="1"/>
  <c r="BG46" i="2" s="1"/>
  <c r="BF44" i="6"/>
  <c r="BA17" i="6"/>
  <c r="BF17" i="6" s="1"/>
  <c r="BZ20" i="5"/>
  <c r="BZ16" i="5"/>
  <c r="AR47" i="5"/>
  <c r="BD54" i="4"/>
  <c r="BD55" i="4" s="1"/>
  <c r="BF17" i="4"/>
  <c r="BJ67" i="2"/>
  <c r="BJ54" i="2"/>
  <c r="BJ55" i="2" s="1"/>
  <c r="AR15" i="4"/>
  <c r="AQ47" i="4"/>
  <c r="BV67" i="4"/>
  <c r="BS6" i="2"/>
  <c r="BR14" i="2"/>
  <c r="BR11" i="2"/>
  <c r="DE21" i="40" l="1"/>
  <c r="DD20" i="40"/>
  <c r="DD18" i="40"/>
  <c r="CM95" i="40"/>
  <c r="CM78" i="40"/>
  <c r="CM41" i="40"/>
  <c r="CO65" i="40"/>
  <c r="CO40" i="40"/>
  <c r="CO35" i="40"/>
  <c r="CO95" i="40" s="1"/>
  <c r="CN65" i="40"/>
  <c r="CN40" i="40"/>
  <c r="CN35" i="40"/>
  <c r="CS78" i="40"/>
  <c r="CS77" i="40" s="1"/>
  <c r="CS41" i="40"/>
  <c r="CU39" i="40"/>
  <c r="CV38" i="40"/>
  <c r="CT65" i="40"/>
  <c r="CT40" i="40"/>
  <c r="CT35" i="40"/>
  <c r="CT95" i="40" s="1"/>
  <c r="DN95" i="40"/>
  <c r="DN85" i="40"/>
  <c r="DN81" i="40"/>
  <c r="DN97" i="40"/>
  <c r="DN94" i="40"/>
  <c r="DP86" i="40"/>
  <c r="DO82" i="40"/>
  <c r="CR90" i="40"/>
  <c r="CR97" i="40" s="1"/>
  <c r="CS89" i="40"/>
  <c r="DE21" i="39"/>
  <c r="DD20" i="39"/>
  <c r="DD18" i="39"/>
  <c r="CM95" i="39"/>
  <c r="CM78" i="39"/>
  <c r="CM41" i="39"/>
  <c r="CO65" i="39"/>
  <c r="CO40" i="39"/>
  <c r="CO35" i="39"/>
  <c r="CO95" i="39" s="1"/>
  <c r="CN65" i="39"/>
  <c r="CN40" i="39"/>
  <c r="CN35" i="39"/>
  <c r="CS78" i="39"/>
  <c r="CS77" i="39" s="1"/>
  <c r="CS41" i="39"/>
  <c r="CU39" i="39"/>
  <c r="CV38" i="39"/>
  <c r="CT65" i="39"/>
  <c r="CT40" i="39"/>
  <c r="CT35" i="39"/>
  <c r="CT95" i="39" s="1"/>
  <c r="CR90" i="39"/>
  <c r="CR97" i="39" s="1"/>
  <c r="CS89" i="39"/>
  <c r="DD19" i="38"/>
  <c r="DD17" i="38"/>
  <c r="CM94" i="38"/>
  <c r="CM77" i="38"/>
  <c r="CM40" i="38"/>
  <c r="CO64" i="38"/>
  <c r="CO39" i="38"/>
  <c r="CO34" i="38"/>
  <c r="CO94" i="38" s="1"/>
  <c r="CN64" i="38"/>
  <c r="CN39" i="38"/>
  <c r="CN34" i="38"/>
  <c r="CS77" i="38"/>
  <c r="CS76" i="38" s="1"/>
  <c r="CS40" i="38"/>
  <c r="CU38" i="38"/>
  <c r="CV37" i="38"/>
  <c r="CT64" i="38"/>
  <c r="CT39" i="38"/>
  <c r="CT34" i="38"/>
  <c r="CT94" i="38" s="1"/>
  <c r="DY34" i="38"/>
  <c r="DX94" i="38"/>
  <c r="CR89" i="38"/>
  <c r="CR96" i="38" s="1"/>
  <c r="CS88" i="38"/>
  <c r="DM21" i="37"/>
  <c r="DL18" i="37"/>
  <c r="DF20" i="37"/>
  <c r="DE19" i="37"/>
  <c r="DE17" i="37"/>
  <c r="CM94" i="37"/>
  <c r="CM77" i="37"/>
  <c r="CM40" i="37"/>
  <c r="CO64" i="37"/>
  <c r="CO39" i="37"/>
  <c r="CO34" i="37"/>
  <c r="CO94" i="37" s="1"/>
  <c r="CN64" i="37"/>
  <c r="CN39" i="37"/>
  <c r="CN34" i="37"/>
  <c r="CS77" i="37"/>
  <c r="CS76" i="37" s="1"/>
  <c r="CS40" i="37"/>
  <c r="CU38" i="37"/>
  <c r="CV37" i="37"/>
  <c r="CT64" i="37"/>
  <c r="CT39" i="37"/>
  <c r="CT34" i="37"/>
  <c r="CT94" i="37" s="1"/>
  <c r="DY34" i="37"/>
  <c r="DX94" i="37"/>
  <c r="CR89" i="37"/>
  <c r="CR96" i="37" s="1"/>
  <c r="CS88" i="37"/>
  <c r="DF20" i="35"/>
  <c r="DE19" i="35"/>
  <c r="DE17" i="35"/>
  <c r="CM94" i="35"/>
  <c r="CM77" i="35"/>
  <c r="CM40" i="35"/>
  <c r="CO64" i="35"/>
  <c r="CO39" i="35"/>
  <c r="CO34" i="35"/>
  <c r="CO94" i="35" s="1"/>
  <c r="CN64" i="35"/>
  <c r="CN39" i="35"/>
  <c r="CN34" i="35"/>
  <c r="CS77" i="35"/>
  <c r="CS76" i="35" s="1"/>
  <c r="CS40" i="35"/>
  <c r="CU38" i="35"/>
  <c r="CV37" i="35"/>
  <c r="CT64" i="35"/>
  <c r="CT39" i="35"/>
  <c r="CT34" i="35"/>
  <c r="CT94" i="35" s="1"/>
  <c r="DY34" i="35"/>
  <c r="DX94" i="35"/>
  <c r="CR89" i="35"/>
  <c r="CR96" i="35" s="1"/>
  <c r="CS88" i="35"/>
  <c r="DL11" i="33"/>
  <c r="DM11" i="33" s="1"/>
  <c r="DN11" i="33" s="1"/>
  <c r="DO11" i="33" s="1"/>
  <c r="DP11" i="33" s="1"/>
  <c r="DQ11" i="33" s="1"/>
  <c r="DR11" i="33" s="1"/>
  <c r="DS11" i="33" s="1"/>
  <c r="DT11" i="33" s="1"/>
  <c r="DU11" i="33" s="1"/>
  <c r="DV11" i="33" s="1"/>
  <c r="DW11" i="33" s="1"/>
  <c r="DF20" i="34"/>
  <c r="DF19" i="34" s="1"/>
  <c r="DE17" i="34"/>
  <c r="CM94" i="34"/>
  <c r="CM77" i="34"/>
  <c r="CM40" i="34"/>
  <c r="CO64" i="34"/>
  <c r="CO39" i="34"/>
  <c r="CO34" i="34"/>
  <c r="CO94" i="34" s="1"/>
  <c r="CN64" i="34"/>
  <c r="CN39" i="34"/>
  <c r="CN34" i="34"/>
  <c r="CS77" i="34"/>
  <c r="CS76" i="34" s="1"/>
  <c r="CS40" i="34"/>
  <c r="CU38" i="34"/>
  <c r="CV37" i="34"/>
  <c r="CT64" i="34"/>
  <c r="CT39" i="34"/>
  <c r="CT34" i="34"/>
  <c r="CT94" i="34" s="1"/>
  <c r="DY34" i="34"/>
  <c r="DX94" i="34"/>
  <c r="CR89" i="34"/>
  <c r="CR96" i="34" s="1"/>
  <c r="CS88" i="34"/>
  <c r="DC20" i="33"/>
  <c r="DC19" i="33" s="1"/>
  <c r="DB17" i="33"/>
  <c r="CM94" i="33"/>
  <c r="CM77" i="33"/>
  <c r="CM40" i="33"/>
  <c r="CO64" i="33"/>
  <c r="CO39" i="33"/>
  <c r="CO34" i="33"/>
  <c r="CO94" i="33" s="1"/>
  <c r="CN64" i="33"/>
  <c r="CN39" i="33"/>
  <c r="CN34" i="33"/>
  <c r="CS77" i="33"/>
  <c r="CS76" i="33" s="1"/>
  <c r="CS40" i="33"/>
  <c r="CU38" i="33"/>
  <c r="CV37" i="33"/>
  <c r="CT64" i="33"/>
  <c r="CT39" i="33"/>
  <c r="CT34" i="33"/>
  <c r="CT94" i="33" s="1"/>
  <c r="DY34" i="33"/>
  <c r="DX94" i="33"/>
  <c r="CR89" i="33"/>
  <c r="CR96" i="33" s="1"/>
  <c r="CS88" i="33"/>
  <c r="DY33" i="30"/>
  <c r="DX93" i="30"/>
  <c r="DB19" i="32"/>
  <c r="DA17" i="32"/>
  <c r="DA90" i="32" s="1"/>
  <c r="CM93" i="32"/>
  <c r="CM76" i="32"/>
  <c r="CM39" i="32"/>
  <c r="CO63" i="32"/>
  <c r="CO38" i="32"/>
  <c r="CO33" i="32"/>
  <c r="CO93" i="32" s="1"/>
  <c r="CN63" i="32"/>
  <c r="CN38" i="32"/>
  <c r="CN33" i="32"/>
  <c r="CS76" i="32"/>
  <c r="CS75" i="32" s="1"/>
  <c r="CS39" i="32"/>
  <c r="CU37" i="32"/>
  <c r="CV36" i="32"/>
  <c r="CT63" i="32"/>
  <c r="CT38" i="32"/>
  <c r="CT33" i="32"/>
  <c r="CT93" i="32" s="1"/>
  <c r="DY33" i="32"/>
  <c r="DX93" i="32"/>
  <c r="CR88" i="32"/>
  <c r="CR95" i="32" s="1"/>
  <c r="CS87" i="32"/>
  <c r="DE95" i="30"/>
  <c r="DF84" i="30"/>
  <c r="DD93" i="30"/>
  <c r="DD79" i="30"/>
  <c r="DD11" i="30" s="1"/>
  <c r="DD92" i="30"/>
  <c r="CB16" i="14"/>
  <c r="CD33" i="30"/>
  <c r="CD63" i="30"/>
  <c r="CD27" i="29"/>
  <c r="CD57" i="29"/>
  <c r="CD27" i="28"/>
  <c r="CD57" i="28"/>
  <c r="CD27" i="27"/>
  <c r="CD57" i="27"/>
  <c r="CD27" i="26"/>
  <c r="CD57" i="26"/>
  <c r="CD65" i="23"/>
  <c r="CD76" i="23"/>
  <c r="CD27" i="22"/>
  <c r="CD57" i="22"/>
  <c r="CD65" i="16"/>
  <c r="CD76" i="16"/>
  <c r="CC33" i="30"/>
  <c r="CC63" i="30"/>
  <c r="CC27" i="29"/>
  <c r="CC57" i="29"/>
  <c r="CC27" i="28"/>
  <c r="CC57" i="28"/>
  <c r="CC27" i="27"/>
  <c r="CC57" i="27"/>
  <c r="CC27" i="26"/>
  <c r="CC57" i="26"/>
  <c r="CC65" i="23"/>
  <c r="CC76" i="23"/>
  <c r="CC77" i="23" s="1"/>
  <c r="CD77" i="23" s="1"/>
  <c r="CC10" i="23"/>
  <c r="CC27" i="22"/>
  <c r="CC57" i="22"/>
  <c r="CC65" i="16"/>
  <c r="CC76" i="16"/>
  <c r="CC77" i="16" s="1"/>
  <c r="CD77" i="16" s="1"/>
  <c r="CC10" i="16"/>
  <c r="CH34" i="30"/>
  <c r="CI34" i="30" s="1"/>
  <c r="CH28" i="29"/>
  <c r="CI28" i="29" s="1"/>
  <c r="CH28" i="28"/>
  <c r="CI28" i="28" s="1"/>
  <c r="CH28" i="27"/>
  <c r="CI28" i="27" s="1"/>
  <c r="CH28" i="26"/>
  <c r="CI28" i="26" s="1"/>
  <c r="CE33" i="30"/>
  <c r="CE63" i="30"/>
  <c r="CE27" i="29"/>
  <c r="CE57" i="29"/>
  <c r="CE27" i="28"/>
  <c r="CE57" i="28"/>
  <c r="CE27" i="27"/>
  <c r="CE57" i="27"/>
  <c r="CE27" i="26"/>
  <c r="CE57" i="26"/>
  <c r="CE65" i="23"/>
  <c r="CS23" i="23"/>
  <c r="CS65" i="23" s="1"/>
  <c r="CV65" i="23" s="1"/>
  <c r="CE76" i="23"/>
  <c r="CE13" i="23"/>
  <c r="CE11" i="23"/>
  <c r="CF11" i="23" s="1"/>
  <c r="CG11" i="23" s="1"/>
  <c r="CH11" i="23" s="1"/>
  <c r="CE27" i="22"/>
  <c r="CE57" i="22"/>
  <c r="CS23" i="16"/>
  <c r="CS65" i="16" s="1"/>
  <c r="CE65" i="16"/>
  <c r="CE11" i="16"/>
  <c r="CF11" i="16" s="1"/>
  <c r="CG11" i="16" s="1"/>
  <c r="CH11" i="16" s="1"/>
  <c r="CE13" i="16"/>
  <c r="CE76" i="16"/>
  <c r="CM93" i="30"/>
  <c r="CM76" i="30"/>
  <c r="CM39" i="30"/>
  <c r="CO63" i="30"/>
  <c r="CO38" i="30"/>
  <c r="CO33" i="30"/>
  <c r="CO93" i="30" s="1"/>
  <c r="CN63" i="30"/>
  <c r="CN38" i="30"/>
  <c r="CN33" i="30"/>
  <c r="CS75" i="30"/>
  <c r="CS39" i="30"/>
  <c r="CU37" i="30"/>
  <c r="CU33" i="30" s="1"/>
  <c r="CV36" i="30"/>
  <c r="CT63" i="30"/>
  <c r="CT38" i="30"/>
  <c r="CT76" i="30" s="1"/>
  <c r="CT19" i="30" s="1"/>
  <c r="CT17" i="30" s="1"/>
  <c r="CT33" i="30"/>
  <c r="CT93" i="30" s="1"/>
  <c r="CR88" i="30"/>
  <c r="CR95" i="30" s="1"/>
  <c r="CS87" i="30"/>
  <c r="CO27" i="22"/>
  <c r="CO82" i="22" s="1"/>
  <c r="CO32" i="22"/>
  <c r="CO33" i="22"/>
  <c r="CO57" i="22"/>
  <c r="CN15" i="22"/>
  <c r="CO15" i="22" s="1"/>
  <c r="CP15" i="22" s="1"/>
  <c r="CN25" i="22"/>
  <c r="CO25" i="22" s="1"/>
  <c r="CP25" i="22" s="1"/>
  <c r="CN10" i="22"/>
  <c r="CN82" i="22"/>
  <c r="CZ82" i="22"/>
  <c r="CZ81" i="22"/>
  <c r="CZ72" i="22"/>
  <c r="DB73" i="22"/>
  <c r="CP22" i="29"/>
  <c r="CQ15" i="29"/>
  <c r="CU86" i="29"/>
  <c r="CU82" i="29"/>
  <c r="CU81" i="29"/>
  <c r="CV71" i="29"/>
  <c r="CY73" i="29"/>
  <c r="CX71" i="29"/>
  <c r="CU10" i="29"/>
  <c r="CR77" i="29"/>
  <c r="CR84" i="29" s="1"/>
  <c r="CS76" i="29"/>
  <c r="CP22" i="28"/>
  <c r="CQ15" i="28"/>
  <c r="CR77" i="28"/>
  <c r="CS76" i="28"/>
  <c r="CO22" i="27"/>
  <c r="CP15" i="27"/>
  <c r="CR77" i="27"/>
  <c r="CS76" i="27"/>
  <c r="CO22" i="26"/>
  <c r="CP15" i="26"/>
  <c r="CR77" i="26"/>
  <c r="CS76" i="26"/>
  <c r="BV65" i="23"/>
  <c r="CH65" i="23" s="1"/>
  <c r="CH23" i="23"/>
  <c r="BV70" i="22"/>
  <c r="CH27" i="22"/>
  <c r="BV65" i="16"/>
  <c r="CH65" i="16" s="1"/>
  <c r="CH23" i="16"/>
  <c r="CJ16" i="14"/>
  <c r="CJ58" i="14" s="1"/>
  <c r="BV58" i="14"/>
  <c r="CJ16" i="11"/>
  <c r="BV58" i="11"/>
  <c r="BV69" i="11"/>
  <c r="CG23" i="22"/>
  <c r="CH15" i="22"/>
  <c r="CD25" i="22"/>
  <c r="CO68" i="16"/>
  <c r="CN66" i="16"/>
  <c r="CN67" i="16" s="1"/>
  <c r="CC19" i="16"/>
  <c r="CC20" i="16" s="1"/>
  <c r="CR16" i="14"/>
  <c r="CD58" i="14"/>
  <c r="CQ16" i="14"/>
  <c r="CC58" i="14"/>
  <c r="CT16" i="14"/>
  <c r="CF58" i="14"/>
  <c r="CS16" i="14"/>
  <c r="CE58" i="14"/>
  <c r="CU16" i="14"/>
  <c r="CG58" i="14"/>
  <c r="CA58" i="13"/>
  <c r="CO16" i="13"/>
  <c r="CO16" i="11"/>
  <c r="CA58" i="11"/>
  <c r="CP16" i="14"/>
  <c r="CH16" i="14"/>
  <c r="BZ58" i="13"/>
  <c r="CN16" i="13"/>
  <c r="CN16" i="11"/>
  <c r="BZ58" i="11"/>
  <c r="BY58" i="13"/>
  <c r="CM16" i="13"/>
  <c r="BY69" i="13"/>
  <c r="BY58" i="12"/>
  <c r="BY69" i="12"/>
  <c r="CM16" i="11"/>
  <c r="BY58" i="11"/>
  <c r="BY69" i="11"/>
  <c r="CH17" i="14"/>
  <c r="CI17" i="14" s="1"/>
  <c r="CH17" i="13"/>
  <c r="CI17" i="13" s="1"/>
  <c r="BX16" i="13"/>
  <c r="BX45" i="13"/>
  <c r="CH17" i="12"/>
  <c r="CI17" i="12" s="1"/>
  <c r="BX16" i="12"/>
  <c r="BX45" i="12"/>
  <c r="CH17" i="11"/>
  <c r="CI17" i="11" s="1"/>
  <c r="BX16" i="11"/>
  <c r="BX45" i="11"/>
  <c r="BX6" i="8"/>
  <c r="BX69" i="8"/>
  <c r="BX58" i="8"/>
  <c r="CH16" i="8"/>
  <c r="BZ14" i="14"/>
  <c r="BZ11" i="14"/>
  <c r="CH18" i="8"/>
  <c r="BF69" i="8"/>
  <c r="BF55" i="8"/>
  <c r="BF54" i="8"/>
  <c r="BX14" i="9"/>
  <c r="BX11" i="9"/>
  <c r="BY6" i="9"/>
  <c r="AG15" i="9"/>
  <c r="AG47" i="9" s="1"/>
  <c r="AR47" i="9" s="1"/>
  <c r="AR16" i="9"/>
  <c r="BG16" i="9" s="1"/>
  <c r="BG14" i="9" s="1"/>
  <c r="AH54" i="9"/>
  <c r="AR54" i="9" s="1"/>
  <c r="AH69" i="9"/>
  <c r="AR69" i="9" s="1"/>
  <c r="CI17" i="8"/>
  <c r="AG15" i="8"/>
  <c r="AG47" i="8" s="1"/>
  <c r="AR47" i="8" s="1"/>
  <c r="AR16" i="8"/>
  <c r="BG16" i="8" s="1"/>
  <c r="BG14" i="8" s="1"/>
  <c r="AH54" i="8"/>
  <c r="AR54" i="8" s="1"/>
  <c r="AH69" i="8"/>
  <c r="AR69" i="8" s="1"/>
  <c r="T67" i="4"/>
  <c r="AD16" i="4"/>
  <c r="AD67" i="4" s="1"/>
  <c r="BF54" i="6"/>
  <c r="BJ14" i="6"/>
  <c r="BK6" i="6"/>
  <c r="BJ11" i="6"/>
  <c r="BJ15" i="6"/>
  <c r="BJ14" i="5"/>
  <c r="BJ11" i="5"/>
  <c r="BJ15" i="5"/>
  <c r="BK6" i="5"/>
  <c r="BS14" i="2"/>
  <c r="BT14" i="2" s="1"/>
  <c r="BS11" i="2"/>
  <c r="BT11" i="2" s="1"/>
  <c r="BT6" i="2"/>
  <c r="BK14" i="4"/>
  <c r="BK11" i="4"/>
  <c r="BK15" i="4"/>
  <c r="BL6" i="4"/>
  <c r="AR16" i="4"/>
  <c r="AH67" i="4"/>
  <c r="AR67" i="4" s="1"/>
  <c r="AG15" i="4"/>
  <c r="AG47" i="4" s="1"/>
  <c r="AR47" i="4" s="1"/>
  <c r="AH54" i="4"/>
  <c r="AR54" i="4" s="1"/>
  <c r="BH55" i="2"/>
  <c r="BT54" i="2"/>
  <c r="BT55" i="2" s="1"/>
  <c r="AV55" i="4"/>
  <c r="BF55" i="4" s="1"/>
  <c r="BF54" i="4"/>
  <c r="BQ59" i="7"/>
  <c r="BQ58" i="7" s="1"/>
  <c r="BQ57" i="7" s="1"/>
  <c r="BP58" i="7"/>
  <c r="BP57" i="7" s="1"/>
  <c r="BX58" i="5"/>
  <c r="BX57" i="5" s="1"/>
  <c r="BY59" i="5"/>
  <c r="BG16" i="4"/>
  <c r="BG14" i="4" s="1"/>
  <c r="AH67" i="2"/>
  <c r="AR67" i="2" s="1"/>
  <c r="AH54" i="2"/>
  <c r="AR54" i="2" s="1"/>
  <c r="AR16" i="2"/>
  <c r="BG16" i="2" s="1"/>
  <c r="BG14" i="2" s="1"/>
  <c r="AG15" i="2"/>
  <c r="AG47" i="2" s="1"/>
  <c r="AR47" i="2" s="1"/>
  <c r="BK15" i="7"/>
  <c r="BK14" i="7"/>
  <c r="BK11" i="7"/>
  <c r="BL6" i="7"/>
  <c r="BT58" i="7"/>
  <c r="T67" i="7"/>
  <c r="AD16" i="7"/>
  <c r="AD67" i="7" s="1"/>
  <c r="BT67" i="2"/>
  <c r="BT57" i="7"/>
  <c r="AR16" i="7"/>
  <c r="BG16" i="7" s="1"/>
  <c r="BG14" i="7" s="1"/>
  <c r="AG15" i="7"/>
  <c r="AG47" i="7" s="1"/>
  <c r="AR47" i="7" s="1"/>
  <c r="AH67" i="7"/>
  <c r="AR67" i="7" s="1"/>
  <c r="AH54" i="7"/>
  <c r="AR54" i="7" s="1"/>
  <c r="BW57" i="5"/>
  <c r="CS90" i="40" l="1"/>
  <c r="CS97" i="40" s="1"/>
  <c r="CT89" i="40"/>
  <c r="DO95" i="40"/>
  <c r="DO85" i="40"/>
  <c r="DO81" i="40"/>
  <c r="DO97" i="40"/>
  <c r="DO94" i="40"/>
  <c r="DQ86" i="40"/>
  <c r="DP82" i="40"/>
  <c r="DN12" i="40"/>
  <c r="DO12" i="40" s="1"/>
  <c r="CT78" i="40"/>
  <c r="CT41" i="40"/>
  <c r="CU65" i="40"/>
  <c r="CU40" i="40"/>
  <c r="CU35" i="40"/>
  <c r="CU95" i="40" s="1"/>
  <c r="CV39" i="40"/>
  <c r="CN11" i="40"/>
  <c r="CO11" i="40" s="1"/>
  <c r="CP11" i="40" s="1"/>
  <c r="CQ11" i="40" s="1"/>
  <c r="CR11" i="40" s="1"/>
  <c r="CS11" i="40" s="1"/>
  <c r="CT11" i="40" s="1"/>
  <c r="CU11" i="40" s="1"/>
  <c r="CX11" i="40" s="1"/>
  <c r="CY11" i="40" s="1"/>
  <c r="CZ11" i="40" s="1"/>
  <c r="DA11" i="40" s="1"/>
  <c r="DB11" i="40" s="1"/>
  <c r="DC11" i="40" s="1"/>
  <c r="DD11" i="40" s="1"/>
  <c r="DE11" i="40" s="1"/>
  <c r="DF11" i="40" s="1"/>
  <c r="DG11" i="40" s="1"/>
  <c r="DH11" i="40" s="1"/>
  <c r="DI11" i="40" s="1"/>
  <c r="DL11" i="40" s="1"/>
  <c r="DM11" i="40" s="1"/>
  <c r="DN11" i="40" s="1"/>
  <c r="DO11" i="40" s="1"/>
  <c r="DP11" i="40" s="1"/>
  <c r="CN32" i="40"/>
  <c r="CO32" i="40" s="1"/>
  <c r="CP32" i="40" s="1"/>
  <c r="CQ32" i="40" s="1"/>
  <c r="CR32" i="40" s="1"/>
  <c r="CS32" i="40" s="1"/>
  <c r="CT32" i="40" s="1"/>
  <c r="CU32" i="40" s="1"/>
  <c r="CX32" i="40" s="1"/>
  <c r="CY32" i="40" s="1"/>
  <c r="CZ32" i="40" s="1"/>
  <c r="DA32" i="40" s="1"/>
  <c r="DB32" i="40" s="1"/>
  <c r="DC32" i="40" s="1"/>
  <c r="DD32" i="40" s="1"/>
  <c r="DE32" i="40" s="1"/>
  <c r="DF32" i="40" s="1"/>
  <c r="DG32" i="40" s="1"/>
  <c r="DH32" i="40" s="1"/>
  <c r="DI32" i="40" s="1"/>
  <c r="CN95" i="40"/>
  <c r="CN21" i="40"/>
  <c r="CV35" i="40"/>
  <c r="CV95" i="40" s="1"/>
  <c r="CN78" i="40"/>
  <c r="CV40" i="40"/>
  <c r="CN41" i="40"/>
  <c r="CV65" i="40"/>
  <c r="CO78" i="40"/>
  <c r="CO41" i="40"/>
  <c r="DF21" i="40"/>
  <c r="DE20" i="40"/>
  <c r="DE18" i="40"/>
  <c r="CS90" i="39"/>
  <c r="CS97" i="39" s="1"/>
  <c r="CT89" i="39"/>
  <c r="CT78" i="39"/>
  <c r="CT41" i="39"/>
  <c r="CU65" i="39"/>
  <c r="CU40" i="39"/>
  <c r="CU35" i="39"/>
  <c r="CU95" i="39" s="1"/>
  <c r="CV39" i="39"/>
  <c r="CN11" i="39"/>
  <c r="CO11" i="39" s="1"/>
  <c r="CP11" i="39" s="1"/>
  <c r="CQ11" i="39" s="1"/>
  <c r="CR11" i="39" s="1"/>
  <c r="CS11" i="39" s="1"/>
  <c r="CT11" i="39" s="1"/>
  <c r="CU11" i="39" s="1"/>
  <c r="CX11" i="39" s="1"/>
  <c r="CY11" i="39" s="1"/>
  <c r="CZ11" i="39" s="1"/>
  <c r="DA11" i="39" s="1"/>
  <c r="DB11" i="39" s="1"/>
  <c r="DC11" i="39" s="1"/>
  <c r="DD11" i="39" s="1"/>
  <c r="DE11" i="39" s="1"/>
  <c r="DF11" i="39" s="1"/>
  <c r="DG11" i="39" s="1"/>
  <c r="DH11" i="39" s="1"/>
  <c r="DI11" i="39" s="1"/>
  <c r="CN32" i="39"/>
  <c r="CO32" i="39" s="1"/>
  <c r="CP32" i="39" s="1"/>
  <c r="CQ32" i="39" s="1"/>
  <c r="CR32" i="39" s="1"/>
  <c r="CS32" i="39" s="1"/>
  <c r="CT32" i="39" s="1"/>
  <c r="CU32" i="39" s="1"/>
  <c r="CX32" i="39" s="1"/>
  <c r="CY32" i="39" s="1"/>
  <c r="CZ32" i="39" s="1"/>
  <c r="DA32" i="39" s="1"/>
  <c r="DB32" i="39" s="1"/>
  <c r="DC32" i="39" s="1"/>
  <c r="DD32" i="39" s="1"/>
  <c r="DE32" i="39" s="1"/>
  <c r="DF32" i="39" s="1"/>
  <c r="DG32" i="39" s="1"/>
  <c r="DH32" i="39" s="1"/>
  <c r="DI32" i="39" s="1"/>
  <c r="CN95" i="39"/>
  <c r="CN21" i="39"/>
  <c r="CV35" i="39"/>
  <c r="CV95" i="39" s="1"/>
  <c r="CN78" i="39"/>
  <c r="CV40" i="39"/>
  <c r="CN41" i="39"/>
  <c r="CV65" i="39"/>
  <c r="CO78" i="39"/>
  <c r="CO41" i="39"/>
  <c r="DF21" i="39"/>
  <c r="DE20" i="39"/>
  <c r="DE18" i="39"/>
  <c r="CS89" i="38"/>
  <c r="CS96" i="38" s="1"/>
  <c r="CT88" i="38"/>
  <c r="CT77" i="38"/>
  <c r="CT40" i="38"/>
  <c r="CU64" i="38"/>
  <c r="CU39" i="38"/>
  <c r="CU34" i="38"/>
  <c r="CU94" i="38" s="1"/>
  <c r="CV38" i="38"/>
  <c r="CN10" i="38"/>
  <c r="CO10" i="38" s="1"/>
  <c r="CP10" i="38" s="1"/>
  <c r="CQ10" i="38" s="1"/>
  <c r="CR10" i="38" s="1"/>
  <c r="CS10" i="38" s="1"/>
  <c r="CT10" i="38" s="1"/>
  <c r="CU10" i="38" s="1"/>
  <c r="CX10" i="38" s="1"/>
  <c r="CY10" i="38" s="1"/>
  <c r="CZ10" i="38" s="1"/>
  <c r="DA10" i="38" s="1"/>
  <c r="DB10" i="38" s="1"/>
  <c r="DC10" i="38" s="1"/>
  <c r="DD10" i="38" s="1"/>
  <c r="DE10" i="38" s="1"/>
  <c r="DF10" i="38" s="1"/>
  <c r="DG10" i="38" s="1"/>
  <c r="DH10" i="38" s="1"/>
  <c r="DI10" i="38" s="1"/>
  <c r="DL10" i="38" s="1"/>
  <c r="DM10" i="38" s="1"/>
  <c r="DN10" i="38" s="1"/>
  <c r="DO10" i="38" s="1"/>
  <c r="DP10" i="38" s="1"/>
  <c r="DQ10" i="38" s="1"/>
  <c r="DR10" i="38" s="1"/>
  <c r="DS10" i="38" s="1"/>
  <c r="DT10" i="38" s="1"/>
  <c r="DU10" i="38" s="1"/>
  <c r="DV10" i="38" s="1"/>
  <c r="DW10" i="38" s="1"/>
  <c r="CN31" i="38"/>
  <c r="CO31" i="38" s="1"/>
  <c r="CP31" i="38" s="1"/>
  <c r="CQ31" i="38" s="1"/>
  <c r="CR31" i="38" s="1"/>
  <c r="CS31" i="38" s="1"/>
  <c r="CT31" i="38" s="1"/>
  <c r="CU31" i="38" s="1"/>
  <c r="CX31" i="38" s="1"/>
  <c r="CY31" i="38" s="1"/>
  <c r="CZ31" i="38" s="1"/>
  <c r="DA31" i="38" s="1"/>
  <c r="DB31" i="38" s="1"/>
  <c r="DC31" i="38" s="1"/>
  <c r="DD31" i="38" s="1"/>
  <c r="DE31" i="38" s="1"/>
  <c r="DF31" i="38" s="1"/>
  <c r="DG31" i="38" s="1"/>
  <c r="DH31" i="38" s="1"/>
  <c r="DI31" i="38" s="1"/>
  <c r="CN94" i="38"/>
  <c r="CN20" i="38"/>
  <c r="CV34" i="38"/>
  <c r="CV94" i="38" s="1"/>
  <c r="CN77" i="38"/>
  <c r="CV39" i="38"/>
  <c r="CN40" i="38"/>
  <c r="CV64" i="38"/>
  <c r="CO77" i="38"/>
  <c r="CO40" i="38"/>
  <c r="DE17" i="38"/>
  <c r="DN21" i="37"/>
  <c r="DM18" i="37"/>
  <c r="CS89" i="37"/>
  <c r="CS96" i="37" s="1"/>
  <c r="CT88" i="37"/>
  <c r="CT77" i="37"/>
  <c r="CT40" i="37"/>
  <c r="CU64" i="37"/>
  <c r="CU39" i="37"/>
  <c r="CU34" i="37"/>
  <c r="CU94" i="37" s="1"/>
  <c r="CV38" i="37"/>
  <c r="CN10" i="37"/>
  <c r="CO10" i="37" s="1"/>
  <c r="CP10" i="37" s="1"/>
  <c r="CQ10" i="37" s="1"/>
  <c r="CR10" i="37" s="1"/>
  <c r="CS10" i="37" s="1"/>
  <c r="CT10" i="37" s="1"/>
  <c r="CU10" i="37" s="1"/>
  <c r="CX10" i="37" s="1"/>
  <c r="CY10" i="37" s="1"/>
  <c r="CZ10" i="37" s="1"/>
  <c r="DA10" i="37" s="1"/>
  <c r="DB10" i="37" s="1"/>
  <c r="DC10" i="37" s="1"/>
  <c r="DD10" i="37" s="1"/>
  <c r="DE10" i="37" s="1"/>
  <c r="DF10" i="37" s="1"/>
  <c r="DG10" i="37" s="1"/>
  <c r="DH10" i="37" s="1"/>
  <c r="DI10" i="37" s="1"/>
  <c r="DL10" i="37" s="1"/>
  <c r="DM10" i="37" s="1"/>
  <c r="DN10" i="37" s="1"/>
  <c r="DO10" i="37" s="1"/>
  <c r="DP10" i="37" s="1"/>
  <c r="DQ10" i="37" s="1"/>
  <c r="DR10" i="37" s="1"/>
  <c r="DS10" i="37" s="1"/>
  <c r="DT10" i="37" s="1"/>
  <c r="DU10" i="37" s="1"/>
  <c r="DV10" i="37" s="1"/>
  <c r="DW10" i="37" s="1"/>
  <c r="CN31" i="37"/>
  <c r="CO31" i="37" s="1"/>
  <c r="CP31" i="37" s="1"/>
  <c r="CQ31" i="37" s="1"/>
  <c r="CR31" i="37" s="1"/>
  <c r="CS31" i="37" s="1"/>
  <c r="CT31" i="37" s="1"/>
  <c r="CU31" i="37" s="1"/>
  <c r="CX31" i="37" s="1"/>
  <c r="CY31" i="37" s="1"/>
  <c r="CZ31" i="37" s="1"/>
  <c r="DA31" i="37" s="1"/>
  <c r="DB31" i="37" s="1"/>
  <c r="DC31" i="37" s="1"/>
  <c r="DD31" i="37" s="1"/>
  <c r="DE31" i="37" s="1"/>
  <c r="DF31" i="37" s="1"/>
  <c r="DG31" i="37" s="1"/>
  <c r="DH31" i="37" s="1"/>
  <c r="DI31" i="37" s="1"/>
  <c r="CN94" i="37"/>
  <c r="CN20" i="37"/>
  <c r="CV34" i="37"/>
  <c r="CV94" i="37" s="1"/>
  <c r="CN77" i="37"/>
  <c r="CV39" i="37"/>
  <c r="CN40" i="37"/>
  <c r="CV64" i="37"/>
  <c r="CO77" i="37"/>
  <c r="CO40" i="37"/>
  <c r="DG20" i="37"/>
  <c r="DF19" i="37"/>
  <c r="DF17" i="37"/>
  <c r="CS89" i="35"/>
  <c r="CS96" i="35" s="1"/>
  <c r="CT88" i="35"/>
  <c r="CT77" i="35"/>
  <c r="CT40" i="35"/>
  <c r="CU64" i="35"/>
  <c r="CU39" i="35"/>
  <c r="CU34" i="35"/>
  <c r="CU94" i="35" s="1"/>
  <c r="CV38" i="35"/>
  <c r="CN10" i="35"/>
  <c r="CO10" i="35" s="1"/>
  <c r="CP10" i="35" s="1"/>
  <c r="CQ10" i="35" s="1"/>
  <c r="CR10" i="35" s="1"/>
  <c r="CS10" i="35" s="1"/>
  <c r="CT10" i="35" s="1"/>
  <c r="CU10" i="35" s="1"/>
  <c r="CX10" i="35" s="1"/>
  <c r="CY10" i="35" s="1"/>
  <c r="CZ10" i="35" s="1"/>
  <c r="DA10" i="35" s="1"/>
  <c r="DB10" i="35" s="1"/>
  <c r="DC10" i="35" s="1"/>
  <c r="DD10" i="35" s="1"/>
  <c r="DE10" i="35" s="1"/>
  <c r="DF10" i="35" s="1"/>
  <c r="DG10" i="35" s="1"/>
  <c r="DH10" i="35" s="1"/>
  <c r="DI10" i="35" s="1"/>
  <c r="DL10" i="35" s="1"/>
  <c r="DM10" i="35" s="1"/>
  <c r="DN10" i="35" s="1"/>
  <c r="DO10" i="35" s="1"/>
  <c r="DP10" i="35" s="1"/>
  <c r="DQ10" i="35" s="1"/>
  <c r="DR10" i="35" s="1"/>
  <c r="DS10" i="35" s="1"/>
  <c r="DT10" i="35" s="1"/>
  <c r="DU10" i="35" s="1"/>
  <c r="DV10" i="35" s="1"/>
  <c r="DW10" i="35" s="1"/>
  <c r="CN31" i="35"/>
  <c r="CO31" i="35" s="1"/>
  <c r="CP31" i="35" s="1"/>
  <c r="CQ31" i="35" s="1"/>
  <c r="CR31" i="35" s="1"/>
  <c r="CS31" i="35" s="1"/>
  <c r="CT31" i="35" s="1"/>
  <c r="CU31" i="35" s="1"/>
  <c r="CX31" i="35" s="1"/>
  <c r="CY31" i="35" s="1"/>
  <c r="CZ31" i="35" s="1"/>
  <c r="DA31" i="35" s="1"/>
  <c r="DB31" i="35" s="1"/>
  <c r="DC31" i="35" s="1"/>
  <c r="DD31" i="35" s="1"/>
  <c r="DE31" i="35" s="1"/>
  <c r="DF31" i="35" s="1"/>
  <c r="DG31" i="35" s="1"/>
  <c r="DH31" i="35" s="1"/>
  <c r="DI31" i="35" s="1"/>
  <c r="CN94" i="35"/>
  <c r="CN20" i="35"/>
  <c r="CV34" i="35"/>
  <c r="CN77" i="35"/>
  <c r="CV39" i="35"/>
  <c r="CN40" i="35"/>
  <c r="CV64" i="35"/>
  <c r="CO77" i="35"/>
  <c r="CO40" i="35"/>
  <c r="DG20" i="35"/>
  <c r="DF19" i="35"/>
  <c r="DF17" i="35"/>
  <c r="CS89" i="34"/>
  <c r="CS96" i="34" s="1"/>
  <c r="CT88" i="34"/>
  <c r="CT77" i="34"/>
  <c r="CT40" i="34"/>
  <c r="CU64" i="34"/>
  <c r="CU39" i="34"/>
  <c r="CU34" i="34"/>
  <c r="CU94" i="34" s="1"/>
  <c r="CV38" i="34"/>
  <c r="DK38" i="34" s="1"/>
  <c r="CN10" i="34"/>
  <c r="CO10" i="34" s="1"/>
  <c r="CP10" i="34" s="1"/>
  <c r="CQ10" i="34" s="1"/>
  <c r="CR10" i="34" s="1"/>
  <c r="CS10" i="34" s="1"/>
  <c r="CT10" i="34" s="1"/>
  <c r="CU10" i="34" s="1"/>
  <c r="CX10" i="34" s="1"/>
  <c r="CY10" i="34" s="1"/>
  <c r="CZ10" i="34" s="1"/>
  <c r="DA10" i="34" s="1"/>
  <c r="DB10" i="34" s="1"/>
  <c r="DC10" i="34" s="1"/>
  <c r="DD10" i="34" s="1"/>
  <c r="DE10" i="34" s="1"/>
  <c r="DF10" i="34" s="1"/>
  <c r="DG10" i="34" s="1"/>
  <c r="DH10" i="34" s="1"/>
  <c r="DI10" i="34" s="1"/>
  <c r="DL10" i="34" s="1"/>
  <c r="DM10" i="34" s="1"/>
  <c r="DN10" i="34" s="1"/>
  <c r="DO10" i="34" s="1"/>
  <c r="DP10" i="34" s="1"/>
  <c r="DQ10" i="34" s="1"/>
  <c r="DR10" i="34" s="1"/>
  <c r="DS10" i="34" s="1"/>
  <c r="DT10" i="34" s="1"/>
  <c r="DU10" i="34" s="1"/>
  <c r="DV10" i="34" s="1"/>
  <c r="DW10" i="34" s="1"/>
  <c r="CN31" i="34"/>
  <c r="CO31" i="34" s="1"/>
  <c r="CP31" i="34" s="1"/>
  <c r="CQ31" i="34" s="1"/>
  <c r="CR31" i="34" s="1"/>
  <c r="CS31" i="34" s="1"/>
  <c r="CT31" i="34" s="1"/>
  <c r="CU31" i="34" s="1"/>
  <c r="CX31" i="34" s="1"/>
  <c r="CY31" i="34" s="1"/>
  <c r="CZ31" i="34" s="1"/>
  <c r="DA31" i="34" s="1"/>
  <c r="DB31" i="34" s="1"/>
  <c r="DC31" i="34" s="1"/>
  <c r="DD31" i="34" s="1"/>
  <c r="DE31" i="34" s="1"/>
  <c r="DF31" i="34" s="1"/>
  <c r="DG31" i="34" s="1"/>
  <c r="DH31" i="34" s="1"/>
  <c r="DI31" i="34" s="1"/>
  <c r="CN94" i="34"/>
  <c r="CN20" i="34"/>
  <c r="CV34" i="34"/>
  <c r="CN77" i="34"/>
  <c r="CV39" i="34"/>
  <c r="CN40" i="34"/>
  <c r="CV64" i="34"/>
  <c r="CO77" i="34"/>
  <c r="CO40" i="34"/>
  <c r="DG20" i="34"/>
  <c r="DG19" i="34" s="1"/>
  <c r="DF17" i="34"/>
  <c r="CS89" i="33"/>
  <c r="CS96" i="33" s="1"/>
  <c r="CT88" i="33"/>
  <c r="CT77" i="33"/>
  <c r="CT40" i="33"/>
  <c r="CU64" i="33"/>
  <c r="CU39" i="33"/>
  <c r="CU34" i="33"/>
  <c r="CU94" i="33" s="1"/>
  <c r="CV38" i="33"/>
  <c r="CN10" i="33"/>
  <c r="CO10" i="33" s="1"/>
  <c r="CP10" i="33" s="1"/>
  <c r="CQ10" i="33" s="1"/>
  <c r="CR10" i="33" s="1"/>
  <c r="CS10" i="33" s="1"/>
  <c r="CT10" i="33" s="1"/>
  <c r="CU10" i="33" s="1"/>
  <c r="CX10" i="33" s="1"/>
  <c r="CY10" i="33" s="1"/>
  <c r="CZ10" i="33" s="1"/>
  <c r="DA10" i="33" s="1"/>
  <c r="DB10" i="33" s="1"/>
  <c r="DC10" i="33" s="1"/>
  <c r="DD10" i="33" s="1"/>
  <c r="DE10" i="33" s="1"/>
  <c r="DF10" i="33" s="1"/>
  <c r="DG10" i="33" s="1"/>
  <c r="DH10" i="33" s="1"/>
  <c r="DI10" i="33" s="1"/>
  <c r="DL10" i="33" s="1"/>
  <c r="DM10" i="33" s="1"/>
  <c r="DN10" i="33" s="1"/>
  <c r="DO10" i="33" s="1"/>
  <c r="DP10" i="33" s="1"/>
  <c r="DQ10" i="33" s="1"/>
  <c r="DR10" i="33" s="1"/>
  <c r="DS10" i="33" s="1"/>
  <c r="DT10" i="33" s="1"/>
  <c r="DU10" i="33" s="1"/>
  <c r="DV10" i="33" s="1"/>
  <c r="DW10" i="33" s="1"/>
  <c r="CN31" i="33"/>
  <c r="CO31" i="33" s="1"/>
  <c r="CP31" i="33" s="1"/>
  <c r="CQ31" i="33" s="1"/>
  <c r="CR31" i="33" s="1"/>
  <c r="CS31" i="33" s="1"/>
  <c r="CT31" i="33" s="1"/>
  <c r="CU31" i="33" s="1"/>
  <c r="CX31" i="33" s="1"/>
  <c r="CY31" i="33" s="1"/>
  <c r="CZ31" i="33" s="1"/>
  <c r="DA31" i="33" s="1"/>
  <c r="DB31" i="33" s="1"/>
  <c r="DC31" i="33" s="1"/>
  <c r="DD31" i="33" s="1"/>
  <c r="DE31" i="33" s="1"/>
  <c r="DF31" i="33" s="1"/>
  <c r="DG31" i="33" s="1"/>
  <c r="DH31" i="33" s="1"/>
  <c r="DI31" i="33" s="1"/>
  <c r="CN94" i="33"/>
  <c r="CN20" i="33"/>
  <c r="CV34" i="33"/>
  <c r="CN77" i="33"/>
  <c r="CV39" i="33"/>
  <c r="CN40" i="33"/>
  <c r="CV64" i="33"/>
  <c r="CO77" i="33"/>
  <c r="CO40" i="33"/>
  <c r="DD20" i="33"/>
  <c r="DD19" i="33" s="1"/>
  <c r="DC17" i="33"/>
  <c r="DF80" i="30"/>
  <c r="DF79" i="30" s="1"/>
  <c r="CS88" i="32"/>
  <c r="CS95" i="32" s="1"/>
  <c r="CT87" i="32"/>
  <c r="CT76" i="32"/>
  <c r="CT39" i="32"/>
  <c r="CU63" i="32"/>
  <c r="CU38" i="32"/>
  <c r="CU33" i="32"/>
  <c r="CU93" i="32" s="1"/>
  <c r="CV37" i="32"/>
  <c r="DK37" i="32" s="1"/>
  <c r="CN10" i="32"/>
  <c r="CO10" i="32" s="1"/>
  <c r="CP10" i="32" s="1"/>
  <c r="CQ10" i="32" s="1"/>
  <c r="CR10" i="32" s="1"/>
  <c r="CS10" i="32" s="1"/>
  <c r="CT10" i="32" s="1"/>
  <c r="CU10" i="32" s="1"/>
  <c r="CX10" i="32" s="1"/>
  <c r="CY10" i="32" s="1"/>
  <c r="CZ10" i="32" s="1"/>
  <c r="DA10" i="32" s="1"/>
  <c r="DB10" i="32" s="1"/>
  <c r="DC10" i="32" s="1"/>
  <c r="DD10" i="32" s="1"/>
  <c r="DE10" i="32" s="1"/>
  <c r="DF10" i="32" s="1"/>
  <c r="DG10" i="32" s="1"/>
  <c r="DH10" i="32" s="1"/>
  <c r="DI10" i="32" s="1"/>
  <c r="DL10" i="32" s="1"/>
  <c r="DM10" i="32" s="1"/>
  <c r="DN10" i="32" s="1"/>
  <c r="DO10" i="32" s="1"/>
  <c r="DP10" i="32" s="1"/>
  <c r="DQ10" i="32" s="1"/>
  <c r="DR10" i="32" s="1"/>
  <c r="DS10" i="32" s="1"/>
  <c r="DT10" i="32" s="1"/>
  <c r="DU10" i="32" s="1"/>
  <c r="DV10" i="32" s="1"/>
  <c r="DW10" i="32" s="1"/>
  <c r="CN31" i="32"/>
  <c r="CO31" i="32" s="1"/>
  <c r="CP31" i="32" s="1"/>
  <c r="CQ31" i="32" s="1"/>
  <c r="CR31" i="32" s="1"/>
  <c r="CS31" i="32" s="1"/>
  <c r="CT31" i="32" s="1"/>
  <c r="CU31" i="32" s="1"/>
  <c r="CX31" i="32" s="1"/>
  <c r="CY31" i="32" s="1"/>
  <c r="CZ31" i="32" s="1"/>
  <c r="DA31" i="32" s="1"/>
  <c r="DB31" i="32" s="1"/>
  <c r="DC31" i="32" s="1"/>
  <c r="DD31" i="32" s="1"/>
  <c r="DE31" i="32" s="1"/>
  <c r="DF31" i="32" s="1"/>
  <c r="DG31" i="32" s="1"/>
  <c r="DH31" i="32" s="1"/>
  <c r="DI31" i="32" s="1"/>
  <c r="CN93" i="32"/>
  <c r="CN19" i="32"/>
  <c r="CV33" i="32"/>
  <c r="CN76" i="32"/>
  <c r="CV38" i="32"/>
  <c r="CN39" i="32"/>
  <c r="CV63" i="32"/>
  <c r="CO76" i="32"/>
  <c r="CO39" i="32"/>
  <c r="DC19" i="32"/>
  <c r="DB17" i="32"/>
  <c r="DB90" i="32" s="1"/>
  <c r="DF95" i="30"/>
  <c r="DG84" i="30"/>
  <c r="DG80" i="30" s="1"/>
  <c r="DE79" i="30"/>
  <c r="DE11" i="30" s="1"/>
  <c r="DF11" i="30" s="1"/>
  <c r="DE92" i="30"/>
  <c r="DE93" i="30"/>
  <c r="CT74" i="30"/>
  <c r="CE70" i="22"/>
  <c r="CE82" i="22"/>
  <c r="CE19" i="23"/>
  <c r="CE20" i="23" s="1"/>
  <c r="CF13" i="23"/>
  <c r="CE70" i="26"/>
  <c r="CE82" i="26"/>
  <c r="CE70" i="27"/>
  <c r="CE82" i="27"/>
  <c r="CE70" i="28"/>
  <c r="CE82" i="28"/>
  <c r="CE70" i="29"/>
  <c r="CE82" i="29"/>
  <c r="CE76" i="30"/>
  <c r="CE93" i="30"/>
  <c r="CD10" i="16"/>
  <c r="CC21" i="16"/>
  <c r="CC18" i="16"/>
  <c r="CE77" i="16"/>
  <c r="CF77" i="16" s="1"/>
  <c r="CG77" i="16" s="1"/>
  <c r="CC70" i="22"/>
  <c r="CC82" i="22"/>
  <c r="CC83" i="22" s="1"/>
  <c r="CC21" i="23"/>
  <c r="CC18" i="23"/>
  <c r="CD10" i="23"/>
  <c r="CE77" i="23"/>
  <c r="CF77" i="23" s="1"/>
  <c r="CG77" i="23" s="1"/>
  <c r="CC70" i="26"/>
  <c r="CH27" i="26"/>
  <c r="CC82" i="26"/>
  <c r="CC83" i="26" s="1"/>
  <c r="CC70" i="27"/>
  <c r="CH27" i="27"/>
  <c r="CC82" i="27"/>
  <c r="CC83" i="27" s="1"/>
  <c r="CC70" i="28"/>
  <c r="CH27" i="28"/>
  <c r="CC82" i="28"/>
  <c r="CC83" i="28" s="1"/>
  <c r="CC70" i="29"/>
  <c r="CH27" i="29"/>
  <c r="CC82" i="29"/>
  <c r="CC83" i="29" s="1"/>
  <c r="CC76" i="30"/>
  <c r="CH33" i="30"/>
  <c r="CC93" i="30"/>
  <c r="CC94" i="30" s="1"/>
  <c r="CD70" i="22"/>
  <c r="CD82" i="22"/>
  <c r="CD70" i="26"/>
  <c r="CD82" i="26"/>
  <c r="CD70" i="27"/>
  <c r="CD82" i="27"/>
  <c r="CD70" i="28"/>
  <c r="CD82" i="28"/>
  <c r="CD70" i="29"/>
  <c r="CD82" i="29"/>
  <c r="CD76" i="30"/>
  <c r="CD93" i="30"/>
  <c r="CB7" i="14"/>
  <c r="CB6" i="14"/>
  <c r="CC6" i="14" s="1"/>
  <c r="CD6" i="14" s="1"/>
  <c r="CE6" i="14" s="1"/>
  <c r="CF6" i="14" s="1"/>
  <c r="CB69" i="14"/>
  <c r="CB70" i="14" s="1"/>
  <c r="CC70" i="14" s="1"/>
  <c r="CD70" i="14" s="1"/>
  <c r="CE70" i="14" s="1"/>
  <c r="CF70" i="14" s="1"/>
  <c r="CG70" i="14" s="1"/>
  <c r="CB58" i="14"/>
  <c r="CS88" i="30"/>
  <c r="CS95" i="30" s="1"/>
  <c r="CT87" i="30"/>
  <c r="CT39" i="30"/>
  <c r="CU63" i="30"/>
  <c r="CU38" i="30"/>
  <c r="CU76" i="30" s="1"/>
  <c r="CU93" i="30"/>
  <c r="CV37" i="30"/>
  <c r="DK37" i="30" s="1"/>
  <c r="CN10" i="30"/>
  <c r="CO10" i="30" s="1"/>
  <c r="CP10" i="30" s="1"/>
  <c r="CQ10" i="30" s="1"/>
  <c r="CR10" i="30" s="1"/>
  <c r="CS10" i="30" s="1"/>
  <c r="CT10" i="30" s="1"/>
  <c r="CU10" i="30" s="1"/>
  <c r="CN30" i="30"/>
  <c r="CO30" i="30" s="1"/>
  <c r="CP30" i="30" s="1"/>
  <c r="CQ30" i="30" s="1"/>
  <c r="CR30" i="30" s="1"/>
  <c r="CS30" i="30" s="1"/>
  <c r="CT30" i="30" s="1"/>
  <c r="CU30" i="30" s="1"/>
  <c r="CX30" i="30" s="1"/>
  <c r="CN93" i="30"/>
  <c r="CN19" i="30"/>
  <c r="CV33" i="30"/>
  <c r="CN76" i="30"/>
  <c r="CV38" i="30"/>
  <c r="CN39" i="30"/>
  <c r="CV63" i="30"/>
  <c r="CO76" i="30"/>
  <c r="CO39" i="30"/>
  <c r="CO70" i="22"/>
  <c r="DA82" i="22"/>
  <c r="DA81" i="22"/>
  <c r="DA72" i="22"/>
  <c r="DC73" i="22"/>
  <c r="CS77" i="29"/>
  <c r="CS84" i="29" s="1"/>
  <c r="CT76" i="29"/>
  <c r="CX82" i="29"/>
  <c r="CX81" i="29"/>
  <c r="CX72" i="29"/>
  <c r="CX10" i="29"/>
  <c r="CZ73" i="29"/>
  <c r="CY71" i="29"/>
  <c r="CV82" i="29"/>
  <c r="CV81" i="29"/>
  <c r="CQ22" i="29"/>
  <c r="CR15" i="29"/>
  <c r="CS77" i="28"/>
  <c r="CT76" i="28"/>
  <c r="CQ22" i="28"/>
  <c r="CR15" i="28"/>
  <c r="CS77" i="27"/>
  <c r="CT76" i="27"/>
  <c r="CP22" i="27"/>
  <c r="CQ15" i="27"/>
  <c r="CS77" i="26"/>
  <c r="CT76" i="26"/>
  <c r="CP22" i="26"/>
  <c r="CQ15" i="26"/>
  <c r="CQ30" i="22"/>
  <c r="CQ31" i="22" s="1"/>
  <c r="CH22" i="22"/>
  <c r="CJ22" i="22"/>
  <c r="CH10" i="22"/>
  <c r="CE25" i="22"/>
  <c r="CG24" i="22"/>
  <c r="CH24" i="22" s="1"/>
  <c r="CH23" i="22"/>
  <c r="CP68" i="16"/>
  <c r="CO66" i="16"/>
  <c r="CO67" i="16" s="1"/>
  <c r="CD19" i="16"/>
  <c r="CD20" i="16" s="1"/>
  <c r="CL16" i="11"/>
  <c r="BX58" i="11"/>
  <c r="BX69" i="11"/>
  <c r="BX6" i="11"/>
  <c r="CH16" i="11"/>
  <c r="BX58" i="12"/>
  <c r="BX69" i="12"/>
  <c r="BX6" i="12"/>
  <c r="CH16" i="12"/>
  <c r="BX58" i="13"/>
  <c r="CL16" i="13"/>
  <c r="BX69" i="13"/>
  <c r="BX6" i="13"/>
  <c r="CH16" i="13"/>
  <c r="CA14" i="14"/>
  <c r="CA11" i="14"/>
  <c r="CB11" i="14"/>
  <c r="BY14" i="9"/>
  <c r="BY11" i="9"/>
  <c r="BZ6" i="9"/>
  <c r="BW14" i="8"/>
  <c r="BW11" i="8"/>
  <c r="BX6" i="2"/>
  <c r="BY6" i="2" s="1"/>
  <c r="BK15" i="5"/>
  <c r="BL6" i="5"/>
  <c r="BK11" i="5"/>
  <c r="BK14" i="5"/>
  <c r="BL15" i="4"/>
  <c r="BL14" i="4"/>
  <c r="BM6" i="4"/>
  <c r="BL11" i="4"/>
  <c r="BV14" i="2"/>
  <c r="BV11" i="2"/>
  <c r="BX66" i="5"/>
  <c r="BX67" i="5"/>
  <c r="BL14" i="7"/>
  <c r="BL15" i="7"/>
  <c r="BL11" i="7"/>
  <c r="BM6" i="7"/>
  <c r="BW67" i="5"/>
  <c r="BW66" i="5"/>
  <c r="BZ59" i="5"/>
  <c r="BY58" i="5"/>
  <c r="BY57" i="5" s="1"/>
  <c r="BK11" i="6"/>
  <c r="BK15" i="6"/>
  <c r="BL6" i="6"/>
  <c r="BK14" i="6"/>
  <c r="DG21" i="40" l="1"/>
  <c r="DF20" i="40"/>
  <c r="DF18" i="40"/>
  <c r="CN34" i="40"/>
  <c r="CO21" i="40"/>
  <c r="CU78" i="40"/>
  <c r="CU41" i="40"/>
  <c r="CT77" i="40"/>
  <c r="CT76" i="40"/>
  <c r="CT21" i="40"/>
  <c r="DP95" i="40"/>
  <c r="DP85" i="40"/>
  <c r="DP81" i="40"/>
  <c r="DP94" i="40"/>
  <c r="DP97" i="40"/>
  <c r="DR86" i="40"/>
  <c r="DQ82" i="40"/>
  <c r="CT90" i="40"/>
  <c r="CT97" i="40" s="1"/>
  <c r="CU89" i="40"/>
  <c r="CU90" i="40" s="1"/>
  <c r="CU97" i="40" s="1"/>
  <c r="DG21" i="39"/>
  <c r="DF20" i="39"/>
  <c r="DF18" i="39"/>
  <c r="CN34" i="39"/>
  <c r="CO21" i="39"/>
  <c r="CU78" i="39"/>
  <c r="CU41" i="39"/>
  <c r="CT77" i="39"/>
  <c r="CT76" i="39"/>
  <c r="CT21" i="39"/>
  <c r="CT90" i="39"/>
  <c r="CT97" i="39" s="1"/>
  <c r="CU89" i="39"/>
  <c r="CU90" i="39" s="1"/>
  <c r="CU97" i="39" s="1"/>
  <c r="DF19" i="38"/>
  <c r="DF17" i="38"/>
  <c r="CN33" i="38"/>
  <c r="CO20" i="38"/>
  <c r="CU77" i="38"/>
  <c r="CU40" i="38"/>
  <c r="CT76" i="38"/>
  <c r="CT75" i="38"/>
  <c r="CT20" i="38"/>
  <c r="CT89" i="38"/>
  <c r="CT96" i="38" s="1"/>
  <c r="CU88" i="38"/>
  <c r="CU89" i="38" s="1"/>
  <c r="CU96" i="38" s="1"/>
  <c r="DO21" i="37"/>
  <c r="DN18" i="37"/>
  <c r="DH20" i="37"/>
  <c r="DG19" i="37"/>
  <c r="DG17" i="37"/>
  <c r="CN33" i="37"/>
  <c r="CO20" i="37"/>
  <c r="CU77" i="37"/>
  <c r="CU40" i="37"/>
  <c r="CT76" i="37"/>
  <c r="CT75" i="37"/>
  <c r="CT20" i="37"/>
  <c r="CT89" i="37"/>
  <c r="CT96" i="37" s="1"/>
  <c r="CU88" i="37"/>
  <c r="CU89" i="37" s="1"/>
  <c r="CU96" i="37" s="1"/>
  <c r="DH20" i="35"/>
  <c r="DG19" i="35"/>
  <c r="DG17" i="35"/>
  <c r="CV94" i="35"/>
  <c r="CN33" i="35"/>
  <c r="CO20" i="35"/>
  <c r="CU77" i="35"/>
  <c r="CU40" i="35"/>
  <c r="CT76" i="35"/>
  <c r="CT75" i="35"/>
  <c r="CT20" i="35"/>
  <c r="CT89" i="35"/>
  <c r="CT96" i="35" s="1"/>
  <c r="CU88" i="35"/>
  <c r="CU89" i="35" s="1"/>
  <c r="CU96" i="35" s="1"/>
  <c r="DH20" i="34"/>
  <c r="DH19" i="34" s="1"/>
  <c r="DG17" i="34"/>
  <c r="CV94" i="34"/>
  <c r="DK34" i="34"/>
  <c r="CN33" i="34"/>
  <c r="CO20" i="34"/>
  <c r="CU77" i="34"/>
  <c r="CU40" i="34"/>
  <c r="CT76" i="34"/>
  <c r="CT75" i="34"/>
  <c r="CT20" i="34"/>
  <c r="CT89" i="34"/>
  <c r="CT96" i="34" s="1"/>
  <c r="CU88" i="34"/>
  <c r="CU89" i="34" s="1"/>
  <c r="CU96" i="34" s="1"/>
  <c r="DE20" i="33"/>
  <c r="DE19" i="33" s="1"/>
  <c r="DD17" i="33"/>
  <c r="CV94" i="33"/>
  <c r="CN33" i="33"/>
  <c r="CO20" i="33"/>
  <c r="CU77" i="33"/>
  <c r="CU40" i="33"/>
  <c r="CT76" i="33"/>
  <c r="CT75" i="33"/>
  <c r="CT20" i="33"/>
  <c r="CT89" i="33"/>
  <c r="CT96" i="33" s="1"/>
  <c r="CU88" i="33"/>
  <c r="CU89" i="33" s="1"/>
  <c r="CU96" i="33" s="1"/>
  <c r="DG19" i="30"/>
  <c r="DD19" i="32"/>
  <c r="DC17" i="32"/>
  <c r="DC90" i="32" s="1"/>
  <c r="CV93" i="32"/>
  <c r="DK33" i="32"/>
  <c r="CN28" i="32"/>
  <c r="CO19" i="32"/>
  <c r="CU76" i="32"/>
  <c r="CU39" i="32"/>
  <c r="CT75" i="32"/>
  <c r="CT74" i="32"/>
  <c r="CT19" i="32"/>
  <c r="CT88" i="32"/>
  <c r="CT95" i="32" s="1"/>
  <c r="CU87" i="32"/>
  <c r="CU88" i="32" s="1"/>
  <c r="CU95" i="32" s="1"/>
  <c r="CU74" i="30"/>
  <c r="CU19" i="30"/>
  <c r="CU17" i="30" s="1"/>
  <c r="DG95" i="30"/>
  <c r="DH84" i="30"/>
  <c r="DH80" i="30" s="1"/>
  <c r="DF92" i="30"/>
  <c r="DF93" i="30"/>
  <c r="CC7" i="14"/>
  <c r="CB12" i="14"/>
  <c r="CB13" i="14" s="1"/>
  <c r="CD94" i="30"/>
  <c r="CE94" i="30" s="1"/>
  <c r="CF94" i="30" s="1"/>
  <c r="CG94" i="30" s="1"/>
  <c r="CH76" i="30"/>
  <c r="CD83" i="29"/>
  <c r="CE83" i="29" s="1"/>
  <c r="CF83" i="29" s="1"/>
  <c r="CG83" i="29" s="1"/>
  <c r="CH70" i="29"/>
  <c r="CD83" i="28"/>
  <c r="CE83" i="28" s="1"/>
  <c r="CF83" i="28" s="1"/>
  <c r="CG83" i="28" s="1"/>
  <c r="CH70" i="28"/>
  <c r="CD83" i="27"/>
  <c r="CE83" i="27" s="1"/>
  <c r="CF83" i="27" s="1"/>
  <c r="CG83" i="27" s="1"/>
  <c r="CH70" i="27"/>
  <c r="CD83" i="26"/>
  <c r="CE83" i="26" s="1"/>
  <c r="CF83" i="26" s="1"/>
  <c r="CG83" i="26" s="1"/>
  <c r="CH70" i="26"/>
  <c r="CD21" i="23"/>
  <c r="CD18" i="23"/>
  <c r="CE10" i="23"/>
  <c r="CD83" i="22"/>
  <c r="CE83" i="22" s="1"/>
  <c r="CF83" i="22" s="1"/>
  <c r="CG83" i="22" s="1"/>
  <c r="CH70" i="22"/>
  <c r="CD18" i="16"/>
  <c r="CD21" i="16"/>
  <c r="CE10" i="16"/>
  <c r="CF19" i="23"/>
  <c r="CF20" i="23" s="1"/>
  <c r="CG13" i="23"/>
  <c r="CV93" i="30"/>
  <c r="DK33" i="30"/>
  <c r="CN32" i="30"/>
  <c r="CO19" i="30"/>
  <c r="CU39" i="30"/>
  <c r="CT88" i="30"/>
  <c r="CT95" i="30" s="1"/>
  <c r="CU87" i="30"/>
  <c r="CU88" i="30" s="1"/>
  <c r="CU95" i="30" s="1"/>
  <c r="CQ57" i="22"/>
  <c r="CQ32" i="22"/>
  <c r="CQ27" i="22"/>
  <c r="CQ15" i="22" s="1"/>
  <c r="DB82" i="22"/>
  <c r="DB81" i="22"/>
  <c r="DB72" i="22"/>
  <c r="DD73" i="22"/>
  <c r="CQ33" i="22"/>
  <c r="CR22" i="29"/>
  <c r="CS15" i="29"/>
  <c r="CY82" i="29"/>
  <c r="CY81" i="29"/>
  <c r="CY72" i="29"/>
  <c r="DA73" i="29"/>
  <c r="CZ71" i="29"/>
  <c r="CY10" i="29"/>
  <c r="CZ10" i="29" s="1"/>
  <c r="CT77" i="29"/>
  <c r="CT84" i="29" s="1"/>
  <c r="CU76" i="29"/>
  <c r="CU77" i="29" s="1"/>
  <c r="CU84" i="29" s="1"/>
  <c r="CR22" i="28"/>
  <c r="CS15" i="28"/>
  <c r="CT77" i="28"/>
  <c r="CU76" i="28"/>
  <c r="CU77" i="28" s="1"/>
  <c r="CQ22" i="27"/>
  <c r="CR15" i="27"/>
  <c r="CT77" i="27"/>
  <c r="CU76" i="27"/>
  <c r="CU77" i="27" s="1"/>
  <c r="CQ22" i="26"/>
  <c r="CR15" i="26"/>
  <c r="CT77" i="26"/>
  <c r="CU76" i="26"/>
  <c r="CU77" i="26" s="1"/>
  <c r="CR30" i="22"/>
  <c r="CR31" i="22" s="1"/>
  <c r="CK22" i="22"/>
  <c r="CF25" i="22"/>
  <c r="CQ68" i="16"/>
  <c r="CP66" i="16"/>
  <c r="CE19" i="16"/>
  <c r="CE20" i="16" s="1"/>
  <c r="CF13" i="16"/>
  <c r="CG13" i="16" s="1"/>
  <c r="BX14" i="13"/>
  <c r="BX11" i="13"/>
  <c r="BY6" i="13"/>
  <c r="BX14" i="12"/>
  <c r="BX11" i="12"/>
  <c r="BY6" i="12"/>
  <c r="BX14" i="11"/>
  <c r="BX11" i="11"/>
  <c r="BY6" i="11"/>
  <c r="CB14" i="14"/>
  <c r="BZ14" i="9"/>
  <c r="BZ11" i="9"/>
  <c r="CA6" i="9"/>
  <c r="BX14" i="8"/>
  <c r="BX11" i="8"/>
  <c r="BY6" i="8"/>
  <c r="BM14" i="7"/>
  <c r="BM11" i="7"/>
  <c r="BM15" i="7"/>
  <c r="BN6" i="7"/>
  <c r="BM14" i="4"/>
  <c r="BM11" i="4"/>
  <c r="BM15" i="4"/>
  <c r="BN6" i="4"/>
  <c r="BY67" i="5"/>
  <c r="BY66" i="5"/>
  <c r="BL14" i="5"/>
  <c r="BL11" i="5"/>
  <c r="BM6" i="5"/>
  <c r="BL15" i="5"/>
  <c r="BW11" i="2"/>
  <c r="BW14" i="2"/>
  <c r="BL15" i="6"/>
  <c r="BL14" i="6"/>
  <c r="BM6" i="6"/>
  <c r="BL11" i="6"/>
  <c r="BZ58" i="5"/>
  <c r="BZ57" i="5" s="1"/>
  <c r="CA59" i="5"/>
  <c r="DQ95" i="40" l="1"/>
  <c r="DQ85" i="40"/>
  <c r="DQ81" i="40"/>
  <c r="DQ94" i="40"/>
  <c r="DQ97" i="40"/>
  <c r="DQ11" i="40"/>
  <c r="DS86" i="40"/>
  <c r="DR82" i="40"/>
  <c r="DP12" i="40"/>
  <c r="DQ12" i="40" s="1"/>
  <c r="CT34" i="40"/>
  <c r="CU21" i="40"/>
  <c r="CT18" i="40"/>
  <c r="CU77" i="40"/>
  <c r="CU76" i="40"/>
  <c r="CO34" i="40"/>
  <c r="CP21" i="40"/>
  <c r="DH21" i="40"/>
  <c r="DG20" i="40"/>
  <c r="DG18" i="40"/>
  <c r="CT34" i="39"/>
  <c r="CU21" i="39"/>
  <c r="CT18" i="39"/>
  <c r="CU77" i="39"/>
  <c r="CU76" i="39"/>
  <c r="CO34" i="39"/>
  <c r="CP21" i="39"/>
  <c r="DH21" i="39"/>
  <c r="DG20" i="39"/>
  <c r="DG18" i="39"/>
  <c r="CT33" i="38"/>
  <c r="CU20" i="38"/>
  <c r="CT17" i="38"/>
  <c r="CU76" i="38"/>
  <c r="CU75" i="38"/>
  <c r="CO33" i="38"/>
  <c r="CP20" i="38"/>
  <c r="DG19" i="38"/>
  <c r="DG17" i="38"/>
  <c r="DP21" i="37"/>
  <c r="DO18" i="37"/>
  <c r="CT33" i="37"/>
  <c r="CU20" i="37"/>
  <c r="CT17" i="37"/>
  <c r="CU76" i="37"/>
  <c r="CU75" i="37"/>
  <c r="CO33" i="37"/>
  <c r="CP20" i="37"/>
  <c r="DI20" i="37"/>
  <c r="DH19" i="37"/>
  <c r="DH17" i="37"/>
  <c r="CT33" i="35"/>
  <c r="CU20" i="35"/>
  <c r="CT17" i="35"/>
  <c r="CU76" i="35"/>
  <c r="CU75" i="35"/>
  <c r="CO33" i="35"/>
  <c r="CP20" i="35"/>
  <c r="DI20" i="35"/>
  <c r="DH19" i="35"/>
  <c r="DH17" i="35"/>
  <c r="CT33" i="34"/>
  <c r="CU20" i="34"/>
  <c r="CT17" i="34"/>
  <c r="CU76" i="34"/>
  <c r="CU75" i="34"/>
  <c r="CO33" i="34"/>
  <c r="CP20" i="34"/>
  <c r="DI20" i="34"/>
  <c r="DI19" i="34" s="1"/>
  <c r="DH17" i="34"/>
  <c r="CT33" i="33"/>
  <c r="CU20" i="33"/>
  <c r="CT17" i="33"/>
  <c r="CU76" i="33"/>
  <c r="CU75" i="33"/>
  <c r="CO33" i="33"/>
  <c r="CP20" i="33"/>
  <c r="DF20" i="33"/>
  <c r="DF19" i="33" s="1"/>
  <c r="DE17" i="33"/>
  <c r="DH19" i="30"/>
  <c r="CT28" i="32"/>
  <c r="CU19" i="32"/>
  <c r="CT17" i="32"/>
  <c r="CU75" i="32"/>
  <c r="CU74" i="32"/>
  <c r="CO28" i="32"/>
  <c r="CP19" i="32"/>
  <c r="DE19" i="32"/>
  <c r="DD17" i="32"/>
  <c r="DD90" i="32" s="1"/>
  <c r="DH95" i="30"/>
  <c r="DI84" i="30"/>
  <c r="DG79" i="30"/>
  <c r="DG11" i="30" s="1"/>
  <c r="DG92" i="30"/>
  <c r="DG93" i="30"/>
  <c r="CG19" i="23"/>
  <c r="CH13" i="23"/>
  <c r="CJ13" i="23" s="1"/>
  <c r="CK13" i="23" s="1"/>
  <c r="CL13" i="23" s="1"/>
  <c r="CM13" i="23" s="1"/>
  <c r="CN13" i="23" s="1"/>
  <c r="CO13" i="23" s="1"/>
  <c r="CP13" i="23" s="1"/>
  <c r="CQ13" i="23" s="1"/>
  <c r="CR13" i="23" s="1"/>
  <c r="CS13" i="23" s="1"/>
  <c r="CT13" i="23" s="1"/>
  <c r="CU13" i="23" s="1"/>
  <c r="CE18" i="16"/>
  <c r="CE21" i="16"/>
  <c r="CF10" i="16"/>
  <c r="CE21" i="23"/>
  <c r="CE18" i="23"/>
  <c r="CF10" i="23"/>
  <c r="CD7" i="14"/>
  <c r="CC12" i="14"/>
  <c r="CC13" i="14" s="1"/>
  <c r="CU75" i="30"/>
  <c r="CO32" i="30"/>
  <c r="CP19" i="30"/>
  <c r="CR32" i="22"/>
  <c r="CR70" i="22" s="1"/>
  <c r="CR27" i="22"/>
  <c r="CR15" i="22"/>
  <c r="CQ70" i="22"/>
  <c r="DC82" i="22"/>
  <c r="DC81" i="22"/>
  <c r="DC72" i="22"/>
  <c r="DE73" i="22"/>
  <c r="DD71" i="22"/>
  <c r="CR33" i="22"/>
  <c r="CR57" i="22"/>
  <c r="CQ82" i="22"/>
  <c r="CQ25" i="22"/>
  <c r="CR25" i="22" s="1"/>
  <c r="CZ82" i="29"/>
  <c r="CZ81" i="29"/>
  <c r="CZ72" i="29"/>
  <c r="DB73" i="29"/>
  <c r="DA71" i="29"/>
  <c r="CS22" i="29"/>
  <c r="CT15" i="29"/>
  <c r="CS22" i="28"/>
  <c r="CT15" i="28"/>
  <c r="CR22" i="27"/>
  <c r="CS15" i="27"/>
  <c r="CR22" i="26"/>
  <c r="CS15" i="26"/>
  <c r="CS30" i="22"/>
  <c r="CS31" i="22" s="1"/>
  <c r="CL22" i="22"/>
  <c r="CG25" i="22"/>
  <c r="CH25" i="22" s="1"/>
  <c r="CJ10" i="22"/>
  <c r="CR68" i="16"/>
  <c r="CQ66" i="16"/>
  <c r="CF19" i="16"/>
  <c r="CF20" i="16" s="1"/>
  <c r="CG6" i="14"/>
  <c r="BY14" i="11"/>
  <c r="BY11" i="11"/>
  <c r="BZ6" i="11"/>
  <c r="BY14" i="12"/>
  <c r="BY11" i="12"/>
  <c r="BZ6" i="12"/>
  <c r="BY14" i="13"/>
  <c r="BY11" i="13"/>
  <c r="BZ6" i="13"/>
  <c r="CC14" i="14"/>
  <c r="CC11" i="14"/>
  <c r="CA14" i="9"/>
  <c r="CA11" i="9"/>
  <c r="CB6" i="9"/>
  <c r="BY14" i="8"/>
  <c r="BY11" i="8"/>
  <c r="BZ6" i="8"/>
  <c r="BN11" i="7"/>
  <c r="BN14" i="7"/>
  <c r="BO6" i="7"/>
  <c r="CB59" i="5"/>
  <c r="CA58" i="5"/>
  <c r="CA57" i="5" s="1"/>
  <c r="BM14" i="6"/>
  <c r="BN6" i="6"/>
  <c r="BM11" i="6"/>
  <c r="BM15" i="6"/>
  <c r="BM14" i="5"/>
  <c r="BM15" i="5"/>
  <c r="BM11" i="5"/>
  <c r="BN6" i="5"/>
  <c r="BX14" i="2"/>
  <c r="BX11" i="2"/>
  <c r="BN14" i="4"/>
  <c r="BN11" i="4"/>
  <c r="BO6" i="4"/>
  <c r="DI21" i="40" l="1"/>
  <c r="DH20" i="40"/>
  <c r="DH18" i="40"/>
  <c r="CP34" i="40"/>
  <c r="CQ21" i="40"/>
  <c r="CU34" i="40"/>
  <c r="CU18" i="40"/>
  <c r="DR95" i="40"/>
  <c r="DR81" i="40"/>
  <c r="DR94" i="40"/>
  <c r="DR97" i="40"/>
  <c r="DT86" i="40"/>
  <c r="DS82" i="40"/>
  <c r="DR11" i="40"/>
  <c r="DS11" i="40" s="1"/>
  <c r="DI21" i="39"/>
  <c r="DH20" i="39"/>
  <c r="DH18" i="39"/>
  <c r="CP34" i="39"/>
  <c r="CQ21" i="39"/>
  <c r="CU34" i="39"/>
  <c r="CU18" i="39"/>
  <c r="DH19" i="38"/>
  <c r="DH17" i="38"/>
  <c r="CP33" i="38"/>
  <c r="CQ20" i="38"/>
  <c r="CU33" i="38"/>
  <c r="CU17" i="38"/>
  <c r="DQ21" i="37"/>
  <c r="DP18" i="37"/>
  <c r="DL20" i="37"/>
  <c r="DI19" i="37"/>
  <c r="DI17" i="37"/>
  <c r="CP33" i="37"/>
  <c r="CQ20" i="37"/>
  <c r="CU33" i="37"/>
  <c r="CU17" i="37"/>
  <c r="DL20" i="35"/>
  <c r="DI19" i="35"/>
  <c r="DI17" i="35"/>
  <c r="CP33" i="35"/>
  <c r="CQ20" i="35"/>
  <c r="CU33" i="35"/>
  <c r="CU17" i="35"/>
  <c r="DL20" i="34"/>
  <c r="DI17" i="34"/>
  <c r="CP33" i="34"/>
  <c r="CQ20" i="34"/>
  <c r="CU33" i="34"/>
  <c r="CU17" i="34"/>
  <c r="DG20" i="33"/>
  <c r="DG19" i="33" s="1"/>
  <c r="DF17" i="33"/>
  <c r="CP33" i="33"/>
  <c r="CQ20" i="33"/>
  <c r="CU33" i="33"/>
  <c r="CU17" i="33"/>
  <c r="DI80" i="30"/>
  <c r="DI19" i="30" s="1"/>
  <c r="DF19" i="32"/>
  <c r="DE17" i="32"/>
  <c r="DE90" i="32" s="1"/>
  <c r="CP28" i="32"/>
  <c r="CQ19" i="32"/>
  <c r="CU28" i="32"/>
  <c r="CU17" i="32"/>
  <c r="DI92" i="30"/>
  <c r="DI79" i="30"/>
  <c r="DI93" i="30"/>
  <c r="DH79" i="30"/>
  <c r="DH11" i="30" s="1"/>
  <c r="DI11" i="30" s="1"/>
  <c r="DL11" i="30" s="1"/>
  <c r="DM11" i="30" s="1"/>
  <c r="DN11" i="30" s="1"/>
  <c r="DO11" i="30" s="1"/>
  <c r="DP11" i="30" s="1"/>
  <c r="DQ11" i="30" s="1"/>
  <c r="DR11" i="30" s="1"/>
  <c r="DS11" i="30" s="1"/>
  <c r="DT11" i="30" s="1"/>
  <c r="DU11" i="30" s="1"/>
  <c r="DV11" i="30" s="1"/>
  <c r="DW11" i="30" s="1"/>
  <c r="DH92" i="30"/>
  <c r="DH93" i="30"/>
  <c r="CE7" i="14"/>
  <c r="CD12" i="14"/>
  <c r="CD13" i="14" s="1"/>
  <c r="CF21" i="23"/>
  <c r="CF18" i="23"/>
  <c r="CG10" i="23"/>
  <c r="CF21" i="16"/>
  <c r="CF18" i="16"/>
  <c r="CG10" i="16"/>
  <c r="CG20" i="23"/>
  <c r="CH20" i="23" s="1"/>
  <c r="CH19" i="23"/>
  <c r="CP32" i="30"/>
  <c r="CQ19" i="30"/>
  <c r="CS32" i="22"/>
  <c r="CS27" i="22"/>
  <c r="DD82" i="22"/>
  <c r="DD81" i="22"/>
  <c r="DF73" i="22"/>
  <c r="DE71" i="22"/>
  <c r="CS33" i="22"/>
  <c r="CS57" i="22"/>
  <c r="CS25" i="22"/>
  <c r="DE82" i="22"/>
  <c r="CR82" i="22"/>
  <c r="CO10" i="22"/>
  <c r="CP10" i="22" s="1"/>
  <c r="CK10" i="22"/>
  <c r="CT22" i="29"/>
  <c r="CU15" i="29"/>
  <c r="DA82" i="29"/>
  <c r="DA81" i="29"/>
  <c r="DA72" i="29"/>
  <c r="DA10" i="29"/>
  <c r="DC73" i="29"/>
  <c r="DB71" i="29"/>
  <c r="CT22" i="28"/>
  <c r="CU15" i="28"/>
  <c r="CS22" i="27"/>
  <c r="CT15" i="27"/>
  <c r="CS22" i="26"/>
  <c r="CT15" i="26"/>
  <c r="CQ10" i="22"/>
  <c r="CR10" i="22" s="1"/>
  <c r="CS10" i="22" s="1"/>
  <c r="CT30" i="22"/>
  <c r="CM22" i="22"/>
  <c r="CS68" i="16"/>
  <c r="CR66" i="16"/>
  <c r="CG19" i="16"/>
  <c r="CH13" i="16"/>
  <c r="CJ13" i="16" s="1"/>
  <c r="BZ14" i="13"/>
  <c r="BZ11" i="13"/>
  <c r="CA6" i="13"/>
  <c r="BZ14" i="12"/>
  <c r="BZ11" i="12"/>
  <c r="CA6" i="12"/>
  <c r="BZ14" i="11"/>
  <c r="BZ11" i="11"/>
  <c r="CA6" i="11"/>
  <c r="CD14" i="14"/>
  <c r="CD11" i="14"/>
  <c r="CB14" i="9"/>
  <c r="CB11" i="9"/>
  <c r="CC6" i="9"/>
  <c r="BZ14" i="8"/>
  <c r="BZ11" i="8"/>
  <c r="CA6" i="8"/>
  <c r="BN14" i="6"/>
  <c r="BO6" i="6"/>
  <c r="BN11" i="6"/>
  <c r="BO14" i="7"/>
  <c r="BP6" i="7"/>
  <c r="BO11" i="7"/>
  <c r="BY14" i="2"/>
  <c r="BZ6" i="2"/>
  <c r="BY11" i="2"/>
  <c r="BN14" i="5"/>
  <c r="BN11" i="5"/>
  <c r="BO6" i="5"/>
  <c r="CB58" i="5"/>
  <c r="CB57" i="5" s="1"/>
  <c r="CC59" i="5"/>
  <c r="BO14" i="4"/>
  <c r="BO11" i="4"/>
  <c r="BP6" i="4"/>
  <c r="DS95" i="40" l="1"/>
  <c r="DS81" i="40"/>
  <c r="DS94" i="40"/>
  <c r="DS97" i="40"/>
  <c r="DU86" i="40"/>
  <c r="DT82" i="40"/>
  <c r="DR12" i="40"/>
  <c r="DS12" i="40" s="1"/>
  <c r="CQ34" i="40"/>
  <c r="CR21" i="40"/>
  <c r="CR34" i="40" s="1"/>
  <c r="DL21" i="40"/>
  <c r="DI20" i="40"/>
  <c r="DI18" i="40"/>
  <c r="CQ34" i="39"/>
  <c r="CR21" i="39"/>
  <c r="CR34" i="39" s="1"/>
  <c r="DL21" i="39"/>
  <c r="DI20" i="39"/>
  <c r="DI18" i="39"/>
  <c r="CQ33" i="38"/>
  <c r="CR20" i="38"/>
  <c r="CR33" i="38" s="1"/>
  <c r="DL20" i="38"/>
  <c r="DI19" i="38"/>
  <c r="DI17" i="38"/>
  <c r="DR21" i="37"/>
  <c r="DQ18" i="37"/>
  <c r="CQ33" i="37"/>
  <c r="CR20" i="37"/>
  <c r="CR33" i="37" s="1"/>
  <c r="DM20" i="37"/>
  <c r="DL19" i="37"/>
  <c r="DL17" i="37"/>
  <c r="DL91" i="37" s="1"/>
  <c r="CQ33" i="35"/>
  <c r="CR20" i="35"/>
  <c r="CR33" i="35" s="1"/>
  <c r="DM20" i="35"/>
  <c r="DL19" i="35"/>
  <c r="DL17" i="35"/>
  <c r="DL91" i="35" s="1"/>
  <c r="CQ33" i="34"/>
  <c r="CR20" i="34"/>
  <c r="CR33" i="34" s="1"/>
  <c r="DM20" i="34"/>
  <c r="DL17" i="34"/>
  <c r="DL91" i="34" s="1"/>
  <c r="CQ33" i="33"/>
  <c r="CR20" i="33"/>
  <c r="CR33" i="33" s="1"/>
  <c r="DH20" i="33"/>
  <c r="DG17" i="33"/>
  <c r="DK80" i="30"/>
  <c r="DI95" i="30"/>
  <c r="CQ28" i="32"/>
  <c r="CR19" i="32"/>
  <c r="CR28" i="32" s="1"/>
  <c r="DG19" i="32"/>
  <c r="DF17" i="32"/>
  <c r="DF90" i="32" s="1"/>
  <c r="CH10" i="16"/>
  <c r="CJ10" i="16" s="1"/>
  <c r="CK10" i="16" s="1"/>
  <c r="CL10" i="16" s="1"/>
  <c r="CM10" i="16" s="1"/>
  <c r="CN10" i="16" s="1"/>
  <c r="CO10" i="16" s="1"/>
  <c r="CP10" i="16" s="1"/>
  <c r="CQ10" i="16" s="1"/>
  <c r="CR10" i="16" s="1"/>
  <c r="CG21" i="16"/>
  <c r="CH21" i="16" s="1"/>
  <c r="CG18" i="16"/>
  <c r="CH18" i="16" s="1"/>
  <c r="CG21" i="23"/>
  <c r="CH21" i="23" s="1"/>
  <c r="CG18" i="23"/>
  <c r="CH18" i="23" s="1"/>
  <c r="CH10" i="23"/>
  <c r="CJ10" i="23" s="1"/>
  <c r="CK10" i="23" s="1"/>
  <c r="CL10" i="23" s="1"/>
  <c r="CM10" i="23" s="1"/>
  <c r="CN10" i="23" s="1"/>
  <c r="CO10" i="23" s="1"/>
  <c r="CP10" i="23" s="1"/>
  <c r="CQ10" i="23" s="1"/>
  <c r="CR10" i="23" s="1"/>
  <c r="CS10" i="23" s="1"/>
  <c r="CT10" i="23" s="1"/>
  <c r="CU10" i="23" s="1"/>
  <c r="CF7" i="14"/>
  <c r="CE12" i="14"/>
  <c r="CE13" i="14" s="1"/>
  <c r="CQ32" i="30"/>
  <c r="CR19" i="30"/>
  <c r="CR32" i="30" s="1"/>
  <c r="CT57" i="22"/>
  <c r="CT32" i="22"/>
  <c r="CT70" i="22" s="1"/>
  <c r="CS70" i="22"/>
  <c r="DE81" i="22"/>
  <c r="DG73" i="22"/>
  <c r="DF71" i="22"/>
  <c r="CT33" i="22"/>
  <c r="CT10" i="22"/>
  <c r="DF82" i="22"/>
  <c r="CT25" i="22"/>
  <c r="CS82" i="22"/>
  <c r="DB82" i="29"/>
  <c r="DB81" i="29"/>
  <c r="DB72" i="29"/>
  <c r="DD73" i="29"/>
  <c r="DC71" i="29"/>
  <c r="DB10" i="29"/>
  <c r="DC10" i="29" s="1"/>
  <c r="CU22" i="29"/>
  <c r="CX15" i="29"/>
  <c r="CY15" i="29" s="1"/>
  <c r="CZ15" i="29" s="1"/>
  <c r="DA15" i="29" s="1"/>
  <c r="DB15" i="29" s="1"/>
  <c r="DC15" i="29" s="1"/>
  <c r="CU22" i="28"/>
  <c r="CX15" i="28"/>
  <c r="CY15" i="28" s="1"/>
  <c r="CZ15" i="28" s="1"/>
  <c r="DA15" i="28" s="1"/>
  <c r="DB15" i="28" s="1"/>
  <c r="DC15" i="28" s="1"/>
  <c r="DD15" i="28" s="1"/>
  <c r="DE15" i="28" s="1"/>
  <c r="DF15" i="28" s="1"/>
  <c r="DG15" i="28" s="1"/>
  <c r="DH15" i="28" s="1"/>
  <c r="DI15" i="28" s="1"/>
  <c r="CT22" i="27"/>
  <c r="CU15" i="27"/>
  <c r="CT22" i="26"/>
  <c r="CU15" i="26"/>
  <c r="CU30" i="22"/>
  <c r="CU31" i="22" s="1"/>
  <c r="CN22" i="22"/>
  <c r="CT68" i="16"/>
  <c r="CS66" i="16"/>
  <c r="CS10" i="16" s="1"/>
  <c r="CK13" i="16"/>
  <c r="CL13" i="16" s="1"/>
  <c r="CM13" i="16" s="1"/>
  <c r="CN13" i="16" s="1"/>
  <c r="CO13" i="16" s="1"/>
  <c r="CP13" i="16" s="1"/>
  <c r="CQ13" i="16" s="1"/>
  <c r="CR13" i="16" s="1"/>
  <c r="CS13" i="16" s="1"/>
  <c r="CG20" i="16"/>
  <c r="CH20" i="16" s="1"/>
  <c r="CH19" i="16"/>
  <c r="CA14" i="11"/>
  <c r="CA11" i="11"/>
  <c r="CB6" i="11"/>
  <c r="CA14" i="12"/>
  <c r="CA11" i="12"/>
  <c r="CB6" i="12"/>
  <c r="CA14" i="13"/>
  <c r="CA11" i="13"/>
  <c r="CB6" i="13"/>
  <c r="CE14" i="14"/>
  <c r="CE11" i="14"/>
  <c r="CC14" i="9"/>
  <c r="CC11" i="9"/>
  <c r="CD6" i="9"/>
  <c r="CA14" i="8"/>
  <c r="CA11" i="8"/>
  <c r="CB6" i="8"/>
  <c r="CD59" i="5"/>
  <c r="CC58" i="5"/>
  <c r="CC57" i="5" s="1"/>
  <c r="BO11" i="6"/>
  <c r="BO14" i="6"/>
  <c r="BP6" i="6"/>
  <c r="BP14" i="4"/>
  <c r="BQ6" i="4"/>
  <c r="BP11" i="4"/>
  <c r="BO11" i="5"/>
  <c r="BP6" i="5"/>
  <c r="BO14" i="5"/>
  <c r="BZ14" i="2"/>
  <c r="BZ11" i="2"/>
  <c r="CA6" i="2"/>
  <c r="BP14" i="7"/>
  <c r="BP11" i="7"/>
  <c r="BQ6" i="7"/>
  <c r="DM21" i="40" l="1"/>
  <c r="DL20" i="40"/>
  <c r="DL18" i="40"/>
  <c r="DL92" i="40" s="1"/>
  <c r="DT95" i="40"/>
  <c r="DT81" i="40"/>
  <c r="DT94" i="40"/>
  <c r="DT97" i="40"/>
  <c r="DT11" i="40"/>
  <c r="DV86" i="40"/>
  <c r="DU82" i="40"/>
  <c r="DM21" i="39"/>
  <c r="DL20" i="39"/>
  <c r="DL18" i="39"/>
  <c r="DL92" i="39" s="1"/>
  <c r="DM20" i="38"/>
  <c r="DL19" i="38"/>
  <c r="DL17" i="38"/>
  <c r="DL91" i="38" s="1"/>
  <c r="DS21" i="37"/>
  <c r="DR18" i="37"/>
  <c r="DN20" i="37"/>
  <c r="DM19" i="37"/>
  <c r="DM17" i="37"/>
  <c r="DM91" i="37" s="1"/>
  <c r="DN20" i="35"/>
  <c r="DM19" i="35"/>
  <c r="DM17" i="35"/>
  <c r="DM91" i="35" s="1"/>
  <c r="DI20" i="33"/>
  <c r="DH19" i="33"/>
  <c r="DN20" i="34"/>
  <c r="DM17" i="34"/>
  <c r="DM91" i="34" s="1"/>
  <c r="DH17" i="33"/>
  <c r="DH19" i="32"/>
  <c r="DG17" i="32"/>
  <c r="DG90" i="32" s="1"/>
  <c r="CG7" i="14"/>
  <c r="CF12" i="14"/>
  <c r="CF13" i="14" s="1"/>
  <c r="CU32" i="22"/>
  <c r="CU27" i="22"/>
  <c r="CV31" i="22"/>
  <c r="DK31" i="22" s="1"/>
  <c r="CT15" i="22"/>
  <c r="CT69" i="22"/>
  <c r="DF81" i="22"/>
  <c r="DH73" i="22"/>
  <c r="DG71" i="22"/>
  <c r="CU33" i="22"/>
  <c r="CU57" i="22"/>
  <c r="CV57" i="22" s="1"/>
  <c r="CS69" i="22"/>
  <c r="DG82" i="22"/>
  <c r="CU25" i="22"/>
  <c r="CX25" i="22" s="1"/>
  <c r="CY25" i="22" s="1"/>
  <c r="CZ25" i="22" s="1"/>
  <c r="DA25" i="22" s="1"/>
  <c r="DB25" i="22" s="1"/>
  <c r="DC25" i="22" s="1"/>
  <c r="DD25" i="22" s="1"/>
  <c r="DE25" i="22" s="1"/>
  <c r="DF25" i="22" s="1"/>
  <c r="DG25" i="22" s="1"/>
  <c r="CU10" i="22"/>
  <c r="CX10" i="22" s="1"/>
  <c r="CY10" i="22" s="1"/>
  <c r="CZ10" i="22" s="1"/>
  <c r="DA10" i="22" s="1"/>
  <c r="DB10" i="22" s="1"/>
  <c r="DC10" i="22" s="1"/>
  <c r="DD10" i="22" s="1"/>
  <c r="DE10" i="22" s="1"/>
  <c r="DF10" i="22" s="1"/>
  <c r="DG10" i="22" s="1"/>
  <c r="CT82" i="22"/>
  <c r="DC82" i="29"/>
  <c r="DC81" i="29"/>
  <c r="DC72" i="29"/>
  <c r="DE73" i="29"/>
  <c r="DD71" i="29"/>
  <c r="CU22" i="27"/>
  <c r="CX15" i="27"/>
  <c r="CY15" i="27" s="1"/>
  <c r="CZ15" i="27" s="1"/>
  <c r="DA15" i="27" s="1"/>
  <c r="DB15" i="27" s="1"/>
  <c r="DC15" i="27" s="1"/>
  <c r="DD15" i="27" s="1"/>
  <c r="DE15" i="27" s="1"/>
  <c r="DF15" i="27" s="1"/>
  <c r="DG15" i="27" s="1"/>
  <c r="DH15" i="27" s="1"/>
  <c r="DI15" i="27" s="1"/>
  <c r="CU22" i="26"/>
  <c r="CX15" i="26"/>
  <c r="CY15" i="26" s="1"/>
  <c r="CZ15" i="26" s="1"/>
  <c r="DA15" i="26" s="1"/>
  <c r="DB15" i="26" s="1"/>
  <c r="DC15" i="26" s="1"/>
  <c r="DD15" i="26" s="1"/>
  <c r="DE15" i="26" s="1"/>
  <c r="DF15" i="26" s="1"/>
  <c r="DG15" i="26" s="1"/>
  <c r="DH15" i="26" s="1"/>
  <c r="DI15" i="26" s="1"/>
  <c r="CV30" i="22"/>
  <c r="CO22" i="22"/>
  <c r="CU68" i="16"/>
  <c r="CU66" i="16" s="1"/>
  <c r="CT66" i="16"/>
  <c r="CB14" i="13"/>
  <c r="CB11" i="13"/>
  <c r="CC6" i="13"/>
  <c r="CB14" i="12"/>
  <c r="CB11" i="12"/>
  <c r="CC6" i="12"/>
  <c r="CB14" i="11"/>
  <c r="CB11" i="11"/>
  <c r="CC6" i="11"/>
  <c r="CF14" i="14"/>
  <c r="CF11" i="14"/>
  <c r="CD14" i="9"/>
  <c r="CD11" i="9"/>
  <c r="CE6" i="9"/>
  <c r="CB14" i="8"/>
  <c r="CB11" i="8"/>
  <c r="CC6" i="8"/>
  <c r="BQ14" i="7"/>
  <c r="BQ11" i="7"/>
  <c r="BR6" i="7"/>
  <c r="CA14" i="2"/>
  <c r="CA11" i="2"/>
  <c r="CB6" i="2"/>
  <c r="BQ14" i="4"/>
  <c r="BQ11" i="4"/>
  <c r="BR6" i="4"/>
  <c r="BP14" i="6"/>
  <c r="BQ6" i="6"/>
  <c r="BP11" i="6"/>
  <c r="BP14" i="5"/>
  <c r="BP11" i="5"/>
  <c r="BQ6" i="5"/>
  <c r="CD58" i="5"/>
  <c r="CD57" i="5" s="1"/>
  <c r="CE59" i="5"/>
  <c r="DU95" i="40" l="1"/>
  <c r="DU81" i="40"/>
  <c r="DU94" i="40"/>
  <c r="DU97" i="40"/>
  <c r="DW86" i="40"/>
  <c r="DW82" i="40" s="1"/>
  <c r="DV82" i="40"/>
  <c r="DU11" i="40"/>
  <c r="DV11" i="40" s="1"/>
  <c r="DW11" i="40" s="1"/>
  <c r="DT12" i="40"/>
  <c r="DU12" i="40" s="1"/>
  <c r="DN21" i="40"/>
  <c r="DM20" i="40"/>
  <c r="DM18" i="40"/>
  <c r="DM92" i="40" s="1"/>
  <c r="DN21" i="39"/>
  <c r="DM20" i="39"/>
  <c r="DM18" i="39"/>
  <c r="DM92" i="39" s="1"/>
  <c r="DN20" i="38"/>
  <c r="DM19" i="38"/>
  <c r="DM17" i="38"/>
  <c r="DM91" i="38" s="1"/>
  <c r="DT21" i="37"/>
  <c r="DS18" i="37"/>
  <c r="DO20" i="37"/>
  <c r="DN19" i="37"/>
  <c r="DN17" i="37"/>
  <c r="DN91" i="37" s="1"/>
  <c r="DO20" i="35"/>
  <c r="DN19" i="35"/>
  <c r="DN17" i="35"/>
  <c r="DN91" i="35" s="1"/>
  <c r="DL20" i="33"/>
  <c r="DL19" i="33" s="1"/>
  <c r="DI19" i="33"/>
  <c r="DO20" i="34"/>
  <c r="DN17" i="34"/>
  <c r="DN91" i="34" s="1"/>
  <c r="DI17" i="33"/>
  <c r="DI19" i="32"/>
  <c r="DH17" i="32"/>
  <c r="DH90" i="32" s="1"/>
  <c r="CG12" i="14"/>
  <c r="CH7" i="14"/>
  <c r="CJ7" i="14" s="1"/>
  <c r="CK7" i="14" s="1"/>
  <c r="CL7" i="14" s="1"/>
  <c r="CM7" i="14" s="1"/>
  <c r="CU70" i="22"/>
  <c r="CU15" i="22" s="1"/>
  <c r="CV32" i="22"/>
  <c r="DG81" i="22"/>
  <c r="DI73" i="22"/>
  <c r="DI71" i="22" s="1"/>
  <c r="DI81" i="22" s="1"/>
  <c r="DH71" i="22"/>
  <c r="DH82" i="22"/>
  <c r="DH10" i="22"/>
  <c r="DH25" i="22"/>
  <c r="CU82" i="22"/>
  <c r="CV27" i="22"/>
  <c r="DK27" i="22" s="1"/>
  <c r="DD82" i="29"/>
  <c r="DD81" i="29"/>
  <c r="DD15" i="29"/>
  <c r="DD10" i="29"/>
  <c r="DF73" i="29"/>
  <c r="DE71" i="29"/>
  <c r="CP22" i="22"/>
  <c r="CT13" i="16"/>
  <c r="CU13" i="16" s="1"/>
  <c r="CT10" i="16"/>
  <c r="CU10" i="16" s="1"/>
  <c r="CC14" i="11"/>
  <c r="CC11" i="11"/>
  <c r="CD6" i="11"/>
  <c r="CC14" i="12"/>
  <c r="CC11" i="12"/>
  <c r="CD6" i="12"/>
  <c r="CC14" i="13"/>
  <c r="CC11" i="13"/>
  <c r="CD6" i="13"/>
  <c r="CG14" i="14"/>
  <c r="CH14" i="14" s="1"/>
  <c r="CG11" i="14"/>
  <c r="CH11" i="14" s="1"/>
  <c r="CH6" i="14"/>
  <c r="CJ6" i="14" s="1"/>
  <c r="CK6" i="14" s="1"/>
  <c r="CL6" i="14" s="1"/>
  <c r="CE14" i="9"/>
  <c r="CE11" i="9"/>
  <c r="CF6" i="9"/>
  <c r="CC14" i="8"/>
  <c r="CC11" i="8"/>
  <c r="CD6" i="8"/>
  <c r="BQ14" i="5"/>
  <c r="BR6" i="5"/>
  <c r="BQ11" i="5"/>
  <c r="CF59" i="5"/>
  <c r="CE58" i="5"/>
  <c r="CE57" i="5" s="1"/>
  <c r="BQ14" i="6"/>
  <c r="BR6" i="6"/>
  <c r="BQ11" i="6"/>
  <c r="CB14" i="2"/>
  <c r="CB11" i="2"/>
  <c r="CC6" i="2"/>
  <c r="CD6" i="2" s="1"/>
  <c r="BR11" i="7"/>
  <c r="BR14" i="7"/>
  <c r="BS6" i="7"/>
  <c r="BR14" i="4"/>
  <c r="BS6" i="4"/>
  <c r="BR11" i="4"/>
  <c r="DO21" i="40" l="1"/>
  <c r="DN20" i="40"/>
  <c r="DN18" i="40"/>
  <c r="DN92" i="40" s="1"/>
  <c r="DV95" i="40"/>
  <c r="DV81" i="40"/>
  <c r="DV94" i="40"/>
  <c r="DV97" i="40"/>
  <c r="DX82" i="40"/>
  <c r="DW95" i="40"/>
  <c r="DW81" i="40"/>
  <c r="DW94" i="40"/>
  <c r="DW97" i="40"/>
  <c r="DO21" i="39"/>
  <c r="DN20" i="39"/>
  <c r="DN18" i="39"/>
  <c r="DN92" i="39" s="1"/>
  <c r="DO20" i="38"/>
  <c r="DN19" i="38"/>
  <c r="DN17" i="38"/>
  <c r="DN91" i="38" s="1"/>
  <c r="DU21" i="37"/>
  <c r="DT18" i="37"/>
  <c r="DP20" i="37"/>
  <c r="DO19" i="37"/>
  <c r="DO17" i="37"/>
  <c r="DO91" i="37" s="1"/>
  <c r="DP20" i="35"/>
  <c r="DO19" i="35"/>
  <c r="DO17" i="35"/>
  <c r="DO91" i="35" s="1"/>
  <c r="DP20" i="34"/>
  <c r="DO17" i="34"/>
  <c r="DO91" i="34" s="1"/>
  <c r="DM20" i="33"/>
  <c r="DM19" i="33" s="1"/>
  <c r="DL17" i="33"/>
  <c r="DL91" i="33" s="1"/>
  <c r="DL19" i="32"/>
  <c r="DI17" i="32"/>
  <c r="DI90" i="32" s="1"/>
  <c r="CX15" i="22"/>
  <c r="CY15" i="22" s="1"/>
  <c r="CZ15" i="22" s="1"/>
  <c r="DA15" i="22" s="1"/>
  <c r="DB15" i="22" s="1"/>
  <c r="DC15" i="22" s="1"/>
  <c r="DD15" i="22" s="1"/>
  <c r="DE15" i="22" s="1"/>
  <c r="DF15" i="22" s="1"/>
  <c r="DG15" i="22" s="1"/>
  <c r="DH15" i="22" s="1"/>
  <c r="DI15" i="22" s="1"/>
  <c r="CG13" i="14"/>
  <c r="CH13" i="14" s="1"/>
  <c r="CH12" i="14"/>
  <c r="DH81" i="22"/>
  <c r="DJ71" i="22"/>
  <c r="CW25" i="22"/>
  <c r="CV82" i="22"/>
  <c r="CU69" i="22"/>
  <c r="CV70" i="22"/>
  <c r="DJ70" i="22"/>
  <c r="DI82" i="22"/>
  <c r="DI25" i="22"/>
  <c r="DI10" i="22"/>
  <c r="DE82" i="29"/>
  <c r="DE81" i="29"/>
  <c r="DG73" i="29"/>
  <c r="DF71" i="29"/>
  <c r="DE10" i="29"/>
  <c r="DF10" i="29" s="1"/>
  <c r="DE15" i="29"/>
  <c r="DF15" i="29" s="1"/>
  <c r="CQ22" i="22"/>
  <c r="CM6" i="14"/>
  <c r="CN6" i="14" s="1"/>
  <c r="CO6" i="14" s="1"/>
  <c r="CP6" i="14" s="1"/>
  <c r="CQ6" i="14" s="1"/>
  <c r="CR6" i="14" s="1"/>
  <c r="CS6" i="14" s="1"/>
  <c r="CT6" i="14" s="1"/>
  <c r="CU6" i="14" s="1"/>
  <c r="CD14" i="13"/>
  <c r="CD11" i="13"/>
  <c r="CE6" i="13"/>
  <c r="CD14" i="12"/>
  <c r="CD11" i="12"/>
  <c r="CE6" i="12"/>
  <c r="CD14" i="11"/>
  <c r="CD11" i="11"/>
  <c r="CE6" i="11"/>
  <c r="CF14" i="9"/>
  <c r="CF11" i="9"/>
  <c r="CG6" i="9"/>
  <c r="CD14" i="8"/>
  <c r="CD11" i="8"/>
  <c r="CE6" i="8"/>
  <c r="BS14" i="4"/>
  <c r="BT14" i="4" s="1"/>
  <c r="BS11" i="4"/>
  <c r="BT11" i="4" s="1"/>
  <c r="BT6" i="4"/>
  <c r="BV6" i="4" s="1"/>
  <c r="CF58" i="5"/>
  <c r="CF57" i="5" s="1"/>
  <c r="CG59" i="5"/>
  <c r="CG58" i="5" s="1"/>
  <c r="CC14" i="2"/>
  <c r="CC11" i="2"/>
  <c r="BR14" i="6"/>
  <c r="BS6" i="6"/>
  <c r="BR11" i="6"/>
  <c r="BS14" i="7"/>
  <c r="BT14" i="7" s="1"/>
  <c r="BT6" i="7"/>
  <c r="BS11" i="7"/>
  <c r="BT11" i="7" s="1"/>
  <c r="BR14" i="5"/>
  <c r="BR11" i="5"/>
  <c r="BS6" i="5"/>
  <c r="DX95" i="40" l="1"/>
  <c r="DX94" i="40"/>
  <c r="DX81" i="40"/>
  <c r="DV12" i="40"/>
  <c r="DW12" i="40" s="1"/>
  <c r="DP21" i="40"/>
  <c r="DO20" i="40"/>
  <c r="DO18" i="40"/>
  <c r="DO92" i="40" s="1"/>
  <c r="DP21" i="39"/>
  <c r="DO20" i="39"/>
  <c r="DO18" i="39"/>
  <c r="DO92" i="39" s="1"/>
  <c r="DP20" i="38"/>
  <c r="DO19" i="38"/>
  <c r="DO17" i="38"/>
  <c r="DO91" i="38" s="1"/>
  <c r="DV21" i="37"/>
  <c r="DU18" i="37"/>
  <c r="DQ20" i="37"/>
  <c r="DP19" i="37"/>
  <c r="DP17" i="37"/>
  <c r="DP91" i="37" s="1"/>
  <c r="DQ20" i="35"/>
  <c r="DP19" i="35"/>
  <c r="DP17" i="35"/>
  <c r="DP91" i="35" s="1"/>
  <c r="DQ20" i="34"/>
  <c r="DP17" i="34"/>
  <c r="DP91" i="34" s="1"/>
  <c r="DN20" i="33"/>
  <c r="DN19" i="33" s="1"/>
  <c r="DM17" i="33"/>
  <c r="DM91" i="33" s="1"/>
  <c r="DM19" i="32"/>
  <c r="DL17" i="32"/>
  <c r="DL90" i="32" s="1"/>
  <c r="DJ82" i="22"/>
  <c r="DJ81" i="22"/>
  <c r="DF82" i="29"/>
  <c r="DF81" i="29"/>
  <c r="DH73" i="29"/>
  <c r="DG71" i="29"/>
  <c r="CR22" i="22"/>
  <c r="CE14" i="11"/>
  <c r="CE11" i="11"/>
  <c r="CF6" i="11"/>
  <c r="CE14" i="12"/>
  <c r="CE11" i="12"/>
  <c r="CF6" i="12"/>
  <c r="CE14" i="13"/>
  <c r="CE11" i="13"/>
  <c r="CF6" i="13"/>
  <c r="CG14" i="9"/>
  <c r="CH14" i="9" s="1"/>
  <c r="CG11" i="9"/>
  <c r="CH11" i="9" s="1"/>
  <c r="CH6" i="9"/>
  <c r="CE14" i="8"/>
  <c r="CE11" i="8"/>
  <c r="CF6" i="8"/>
  <c r="BS14" i="5"/>
  <c r="BT14" i="5" s="1"/>
  <c r="BT6" i="5"/>
  <c r="BV6" i="5" s="1"/>
  <c r="BS11" i="5"/>
  <c r="BT11" i="5" s="1"/>
  <c r="CG57" i="5"/>
  <c r="CH57" i="5" s="1"/>
  <c r="CH58" i="5"/>
  <c r="CD14" i="2"/>
  <c r="CD11" i="2"/>
  <c r="CE6" i="2"/>
  <c r="BV15" i="4"/>
  <c r="BV14" i="4"/>
  <c r="BV11" i="4"/>
  <c r="BW6" i="4"/>
  <c r="BS11" i="6"/>
  <c r="BT11" i="6" s="1"/>
  <c r="BT6" i="6"/>
  <c r="BS14" i="6"/>
  <c r="BT14" i="6" s="1"/>
  <c r="DQ21" i="40" l="1"/>
  <c r="DP20" i="40"/>
  <c r="DP18" i="40"/>
  <c r="DP92" i="40" s="1"/>
  <c r="DQ21" i="39"/>
  <c r="DP20" i="39"/>
  <c r="DP18" i="39"/>
  <c r="DP92" i="39" s="1"/>
  <c r="DQ20" i="38"/>
  <c r="DP19" i="38"/>
  <c r="DP17" i="38"/>
  <c r="DP91" i="38" s="1"/>
  <c r="DW21" i="37"/>
  <c r="DW18" i="37" s="1"/>
  <c r="DV18" i="37"/>
  <c r="DR20" i="37"/>
  <c r="DQ19" i="37"/>
  <c r="DQ17" i="37"/>
  <c r="DQ91" i="37" s="1"/>
  <c r="DR20" i="35"/>
  <c r="DQ19" i="35"/>
  <c r="DQ17" i="35"/>
  <c r="DQ91" i="35" s="1"/>
  <c r="DR20" i="34"/>
  <c r="DQ17" i="34"/>
  <c r="DQ91" i="34" s="1"/>
  <c r="DO20" i="33"/>
  <c r="DO19" i="33" s="1"/>
  <c r="DN17" i="33"/>
  <c r="DN91" i="33" s="1"/>
  <c r="DN19" i="32"/>
  <c r="DM17" i="32"/>
  <c r="DM90" i="32" s="1"/>
  <c r="DG82" i="29"/>
  <c r="DG81" i="29"/>
  <c r="DG15" i="29"/>
  <c r="DG10" i="29"/>
  <c r="DI73" i="29"/>
  <c r="DI71" i="29" s="1"/>
  <c r="DH71" i="29"/>
  <c r="CS22" i="22"/>
  <c r="CF14" i="13"/>
  <c r="CF11" i="13"/>
  <c r="CG6" i="13"/>
  <c r="CF14" i="12"/>
  <c r="CF11" i="12"/>
  <c r="CG6" i="12"/>
  <c r="CF14" i="11"/>
  <c r="CF11" i="11"/>
  <c r="CG6" i="11"/>
  <c r="CF14" i="8"/>
  <c r="CF11" i="8"/>
  <c r="CG6" i="8"/>
  <c r="BW15" i="4"/>
  <c r="BW14" i="4"/>
  <c r="BW11" i="4"/>
  <c r="BX6" i="4"/>
  <c r="CF6" i="2"/>
  <c r="CG6" i="2" s="1"/>
  <c r="CE14" i="2"/>
  <c r="CE11" i="2"/>
  <c r="BV15" i="5"/>
  <c r="BV14" i="5"/>
  <c r="BV11" i="5"/>
  <c r="BW6" i="5"/>
  <c r="DR21" i="40" l="1"/>
  <c r="DQ20" i="40"/>
  <c r="DQ18" i="40"/>
  <c r="DQ92" i="40" s="1"/>
  <c r="DR21" i="39"/>
  <c r="DQ20" i="39"/>
  <c r="DQ18" i="39"/>
  <c r="DQ92" i="39" s="1"/>
  <c r="DR20" i="38"/>
  <c r="DQ19" i="38"/>
  <c r="DQ17" i="38"/>
  <c r="DQ91" i="38" s="1"/>
  <c r="DS20" i="37"/>
  <c r="DR19" i="37"/>
  <c r="DR17" i="37"/>
  <c r="DR91" i="37" s="1"/>
  <c r="DS20" i="35"/>
  <c r="DR19" i="35"/>
  <c r="DR17" i="35"/>
  <c r="DR91" i="35" s="1"/>
  <c r="DS20" i="34"/>
  <c r="DR17" i="34"/>
  <c r="DR91" i="34" s="1"/>
  <c r="DP20" i="33"/>
  <c r="DP19" i="33" s="1"/>
  <c r="DO17" i="33"/>
  <c r="DO91" i="33" s="1"/>
  <c r="DO19" i="32"/>
  <c r="DN17" i="32"/>
  <c r="DN90" i="32" s="1"/>
  <c r="DH82" i="29"/>
  <c r="DH81" i="29"/>
  <c r="DJ71" i="29"/>
  <c r="DI82" i="29"/>
  <c r="DI81" i="29"/>
  <c r="DH10" i="29"/>
  <c r="DI10" i="29" s="1"/>
  <c r="DH15" i="29"/>
  <c r="DI15" i="29" s="1"/>
  <c r="CT22" i="22"/>
  <c r="CG14" i="11"/>
  <c r="CH14" i="11" s="1"/>
  <c r="CG11" i="11"/>
  <c r="CH11" i="11" s="1"/>
  <c r="CH6" i="11"/>
  <c r="CJ6" i="11" s="1"/>
  <c r="CK6" i="11" s="1"/>
  <c r="CL6" i="11" s="1"/>
  <c r="CM6" i="11" s="1"/>
  <c r="CN6" i="11" s="1"/>
  <c r="CO6" i="11" s="1"/>
  <c r="CP6" i="11" s="1"/>
  <c r="CQ6" i="11" s="1"/>
  <c r="CR6" i="11" s="1"/>
  <c r="CS6" i="11" s="1"/>
  <c r="CT6" i="11" s="1"/>
  <c r="CU6" i="11" s="1"/>
  <c r="CG14" i="12"/>
  <c r="CH14" i="12" s="1"/>
  <c r="CG11" i="12"/>
  <c r="CH11" i="12" s="1"/>
  <c r="CH6" i="12"/>
  <c r="CG14" i="13"/>
  <c r="CH14" i="13" s="1"/>
  <c r="CG11" i="13"/>
  <c r="CH11" i="13" s="1"/>
  <c r="CH6" i="13"/>
  <c r="CJ6" i="13" s="1"/>
  <c r="CK6" i="13" s="1"/>
  <c r="CL6" i="13" s="1"/>
  <c r="CM6" i="13" s="1"/>
  <c r="CN6" i="13" s="1"/>
  <c r="CO6" i="13" s="1"/>
  <c r="CP6" i="13" s="1"/>
  <c r="CQ6" i="13" s="1"/>
  <c r="CR6" i="13" s="1"/>
  <c r="CS6" i="13" s="1"/>
  <c r="CT6" i="13" s="1"/>
  <c r="CU6" i="13" s="1"/>
  <c r="CG14" i="8"/>
  <c r="CH14" i="8" s="1"/>
  <c r="CG11" i="8"/>
  <c r="CH11" i="8" s="1"/>
  <c r="CH6" i="8"/>
  <c r="BW15" i="5"/>
  <c r="BW14" i="5"/>
  <c r="BW11" i="5"/>
  <c r="BX6" i="5"/>
  <c r="CF14" i="2"/>
  <c r="CF11" i="2"/>
  <c r="BX15" i="4"/>
  <c r="BX14" i="4"/>
  <c r="BX11" i="4"/>
  <c r="BY6" i="4"/>
  <c r="DS21" i="40" l="1"/>
  <c r="DR20" i="40"/>
  <c r="DR18" i="40"/>
  <c r="DR92" i="40" s="1"/>
  <c r="DS21" i="39"/>
  <c r="DR20" i="39"/>
  <c r="DR18" i="39"/>
  <c r="DR92" i="39" s="1"/>
  <c r="DS20" i="38"/>
  <c r="DR19" i="38"/>
  <c r="DR17" i="38"/>
  <c r="DR91" i="38" s="1"/>
  <c r="DT20" i="37"/>
  <c r="DS19" i="37"/>
  <c r="DS17" i="37"/>
  <c r="DS91" i="37" s="1"/>
  <c r="DT20" i="35"/>
  <c r="DS19" i="35"/>
  <c r="DS17" i="35"/>
  <c r="DS91" i="35" s="1"/>
  <c r="DT20" i="34"/>
  <c r="DS17" i="34"/>
  <c r="DS91" i="34" s="1"/>
  <c r="DQ20" i="33"/>
  <c r="DQ19" i="33" s="1"/>
  <c r="DP17" i="33"/>
  <c r="DP91" i="33" s="1"/>
  <c r="DP19" i="32"/>
  <c r="DO17" i="32"/>
  <c r="DO90" i="32" s="1"/>
  <c r="DJ82" i="29"/>
  <c r="DJ81" i="29"/>
  <c r="CU22" i="22"/>
  <c r="BX14" i="5"/>
  <c r="BX11" i="5"/>
  <c r="BX15" i="5"/>
  <c r="BY6" i="5"/>
  <c r="BZ6" i="4"/>
  <c r="BY14" i="4"/>
  <c r="BY11" i="4"/>
  <c r="BY15" i="4"/>
  <c r="CH6" i="2"/>
  <c r="CG14" i="2"/>
  <c r="CH14" i="2" s="1"/>
  <c r="CG11" i="2"/>
  <c r="CH11" i="2" s="1"/>
  <c r="DT21" i="40" l="1"/>
  <c r="DS20" i="40"/>
  <c r="DS18" i="40"/>
  <c r="DS92" i="40" s="1"/>
  <c r="DT21" i="39"/>
  <c r="DS20" i="39"/>
  <c r="DS18" i="39"/>
  <c r="DS92" i="39" s="1"/>
  <c r="DT20" i="38"/>
  <c r="DS19" i="38"/>
  <c r="DS17" i="38"/>
  <c r="DS91" i="38" s="1"/>
  <c r="DU20" i="37"/>
  <c r="DT19" i="37"/>
  <c r="DT17" i="37"/>
  <c r="DT91" i="37" s="1"/>
  <c r="DU20" i="35"/>
  <c r="DT19" i="35"/>
  <c r="DT17" i="35"/>
  <c r="DT91" i="35" s="1"/>
  <c r="DU20" i="34"/>
  <c r="DT17" i="34"/>
  <c r="DT91" i="34" s="1"/>
  <c r="DR20" i="33"/>
  <c r="DR19" i="33" s="1"/>
  <c r="DQ17" i="33"/>
  <c r="DQ91" i="33" s="1"/>
  <c r="DQ19" i="32"/>
  <c r="DP17" i="32"/>
  <c r="DP90" i="32" s="1"/>
  <c r="BZ15" i="4"/>
  <c r="BZ14" i="4"/>
  <c r="BZ11" i="4"/>
  <c r="CA6" i="4"/>
  <c r="BY15" i="5"/>
  <c r="BY14" i="5"/>
  <c r="BY11" i="5"/>
  <c r="BZ6" i="5"/>
  <c r="DU21" i="40" l="1"/>
  <c r="DT20" i="40"/>
  <c r="DT18" i="40"/>
  <c r="DT92" i="40" s="1"/>
  <c r="DU21" i="39"/>
  <c r="DT20" i="39"/>
  <c r="DT18" i="39"/>
  <c r="DT92" i="39" s="1"/>
  <c r="DU20" i="38"/>
  <c r="DT19" i="38"/>
  <c r="DT17" i="38"/>
  <c r="DT91" i="38" s="1"/>
  <c r="DV20" i="37"/>
  <c r="DU19" i="37"/>
  <c r="DU17" i="37"/>
  <c r="DU91" i="37" s="1"/>
  <c r="DV20" i="35"/>
  <c r="DU19" i="35"/>
  <c r="DU17" i="35"/>
  <c r="DU91" i="35" s="1"/>
  <c r="DV20" i="34"/>
  <c r="DU17" i="34"/>
  <c r="DU91" i="34" s="1"/>
  <c r="DS20" i="33"/>
  <c r="DS19" i="33" s="1"/>
  <c r="DR17" i="33"/>
  <c r="DR91" i="33" s="1"/>
  <c r="DR19" i="32"/>
  <c r="DQ17" i="32"/>
  <c r="DQ90" i="32" s="1"/>
  <c r="BZ15" i="5"/>
  <c r="BZ14" i="5"/>
  <c r="BZ11" i="5"/>
  <c r="CA6" i="5"/>
  <c r="CA15" i="4"/>
  <c r="CA14" i="4"/>
  <c r="CB6" i="4"/>
  <c r="CA11" i="4"/>
  <c r="DV21" i="40" l="1"/>
  <c r="DU20" i="40"/>
  <c r="DU18" i="40"/>
  <c r="DU92" i="40" s="1"/>
  <c r="DV21" i="39"/>
  <c r="DU20" i="39"/>
  <c r="DU18" i="39"/>
  <c r="DU92" i="39" s="1"/>
  <c r="DV20" i="38"/>
  <c r="DU19" i="38"/>
  <c r="DU17" i="38"/>
  <c r="DU91" i="38" s="1"/>
  <c r="DW20" i="37"/>
  <c r="DV19" i="37"/>
  <c r="DV17" i="37"/>
  <c r="DV91" i="37" s="1"/>
  <c r="DW20" i="35"/>
  <c r="DV19" i="35"/>
  <c r="DV17" i="35"/>
  <c r="DV91" i="35" s="1"/>
  <c r="DW20" i="34"/>
  <c r="DW17" i="34" s="1"/>
  <c r="DW91" i="34" s="1"/>
  <c r="DV17" i="34"/>
  <c r="DV91" i="34" s="1"/>
  <c r="DT20" i="33"/>
  <c r="DT19" i="33" s="1"/>
  <c r="DS17" i="33"/>
  <c r="DS91" i="33" s="1"/>
  <c r="DS19" i="32"/>
  <c r="DR17" i="32"/>
  <c r="DR90" i="32" s="1"/>
  <c r="CA15" i="5"/>
  <c r="CA14" i="5"/>
  <c r="CA11" i="5"/>
  <c r="CB6" i="5"/>
  <c r="CB14" i="4"/>
  <c r="CB11" i="4"/>
  <c r="CC6" i="4"/>
  <c r="DW21" i="40" l="1"/>
  <c r="DV20" i="40"/>
  <c r="DV18" i="40"/>
  <c r="DV92" i="40" s="1"/>
  <c r="DW21" i="39"/>
  <c r="DV20" i="39"/>
  <c r="DV18" i="39"/>
  <c r="DV92" i="39" s="1"/>
  <c r="DW20" i="38"/>
  <c r="DV19" i="38"/>
  <c r="DV17" i="38"/>
  <c r="DV91" i="38" s="1"/>
  <c r="DW19" i="37"/>
  <c r="DW17" i="37"/>
  <c r="DW91" i="37" s="1"/>
  <c r="DW19" i="35"/>
  <c r="DW17" i="35"/>
  <c r="DW91" i="35" s="1"/>
  <c r="DU20" i="33"/>
  <c r="DU19" i="33" s="1"/>
  <c r="DT17" i="33"/>
  <c r="DT91" i="33" s="1"/>
  <c r="DT19" i="32"/>
  <c r="DS17" i="32"/>
  <c r="DS90" i="32" s="1"/>
  <c r="CC6" i="5"/>
  <c r="CB11" i="5"/>
  <c r="CB14" i="5"/>
  <c r="CC14" i="4"/>
  <c r="CC11" i="4"/>
  <c r="CD6" i="4"/>
  <c r="DW20" i="40" l="1"/>
  <c r="DW18" i="40"/>
  <c r="DW92" i="40" s="1"/>
  <c r="DW20" i="39"/>
  <c r="DW18" i="39"/>
  <c r="DW92" i="39" s="1"/>
  <c r="DW19" i="38"/>
  <c r="DW17" i="38"/>
  <c r="DW91" i="38" s="1"/>
  <c r="DV20" i="33"/>
  <c r="DV19" i="33" s="1"/>
  <c r="DU17" i="33"/>
  <c r="DU91" i="33" s="1"/>
  <c r="DU19" i="32"/>
  <c r="DT17" i="32"/>
  <c r="DT90" i="32" s="1"/>
  <c r="CD14" i="4"/>
  <c r="CD11" i="4"/>
  <c r="CE6" i="4"/>
  <c r="CC14" i="5"/>
  <c r="CC11" i="5"/>
  <c r="CD6" i="5"/>
  <c r="DW20" i="33" l="1"/>
  <c r="DV17" i="33"/>
  <c r="DV91" i="33" s="1"/>
  <c r="DV19" i="32"/>
  <c r="DU17" i="32"/>
  <c r="DU90" i="32" s="1"/>
  <c r="CE14" i="4"/>
  <c r="CE11" i="4"/>
  <c r="CF6" i="4"/>
  <c r="CD14" i="5"/>
  <c r="CD11" i="5"/>
  <c r="CE6" i="5"/>
  <c r="DW17" i="33" l="1"/>
  <c r="DW91" i="33" s="1"/>
  <c r="DW19" i="33"/>
  <c r="DW19" i="32"/>
  <c r="DW17" i="32" s="1"/>
  <c r="DW90" i="32" s="1"/>
  <c r="DV17" i="32"/>
  <c r="DV90" i="32" s="1"/>
  <c r="CF14" i="4"/>
  <c r="CF11" i="4"/>
  <c r="CG6" i="4"/>
  <c r="CE14" i="5"/>
  <c r="CE11" i="5"/>
  <c r="CF6" i="5"/>
  <c r="CF11" i="5" l="1"/>
  <c r="CG6" i="5"/>
  <c r="CF14" i="5"/>
  <c r="CH6" i="4"/>
  <c r="CG14" i="4"/>
  <c r="CH14" i="4" s="1"/>
  <c r="CG11" i="4"/>
  <c r="CH11" i="4" s="1"/>
  <c r="CG14" i="5" l="1"/>
  <c r="CH14" i="5" s="1"/>
  <c r="CG11" i="5"/>
  <c r="CH11" i="5" s="1"/>
  <c r="CH6" i="5"/>
  <c r="CT32" i="30"/>
  <c r="CT75" i="30"/>
  <c r="CU32" i="30" l="1"/>
  <c r="DJ81" i="30"/>
  <c r="CX83" i="30"/>
  <c r="CX18" i="30" l="1"/>
  <c r="DJ80" i="30"/>
  <c r="CY30" i="30"/>
  <c r="CZ30" i="30" s="1"/>
  <c r="DA30" i="30" s="1"/>
  <c r="DB30" i="30" s="1"/>
  <c r="DC30" i="30" s="1"/>
  <c r="DD30" i="30" s="1"/>
  <c r="DE30" i="30" s="1"/>
  <c r="DF30" i="30" s="1"/>
  <c r="DG30" i="30" s="1"/>
  <c r="DH30" i="30" s="1"/>
  <c r="DI30" i="30" s="1"/>
  <c r="CX10" i="30"/>
  <c r="CY10" i="30" s="1"/>
  <c r="DA10" i="30" s="1"/>
  <c r="DB10" i="30" s="1"/>
  <c r="DC10" i="30" s="1"/>
  <c r="DD10" i="30" s="1"/>
  <c r="DE10" i="30" s="1"/>
  <c r="DF10" i="30" s="1"/>
  <c r="DG10" i="30" s="1"/>
  <c r="DH10" i="30" s="1"/>
  <c r="DI10" i="30" s="1"/>
  <c r="DL10" i="30" s="1"/>
  <c r="DM10" i="30" s="1"/>
  <c r="DN10" i="30" s="1"/>
  <c r="DO10" i="30" s="1"/>
  <c r="DP10" i="30" s="1"/>
  <c r="DQ10" i="30" s="1"/>
  <c r="DR10" i="30" s="1"/>
  <c r="DS10" i="30" s="1"/>
  <c r="DT10" i="30" s="1"/>
  <c r="DU10" i="30" s="1"/>
  <c r="DV10" i="30" s="1"/>
  <c r="DW10" i="30" s="1"/>
  <c r="CX95" i="30"/>
  <c r="CZ20" i="30"/>
  <c r="CY18" i="30"/>
  <c r="DJ79" i="30" l="1"/>
  <c r="CW79" i="30"/>
  <c r="CW78" i="30" s="1"/>
  <c r="CW77" i="30" s="1"/>
  <c r="DA20" i="30"/>
  <c r="CZ18" i="30"/>
  <c r="DJ93" i="30"/>
  <c r="DJ92" i="30"/>
  <c r="CX17" i="30"/>
  <c r="CY17" i="30" l="1"/>
  <c r="DB20" i="30"/>
  <c r="DA18" i="30"/>
  <c r="DC20" i="30" l="1"/>
  <c r="DB18" i="30"/>
  <c r="CZ17" i="30"/>
  <c r="DA17" i="30" l="1"/>
  <c r="DD20" i="30"/>
  <c r="DC18" i="30"/>
  <c r="DE20" i="30" l="1"/>
  <c r="DD18" i="30"/>
  <c r="DB17" i="30"/>
  <c r="DC17" i="30" l="1"/>
  <c r="DF20" i="30"/>
  <c r="DF18" i="30" s="1"/>
  <c r="DE18" i="30"/>
  <c r="DG20" i="30" l="1"/>
  <c r="DD17" i="30"/>
  <c r="DE17" i="30" l="1"/>
  <c r="DH20" i="30"/>
  <c r="DG18" i="30"/>
  <c r="DH18" i="30" l="1"/>
  <c r="DI20" i="30"/>
  <c r="DL20" i="30" s="1"/>
  <c r="DF17" i="30"/>
  <c r="DM20" i="30" l="1"/>
  <c r="DL18" i="30"/>
  <c r="DI18" i="30"/>
  <c r="DG17" i="30"/>
  <c r="DN20" i="30" l="1"/>
  <c r="DM18" i="30"/>
  <c r="DH17" i="30"/>
  <c r="DO20" i="30" l="1"/>
  <c r="DN18" i="30"/>
  <c r="DM19" i="30"/>
  <c r="DL17" i="30"/>
  <c r="DL90" i="30" s="1"/>
  <c r="DI17" i="30"/>
  <c r="DP20" i="30" l="1"/>
  <c r="DO18" i="30"/>
  <c r="DN19" i="30"/>
  <c r="DM17" i="30"/>
  <c r="DM90" i="30" s="1"/>
  <c r="DQ20" i="30" l="1"/>
  <c r="DP18" i="30"/>
  <c r="DO19" i="30"/>
  <c r="DN17" i="30"/>
  <c r="DN90" i="30" s="1"/>
  <c r="DR20" i="30" l="1"/>
  <c r="DQ18" i="30"/>
  <c r="DP19" i="30"/>
  <c r="DO17" i="30"/>
  <c r="DO90" i="30" s="1"/>
  <c r="DS20" i="30" l="1"/>
  <c r="DR18" i="30"/>
  <c r="DQ19" i="30"/>
  <c r="DP17" i="30"/>
  <c r="DP90" i="30" s="1"/>
  <c r="DT20" i="30" l="1"/>
  <c r="DS18" i="30"/>
  <c r="DR19" i="30"/>
  <c r="DQ17" i="30"/>
  <c r="DQ90" i="30" s="1"/>
  <c r="DU20" i="30" l="1"/>
  <c r="DT18" i="30"/>
  <c r="DS19" i="30"/>
  <c r="DR17" i="30"/>
  <c r="DR90" i="30" s="1"/>
  <c r="DV20" i="30" l="1"/>
  <c r="DU18" i="30"/>
  <c r="DT19" i="30"/>
  <c r="DS17" i="30"/>
  <c r="DS90" i="30" s="1"/>
  <c r="DW20" i="30" l="1"/>
  <c r="DW18" i="30" s="1"/>
  <c r="DV18" i="30"/>
  <c r="DU19" i="30"/>
  <c r="DT17" i="30"/>
  <c r="DT90" i="30" s="1"/>
  <c r="DV19" i="30" l="1"/>
  <c r="DU17" i="30"/>
  <c r="DU90" i="30" s="1"/>
  <c r="DW19" i="30" l="1"/>
  <c r="DW17" i="30" s="1"/>
  <c r="DW90" i="30" s="1"/>
  <c r="DV17" i="30"/>
  <c r="DV90" i="30" s="1"/>
  <c r="DL35" i="39"/>
  <c r="DX39" i="39"/>
  <c r="DX35" i="39" l="1"/>
  <c r="DX95" i="39" s="1"/>
  <c r="DL12" i="39"/>
  <c r="DM12" i="39" s="1"/>
  <c r="DN12" i="39" s="1"/>
  <c r="DO12" i="39" s="1"/>
  <c r="DP12" i="39" s="1"/>
  <c r="DQ12" i="39" s="1"/>
  <c r="DR12" i="39" s="1"/>
  <c r="DS12" i="39" s="1"/>
  <c r="DT12" i="39" s="1"/>
  <c r="DU12" i="39" s="1"/>
  <c r="DV12" i="39" s="1"/>
  <c r="DW12" i="39" s="1"/>
  <c r="DL95" i="39"/>
  <c r="DL11" i="39"/>
  <c r="DM11" i="39" s="1"/>
  <c r="DN11" i="39" s="1"/>
  <c r="DO11" i="39" s="1"/>
  <c r="DP11" i="39" s="1"/>
  <c r="DQ11" i="39" s="1"/>
  <c r="DR11" i="39" s="1"/>
  <c r="DS11" i="39" s="1"/>
  <c r="DT11" i="39" s="1"/>
  <c r="DU11" i="39" s="1"/>
  <c r="DV11" i="39" s="1"/>
  <c r="DW11" i="3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tc={1EAF2ADF-92DB-4F82-9177-89530F5985C9}</author>
    <author>tc={DEB78357-E53D-43C2-9750-FC321E7A0D14}</author>
    <author>tc={6413FD59-2668-4A10-9783-BBFDE8FAF392}</author>
    <author>tc={60F4C470-5193-4133-9F26-4A82B008D428}</author>
    <author>tc={120D832D-EFB1-4E2B-939D-F7AC454F6A0A}</author>
    <author>tc={3B975B26-5F5A-4AD1-A493-1CA602F2327C}</author>
    <author>tc={E413AA58-C89D-4F35-8466-2F87E7A2D685}</author>
    <author>tc={17BEFEF4-A561-4A7A-8382-18D38E92634B}</author>
    <author>tc={1698EE7C-E10B-464B-9956-96433221D797}</author>
    <author>tc={242BAC7D-6093-4B4B-B10A-DBB7E76786B6}</author>
  </authors>
  <commentList>
    <comment ref="BX7" authorId="0" shapeId="0" xr:uid="{1EAF2ADF-92DB-4F82-9177-89530F5985C9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7" authorId="1" shapeId="0" xr:uid="{DEB78357-E53D-43C2-9750-FC321E7A0D14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7" authorId="2" shapeId="0" xr:uid="{6413FD59-2668-4A10-9783-BBFDE8FAF39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7" authorId="3" shapeId="0" xr:uid="{60F4C470-5193-4133-9F26-4A82B008D42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BZ17" authorId="4" shapeId="0" xr:uid="{120D832D-EFB1-4E2B-939D-F7AC454F6A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17" authorId="5" shapeId="0" xr:uid="{3B975B26-5F5A-4AD1-A493-1CA602F232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18" authorId="6" shapeId="0" xr:uid="{E413AA58-C89D-4F35-8466-2F87E7A2D6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18" authorId="7" shapeId="0" xr:uid="{17BEFEF4-A561-4A7A-8382-18D38E9263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CJ71" authorId="8" shapeId="0" xr:uid="{1698EE7C-E10B-464B-9956-96433221D797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do dia 15.01
Reply:
    até 14.01 prod 54.240</t>
      </text>
    </comment>
    <comment ref="BZ79" authorId="9" shapeId="0" xr:uid="{242BAC7D-6093-4B4B-B10A-DBB7E76786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tc={49C337B9-2BCB-4838-871B-3DB3DFD4117F}</author>
    <author>tc={1828D66F-376E-461B-9A9C-27031AEBF6BA}</author>
    <author>tc={978D9DC4-DCB2-4D9A-9C67-6B1222F1E5A3}</author>
    <author>tc={1714FE14-1161-43D8-8132-1E9D96BBAB50}</author>
    <author>tc={F848F10E-661A-4DED-AEDD-17FCD13530B5}</author>
    <author>tc={7F0B8E3C-D643-453A-BCEC-E16C5B9DEBE2}</author>
    <author>tc={D2FF0E03-4C7E-4767-9498-4FACEC1A6775}</author>
    <author>tc={B024E637-39C7-426A-8647-13638E6C5849}</author>
    <author>tc={72131F53-223F-4C34-B9EC-3B1E9DD61356}</author>
    <author>tc={3F950B69-7A58-4334-8D0B-90FDEBBB50C5}</author>
  </authors>
  <commentList>
    <comment ref="BX7" authorId="0" shapeId="0" xr:uid="{49C337B9-2BCB-4838-871B-3DB3DFD4117F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7" authorId="1" shapeId="0" xr:uid="{1828D66F-376E-461B-9A9C-27031AEBF6BA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7" authorId="2" shapeId="0" xr:uid="{978D9DC4-DCB2-4D9A-9C67-6B1222F1E5A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7" authorId="3" shapeId="0" xr:uid="{1714FE14-1161-43D8-8132-1E9D96BBAB5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BZ17" authorId="4" shapeId="0" xr:uid="{F848F10E-661A-4DED-AEDD-17FCD13530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17" authorId="5" shapeId="0" xr:uid="{7F0B8E3C-D643-453A-BCEC-E16C5B9DEB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18" authorId="6" shapeId="0" xr:uid="{D2FF0E03-4C7E-4767-9498-4FACEC1A67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18" authorId="7" shapeId="0" xr:uid="{B024E637-39C7-426A-8647-13638E6C58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CJ71" authorId="8" shapeId="0" xr:uid="{72131F53-223F-4C34-B9EC-3B1E9DD61356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do dia 15.01
Reply:
    até 14.01 prod 54.240</t>
      </text>
    </comment>
    <comment ref="BZ79" authorId="9" shapeId="0" xr:uid="{3F950B69-7A58-4334-8D0B-90FDEBBB50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tc={109D488E-F907-4A80-A06C-8C49D31AB027}</author>
    <author>tc={D8F33283-252A-4846-ABF0-40B369C7BBA7}</author>
    <author>tc={68944C3E-C109-412D-ADF3-92707DF2EC18}</author>
    <author>tc={76891731-0555-4685-B641-210D17284A2D}</author>
    <author>tc={9D320D63-7C4D-4E16-BD4C-9548F0826DF7}</author>
    <author>tc={8EF0FD1A-5542-460E-B0B9-EADD21D4E844}</author>
    <author>tc={6E4980D7-2DBB-4E84-8D8F-7F2534E9DD56}</author>
    <author>tc={1460F086-E416-4417-AF7C-77F856EB3A53}</author>
    <author>tc={C51A0350-2A9F-4C35-87E1-18571C8D973A}</author>
    <author>tc={0D22FDC4-4B13-4510-8714-9DF493001555}</author>
  </authors>
  <commentList>
    <comment ref="BX7" authorId="0" shapeId="0" xr:uid="{109D488E-F907-4A80-A06C-8C49D31AB027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7" authorId="1" shapeId="0" xr:uid="{D8F33283-252A-4846-ABF0-40B369C7BBA7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7" authorId="2" shapeId="0" xr:uid="{68944C3E-C109-412D-ADF3-92707DF2EC1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7" authorId="3" shapeId="0" xr:uid="{76891731-0555-4685-B641-210D17284A2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BZ17" authorId="4" shapeId="0" xr:uid="{9D320D63-7C4D-4E16-BD4C-9548F0826D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17" authorId="5" shapeId="0" xr:uid="{8EF0FD1A-5542-460E-B0B9-EADD21D4E8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18" authorId="6" shapeId="0" xr:uid="{6E4980D7-2DBB-4E84-8D8F-7F2534E9DD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18" authorId="7" shapeId="0" xr:uid="{1460F086-E416-4417-AF7C-77F856EB3A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CJ71" authorId="8" shapeId="0" xr:uid="{C51A0350-2A9F-4C35-87E1-18571C8D973A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do dia 15.01
Reply:
    até 14.01 prod 54.240</t>
      </text>
    </comment>
    <comment ref="BZ79" authorId="9" shapeId="0" xr:uid="{0D22FDC4-4B13-4510-8714-9DF4930015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Fagner Brasil</author>
    <author>tc={8FA06D4E-0961-4A78-B9AC-5924025B3F41}</author>
    <author>tc={C63ACAF8-22D6-4593-A45B-CF83BB430A9B}</author>
    <author>tc={B16B2202-38D7-48BC-897B-1883192C611A}</author>
    <author>tc={8D3FF4AE-B907-40ED-8F2F-64068271ED61}</author>
    <author>Marcio Alves</author>
    <author>tc={236BFC1B-D259-483D-BE2B-1C2DBC165256}</author>
    <author>tc={1B66534F-3F7D-4AAE-BE4A-E48B8D56D8F4}</author>
    <author>tc={20A18DBB-7688-4273-8CBE-15962E3A1468}</author>
    <author>tc={E45CE290-FD0F-4B67-B432-327E66E068DF}</author>
    <author>tc={6E8A06DD-22B1-4AF8-ABBF-448D8745AD45}</author>
    <author>tc={F2B8F320-A326-4390-82BE-FC056CB98391}</author>
  </authors>
  <commentList>
    <comment ref="CP5" authorId="0" shapeId="0" xr:uid="{F2EFC0F8-9FBE-4BE2-BA87-BAB24C2E27CD}">
      <text>
        <r>
          <rPr>
            <sz val="11"/>
            <color theme="1"/>
            <rFont val="Calibri"/>
            <scheme val="minor"/>
          </rPr>
          <t>Fagner Brasil:
Novo grupo apartir de julho</t>
        </r>
      </text>
    </comment>
    <comment ref="BX7" authorId="1" shapeId="0" xr:uid="{8FA06D4E-0961-4A78-B9AC-5924025B3F41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7" authorId="2" shapeId="0" xr:uid="{C63ACAF8-22D6-4593-A45B-CF83BB430A9B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7" authorId="3" shapeId="0" xr:uid="{B16B2202-38D7-48BC-897B-1883192C611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7" authorId="4" shapeId="0" xr:uid="{8D3FF4AE-B907-40ED-8F2F-64068271ED6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DB21" authorId="5" shapeId="0" xr:uid="{65E9691E-8C42-449A-AC3B-040C9CD3C210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C21" authorId="5" shapeId="0" xr:uid="{30637E05-B670-45CB-B74A-330FC6869443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DP21" authorId="5" shapeId="0" xr:uid="{D3879156-6643-416C-AD9F-CF5C05771797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Q21" authorId="5" shapeId="0" xr:uid="{2D1ECB8D-80F1-4472-AF71-FE662F896219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BZ23" authorId="6" shapeId="0" xr:uid="{236BFC1B-D259-483D-BE2B-1C2DBC1652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3" authorId="7" shapeId="0" xr:uid="{1B66534F-3F7D-4AAE-BE4A-E48B8D56D8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24" authorId="8" shapeId="0" xr:uid="{20A18DBB-7688-4273-8CBE-15962E3A14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4" authorId="9" shapeId="0" xr:uid="{E45CE290-FD0F-4B67-B432-327E66E068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CJ80" authorId="10" shapeId="0" xr:uid="{6E8A06DD-22B1-4AF8-ABBF-448D8745AD45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do dia 15.01
Reply:
    até 14.01 prod 54.240</t>
      </text>
    </comment>
    <comment ref="BZ90" authorId="11" shapeId="0" xr:uid="{F2B8F320-A326-4390-82BE-FC056CB983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Fagner Brasil</author>
    <author>tc={5EB151F1-2C41-4042-BCFF-F0553E1E44B3}</author>
    <author>tc={4361FAFC-2356-4B84-AECB-531BFC65A286}</author>
    <author>tc={317A5D69-F8DF-40A1-A114-E4883701539C}</author>
    <author>tc={855A1039-47CC-408D-A8CB-FF8BD5FA9B6D}</author>
    <author>Marcio Alves</author>
    <author>tc={E7BFBC47-11CF-4A9F-8078-A8EB6FE3A9FA}</author>
    <author>tc={E1B3F637-CC89-4C61-AD23-39C08DAD40D2}</author>
    <author>tc={EA8D5FD0-C3AB-4408-8E62-2435299A35A0}</author>
    <author>tc={AC327225-B4AC-4FDC-8AFB-9B1636991F22}</author>
    <author>tc={21BFF02C-A395-44E0-8B04-97E2F7B952EC}</author>
    <author>tc={271F0767-02C7-40D1-BD03-056F66D2EEFC}</author>
  </authors>
  <commentList>
    <comment ref="CP5" authorId="0" shapeId="0" xr:uid="{4269BCD2-FEAC-48F1-872B-9CA44A21B65A}">
      <text>
        <r>
          <rPr>
            <sz val="11"/>
            <color theme="1"/>
            <rFont val="Calibri"/>
            <scheme val="minor"/>
          </rPr>
          <t>Fagner Brasil:
Novo grupo apartir de julho</t>
        </r>
      </text>
    </comment>
    <comment ref="BX7" authorId="1" shapeId="0" xr:uid="{5EB151F1-2C41-4042-BCFF-F0553E1E44B3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7" authorId="2" shapeId="0" xr:uid="{4361FAFC-2356-4B84-AECB-531BFC65A286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7" authorId="3" shapeId="0" xr:uid="{317A5D69-F8DF-40A1-A114-E4883701539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7" authorId="4" shapeId="0" xr:uid="{855A1039-47CC-408D-A8CB-FF8BD5FA9B6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DB21" authorId="5" shapeId="0" xr:uid="{A7A8C87D-AB1B-40AE-A2F7-A0D1D0EA6F3C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C21" authorId="5" shapeId="0" xr:uid="{BE23E30F-DBC9-4CF0-8B5B-6B95DB284E1E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DP21" authorId="5" shapeId="0" xr:uid="{0145359E-CDAB-4E7C-8826-CDC9A67B66CE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Q21" authorId="5" shapeId="0" xr:uid="{851132FC-DA88-446F-A847-1FC99F157D1B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BZ23" authorId="6" shapeId="0" xr:uid="{E7BFBC47-11CF-4A9F-8078-A8EB6FE3A9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3" authorId="7" shapeId="0" xr:uid="{E1B3F637-CC89-4C61-AD23-39C08DAD40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24" authorId="8" shapeId="0" xr:uid="{EA8D5FD0-C3AB-4408-8E62-2435299A35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4" authorId="9" shapeId="0" xr:uid="{AC327225-B4AC-4FDC-8AFB-9B1636991F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CJ80" authorId="10" shapeId="0" xr:uid="{21BFF02C-A395-44E0-8B04-97E2F7B952EC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do dia 15.01
Reply:
    até 14.01 prod 54.240</t>
      </text>
    </comment>
    <comment ref="BZ90" authorId="11" shapeId="0" xr:uid="{271F0767-02C7-40D1-BD03-056F66D2EE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Fagner Brasil</author>
    <author>tc={23A761DE-DC45-4F76-B255-C5FEACED9CC9}</author>
    <author>tc={B11E7532-8668-449B-87A7-CBD9936D1E80}</author>
    <author>tc={A83433A3-AA61-4461-AC32-1EF966846FE6}</author>
    <author>tc={FE881644-E587-4043-BFAC-2563C1A44C3D}</author>
    <author>Marcio Alves</author>
    <author>tc={24C87172-C003-4D07-AA5B-B1D8371355E8}</author>
    <author>tc={349FF9BB-135B-4010-ACED-9BFAEBC6E3DC}</author>
    <author>tc={D30A52B4-7A20-4D00-88CF-9A4F1FDC0772}</author>
    <author>tc={06351F85-4B5C-4BCF-9BC7-FEF0B9F7FDD2}</author>
    <author>tc={74BFA35B-DD61-40CB-B32B-87D3502C378A}</author>
    <author>tc={068F61BC-EE18-4606-8AA7-7E964B03457E}</author>
  </authors>
  <commentList>
    <comment ref="CP5" authorId="0" shapeId="0" xr:uid="{566FDDB9-6B08-443D-8082-F59BF1CDECD8}">
      <text>
        <r>
          <rPr>
            <sz val="11"/>
            <color theme="1"/>
            <rFont val="Calibri"/>
            <scheme val="minor"/>
          </rPr>
          <t>Fagner Brasil:
Novo grupo apartir de julho</t>
        </r>
      </text>
    </comment>
    <comment ref="BX7" authorId="1" shapeId="0" xr:uid="{23A761DE-DC45-4F76-B255-C5FEACED9CC9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7" authorId="2" shapeId="0" xr:uid="{B11E7532-8668-449B-87A7-CBD9936D1E80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7" authorId="3" shapeId="0" xr:uid="{A83433A3-AA61-4461-AC32-1EF966846FE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7" authorId="4" shapeId="0" xr:uid="{FE881644-E587-4043-BFAC-2563C1A44C3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DB22" authorId="5" shapeId="0" xr:uid="{798932E7-56D7-497C-B799-87D3BF00681A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C22" authorId="5" shapeId="0" xr:uid="{75DF8BFD-3717-4BB4-947E-BD55FC64D276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DP22" authorId="5" shapeId="0" xr:uid="{3049A7E5-D665-4754-8E62-A0A183EBBA29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Q22" authorId="5" shapeId="0" xr:uid="{B494C1D9-A2A7-45B6-B35E-79516724BB41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BZ24" authorId="6" shapeId="0" xr:uid="{24C87172-C003-4D07-AA5B-B1D8371355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4" authorId="7" shapeId="0" xr:uid="{349FF9BB-135B-4010-ACED-9BFAEBC6E3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25" authorId="8" shapeId="0" xr:uid="{D30A52B4-7A20-4D00-88CF-9A4F1FDC07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5" authorId="9" shapeId="0" xr:uid="{06351F85-4B5C-4BCF-9BC7-FEF0B9F7FD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CJ81" authorId="10" shapeId="0" xr:uid="{74BFA35B-DD61-40CB-B32B-87D3502C378A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do dia 15.01
Reply:
    até 14.01 prod 54.240</t>
      </text>
    </comment>
    <comment ref="BZ91" authorId="11" shapeId="0" xr:uid="{068F61BC-EE18-4606-8AA7-7E964B0345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Fagner Brasil</author>
    <author>tc={51C75C66-DD33-4650-A7E0-C60FF871631B}</author>
    <author>tc={719DEB1D-008C-4C64-BD90-C84A18C657FE}</author>
    <author>tc={32C3614A-7927-4B24-9BE5-6778C48D8522}</author>
    <author>tc={D6512C7B-B271-4938-95DE-498D70D2E90E}</author>
    <author>Marcio Alves</author>
    <author>tc={A7678BD4-E12A-42CC-AE97-B88E51A88992}</author>
    <author>tc={96F025CF-71B2-49E1-8268-A9D05C450472}</author>
    <author>tc={13ACF715-D783-4342-B0AC-B15DA51E18E5}</author>
    <author>tc={6EDD70BA-1C14-492A-A4FC-91B7398E3B04}</author>
    <author>tc={215BA329-5F06-49C9-978D-33F7782F92CE}</author>
    <author>tc={14D11D2F-7869-4B09-B94E-D164F56570C7}</author>
  </authors>
  <commentList>
    <comment ref="CP5" authorId="0" shapeId="0" xr:uid="{60260B87-7558-4C0D-80A3-FF974D124C71}">
      <text>
        <r>
          <rPr>
            <sz val="11"/>
            <color theme="1"/>
            <rFont val="Calibri"/>
            <scheme val="minor"/>
          </rPr>
          <t>Fagner Brasil:
Novo grupo apartir de julho</t>
        </r>
      </text>
    </comment>
    <comment ref="BX7" authorId="1" shapeId="0" xr:uid="{51C75C66-DD33-4650-A7E0-C60FF871631B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7" authorId="2" shapeId="0" xr:uid="{719DEB1D-008C-4C64-BD90-C84A18C657FE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7" authorId="3" shapeId="0" xr:uid="{32C3614A-7927-4B24-9BE5-6778C48D852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7" authorId="4" shapeId="0" xr:uid="{D6512C7B-B271-4938-95DE-498D70D2E90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DB22" authorId="5" shapeId="0" xr:uid="{7D93541E-82B9-4ECF-9CF5-E25DD54E52A8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C22" authorId="5" shapeId="0" xr:uid="{DFC450AB-F72F-4BF3-A9AD-85EB3D770580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DP22" authorId="5" shapeId="0" xr:uid="{FEFB2D6E-C691-4191-B1AD-2C1B16F6DD43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Q22" authorId="5" shapeId="0" xr:uid="{0FBAE239-4E3E-4B0B-AA24-8A1EC6E957E2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BZ24" authorId="6" shapeId="0" xr:uid="{A7678BD4-E12A-42CC-AE97-B88E51A889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4" authorId="7" shapeId="0" xr:uid="{96F025CF-71B2-49E1-8268-A9D05C4504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25" authorId="8" shapeId="0" xr:uid="{13ACF715-D783-4342-B0AC-B15DA51E18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5" authorId="9" shapeId="0" xr:uid="{6EDD70BA-1C14-492A-A4FC-91B7398E3B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CJ81" authorId="10" shapeId="0" xr:uid="{215BA329-5F06-49C9-978D-33F7782F92CE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do dia 15.01
Reply:
    até 14.01 prod 54.240</t>
      </text>
    </comment>
    <comment ref="BZ91" authorId="11" shapeId="0" xr:uid="{14D11D2F-7869-4B09-B94E-D164F56570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Fagner Brasil</author>
    <author>tc={CF5DAC0F-9C78-47A9-9765-B7EF11909422}</author>
    <author>tc={F4526840-C558-4F4E-8414-D73910733C29}</author>
    <author>tc={FFA54565-10E7-45F5-AAF4-B70695E7FA14}</author>
    <author>tc={2454E2A9-1A5F-41AA-95FB-4AC84DD665D9}</author>
    <author>Marcio Alves</author>
    <author>tc={00CE07CF-0531-416D-94AF-D1E9E5E81DC6}</author>
    <author>tc={3C3F0A1A-33DA-4112-BB1E-0C52BEAA2BC6}</author>
    <author>tc={E1254D4A-BE38-463D-A794-D7A27E092EC2}</author>
    <author>tc={99E14D1F-116A-4FF7-845E-713159846253}</author>
    <author>tc={7842ADD8-BCF7-4413-9CA1-986D678CC52A}</author>
    <author>tc={6996C360-E6DD-46A6-B160-07583ACF8042}</author>
  </authors>
  <commentList>
    <comment ref="CP5" authorId="0" shapeId="0" xr:uid="{546F9916-66C2-4AF2-82B5-629092DC20BD}">
      <text>
        <r>
          <rPr>
            <sz val="11"/>
            <color theme="1"/>
            <rFont val="Calibri"/>
            <scheme val="minor"/>
          </rPr>
          <t>Fagner Brasil:
Novo grupo apartir de julho</t>
        </r>
      </text>
    </comment>
    <comment ref="BX7" authorId="1" shapeId="0" xr:uid="{CF5DAC0F-9C78-47A9-9765-B7EF11909422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7" authorId="2" shapeId="0" xr:uid="{F4526840-C558-4F4E-8414-D73910733C29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7" authorId="3" shapeId="0" xr:uid="{FFA54565-10E7-45F5-AAF4-B70695E7FA1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7" authorId="4" shapeId="0" xr:uid="{2454E2A9-1A5F-41AA-95FB-4AC84DD665D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DB22" authorId="5" shapeId="0" xr:uid="{688DC979-AC8F-4D72-956A-E89D97F69DFD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C22" authorId="5" shapeId="0" xr:uid="{B00E750B-C2D3-4825-91BF-DAB3F58FBA47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DP22" authorId="5" shapeId="0" xr:uid="{E3AB017F-A337-4C82-AE44-83F40E6D5337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Q22" authorId="5" shapeId="0" xr:uid="{4EF50C36-CB61-49D4-9276-50ED74ACBC0E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BZ24" authorId="6" shapeId="0" xr:uid="{00CE07CF-0531-416D-94AF-D1E9E5E81D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4" authorId="7" shapeId="0" xr:uid="{3C3F0A1A-33DA-4112-BB1E-0C52BEAA2B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25" authorId="8" shapeId="0" xr:uid="{E1254D4A-BE38-463D-A794-D7A27E092E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5" authorId="9" shapeId="0" xr:uid="{99E14D1F-116A-4FF7-845E-7131598462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CJ81" authorId="10" shapeId="0" xr:uid="{7842ADD8-BCF7-4413-9CA1-986D678CC52A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do dia 15.01
Reply:
    até 14.01 prod 54.240</t>
      </text>
    </comment>
    <comment ref="BZ91" authorId="11" shapeId="0" xr:uid="{6996C360-E6DD-46A6-B160-07583ACF80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Fagner Brasil</author>
    <author>tc={282DD60B-1FEA-4B3F-95A6-C8A508E895C1}</author>
    <author>tc={9A2EA00A-754D-4C2B-9255-FBB13699814A}</author>
    <author>tc={C95D9827-8D7D-4C06-BE8F-5E34C9AA9CB0}</author>
    <author>tc={CD29E9C9-E0D6-467B-A01C-D72DE1663927}</author>
    <author>Marcio Alves</author>
    <author>tc={5E2C55B0-EE63-477C-9C86-EFF291D5D66A}</author>
    <author>tc={CCF9906E-7204-4C2B-8BB2-2A09A7B8E877}</author>
    <author>tc={7B56A043-888F-4AEF-B341-96155CAC819E}</author>
    <author>tc={36E15EE8-A7BF-4F96-ACF5-3E3734B09534}</author>
    <author>tc={16EE5D7E-D171-4A01-8764-B8DFD3B6E066}</author>
    <author>tc={1125AAC9-BD6C-4C41-AA44-D60D51ED52DB}</author>
  </authors>
  <commentList>
    <comment ref="CP5" authorId="0" shapeId="0" xr:uid="{817EA84A-4ED8-467B-ACC7-D8EBD1FF1978}">
      <text>
        <r>
          <rPr>
            <sz val="11"/>
            <color theme="1"/>
            <rFont val="Calibri"/>
            <scheme val="minor"/>
          </rPr>
          <t>Fagner Brasil:
Novo grupo apartir de julho</t>
        </r>
      </text>
    </comment>
    <comment ref="BX7" authorId="1" shapeId="0" xr:uid="{282DD60B-1FEA-4B3F-95A6-C8A508E895C1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7" authorId="2" shapeId="0" xr:uid="{9A2EA00A-754D-4C2B-9255-FBB13699814A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7" authorId="3" shapeId="0" xr:uid="{C95D9827-8D7D-4C06-BE8F-5E34C9AA9CB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7" authorId="4" shapeId="0" xr:uid="{CD29E9C9-E0D6-467B-A01C-D72DE166392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DB22" authorId="5" shapeId="0" xr:uid="{84FA94A6-874E-4A51-B8DB-4E69A2D03AD2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C22" authorId="5" shapeId="0" xr:uid="{E422D392-000A-4E30-AAAE-12F8F11AC72C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DP22" authorId="5" shapeId="0" xr:uid="{6286F0BA-1EFE-409E-9D1F-E793184A52D9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Q22" authorId="5" shapeId="0" xr:uid="{94E40AA0-28DF-4257-868B-89CC74A21A12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BZ24" authorId="6" shapeId="0" xr:uid="{5E2C55B0-EE63-477C-9C86-EFF291D5D6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4" authorId="7" shapeId="0" xr:uid="{CCF9906E-7204-4C2B-8BB2-2A09A7B8E8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25" authorId="8" shapeId="0" xr:uid="{7B56A043-888F-4AEF-B341-96155CAC81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5" authorId="9" shapeId="0" xr:uid="{36E15EE8-A7BF-4F96-ACF5-3E3734B095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CJ81" authorId="10" shapeId="0" xr:uid="{16EE5D7E-D171-4A01-8764-B8DFD3B6E066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do dia 15.01
Reply:
    até 14.01 prod 54.240</t>
      </text>
    </comment>
    <comment ref="BZ91" authorId="11" shapeId="0" xr:uid="{1125AAC9-BD6C-4C41-AA44-D60D51ED52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Fagner Brasil</author>
    <author>tc={8033A7DA-45B1-4C8A-A05C-44B458F2B8FA}</author>
    <author>tc={74B55E3C-992D-4701-804B-3F6F1CB68F39}</author>
    <author>tc={3D77091B-888B-4743-A80B-9AC0770E5289}</author>
    <author>tc={D93C8109-A7BB-456B-A8FF-FD15BE4B0DEE}</author>
    <author>Marcio Alves</author>
    <author>tc={0A61837E-90E0-41E1-9CF6-CD0F546128DA}</author>
    <author>tc={44881627-EBAA-49D7-A890-72BB85058EC7}</author>
    <author>tc={5371B708-71DF-4EBE-ADBA-EFC7AD675406}</author>
    <author>tc={8A9C6925-28EB-43CF-A6E8-C7053EE14A1D}</author>
    <author>tc={B015AE49-FC68-4190-83DA-9409FF7321E5}</author>
    <author>tc={C7F2C2A1-B44E-408F-9FED-C558E85BFF50}</author>
  </authors>
  <commentList>
    <comment ref="CP5" authorId="0" shapeId="0" xr:uid="{EFC66659-0CE5-453F-AC2F-E3942AE2E34E}">
      <text>
        <r>
          <rPr>
            <sz val="11"/>
            <color theme="1"/>
            <rFont val="Calibri"/>
            <scheme val="minor"/>
          </rPr>
          <t>Fagner Brasil:
Novo grupo apartir de julho</t>
        </r>
      </text>
    </comment>
    <comment ref="BX7" authorId="1" shapeId="0" xr:uid="{8033A7DA-45B1-4C8A-A05C-44B458F2B8FA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7" authorId="2" shapeId="0" xr:uid="{74B55E3C-992D-4701-804B-3F6F1CB68F39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7" authorId="3" shapeId="0" xr:uid="{3D77091B-888B-4743-A80B-9AC0770E528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7" authorId="4" shapeId="0" xr:uid="{D93C8109-A7BB-456B-A8FF-FD15BE4B0DE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DB22" authorId="5" shapeId="0" xr:uid="{ED9190D4-42A9-41E8-8E5B-39A9AA70DFCD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C22" authorId="5" shapeId="0" xr:uid="{85CF7E0C-32FA-4EA1-AAB5-C6146689A0D2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DP22" authorId="5" shapeId="0" xr:uid="{62438D7B-5218-499F-9DED-A8993A26EF95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Q22" authorId="5" shapeId="0" xr:uid="{3E9F63C8-5B32-43D6-83B7-319D5628BD2B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BZ24" authorId="6" shapeId="0" xr:uid="{0A61837E-90E0-41E1-9CF6-CD0F546128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4" authorId="7" shapeId="0" xr:uid="{44881627-EBAA-49D7-A890-72BB85058E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25" authorId="8" shapeId="0" xr:uid="{5371B708-71DF-4EBE-ADBA-EFC7AD6754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5" authorId="9" shapeId="0" xr:uid="{8A9C6925-28EB-43CF-A6E8-C7053EE14A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CJ81" authorId="10" shapeId="0" xr:uid="{B015AE49-FC68-4190-83DA-9409FF7321E5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do dia 15.01
Reply:
    até 14.01 prod 54.240</t>
      </text>
    </comment>
    <comment ref="BZ91" authorId="11" shapeId="0" xr:uid="{C7F2C2A1-B44E-408F-9FED-C558E85BFF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Fagner Brasil</author>
    <author>tc={E4CB58A1-2963-4079-BE30-E0C9DE057DC0}</author>
    <author>tc={80E8122B-7A5F-47DE-9083-60A884475383}</author>
    <author>tc={18A47295-8F20-402A-8F62-8C6E6305BD5D}</author>
    <author>tc={56FF48D0-098E-40A9-81B4-3DAC9BD46E2E}</author>
    <author>Marcio Alves</author>
    <author>tc={05501B3F-7BE3-4D84-B0CF-F8705810B46A}</author>
    <author>tc={E1F8B793-35F9-4B4E-8C35-08059E9E6F4E}</author>
    <author>tc={57CEE6D4-CA2E-4C92-AA4C-76CABB4C821D}</author>
    <author>tc={B900E611-68AD-43F5-82C8-3142B3AC62B6}</author>
    <author>tc={8571A8C4-E4D3-4561-A23A-07BB578DB5C9}</author>
    <author>tc={A6A84214-14B5-4DDB-8C79-0A79BDBB1998}</author>
    <author>tc={1A184AC9-5902-463B-AC4B-96B0C605E0B5}</author>
    <author>tc={4FE217DC-A3CE-42A1-88FF-7285E4F0F229}</author>
    <author>tc={0D9D6425-0314-44C0-BFBE-DB283465BD5D}</author>
    <author>tc={1B98161E-F470-47F6-8357-A563A3DF6A66}</author>
  </authors>
  <commentList>
    <comment ref="CP6" authorId="0" shapeId="0" xr:uid="{A994C10C-61C6-4001-8D4E-AF3327B270A5}">
      <text>
        <r>
          <rPr>
            <sz val="11"/>
            <color theme="1"/>
            <rFont val="Calibri"/>
            <scheme val="minor"/>
          </rPr>
          <t>Fagner Brasil:
Novo grupo apartir de julho</t>
        </r>
      </text>
    </comment>
    <comment ref="BX8" authorId="1" shapeId="0" xr:uid="{E4CB58A1-2963-4079-BE30-E0C9DE057DC0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8" authorId="2" shapeId="0" xr:uid="{80E8122B-7A5F-47DE-9083-60A884475383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8" authorId="3" shapeId="0" xr:uid="{18A47295-8F20-402A-8F62-8C6E6305BD5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8" authorId="4" shapeId="0" xr:uid="{56FF48D0-098E-40A9-81B4-3DAC9BD46E2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DB23" authorId="5" shapeId="0" xr:uid="{70DB012C-03AB-47A8-BA12-053265A21FB4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C23" authorId="5" shapeId="0" xr:uid="{11DD22C3-0E9C-4776-9288-BE25FCAF34C7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DP23" authorId="5" shapeId="0" xr:uid="{72B2FD12-BF0B-4B6D-98C7-1F77167B92AB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Q23" authorId="5" shapeId="0" xr:uid="{9C419185-9528-43CA-B80F-D57D4926D4A0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BZ25" authorId="6" shapeId="0" xr:uid="{05501B3F-7BE3-4D84-B0CF-F8705810B4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5" authorId="7" shapeId="0" xr:uid="{E1F8B793-35F9-4B4E-8C35-08059E9E6F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26" authorId="8" shapeId="0" xr:uid="{57CEE6D4-CA2E-4C92-AA4C-76CABB4C82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6" authorId="9" shapeId="0" xr:uid="{B900E611-68AD-43F5-82C8-3142B3AC62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DO39" authorId="10" shapeId="0" xr:uid="{8571A8C4-E4D3-4561-A23A-07BB578DB5C9}">
      <text>
        <t>[Threaded comment]
Your version of Excel allows you to read this threaded comment; however, any edits to it will get removed if the file is opened in a newer version of Excel. Learn more: https://go.microsoft.com/fwlink/?linkid=870924
Comment:
    sinistrp -aplicado aumento de 10%</t>
      </text>
    </comment>
    <comment ref="DP39" authorId="11" shapeId="0" xr:uid="{A6A84214-14B5-4DDB-8C79-0A79BDBB1998}">
      <text>
        <t>[Threaded comment]
Your version of Excel allows you to read this threaded comment; however, any edits to it will get removed if the file is opened in a newer version of Excel. Learn more: https://go.microsoft.com/fwlink/?linkid=870924
Comment:
    sinistrp -aplicado aumento de 10%</t>
      </text>
    </comment>
    <comment ref="CJ82" authorId="12" shapeId="0" xr:uid="{1A184AC9-5902-463B-AC4B-96B0C605E0B5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do dia 15.01
Reply:
    até 14.01 prod 54.240</t>
      </text>
    </comment>
    <comment ref="BZ92" authorId="13" shapeId="0" xr:uid="{4FE217DC-A3CE-42A1-88FF-7285E4F0F2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  <comment ref="DO123" authorId="14" shapeId="0" xr:uid="{0D9D6425-0314-44C0-BFBE-DB283465BD5D}">
      <text>
        <t>[Threaded comment]
Your version of Excel allows you to read this threaded comment; however, any edits to it will get removed if the file is opened in a newer version of Excel. Learn more: https://go.microsoft.com/fwlink/?linkid=870924
Comment:
    sinistrp -aplicado aumento de 10%</t>
      </text>
    </comment>
    <comment ref="DP123" authorId="15" shapeId="0" xr:uid="{1B98161E-F470-47F6-8357-A563A3DF6A66}">
      <text>
        <t>[Threaded comment]
Your version of Excel allows you to read this threaded comment; however, any edits to it will get removed if the file is opened in a newer version of Excel. Learn more: https://go.microsoft.com/fwlink/?linkid=870924
Comment:
    sinistrp -aplicado aumento de 10%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Fagner Brasil</author>
    <author>tc={E6C8B2BC-3045-4A02-8DB9-250E8BE633E7}</author>
    <author>tc={E04C8646-3AA0-4FB1-9055-1CA1A4F85F4E}</author>
    <author>tc={8C60B867-7B33-4D80-A3A3-4E80B3DE54B2}</author>
    <author>tc={3E95AE1C-1913-488B-8BF9-2D79DAA29272}</author>
    <author>Marcio Alves</author>
    <author>tc={D33BB558-94B0-4CAC-BAF6-9A07F7FB6466}</author>
    <author>tc={CE7B41B3-4397-4680-BEDF-D8DAE79D1DBD}</author>
    <author>tc={5A42026E-08BB-4260-83FE-D5526558BEB2}</author>
    <author>tc={B3B32334-2167-4587-A4DA-3600D4ED1A91}</author>
    <author>tc={E311CC9A-DB7D-42B8-80BE-DDD50493AEBB}</author>
    <author>tc={2C6928F3-BB2A-4409-901A-A2C1C62A5056}</author>
    <author>tc={CD89CFB4-EA2C-46FC-939C-CFDACF7E4A2D}</author>
    <author>tc={655C6449-0395-4073-A39B-6F363DAB2C02}</author>
    <author>tc={52F008A3-614E-4AEE-A8D2-60D3DE4429A1}</author>
    <author>tc={F2EEECD6-683B-4E40-B9E9-AE98415FD5B9}</author>
  </authors>
  <commentList>
    <comment ref="CP6" authorId="0" shapeId="0" xr:uid="{5AD9FFA2-72D4-410F-A6D8-6076D755D165}">
      <text>
        <r>
          <rPr>
            <sz val="11"/>
            <color theme="1"/>
            <rFont val="Calibri"/>
            <scheme val="minor"/>
          </rPr>
          <t>Fagner Brasil:
Novo grupo apartir de julho</t>
        </r>
      </text>
    </comment>
    <comment ref="BX8" authorId="1" shapeId="0" xr:uid="{E6C8B2BC-3045-4A02-8DB9-250E8BE633E7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8" authorId="2" shapeId="0" xr:uid="{E04C8646-3AA0-4FB1-9055-1CA1A4F85F4E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8" authorId="3" shapeId="0" xr:uid="{8C60B867-7B33-4D80-A3A3-4E80B3DE54B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8" authorId="4" shapeId="0" xr:uid="{3E95AE1C-1913-488B-8BF9-2D79DAA2927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DB23" authorId="5" shapeId="0" xr:uid="{7AADE006-BDDB-4D2E-9C19-5199F174596F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C23" authorId="5" shapeId="0" xr:uid="{54D7BB97-89D1-478C-BB5E-523D28D6E9A0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DP23" authorId="5" shapeId="0" xr:uid="{C2F33500-90BE-4D1B-A970-0C1602F2A6F4}">
      <text>
        <r>
          <rPr>
            <sz val="11"/>
            <color theme="1"/>
            <rFont val="Calibri"/>
            <scheme val="minor"/>
          </rPr>
          <t xml:space="preserve">Marcio Alves:
10.000 de mostruário verão 27
saldo 7.000 inverno para junho
</t>
        </r>
      </text>
    </comment>
    <comment ref="DQ23" authorId="5" shapeId="0" xr:uid="{1B827E91-306B-4404-91E6-9EB15415CF66}">
      <text>
        <r>
          <rPr>
            <sz val="11"/>
            <color theme="1"/>
            <rFont val="Calibri"/>
            <scheme val="minor"/>
          </rPr>
          <t>Marcio Alves:
verão 27 - 50.000 
sobra projetada 2.292 peças  = 1,3%</t>
        </r>
      </text>
    </comment>
    <comment ref="BZ25" authorId="6" shapeId="0" xr:uid="{D33BB558-94B0-4CAC-BAF6-9A07F7FB64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5" authorId="7" shapeId="0" xr:uid="{CE7B41B3-4397-4680-BEDF-D8DAE79D1D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26" authorId="8" shapeId="0" xr:uid="{5A42026E-08BB-4260-83FE-D5526558BE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26" authorId="9" shapeId="0" xr:uid="{B3B32334-2167-4587-A4DA-3600D4ED1A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DO39" authorId="10" shapeId="0" xr:uid="{E311CC9A-DB7D-42B8-80BE-DDD50493AEBB}">
      <text>
        <t>[Threaded comment]
Your version of Excel allows you to read this threaded comment; however, any edits to it will get removed if the file is opened in a newer version of Excel. Learn more: https://go.microsoft.com/fwlink/?linkid=870924
Comment:
    sinistrp -aplicado aumento de 10%</t>
      </text>
    </comment>
    <comment ref="DP39" authorId="11" shapeId="0" xr:uid="{2C6928F3-BB2A-4409-901A-A2C1C62A5056}">
      <text>
        <t>[Threaded comment]
Your version of Excel allows you to read this threaded comment; however, any edits to it will get removed if the file is opened in a newer version of Excel. Learn more: https://go.microsoft.com/fwlink/?linkid=870924
Comment:
    sinistrp -aplicado aumento de 10%</t>
      </text>
    </comment>
    <comment ref="CJ82" authorId="12" shapeId="0" xr:uid="{CD89CFB4-EA2C-46FC-939C-CFDACF7E4A2D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do dia 15.01
Reply:
    até 14.01 prod 54.240</t>
      </text>
    </comment>
    <comment ref="BZ92" authorId="13" shapeId="0" xr:uid="{655C6449-0395-4073-A39B-6F363DAB2C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  <comment ref="DO123" authorId="14" shapeId="0" xr:uid="{52F008A3-614E-4AEE-A8D2-60D3DE4429A1}">
      <text>
        <t>[Threaded comment]
Your version of Excel allows you to read this threaded comment; however, any edits to it will get removed if the file is opened in a newer version of Excel. Learn more: https://go.microsoft.com/fwlink/?linkid=870924
Comment:
    sinistrp -aplicado aumento de 10%</t>
      </text>
    </comment>
    <comment ref="DP123" authorId="15" shapeId="0" xr:uid="{F2EEECD6-683B-4E40-B9E9-AE98415FD5B9}">
      <text>
        <t>[Threaded comment]
Your version of Excel allows you to read this threaded comment; however, any edits to it will get removed if the file is opened in a newer version of Excel. Learn more: https://go.microsoft.com/fwlink/?linkid=870924
Comment:
    sinistrp -aplicado aumento de 10%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Fagner Brasil</author>
    <author>tc={A367BA13-A76F-4A67-88C1-AB9157DEF26A}</author>
    <author>tc={E897906C-9A19-4603-BED6-0FD1EC951E23}</author>
    <author>tc={A1490143-16D5-46EE-A429-C65075E3D9F7}</author>
    <author>tc={1D69BD5F-E126-474F-A3FD-B6CC98AB8AA6}</author>
    <author>tc={091E45E2-E015-469C-AF0B-7C146CDEEC63}</author>
    <author>tc={495CCA4C-8AEB-4CB7-AFFF-04A62D9E13E6}</author>
    <author>tc={C24F66FE-BE2C-4DCD-9050-DF87819FC981}</author>
    <author>tc={6D64F733-CA6E-47C6-98ED-F3F977676B23}</author>
    <author>tc={BADBA18B-5D4C-422E-93CF-8887738967DC}</author>
    <author>tc={DE001DF3-597A-4CCD-89AF-F3D089C9B333}</author>
  </authors>
  <commentList>
    <comment ref="CP5" authorId="0" shapeId="0" xr:uid="{799144F1-D1F8-4FB2-AD8D-949A32CF5996}">
      <text>
        <r>
          <rPr>
            <sz val="11"/>
            <color theme="1"/>
            <rFont val="Calibri"/>
            <scheme val="minor"/>
          </rPr>
          <t>Fagner Brasil:
Novo grupo apartir de julho</t>
        </r>
      </text>
    </comment>
    <comment ref="BX7" authorId="1" shapeId="0" xr:uid="{A367BA13-A76F-4A67-88C1-AB9157DEF26A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7" authorId="2" shapeId="0" xr:uid="{E897906C-9A19-4603-BED6-0FD1EC951E23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7" authorId="3" shapeId="0" xr:uid="{A1490143-16D5-46EE-A429-C65075E3D9F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7" authorId="4" shapeId="0" xr:uid="{1D69BD5F-E126-474F-A3FD-B6CC98AB8AA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BZ17" authorId="5" shapeId="0" xr:uid="{091E45E2-E015-469C-AF0B-7C146CDEEC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17" authorId="6" shapeId="0" xr:uid="{495CCA4C-8AEB-4CB7-AFFF-04A62D9E13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18" authorId="7" shapeId="0" xr:uid="{C24F66FE-BE2C-4DCD-9050-DF87819FC9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18" authorId="8" shapeId="0" xr:uid="{6D64F733-CA6E-47C6-98ED-F3F977676B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CJ71" authorId="9" shapeId="0" xr:uid="{BADBA18B-5D4C-422E-93CF-8887738967DC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do dia 15.01
Reply:
    até 14.01 prod 54.240</t>
      </text>
    </comment>
    <comment ref="BZ79" authorId="10" shapeId="0" xr:uid="{DE001DF3-597A-4CCD-89AF-F3D089C9B3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tc={34EF8CE3-83DB-4AD1-B5E8-08C589434930}</author>
    <author>tc={9D2F0F7F-E62A-4ABE-89B0-2D01E2AEAD21}</author>
    <author>tc={64F8C8BF-28A1-4454-99A6-3C69191ADB3E}</author>
    <author>tc={668A6EFE-488C-403C-80E1-EA5CE265260F}</author>
    <author>tc={CB16381B-3780-426F-A5F6-82FBE724AB46}</author>
    <author>tc={3A4059C6-BD18-4C8A-9DDB-5CDF022B77C8}</author>
    <author>tc={23C702E0-EC9C-43B2-BA99-C882C0616E1A}</author>
    <author>tc={C55A440C-E31E-4B64-A9AB-BBF35A4DD9D3}</author>
    <author>tc={34A839B3-2359-40FF-BED8-C0C86A058181}</author>
    <author>tc={0CDF184C-5928-4F8C-8214-9D31F11D4D15}</author>
  </authors>
  <commentList>
    <comment ref="BX7" authorId="0" shapeId="0" xr:uid="{34EF8CE3-83DB-4AD1-B5E8-08C589434930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7" authorId="1" shapeId="0" xr:uid="{9D2F0F7F-E62A-4ABE-89B0-2D01E2AEAD21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7" authorId="2" shapeId="0" xr:uid="{64F8C8BF-28A1-4454-99A6-3C69191ADB3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7" authorId="3" shapeId="0" xr:uid="{668A6EFE-488C-403C-80E1-EA5CE265260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BZ17" authorId="4" shapeId="0" xr:uid="{CB16381B-3780-426F-A5F6-82FBE724AB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17" authorId="5" shapeId="0" xr:uid="{3A4059C6-BD18-4C8A-9DDB-5CDF022B77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18" authorId="6" shapeId="0" xr:uid="{23C702E0-EC9C-43B2-BA99-C882C0616E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18" authorId="7" shapeId="0" xr:uid="{C55A440C-E31E-4B64-A9AB-BBF35A4DD9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CJ71" authorId="8" shapeId="0" xr:uid="{34A839B3-2359-40FF-BED8-C0C86A058181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do dia 15.01
Reply:
    até 14.01 prod 54.240</t>
      </text>
    </comment>
    <comment ref="BZ79" authorId="9" shapeId="0" xr:uid="{0CDF184C-5928-4F8C-8214-9D31F11D4D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tc={4F1E667D-ABC1-415C-8999-8DEC0EBD5424}</author>
    <author>tc={DF838332-D1E8-46A0-BDA3-B62139356591}</author>
    <author>tc={529E1A0E-FAB1-4B9A-B1CD-6D30D66E4C1A}</author>
    <author>tc={DA2E0749-5D53-4FBE-85BE-53733DCA09A7}</author>
    <author>tc={FA05EEC3-5B30-4328-A84F-4B7439C9BA1D}</author>
    <author>tc={94A4A469-8160-4EF8-A706-062F33775777}</author>
    <author>tc={A526CCE9-85C0-4B11-B3CD-06DAA05C02C5}</author>
    <author>tc={28C34CCA-5A65-49B5-B89D-B7237FE7F356}</author>
    <author>tc={04230ABC-E418-4E93-AD5B-47694E255EC1}</author>
  </authors>
  <commentList>
    <comment ref="BX7" authorId="0" shapeId="0" xr:uid="{4F1E667D-ABC1-415C-8999-8DEC0EBD5424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7" authorId="1" shapeId="0" xr:uid="{DF838332-D1E8-46A0-BDA3-B62139356591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7" authorId="2" shapeId="0" xr:uid="{529E1A0E-FAB1-4B9A-B1CD-6D30D66E4C1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7" authorId="3" shapeId="0" xr:uid="{DA2E0749-5D53-4FBE-85BE-53733DCA09A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BZ15" authorId="4" shapeId="0" xr:uid="{FA05EEC3-5B30-4328-A84F-4B7439C9BA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15" authorId="5" shapeId="0" xr:uid="{94A4A469-8160-4EF8-A706-062F337757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16" authorId="6" shapeId="0" xr:uid="{A526CCE9-85C0-4B11-B3CD-06DAA05C02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16" authorId="7" shapeId="0" xr:uid="{28C34CCA-5A65-49B5-B89D-B7237FE7F3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73" authorId="8" shapeId="0" xr:uid="{04230ABC-E418-4E93-AD5B-47694E255E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tc={56574EF9-FF3C-4B82-A780-FEAAA059C717}</author>
    <author>tc={3D3B60F9-2A12-44BA-B2C9-66669ACB344F}</author>
    <author>tc={69F823A1-4A35-45D9-A6CC-771CB9A57D16}</author>
    <author>tc={20A7D89D-3F97-4BC7-AFDC-D8F3577FE498}</author>
    <author>tc={E4E1EE76-0423-4E19-93FD-574D692709F4}</author>
    <author>tc={F0FC1496-4C46-43F4-BDFA-743994F42301}</author>
    <author>tc={F9966C85-B500-4215-BBFA-22AA802565E2}</author>
    <author>tc={67B45D4D-358A-4B50-BFA2-1E96899C4FA6}</author>
    <author>tc={D7182BA8-5384-4AD2-896D-6DA75F876456}</author>
  </authors>
  <commentList>
    <comment ref="BX7" authorId="0" shapeId="0" xr:uid="{56574EF9-FF3C-4B82-A780-FEAAA059C717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7" authorId="1" shapeId="0" xr:uid="{3D3B60F9-2A12-44BA-B2C9-66669ACB344F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7" authorId="2" shapeId="0" xr:uid="{69F823A1-4A35-45D9-A6CC-771CB9A57D1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7" authorId="3" shapeId="0" xr:uid="{20A7D89D-3F97-4BC7-AFDC-D8F3577FE49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BZ15" authorId="4" shapeId="0" xr:uid="{E4E1EE76-0423-4E19-93FD-574D692709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15" authorId="5" shapeId="0" xr:uid="{F0FC1496-4C46-43F4-BDFA-743994F423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16" authorId="6" shapeId="0" xr:uid="{F9966C85-B500-4215-BBFA-22AA802565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= 6270
</t>
      </text>
    </comment>
    <comment ref="CA16" authorId="7" shapeId="0" xr:uid="{67B45D4D-358A-4B50-BFA2-1E96899C4F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maior que 6  = 11257
</t>
      </text>
    </comment>
    <comment ref="BZ73" authorId="8" shapeId="0" xr:uid="{D7182BA8-5384-4AD2-896D-6DA75F8764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tc={404EEB29-5EBF-48EE-B0B0-466021A50809}</author>
    <author>tc={C787FD29-B706-40AD-A572-6F006037D230}</author>
    <author>tc={57AF2507-C66B-4091-8215-14CAEB280175}</author>
    <author>tc={2C7E2315-655C-47FA-8819-30F594D894B3}</author>
    <author>tc={C217C11E-624B-45D0-BA0F-6A5C329783E4}</author>
  </authors>
  <commentList>
    <comment ref="BX3" authorId="0" shapeId="0" xr:uid="{404EEB29-5EBF-48EE-B0B0-466021A50809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3" authorId="1" shapeId="0" xr:uid="{C787FD29-B706-40AD-A572-6F006037D230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  <comment ref="CA3" authorId="2" shapeId="0" xr:uid="{57AF2507-C66B-4091-8215-14CAEB28017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CB3" authorId="3" shapeId="0" xr:uid="{2C7E2315-655C-47FA-8819-30F594D894B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CONTRATAÇÃO NOVO GRUPO</t>
      </text>
    </comment>
    <comment ref="BZ66" authorId="4" shapeId="0" xr:uid="{C217C11E-624B-45D0-BA0F-6A5C329783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Produziu Mostruário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tc={32321870-616E-44DF-B8F4-E7D2D9F64C17}</author>
    <author>tc={67BC27ED-5363-4778-9B6D-C948DA67FA19}</author>
  </authors>
  <commentList>
    <comment ref="BX3" authorId="0" shapeId="0" xr:uid="{32321870-616E-44DF-B8F4-E7D2D9F64C17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3" authorId="1" shapeId="0" xr:uid="{67BC27ED-5363-4778-9B6D-C948DA67FA19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tc={7F49AEC5-E0BA-44AF-8CD5-76B2826B8706}</author>
    <author>tc={3580834C-0AA1-4A6D-9F6F-1B6915B29D3F}</author>
  </authors>
  <commentList>
    <comment ref="BX3" authorId="0" shapeId="0" xr:uid="{7F49AEC5-E0BA-44AF-8CD5-76B2826B8706}">
      <text>
        <t>[Threaded comment]
Your version of Excel allows you to read this threaded comment; however, any edits to it will get removed if the file is opened in a newer version of Excel. Learn more: https://go.microsoft.com/fwlink/?linkid=870924
Comment:
    19 + 4 SABADO A 50%</t>
      </text>
    </comment>
    <comment ref="BY3" authorId="1" shapeId="0" xr:uid="{3580834C-0AA1-4A6D-9F6F-1B6915B29D3F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DIAS + 4 SABADOS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P7" authorId="0" shapeId="0" xr:uid="{00000000-0006-0000-0300-000003000000}">
      <text>
        <r>
          <rPr>
            <sz val="11"/>
            <color theme="1"/>
            <rFont val="Calibri"/>
            <scheme val="minor"/>
          </rPr>
          <t>======
ID#AAAASaiHgQc
Camila Maria    (2021-12-01 14:01:28)
a partir de novembro, começamos a considerar em linha parado itens com 3 meses de cobertura, antes eram 7 meses</t>
        </r>
      </text>
    </comment>
    <comment ref="BH61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ID#AAAAm0mPAhg
Camila Maria    (2023-01-04 16:55:03)
compensação copa</t>
        </r>
      </text>
    </comment>
    <comment ref="AW64" authorId="0" shapeId="0" xr:uid="{00000000-0006-0000-0300-000002000000}">
      <text>
        <r>
          <rPr>
            <sz val="11"/>
            <color theme="1"/>
            <rFont val="Calibri"/>
            <scheme val="minor"/>
          </rPr>
          <t>======
ID#AAAAY-Ugf5I
Camila Maria    (2022-05-03 15:30:42)
1 sábado trabalhado dia 23/04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/dqUvLkQVIRLrJ1CWtLm1OjQpA=="/>
    </ext>
  </extLst>
</comments>
</file>

<file path=xl/sharedStrings.xml><?xml version="1.0" encoding="utf-8"?>
<sst xmlns="http://schemas.openxmlformats.org/spreadsheetml/2006/main" count="11923" uniqueCount="692">
  <si>
    <t>PLANEJAMENTO FABRICA</t>
  </si>
  <si>
    <t>Férias 18/12 - 29/12</t>
  </si>
  <si>
    <t xml:space="preserve">                                     PLANEJAMENTO FABRICA</t>
  </si>
  <si>
    <t>COMPENSAÇÃO 30 ,31 ,02 e 03</t>
  </si>
  <si>
    <t>/--------------------------------------------2025</t>
  </si>
  <si>
    <t>Dias Uteis Produção</t>
  </si>
  <si>
    <t>12 dias de férias</t>
  </si>
  <si>
    <t>(-) FÉRIAS</t>
  </si>
  <si>
    <t>4 dias de compensação</t>
  </si>
  <si>
    <t>(+) SABADO</t>
  </si>
  <si>
    <t>dias de compensação 9/11 , 23/11 , 7/12 e 14/12</t>
  </si>
  <si>
    <t>(-)FERIADO</t>
  </si>
  <si>
    <t>2 grupos a partir de dezembro</t>
  </si>
  <si>
    <t>Dias Trabalhados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</si>
  <si>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</si>
  <si>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</si>
  <si>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</si>
  <si>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</si>
  <si>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</si>
  <si>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</si>
  <si>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</si>
  <si>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</si>
  <si>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</si>
  <si>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</si>
  <si>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</si>
  <si>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</si>
  <si>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</si>
  <si>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redução de meta</t>
  </si>
  <si>
    <t>ESTOQUE FÍSICO</t>
  </si>
  <si>
    <t>Total (1+2) DISPONÍVEL TOTAL</t>
  </si>
  <si>
    <t>ESTOQUE FISICO EM LINHA</t>
  </si>
  <si>
    <t>PEDIDOS EM CARTEIRA</t>
  </si>
  <si>
    <t>PROCESSO</t>
  </si>
  <si>
    <t>ESTOQUE NEGATIVO</t>
  </si>
  <si>
    <t>EM LINHA DISPONIVEL</t>
  </si>
  <si>
    <t>EM LINHA NAO COMPRAR MP DISPONIVEL</t>
  </si>
  <si>
    <t>EM LINHA PARADO (cob &gt;3) DISPONIVEL</t>
  </si>
  <si>
    <t>EM LINHA PARADO (cob &gt;6) DISPONIVEL</t>
  </si>
  <si>
    <t>FL (OPORTUNIDADES) DISPONIVEL</t>
  </si>
  <si>
    <t>EM LINHA NAO COMPRAR MP FISICO</t>
  </si>
  <si>
    <t>FL(OPORTUNIDADE) FISICO</t>
  </si>
  <si>
    <t>SALDO UTIL DE ESTOQUE</t>
  </si>
  <si>
    <t xml:space="preserve">ESTOQUE EM LINHA </t>
  </si>
  <si>
    <t>(1-3-5)</t>
  </si>
  <si>
    <t>ESTOQUE EM LINHA SEM SALDO PARADO</t>
  </si>
  <si>
    <t>(1-3-5-6+7)</t>
  </si>
  <si>
    <t>PROJEÇÃO DOS ESTOQUES DISPONIVEL</t>
  </si>
  <si>
    <t>(1-5-6+7)</t>
  </si>
  <si>
    <t>Cobertura de Estoque</t>
  </si>
  <si>
    <t>Estimativa Vendas Comercial</t>
  </si>
  <si>
    <t>10% DE CRESCIMENTO</t>
  </si>
  <si>
    <t>Estimativa de Venda para plano de produção</t>
  </si>
  <si>
    <t>Estimativa Varejo em R$</t>
  </si>
  <si>
    <t xml:space="preserve"> </t>
  </si>
  <si>
    <t>Ticket Médio R$</t>
  </si>
  <si>
    <t>Estimativa Varejo Multimarcas</t>
  </si>
  <si>
    <t>Loja Maraponga</t>
  </si>
  <si>
    <t>Loja Iguatemi</t>
  </si>
  <si>
    <t>Loja Monsenhor Tabosa</t>
  </si>
  <si>
    <t>Loja North Shopping</t>
  </si>
  <si>
    <t>Loja Dom Luis</t>
  </si>
  <si>
    <t>Loja Parangaba</t>
  </si>
  <si>
    <t>Loja Rio Mar</t>
  </si>
  <si>
    <t>Loja Joquei</t>
  </si>
  <si>
    <t>Loja Barra da Tijuca</t>
  </si>
  <si>
    <t>Loja Kennedy</t>
  </si>
  <si>
    <t>Loja Iguatemi Intimate</t>
  </si>
  <si>
    <t>Loja Salvador Shopping</t>
  </si>
  <si>
    <t>Loja Shopping Morumbi</t>
  </si>
  <si>
    <t>Loja Recife</t>
  </si>
  <si>
    <t>Porto Alegre - RS</t>
  </si>
  <si>
    <t>E-Commerce</t>
  </si>
  <si>
    <t xml:space="preserve">Estimativa Lojas </t>
  </si>
  <si>
    <t>Estimativa lojas - Transferência - expectativa de 80% a menos que a venda</t>
  </si>
  <si>
    <t>FATURAMENTO EXPEDIÇÃO META</t>
  </si>
  <si>
    <t>FATURAMENTO REAL</t>
  </si>
  <si>
    <t>Desvio Faturamento Real -Previsto</t>
  </si>
  <si>
    <t>Pendente de Faturamento</t>
  </si>
  <si>
    <t>VENDA REAL</t>
  </si>
  <si>
    <t>Varejo</t>
  </si>
  <si>
    <t>VENDA EM LINHA relizada fabrica</t>
  </si>
  <si>
    <t>Loja</t>
  </si>
  <si>
    <t>META DE VENDA LOJA EM LINHA</t>
  </si>
  <si>
    <t>Desvio Venda Real-Previsto</t>
  </si>
  <si>
    <t>VENDA REALIZADA LOJA EM LINHA</t>
  </si>
  <si>
    <t>Desvio Venda Real-Previsto %</t>
  </si>
  <si>
    <t>A Produzir no Mês corrente</t>
  </si>
  <si>
    <t>venda realizada em linha</t>
  </si>
  <si>
    <t>x</t>
  </si>
  <si>
    <t>venda prevista  em linha</t>
  </si>
  <si>
    <t>Total Produção Projetada</t>
  </si>
  <si>
    <t>Meta Fábrica</t>
  </si>
  <si>
    <t>Media Dia Fábrica</t>
  </si>
  <si>
    <t>dias trabalhados</t>
  </si>
  <si>
    <t>Total Produção 2024</t>
  </si>
  <si>
    <t>Minutos DIARO</t>
  </si>
  <si>
    <t xml:space="preserve">         </t>
  </si>
  <si>
    <t>MOSTRUARIO</t>
  </si>
  <si>
    <t>MInutos Mensal</t>
  </si>
  <si>
    <t>PRODUÇÃO</t>
  </si>
  <si>
    <t>Realizada</t>
  </si>
  <si>
    <t>Real Fábrica</t>
  </si>
  <si>
    <t xml:space="preserve">Real Oficina </t>
  </si>
  <si>
    <t>Desvio Produção Real-Previsto</t>
  </si>
  <si>
    <t>Diferença Produção x Venda</t>
  </si>
  <si>
    <t>Minutos DIARO - 2 % de absenteismo</t>
  </si>
  <si>
    <t>peças média minutos</t>
  </si>
  <si>
    <t>capacidamês minutos x peças médias</t>
  </si>
  <si>
    <t>2027 CRESCIMENTO 20%</t>
  </si>
  <si>
    <t>mais um grupo</t>
  </si>
  <si>
    <t>- 1 oficina</t>
  </si>
  <si>
    <t>com ou sem processo</t>
  </si>
  <si>
    <t>ESTOQUE FISICO DEMANDA LIMITADA INVERNO</t>
  </si>
  <si>
    <t>CARTEIRA DEMANDA LIMITADA</t>
  </si>
  <si>
    <t>PEDIDOS EM CARTEIRA PERMANENTE</t>
  </si>
  <si>
    <t>cobertura continuados</t>
  </si>
  <si>
    <t>cobertura kiss me</t>
  </si>
  <si>
    <t>EM LINHA DISPONIVEL CONTINUADOS</t>
  </si>
  <si>
    <t>DISPONIVEL KISS ME</t>
  </si>
  <si>
    <t>EM LINHA DISPONIVEL DEMANDA LIMITADA</t>
  </si>
  <si>
    <t>PROJEÇÃO DOS ESTOQUES TOTAIS</t>
  </si>
  <si>
    <t>Estimativa Varejo Multimarcas COM FL E ADERENTE</t>
  </si>
  <si>
    <t>em linha</t>
  </si>
  <si>
    <t>Estimativa Lojas  em linha</t>
  </si>
  <si>
    <t>venda em linha + lan</t>
  </si>
  <si>
    <t>venda prevista  em linha continuados</t>
  </si>
  <si>
    <t>venda prevista Kiss me</t>
  </si>
  <si>
    <t>venda prevista lançamentos ed. lim</t>
  </si>
  <si>
    <t>produção total</t>
  </si>
  <si>
    <t>Total Produção Projetada continuados</t>
  </si>
  <si>
    <t>Total produção Kiss Me</t>
  </si>
  <si>
    <t>Total Produção Projetada ed. lim</t>
  </si>
  <si>
    <t>Total Produção 2025</t>
  </si>
  <si>
    <t>mais 1 grupo sutia</t>
  </si>
  <si>
    <t>Real Fábrica 16 grupos</t>
  </si>
  <si>
    <t>Real Oficina 5 oficinas calça</t>
  </si>
  <si>
    <t>produção lançamentos ed. limi</t>
  </si>
  <si>
    <t>venda lançamento ed limitada</t>
  </si>
  <si>
    <t>plan lanc conti</t>
  </si>
  <si>
    <t>vd lan cont</t>
  </si>
  <si>
    <t>grupo + oficinas</t>
  </si>
  <si>
    <t>QUANT</t>
  </si>
  <si>
    <t>LINHA NOITE</t>
  </si>
  <si>
    <t>SUTIA</t>
  </si>
  <si>
    <t xml:space="preserve">vd kiss me </t>
  </si>
  <si>
    <t>ANATOMIC</t>
  </si>
  <si>
    <t>CALCA FABRICA</t>
  </si>
  <si>
    <t>OFICINA CALÇA</t>
  </si>
  <si>
    <t>produção real</t>
  </si>
  <si>
    <t>edição limitada</t>
  </si>
  <si>
    <t>kiss me</t>
  </si>
  <si>
    <t>ESTOQUE FISICO DEMANDA LIMITADA BASICO</t>
  </si>
  <si>
    <t>Real Oficina 4 oficinas calça</t>
  </si>
  <si>
    <r>
      <rPr>
        <b/>
        <sz val="16"/>
        <color rgb="FF000000"/>
        <rFont val="Calibri"/>
      </rPr>
      <t xml:space="preserve">PLANEJAMENTO FABRICA 23 grupos </t>
    </r>
    <r>
      <rPr>
        <b/>
        <sz val="16"/>
        <color rgb="FF00B050"/>
        <rFont val="Calibri"/>
      </rPr>
      <t>com</t>
    </r>
    <r>
      <rPr>
        <b/>
        <sz val="16"/>
        <color rgb="FF000000"/>
        <rFont val="Calibri"/>
      </rPr>
      <t xml:space="preserve"> sabado</t>
    </r>
  </si>
  <si>
    <t>2027 CRESCIMENTO 10%</t>
  </si>
  <si>
    <t xml:space="preserve">DISPONIVEL </t>
  </si>
  <si>
    <r>
      <rPr>
        <b/>
        <sz val="16"/>
        <color rgb="FF000000"/>
        <rFont val="Calibri"/>
      </rPr>
      <t xml:space="preserve">PLANEJAMENTO FABRICA 23 grupo </t>
    </r>
    <r>
      <rPr>
        <b/>
        <sz val="16"/>
        <color rgb="FFFF0000"/>
        <rFont val="Calibri"/>
      </rPr>
      <t>sem</t>
    </r>
    <r>
      <rPr>
        <b/>
        <sz val="16"/>
        <color rgb="FF000000"/>
        <rFont val="Calibri"/>
      </rPr>
      <t xml:space="preserve"> sabados</t>
    </r>
  </si>
  <si>
    <r>
      <rPr>
        <b/>
        <sz val="16"/>
        <color rgb="FF000000"/>
        <rFont val="Calibri"/>
      </rPr>
      <t xml:space="preserve">PLANEJAMENTO FABRICA - 22 grupos </t>
    </r>
    <r>
      <rPr>
        <b/>
        <sz val="16"/>
        <color rgb="FFFF0000"/>
        <rFont val="Calibri"/>
      </rPr>
      <t xml:space="preserve">com </t>
    </r>
    <r>
      <rPr>
        <b/>
        <sz val="16"/>
        <color rgb="FF000000"/>
        <rFont val="Calibri"/>
      </rPr>
      <t>sabado</t>
    </r>
  </si>
  <si>
    <r>
      <rPr>
        <b/>
        <sz val="16"/>
        <color rgb="FF000000"/>
        <rFont val="Calibri"/>
      </rPr>
      <t>PLANEJAMENTO FABRICA - 21 grupos</t>
    </r>
    <r>
      <rPr>
        <b/>
        <sz val="16"/>
        <color rgb="FF00B050"/>
        <rFont val="Calibri"/>
      </rPr>
      <t xml:space="preserve"> COM</t>
    </r>
    <r>
      <rPr>
        <b/>
        <sz val="16"/>
        <color rgb="FF000000"/>
        <rFont val="Calibri"/>
      </rPr>
      <t xml:space="preserve"> sabado</t>
    </r>
  </si>
  <si>
    <t>QUANTIDADE DE GRUPO</t>
  </si>
  <si>
    <r>
      <rPr>
        <b/>
        <sz val="16"/>
        <color rgb="FF000000"/>
        <rFont val="Calibri"/>
      </rPr>
      <t>PLANEJAMENTO FABRICA - 20 grupos</t>
    </r>
    <r>
      <rPr>
        <b/>
        <sz val="16"/>
        <color rgb="FF00B050"/>
        <rFont val="Calibri"/>
      </rPr>
      <t xml:space="preserve"> COM</t>
    </r>
    <r>
      <rPr>
        <b/>
        <sz val="16"/>
        <color rgb="FF000000"/>
        <rFont val="Calibri"/>
      </rPr>
      <t xml:space="preserve"> sabado a partir de JULHO</t>
    </r>
  </si>
  <si>
    <t>2027 CRESCIMENTO MULTIMARCAS 10% - ABRIL  E MAIO 20% (SINISTRO) - LOJAS SEM CRESCIMENTO</t>
  </si>
  <si>
    <t>ESTOQUE FISICO EM LINHA NÃO COMPRAR</t>
  </si>
  <si>
    <t xml:space="preserve">PEDIDOS EM CARTEIRA </t>
  </si>
  <si>
    <t>realizado</t>
  </si>
  <si>
    <t>% de atingimento da meta de venda</t>
  </si>
  <si>
    <t>venda real</t>
  </si>
  <si>
    <t>diferença</t>
  </si>
  <si>
    <t>venda maior que produção</t>
  </si>
  <si>
    <t>venda menor que produção</t>
  </si>
  <si>
    <t>mostruário</t>
  </si>
  <si>
    <r>
      <rPr>
        <b/>
        <sz val="16"/>
        <color rgb="FF000000"/>
        <rFont val="Calibri"/>
      </rPr>
      <t>PLANEJAMENTO FABRICA - 19 grupos</t>
    </r>
    <r>
      <rPr>
        <b/>
        <sz val="16"/>
        <color rgb="FF00B050"/>
        <rFont val="Calibri"/>
      </rPr>
      <t xml:space="preserve"> </t>
    </r>
    <r>
      <rPr>
        <b/>
        <sz val="16"/>
        <color rgb="FFFF0000"/>
        <rFont val="Calibri"/>
      </rPr>
      <t>SEM</t>
    </r>
    <r>
      <rPr>
        <b/>
        <sz val="16"/>
        <color rgb="FF000000"/>
        <rFont val="Calibri"/>
      </rPr>
      <t xml:space="preserve"> sabado</t>
    </r>
  </si>
  <si>
    <t>férias 20 dias</t>
  </si>
  <si>
    <t>2027 CRESCIMENTO MULTIMARCAS 10% (+10% sobre o que já estava)  - ABRIL  E MAIO 20% (SINISTRO) - LOJAS SEM CRESCIMENTO</t>
  </si>
  <si>
    <t>férias 20 dias 17/12 a 05/01</t>
  </si>
  <si>
    <t xml:space="preserve">férias 10 dias de 04/02 a 13/02 </t>
  </si>
  <si>
    <t>venda real lojas</t>
  </si>
  <si>
    <t>meta crescimento de 10%</t>
  </si>
  <si>
    <t xml:space="preserve">férias 15 dias </t>
  </si>
  <si>
    <t>PLANEJAMENTO FABRICA SEM FERIAS CARNAVAL</t>
  </si>
  <si>
    <t>férias 15 dias 22/12 a 05/01</t>
  </si>
  <si>
    <t>sem ferias</t>
  </si>
  <si>
    <t>em linha multimarca sem fl</t>
  </si>
  <si>
    <t>venda real lojas somente em linha sem aderente</t>
  </si>
  <si>
    <t>QUADRO COSTURA</t>
  </si>
  <si>
    <t>LOCAL/GRUPO</t>
  </si>
  <si>
    <t>TIPO</t>
  </si>
  <si>
    <t>Mix de Produção</t>
  </si>
  <si>
    <t>EFICIÊNCIA MARÇO</t>
  </si>
  <si>
    <t>PEÇAS</t>
  </si>
  <si>
    <t>IDEAL</t>
  </si>
  <si>
    <t>Qde de Pessoas REAL</t>
  </si>
  <si>
    <t>CAPACIDADE EM MINUTOS DIÁRIA</t>
  </si>
  <si>
    <t>ABSENTEISMO</t>
  </si>
  <si>
    <t>GRUPOS/OFICINAS</t>
  </si>
  <si>
    <t>CONT</t>
  </si>
  <si>
    <t>PROD</t>
  </si>
  <si>
    <t>PEÇAS MÉDIA DIA</t>
  </si>
  <si>
    <t>PEÇA DIA</t>
  </si>
  <si>
    <t xml:space="preserve"> 03 - ALEGRIA SU LUXE MODA</t>
  </si>
  <si>
    <t>SO LINHA NOITE PRODUCAO</t>
  </si>
  <si>
    <t>04 - PERSEVERANCA SU FASHION/BASICO</t>
  </si>
  <si>
    <t>Grupo Costura</t>
  </si>
  <si>
    <t>produção</t>
  </si>
  <si>
    <t>dias</t>
  </si>
  <si>
    <t>média</t>
  </si>
  <si>
    <t>sem absenteismo</t>
  </si>
  <si>
    <t xml:space="preserve"> 03 - FUTURO SU LUXE</t>
  </si>
  <si>
    <t>BO LUXE PRODUCAO</t>
  </si>
  <si>
    <t>05 - MOTIVACAO SU BASICO</t>
  </si>
  <si>
    <t>08 - CONQUISTA CA BASICO/FASHION</t>
  </si>
  <si>
    <t xml:space="preserve"> 04 - HARMONIA SU BASICO</t>
  </si>
  <si>
    <t>SO BASICO PRODUCAO</t>
  </si>
  <si>
    <t>03 - ALEGRIA SU LUXE MODA</t>
  </si>
  <si>
    <t>07 - DESAFIO CA FASHION</t>
  </si>
  <si>
    <t xml:space="preserve"> 05 - MOTIVACAO SU BASICO</t>
  </si>
  <si>
    <t>03 - FELICIDADE SU LUXE</t>
  </si>
  <si>
    <t>06 - UNIAO CA LUXE</t>
  </si>
  <si>
    <t xml:space="preserve"> 04 - PERSEVERANCA SU FASHION/BASICO</t>
  </si>
  <si>
    <t>SO FASHION PRODUCAO</t>
  </si>
  <si>
    <t>09 - LIDERANCA ANATOMIC</t>
  </si>
  <si>
    <t xml:space="preserve"> 05 - POSITIVO SU BASICO</t>
  </si>
  <si>
    <t>03 - FUTURO SU LUXE</t>
  </si>
  <si>
    <t>OFICINA - GLEDSON SOARES</t>
  </si>
  <si>
    <t xml:space="preserve"> 04 - SUPERACAO SU FASHION/BASICO</t>
  </si>
  <si>
    <t>05 - POSITIVO SU BASICO</t>
  </si>
  <si>
    <t>04 - HARMONIA SU BASICO</t>
  </si>
  <si>
    <t xml:space="preserve"> 03 - FELICIDADE SU LUXE</t>
  </si>
  <si>
    <t>SO LUXE PRODUCAO</t>
  </si>
  <si>
    <t>03 - EXCELENCIA SU BASICO</t>
  </si>
  <si>
    <t xml:space="preserve"> 09 - LIDERANCA ANATOMIC</t>
  </si>
  <si>
    <t>SO ANATOMIC PRODUCAO</t>
  </si>
  <si>
    <t>04 - SUPERACAO SU FASHION/BASICO</t>
  </si>
  <si>
    <t xml:space="preserve"> 08 - CONQUISTA CA BASICO/FASHION</t>
  </si>
  <si>
    <t>CALCA</t>
  </si>
  <si>
    <t>SC BASICO PRODUCAO</t>
  </si>
  <si>
    <t>08 - PROGRESSO SO BASICO</t>
  </si>
  <si>
    <t xml:space="preserve"> 08 - OBJETIVO CA BASICO</t>
  </si>
  <si>
    <t>CA BASICO PRODUCAO</t>
  </si>
  <si>
    <t xml:space="preserve"> 08 - PROGRESSO SO BASICO</t>
  </si>
  <si>
    <t>08 - ESPERANCA CA BASICO</t>
  </si>
  <si>
    <t xml:space="preserve"> 07 - DESAFIO CA FASHION</t>
  </si>
  <si>
    <t>CA FASHION PRODUCAO</t>
  </si>
  <si>
    <t>07 - EVOLUCAO SO BASICO</t>
  </si>
  <si>
    <t>OFICINA - ATILA</t>
  </si>
  <si>
    <t xml:space="preserve"> 07 - EVOLUCAO CA FASHION</t>
  </si>
  <si>
    <t xml:space="preserve"> 06 - UNIAO CA LUXE</t>
  </si>
  <si>
    <t>CA LUXE PRODUCAO</t>
  </si>
  <si>
    <t>OFICINA - MARCELO FREITAS</t>
  </si>
  <si>
    <t xml:space="preserve"> OFICINA - PETRIA</t>
  </si>
  <si>
    <t xml:space="preserve"> OFICINA - ATILA</t>
  </si>
  <si>
    <t>08 - OBJETIVO SO BASICO</t>
  </si>
  <si>
    <t>07 - EVOLUCAO CA FASHION</t>
  </si>
  <si>
    <t xml:space="preserve"> OFICINA - GLEDSON SOARES</t>
  </si>
  <si>
    <t xml:space="preserve"> OFICINA - MARCELO FREITAS</t>
  </si>
  <si>
    <t>OFICINA - IANA</t>
  </si>
  <si>
    <t>OFICINA - PAULO BRUNO</t>
  </si>
  <si>
    <t>TOTAL MINUTOS</t>
  </si>
  <si>
    <t>20% DE CRESCIMENTO</t>
  </si>
  <si>
    <t>Real Fábrica 15 grupos</t>
  </si>
  <si>
    <t>Real Oficina 4 oficinas</t>
  </si>
  <si>
    <t>Mês</t>
  </si>
  <si>
    <t>Capacidade/dia</t>
  </si>
  <si>
    <t>Total (1+2)</t>
  </si>
  <si>
    <t xml:space="preserve">EM LINHA </t>
  </si>
  <si>
    <t>EM LINHA NAO COMPRAR MP</t>
  </si>
  <si>
    <t>EM LINHA PARADO (cob &gt;3)</t>
  </si>
  <si>
    <t>FL (OPORTUNIDADES)</t>
  </si>
  <si>
    <t>Estimativa Varejo</t>
  </si>
  <si>
    <t>Loja Ibirapuera</t>
  </si>
  <si>
    <t>Loja Oscar Freire</t>
  </si>
  <si>
    <t>Loja Analia Franco</t>
  </si>
  <si>
    <t>Loja BH</t>
  </si>
  <si>
    <t>Loja Bourbon Shopping 17/09</t>
  </si>
  <si>
    <t>NOVO</t>
  </si>
  <si>
    <t xml:space="preserve">Loja Vila OlÍmpia - SP </t>
  </si>
  <si>
    <t>Jockey</t>
  </si>
  <si>
    <t>Estimativa Lojas</t>
  </si>
  <si>
    <t>Estimativa lojas - Transferência - expectativa de 70% a menos que a venda</t>
  </si>
  <si>
    <t>Desvio Venda Varejo Real-Previsto</t>
  </si>
  <si>
    <t>Desvio Venda Loja Real-Previsto</t>
  </si>
  <si>
    <t>Meta Oficinas</t>
  </si>
  <si>
    <t>Total Produção Projetada (correto)</t>
  </si>
  <si>
    <t>Minutos</t>
  </si>
  <si>
    <t>Férias 23/12 - 05/01</t>
  </si>
  <si>
    <t>EM LINHA PARADO (cob &gt;6)</t>
  </si>
  <si>
    <t>Estimativa Lojas EM LINHA</t>
  </si>
  <si>
    <t>venda prevista 2024 em linha</t>
  </si>
  <si>
    <t xml:space="preserve">venda realizada </t>
  </si>
  <si>
    <t>venda prevista 2024</t>
  </si>
  <si>
    <t>MIX</t>
  </si>
  <si>
    <t>MINIMO 1º SEMESTRE 2025</t>
  </si>
  <si>
    <t>VENDA MÉDIA 1º SEMESTRE 2024</t>
  </si>
  <si>
    <t>VENDA ULT TRIMESTRE</t>
  </si>
  <si>
    <t>VENDA MÉDIA 1º SEMESTRE 2025 (AJUSTADO)</t>
  </si>
  <si>
    <t>DISPONIVEL</t>
  </si>
  <si>
    <t>DIFERENÇA</t>
  </si>
  <si>
    <t>GRUPO</t>
  </si>
  <si>
    <t>COLEÇÃO</t>
  </si>
  <si>
    <t>LINHA</t>
  </si>
  <si>
    <t>FAMILIA</t>
  </si>
  <si>
    <t>REF</t>
  </si>
  <si>
    <t>DESCRIÇÃO</t>
  </si>
  <si>
    <t>X</t>
  </si>
  <si>
    <t>CA ANATOMIC PRODUCAO</t>
  </si>
  <si>
    <t>PERMANENTE</t>
  </si>
  <si>
    <t>BASICOS</t>
  </si>
  <si>
    <t>CALCINHA  ALTA MODELADORA EM MICROFIBRA</t>
  </si>
  <si>
    <t> </t>
  </si>
  <si>
    <t>CALCINHA ALTA MEDIA COMPRESSAO ANATOMIC</t>
  </si>
  <si>
    <t>CALCINHA  FIO DENTAL MODELADORA EM MICRO</t>
  </si>
  <si>
    <t>SHORT</t>
  </si>
  <si>
    <t>BERMUDA MODELADORA  EM MICROFIBRA</t>
  </si>
  <si>
    <t>BERMUDA COM MEDIA COMPRESSAO</t>
  </si>
  <si>
    <t>SUTIA POS CIRURGICO EM MICROFIBRA ANATOM</t>
  </si>
  <si>
    <t>BODY</t>
  </si>
  <si>
    <t>BODY MODELADOR EM MICROFIBRA</t>
  </si>
  <si>
    <t>MACAQUINHO</t>
  </si>
  <si>
    <t>MACAQUINHO MODELADOR  ANATOMIC</t>
  </si>
  <si>
    <t>BODY EM MICROFRIBA MEDIA SUSTENTACAO</t>
  </si>
  <si>
    <t>STRIPES</t>
  </si>
  <si>
    <t>CALCINHA ALTA MODELADORA C/ TULE STRIPES</t>
  </si>
  <si>
    <t>CALCINHA CALECON EM TULE STRIPES</t>
  </si>
  <si>
    <t>SUTIA SEM BJ EM TULE STRIPES</t>
  </si>
  <si>
    <t>SUTIA MEIA TACA S/ BJ EM TULE STRIPES</t>
  </si>
  <si>
    <t>BODY MODELADOR EM MICRO C/ TULE STRIPES</t>
  </si>
  <si>
    <t>ESTOQUE DISPONIVEL</t>
  </si>
  <si>
    <t>BASIC UP</t>
  </si>
  <si>
    <t>CALCINHA BIQUINI  BUMBUM FRANZIDO</t>
  </si>
  <si>
    <t>CALCINHA ALTA EM MICROFIBRA</t>
  </si>
  <si>
    <t>CALCINHA FIO DENTAL FRANZIDO MICR</t>
  </si>
  <si>
    <t>SUTIA 1/2 TACA EM MICROFIBRA TACA C</t>
  </si>
  <si>
    <t>SUTIA PUSH UP 3D EM MICROFIBRA</t>
  </si>
  <si>
    <t>SUTIA DECOTE U EM MICROFIBRA</t>
  </si>
  <si>
    <t>TOP</t>
  </si>
  <si>
    <t>HANDS UP NUDE BRA TACA B</t>
  </si>
  <si>
    <t>CROPPED</t>
  </si>
  <si>
    <t>CLASSIC</t>
  </si>
  <si>
    <t>CALCINHA ALTA EM MICROFIBRA CLASSIC</t>
  </si>
  <si>
    <t>SEM COSTURA</t>
  </si>
  <si>
    <t>CAMISOLA</t>
  </si>
  <si>
    <t>CALCINHA EM MICROFIBRA COM RENDA CLASSIC</t>
  </si>
  <si>
    <t>SHORT DOLL</t>
  </si>
  <si>
    <t>SUTIA SEM BOJO EM MICROFIBRA CLASSIC</t>
  </si>
  <si>
    <t>ROBE</t>
  </si>
  <si>
    <t>MODELADOR</t>
  </si>
  <si>
    <t>SUTIAN SEM BOJO EM MICROFIBRA CLASSIC</t>
  </si>
  <si>
    <t>CINTA</t>
  </si>
  <si>
    <t>SUTIA TRIANGULO EM MICROFIBRA CLASSIC</t>
  </si>
  <si>
    <t>FASHION</t>
  </si>
  <si>
    <t>SUTIA 1/2 TACA EM MICROF E RENDA CLASSIC</t>
  </si>
  <si>
    <t>CONFORT</t>
  </si>
  <si>
    <t>CALCINHA TANGA EM MICROFIBRA BASICA</t>
  </si>
  <si>
    <t>CALCINHA BIQUINI EM MICROFIBRA BASICA</t>
  </si>
  <si>
    <t>CALCINHA FIO DENTAL DUBLADO EM MICROFIBR</t>
  </si>
  <si>
    <t>BERMUDA  EM MICROFIBRA</t>
  </si>
  <si>
    <t>SUTIA 1/2 TACA COM BASE TRANSPASS TACA C</t>
  </si>
  <si>
    <t>SUTIA PUSH UP EM MICROF BASICA TACA B</t>
  </si>
  <si>
    <t>SUTIA NADADOR EM MICROFIBRA COMFORT</t>
  </si>
  <si>
    <t>SUTIA TRIANGULO EM MICROFIBRA TACA C</t>
  </si>
  <si>
    <t>TOP COM BOJO REMOVIVEL EM MICROFIBRA</t>
  </si>
  <si>
    <t>CALCINHA TANGA LATERAL DUBLADA</t>
  </si>
  <si>
    <t>CALCINHA ALTA LATERAL DUPLA EM MICROFI</t>
  </si>
  <si>
    <t>CALCINHA FIO DENTAL LATERAL DUPLA EM MIC</t>
  </si>
  <si>
    <t>SUTIA MEIA TACA SEM BOJO EM MICRO TACA B</t>
  </si>
  <si>
    <t>SUTIA TQC COM LATERAL DUPLA TACA C</t>
  </si>
  <si>
    <t>SUTIA PUSH UP DECOTE PROF MICROFI TACA B</t>
  </si>
  <si>
    <t>SUTIA TRIANGULO MICROFIBRA BASICA TACA B</t>
  </si>
  <si>
    <t>SUTIA 1/2 TACA SEM ARO MICROFIBRA TACA C</t>
  </si>
  <si>
    <t>SUSTENTARE</t>
  </si>
  <si>
    <t>SUTIA 1/2 TACA SUSTENTARE MICROF TACA C</t>
  </si>
  <si>
    <t>SUTIA 1/2 TACA SUSTENTARE MICROF TACA B</t>
  </si>
  <si>
    <t>SUTIA PUSH UP SUSTENTARE MICROF TACA B</t>
  </si>
  <si>
    <t>SUTIA TQC SUSTENTARE EM MICROF TACA B</t>
  </si>
  <si>
    <t>CONTROL</t>
  </si>
  <si>
    <t>CALCINHA ALTA CONTROL</t>
  </si>
  <si>
    <t>CALCINHA ALTA MODELADORA EM MICROFIBRA</t>
  </si>
  <si>
    <t>SUTIA TRIANGULO FIRMADOR EM MICROFIBRA</t>
  </si>
  <si>
    <t>TOP INVISIVEL EM LYCRA FREE</t>
  </si>
  <si>
    <t>COTTON</t>
  </si>
  <si>
    <t>COTTON ON</t>
  </si>
  <si>
    <t>CALCINHA TANGA EM ALGODAO COTTON ON</t>
  </si>
  <si>
    <t>CALCINHA LARGA EM ALGODAO COTTON ON</t>
  </si>
  <si>
    <t>CALCINHA FIO DENTAL EM ALGODAO COTTON ON</t>
  </si>
  <si>
    <t>SUTIA MEIA TACA EM ALGODAO COTTON ON</t>
  </si>
  <si>
    <t>SUTIA TRIAGULO EM ALGODAO COTTON ON</t>
  </si>
  <si>
    <t>FIT</t>
  </si>
  <si>
    <t>CALCINHA BIQUINI NUDE RENDA</t>
  </si>
  <si>
    <t>CALCINHA FIO DENTAL NUDE RENDA</t>
  </si>
  <si>
    <t>TOP TRIANGULO C/ BJ REMOVIVEL NUDE RENDA</t>
  </si>
  <si>
    <t>CROPPED EM RENDA COM TULE FIT</t>
  </si>
  <si>
    <t>BODY EM RENDA COM TULE FIT</t>
  </si>
  <si>
    <t>KISS ME</t>
  </si>
  <si>
    <t>CALCINHA TANGA EM RENDA KISS ME</t>
  </si>
  <si>
    <t>CALCINHA CALECON RENDA KISS ME</t>
  </si>
  <si>
    <t>CALCINHA FIO DENTAL EM RENDA KISS ME</t>
  </si>
  <si>
    <t>CALCINHA SEMI FIO EM RENDA KISS ME</t>
  </si>
  <si>
    <t>SUTIA 1/2 TACA EM RENDA KISS ME TACA B</t>
  </si>
  <si>
    <t>SUTIA 1/2TACA S/ BOJO RENDA KISS ME B</t>
  </si>
  <si>
    <t>SUTIA TRIANGULO C/ BOJO EM RENDA KISS ME</t>
  </si>
  <si>
    <t>SUTIA TRIANGULO C/BOJO EM RENDA KISS ME</t>
  </si>
  <si>
    <t>SUTIA CROPPED EM RENDA KISS ME TACA B</t>
  </si>
  <si>
    <t>SUTIA BALCONET EM RENDA KISS ME</t>
  </si>
  <si>
    <t>SOUL</t>
  </si>
  <si>
    <t>CALCINHA TANGA EM MICROFIBRA SOUL</t>
  </si>
  <si>
    <t>CALCINHA FIO DENTAL EM MICROFIBRA SOUL</t>
  </si>
  <si>
    <t>SUTIA MEIA TACA EM MICROFIBRA SOUL</t>
  </si>
  <si>
    <t>SUTIA SEM BOJO EM MICROFIBRA SOUL</t>
  </si>
  <si>
    <t>SWEET</t>
  </si>
  <si>
    <t>CALCINHA TANGA EM RENDA SWEET</t>
  </si>
  <si>
    <t>CALCINHA FIO DENTAL EM RENDA SWEET</t>
  </si>
  <si>
    <t>SUTIA TRIANGULO EM RENDA C/BOJO REMOV B</t>
  </si>
  <si>
    <t>FREE</t>
  </si>
  <si>
    <t>CALCINHA MAGIC UP COM ENCHIMENTO EM MICR</t>
  </si>
  <si>
    <t>BERMUDA  CORTE ELETRONICO EM MICROFIBRA</t>
  </si>
  <si>
    <t>CALCINHA TANGA CORTE ELETRONCO E RENDA</t>
  </si>
  <si>
    <t>CALCINHA BIQUINI CORTE ELETRONICO</t>
  </si>
  <si>
    <t>CALCINHA LARGA CORTE ELETRONICO</t>
  </si>
  <si>
    <t>CALCINHA CALECON CORTE ELETRONICO</t>
  </si>
  <si>
    <t>CALCINHA FIO CORTE ELETRONCO E RENDA</t>
  </si>
  <si>
    <t>CALCINHA FIO DENTAL CORTE ELETRONICO</t>
  </si>
  <si>
    <t>SHORT EM PALA ALTA E CORTE ELETRONICO BA</t>
  </si>
  <si>
    <t>SHORT CORTE ELETRONICO EM MICROFIBRA</t>
  </si>
  <si>
    <t>BODY MANGA LONGA EM MICROFIBRA FREE</t>
  </si>
  <si>
    <t>SUTIA IDEAL ALTA SUSTENTACAO MIC</t>
  </si>
  <si>
    <t>SUTIA IDEAL 1/2TACA LIFT EM TACAS</t>
  </si>
  <si>
    <t>SUTIA 1/2 TACA IDEAL BASIC UP</t>
  </si>
  <si>
    <t>SUTIA S/ BOJO EM MICROFIBRA TACAS BASIC</t>
  </si>
  <si>
    <t>SUTIA IDEAL TQC UP EM MICROF TACA</t>
  </si>
  <si>
    <t>RENDAS</t>
  </si>
  <si>
    <t>SUTIA IDEAL 1/2 TACA E RENDA TACA</t>
  </si>
  <si>
    <t>SUTIA IDEAL S/BOJO ARCO RENDA TACA</t>
  </si>
  <si>
    <t>SUTIA IDEAL TRIANGULO RENDA TACAS</t>
  </si>
  <si>
    <t>SUTIA IDEAL</t>
  </si>
  <si>
    <t>SUTIA TRIANGULO BASICO IDEAL</t>
  </si>
  <si>
    <t>LOUNGEWEAR</t>
  </si>
  <si>
    <t>CETIM</t>
  </si>
  <si>
    <t>CAMISOLA CURTA EM CETIM LOUNGEWEAR</t>
  </si>
  <si>
    <t>SHORT DOLL EM CETIM LOUNGEWEAR</t>
  </si>
  <si>
    <t>ROBE EM CETIM LOUNGEWEAR</t>
  </si>
  <si>
    <t>LACE</t>
  </si>
  <si>
    <t>CAMISOLA CURTA MICROFIBRA E RENDA LACE</t>
  </si>
  <si>
    <t>SHORT DOLL MICROFIBRA E RENDA LACE</t>
  </si>
  <si>
    <t>NOIR</t>
  </si>
  <si>
    <t>CAMISOLA CURTA EM MICROFIBRA RENDA NOIR</t>
  </si>
  <si>
    <t>SHORTDOLL NOIR</t>
  </si>
  <si>
    <t>VISCOW</t>
  </si>
  <si>
    <t>CAMISOLA CURTA EM MALHA E RENDA DREAMS</t>
  </si>
  <si>
    <t>CAMISOLA MATERNITY EM MALHA VISCOW</t>
  </si>
  <si>
    <t>CAMISOLA EM VISCOSE COM RENDA VISCOW</t>
  </si>
  <si>
    <t>SHORT DOLL EM VISCOSE COM RENDA VISCOW</t>
  </si>
  <si>
    <t>MATERNITY</t>
  </si>
  <si>
    <t>CALCINHA ALTA EM ALGODAO</t>
  </si>
  <si>
    <t>CALCINHA ALTA EM MICROFIBRA MATERNITY</t>
  </si>
  <si>
    <t>SUTIA AMAMENTACAO EM RENDA ALGOD TACA B</t>
  </si>
  <si>
    <t>SUTIA AMAMENTACAO EM MICROFI TACA B</t>
  </si>
  <si>
    <t>T.MAIORES</t>
  </si>
  <si>
    <t>CALCINHA BIQUINI EM MICROFIBRA</t>
  </si>
  <si>
    <t>CALCINHA FIO DENTAL EM MICROFIBRA</t>
  </si>
  <si>
    <t>SUTIA 1/2 TACA EM MICROFIBRA TACA B</t>
  </si>
  <si>
    <t>SUTIA TQC EM MICROFIBRA TACA B</t>
  </si>
  <si>
    <t>SUTIA TOMARA QUE CAIA EM MICROFIBRA TM</t>
  </si>
  <si>
    <t>CALCINHA BIQUINI EM RENDA T. MAIORES</t>
  </si>
  <si>
    <t>CALCINHA LARGA EM MICROFIBRA C/ RENDA</t>
  </si>
  <si>
    <t>SUTIA 1/2 TACA EM RENDA TACA B</t>
  </si>
  <si>
    <t>LANÇAMENTO</t>
  </si>
  <si>
    <t>CALCINHA ALTA EM MICROFIBRA CONTROL</t>
  </si>
  <si>
    <t xml:space="preserve">PREVISÃO DE VENDA </t>
  </si>
  <si>
    <t>BERMUDA ALTA EM MICROFIBRA CONTROL</t>
  </si>
  <si>
    <t>LUXE</t>
  </si>
  <si>
    <t>EROS</t>
  </si>
  <si>
    <t>CALCINHA TANGA EM RENDA EROS</t>
  </si>
  <si>
    <t>CALCINHA FIO DENTAL EM RENDA EROS</t>
  </si>
  <si>
    <t>CALCINHA SEMI FIO EM RENDA EROS</t>
  </si>
  <si>
    <t>SUTIA PUSH UP EM RENDA EROS</t>
  </si>
  <si>
    <t>SUTIA BALCONET EM RENDA EROS</t>
  </si>
  <si>
    <t>BODY EM RENDA EROS</t>
  </si>
  <si>
    <t>FLOOR</t>
  </si>
  <si>
    <t>CALCINHA TANGA EM RENDA FLOOR</t>
  </si>
  <si>
    <t>CALCINHA SEMI FIO EM RENDA FLOOR</t>
  </si>
  <si>
    <t>SUTIA BALCONET EM RENDA FLOOR</t>
  </si>
  <si>
    <t>SUTIA TRIANGULO EM RENDA FLOOR</t>
  </si>
  <si>
    <t>CALCINHA LARGA EM RENDA C/ MICRO FLOOR</t>
  </si>
  <si>
    <t>SUTIA 1/2 TACA COM MANTA EM RENDA  FLOOR</t>
  </si>
  <si>
    <t>FRACTAL</t>
  </si>
  <si>
    <t>CALCINHA BIQUINI EM RENDA E TULE FRACTAL</t>
  </si>
  <si>
    <t>SUTIA 1/2 TACA EM RENDA C/ TULE FRACTAL</t>
  </si>
  <si>
    <t>CALCINHA FIO DENTAL EM RENDA FRACTAL</t>
  </si>
  <si>
    <t>SUTIA TRIANGULO EM RENDA C/ TULE FRACTAL</t>
  </si>
  <si>
    <t>CROPPED EM TULE COM RENDA FRACTAL</t>
  </si>
  <si>
    <t>CALCINHA FIO DENTAL TM EM RENDA FRACTAL</t>
  </si>
  <si>
    <t>SUTIA 1/2 TACA S/ BOJO EM RENDA FRACTAL</t>
  </si>
  <si>
    <t>LOVE APPEAL</t>
  </si>
  <si>
    <t>SUTIA PUSH UP CAMADAS LOVE APPEAL</t>
  </si>
  <si>
    <t>CALCINHA FIO DENTAL EM RENDA LOVE APPEAL</t>
  </si>
  <si>
    <t>SUTIA MEIA TACA EM RENDA LOVE APPEAL</t>
  </si>
  <si>
    <t>CINTA LIGA DE TULE LOVE APPEAL</t>
  </si>
  <si>
    <t>SUTIA 1/2 TACA EM RENDA LOVE APPEAL</t>
  </si>
  <si>
    <t>CALCINHA SEMI FIO EM RENDA LOVE APPEAL</t>
  </si>
  <si>
    <t>BODY EM RENDA COM TULE LOVE APPEAL</t>
  </si>
  <si>
    <t>NOIVAS</t>
  </si>
  <si>
    <t>CAMISOLA VAZADOS EM TULE E RENDA NOIVAS</t>
  </si>
  <si>
    <t>CALCINHA FIO DENTAL EM RENDA E TULE NOIV</t>
  </si>
  <si>
    <t>CALCINHA TANGA EM RENDA C/ TULE NOIVAS</t>
  </si>
  <si>
    <t>SUTIA BALCONET EM RENDA C/ TULE NOIVAS</t>
  </si>
  <si>
    <t>CORSET VAZADOS EM TULE E RENDA NOIVAS</t>
  </si>
  <si>
    <t>ORGANIC</t>
  </si>
  <si>
    <t>CALCINHA TANGA EM RENDA C/ LAISE ORGANIC</t>
  </si>
  <si>
    <t>SUTIA PUSH UP EM RENDA COM TULE ORGANIC</t>
  </si>
  <si>
    <t>CALCINHA FIO DENTAL EM RENDA ORGANIC</t>
  </si>
  <si>
    <t>SUTIA BALCONET EM RENDA C/ LAISE ORGANIC</t>
  </si>
  <si>
    <t>SUTIA 1/2 TACA EM RENDA TM ORGANIC</t>
  </si>
  <si>
    <t>CALCINHA BIQIUINI TM EM RENDA ORGANIC</t>
  </si>
  <si>
    <t>SHINE BRIGHT</t>
  </si>
  <si>
    <t>CROPPED EM RENDA SHINE BRIGHT</t>
  </si>
  <si>
    <t>BODY EM RENDA C/ MICROFIBRA SHINE BRIGHT</t>
  </si>
  <si>
    <t>CALCINHA SHINE BRIGHT</t>
  </si>
  <si>
    <t>TOP 2 EM 1 EM RENDA SHINE BRIGHT</t>
  </si>
  <si>
    <t>SNIP</t>
  </si>
  <si>
    <t>CALCINHA SEMI FIO EM RENDA SNIP</t>
  </si>
  <si>
    <t>CALCINHA FIO DENTAL EM RENDA SNIP</t>
  </si>
  <si>
    <t>SUTIA PUSH UP EM RENDA SNIP</t>
  </si>
  <si>
    <t>CALCINHA TANGA EM RENDA SNIP</t>
  </si>
  <si>
    <t>SUTIA BALCONET EM RENDA SNIP</t>
  </si>
  <si>
    <t>SUTIA TRIANGULO EM RENDA SNIP</t>
  </si>
  <si>
    <t>CAMISOLA VISCOSE COM RENDA ESTREITA</t>
  </si>
  <si>
    <t>SHORT DOLL EM VISCOSE C/ RENDA ESTREITA</t>
  </si>
  <si>
    <t>COSMIC</t>
  </si>
  <si>
    <t>SUTIA TRIANGULO EM RENDA COSMIC</t>
  </si>
  <si>
    <t>TOP MEIA TACA EM RENDA COSMIC</t>
  </si>
  <si>
    <t>SUTIA MEIA TACA EM RENDA COSMIC</t>
  </si>
  <si>
    <t>CALCINHA FIO DENTAL EM RENDA COSMIC</t>
  </si>
  <si>
    <t>CALCINHA CALECON EM RENDA COSMIC</t>
  </si>
  <si>
    <t>CALCINHA BIQUINI EM RENDA COSMIC</t>
  </si>
  <si>
    <t>Agosto</t>
  </si>
  <si>
    <t>Setembro</t>
  </si>
  <si>
    <t>Outubro</t>
  </si>
  <si>
    <t>Novembro</t>
  </si>
  <si>
    <t>Dezembro</t>
  </si>
  <si>
    <t>PREVISÃO DE VENDA</t>
  </si>
  <si>
    <t>PREVISÃO DE VENDA LANÇAMENTO</t>
  </si>
  <si>
    <t>PREVISÃO DE VENDA CONTIUADAS</t>
  </si>
  <si>
    <t>CAPACIDADE PRODUÇÃO - PMP</t>
  </si>
  <si>
    <t>PLANO LANÇAMENTOS</t>
  </si>
  <si>
    <t xml:space="preserve"> 7000 DE MOSTRUARIO + 20000 DE LANÇAMENTO </t>
  </si>
  <si>
    <t>PLANO CONTINUADAS</t>
  </si>
  <si>
    <t>Diferença Capacidade x Plano</t>
  </si>
  <si>
    <t xml:space="preserve">SALDO PLANO </t>
  </si>
  <si>
    <t>Acumulado</t>
  </si>
  <si>
    <t>CONTINUIDADE</t>
  </si>
  <si>
    <t>STATUS</t>
  </si>
  <si>
    <t>COD. PRODUTO</t>
  </si>
  <si>
    <t>REFERENCIA</t>
  </si>
  <si>
    <t>COR</t>
  </si>
  <si>
    <t>TAMANHO</t>
  </si>
  <si>
    <t>COBERTURA FINAL AGOSTO</t>
  </si>
  <si>
    <t>COBERTURA FINAL SETEMBRO</t>
  </si>
  <si>
    <t>COBERTURA FINAL OUTUBRO</t>
  </si>
  <si>
    <t>COBERTURA FINAL NOVEMBRO</t>
  </si>
  <si>
    <t>COBERTURA FINAL DEZEMBRO</t>
  </si>
  <si>
    <t>POSIÇÃO DE VENDA</t>
  </si>
  <si>
    <t>EM LINHA</t>
  </si>
  <si>
    <t>30 DIAS</t>
  </si>
  <si>
    <t>PRETO</t>
  </si>
  <si>
    <t>G</t>
  </si>
  <si>
    <t>NUDE</t>
  </si>
  <si>
    <t>BRANCO</t>
  </si>
  <si>
    <t>P</t>
  </si>
  <si>
    <t>CHOCOLATE</t>
  </si>
  <si>
    <t>GG</t>
  </si>
  <si>
    <t>CALLAS</t>
  </si>
  <si>
    <t>M</t>
  </si>
  <si>
    <t>48C</t>
  </si>
  <si>
    <t>46C</t>
  </si>
  <si>
    <t>44C</t>
  </si>
  <si>
    <t>42C</t>
  </si>
  <si>
    <t>NOVA COLECAO</t>
  </si>
  <si>
    <t>SUEDE</t>
  </si>
  <si>
    <t>BLOQUEADO FALTA DE MP</t>
  </si>
  <si>
    <t>LADY</t>
  </si>
  <si>
    <t>42DD</t>
  </si>
  <si>
    <t>44D</t>
  </si>
  <si>
    <t>46B</t>
  </si>
  <si>
    <t>44DD</t>
  </si>
  <si>
    <t>40C</t>
  </si>
  <si>
    <t>42D</t>
  </si>
  <si>
    <t>44B</t>
  </si>
  <si>
    <t>42B</t>
  </si>
  <si>
    <t>46D</t>
  </si>
  <si>
    <t>40B</t>
  </si>
  <si>
    <t>44A</t>
  </si>
  <si>
    <t>40D</t>
  </si>
  <si>
    <t>48B</t>
  </si>
  <si>
    <t>42A</t>
  </si>
  <si>
    <t>NAVY</t>
  </si>
  <si>
    <t>EG</t>
  </si>
  <si>
    <t>RED VELVET</t>
  </si>
  <si>
    <t>NUDE/PRETO</t>
  </si>
  <si>
    <t>MERLOT</t>
  </si>
  <si>
    <t>XG</t>
  </si>
  <si>
    <t>SUTIA TRIANGULO EM MICROF E RENDA TACA B</t>
  </si>
  <si>
    <t>GIRO JULHO 2024</t>
  </si>
  <si>
    <t>GIRO AGOSTO 2024</t>
  </si>
  <si>
    <t>venda realizada 2023</t>
  </si>
  <si>
    <t>170.000 atila</t>
  </si>
  <si>
    <t>Março</t>
  </si>
  <si>
    <t>Abril</t>
  </si>
  <si>
    <t>Maio</t>
  </si>
  <si>
    <t>Junho</t>
  </si>
  <si>
    <t>Julho</t>
  </si>
  <si>
    <t>Produto</t>
  </si>
  <si>
    <t>Á Programar</t>
  </si>
  <si>
    <t>Em Processo</t>
  </si>
  <si>
    <t>Total</t>
  </si>
  <si>
    <t>Dias úteis</t>
  </si>
  <si>
    <t>Nec. Prod. dia</t>
  </si>
  <si>
    <t>Total Geral</t>
  </si>
  <si>
    <t>Sutiã</t>
  </si>
  <si>
    <t>Calça</t>
  </si>
  <si>
    <t>Linha Noite</t>
  </si>
  <si>
    <t>Qtde células</t>
  </si>
  <si>
    <t>Prod. por grupo</t>
  </si>
  <si>
    <t>Prod. dia</t>
  </si>
  <si>
    <t>% no Plano</t>
  </si>
  <si>
    <t>Multimarca antigo jul-dez/23 95%</t>
  </si>
  <si>
    <t>Multimarca revisado</t>
  </si>
  <si>
    <t>Multimarca atual jul-dez/23 95%</t>
  </si>
  <si>
    <t>Redução em peças</t>
  </si>
  <si>
    <t>Redução em %</t>
  </si>
  <si>
    <t>Com custo unitário de R$ 27 (base anterior)</t>
  </si>
  <si>
    <t>Com custo unitário de R$ 26 (base anterior)</t>
  </si>
  <si>
    <t>Estoque inicial jul/23 (=)</t>
  </si>
  <si>
    <t>Produção (+)</t>
  </si>
  <si>
    <t>Venda Multimarca (-) com ticket médio de R$ 27</t>
  </si>
  <si>
    <t>Transferência Loja (-)</t>
  </si>
  <si>
    <t>Estoque Final dez/23 (=)</t>
  </si>
  <si>
    <t>EM LINHA PARADO</t>
  </si>
  <si>
    <t>Plano Extra de Produção</t>
  </si>
  <si>
    <t>Diferença</t>
  </si>
  <si>
    <t>PREVISÃO DE VENDAS LOJAS 2024</t>
  </si>
  <si>
    <t>DIMENSIONAMENTO % MARAPONGA</t>
  </si>
  <si>
    <t>DIMENSIONAMENTO % VAREJO</t>
  </si>
  <si>
    <t>planejado loja considerando toda as  linhas</t>
  </si>
  <si>
    <t>TOTAIS</t>
  </si>
  <si>
    <t>LOJA</t>
  </si>
  <si>
    <t>ANUAL 2024</t>
  </si>
  <si>
    <t>A.ANTERIOR</t>
  </si>
  <si>
    <t>2023 X 2024</t>
  </si>
  <si>
    <t>TKT MÉDIO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</si>
  <si>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</si>
  <si>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</si>
  <si>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</si>
  <si>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</si>
  <si>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</si>
  <si>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</si>
  <si>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</si>
  <si>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</si>
  <si>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</si>
  <si>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</si>
  <si>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</si>
  <si>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</si>
  <si>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MARAPONGA</t>
  </si>
  <si>
    <t>IGUATEMI</t>
  </si>
  <si>
    <t>TABOSA</t>
  </si>
  <si>
    <t>NORTH SHOPPING</t>
  </si>
  <si>
    <t>DOM LUIS</t>
  </si>
  <si>
    <t>PARANGABA</t>
  </si>
  <si>
    <t>RIO MAR PAPICU</t>
  </si>
  <si>
    <t>BARRA RJ</t>
  </si>
  <si>
    <t xml:space="preserve">SALVADOR </t>
  </si>
  <si>
    <t>MORUMBI</t>
  </si>
  <si>
    <t>RIO MAR RECIFE</t>
  </si>
  <si>
    <t>NORTH JOQUEI</t>
  </si>
  <si>
    <t>PORTO ALEGRE</t>
  </si>
  <si>
    <t>KENNEDY</t>
  </si>
  <si>
    <t>INTIMATES</t>
  </si>
  <si>
    <t>planejado loja considerando soment em linha</t>
  </si>
  <si>
    <t>ECOMMERCE</t>
  </si>
  <si>
    <t>VENDA DO ECOMMERCE 2023</t>
  </si>
  <si>
    <t xml:space="preserve">Meta </t>
  </si>
  <si>
    <t>PEÇAS / TICHET</t>
  </si>
  <si>
    <t>TOTAL = 2455</t>
  </si>
  <si>
    <t>Janeiro</t>
  </si>
  <si>
    <t>EM LINHA = 1408</t>
  </si>
  <si>
    <t>Fevereiro</t>
  </si>
  <si>
    <t>*2.500,00</t>
  </si>
  <si>
    <t>VENDA 23</t>
  </si>
  <si>
    <t>% PARTICIPAÇÃO</t>
  </si>
  <si>
    <t>META 24</t>
  </si>
  <si>
    <t>TOTAL DE PEÇAS 2024</t>
  </si>
  <si>
    <t>REALIZADO</t>
  </si>
  <si>
    <t>COMPARATIVO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</si>
</sst>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64" formatCode="&quot;R$&quot;\ #,##0;[Red]\-&quot;R$&quot;\ #,##0"/>
    <numFmt numFmtId="165" formatCode="_-&quot;R$&quot;\ * #,##0.00_-;\-&quot;R$&quot;\ * #,##0.00_-;_-&quot;R$&quot;\ * &quot;-&quot;??_-;_-@_-"/>
    <numFmt numFmtId="166" formatCode="_-* #,##0.00_-;\-* #,##0.00_-;_-* &quot;-&quot;??_-;_-@_-"/>
    <numFmt numFmtId="167" formatCode="#,##0.0"/>
    <numFmt numFmtId="168" formatCode="[$R$ -416]#,##0.00"/>
    <numFmt numFmtId="169" formatCode="[$R$ -416]#,##0"/>
    <numFmt numFmtId="170" formatCode="dd\-mm"/>
    <numFmt numFmtId="171" formatCode="dd/mm"/>
    <numFmt numFmtId="172" formatCode="_-&quot;R$&quot;\ * #,##0.00_-;\-&quot;R$&quot;\ * #,##0.00_-;_-&quot;R$&quot;\ * &quot;-&quot;??_-;_-@"/>
    <numFmt numFmtId="173" formatCode="#,##0_ ;[Red]\-#,##0\ "/>
    <numFmt numFmtId="174" formatCode="_-[$R$-416]\ * #,##0_-;\-[$R$-416]\ * #,##0_-;_-[$R$-416]\ * &quot;-&quot;??_-;_-@_-"/>
    <numFmt numFmtId="175" formatCode="_-[$R$-416]\ * #,##0.00_-;\-[$R$-416]\ * #,##0.00_-;_-[$R$-416]\ * &quot;-&quot;??_-;_-@_-"/>
    <numFmt numFmtId="176" formatCode="&quot;R$&quot;\ #,##0.00"/>
    <numFmt numFmtId="177" formatCode="_-* #,##0_-;\-* #,##0_-;_-* &quot;-&quot;??_-;_-@_-"/>
    <numFmt numFmtId="178" formatCode="#,##0_ ;\-#,##0\ "/>
    <numFmt numFmtId="179" formatCode="_-&quot;R$&quot;\ * #,##0_-;\-&quot;R$&quot;\ * #,##0_-;_-&quot;R$&quot;\ * &quot;-&quot;??_-;_-@_-"/>
    <numFmt numFmtId="180" formatCode="0.0%"/>
    <numFmt numFmtId="181" formatCode="#,##0.000"/>
  </numFmts>
  <fonts count="6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  <font>
      <b/>
      <sz val="11"/>
      <color theme="0"/>
      <name val="Calibri"/>
    </font>
    <font>
      <sz val="11"/>
      <color theme="0"/>
      <name val="Calibri"/>
    </font>
    <font>
      <sz val="10"/>
      <color rgb="FF000000"/>
      <name val="Calibri"/>
      <scheme val="minor"/>
    </font>
    <font>
      <b/>
      <sz val="14"/>
      <color rgb="FF000000"/>
      <name val="Calibri"/>
    </font>
    <font>
      <b/>
      <sz val="12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FF0000"/>
      <name val="Calibri"/>
    </font>
    <font>
      <b/>
      <sz val="11"/>
      <color rgb="FFFF0000"/>
      <name val="Calibri"/>
    </font>
    <font>
      <sz val="14"/>
      <color theme="1"/>
      <name val="Calibri"/>
      <scheme val="minor"/>
    </font>
    <font>
      <sz val="18"/>
      <color theme="1"/>
      <name val="Calibri"/>
      <scheme val="minor"/>
    </font>
    <font>
      <b/>
      <sz val="18"/>
      <color theme="1"/>
      <name val="Calibri"/>
      <scheme val="minor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  <font>
      <b/>
      <sz val="14"/>
      <color rgb="FF000000"/>
      <name val="Aptos Narrow"/>
      <family val="2"/>
    </font>
    <font>
      <sz val="12"/>
      <color rgb="FF000000"/>
      <name val="Aptos Narrow"/>
      <family val="2"/>
    </font>
    <font>
      <sz val="11"/>
      <name val="Aptos Narrow"/>
    </font>
    <font>
      <b/>
      <sz val="11"/>
      <name val="Aptos Narrow"/>
      <family val="2"/>
    </font>
    <font>
      <sz val="11"/>
      <color rgb="FF9C0006"/>
      <name val="Aptos Narrow"/>
    </font>
    <font>
      <b/>
      <sz val="12"/>
      <color rgb="FF000000"/>
      <name val="Aptos Narrow"/>
      <family val="2"/>
    </font>
    <font>
      <sz val="11"/>
      <name val="Aptos Narrow"/>
      <family val="2"/>
    </font>
    <font>
      <b/>
      <sz val="11"/>
      <color rgb="FFFF0000"/>
      <name val="Calibri"/>
      <scheme val="minor"/>
    </font>
    <font>
      <b/>
      <sz val="11"/>
      <color rgb="FF00B050"/>
      <name val="Calibri"/>
      <scheme val="minor"/>
    </font>
    <font>
      <b/>
      <sz val="12"/>
      <color rgb="FFFF0000"/>
      <name val="Calibri"/>
    </font>
    <font>
      <sz val="12"/>
      <color theme="1"/>
      <name val="Calibri"/>
      <scheme val="minor"/>
    </font>
    <font>
      <sz val="11"/>
      <color rgb="FFFF0000"/>
      <name val="Calibri"/>
    </font>
    <font>
      <b/>
      <sz val="14"/>
      <color theme="1"/>
      <name val="Calibri"/>
      <scheme val="minor"/>
    </font>
    <font>
      <b/>
      <sz val="14"/>
      <color rgb="FFFF0000"/>
      <name val="Calibri"/>
    </font>
    <font>
      <sz val="12"/>
      <color rgb="FF000000"/>
      <name val="Calibri"/>
    </font>
    <font>
      <sz val="12"/>
      <name val="Calibri"/>
    </font>
    <font>
      <sz val="12"/>
      <color rgb="FF000000"/>
      <name val="Calibri"/>
      <family val="2"/>
    </font>
    <font>
      <b/>
      <sz val="11"/>
      <name val="Calibri"/>
    </font>
    <font>
      <b/>
      <sz val="11"/>
      <color theme="1"/>
      <name val="Calibri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4"/>
      <color rgb="FF000000"/>
      <name val="Calibri"/>
    </font>
    <font>
      <b/>
      <sz val="16"/>
      <color theme="1"/>
      <name val="Calibri"/>
    </font>
    <font>
      <sz val="16"/>
      <name val="Calibri"/>
    </font>
    <font>
      <b/>
      <sz val="16"/>
      <color rgb="FF000000"/>
      <name val="Calibri"/>
    </font>
    <font>
      <b/>
      <sz val="16"/>
      <color rgb="FFFF0000"/>
      <name val="Calibri"/>
    </font>
    <font>
      <b/>
      <sz val="16"/>
      <color rgb="FF00B050"/>
      <name val="Calibri"/>
    </font>
    <font>
      <b/>
      <sz val="12"/>
      <color rgb="FFFF0000"/>
      <name val="Calibri"/>
      <scheme val="minor"/>
    </font>
    <font>
      <b/>
      <sz val="14"/>
      <color theme="1"/>
      <name val="Calibri"/>
    </font>
    <font>
      <sz val="10"/>
      <color theme="1"/>
      <name val="Aptos Narrow"/>
      <family val="2"/>
      <scheme val="minor"/>
    </font>
    <font>
      <sz val="20"/>
      <color theme="1"/>
      <name val="Calibri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073763"/>
        <bgColor rgb="FF073763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DEEAF6"/>
        <bgColor rgb="FFDEEAF6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B4C6E7"/>
        <bgColor rgb="FFB4C6E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78217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CB9CA"/>
        <bgColor rgb="FF000000"/>
      </patternFill>
    </fill>
    <fill>
      <patternFill patternType="solid">
        <fgColor theme="1"/>
        <bgColor indexed="64"/>
      </patternFill>
    </fill>
  </fills>
  <borders count="10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5" fillId="0" borderId="23"/>
    <xf numFmtId="0" fontId="2" fillId="0" borderId="23"/>
    <xf numFmtId="165" fontId="29" fillId="0" borderId="0" applyFont="0" applyFill="0" applyBorder="0" applyAlignment="0" applyProtection="0"/>
    <xf numFmtId="9" fontId="29" fillId="0" borderId="0" applyFont="0" applyFill="0" applyBorder="0" applyAlignment="0" applyProtection="0"/>
  </cellStyleXfs>
  <cellXfs count="1128">
    <xf numFmtId="0" fontId="0" fillId="0" borderId="0" xfId="0"/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6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6" borderId="0" xfId="0" applyFont="1" applyFill="1" applyAlignment="1">
      <alignment horizontal="center"/>
    </xf>
    <xf numFmtId="0" fontId="8" fillId="7" borderId="6" xfId="0" applyFont="1" applyFill="1" applyBorder="1"/>
    <xf numFmtId="0" fontId="8" fillId="7" borderId="6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8" borderId="6" xfId="0" applyFont="1" applyFill="1" applyBorder="1"/>
    <xf numFmtId="3" fontId="9" fillId="8" borderId="6" xfId="0" applyNumberFormat="1" applyFont="1" applyFill="1" applyBorder="1" applyAlignment="1">
      <alignment horizontal="center"/>
    </xf>
    <xf numFmtId="3" fontId="9" fillId="8" borderId="0" xfId="0" applyNumberFormat="1" applyFont="1" applyFill="1"/>
    <xf numFmtId="3" fontId="9" fillId="8" borderId="0" xfId="0" applyNumberFormat="1" applyFont="1" applyFill="1" applyAlignment="1">
      <alignment horizontal="center"/>
    </xf>
    <xf numFmtId="3" fontId="10" fillId="8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0" fontId="10" fillId="9" borderId="6" xfId="0" applyFont="1" applyFill="1" applyBorder="1"/>
    <xf numFmtId="3" fontId="10" fillId="9" borderId="6" xfId="0" applyNumberFormat="1" applyFont="1" applyFill="1" applyBorder="1"/>
    <xf numFmtId="3" fontId="10" fillId="6" borderId="0" xfId="0" applyNumberFormat="1" applyFont="1" applyFill="1"/>
    <xf numFmtId="3" fontId="10" fillId="9" borderId="6" xfId="0" applyNumberFormat="1" applyFont="1" applyFill="1" applyBorder="1" applyAlignment="1">
      <alignment horizontal="center"/>
    </xf>
    <xf numFmtId="3" fontId="10" fillId="4" borderId="0" xfId="0" applyNumberFormat="1" applyFont="1" applyFill="1" applyAlignment="1">
      <alignment horizontal="center"/>
    </xf>
    <xf numFmtId="3" fontId="10" fillId="9" borderId="0" xfId="0" applyNumberFormat="1" applyFont="1" applyFill="1" applyAlignment="1">
      <alignment horizontal="center"/>
    </xf>
    <xf numFmtId="3" fontId="10" fillId="10" borderId="6" xfId="0" applyNumberFormat="1" applyFont="1" applyFill="1" applyBorder="1" applyAlignment="1">
      <alignment horizontal="center"/>
    </xf>
    <xf numFmtId="3" fontId="10" fillId="9" borderId="7" xfId="0" applyNumberFormat="1" applyFont="1" applyFill="1" applyBorder="1" applyAlignment="1">
      <alignment horizontal="center"/>
    </xf>
    <xf numFmtId="3" fontId="10" fillId="6" borderId="0" xfId="0" applyNumberFormat="1" applyFont="1" applyFill="1" applyAlignment="1">
      <alignment horizontal="center"/>
    </xf>
    <xf numFmtId="3" fontId="10" fillId="0" borderId="0" xfId="0" applyNumberFormat="1" applyFont="1" applyAlignment="1">
      <alignment horizontal="center"/>
    </xf>
    <xf numFmtId="0" fontId="10" fillId="8" borderId="6" xfId="0" applyFont="1" applyFill="1" applyBorder="1"/>
    <xf numFmtId="3" fontId="10" fillId="8" borderId="6" xfId="0" applyNumberFormat="1" applyFont="1" applyFill="1" applyBorder="1"/>
    <xf numFmtId="3" fontId="10" fillId="8" borderId="0" xfId="0" applyNumberFormat="1" applyFont="1" applyFill="1"/>
    <xf numFmtId="3" fontId="10" fillId="8" borderId="6" xfId="0" applyNumberFormat="1" applyFont="1" applyFill="1" applyBorder="1" applyAlignment="1">
      <alignment horizontal="center"/>
    </xf>
    <xf numFmtId="3" fontId="9" fillId="8" borderId="6" xfId="0" applyNumberFormat="1" applyFont="1" applyFill="1" applyBorder="1"/>
    <xf numFmtId="0" fontId="9" fillId="8" borderId="8" xfId="0" applyFont="1" applyFill="1" applyBorder="1"/>
    <xf numFmtId="10" fontId="10" fillId="8" borderId="0" xfId="0" applyNumberFormat="1" applyFont="1" applyFill="1" applyAlignment="1">
      <alignment horizontal="center"/>
    </xf>
    <xf numFmtId="0" fontId="9" fillId="2" borderId="6" xfId="0" applyFont="1" applyFill="1" applyBorder="1"/>
    <xf numFmtId="3" fontId="9" fillId="2" borderId="9" xfId="0" applyNumberFormat="1" applyFont="1" applyFill="1" applyBorder="1"/>
    <xf numFmtId="3" fontId="9" fillId="2" borderId="10" xfId="0" applyNumberFormat="1" applyFont="1" applyFill="1" applyBorder="1"/>
    <xf numFmtId="3" fontId="9" fillId="2" borderId="0" xfId="0" applyNumberFormat="1" applyFont="1" applyFill="1"/>
    <xf numFmtId="3" fontId="9" fillId="2" borderId="11" xfId="0" applyNumberFormat="1" applyFont="1" applyFill="1" applyBorder="1" applyAlignment="1">
      <alignment horizontal="center" vertical="center"/>
    </xf>
    <xf numFmtId="3" fontId="9" fillId="2" borderId="9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10" fontId="9" fillId="2" borderId="0" xfId="0" applyNumberFormat="1" applyFont="1" applyFill="1" applyAlignment="1">
      <alignment horizontal="center" vertical="center"/>
    </xf>
    <xf numFmtId="3" fontId="9" fillId="2" borderId="6" xfId="0" applyNumberFormat="1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10" fillId="11" borderId="7" xfId="0" applyFont="1" applyFill="1" applyBorder="1"/>
    <xf numFmtId="0" fontId="10" fillId="11" borderId="12" xfId="0" applyFont="1" applyFill="1" applyBorder="1" applyAlignment="1">
      <alignment horizontal="left"/>
    </xf>
    <xf numFmtId="3" fontId="10" fillId="11" borderId="6" xfId="0" applyNumberFormat="1" applyFont="1" applyFill="1" applyBorder="1"/>
    <xf numFmtId="3" fontId="10" fillId="11" borderId="0" xfId="0" applyNumberFormat="1" applyFont="1" applyFill="1"/>
    <xf numFmtId="3" fontId="10" fillId="11" borderId="6" xfId="0" applyNumberFormat="1" applyFont="1" applyFill="1" applyBorder="1" applyAlignment="1">
      <alignment horizontal="center"/>
    </xf>
    <xf numFmtId="3" fontId="10" fillId="11" borderId="13" xfId="0" applyNumberFormat="1" applyFont="1" applyFill="1" applyBorder="1" applyAlignment="1">
      <alignment horizontal="center"/>
    </xf>
    <xf numFmtId="3" fontId="10" fillId="11" borderId="14" xfId="0" applyNumberFormat="1" applyFont="1" applyFill="1" applyBorder="1" applyAlignment="1">
      <alignment horizontal="center"/>
    </xf>
    <xf numFmtId="167" fontId="10" fillId="11" borderId="6" xfId="0" applyNumberFormat="1" applyFont="1" applyFill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0" fontId="9" fillId="2" borderId="7" xfId="0" applyFont="1" applyFill="1" applyBorder="1"/>
    <xf numFmtId="0" fontId="11" fillId="2" borderId="12" xfId="0" applyFont="1" applyFill="1" applyBorder="1" applyAlignment="1">
      <alignment horizontal="left"/>
    </xf>
    <xf numFmtId="3" fontId="9" fillId="2" borderId="6" xfId="0" applyNumberFormat="1" applyFont="1" applyFill="1" applyBorder="1"/>
    <xf numFmtId="3" fontId="9" fillId="2" borderId="6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center"/>
    </xf>
    <xf numFmtId="10" fontId="9" fillId="0" borderId="0" xfId="0" applyNumberFormat="1" applyFont="1" applyAlignment="1">
      <alignment horizontal="center"/>
    </xf>
    <xf numFmtId="168" fontId="10" fillId="12" borderId="7" xfId="0" applyNumberFormat="1" applyFont="1" applyFill="1" applyBorder="1"/>
    <xf numFmtId="168" fontId="10" fillId="12" borderId="12" xfId="0" applyNumberFormat="1" applyFont="1" applyFill="1" applyBorder="1" applyAlignment="1">
      <alignment horizontal="left"/>
    </xf>
    <xf numFmtId="168" fontId="10" fillId="12" borderId="6" xfId="0" applyNumberFormat="1" applyFont="1" applyFill="1" applyBorder="1"/>
    <xf numFmtId="168" fontId="10" fillId="12" borderId="0" xfId="0" applyNumberFormat="1" applyFont="1" applyFill="1"/>
    <xf numFmtId="168" fontId="10" fillId="12" borderId="6" xfId="0" applyNumberFormat="1" applyFont="1" applyFill="1" applyBorder="1" applyAlignment="1">
      <alignment horizontal="center"/>
    </xf>
    <xf numFmtId="168" fontId="10" fillId="12" borderId="8" xfId="0" applyNumberFormat="1" applyFont="1" applyFill="1" applyBorder="1" applyAlignment="1">
      <alignment horizontal="center"/>
    </xf>
    <xf numFmtId="168" fontId="10" fillId="12" borderId="15" xfId="0" applyNumberFormat="1" applyFont="1" applyFill="1" applyBorder="1" applyAlignment="1">
      <alignment horizontal="center"/>
    </xf>
    <xf numFmtId="168" fontId="10" fillId="12" borderId="0" xfId="0" applyNumberFormat="1" applyFont="1" applyFill="1" applyAlignment="1">
      <alignment horizontal="center"/>
    </xf>
    <xf numFmtId="3" fontId="10" fillId="12" borderId="6" xfId="0" applyNumberFormat="1" applyFont="1" applyFill="1" applyBorder="1" applyAlignment="1">
      <alignment horizontal="center"/>
    </xf>
    <xf numFmtId="169" fontId="10" fillId="12" borderId="6" xfId="0" applyNumberFormat="1" applyFont="1" applyFill="1" applyBorder="1" applyAlignment="1">
      <alignment horizontal="center"/>
    </xf>
    <xf numFmtId="0" fontId="10" fillId="12" borderId="7" xfId="0" applyFont="1" applyFill="1" applyBorder="1"/>
    <xf numFmtId="0" fontId="10" fillId="12" borderId="12" xfId="0" applyFont="1" applyFill="1" applyBorder="1" applyAlignment="1">
      <alignment horizontal="left"/>
    </xf>
    <xf numFmtId="3" fontId="10" fillId="12" borderId="6" xfId="0" applyNumberFormat="1" applyFont="1" applyFill="1" applyBorder="1"/>
    <xf numFmtId="3" fontId="10" fillId="12" borderId="0" xfId="0" applyNumberFormat="1" applyFont="1" applyFill="1"/>
    <xf numFmtId="3" fontId="10" fillId="12" borderId="8" xfId="0" applyNumberFormat="1" applyFont="1" applyFill="1" applyBorder="1" applyAlignment="1">
      <alignment horizontal="center"/>
    </xf>
    <xf numFmtId="3" fontId="10" fillId="12" borderId="15" xfId="0" applyNumberFormat="1" applyFont="1" applyFill="1" applyBorder="1" applyAlignment="1">
      <alignment horizontal="center"/>
    </xf>
    <xf numFmtId="3" fontId="10" fillId="12" borderId="0" xfId="0" applyNumberFormat="1" applyFont="1" applyFill="1" applyAlignment="1">
      <alignment horizontal="center"/>
    </xf>
    <xf numFmtId="10" fontId="10" fillId="12" borderId="0" xfId="0" applyNumberFormat="1" applyFont="1" applyFill="1" applyAlignment="1">
      <alignment horizontal="center"/>
    </xf>
    <xf numFmtId="0" fontId="9" fillId="2" borderId="16" xfId="0" applyFont="1" applyFill="1" applyBorder="1"/>
    <xf numFmtId="0" fontId="11" fillId="2" borderId="17" xfId="0" applyFont="1" applyFill="1" applyBorder="1" applyAlignment="1">
      <alignment horizontal="left"/>
    </xf>
    <xf numFmtId="0" fontId="11" fillId="2" borderId="18" xfId="0" applyFont="1" applyFill="1" applyBorder="1" applyAlignment="1">
      <alignment horizontal="left"/>
    </xf>
    <xf numFmtId="3" fontId="10" fillId="4" borderId="15" xfId="0" applyNumberFormat="1" applyFont="1" applyFill="1" applyBorder="1" applyAlignment="1">
      <alignment horizontal="center"/>
    </xf>
    <xf numFmtId="3" fontId="10" fillId="13" borderId="6" xfId="0" applyNumberFormat="1" applyFont="1" applyFill="1" applyBorder="1"/>
    <xf numFmtId="3" fontId="9" fillId="6" borderId="0" xfId="0" applyNumberFormat="1" applyFont="1" applyFill="1"/>
    <xf numFmtId="3" fontId="10" fillId="13" borderId="6" xfId="0" applyNumberFormat="1" applyFont="1" applyFill="1" applyBorder="1" applyAlignment="1">
      <alignment horizontal="center"/>
    </xf>
    <xf numFmtId="3" fontId="9" fillId="13" borderId="6" xfId="0" applyNumberFormat="1" applyFont="1" applyFill="1" applyBorder="1" applyAlignment="1">
      <alignment horizontal="center"/>
    </xf>
    <xf numFmtId="3" fontId="10" fillId="4" borderId="6" xfId="0" applyNumberFormat="1" applyFont="1" applyFill="1" applyBorder="1" applyAlignment="1">
      <alignment horizontal="center"/>
    </xf>
    <xf numFmtId="0" fontId="9" fillId="14" borderId="7" xfId="0" applyFont="1" applyFill="1" applyBorder="1"/>
    <xf numFmtId="3" fontId="10" fillId="14" borderId="6" xfId="0" applyNumberFormat="1" applyFont="1" applyFill="1" applyBorder="1"/>
    <xf numFmtId="3" fontId="10" fillId="14" borderId="0" xfId="0" applyNumberFormat="1" applyFont="1" applyFill="1"/>
    <xf numFmtId="3" fontId="10" fillId="14" borderId="6" xfId="0" applyNumberFormat="1" applyFont="1" applyFill="1" applyBorder="1" applyAlignment="1">
      <alignment horizontal="center"/>
    </xf>
    <xf numFmtId="3" fontId="9" fillId="14" borderId="6" xfId="0" applyNumberFormat="1" applyFont="1" applyFill="1" applyBorder="1" applyAlignment="1">
      <alignment horizontal="center"/>
    </xf>
    <xf numFmtId="10" fontId="10" fillId="6" borderId="0" xfId="0" applyNumberFormat="1" applyFont="1" applyFill="1" applyAlignment="1">
      <alignment horizontal="center"/>
    </xf>
    <xf numFmtId="0" fontId="9" fillId="14" borderId="6" xfId="0" applyFont="1" applyFill="1" applyBorder="1"/>
    <xf numFmtId="0" fontId="9" fillId="14" borderId="8" xfId="0" applyFont="1" applyFill="1" applyBorder="1"/>
    <xf numFmtId="0" fontId="9" fillId="14" borderId="0" xfId="0" applyFont="1" applyFill="1" applyAlignment="1">
      <alignment horizontal="left"/>
    </xf>
    <xf numFmtId="3" fontId="10" fillId="14" borderId="0" xfId="0" applyNumberFormat="1" applyFont="1" applyFill="1" applyAlignment="1">
      <alignment horizontal="center"/>
    </xf>
    <xf numFmtId="3" fontId="9" fillId="14" borderId="0" xfId="0" applyNumberFormat="1" applyFont="1" applyFill="1" applyAlignment="1">
      <alignment horizontal="center"/>
    </xf>
    <xf numFmtId="3" fontId="10" fillId="12" borderId="16" xfId="0" applyNumberFormat="1" applyFont="1" applyFill="1" applyBorder="1"/>
    <xf numFmtId="3" fontId="10" fillId="12" borderId="17" xfId="0" applyNumberFormat="1" applyFont="1" applyFill="1" applyBorder="1" applyAlignment="1">
      <alignment horizontal="left"/>
    </xf>
    <xf numFmtId="0" fontId="9" fillId="8" borderId="7" xfId="0" applyFont="1" applyFill="1" applyBorder="1"/>
    <xf numFmtId="0" fontId="9" fillId="8" borderId="12" xfId="0" applyFont="1" applyFill="1" applyBorder="1"/>
    <xf numFmtId="0" fontId="11" fillId="15" borderId="6" xfId="0" applyFont="1" applyFill="1" applyBorder="1"/>
    <xf numFmtId="3" fontId="10" fillId="15" borderId="6" xfId="0" applyNumberFormat="1" applyFont="1" applyFill="1" applyBorder="1"/>
    <xf numFmtId="3" fontId="10" fillId="15" borderId="0" xfId="0" applyNumberFormat="1" applyFont="1" applyFill="1"/>
    <xf numFmtId="3" fontId="10" fillId="15" borderId="0" xfId="0" applyNumberFormat="1" applyFont="1" applyFill="1" applyAlignment="1">
      <alignment horizontal="center"/>
    </xf>
    <xf numFmtId="3" fontId="9" fillId="15" borderId="6" xfId="0" applyNumberFormat="1" applyFont="1" applyFill="1" applyBorder="1" applyAlignment="1">
      <alignment horizontal="center"/>
    </xf>
    <xf numFmtId="3" fontId="10" fillId="15" borderId="6" xfId="0" applyNumberFormat="1" applyFont="1" applyFill="1" applyBorder="1" applyAlignment="1">
      <alignment horizontal="center"/>
    </xf>
    <xf numFmtId="10" fontId="10" fillId="15" borderId="6" xfId="0" applyNumberFormat="1" applyFont="1" applyFill="1" applyBorder="1" applyAlignment="1">
      <alignment horizontal="center"/>
    </xf>
    <xf numFmtId="0" fontId="9" fillId="16" borderId="6" xfId="0" applyFont="1" applyFill="1" applyBorder="1"/>
    <xf numFmtId="3" fontId="9" fillId="16" borderId="6" xfId="0" applyNumberFormat="1" applyFont="1" applyFill="1" applyBorder="1"/>
    <xf numFmtId="3" fontId="9" fillId="16" borderId="6" xfId="0" applyNumberFormat="1" applyFont="1" applyFill="1" applyBorder="1" applyAlignment="1">
      <alignment horizontal="center"/>
    </xf>
    <xf numFmtId="3" fontId="9" fillId="4" borderId="0" xfId="0" applyNumberFormat="1" applyFont="1" applyFill="1" applyAlignment="1">
      <alignment horizontal="center"/>
    </xf>
    <xf numFmtId="3" fontId="10" fillId="16" borderId="6" xfId="0" applyNumberFormat="1" applyFont="1" applyFill="1" applyBorder="1" applyAlignment="1">
      <alignment horizontal="center"/>
    </xf>
    <xf numFmtId="0" fontId="9" fillId="9" borderId="6" xfId="0" applyFont="1" applyFill="1" applyBorder="1"/>
    <xf numFmtId="3" fontId="10" fillId="9" borderId="0" xfId="0" applyNumberFormat="1" applyFont="1" applyFill="1"/>
    <xf numFmtId="3" fontId="9" fillId="9" borderId="6" xfId="0" applyNumberFormat="1" applyFont="1" applyFill="1" applyBorder="1" applyAlignment="1">
      <alignment horizontal="center"/>
    </xf>
    <xf numFmtId="0" fontId="4" fillId="4" borderId="0" xfId="0" applyFont="1" applyFill="1"/>
    <xf numFmtId="0" fontId="4" fillId="6" borderId="0" xfId="0" applyFont="1" applyFill="1"/>
    <xf numFmtId="3" fontId="4" fillId="4" borderId="0" xfId="0" applyNumberFormat="1" applyFont="1" applyFill="1" applyAlignment="1">
      <alignment horizontal="center"/>
    </xf>
    <xf numFmtId="3" fontId="4" fillId="6" borderId="0" xfId="0" applyNumberFormat="1" applyFont="1" applyFill="1" applyAlignment="1">
      <alignment horizontal="center"/>
    </xf>
    <xf numFmtId="3" fontId="4" fillId="0" borderId="0" xfId="0" applyNumberFormat="1" applyFont="1"/>
    <xf numFmtId="168" fontId="4" fillId="0" borderId="0" xfId="0" applyNumberFormat="1" applyFont="1"/>
    <xf numFmtId="0" fontId="4" fillId="4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 vertical="center" wrapText="1"/>
    </xf>
    <xf numFmtId="3" fontId="3" fillId="3" borderId="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/>
    <xf numFmtId="3" fontId="3" fillId="0" borderId="6" xfId="0" applyNumberFormat="1" applyFont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 wrapText="1"/>
    </xf>
    <xf numFmtId="3" fontId="3" fillId="12" borderId="6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center" vertical="center"/>
    </xf>
    <xf numFmtId="168" fontId="10" fillId="2" borderId="6" xfId="0" applyNumberFormat="1" applyFont="1" applyFill="1" applyBorder="1" applyAlignment="1">
      <alignment horizontal="center"/>
    </xf>
    <xf numFmtId="0" fontId="3" fillId="18" borderId="6" xfId="0" applyFont="1" applyFill="1" applyBorder="1" applyAlignment="1">
      <alignment vertical="center"/>
    </xf>
    <xf numFmtId="3" fontId="3" fillId="18" borderId="6" xfId="0" applyNumberFormat="1" applyFont="1" applyFill="1" applyBorder="1" applyAlignment="1">
      <alignment vertical="center"/>
    </xf>
    <xf numFmtId="0" fontId="3" fillId="8" borderId="6" xfId="0" applyFont="1" applyFill="1" applyBorder="1" applyAlignment="1">
      <alignment vertical="center"/>
    </xf>
    <xf numFmtId="3" fontId="3" fillId="8" borderId="6" xfId="0" applyNumberFormat="1" applyFont="1" applyFill="1" applyBorder="1" applyAlignment="1">
      <alignment vertical="center"/>
    </xf>
    <xf numFmtId="0" fontId="3" fillId="5" borderId="6" xfId="0" applyFont="1" applyFill="1" applyBorder="1" applyAlignment="1">
      <alignment vertical="center" wrapText="1"/>
    </xf>
    <xf numFmtId="3" fontId="3" fillId="5" borderId="6" xfId="0" applyNumberFormat="1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19" borderId="6" xfId="0" applyFont="1" applyFill="1" applyBorder="1" applyAlignment="1">
      <alignment vertical="center"/>
    </xf>
    <xf numFmtId="3" fontId="3" fillId="19" borderId="6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9" fillId="16" borderId="6" xfId="0" applyFont="1" applyFill="1" applyBorder="1" applyAlignment="1">
      <alignment horizontal="center"/>
    </xf>
    <xf numFmtId="0" fontId="13" fillId="16" borderId="6" xfId="0" applyFont="1" applyFill="1" applyBorder="1"/>
    <xf numFmtId="0" fontId="8" fillId="16" borderId="6" xfId="0" applyFont="1" applyFill="1" applyBorder="1"/>
    <xf numFmtId="0" fontId="13" fillId="16" borderId="6" xfId="0" applyFont="1" applyFill="1" applyBorder="1" applyAlignment="1">
      <alignment horizontal="center"/>
    </xf>
    <xf numFmtId="3" fontId="13" fillId="16" borderId="6" xfId="0" applyNumberFormat="1" applyFont="1" applyFill="1" applyBorder="1" applyAlignment="1">
      <alignment horizontal="center"/>
    </xf>
    <xf numFmtId="3" fontId="13" fillId="6" borderId="0" xfId="0" applyNumberFormat="1" applyFont="1" applyFill="1"/>
    <xf numFmtId="3" fontId="13" fillId="4" borderId="0" xfId="0" applyNumberFormat="1" applyFont="1" applyFill="1" applyAlignment="1">
      <alignment horizontal="center"/>
    </xf>
    <xf numFmtId="3" fontId="14" fillId="4" borderId="0" xfId="0" applyNumberFormat="1" applyFont="1" applyFill="1" applyAlignment="1">
      <alignment horizontal="center"/>
    </xf>
    <xf numFmtId="3" fontId="8" fillId="16" borderId="6" xfId="0" applyNumberFormat="1" applyFont="1" applyFill="1" applyBorder="1" applyAlignment="1">
      <alignment horizontal="center"/>
    </xf>
    <xf numFmtId="3" fontId="14" fillId="6" borderId="0" xfId="0" applyNumberFormat="1" applyFont="1" applyFill="1" applyAlignment="1">
      <alignment horizontal="center"/>
    </xf>
    <xf numFmtId="3" fontId="13" fillId="20" borderId="6" xfId="0" applyNumberFormat="1" applyFont="1" applyFill="1" applyBorder="1" applyAlignment="1">
      <alignment horizontal="center"/>
    </xf>
    <xf numFmtId="0" fontId="10" fillId="9" borderId="13" xfId="0" applyFont="1" applyFill="1" applyBorder="1" applyAlignment="1">
      <alignment horizontal="left"/>
    </xf>
    <xf numFmtId="0" fontId="10" fillId="9" borderId="14" xfId="0" applyFont="1" applyFill="1" applyBorder="1" applyAlignment="1">
      <alignment horizontal="center"/>
    </xf>
    <xf numFmtId="0" fontId="14" fillId="16" borderId="6" xfId="0" applyFont="1" applyFill="1" applyBorder="1"/>
    <xf numFmtId="0" fontId="14" fillId="16" borderId="6" xfId="0" applyFont="1" applyFill="1" applyBorder="1" applyAlignment="1">
      <alignment horizontal="center"/>
    </xf>
    <xf numFmtId="3" fontId="14" fillId="16" borderId="6" xfId="0" applyNumberFormat="1" applyFont="1" applyFill="1" applyBorder="1"/>
    <xf numFmtId="3" fontId="14" fillId="6" borderId="0" xfId="0" applyNumberFormat="1" applyFont="1" applyFill="1"/>
    <xf numFmtId="3" fontId="14" fillId="16" borderId="6" xfId="0" applyNumberFormat="1" applyFont="1" applyFill="1" applyBorder="1" applyAlignment="1">
      <alignment horizontal="center"/>
    </xf>
    <xf numFmtId="3" fontId="13" fillId="16" borderId="6" xfId="0" applyNumberFormat="1" applyFont="1" applyFill="1" applyBorder="1"/>
    <xf numFmtId="10" fontId="14" fillId="6" borderId="0" xfId="0" applyNumberFormat="1" applyFont="1" applyFill="1" applyAlignment="1">
      <alignment horizontal="center"/>
    </xf>
    <xf numFmtId="0" fontId="9" fillId="21" borderId="21" xfId="0" applyFont="1" applyFill="1" applyBorder="1" applyAlignment="1">
      <alignment horizontal="center"/>
    </xf>
    <xf numFmtId="3" fontId="9" fillId="21" borderId="9" xfId="0" applyNumberFormat="1" applyFont="1" applyFill="1" applyBorder="1"/>
    <xf numFmtId="3" fontId="9" fillId="21" borderId="10" xfId="0" applyNumberFormat="1" applyFont="1" applyFill="1" applyBorder="1"/>
    <xf numFmtId="3" fontId="9" fillId="21" borderId="0" xfId="0" applyNumberFormat="1" applyFont="1" applyFill="1"/>
    <xf numFmtId="3" fontId="9" fillId="21" borderId="11" xfId="0" applyNumberFormat="1" applyFont="1" applyFill="1" applyBorder="1" applyAlignment="1">
      <alignment horizontal="center" vertical="center"/>
    </xf>
    <xf numFmtId="3" fontId="9" fillId="21" borderId="9" xfId="0" applyNumberFormat="1" applyFont="1" applyFill="1" applyBorder="1" applyAlignment="1">
      <alignment horizontal="center" vertical="center"/>
    </xf>
    <xf numFmtId="3" fontId="9" fillId="4" borderId="0" xfId="0" applyNumberFormat="1" applyFont="1" applyFill="1" applyAlignment="1">
      <alignment horizontal="center" vertical="center"/>
    </xf>
    <xf numFmtId="10" fontId="9" fillId="6" borderId="0" xfId="0" applyNumberFormat="1" applyFont="1" applyFill="1" applyAlignment="1">
      <alignment horizontal="center" vertical="center"/>
    </xf>
    <xf numFmtId="3" fontId="9" fillId="21" borderId="6" xfId="0" applyNumberFormat="1" applyFont="1" applyFill="1" applyBorder="1" applyAlignment="1">
      <alignment horizontal="center" vertical="center"/>
    </xf>
    <xf numFmtId="0" fontId="10" fillId="11" borderId="6" xfId="0" applyFont="1" applyFill="1" applyBorder="1"/>
    <xf numFmtId="10" fontId="10" fillId="4" borderId="0" xfId="0" applyNumberFormat="1" applyFont="1" applyFill="1" applyAlignment="1">
      <alignment horizontal="center"/>
    </xf>
    <xf numFmtId="0" fontId="9" fillId="21" borderId="7" xfId="0" applyFont="1" applyFill="1" applyBorder="1"/>
    <xf numFmtId="0" fontId="11" fillId="21" borderId="12" xfId="0" applyFont="1" applyFill="1" applyBorder="1" applyAlignment="1">
      <alignment horizontal="left"/>
    </xf>
    <xf numFmtId="0" fontId="11" fillId="21" borderId="22" xfId="0" applyFont="1" applyFill="1" applyBorder="1" applyAlignment="1">
      <alignment horizontal="left"/>
    </xf>
    <xf numFmtId="3" fontId="9" fillId="21" borderId="6" xfId="0" applyNumberFormat="1" applyFont="1" applyFill="1" applyBorder="1"/>
    <xf numFmtId="3" fontId="9" fillId="21" borderId="6" xfId="0" applyNumberFormat="1" applyFont="1" applyFill="1" applyBorder="1" applyAlignment="1">
      <alignment horizontal="center"/>
    </xf>
    <xf numFmtId="3" fontId="9" fillId="6" borderId="0" xfId="0" applyNumberFormat="1" applyFont="1" applyFill="1" applyAlignment="1">
      <alignment horizontal="center"/>
    </xf>
    <xf numFmtId="10" fontId="9" fillId="4" borderId="0" xfId="0" applyNumberFormat="1" applyFont="1" applyFill="1" applyAlignment="1">
      <alignment horizontal="center"/>
    </xf>
    <xf numFmtId="168" fontId="10" fillId="2" borderId="7" xfId="0" applyNumberFormat="1" applyFont="1" applyFill="1" applyBorder="1"/>
    <xf numFmtId="168" fontId="10" fillId="2" borderId="12" xfId="0" applyNumberFormat="1" applyFont="1" applyFill="1" applyBorder="1" applyAlignment="1">
      <alignment horizontal="left"/>
    </xf>
    <xf numFmtId="168" fontId="10" fillId="2" borderId="22" xfId="0" applyNumberFormat="1" applyFont="1" applyFill="1" applyBorder="1" applyAlignment="1">
      <alignment horizontal="left"/>
    </xf>
    <xf numFmtId="168" fontId="10" fillId="2" borderId="6" xfId="0" applyNumberFormat="1" applyFont="1" applyFill="1" applyBorder="1"/>
    <xf numFmtId="168" fontId="10" fillId="2" borderId="0" xfId="0" applyNumberFormat="1" applyFont="1" applyFill="1"/>
    <xf numFmtId="168" fontId="10" fillId="2" borderId="8" xfId="0" applyNumberFormat="1" applyFont="1" applyFill="1" applyBorder="1" applyAlignment="1">
      <alignment horizontal="center"/>
    </xf>
    <xf numFmtId="168" fontId="10" fillId="2" borderId="15" xfId="0" applyNumberFormat="1" applyFont="1" applyFill="1" applyBorder="1" applyAlignment="1">
      <alignment horizontal="center"/>
    </xf>
    <xf numFmtId="168" fontId="10" fillId="4" borderId="0" xfId="0" applyNumberFormat="1" applyFont="1" applyFill="1" applyAlignment="1">
      <alignment horizontal="center"/>
    </xf>
    <xf numFmtId="3" fontId="10" fillId="2" borderId="6" xfId="0" applyNumberFormat="1" applyFont="1" applyFill="1" applyBorder="1" applyAlignment="1">
      <alignment horizontal="center"/>
    </xf>
    <xf numFmtId="168" fontId="10" fillId="6" borderId="0" xfId="0" applyNumberFormat="1" applyFont="1" applyFill="1" applyAlignment="1">
      <alignment horizontal="center"/>
    </xf>
    <xf numFmtId="168" fontId="10" fillId="2" borderId="7" xfId="0" applyNumberFormat="1" applyFont="1" applyFill="1" applyBorder="1" applyAlignment="1">
      <alignment horizontal="left"/>
    </xf>
    <xf numFmtId="0" fontId="10" fillId="2" borderId="7" xfId="0" applyFont="1" applyFill="1" applyBorder="1"/>
    <xf numFmtId="0" fontId="10" fillId="2" borderId="7" xfId="0" applyFont="1" applyFill="1" applyBorder="1" applyAlignment="1">
      <alignment horizontal="left"/>
    </xf>
    <xf numFmtId="3" fontId="10" fillId="2" borderId="6" xfId="0" applyNumberFormat="1" applyFont="1" applyFill="1" applyBorder="1"/>
    <xf numFmtId="3" fontId="10" fillId="2" borderId="0" xfId="0" applyNumberFormat="1" applyFont="1" applyFill="1"/>
    <xf numFmtId="3" fontId="10" fillId="2" borderId="8" xfId="0" applyNumberFormat="1" applyFont="1" applyFill="1" applyBorder="1" applyAlignment="1">
      <alignment horizontal="center"/>
    </xf>
    <xf numFmtId="3" fontId="10" fillId="2" borderId="15" xfId="0" applyNumberFormat="1" applyFont="1" applyFill="1" applyBorder="1" applyAlignment="1">
      <alignment horizontal="center"/>
    </xf>
    <xf numFmtId="0" fontId="10" fillId="21" borderId="6" xfId="0" applyFont="1" applyFill="1" applyBorder="1"/>
    <xf numFmtId="3" fontId="10" fillId="21" borderId="6" xfId="0" applyNumberFormat="1" applyFont="1" applyFill="1" applyBorder="1"/>
    <xf numFmtId="3" fontId="10" fillId="21" borderId="0" xfId="0" applyNumberFormat="1" applyFont="1" applyFill="1"/>
    <xf numFmtId="3" fontId="10" fillId="21" borderId="6" xfId="0" applyNumberFormat="1" applyFont="1" applyFill="1" applyBorder="1" applyAlignment="1">
      <alignment horizontal="center"/>
    </xf>
    <xf numFmtId="3" fontId="10" fillId="21" borderId="13" xfId="0" applyNumberFormat="1" applyFont="1" applyFill="1" applyBorder="1" applyAlignment="1">
      <alignment horizontal="center"/>
    </xf>
    <xf numFmtId="0" fontId="9" fillId="13" borderId="6" xfId="0" applyFont="1" applyFill="1" applyBorder="1"/>
    <xf numFmtId="0" fontId="9" fillId="13" borderId="13" xfId="0" applyFont="1" applyFill="1" applyBorder="1" applyAlignment="1">
      <alignment horizontal="left"/>
    </xf>
    <xf numFmtId="0" fontId="9" fillId="13" borderId="14" xfId="0" applyFont="1" applyFill="1" applyBorder="1" applyAlignment="1">
      <alignment horizontal="center"/>
    </xf>
    <xf numFmtId="0" fontId="9" fillId="14" borderId="13" xfId="0" applyFont="1" applyFill="1" applyBorder="1" applyAlignment="1">
      <alignment horizontal="left"/>
    </xf>
    <xf numFmtId="0" fontId="9" fillId="14" borderId="14" xfId="0" applyFont="1" applyFill="1" applyBorder="1" applyAlignment="1">
      <alignment horizontal="center"/>
    </xf>
    <xf numFmtId="16" fontId="9" fillId="14" borderId="14" xfId="0" applyNumberFormat="1" applyFont="1" applyFill="1" applyBorder="1" applyAlignment="1">
      <alignment horizontal="center"/>
    </xf>
    <xf numFmtId="170" fontId="9" fillId="14" borderId="14" xfId="0" applyNumberFormat="1" applyFont="1" applyFill="1" applyBorder="1" applyAlignment="1">
      <alignment horizontal="center"/>
    </xf>
    <xf numFmtId="0" fontId="9" fillId="14" borderId="23" xfId="0" applyFont="1" applyFill="1" applyBorder="1" applyAlignment="1">
      <alignment horizontal="left"/>
    </xf>
    <xf numFmtId="171" fontId="9" fillId="14" borderId="0" xfId="0" applyNumberFormat="1" applyFont="1" applyFill="1" applyAlignment="1">
      <alignment horizontal="center"/>
    </xf>
    <xf numFmtId="0" fontId="9" fillId="14" borderId="24" xfId="0" applyFont="1" applyFill="1" applyBorder="1" applyAlignment="1">
      <alignment horizontal="left"/>
    </xf>
    <xf numFmtId="0" fontId="9" fillId="22" borderId="6" xfId="0" applyFont="1" applyFill="1" applyBorder="1"/>
    <xf numFmtId="0" fontId="9" fillId="22" borderId="13" xfId="0" applyFont="1" applyFill="1" applyBorder="1" applyAlignment="1">
      <alignment horizontal="left"/>
    </xf>
    <xf numFmtId="0" fontId="9" fillId="22" borderId="14" xfId="0" applyFont="1" applyFill="1" applyBorder="1" applyAlignment="1">
      <alignment horizontal="center"/>
    </xf>
    <xf numFmtId="3" fontId="9" fillId="22" borderId="6" xfId="0" applyNumberFormat="1" applyFont="1" applyFill="1" applyBorder="1"/>
    <xf numFmtId="3" fontId="9" fillId="22" borderId="0" xfId="0" applyNumberFormat="1" applyFont="1" applyFill="1"/>
    <xf numFmtId="3" fontId="9" fillId="22" borderId="6" xfId="0" applyNumberFormat="1" applyFont="1" applyFill="1" applyBorder="1" applyAlignment="1">
      <alignment horizontal="center"/>
    </xf>
    <xf numFmtId="0" fontId="4" fillId="2" borderId="0" xfId="0" applyFont="1" applyFill="1"/>
    <xf numFmtId="0" fontId="9" fillId="2" borderId="25" xfId="0" applyFont="1" applyFill="1" applyBorder="1" applyAlignment="1">
      <alignment horizontal="left" vertical="center"/>
    </xf>
    <xf numFmtId="0" fontId="9" fillId="2" borderId="25" xfId="0" applyFont="1" applyFill="1" applyBorder="1" applyAlignment="1">
      <alignment horizontal="center"/>
    </xf>
    <xf numFmtId="3" fontId="9" fillId="2" borderId="16" xfId="0" applyNumberFormat="1" applyFont="1" applyFill="1" applyBorder="1"/>
    <xf numFmtId="3" fontId="9" fillId="2" borderId="25" xfId="0" applyNumberFormat="1" applyFont="1" applyFill="1" applyBorder="1" applyAlignment="1">
      <alignment horizontal="center" vertical="center"/>
    </xf>
    <xf numFmtId="3" fontId="9" fillId="2" borderId="16" xfId="0" applyNumberFormat="1" applyFont="1" applyFill="1" applyBorder="1" applyAlignment="1">
      <alignment horizontal="center" vertical="center"/>
    </xf>
    <xf numFmtId="3" fontId="9" fillId="2" borderId="15" xfId="0" applyNumberFormat="1" applyFont="1" applyFill="1" applyBorder="1" applyAlignment="1">
      <alignment horizontal="center"/>
    </xf>
    <xf numFmtId="10" fontId="9" fillId="2" borderId="16" xfId="0" applyNumberFormat="1" applyFont="1" applyFill="1" applyBorder="1" applyAlignment="1">
      <alignment horizontal="center" vertical="center"/>
    </xf>
    <xf numFmtId="10" fontId="9" fillId="21" borderId="9" xfId="0" applyNumberFormat="1" applyFont="1" applyFill="1" applyBorder="1" applyAlignment="1">
      <alignment horizontal="center" vertical="center"/>
    </xf>
    <xf numFmtId="0" fontId="11" fillId="23" borderId="6" xfId="0" applyFont="1" applyFill="1" applyBorder="1"/>
    <xf numFmtId="0" fontId="12" fillId="23" borderId="6" xfId="0" applyFont="1" applyFill="1" applyBorder="1"/>
    <xf numFmtId="3" fontId="10" fillId="23" borderId="6" xfId="0" applyNumberFormat="1" applyFont="1" applyFill="1" applyBorder="1"/>
    <xf numFmtId="3" fontId="10" fillId="23" borderId="0" xfId="0" applyNumberFormat="1" applyFont="1" applyFill="1"/>
    <xf numFmtId="3" fontId="9" fillId="23" borderId="6" xfId="0" applyNumberFormat="1" applyFont="1" applyFill="1" applyBorder="1" applyAlignment="1">
      <alignment horizontal="center"/>
    </xf>
    <xf numFmtId="3" fontId="10" fillId="23" borderId="6" xfId="0" applyNumberFormat="1" applyFont="1" applyFill="1" applyBorder="1" applyAlignment="1">
      <alignment horizontal="center"/>
    </xf>
    <xf numFmtId="0" fontId="9" fillId="23" borderId="6" xfId="0" applyFont="1" applyFill="1" applyBorder="1"/>
    <xf numFmtId="10" fontId="10" fillId="23" borderId="6" xfId="0" applyNumberFormat="1" applyFont="1" applyFill="1" applyBorder="1" applyAlignment="1">
      <alignment horizontal="center"/>
    </xf>
    <xf numFmtId="0" fontId="9" fillId="22" borderId="6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168" fontId="4" fillId="0" borderId="6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8" fillId="7" borderId="13" xfId="0" applyFont="1" applyFill="1" applyBorder="1"/>
    <xf numFmtId="0" fontId="8" fillId="7" borderId="14" xfId="0" applyFont="1" applyFill="1" applyBorder="1" applyAlignment="1">
      <alignment horizontal="center"/>
    </xf>
    <xf numFmtId="0" fontId="8" fillId="7" borderId="14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9" fillId="8" borderId="13" xfId="0" applyFont="1" applyFill="1" applyBorder="1"/>
    <xf numFmtId="0" fontId="9" fillId="8" borderId="14" xfId="0" applyFont="1" applyFill="1" applyBorder="1" applyAlignment="1">
      <alignment horizontal="center"/>
    </xf>
    <xf numFmtId="3" fontId="9" fillId="8" borderId="14" xfId="0" applyNumberFormat="1" applyFont="1" applyFill="1" applyBorder="1" applyAlignment="1">
      <alignment horizontal="center"/>
    </xf>
    <xf numFmtId="3" fontId="9" fillId="8" borderId="13" xfId="0" applyNumberFormat="1" applyFont="1" applyFill="1" applyBorder="1"/>
    <xf numFmtId="3" fontId="9" fillId="8" borderId="13" xfId="0" applyNumberFormat="1" applyFont="1" applyFill="1" applyBorder="1" applyAlignment="1">
      <alignment horizontal="center"/>
    </xf>
    <xf numFmtId="0" fontId="10" fillId="9" borderId="14" xfId="0" applyFont="1" applyFill="1" applyBorder="1" applyAlignment="1">
      <alignment horizontal="left"/>
    </xf>
    <xf numFmtId="3" fontId="10" fillId="9" borderId="14" xfId="0" applyNumberFormat="1" applyFont="1" applyFill="1" applyBorder="1"/>
    <xf numFmtId="3" fontId="10" fillId="9" borderId="13" xfId="0" applyNumberFormat="1" applyFont="1" applyFill="1" applyBorder="1"/>
    <xf numFmtId="3" fontId="10" fillId="9" borderId="13" xfId="0" applyNumberFormat="1" applyFont="1" applyFill="1" applyBorder="1" applyAlignment="1">
      <alignment horizontal="center"/>
    </xf>
    <xf numFmtId="3" fontId="10" fillId="9" borderId="18" xfId="0" applyNumberFormat="1" applyFont="1" applyFill="1" applyBorder="1"/>
    <xf numFmtId="3" fontId="10" fillId="9" borderId="8" xfId="0" applyNumberFormat="1" applyFont="1" applyFill="1" applyBorder="1"/>
    <xf numFmtId="3" fontId="10" fillId="9" borderId="8" xfId="0" applyNumberFormat="1" applyFont="1" applyFill="1" applyBorder="1" applyAlignment="1">
      <alignment horizontal="center"/>
    </xf>
    <xf numFmtId="3" fontId="10" fillId="10" borderId="8" xfId="0" applyNumberFormat="1" applyFont="1" applyFill="1" applyBorder="1" applyAlignment="1">
      <alignment horizontal="center"/>
    </xf>
    <xf numFmtId="0" fontId="10" fillId="8" borderId="13" xfId="0" applyFont="1" applyFill="1" applyBorder="1"/>
    <xf numFmtId="0" fontId="10" fillId="8" borderId="14" xfId="0" applyFont="1" applyFill="1" applyBorder="1" applyAlignment="1">
      <alignment horizontal="center"/>
    </xf>
    <xf numFmtId="3" fontId="10" fillId="8" borderId="14" xfId="0" applyNumberFormat="1" applyFont="1" applyFill="1" applyBorder="1"/>
    <xf numFmtId="3" fontId="10" fillId="8" borderId="13" xfId="0" applyNumberFormat="1" applyFont="1" applyFill="1" applyBorder="1"/>
    <xf numFmtId="3" fontId="10" fillId="8" borderId="13" xfId="0" applyNumberFormat="1" applyFont="1" applyFill="1" applyBorder="1" applyAlignment="1">
      <alignment horizontal="center"/>
    </xf>
    <xf numFmtId="3" fontId="9" fillId="8" borderId="14" xfId="0" applyNumberFormat="1" applyFont="1" applyFill="1" applyBorder="1"/>
    <xf numFmtId="0" fontId="9" fillId="8" borderId="24" xfId="0" applyFont="1" applyFill="1" applyBorder="1"/>
    <xf numFmtId="0" fontId="11" fillId="2" borderId="13" xfId="0" applyFont="1" applyFill="1" applyBorder="1" applyAlignment="1">
      <alignment horizontal="left"/>
    </xf>
    <xf numFmtId="0" fontId="11" fillId="2" borderId="14" xfId="0" applyFont="1" applyFill="1" applyBorder="1" applyAlignment="1">
      <alignment horizontal="left"/>
    </xf>
    <xf numFmtId="3" fontId="11" fillId="2" borderId="14" xfId="0" applyNumberFormat="1" applyFont="1" applyFill="1" applyBorder="1" applyAlignment="1">
      <alignment horizontal="left"/>
    </xf>
    <xf numFmtId="0" fontId="10" fillId="11" borderId="14" xfId="0" applyFont="1" applyFill="1" applyBorder="1" applyAlignment="1">
      <alignment horizontal="left"/>
    </xf>
    <xf numFmtId="3" fontId="10" fillId="11" borderId="14" xfId="0" applyNumberFormat="1" applyFont="1" applyFill="1" applyBorder="1"/>
    <xf numFmtId="3" fontId="10" fillId="11" borderId="13" xfId="0" applyNumberFormat="1" applyFont="1" applyFill="1" applyBorder="1"/>
    <xf numFmtId="3" fontId="10" fillId="11" borderId="15" xfId="0" applyNumberFormat="1" applyFont="1" applyFill="1" applyBorder="1" applyAlignment="1">
      <alignment horizontal="center"/>
    </xf>
    <xf numFmtId="167" fontId="10" fillId="11" borderId="14" xfId="0" applyNumberFormat="1" applyFont="1" applyFill="1" applyBorder="1" applyAlignment="1">
      <alignment horizontal="center"/>
    </xf>
    <xf numFmtId="167" fontId="9" fillId="11" borderId="14" xfId="0" applyNumberFormat="1" applyFont="1" applyFill="1" applyBorder="1" applyAlignment="1">
      <alignment horizontal="center"/>
    </xf>
    <xf numFmtId="3" fontId="9" fillId="2" borderId="14" xfId="0" applyNumberFormat="1" applyFont="1" applyFill="1" applyBorder="1"/>
    <xf numFmtId="3" fontId="9" fillId="2" borderId="13" xfId="0" applyNumberFormat="1" applyFont="1" applyFill="1" applyBorder="1"/>
    <xf numFmtId="3" fontId="9" fillId="2" borderId="8" xfId="0" applyNumberFormat="1" applyFont="1" applyFill="1" applyBorder="1" applyAlignment="1">
      <alignment horizontal="center"/>
    </xf>
    <xf numFmtId="3" fontId="9" fillId="2" borderId="13" xfId="0" applyNumberFormat="1" applyFont="1" applyFill="1" applyBorder="1" applyAlignment="1">
      <alignment horizontal="center"/>
    </xf>
    <xf numFmtId="3" fontId="9" fillId="2" borderId="14" xfId="0" applyNumberFormat="1" applyFont="1" applyFill="1" applyBorder="1" applyAlignment="1">
      <alignment horizontal="center"/>
    </xf>
    <xf numFmtId="168" fontId="10" fillId="12" borderId="14" xfId="0" applyNumberFormat="1" applyFont="1" applyFill="1" applyBorder="1" applyAlignment="1">
      <alignment horizontal="left"/>
    </xf>
    <xf numFmtId="168" fontId="10" fillId="12" borderId="14" xfId="0" applyNumberFormat="1" applyFont="1" applyFill="1" applyBorder="1"/>
    <xf numFmtId="168" fontId="10" fillId="12" borderId="13" xfId="0" applyNumberFormat="1" applyFont="1" applyFill="1" applyBorder="1"/>
    <xf numFmtId="168" fontId="10" fillId="12" borderId="13" xfId="0" applyNumberFormat="1" applyFont="1" applyFill="1" applyBorder="1" applyAlignment="1">
      <alignment horizontal="center"/>
    </xf>
    <xf numFmtId="168" fontId="10" fillId="12" borderId="24" xfId="0" applyNumberFormat="1" applyFont="1" applyFill="1" applyBorder="1" applyAlignment="1">
      <alignment horizontal="center"/>
    </xf>
    <xf numFmtId="168" fontId="10" fillId="12" borderId="14" xfId="0" applyNumberFormat="1" applyFont="1" applyFill="1" applyBorder="1" applyAlignment="1">
      <alignment horizontal="center"/>
    </xf>
    <xf numFmtId="168" fontId="9" fillId="12" borderId="14" xfId="0" applyNumberFormat="1" applyFont="1" applyFill="1" applyBorder="1" applyAlignment="1">
      <alignment horizontal="center"/>
    </xf>
    <xf numFmtId="0" fontId="10" fillId="12" borderId="14" xfId="0" applyFont="1" applyFill="1" applyBorder="1" applyAlignment="1">
      <alignment horizontal="left"/>
    </xf>
    <xf numFmtId="3" fontId="10" fillId="12" borderId="14" xfId="0" applyNumberFormat="1" applyFont="1" applyFill="1" applyBorder="1"/>
    <xf numFmtId="3" fontId="10" fillId="12" borderId="13" xfId="0" applyNumberFormat="1" applyFont="1" applyFill="1" applyBorder="1"/>
    <xf numFmtId="3" fontId="10" fillId="12" borderId="13" xfId="0" applyNumberFormat="1" applyFont="1" applyFill="1" applyBorder="1" applyAlignment="1">
      <alignment horizontal="center"/>
    </xf>
    <xf numFmtId="3" fontId="10" fillId="12" borderId="24" xfId="0" applyNumberFormat="1" applyFont="1" applyFill="1" applyBorder="1" applyAlignment="1">
      <alignment horizontal="center"/>
    </xf>
    <xf numFmtId="3" fontId="10" fillId="12" borderId="14" xfId="0" applyNumberFormat="1" applyFont="1" applyFill="1" applyBorder="1" applyAlignment="1">
      <alignment horizontal="center"/>
    </xf>
    <xf numFmtId="3" fontId="9" fillId="12" borderId="14" xfId="0" applyNumberFormat="1" applyFont="1" applyFill="1" applyBorder="1" applyAlignment="1">
      <alignment horizontal="center"/>
    </xf>
    <xf numFmtId="3" fontId="10" fillId="4" borderId="13" xfId="0" applyNumberFormat="1" applyFont="1" applyFill="1" applyBorder="1" applyAlignment="1">
      <alignment horizontal="center"/>
    </xf>
    <xf numFmtId="3" fontId="10" fillId="4" borderId="14" xfId="0" applyNumberFormat="1" applyFont="1" applyFill="1" applyBorder="1" applyAlignment="1">
      <alignment horizontal="center"/>
    </xf>
    <xf numFmtId="3" fontId="10" fillId="13" borderId="14" xfId="0" applyNumberFormat="1" applyFont="1" applyFill="1" applyBorder="1"/>
    <xf numFmtId="3" fontId="10" fillId="13" borderId="13" xfId="0" applyNumberFormat="1" applyFont="1" applyFill="1" applyBorder="1"/>
    <xf numFmtId="3" fontId="10" fillId="13" borderId="13" xfId="0" applyNumberFormat="1" applyFont="1" applyFill="1" applyBorder="1" applyAlignment="1">
      <alignment horizontal="center"/>
    </xf>
    <xf numFmtId="3" fontId="10" fillId="13" borderId="14" xfId="0" applyNumberFormat="1" applyFont="1" applyFill="1" applyBorder="1" applyAlignment="1">
      <alignment horizontal="center"/>
    </xf>
    <xf numFmtId="3" fontId="10" fillId="14" borderId="14" xfId="0" applyNumberFormat="1" applyFont="1" applyFill="1" applyBorder="1"/>
    <xf numFmtId="3" fontId="10" fillId="14" borderId="13" xfId="0" applyNumberFormat="1" applyFont="1" applyFill="1" applyBorder="1"/>
    <xf numFmtId="3" fontId="10" fillId="14" borderId="13" xfId="0" applyNumberFormat="1" applyFont="1" applyFill="1" applyBorder="1" applyAlignment="1">
      <alignment horizontal="center"/>
    </xf>
    <xf numFmtId="3" fontId="10" fillId="14" borderId="14" xfId="0" applyNumberFormat="1" applyFont="1" applyFill="1" applyBorder="1" applyAlignment="1">
      <alignment horizontal="center"/>
    </xf>
    <xf numFmtId="3" fontId="4" fillId="14" borderId="6" xfId="0" applyNumberFormat="1" applyFont="1" applyFill="1" applyBorder="1" applyAlignment="1">
      <alignment horizontal="center"/>
    </xf>
    <xf numFmtId="0" fontId="3" fillId="14" borderId="6" xfId="0" applyFont="1" applyFill="1" applyBorder="1" applyAlignment="1">
      <alignment horizontal="right"/>
    </xf>
    <xf numFmtId="0" fontId="3" fillId="14" borderId="0" xfId="0" applyFont="1" applyFill="1"/>
    <xf numFmtId="171" fontId="4" fillId="14" borderId="14" xfId="0" applyNumberFormat="1" applyFont="1" applyFill="1" applyBorder="1"/>
    <xf numFmtId="3" fontId="4" fillId="14" borderId="0" xfId="0" applyNumberFormat="1" applyFont="1" applyFill="1"/>
    <xf numFmtId="3" fontId="4" fillId="4" borderId="0" xfId="0" applyNumberFormat="1" applyFont="1" applyFill="1"/>
    <xf numFmtId="3" fontId="4" fillId="14" borderId="0" xfId="0" applyNumberFormat="1" applyFont="1" applyFill="1" applyAlignment="1">
      <alignment horizontal="center"/>
    </xf>
    <xf numFmtId="3" fontId="3" fillId="14" borderId="0" xfId="0" applyNumberFormat="1" applyFont="1" applyFill="1" applyAlignment="1">
      <alignment horizontal="center"/>
    </xf>
    <xf numFmtId="10" fontId="4" fillId="4" borderId="0" xfId="0" applyNumberFormat="1" applyFont="1" applyFill="1" applyAlignment="1">
      <alignment horizontal="center"/>
    </xf>
    <xf numFmtId="10" fontId="4" fillId="0" borderId="0" xfId="0" applyNumberFormat="1" applyFont="1" applyAlignment="1">
      <alignment horizontal="center"/>
    </xf>
    <xf numFmtId="171" fontId="9" fillId="14" borderId="14" xfId="0" applyNumberFormat="1" applyFont="1" applyFill="1" applyBorder="1" applyAlignment="1">
      <alignment horizontal="center"/>
    </xf>
    <xf numFmtId="3" fontId="10" fillId="12" borderId="14" xfId="0" applyNumberFormat="1" applyFont="1" applyFill="1" applyBorder="1" applyAlignment="1">
      <alignment horizontal="left"/>
    </xf>
    <xf numFmtId="0" fontId="12" fillId="15" borderId="13" xfId="0" applyFont="1" applyFill="1" applyBorder="1"/>
    <xf numFmtId="0" fontId="9" fillId="15" borderId="14" xfId="0" applyFont="1" applyFill="1" applyBorder="1" applyAlignment="1">
      <alignment horizontal="left"/>
    </xf>
    <xf numFmtId="3" fontId="10" fillId="15" borderId="14" xfId="0" applyNumberFormat="1" applyFont="1" applyFill="1" applyBorder="1"/>
    <xf numFmtId="3" fontId="10" fillId="15" borderId="13" xfId="0" applyNumberFormat="1" applyFont="1" applyFill="1" applyBorder="1"/>
    <xf numFmtId="3" fontId="10" fillId="15" borderId="14" xfId="0" applyNumberFormat="1" applyFont="1" applyFill="1" applyBorder="1" applyAlignment="1">
      <alignment horizontal="center"/>
    </xf>
    <xf numFmtId="3" fontId="10" fillId="15" borderId="13" xfId="0" applyNumberFormat="1" applyFont="1" applyFill="1" applyBorder="1" applyAlignment="1">
      <alignment horizontal="center"/>
    </xf>
    <xf numFmtId="0" fontId="9" fillId="14" borderId="14" xfId="0" applyFont="1" applyFill="1" applyBorder="1" applyAlignment="1">
      <alignment horizontal="left"/>
    </xf>
    <xf numFmtId="0" fontId="9" fillId="14" borderId="13" xfId="0" applyFont="1" applyFill="1" applyBorder="1"/>
    <xf numFmtId="0" fontId="9" fillId="15" borderId="13" xfId="0" applyFont="1" applyFill="1" applyBorder="1"/>
    <xf numFmtId="10" fontId="10" fillId="15" borderId="14" xfId="0" applyNumberFormat="1" applyFont="1" applyFill="1" applyBorder="1" applyAlignment="1">
      <alignment horizontal="center"/>
    </xf>
    <xf numFmtId="3" fontId="9" fillId="14" borderId="14" xfId="0" applyNumberFormat="1" applyFont="1" applyFill="1" applyBorder="1" applyAlignment="1">
      <alignment horizontal="center"/>
    </xf>
    <xf numFmtId="0" fontId="9" fillId="16" borderId="13" xfId="0" applyFont="1" applyFill="1" applyBorder="1"/>
    <xf numFmtId="0" fontId="9" fillId="16" borderId="14" xfId="0" applyFont="1" applyFill="1" applyBorder="1" applyAlignment="1">
      <alignment horizontal="center"/>
    </xf>
    <xf numFmtId="3" fontId="9" fillId="16" borderId="14" xfId="0" applyNumberFormat="1" applyFont="1" applyFill="1" applyBorder="1"/>
    <xf numFmtId="3" fontId="9" fillId="16" borderId="13" xfId="0" applyNumberFormat="1" applyFont="1" applyFill="1" applyBorder="1"/>
    <xf numFmtId="3" fontId="9" fillId="16" borderId="13" xfId="0" applyNumberFormat="1" applyFont="1" applyFill="1" applyBorder="1" applyAlignment="1">
      <alignment horizontal="center"/>
    </xf>
    <xf numFmtId="3" fontId="9" fillId="16" borderId="14" xfId="0" applyNumberFormat="1" applyFont="1" applyFill="1" applyBorder="1" applyAlignment="1">
      <alignment horizontal="center"/>
    </xf>
    <xf numFmtId="0" fontId="9" fillId="9" borderId="13" xfId="0" applyFont="1" applyFill="1" applyBorder="1"/>
    <xf numFmtId="0" fontId="9" fillId="9" borderId="14" xfId="0" applyFont="1" applyFill="1" applyBorder="1" applyAlignment="1">
      <alignment horizontal="center"/>
    </xf>
    <xf numFmtId="3" fontId="10" fillId="9" borderId="14" xfId="0" applyNumberFormat="1" applyFont="1" applyFill="1" applyBorder="1" applyAlignment="1">
      <alignment horizontal="center"/>
    </xf>
    <xf numFmtId="172" fontId="3" fillId="17" borderId="20" xfId="0" applyNumberFormat="1" applyFont="1" applyFill="1" applyBorder="1" applyAlignment="1">
      <alignment horizontal="center"/>
    </xf>
    <xf numFmtId="3" fontId="13" fillId="16" borderId="13" xfId="0" applyNumberFormat="1" applyFont="1" applyFill="1" applyBorder="1"/>
    <xf numFmtId="3" fontId="13" fillId="16" borderId="13" xfId="0" applyNumberFormat="1" applyFont="1" applyFill="1" applyBorder="1" applyAlignment="1">
      <alignment horizontal="center"/>
    </xf>
    <xf numFmtId="3" fontId="4" fillId="9" borderId="7" xfId="0" applyNumberFormat="1" applyFont="1" applyFill="1" applyBorder="1" applyAlignment="1">
      <alignment horizontal="center"/>
    </xf>
    <xf numFmtId="3" fontId="14" fillId="16" borderId="13" xfId="0" applyNumberFormat="1" applyFont="1" applyFill="1" applyBorder="1"/>
    <xf numFmtId="3" fontId="14" fillId="16" borderId="14" xfId="0" applyNumberFormat="1" applyFont="1" applyFill="1" applyBorder="1"/>
    <xf numFmtId="3" fontId="14" fillId="16" borderId="13" xfId="0" applyNumberFormat="1" applyFont="1" applyFill="1" applyBorder="1" applyAlignment="1">
      <alignment horizontal="center"/>
    </xf>
    <xf numFmtId="3" fontId="13" fillId="16" borderId="14" xfId="0" applyNumberFormat="1" applyFont="1" applyFill="1" applyBorder="1"/>
    <xf numFmtId="3" fontId="13" fillId="16" borderId="14" xfId="0" applyNumberFormat="1" applyFont="1" applyFill="1" applyBorder="1" applyAlignment="1">
      <alignment horizontal="center"/>
    </xf>
    <xf numFmtId="3" fontId="9" fillId="21" borderId="15" xfId="0" applyNumberFormat="1" applyFont="1" applyFill="1" applyBorder="1" applyAlignment="1">
      <alignment horizontal="center"/>
    </xf>
    <xf numFmtId="0" fontId="10" fillId="11" borderId="13" xfId="0" applyFont="1" applyFill="1" applyBorder="1" applyAlignment="1">
      <alignment horizontal="left"/>
    </xf>
    <xf numFmtId="3" fontId="9" fillId="21" borderId="13" xfId="0" applyNumberFormat="1" applyFont="1" applyFill="1" applyBorder="1"/>
    <xf numFmtId="3" fontId="9" fillId="21" borderId="14" xfId="0" applyNumberFormat="1" applyFont="1" applyFill="1" applyBorder="1"/>
    <xf numFmtId="3" fontId="9" fillId="21" borderId="8" xfId="0" applyNumberFormat="1" applyFont="1" applyFill="1" applyBorder="1" applyAlignment="1">
      <alignment horizontal="center"/>
    </xf>
    <xf numFmtId="3" fontId="9" fillId="21" borderId="13" xfId="0" applyNumberFormat="1" applyFont="1" applyFill="1" applyBorder="1" applyAlignment="1">
      <alignment horizontal="center"/>
    </xf>
    <xf numFmtId="3" fontId="9" fillId="21" borderId="14" xfId="0" applyNumberFormat="1" applyFont="1" applyFill="1" applyBorder="1" applyAlignment="1">
      <alignment horizontal="center"/>
    </xf>
    <xf numFmtId="168" fontId="10" fillId="2" borderId="13" xfId="0" applyNumberFormat="1" applyFont="1" applyFill="1" applyBorder="1"/>
    <xf numFmtId="168" fontId="10" fillId="2" borderId="14" xfId="0" applyNumberFormat="1" applyFont="1" applyFill="1" applyBorder="1"/>
    <xf numFmtId="168" fontId="10" fillId="2" borderId="13" xfId="0" applyNumberFormat="1" applyFont="1" applyFill="1" applyBorder="1" applyAlignment="1">
      <alignment horizontal="center"/>
    </xf>
    <xf numFmtId="168" fontId="10" fillId="2" borderId="24" xfId="0" applyNumberFormat="1" applyFont="1" applyFill="1" applyBorder="1" applyAlignment="1">
      <alignment horizontal="center"/>
    </xf>
    <xf numFmtId="168" fontId="10" fillId="2" borderId="14" xfId="0" applyNumberFormat="1" applyFont="1" applyFill="1" applyBorder="1" applyAlignment="1">
      <alignment horizontal="center"/>
    </xf>
    <xf numFmtId="168" fontId="9" fillId="2" borderId="14" xfId="0" applyNumberFormat="1" applyFont="1" applyFill="1" applyBorder="1" applyAlignment="1">
      <alignment horizontal="center"/>
    </xf>
    <xf numFmtId="3" fontId="10" fillId="2" borderId="13" xfId="0" applyNumberFormat="1" applyFont="1" applyFill="1" applyBorder="1"/>
    <xf numFmtId="3" fontId="10" fillId="2" borderId="14" xfId="0" applyNumberFormat="1" applyFont="1" applyFill="1" applyBorder="1"/>
    <xf numFmtId="3" fontId="10" fillId="2" borderId="13" xfId="0" applyNumberFormat="1" applyFont="1" applyFill="1" applyBorder="1" applyAlignment="1">
      <alignment horizontal="center"/>
    </xf>
    <xf numFmtId="3" fontId="10" fillId="2" borderId="24" xfId="0" applyNumberFormat="1" applyFont="1" applyFill="1" applyBorder="1" applyAlignment="1">
      <alignment horizontal="center"/>
    </xf>
    <xf numFmtId="3" fontId="10" fillId="2" borderId="14" xfId="0" applyNumberFormat="1" applyFont="1" applyFill="1" applyBorder="1" applyAlignment="1">
      <alignment horizontal="center"/>
    </xf>
    <xf numFmtId="0" fontId="10" fillId="21" borderId="13" xfId="0" applyFont="1" applyFill="1" applyBorder="1" applyAlignment="1">
      <alignment horizontal="left"/>
    </xf>
    <xf numFmtId="0" fontId="10" fillId="21" borderId="14" xfId="0" applyFont="1" applyFill="1" applyBorder="1" applyAlignment="1">
      <alignment horizontal="left"/>
    </xf>
    <xf numFmtId="3" fontId="10" fillId="21" borderId="13" xfId="0" applyNumberFormat="1" applyFont="1" applyFill="1" applyBorder="1"/>
    <xf numFmtId="3" fontId="10" fillId="21" borderId="14" xfId="0" applyNumberFormat="1" applyFont="1" applyFill="1" applyBorder="1"/>
    <xf numFmtId="3" fontId="10" fillId="21" borderId="15" xfId="0" applyNumberFormat="1" applyFont="1" applyFill="1" applyBorder="1" applyAlignment="1">
      <alignment horizontal="center"/>
    </xf>
    <xf numFmtId="3" fontId="10" fillId="21" borderId="14" xfId="0" applyNumberFormat="1" applyFont="1" applyFill="1" applyBorder="1" applyAlignment="1">
      <alignment horizontal="center"/>
    </xf>
    <xf numFmtId="0" fontId="3" fillId="14" borderId="23" xfId="0" applyFont="1" applyFill="1" applyBorder="1"/>
    <xf numFmtId="171" fontId="4" fillId="14" borderId="0" xfId="0" applyNumberFormat="1" applyFont="1" applyFill="1"/>
    <xf numFmtId="3" fontId="9" fillId="22" borderId="13" xfId="0" applyNumberFormat="1" applyFont="1" applyFill="1" applyBorder="1"/>
    <xf numFmtId="3" fontId="9" fillId="22" borderId="14" xfId="0" applyNumberFormat="1" applyFont="1" applyFill="1" applyBorder="1"/>
    <xf numFmtId="3" fontId="9" fillId="22" borderId="13" xfId="0" applyNumberFormat="1" applyFont="1" applyFill="1" applyBorder="1" applyAlignment="1">
      <alignment horizontal="center"/>
    </xf>
    <xf numFmtId="0" fontId="9" fillId="23" borderId="14" xfId="0" applyFont="1" applyFill="1" applyBorder="1" applyAlignment="1">
      <alignment horizontal="left"/>
    </xf>
    <xf numFmtId="3" fontId="10" fillId="23" borderId="13" xfId="0" applyNumberFormat="1" applyFont="1" applyFill="1" applyBorder="1"/>
    <xf numFmtId="3" fontId="10" fillId="23" borderId="14" xfId="0" applyNumberFormat="1" applyFont="1" applyFill="1" applyBorder="1" applyAlignment="1">
      <alignment horizontal="center"/>
    </xf>
    <xf numFmtId="3" fontId="10" fillId="23" borderId="13" xfId="0" applyNumberFormat="1" applyFont="1" applyFill="1" applyBorder="1" applyAlignment="1">
      <alignment horizontal="center"/>
    </xf>
    <xf numFmtId="10" fontId="10" fillId="23" borderId="14" xfId="0" applyNumberFormat="1" applyFont="1" applyFill="1" applyBorder="1" applyAlignment="1">
      <alignment horizontal="center"/>
    </xf>
    <xf numFmtId="3" fontId="9" fillId="22" borderId="14" xfId="0" applyNumberFormat="1" applyFont="1" applyFill="1" applyBorder="1" applyAlignment="1">
      <alignment horizontal="center"/>
    </xf>
    <xf numFmtId="0" fontId="9" fillId="22" borderId="14" xfId="0" applyFont="1" applyFill="1" applyBorder="1" applyAlignment="1">
      <alignment horizontal="left"/>
    </xf>
    <xf numFmtId="3" fontId="10" fillId="22" borderId="13" xfId="0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3" fontId="16" fillId="14" borderId="14" xfId="0" applyNumberFormat="1" applyFont="1" applyFill="1" applyBorder="1" applyAlignment="1">
      <alignment horizontal="center"/>
    </xf>
    <xf numFmtId="3" fontId="17" fillId="0" borderId="6" xfId="1" applyNumberFormat="1" applyFont="1" applyBorder="1" applyAlignment="1">
      <alignment horizontal="center"/>
    </xf>
    <xf numFmtId="3" fontId="17" fillId="24" borderId="6" xfId="1" applyNumberFormat="1" applyFont="1" applyFill="1" applyBorder="1" applyAlignment="1">
      <alignment horizontal="center"/>
    </xf>
    <xf numFmtId="0" fontId="18" fillId="25" borderId="26" xfId="0" applyFont="1" applyFill="1" applyBorder="1" applyAlignment="1">
      <alignment horizontal="center"/>
    </xf>
    <xf numFmtId="3" fontId="16" fillId="2" borderId="14" xfId="0" applyNumberFormat="1" applyFont="1" applyFill="1" applyBorder="1" applyAlignment="1">
      <alignment horizontal="center"/>
    </xf>
    <xf numFmtId="0" fontId="9" fillId="26" borderId="7" xfId="0" applyFont="1" applyFill="1" applyBorder="1"/>
    <xf numFmtId="0" fontId="11" fillId="26" borderId="12" xfId="0" applyFont="1" applyFill="1" applyBorder="1" applyAlignment="1">
      <alignment horizontal="left"/>
    </xf>
    <xf numFmtId="0" fontId="11" fillId="26" borderId="14" xfId="0" applyFont="1" applyFill="1" applyBorder="1" applyAlignment="1">
      <alignment horizontal="left"/>
    </xf>
    <xf numFmtId="3" fontId="9" fillId="26" borderId="14" xfId="0" applyNumberFormat="1" applyFont="1" applyFill="1" applyBorder="1"/>
    <xf numFmtId="3" fontId="9" fillId="26" borderId="6" xfId="0" applyNumberFormat="1" applyFont="1" applyFill="1" applyBorder="1"/>
    <xf numFmtId="3" fontId="9" fillId="26" borderId="13" xfId="0" applyNumberFormat="1" applyFont="1" applyFill="1" applyBorder="1"/>
    <xf numFmtId="3" fontId="9" fillId="26" borderId="0" xfId="0" applyNumberFormat="1" applyFont="1" applyFill="1"/>
    <xf numFmtId="3" fontId="9" fillId="26" borderId="6" xfId="0" applyNumberFormat="1" applyFont="1" applyFill="1" applyBorder="1" applyAlignment="1">
      <alignment horizontal="center"/>
    </xf>
    <xf numFmtId="3" fontId="9" fillId="26" borderId="8" xfId="0" applyNumberFormat="1" applyFont="1" applyFill="1" applyBorder="1" applyAlignment="1">
      <alignment horizontal="center"/>
    </xf>
    <xf numFmtId="3" fontId="9" fillId="26" borderId="13" xfId="0" applyNumberFormat="1" applyFont="1" applyFill="1" applyBorder="1" applyAlignment="1">
      <alignment horizontal="center"/>
    </xf>
    <xf numFmtId="3" fontId="9" fillId="26" borderId="0" xfId="0" applyNumberFormat="1" applyFont="1" applyFill="1" applyAlignment="1">
      <alignment horizontal="center"/>
    </xf>
    <xf numFmtId="3" fontId="9" fillId="26" borderId="14" xfId="0" applyNumberFormat="1" applyFont="1" applyFill="1" applyBorder="1" applyAlignment="1">
      <alignment horizontal="center"/>
    </xf>
    <xf numFmtId="3" fontId="16" fillId="26" borderId="14" xfId="0" applyNumberFormat="1" applyFont="1" applyFill="1" applyBorder="1" applyAlignment="1">
      <alignment horizontal="center"/>
    </xf>
    <xf numFmtId="0" fontId="0" fillId="26" borderId="0" xfId="0" applyFill="1"/>
    <xf numFmtId="0" fontId="9" fillId="0" borderId="0" xfId="0" applyFont="1" applyAlignment="1">
      <alignment horizontal="center"/>
    </xf>
    <xf numFmtId="3" fontId="9" fillId="8" borderId="18" xfId="0" applyNumberFormat="1" applyFont="1" applyFill="1" applyBorder="1" applyAlignment="1">
      <alignment horizontal="center"/>
    </xf>
    <xf numFmtId="3" fontId="9" fillId="8" borderId="8" xfId="0" applyNumberFormat="1" applyFont="1" applyFill="1" applyBorder="1" applyAlignment="1">
      <alignment horizontal="center"/>
    </xf>
    <xf numFmtId="167" fontId="10" fillId="11" borderId="22" xfId="0" applyNumberFormat="1" applyFont="1" applyFill="1" applyBorder="1" applyAlignment="1">
      <alignment horizontal="center"/>
    </xf>
    <xf numFmtId="167" fontId="10" fillId="11" borderId="7" xfId="0" applyNumberFormat="1" applyFont="1" applyFill="1" applyBorder="1" applyAlignment="1">
      <alignment horizontal="center"/>
    </xf>
    <xf numFmtId="170" fontId="9" fillId="14" borderId="18" xfId="0" applyNumberFormat="1" applyFont="1" applyFill="1" applyBorder="1" applyAlignment="1">
      <alignment horizontal="center"/>
    </xf>
    <xf numFmtId="3" fontId="10" fillId="14" borderId="18" xfId="0" applyNumberFormat="1" applyFont="1" applyFill="1" applyBorder="1"/>
    <xf numFmtId="3" fontId="10" fillId="14" borderId="8" xfId="0" applyNumberFormat="1" applyFont="1" applyFill="1" applyBorder="1"/>
    <xf numFmtId="3" fontId="10" fillId="14" borderId="24" xfId="0" applyNumberFormat="1" applyFont="1" applyFill="1" applyBorder="1"/>
    <xf numFmtId="3" fontId="10" fillId="14" borderId="23" xfId="0" applyNumberFormat="1" applyFont="1" applyFill="1" applyBorder="1"/>
    <xf numFmtId="3" fontId="10" fillId="14" borderId="8" xfId="0" applyNumberFormat="1" applyFont="1" applyFill="1" applyBorder="1" applyAlignment="1">
      <alignment horizontal="center"/>
    </xf>
    <xf numFmtId="3" fontId="10" fillId="14" borderId="24" xfId="0" applyNumberFormat="1" applyFont="1" applyFill="1" applyBorder="1" applyAlignment="1">
      <alignment horizontal="center"/>
    </xf>
    <xf numFmtId="3" fontId="10" fillId="4" borderId="23" xfId="0" applyNumberFormat="1" applyFont="1" applyFill="1" applyBorder="1" applyAlignment="1">
      <alignment horizontal="center"/>
    </xf>
    <xf numFmtId="3" fontId="10" fillId="14" borderId="18" xfId="0" applyNumberFormat="1" applyFont="1" applyFill="1" applyBorder="1" applyAlignment="1">
      <alignment horizontal="center"/>
    </xf>
    <xf numFmtId="3" fontId="9" fillId="14" borderId="8" xfId="0" applyNumberFormat="1" applyFont="1" applyFill="1" applyBorder="1" applyAlignment="1">
      <alignment horizontal="center"/>
    </xf>
    <xf numFmtId="0" fontId="9" fillId="14" borderId="16" xfId="0" applyFont="1" applyFill="1" applyBorder="1"/>
    <xf numFmtId="171" fontId="9" fillId="14" borderId="22" xfId="0" applyNumberFormat="1" applyFont="1" applyFill="1" applyBorder="1" applyAlignment="1">
      <alignment horizontal="center"/>
    </xf>
    <xf numFmtId="3" fontId="10" fillId="14" borderId="23" xfId="0" applyNumberFormat="1" applyFont="1" applyFill="1" applyBorder="1" applyAlignment="1">
      <alignment horizontal="center"/>
    </xf>
    <xf numFmtId="3" fontId="9" fillId="14" borderId="23" xfId="0" applyNumberFormat="1" applyFont="1" applyFill="1" applyBorder="1" applyAlignment="1">
      <alignment horizontal="center"/>
    </xf>
    <xf numFmtId="0" fontId="3" fillId="14" borderId="26" xfId="0" applyFont="1" applyFill="1" applyBorder="1" applyAlignment="1">
      <alignment horizontal="right"/>
    </xf>
    <xf numFmtId="3" fontId="4" fillId="14" borderId="26" xfId="0" applyNumberFormat="1" applyFont="1" applyFill="1" applyBorder="1"/>
    <xf numFmtId="3" fontId="4" fillId="4" borderId="26" xfId="0" applyNumberFormat="1" applyFont="1" applyFill="1" applyBorder="1"/>
    <xf numFmtId="3" fontId="4" fillId="14" borderId="26" xfId="0" applyNumberFormat="1" applyFont="1" applyFill="1" applyBorder="1" applyAlignment="1">
      <alignment horizontal="center"/>
    </xf>
    <xf numFmtId="3" fontId="3" fillId="14" borderId="26" xfId="0" applyNumberFormat="1" applyFont="1" applyFill="1" applyBorder="1" applyAlignment="1">
      <alignment horizontal="center"/>
    </xf>
    <xf numFmtId="3" fontId="4" fillId="14" borderId="14" xfId="0" applyNumberFormat="1" applyFont="1" applyFill="1" applyBorder="1" applyAlignment="1">
      <alignment horizontal="center"/>
    </xf>
    <xf numFmtId="3" fontId="4" fillId="14" borderId="13" xfId="0" applyNumberFormat="1" applyFont="1" applyFill="1" applyBorder="1" applyAlignment="1">
      <alignment horizontal="center"/>
    </xf>
    <xf numFmtId="3" fontId="10" fillId="14" borderId="7" xfId="0" applyNumberFormat="1" applyFont="1" applyFill="1" applyBorder="1" applyAlignment="1">
      <alignment horizontal="center"/>
    </xf>
    <xf numFmtId="3" fontId="10" fillId="14" borderId="26" xfId="0" applyNumberFormat="1" applyFont="1" applyFill="1" applyBorder="1" applyAlignment="1">
      <alignment horizontal="center"/>
    </xf>
    <xf numFmtId="3" fontId="4" fillId="14" borderId="29" xfId="0" applyNumberFormat="1" applyFont="1" applyFill="1" applyBorder="1" applyAlignment="1">
      <alignment horizontal="center"/>
    </xf>
    <xf numFmtId="3" fontId="4" fillId="14" borderId="18" xfId="0" applyNumberFormat="1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10" fillId="11" borderId="22" xfId="0" applyFont="1" applyFill="1" applyBorder="1" applyAlignment="1">
      <alignment horizontal="left"/>
    </xf>
    <xf numFmtId="0" fontId="9" fillId="2" borderId="9" xfId="0" applyFont="1" applyFill="1" applyBorder="1"/>
    <xf numFmtId="0" fontId="11" fillId="2" borderId="30" xfId="0" applyFont="1" applyFill="1" applyBorder="1" applyAlignment="1">
      <alignment horizontal="left"/>
    </xf>
    <xf numFmtId="0" fontId="11" fillId="2" borderId="11" xfId="0" applyFont="1" applyFill="1" applyBorder="1" applyAlignment="1">
      <alignment horizontal="left"/>
    </xf>
    <xf numFmtId="0" fontId="19" fillId="0" borderId="0" xfId="0" applyFont="1"/>
    <xf numFmtId="3" fontId="20" fillId="12" borderId="17" xfId="0" applyNumberFormat="1" applyFont="1" applyFill="1" applyBorder="1" applyAlignment="1">
      <alignment horizontal="left"/>
    </xf>
    <xf numFmtId="0" fontId="2" fillId="0" borderId="23" xfId="2"/>
    <xf numFmtId="173" fontId="21" fillId="27" borderId="34" xfId="2" applyNumberFormat="1" applyFont="1" applyFill="1" applyBorder="1" applyAlignment="1">
      <alignment horizontal="center"/>
    </xf>
    <xf numFmtId="164" fontId="21" fillId="27" borderId="35" xfId="2" applyNumberFormat="1" applyFont="1" applyFill="1" applyBorder="1" applyAlignment="1">
      <alignment horizontal="center"/>
    </xf>
    <xf numFmtId="164" fontId="21" fillId="27" borderId="36" xfId="2" applyNumberFormat="1" applyFont="1" applyFill="1" applyBorder="1" applyAlignment="1">
      <alignment horizontal="center"/>
    </xf>
    <xf numFmtId="173" fontId="21" fillId="0" borderId="37" xfId="2" applyNumberFormat="1" applyFont="1" applyBorder="1" applyAlignment="1">
      <alignment horizontal="center"/>
    </xf>
    <xf numFmtId="0" fontId="2" fillId="0" borderId="38" xfId="2" applyBorder="1"/>
    <xf numFmtId="164" fontId="21" fillId="0" borderId="39" xfId="2" applyNumberFormat="1" applyFont="1" applyBorder="1" applyAlignment="1">
      <alignment horizontal="center"/>
    </xf>
    <xf numFmtId="0" fontId="22" fillId="28" borderId="40" xfId="2" applyFont="1" applyFill="1" applyBorder="1"/>
    <xf numFmtId="173" fontId="21" fillId="0" borderId="41" xfId="2" applyNumberFormat="1" applyFont="1" applyBorder="1" applyAlignment="1">
      <alignment horizontal="center"/>
    </xf>
    <xf numFmtId="164" fontId="21" fillId="0" borderId="26" xfId="2" applyNumberFormat="1" applyFont="1" applyBorder="1" applyAlignment="1">
      <alignment horizontal="center"/>
    </xf>
    <xf numFmtId="0" fontId="22" fillId="28" borderId="42" xfId="2" applyFont="1" applyFill="1" applyBorder="1"/>
    <xf numFmtId="173" fontId="21" fillId="0" borderId="43" xfId="2" applyNumberFormat="1" applyFont="1" applyBorder="1" applyAlignment="1">
      <alignment horizontal="center"/>
    </xf>
    <xf numFmtId="0" fontId="2" fillId="0" borderId="44" xfId="2" applyBorder="1"/>
    <xf numFmtId="164" fontId="21" fillId="0" borderId="45" xfId="2" applyNumberFormat="1" applyFont="1" applyBorder="1" applyAlignment="1">
      <alignment horizontal="center"/>
    </xf>
    <xf numFmtId="0" fontId="22" fillId="28" borderId="46" xfId="2" applyFont="1" applyFill="1" applyBorder="1"/>
    <xf numFmtId="0" fontId="21" fillId="27" borderId="47" xfId="2" applyFont="1" applyFill="1" applyBorder="1" applyAlignment="1">
      <alignment horizontal="center"/>
    </xf>
    <xf numFmtId="0" fontId="21" fillId="27" borderId="48" xfId="2" applyFont="1" applyFill="1" applyBorder="1" applyAlignment="1">
      <alignment horizontal="center"/>
    </xf>
    <xf numFmtId="174" fontId="23" fillId="29" borderId="49" xfId="2" applyNumberFormat="1" applyFont="1" applyFill="1" applyBorder="1" applyAlignment="1">
      <alignment horizontal="center" vertical="center"/>
    </xf>
    <xf numFmtId="175" fontId="24" fillId="29" borderId="49" xfId="2" applyNumberFormat="1" applyFont="1" applyFill="1" applyBorder="1" applyAlignment="1">
      <alignment horizontal="center" vertical="center"/>
    </xf>
    <xf numFmtId="10" fontId="23" fillId="29" borderId="49" xfId="2" applyNumberFormat="1" applyFont="1" applyFill="1" applyBorder="1" applyAlignment="1">
      <alignment horizontal="center" vertical="center"/>
    </xf>
    <xf numFmtId="176" fontId="23" fillId="29" borderId="49" xfId="2" applyNumberFormat="1" applyFont="1" applyFill="1" applyBorder="1" applyAlignment="1">
      <alignment horizontal="center" vertical="center"/>
    </xf>
    <xf numFmtId="0" fontId="25" fillId="29" borderId="50" xfId="2" applyFont="1" applyFill="1" applyBorder="1" applyAlignment="1">
      <alignment horizontal="right" vertical="center"/>
    </xf>
    <xf numFmtId="177" fontId="2" fillId="29" borderId="51" xfId="2" applyNumberFormat="1" applyFill="1" applyBorder="1"/>
    <xf numFmtId="177" fontId="2" fillId="29" borderId="6" xfId="2" applyNumberFormat="1" applyFill="1" applyBorder="1"/>
    <xf numFmtId="174" fontId="2" fillId="29" borderId="6" xfId="2" applyNumberFormat="1" applyFill="1" applyBorder="1" applyAlignment="1">
      <alignment horizontal="left" vertical="center"/>
    </xf>
    <xf numFmtId="174" fontId="2" fillId="29" borderId="6" xfId="2" applyNumberFormat="1" applyFill="1" applyBorder="1" applyAlignment="1">
      <alignment horizontal="left"/>
    </xf>
    <xf numFmtId="175" fontId="24" fillId="29" borderId="6" xfId="2" applyNumberFormat="1" applyFont="1" applyFill="1" applyBorder="1" applyAlignment="1">
      <alignment horizontal="center" vertical="center"/>
    </xf>
    <xf numFmtId="10" fontId="24" fillId="29" borderId="6" xfId="2" applyNumberFormat="1" applyFont="1" applyFill="1" applyBorder="1" applyAlignment="1">
      <alignment horizontal="center" vertical="center"/>
    </xf>
    <xf numFmtId="174" fontId="24" fillId="29" borderId="6" xfId="2" applyNumberFormat="1" applyFont="1" applyFill="1" applyBorder="1" applyAlignment="1">
      <alignment horizontal="left" vertical="center"/>
    </xf>
    <xf numFmtId="0" fontId="24" fillId="29" borderId="52" xfId="2" applyFont="1" applyFill="1" applyBorder="1"/>
    <xf numFmtId="177" fontId="2" fillId="29" borderId="53" xfId="2" applyNumberFormat="1" applyFill="1" applyBorder="1"/>
    <xf numFmtId="177" fontId="2" fillId="29" borderId="54" xfId="2" applyNumberFormat="1" applyFill="1" applyBorder="1"/>
    <xf numFmtId="174" fontId="2" fillId="29" borderId="54" xfId="2" applyNumberFormat="1" applyFill="1" applyBorder="1" applyAlignment="1">
      <alignment horizontal="left" vertical="center"/>
    </xf>
    <xf numFmtId="174" fontId="2" fillId="29" borderId="54" xfId="2" applyNumberFormat="1" applyFill="1" applyBorder="1" applyAlignment="1">
      <alignment horizontal="left"/>
    </xf>
    <xf numFmtId="175" fontId="24" fillId="29" borderId="54" xfId="2" applyNumberFormat="1" applyFont="1" applyFill="1" applyBorder="1" applyAlignment="1">
      <alignment horizontal="center" vertical="center"/>
    </xf>
    <xf numFmtId="10" fontId="24" fillId="29" borderId="54" xfId="2" applyNumberFormat="1" applyFont="1" applyFill="1" applyBorder="1" applyAlignment="1">
      <alignment horizontal="center" vertical="center"/>
    </xf>
    <xf numFmtId="174" fontId="24" fillId="29" borderId="54" xfId="2" applyNumberFormat="1" applyFont="1" applyFill="1" applyBorder="1" applyAlignment="1">
      <alignment horizontal="left" vertical="center"/>
    </xf>
    <xf numFmtId="0" fontId="24" fillId="29" borderId="55" xfId="2" applyFont="1" applyFill="1" applyBorder="1"/>
    <xf numFmtId="177" fontId="25" fillId="30" borderId="56" xfId="2" applyNumberFormat="1" applyFont="1" applyFill="1" applyBorder="1" applyAlignment="1">
      <alignment horizontal="center" vertical="center"/>
    </xf>
    <xf numFmtId="0" fontId="25" fillId="30" borderId="57" xfId="2" applyFont="1" applyFill="1" applyBorder="1" applyAlignment="1">
      <alignment horizontal="center" vertical="center"/>
    </xf>
    <xf numFmtId="0" fontId="25" fillId="30" borderId="58" xfId="2" applyFont="1" applyFill="1" applyBorder="1" applyAlignment="1">
      <alignment horizontal="center" vertical="center"/>
    </xf>
    <xf numFmtId="0" fontId="25" fillId="30" borderId="56" xfId="2" applyFont="1" applyFill="1" applyBorder="1" applyAlignment="1">
      <alignment horizontal="center" vertical="center"/>
    </xf>
    <xf numFmtId="0" fontId="25" fillId="30" borderId="59" xfId="2" applyFont="1" applyFill="1" applyBorder="1" applyAlignment="1">
      <alignment horizontal="center" vertical="center"/>
    </xf>
    <xf numFmtId="0" fontId="25" fillId="31" borderId="56" xfId="2" applyFont="1" applyFill="1" applyBorder="1" applyAlignment="1">
      <alignment horizontal="center" vertical="center"/>
    </xf>
    <xf numFmtId="177" fontId="26" fillId="29" borderId="20" xfId="2" applyNumberFormat="1" applyFont="1" applyFill="1" applyBorder="1"/>
    <xf numFmtId="174" fontId="26" fillId="29" borderId="20" xfId="2" applyNumberFormat="1" applyFont="1" applyFill="1" applyBorder="1" applyAlignment="1">
      <alignment horizontal="center" vertical="center"/>
    </xf>
    <xf numFmtId="175" fontId="26" fillId="29" borderId="20" xfId="2" applyNumberFormat="1" applyFont="1" applyFill="1" applyBorder="1" applyAlignment="1">
      <alignment horizontal="center" vertical="center"/>
    </xf>
    <xf numFmtId="10" fontId="26" fillId="29" borderId="20" xfId="2" applyNumberFormat="1" applyFont="1" applyFill="1" applyBorder="1" applyAlignment="1">
      <alignment horizontal="center" vertical="center"/>
    </xf>
    <xf numFmtId="176" fontId="26" fillId="29" borderId="20" xfId="2" applyNumberFormat="1" applyFont="1" applyFill="1" applyBorder="1" applyAlignment="1">
      <alignment horizontal="center" vertical="center"/>
    </xf>
    <xf numFmtId="0" fontId="26" fillId="29" borderId="60" xfId="2" applyFont="1" applyFill="1" applyBorder="1" applyAlignment="1">
      <alignment horizontal="right" vertical="center"/>
    </xf>
    <xf numFmtId="0" fontId="2" fillId="32" borderId="23" xfId="2" applyFill="1"/>
    <xf numFmtId="177" fontId="26" fillId="32" borderId="23" xfId="2" applyNumberFormat="1" applyFont="1" applyFill="1"/>
    <xf numFmtId="0" fontId="2" fillId="29" borderId="61" xfId="2" applyFill="1" applyBorder="1"/>
    <xf numFmtId="174" fontId="23" fillId="29" borderId="20" xfId="2" applyNumberFormat="1" applyFont="1" applyFill="1" applyBorder="1" applyAlignment="1">
      <alignment horizontal="center" vertical="center"/>
    </xf>
    <xf numFmtId="175" fontId="24" fillId="29" borderId="20" xfId="2" applyNumberFormat="1" applyFont="1" applyFill="1" applyBorder="1" applyAlignment="1">
      <alignment horizontal="center" vertical="center"/>
    </xf>
    <xf numFmtId="10" fontId="23" fillId="29" borderId="20" xfId="2" applyNumberFormat="1" applyFont="1" applyFill="1" applyBorder="1" applyAlignment="1">
      <alignment horizontal="center" vertical="center"/>
    </xf>
    <xf numFmtId="176" fontId="23" fillId="29" borderId="20" xfId="2" applyNumberFormat="1" applyFont="1" applyFill="1" applyBorder="1" applyAlignment="1">
      <alignment horizontal="center" vertical="center"/>
    </xf>
    <xf numFmtId="0" fontId="25" fillId="29" borderId="60" xfId="2" applyFont="1" applyFill="1" applyBorder="1" applyAlignment="1">
      <alignment horizontal="right" vertical="center"/>
    </xf>
    <xf numFmtId="177" fontId="2" fillId="29" borderId="33" xfId="2" applyNumberFormat="1" applyFill="1" applyBorder="1"/>
    <xf numFmtId="0" fontId="24" fillId="29" borderId="62" xfId="2" applyFont="1" applyFill="1" applyBorder="1"/>
    <xf numFmtId="177" fontId="2" fillId="29" borderId="32" xfId="2" applyNumberFormat="1" applyFill="1" applyBorder="1"/>
    <xf numFmtId="177" fontId="2" fillId="29" borderId="31" xfId="2" applyNumberFormat="1" applyFill="1" applyBorder="1"/>
    <xf numFmtId="174" fontId="2" fillId="29" borderId="31" xfId="2" applyNumberFormat="1" applyFill="1" applyBorder="1" applyAlignment="1">
      <alignment horizontal="left" vertical="center"/>
    </xf>
    <xf numFmtId="174" fontId="2" fillId="29" borderId="31" xfId="2" applyNumberFormat="1" applyFill="1" applyBorder="1" applyAlignment="1">
      <alignment horizontal="left"/>
    </xf>
    <xf numFmtId="175" fontId="24" fillId="29" borderId="31" xfId="2" applyNumberFormat="1" applyFont="1" applyFill="1" applyBorder="1" applyAlignment="1">
      <alignment horizontal="center" vertical="center"/>
    </xf>
    <xf numFmtId="10" fontId="24" fillId="29" borderId="31" xfId="2" applyNumberFormat="1" applyFont="1" applyFill="1" applyBorder="1" applyAlignment="1">
      <alignment horizontal="center" vertical="center"/>
    </xf>
    <xf numFmtId="174" fontId="24" fillId="29" borderId="31" xfId="2" applyNumberFormat="1" applyFont="1" applyFill="1" applyBorder="1" applyAlignment="1">
      <alignment horizontal="left" vertical="center"/>
    </xf>
    <xf numFmtId="0" fontId="24" fillId="29" borderId="63" xfId="2" applyFont="1" applyFill="1" applyBorder="1"/>
    <xf numFmtId="177" fontId="25" fillId="30" borderId="57" xfId="2" applyNumberFormat="1" applyFont="1" applyFill="1" applyBorder="1" applyAlignment="1">
      <alignment horizontal="center" vertical="center"/>
    </xf>
    <xf numFmtId="177" fontId="25" fillId="30" borderId="58" xfId="2" applyNumberFormat="1" applyFont="1" applyFill="1" applyBorder="1" applyAlignment="1">
      <alignment horizontal="center" vertical="center"/>
    </xf>
    <xf numFmtId="177" fontId="27" fillId="33" borderId="23" xfId="2" applyNumberFormat="1" applyFont="1" applyFill="1"/>
    <xf numFmtId="177" fontId="26" fillId="33" borderId="23" xfId="2" applyNumberFormat="1" applyFont="1" applyFill="1"/>
    <xf numFmtId="0" fontId="25" fillId="30" borderId="59" xfId="2" applyFont="1" applyFill="1" applyBorder="1" applyAlignment="1">
      <alignment vertical="center"/>
    </xf>
    <xf numFmtId="0" fontId="25" fillId="30" borderId="56" xfId="2" applyFont="1" applyFill="1" applyBorder="1" applyAlignment="1">
      <alignment vertical="center"/>
    </xf>
    <xf numFmtId="0" fontId="25" fillId="29" borderId="23" xfId="2" applyFont="1" applyFill="1" applyAlignment="1">
      <alignment horizontal="right" vertical="center"/>
    </xf>
    <xf numFmtId="176" fontId="23" fillId="29" borderId="23" xfId="2" applyNumberFormat="1" applyFont="1" applyFill="1" applyAlignment="1">
      <alignment horizontal="center" vertical="center"/>
    </xf>
    <xf numFmtId="10" fontId="23" fillId="29" borderId="23" xfId="2" applyNumberFormat="1" applyFont="1" applyFill="1" applyAlignment="1">
      <alignment horizontal="center" vertical="center"/>
    </xf>
    <xf numFmtId="175" fontId="24" fillId="29" borderId="23" xfId="2" applyNumberFormat="1" applyFont="1" applyFill="1" applyAlignment="1">
      <alignment horizontal="center" vertical="center"/>
    </xf>
    <xf numFmtId="174" fontId="23" fillId="29" borderId="23" xfId="2" applyNumberFormat="1" applyFont="1" applyFill="1" applyAlignment="1">
      <alignment horizontal="center" vertical="center"/>
    </xf>
    <xf numFmtId="0" fontId="2" fillId="29" borderId="23" xfId="2" applyFill="1"/>
    <xf numFmtId="178" fontId="18" fillId="29" borderId="49" xfId="2" applyNumberFormat="1" applyFont="1" applyFill="1" applyBorder="1" applyAlignment="1">
      <alignment horizontal="center" vertical="center"/>
    </xf>
    <xf numFmtId="177" fontId="18" fillId="29" borderId="20" xfId="2" applyNumberFormat="1" applyFont="1" applyFill="1" applyBorder="1"/>
    <xf numFmtId="0" fontId="18" fillId="0" borderId="23" xfId="2" applyFont="1"/>
    <xf numFmtId="177" fontId="2" fillId="0" borderId="23" xfId="2" applyNumberFormat="1"/>
    <xf numFmtId="17" fontId="2" fillId="0" borderId="23" xfId="2" applyNumberFormat="1"/>
    <xf numFmtId="0" fontId="2" fillId="0" borderId="26" xfId="2" applyBorder="1"/>
    <xf numFmtId="179" fontId="2" fillId="0" borderId="26" xfId="2" applyNumberFormat="1" applyBorder="1"/>
    <xf numFmtId="0" fontId="2" fillId="0" borderId="28" xfId="2" applyBorder="1"/>
    <xf numFmtId="179" fontId="2" fillId="0" borderId="41" xfId="2" applyNumberFormat="1" applyBorder="1"/>
    <xf numFmtId="0" fontId="2" fillId="0" borderId="39" xfId="2" applyBorder="1"/>
    <xf numFmtId="0" fontId="2" fillId="0" borderId="72" xfId="2" applyBorder="1"/>
    <xf numFmtId="0" fontId="18" fillId="0" borderId="42" xfId="2" applyFont="1" applyBorder="1" applyAlignment="1">
      <alignment horizontal="right"/>
    </xf>
    <xf numFmtId="0" fontId="18" fillId="0" borderId="40" xfId="2" applyFont="1" applyBorder="1" applyAlignment="1">
      <alignment horizontal="right"/>
    </xf>
    <xf numFmtId="0" fontId="18" fillId="0" borderId="73" xfId="2" applyFont="1" applyBorder="1" applyAlignment="1">
      <alignment horizontal="right"/>
    </xf>
    <xf numFmtId="0" fontId="2" fillId="0" borderId="74" xfId="2" applyBorder="1"/>
    <xf numFmtId="0" fontId="2" fillId="0" borderId="75" xfId="2" applyBorder="1"/>
    <xf numFmtId="17" fontId="2" fillId="0" borderId="68" xfId="2" applyNumberFormat="1" applyBorder="1"/>
    <xf numFmtId="17" fontId="2" fillId="0" borderId="77" xfId="2" applyNumberFormat="1" applyBorder="1"/>
    <xf numFmtId="17" fontId="2" fillId="0" borderId="35" xfId="2" applyNumberFormat="1" applyBorder="1"/>
    <xf numFmtId="17" fontId="18" fillId="0" borderId="35" xfId="2" applyNumberFormat="1" applyFont="1" applyBorder="1" applyAlignment="1">
      <alignment horizontal="center"/>
    </xf>
    <xf numFmtId="17" fontId="18" fillId="0" borderId="34" xfId="2" applyNumberFormat="1" applyFont="1" applyBorder="1" applyAlignment="1">
      <alignment horizontal="center"/>
    </xf>
    <xf numFmtId="179" fontId="2" fillId="0" borderId="42" xfId="2" applyNumberFormat="1" applyBorder="1"/>
    <xf numFmtId="0" fontId="2" fillId="0" borderId="42" xfId="2" applyBorder="1"/>
    <xf numFmtId="179" fontId="2" fillId="0" borderId="73" xfId="2" applyNumberFormat="1" applyBorder="1"/>
    <xf numFmtId="0" fontId="18" fillId="0" borderId="68" xfId="2" applyFont="1" applyBorder="1" applyAlignment="1">
      <alignment horizontal="center"/>
    </xf>
    <xf numFmtId="9" fontId="18" fillId="0" borderId="39" xfId="4" applyFont="1" applyBorder="1" applyAlignment="1">
      <alignment horizontal="center"/>
    </xf>
    <xf numFmtId="179" fontId="18" fillId="0" borderId="39" xfId="2" applyNumberFormat="1" applyFont="1" applyBorder="1" applyAlignment="1">
      <alignment horizontal="center"/>
    </xf>
    <xf numFmtId="179" fontId="18" fillId="0" borderId="37" xfId="2" applyNumberFormat="1" applyFont="1" applyBorder="1" applyAlignment="1">
      <alignment horizontal="center"/>
    </xf>
    <xf numFmtId="179" fontId="18" fillId="0" borderId="40" xfId="2" applyNumberFormat="1" applyFont="1" applyBorder="1" applyAlignment="1">
      <alignment horizontal="center"/>
    </xf>
    <xf numFmtId="165" fontId="2" fillId="0" borderId="23" xfId="2" applyNumberFormat="1"/>
    <xf numFmtId="0" fontId="1" fillId="0" borderId="23" xfId="2" applyFont="1"/>
    <xf numFmtId="166" fontId="2" fillId="0" borderId="23" xfId="2" applyNumberFormat="1"/>
    <xf numFmtId="179" fontId="2" fillId="0" borderId="23" xfId="2" applyNumberFormat="1"/>
    <xf numFmtId="3" fontId="2" fillId="0" borderId="23" xfId="2" applyNumberFormat="1"/>
    <xf numFmtId="0" fontId="3" fillId="35" borderId="0" xfId="0" applyFont="1" applyFill="1" applyAlignment="1">
      <alignment horizontal="center"/>
    </xf>
    <xf numFmtId="0" fontId="3" fillId="36" borderId="0" xfId="0" applyFont="1" applyFill="1" applyAlignment="1">
      <alignment horizontal="center"/>
    </xf>
    <xf numFmtId="9" fontId="1" fillId="0" borderId="23" xfId="4" applyFont="1" applyBorder="1" applyAlignment="1">
      <alignment horizontal="center"/>
    </xf>
    <xf numFmtId="165" fontId="1" fillId="0" borderId="23" xfId="3" applyFont="1" applyBorder="1"/>
    <xf numFmtId="165" fontId="1" fillId="0" borderId="75" xfId="3" applyFont="1" applyBorder="1"/>
    <xf numFmtId="165" fontId="1" fillId="0" borderId="76" xfId="3" applyFont="1" applyBorder="1"/>
    <xf numFmtId="9" fontId="1" fillId="0" borderId="26" xfId="4" applyFont="1" applyBorder="1" applyAlignment="1">
      <alignment horizontal="center"/>
    </xf>
    <xf numFmtId="9" fontId="1" fillId="0" borderId="41" xfId="4" applyFont="1" applyBorder="1" applyAlignment="1">
      <alignment horizontal="center"/>
    </xf>
    <xf numFmtId="3" fontId="1" fillId="0" borderId="26" xfId="4" applyNumberFormat="1" applyFont="1" applyBorder="1" applyAlignment="1">
      <alignment horizontal="center"/>
    </xf>
    <xf numFmtId="3" fontId="1" fillId="0" borderId="42" xfId="4" applyNumberFormat="1" applyFont="1" applyBorder="1" applyAlignment="1">
      <alignment horizontal="center"/>
    </xf>
    <xf numFmtId="0" fontId="0" fillId="0" borderId="23" xfId="0" applyBorder="1"/>
    <xf numFmtId="0" fontId="0" fillId="37" borderId="23" xfId="0" applyFill="1" applyBorder="1" applyAlignment="1">
      <alignment horizontal="center" vertical="center"/>
    </xf>
    <xf numFmtId="0" fontId="0" fillId="37" borderId="14" xfId="0" applyFill="1" applyBorder="1" applyAlignment="1">
      <alignment horizontal="center" vertical="center"/>
    </xf>
    <xf numFmtId="0" fontId="0" fillId="33" borderId="6" xfId="0" applyFill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33" borderId="6" xfId="0" applyNumberFormat="1" applyFill="1" applyBorder="1" applyAlignment="1">
      <alignment horizontal="center" vertical="center"/>
    </xf>
    <xf numFmtId="3" fontId="0" fillId="37" borderId="6" xfId="0" applyNumberFormat="1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 wrapText="1"/>
    </xf>
    <xf numFmtId="0" fontId="0" fillId="37" borderId="6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80" fontId="0" fillId="0" borderId="0" xfId="0" applyNumberFormat="1"/>
    <xf numFmtId="10" fontId="0" fillId="0" borderId="0" xfId="0" applyNumberFormat="1"/>
    <xf numFmtId="9" fontId="0" fillId="0" borderId="6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37" borderId="14" xfId="0" applyNumberFormat="1" applyFill="1" applyBorder="1" applyAlignment="1">
      <alignment horizontal="center" vertical="center"/>
    </xf>
    <xf numFmtId="0" fontId="0" fillId="35" borderId="0" xfId="0" applyFill="1"/>
    <xf numFmtId="3" fontId="16" fillId="0" borderId="14" xfId="0" applyNumberFormat="1" applyFont="1" applyBorder="1" applyAlignment="1">
      <alignment horizontal="center"/>
    </xf>
    <xf numFmtId="3" fontId="10" fillId="0" borderId="6" xfId="0" applyNumberFormat="1" applyFont="1" applyBorder="1" applyAlignment="1">
      <alignment horizontal="center"/>
    </xf>
    <xf numFmtId="1" fontId="18" fillId="25" borderId="26" xfId="0" applyNumberFormat="1" applyFont="1" applyFill="1" applyBorder="1" applyAlignment="1">
      <alignment horizontal="center"/>
    </xf>
    <xf numFmtId="3" fontId="0" fillId="0" borderId="0" xfId="0" applyNumberFormat="1"/>
    <xf numFmtId="3" fontId="16" fillId="35" borderId="14" xfId="0" applyNumberFormat="1" applyFont="1" applyFill="1" applyBorder="1" applyAlignment="1">
      <alignment horizontal="center"/>
    </xf>
    <xf numFmtId="3" fontId="30" fillId="14" borderId="6" xfId="0" applyNumberFormat="1" applyFont="1" applyFill="1" applyBorder="1" applyAlignment="1">
      <alignment horizontal="center"/>
    </xf>
    <xf numFmtId="3" fontId="31" fillId="14" borderId="6" xfId="0" applyNumberFormat="1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33" fillId="0" borderId="23" xfId="0" applyFont="1" applyBorder="1" applyAlignment="1">
      <alignment horizontal="center"/>
    </xf>
    <xf numFmtId="0" fontId="34" fillId="35" borderId="78" xfId="0" applyFont="1" applyFill="1" applyBorder="1" applyAlignment="1">
      <alignment horizontal="center"/>
    </xf>
    <xf numFmtId="0" fontId="33" fillId="0" borderId="80" xfId="0" applyFont="1" applyBorder="1" applyAlignment="1">
      <alignment horizontal="center"/>
    </xf>
    <xf numFmtId="0" fontId="33" fillId="0" borderId="62" xfId="0" applyFont="1" applyBorder="1" applyAlignment="1">
      <alignment horizontal="center"/>
    </xf>
    <xf numFmtId="0" fontId="33" fillId="0" borderId="60" xfId="0" applyFont="1" applyBorder="1" applyAlignment="1">
      <alignment horizontal="center"/>
    </xf>
    <xf numFmtId="177" fontId="33" fillId="0" borderId="23" xfId="0" applyNumberFormat="1" applyFont="1" applyBorder="1" applyAlignment="1">
      <alignment horizontal="center"/>
    </xf>
    <xf numFmtId="177" fontId="34" fillId="35" borderId="79" xfId="0" applyNumberFormat="1" applyFont="1" applyFill="1" applyBorder="1" applyAlignment="1">
      <alignment horizontal="center"/>
    </xf>
    <xf numFmtId="177" fontId="33" fillId="0" borderId="81" xfId="0" applyNumberFormat="1" applyFont="1" applyBorder="1" applyAlignment="1">
      <alignment horizontal="center"/>
    </xf>
    <xf numFmtId="177" fontId="33" fillId="0" borderId="33" xfId="0" applyNumberFormat="1" applyFont="1" applyBorder="1" applyAlignment="1">
      <alignment horizontal="center"/>
    </xf>
    <xf numFmtId="177" fontId="33" fillId="0" borderId="61" xfId="0" applyNumberFormat="1" applyFont="1" applyBorder="1" applyAlignment="1">
      <alignment horizontal="center"/>
    </xf>
    <xf numFmtId="177" fontId="0" fillId="0" borderId="23" xfId="0" applyNumberFormat="1" applyBorder="1" applyAlignment="1">
      <alignment horizontal="center"/>
    </xf>
    <xf numFmtId="177" fontId="0" fillId="0" borderId="0" xfId="0" applyNumberFormat="1" applyAlignment="1">
      <alignment horizontal="center"/>
    </xf>
    <xf numFmtId="0" fontId="35" fillId="0" borderId="23" xfId="0" applyFont="1" applyBorder="1"/>
    <xf numFmtId="0" fontId="32" fillId="0" borderId="0" xfId="0" applyFont="1"/>
    <xf numFmtId="0" fontId="36" fillId="0" borderId="23" xfId="0" applyFont="1" applyBorder="1"/>
    <xf numFmtId="3" fontId="36" fillId="0" borderId="23" xfId="0" applyNumberFormat="1" applyFont="1" applyBorder="1"/>
    <xf numFmtId="0" fontId="37" fillId="0" borderId="23" xfId="0" applyFont="1" applyBorder="1"/>
    <xf numFmtId="0" fontId="36" fillId="0" borderId="82" xfId="0" applyFont="1" applyBorder="1"/>
    <xf numFmtId="0" fontId="36" fillId="0" borderId="83" xfId="0" applyFont="1" applyBorder="1"/>
    <xf numFmtId="3" fontId="36" fillId="0" borderId="83" xfId="0" applyNumberFormat="1" applyFont="1" applyBorder="1"/>
    <xf numFmtId="3" fontId="36" fillId="0" borderId="84" xfId="0" applyNumberFormat="1" applyFont="1" applyBorder="1"/>
    <xf numFmtId="0" fontId="36" fillId="38" borderId="85" xfId="0" applyFont="1" applyFill="1" applyBorder="1"/>
    <xf numFmtId="0" fontId="36" fillId="38" borderId="74" xfId="0" applyFont="1" applyFill="1" applyBorder="1"/>
    <xf numFmtId="3" fontId="36" fillId="38" borderId="74" xfId="0" applyNumberFormat="1" applyFont="1" applyFill="1" applyBorder="1"/>
    <xf numFmtId="3" fontId="36" fillId="38" borderId="86" xfId="0" applyNumberFormat="1" applyFont="1" applyFill="1" applyBorder="1"/>
    <xf numFmtId="0" fontId="36" fillId="27" borderId="48" xfId="0" applyFont="1" applyFill="1" applyBorder="1"/>
    <xf numFmtId="0" fontId="36" fillId="27" borderId="87" xfId="0" applyFont="1" applyFill="1" applyBorder="1"/>
    <xf numFmtId="3" fontId="36" fillId="27" borderId="87" xfId="0" applyNumberFormat="1" applyFont="1" applyFill="1" applyBorder="1"/>
    <xf numFmtId="3" fontId="36" fillId="27" borderId="88" xfId="0" applyNumberFormat="1" applyFont="1" applyFill="1" applyBorder="1"/>
    <xf numFmtId="0" fontId="36" fillId="38" borderId="89" xfId="0" applyFont="1" applyFill="1" applyBorder="1"/>
    <xf numFmtId="3" fontId="37" fillId="0" borderId="23" xfId="0" applyNumberFormat="1" applyFont="1" applyBorder="1"/>
    <xf numFmtId="3" fontId="37" fillId="39" borderId="23" xfId="0" applyNumberFormat="1" applyFont="1" applyFill="1" applyBorder="1"/>
    <xf numFmtId="0" fontId="38" fillId="40" borderId="77" xfId="0" applyFont="1" applyFill="1" applyBorder="1" applyAlignment="1">
      <alignment wrapText="1"/>
    </xf>
    <xf numFmtId="0" fontId="35" fillId="0" borderId="23" xfId="0" applyFont="1" applyBorder="1" applyAlignment="1">
      <alignment wrapText="1"/>
    </xf>
    <xf numFmtId="0" fontId="35" fillId="0" borderId="75" xfId="0" applyFont="1" applyBorder="1"/>
    <xf numFmtId="0" fontId="35" fillId="0" borderId="74" xfId="0" applyFont="1" applyBorder="1"/>
    <xf numFmtId="0" fontId="33" fillId="0" borderId="0" xfId="0" applyFont="1" applyAlignment="1">
      <alignment horizontal="center"/>
    </xf>
    <xf numFmtId="177" fontId="33" fillId="0" borderId="0" xfId="0" applyNumberFormat="1" applyFont="1" applyAlignment="1">
      <alignment horizontal="center"/>
    </xf>
    <xf numFmtId="0" fontId="3" fillId="0" borderId="23" xfId="0" applyFont="1" applyBorder="1" applyAlignment="1">
      <alignment horizontal="center"/>
    </xf>
    <xf numFmtId="0" fontId="5" fillId="0" borderId="23" xfId="0" applyFont="1" applyBorder="1"/>
    <xf numFmtId="0" fontId="6" fillId="0" borderId="23" xfId="0" applyFont="1" applyBorder="1" applyAlignment="1">
      <alignment horizontal="center"/>
    </xf>
    <xf numFmtId="3" fontId="9" fillId="8" borderId="23" xfId="0" applyNumberFormat="1" applyFont="1" applyFill="1" applyBorder="1" applyAlignment="1">
      <alignment horizontal="center"/>
    </xf>
    <xf numFmtId="3" fontId="9" fillId="8" borderId="7" xfId="0" applyNumberFormat="1" applyFont="1" applyFill="1" applyBorder="1" applyAlignment="1">
      <alignment horizontal="center"/>
    </xf>
    <xf numFmtId="0" fontId="39" fillId="0" borderId="23" xfId="0" applyFont="1" applyBorder="1"/>
    <xf numFmtId="0" fontId="40" fillId="0" borderId="36" xfId="0" applyFont="1" applyBorder="1"/>
    <xf numFmtId="0" fontId="40" fillId="0" borderId="77" xfId="0" applyFont="1" applyBorder="1" applyAlignment="1">
      <alignment wrapText="1"/>
    </xf>
    <xf numFmtId="0" fontId="40" fillId="0" borderId="71" xfId="0" applyFont="1" applyBorder="1" applyAlignment="1">
      <alignment wrapText="1"/>
    </xf>
    <xf numFmtId="0" fontId="40" fillId="0" borderId="90" xfId="0" applyFont="1" applyBorder="1" applyAlignment="1">
      <alignment wrapText="1"/>
    </xf>
    <xf numFmtId="0" fontId="39" fillId="0" borderId="85" xfId="0" applyFont="1" applyBorder="1"/>
    <xf numFmtId="0" fontId="39" fillId="0" borderId="74" xfId="0" applyFont="1" applyBorder="1"/>
    <xf numFmtId="0" fontId="39" fillId="0" borderId="91" xfId="0" applyFont="1" applyBorder="1"/>
    <xf numFmtId="0" fontId="41" fillId="41" borderId="46" xfId="0" applyFont="1" applyFill="1" applyBorder="1"/>
    <xf numFmtId="0" fontId="41" fillId="41" borderId="42" xfId="0" applyFont="1" applyFill="1" applyBorder="1"/>
    <xf numFmtId="0" fontId="39" fillId="0" borderId="73" xfId="0" applyFont="1" applyBorder="1"/>
    <xf numFmtId="0" fontId="39" fillId="0" borderId="48" xfId="0" applyFont="1" applyBorder="1"/>
    <xf numFmtId="0" fontId="39" fillId="0" borderId="87" xfId="0" applyFont="1" applyBorder="1"/>
    <xf numFmtId="0" fontId="39" fillId="0" borderId="38" xfId="0" applyFont="1" applyBorder="1"/>
    <xf numFmtId="9" fontId="39" fillId="0" borderId="23" xfId="0" applyNumberFormat="1" applyFont="1" applyBorder="1"/>
    <xf numFmtId="0" fontId="40" fillId="0" borderId="92" xfId="0" applyFont="1" applyBorder="1"/>
    <xf numFmtId="0" fontId="40" fillId="0" borderId="93" xfId="0" applyFont="1" applyBorder="1" applyAlignment="1">
      <alignment wrapText="1"/>
    </xf>
    <xf numFmtId="0" fontId="39" fillId="0" borderId="82" xfId="0" applyFont="1" applyBorder="1"/>
    <xf numFmtId="0" fontId="39" fillId="0" borderId="83" xfId="0" applyFont="1" applyBorder="1"/>
    <xf numFmtId="0" fontId="39" fillId="0" borderId="86" xfId="0" applyFont="1" applyBorder="1"/>
    <xf numFmtId="0" fontId="39" fillId="0" borderId="88" xfId="0" applyFont="1" applyBorder="1"/>
    <xf numFmtId="0" fontId="40" fillId="0" borderId="34" xfId="0" applyFont="1" applyBorder="1" applyAlignment="1">
      <alignment wrapText="1"/>
    </xf>
    <xf numFmtId="0" fontId="41" fillId="41" borderId="43" xfId="0" applyFont="1" applyFill="1" applyBorder="1"/>
    <xf numFmtId="0" fontId="41" fillId="41" borderId="41" xfId="0" applyFont="1" applyFill="1" applyBorder="1"/>
    <xf numFmtId="0" fontId="41" fillId="41" borderId="37" xfId="0" applyFont="1" applyFill="1" applyBorder="1"/>
    <xf numFmtId="0" fontId="39" fillId="0" borderId="67" xfId="0" applyFont="1" applyBorder="1"/>
    <xf numFmtId="0" fontId="40" fillId="0" borderId="77" xfId="0" applyFont="1" applyBorder="1"/>
    <xf numFmtId="0" fontId="42" fillId="0" borderId="77" xfId="0" applyFont="1" applyBorder="1" applyAlignment="1">
      <alignment wrapText="1"/>
    </xf>
    <xf numFmtId="0" fontId="42" fillId="42" borderId="77" xfId="0" applyFont="1" applyFill="1" applyBorder="1" applyAlignment="1">
      <alignment wrapText="1"/>
    </xf>
    <xf numFmtId="0" fontId="42" fillId="27" borderId="77" xfId="0" applyFont="1" applyFill="1" applyBorder="1" applyAlignment="1">
      <alignment wrapText="1"/>
    </xf>
    <xf numFmtId="0" fontId="43" fillId="0" borderId="71" xfId="0" applyFont="1" applyBorder="1"/>
    <xf numFmtId="0" fontId="35" fillId="0" borderId="87" xfId="0" applyFont="1" applyBorder="1"/>
    <xf numFmtId="0" fontId="5" fillId="0" borderId="23" xfId="0" applyFont="1" applyBorder="1" applyAlignment="1">
      <alignment horizontal="center"/>
    </xf>
    <xf numFmtId="3" fontId="17" fillId="35" borderId="6" xfId="1" applyNumberFormat="1" applyFont="1" applyFill="1" applyBorder="1" applyAlignment="1">
      <alignment horizontal="center"/>
    </xf>
    <xf numFmtId="0" fontId="3" fillId="35" borderId="6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1" fillId="9" borderId="6" xfId="0" applyFont="1" applyFill="1" applyBorder="1"/>
    <xf numFmtId="0" fontId="11" fillId="9" borderId="13" xfId="0" applyFont="1" applyFill="1" applyBorder="1" applyAlignment="1">
      <alignment horizontal="left"/>
    </xf>
    <xf numFmtId="0" fontId="11" fillId="9" borderId="14" xfId="0" applyFont="1" applyFill="1" applyBorder="1" applyAlignment="1">
      <alignment horizontal="left"/>
    </xf>
    <xf numFmtId="3" fontId="11" fillId="9" borderId="14" xfId="0" applyNumberFormat="1" applyFont="1" applyFill="1" applyBorder="1"/>
    <xf numFmtId="3" fontId="11" fillId="9" borderId="6" xfId="0" applyNumberFormat="1" applyFont="1" applyFill="1" applyBorder="1"/>
    <xf numFmtId="3" fontId="11" fillId="9" borderId="13" xfId="0" applyNumberFormat="1" applyFont="1" applyFill="1" applyBorder="1"/>
    <xf numFmtId="3" fontId="11" fillId="6" borderId="0" xfId="0" applyNumberFormat="1" applyFont="1" applyFill="1"/>
    <xf numFmtId="3" fontId="11" fillId="9" borderId="6" xfId="0" applyNumberFormat="1" applyFont="1" applyFill="1" applyBorder="1" applyAlignment="1">
      <alignment horizontal="center"/>
    </xf>
    <xf numFmtId="3" fontId="11" fillId="9" borderId="13" xfId="0" applyNumberFormat="1" applyFont="1" applyFill="1" applyBorder="1" applyAlignment="1">
      <alignment horizontal="center"/>
    </xf>
    <xf numFmtId="3" fontId="11" fillId="4" borderId="0" xfId="0" applyNumberFormat="1" applyFont="1" applyFill="1" applyAlignment="1">
      <alignment horizontal="center"/>
    </xf>
    <xf numFmtId="3" fontId="11" fillId="9" borderId="0" xfId="0" applyNumberFormat="1" applyFont="1" applyFill="1" applyAlignment="1">
      <alignment horizontal="center"/>
    </xf>
    <xf numFmtId="3" fontId="11" fillId="10" borderId="6" xfId="0" applyNumberFormat="1" applyFont="1" applyFill="1" applyBorder="1" applyAlignment="1">
      <alignment horizontal="center"/>
    </xf>
    <xf numFmtId="3" fontId="11" fillId="9" borderId="7" xfId="0" applyNumberFormat="1" applyFont="1" applyFill="1" applyBorder="1" applyAlignment="1">
      <alignment horizontal="center"/>
    </xf>
    <xf numFmtId="3" fontId="11" fillId="6" borderId="0" xfId="0" applyNumberFormat="1" applyFont="1" applyFill="1" applyAlignment="1">
      <alignment horizontal="center"/>
    </xf>
    <xf numFmtId="3" fontId="11" fillId="0" borderId="0" xfId="0" applyNumberFormat="1" applyFont="1" applyAlignment="1">
      <alignment horizontal="center"/>
    </xf>
    <xf numFmtId="0" fontId="17" fillId="0" borderId="0" xfId="0" applyFont="1"/>
    <xf numFmtId="0" fontId="44" fillId="0" borderId="0" xfId="0" applyFont="1"/>
    <xf numFmtId="0" fontId="45" fillId="0" borderId="0" xfId="0" applyFont="1"/>
    <xf numFmtId="0" fontId="46" fillId="0" borderId="23" xfId="0" applyFont="1" applyBorder="1" applyAlignment="1">
      <alignment horizontal="center"/>
    </xf>
    <xf numFmtId="0" fontId="9" fillId="9" borderId="1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3" fontId="16" fillId="2" borderId="6" xfId="0" applyNumberFormat="1" applyFont="1" applyFill="1" applyBorder="1" applyAlignment="1">
      <alignment horizontal="center"/>
    </xf>
    <xf numFmtId="0" fontId="9" fillId="8" borderId="13" xfId="0" applyFont="1" applyFill="1" applyBorder="1" applyAlignment="1">
      <alignment wrapText="1"/>
    </xf>
    <xf numFmtId="0" fontId="47" fillId="0" borderId="0" xfId="0" applyFont="1"/>
    <xf numFmtId="9" fontId="10" fillId="14" borderId="26" xfId="0" applyNumberFormat="1" applyFont="1" applyFill="1" applyBorder="1" applyAlignment="1">
      <alignment horizontal="center"/>
    </xf>
    <xf numFmtId="3" fontId="10" fillId="4" borderId="12" xfId="0" applyNumberFormat="1" applyFont="1" applyFill="1" applyBorder="1" applyAlignment="1">
      <alignment horizontal="center"/>
    </xf>
    <xf numFmtId="3" fontId="10" fillId="4" borderId="19" xfId="0" applyNumberFormat="1" applyFont="1" applyFill="1" applyBorder="1" applyAlignment="1">
      <alignment horizontal="center"/>
    </xf>
    <xf numFmtId="10" fontId="10" fillId="4" borderId="6" xfId="0" applyNumberFormat="1" applyFont="1" applyFill="1" applyBorder="1" applyAlignment="1">
      <alignment horizontal="center"/>
    </xf>
    <xf numFmtId="17" fontId="0" fillId="0" borderId="15" xfId="0" applyNumberFormat="1" applyBorder="1" applyAlignment="1">
      <alignment horizontal="center"/>
    </xf>
    <xf numFmtId="17" fontId="0" fillId="0" borderId="94" xfId="0" applyNumberFormat="1" applyBorder="1" applyAlignment="1">
      <alignment horizontal="center"/>
    </xf>
    <xf numFmtId="0" fontId="0" fillId="43" borderId="19" xfId="0" applyFill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94" xfId="0" applyNumberFormat="1" applyBorder="1" applyAlignment="1">
      <alignment horizontal="center"/>
    </xf>
    <xf numFmtId="0" fontId="48" fillId="9" borderId="13" xfId="0" applyFont="1" applyFill="1" applyBorder="1" applyAlignment="1">
      <alignment horizontal="left"/>
    </xf>
    <xf numFmtId="3" fontId="48" fillId="9" borderId="6" xfId="0" applyNumberFormat="1" applyFont="1" applyFill="1" applyBorder="1" applyAlignment="1">
      <alignment horizontal="center"/>
    </xf>
    <xf numFmtId="0" fontId="9" fillId="35" borderId="6" xfId="0" applyFont="1" applyFill="1" applyBorder="1"/>
    <xf numFmtId="0" fontId="9" fillId="35" borderId="13" xfId="0" applyFont="1" applyFill="1" applyBorder="1" applyAlignment="1">
      <alignment horizontal="left"/>
    </xf>
    <xf numFmtId="0" fontId="9" fillId="35" borderId="14" xfId="0" applyFont="1" applyFill="1" applyBorder="1" applyAlignment="1">
      <alignment horizontal="left"/>
    </xf>
    <xf numFmtId="3" fontId="10" fillId="35" borderId="14" xfId="0" applyNumberFormat="1" applyFont="1" applyFill="1" applyBorder="1"/>
    <xf numFmtId="3" fontId="10" fillId="35" borderId="6" xfId="0" applyNumberFormat="1" applyFont="1" applyFill="1" applyBorder="1"/>
    <xf numFmtId="3" fontId="10" fillId="35" borderId="13" xfId="0" applyNumberFormat="1" applyFont="1" applyFill="1" applyBorder="1"/>
    <xf numFmtId="3" fontId="10" fillId="35" borderId="0" xfId="0" applyNumberFormat="1" applyFont="1" applyFill="1"/>
    <xf numFmtId="3" fontId="10" fillId="35" borderId="6" xfId="0" applyNumberFormat="1" applyFont="1" applyFill="1" applyBorder="1" applyAlignment="1">
      <alignment horizontal="center"/>
    </xf>
    <xf numFmtId="3" fontId="10" fillId="35" borderId="13" xfId="0" applyNumberFormat="1" applyFont="1" applyFill="1" applyBorder="1" applyAlignment="1">
      <alignment horizontal="center"/>
    </xf>
    <xf numFmtId="3" fontId="10" fillId="35" borderId="0" xfId="0" applyNumberFormat="1" applyFont="1" applyFill="1" applyAlignment="1">
      <alignment horizontal="center"/>
    </xf>
    <xf numFmtId="3" fontId="10" fillId="35" borderId="14" xfId="0" applyNumberFormat="1" applyFont="1" applyFill="1" applyBorder="1" applyAlignment="1">
      <alignment horizontal="center"/>
    </xf>
    <xf numFmtId="3" fontId="9" fillId="35" borderId="6" xfId="0" applyNumberFormat="1" applyFont="1" applyFill="1" applyBorder="1" applyAlignment="1">
      <alignment horizontal="center"/>
    </xf>
    <xf numFmtId="3" fontId="9" fillId="35" borderId="14" xfId="0" applyNumberFormat="1" applyFont="1" applyFill="1" applyBorder="1" applyAlignment="1">
      <alignment horizontal="center"/>
    </xf>
    <xf numFmtId="10" fontId="9" fillId="35" borderId="0" xfId="0" applyNumberFormat="1" applyFont="1" applyFill="1" applyAlignment="1">
      <alignment horizontal="center"/>
    </xf>
    <xf numFmtId="0" fontId="31" fillId="0" borderId="23" xfId="0" applyFont="1" applyBorder="1" applyAlignment="1">
      <alignment horizontal="center"/>
    </xf>
    <xf numFmtId="2" fontId="3" fillId="4" borderId="0" xfId="0" applyNumberFormat="1" applyFont="1" applyFill="1" applyAlignment="1">
      <alignment horizontal="center"/>
    </xf>
    <xf numFmtId="1" fontId="0" fillId="0" borderId="0" xfId="0" applyNumberFormat="1"/>
    <xf numFmtId="0" fontId="11" fillId="35" borderId="30" xfId="0" applyFont="1" applyFill="1" applyBorder="1" applyAlignment="1">
      <alignment horizontal="left"/>
    </xf>
    <xf numFmtId="0" fontId="11" fillId="35" borderId="11" xfId="0" applyFont="1" applyFill="1" applyBorder="1" applyAlignment="1">
      <alignment horizontal="left"/>
    </xf>
    <xf numFmtId="3" fontId="11" fillId="35" borderId="14" xfId="0" applyNumberFormat="1" applyFont="1" applyFill="1" applyBorder="1" applyAlignment="1">
      <alignment horizontal="left"/>
    </xf>
    <xf numFmtId="0" fontId="11" fillId="35" borderId="9" xfId="0" applyFont="1" applyFill="1" applyBorder="1"/>
    <xf numFmtId="3" fontId="11" fillId="35" borderId="9" xfId="0" applyNumberFormat="1" applyFont="1" applyFill="1" applyBorder="1"/>
    <xf numFmtId="3" fontId="11" fillId="35" borderId="10" xfId="0" applyNumberFormat="1" applyFont="1" applyFill="1" applyBorder="1"/>
    <xf numFmtId="3" fontId="11" fillId="35" borderId="0" xfId="0" applyNumberFormat="1" applyFont="1" applyFill="1"/>
    <xf numFmtId="3" fontId="11" fillId="35" borderId="11" xfId="0" applyNumberFormat="1" applyFont="1" applyFill="1" applyBorder="1" applyAlignment="1">
      <alignment horizontal="center" vertical="center"/>
    </xf>
    <xf numFmtId="3" fontId="11" fillId="35" borderId="9" xfId="0" applyNumberFormat="1" applyFont="1" applyFill="1" applyBorder="1" applyAlignment="1">
      <alignment horizontal="center" vertical="center"/>
    </xf>
    <xf numFmtId="3" fontId="11" fillId="35" borderId="15" xfId="0" applyNumberFormat="1" applyFont="1" applyFill="1" applyBorder="1" applyAlignment="1">
      <alignment horizontal="center"/>
    </xf>
    <xf numFmtId="3" fontId="11" fillId="35" borderId="0" xfId="0" applyNumberFormat="1" applyFont="1" applyFill="1" applyAlignment="1">
      <alignment horizontal="center" vertical="center"/>
    </xf>
    <xf numFmtId="10" fontId="11" fillId="35" borderId="0" xfId="0" applyNumberFormat="1" applyFont="1" applyFill="1" applyAlignment="1">
      <alignment horizontal="center" vertical="center"/>
    </xf>
    <xf numFmtId="0" fontId="47" fillId="35" borderId="0" xfId="0" applyFont="1" applyFill="1"/>
    <xf numFmtId="3" fontId="47" fillId="35" borderId="0" xfId="0" applyNumberFormat="1" applyFont="1" applyFill="1"/>
    <xf numFmtId="0" fontId="5" fillId="35" borderId="23" xfId="0" applyFont="1" applyFill="1" applyBorder="1" applyAlignment="1">
      <alignment horizontal="center"/>
    </xf>
    <xf numFmtId="181" fontId="10" fillId="12" borderId="6" xfId="0" applyNumberFormat="1" applyFont="1" applyFill="1" applyBorder="1" applyAlignment="1">
      <alignment horizontal="center"/>
    </xf>
    <xf numFmtId="4" fontId="10" fillId="12" borderId="6" xfId="0" applyNumberFormat="1" applyFont="1" applyFill="1" applyBorder="1" applyAlignment="1">
      <alignment horizontal="center"/>
    </xf>
    <xf numFmtId="0" fontId="11" fillId="2" borderId="14" xfId="0" applyFont="1" applyFill="1" applyBorder="1" applyAlignment="1">
      <alignment horizontal="left" wrapText="1"/>
    </xf>
    <xf numFmtId="3" fontId="11" fillId="9" borderId="6" xfId="0" applyNumberFormat="1" applyFont="1" applyFill="1" applyBorder="1" applyAlignment="1">
      <alignment horizontal="center" wrapText="1"/>
    </xf>
    <xf numFmtId="0" fontId="20" fillId="0" borderId="23" xfId="0" applyFont="1" applyBorder="1"/>
    <xf numFmtId="3" fontId="16" fillId="9" borderId="6" xfId="0" applyNumberFormat="1" applyFont="1" applyFill="1" applyBorder="1" applyAlignment="1">
      <alignment horizontal="center"/>
    </xf>
    <xf numFmtId="3" fontId="16" fillId="9" borderId="6" xfId="0" applyNumberFormat="1" applyFont="1" applyFill="1" applyBorder="1" applyAlignment="1">
      <alignment horizontal="center" wrapText="1"/>
    </xf>
    <xf numFmtId="0" fontId="49" fillId="0" borderId="0" xfId="0" applyFont="1"/>
    <xf numFmtId="0" fontId="0" fillId="0" borderId="6" xfId="0" applyBorder="1"/>
    <xf numFmtId="0" fontId="0" fillId="0" borderId="63" xfId="0" applyBorder="1"/>
    <xf numFmtId="0" fontId="0" fillId="0" borderId="31" xfId="0" applyBorder="1"/>
    <xf numFmtId="0" fontId="0" fillId="0" borderId="60" xfId="0" applyBorder="1"/>
    <xf numFmtId="0" fontId="0" fillId="0" borderId="20" xfId="0" applyBorder="1"/>
    <xf numFmtId="0" fontId="20" fillId="0" borderId="20" xfId="0" applyFont="1" applyBorder="1"/>
    <xf numFmtId="0" fontId="9" fillId="44" borderId="7" xfId="0" applyFont="1" applyFill="1" applyBorder="1"/>
    <xf numFmtId="0" fontId="11" fillId="44" borderId="12" xfId="0" applyFont="1" applyFill="1" applyBorder="1" applyAlignment="1">
      <alignment horizontal="left"/>
    </xf>
    <xf numFmtId="0" fontId="11" fillId="44" borderId="14" xfId="0" applyFont="1" applyFill="1" applyBorder="1" applyAlignment="1">
      <alignment horizontal="left"/>
    </xf>
    <xf numFmtId="3" fontId="9" fillId="44" borderId="14" xfId="0" applyNumberFormat="1" applyFont="1" applyFill="1" applyBorder="1"/>
    <xf numFmtId="3" fontId="9" fillId="44" borderId="6" xfId="0" applyNumberFormat="1" applyFont="1" applyFill="1" applyBorder="1"/>
    <xf numFmtId="3" fontId="9" fillId="44" borderId="13" xfId="0" applyNumberFormat="1" applyFont="1" applyFill="1" applyBorder="1"/>
    <xf numFmtId="3" fontId="9" fillId="44" borderId="0" xfId="0" applyNumberFormat="1" applyFont="1" applyFill="1"/>
    <xf numFmtId="3" fontId="9" fillId="44" borderId="6" xfId="0" applyNumberFormat="1" applyFont="1" applyFill="1" applyBorder="1" applyAlignment="1">
      <alignment horizontal="center"/>
    </xf>
    <xf numFmtId="3" fontId="9" fillId="44" borderId="8" xfId="0" applyNumberFormat="1" applyFont="1" applyFill="1" applyBorder="1" applyAlignment="1">
      <alignment horizontal="center"/>
    </xf>
    <xf numFmtId="3" fontId="9" fillId="44" borderId="13" xfId="0" applyNumberFormat="1" applyFont="1" applyFill="1" applyBorder="1" applyAlignment="1">
      <alignment horizontal="center"/>
    </xf>
    <xf numFmtId="3" fontId="9" fillId="44" borderId="0" xfId="0" applyNumberFormat="1" applyFont="1" applyFill="1" applyAlignment="1">
      <alignment horizontal="center"/>
    </xf>
    <xf numFmtId="3" fontId="9" fillId="44" borderId="14" xfId="0" applyNumberFormat="1" applyFont="1" applyFill="1" applyBorder="1" applyAlignment="1">
      <alignment horizontal="center"/>
    </xf>
    <xf numFmtId="10" fontId="9" fillId="44" borderId="0" xfId="0" applyNumberFormat="1" applyFont="1" applyFill="1" applyAlignment="1">
      <alignment horizontal="center"/>
    </xf>
    <xf numFmtId="3" fontId="16" fillId="44" borderId="14" xfId="0" applyNumberFormat="1" applyFont="1" applyFill="1" applyBorder="1" applyAlignment="1">
      <alignment horizontal="center"/>
    </xf>
    <xf numFmtId="0" fontId="0" fillId="44" borderId="0" xfId="0" applyFill="1"/>
    <xf numFmtId="0" fontId="11" fillId="33" borderId="12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left"/>
    </xf>
    <xf numFmtId="3" fontId="9" fillId="33" borderId="14" xfId="0" applyNumberFormat="1" applyFont="1" applyFill="1" applyBorder="1"/>
    <xf numFmtId="3" fontId="9" fillId="33" borderId="6" xfId="0" applyNumberFormat="1" applyFont="1" applyFill="1" applyBorder="1"/>
    <xf numFmtId="3" fontId="9" fillId="33" borderId="13" xfId="0" applyNumberFormat="1" applyFont="1" applyFill="1" applyBorder="1"/>
    <xf numFmtId="3" fontId="9" fillId="33" borderId="0" xfId="0" applyNumberFormat="1" applyFont="1" applyFill="1"/>
    <xf numFmtId="3" fontId="9" fillId="33" borderId="6" xfId="0" applyNumberFormat="1" applyFont="1" applyFill="1" applyBorder="1" applyAlignment="1">
      <alignment horizontal="center"/>
    </xf>
    <xf numFmtId="3" fontId="9" fillId="33" borderId="8" xfId="0" applyNumberFormat="1" applyFont="1" applyFill="1" applyBorder="1" applyAlignment="1">
      <alignment horizontal="center"/>
    </xf>
    <xf numFmtId="3" fontId="9" fillId="33" borderId="13" xfId="0" applyNumberFormat="1" applyFont="1" applyFill="1" applyBorder="1" applyAlignment="1">
      <alignment horizontal="center"/>
    </xf>
    <xf numFmtId="3" fontId="9" fillId="33" borderId="0" xfId="0" applyNumberFormat="1" applyFont="1" applyFill="1" applyAlignment="1">
      <alignment horizontal="center"/>
    </xf>
    <xf numFmtId="3" fontId="9" fillId="33" borderId="14" xfId="0" applyNumberFormat="1" applyFont="1" applyFill="1" applyBorder="1" applyAlignment="1">
      <alignment horizontal="center"/>
    </xf>
    <xf numFmtId="10" fontId="9" fillId="33" borderId="0" xfId="0" applyNumberFormat="1" applyFont="1" applyFill="1" applyAlignment="1">
      <alignment horizontal="center"/>
    </xf>
    <xf numFmtId="0" fontId="0" fillId="33" borderId="0" xfId="0" applyFill="1"/>
    <xf numFmtId="3" fontId="10" fillId="33" borderId="14" xfId="0" applyNumberFormat="1" applyFont="1" applyFill="1" applyBorder="1"/>
    <xf numFmtId="3" fontId="10" fillId="33" borderId="6" xfId="0" applyNumberFormat="1" applyFont="1" applyFill="1" applyBorder="1"/>
    <xf numFmtId="3" fontId="10" fillId="33" borderId="13" xfId="0" applyNumberFormat="1" applyFont="1" applyFill="1" applyBorder="1"/>
    <xf numFmtId="3" fontId="10" fillId="33" borderId="0" xfId="0" applyNumberFormat="1" applyFont="1" applyFill="1"/>
    <xf numFmtId="3" fontId="10" fillId="33" borderId="6" xfId="0" applyNumberFormat="1" applyFont="1" applyFill="1" applyBorder="1" applyAlignment="1">
      <alignment horizontal="center"/>
    </xf>
    <xf numFmtId="3" fontId="10" fillId="33" borderId="13" xfId="0" applyNumberFormat="1" applyFont="1" applyFill="1" applyBorder="1" applyAlignment="1">
      <alignment horizontal="center"/>
    </xf>
    <xf numFmtId="3" fontId="10" fillId="33" borderId="0" xfId="0" applyNumberFormat="1" applyFont="1" applyFill="1" applyAlignment="1">
      <alignment horizontal="center"/>
    </xf>
    <xf numFmtId="3" fontId="10" fillId="33" borderId="14" xfId="0" applyNumberFormat="1" applyFont="1" applyFill="1" applyBorder="1" applyAlignment="1">
      <alignment horizontal="center"/>
    </xf>
    <xf numFmtId="3" fontId="16" fillId="33" borderId="14" xfId="0" applyNumberFormat="1" applyFont="1" applyFill="1" applyBorder="1" applyAlignment="1">
      <alignment horizontal="center"/>
    </xf>
    <xf numFmtId="3" fontId="16" fillId="33" borderId="23" xfId="0" applyNumberFormat="1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3" fontId="10" fillId="0" borderId="14" xfId="0" applyNumberFormat="1" applyFont="1" applyBorder="1"/>
    <xf numFmtId="3" fontId="10" fillId="0" borderId="6" xfId="0" applyNumberFormat="1" applyFont="1" applyBorder="1"/>
    <xf numFmtId="3" fontId="10" fillId="0" borderId="13" xfId="0" applyNumberFormat="1" applyFont="1" applyBorder="1"/>
    <xf numFmtId="3" fontId="10" fillId="0" borderId="0" xfId="0" applyNumberFormat="1" applyFont="1"/>
    <xf numFmtId="3" fontId="10" fillId="0" borderId="14" xfId="0" applyNumberFormat="1" applyFont="1" applyBorder="1" applyAlignment="1">
      <alignment horizontal="center"/>
    </xf>
    <xf numFmtId="3" fontId="10" fillId="0" borderId="13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1" fontId="18" fillId="0" borderId="26" xfId="0" applyNumberFormat="1" applyFont="1" applyBorder="1" applyAlignment="1">
      <alignment horizontal="center"/>
    </xf>
    <xf numFmtId="3" fontId="31" fillId="0" borderId="6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3" fontId="9" fillId="0" borderId="14" xfId="0" applyNumberFormat="1" applyFont="1" applyBorder="1"/>
    <xf numFmtId="3" fontId="9" fillId="0" borderId="6" xfId="0" applyNumberFormat="1" applyFont="1" applyBorder="1"/>
    <xf numFmtId="3" fontId="9" fillId="0" borderId="13" xfId="0" applyNumberFormat="1" applyFont="1" applyBorder="1"/>
    <xf numFmtId="3" fontId="9" fillId="0" borderId="0" xfId="0" applyNumberFormat="1" applyFont="1"/>
    <xf numFmtId="3" fontId="9" fillId="0" borderId="13" xfId="0" applyNumberFormat="1" applyFont="1" applyBorder="1" applyAlignment="1">
      <alignment horizontal="center"/>
    </xf>
    <xf numFmtId="3" fontId="9" fillId="0" borderId="14" xfId="0" applyNumberFormat="1" applyFont="1" applyBorder="1" applyAlignment="1">
      <alignment horizontal="center"/>
    </xf>
    <xf numFmtId="0" fontId="9" fillId="0" borderId="6" xfId="0" applyFont="1" applyBorder="1"/>
    <xf numFmtId="0" fontId="9" fillId="0" borderId="13" xfId="0" applyFont="1" applyBorder="1" applyAlignment="1">
      <alignment horizontal="left"/>
    </xf>
    <xf numFmtId="0" fontId="9" fillId="0" borderId="13" xfId="0" applyFont="1" applyBorder="1"/>
    <xf numFmtId="0" fontId="11" fillId="45" borderId="6" xfId="0" applyFont="1" applyFill="1" applyBorder="1"/>
    <xf numFmtId="0" fontId="11" fillId="45" borderId="13" xfId="0" applyFont="1" applyFill="1" applyBorder="1" applyAlignment="1">
      <alignment horizontal="left"/>
    </xf>
    <xf numFmtId="0" fontId="11" fillId="45" borderId="14" xfId="0" applyFont="1" applyFill="1" applyBorder="1" applyAlignment="1">
      <alignment horizontal="left"/>
    </xf>
    <xf numFmtId="3" fontId="11" fillId="45" borderId="14" xfId="0" applyNumberFormat="1" applyFont="1" applyFill="1" applyBorder="1"/>
    <xf numFmtId="3" fontId="11" fillId="45" borderId="6" xfId="0" applyNumberFormat="1" applyFont="1" applyFill="1" applyBorder="1"/>
    <xf numFmtId="3" fontId="11" fillId="45" borderId="13" xfId="0" applyNumberFormat="1" applyFont="1" applyFill="1" applyBorder="1"/>
    <xf numFmtId="3" fontId="11" fillId="45" borderId="0" xfId="0" applyNumberFormat="1" applyFont="1" applyFill="1"/>
    <xf numFmtId="3" fontId="11" fillId="45" borderId="6" xfId="0" applyNumberFormat="1" applyFont="1" applyFill="1" applyBorder="1" applyAlignment="1">
      <alignment horizontal="center"/>
    </xf>
    <xf numFmtId="3" fontId="11" fillId="45" borderId="13" xfId="0" applyNumberFormat="1" applyFont="1" applyFill="1" applyBorder="1" applyAlignment="1">
      <alignment horizontal="center"/>
    </xf>
    <xf numFmtId="3" fontId="11" fillId="45" borderId="0" xfId="0" applyNumberFormat="1" applyFont="1" applyFill="1" applyAlignment="1">
      <alignment horizontal="center"/>
    </xf>
    <xf numFmtId="3" fontId="11" fillId="45" borderId="7" xfId="0" applyNumberFormat="1" applyFont="1" applyFill="1" applyBorder="1" applyAlignment="1">
      <alignment horizontal="center"/>
    </xf>
    <xf numFmtId="0" fontId="47" fillId="45" borderId="0" xfId="0" applyFont="1" applyFill="1"/>
    <xf numFmtId="3" fontId="16" fillId="45" borderId="6" xfId="0" applyNumberFormat="1" applyFont="1" applyFill="1" applyBorder="1" applyAlignment="1">
      <alignment horizontal="center"/>
    </xf>
    <xf numFmtId="3" fontId="16" fillId="45" borderId="6" xfId="0" applyNumberFormat="1" applyFont="1" applyFill="1" applyBorder="1" applyAlignment="1">
      <alignment horizontal="center" wrapText="1"/>
    </xf>
    <xf numFmtId="0" fontId="17" fillId="45" borderId="0" xfId="0" applyFont="1" applyFill="1"/>
    <xf numFmtId="0" fontId="16" fillId="0" borderId="6" xfId="0" applyFont="1" applyBorder="1"/>
    <xf numFmtId="3" fontId="16" fillId="0" borderId="14" xfId="0" applyNumberFormat="1" applyFont="1" applyBorder="1"/>
    <xf numFmtId="3" fontId="16" fillId="0" borderId="6" xfId="0" applyNumberFormat="1" applyFont="1" applyBorder="1"/>
    <xf numFmtId="3" fontId="16" fillId="0" borderId="13" xfId="0" applyNumberFormat="1" applyFont="1" applyBorder="1"/>
    <xf numFmtId="3" fontId="16" fillId="0" borderId="0" xfId="0" applyNumberFormat="1" applyFont="1"/>
    <xf numFmtId="3" fontId="16" fillId="0" borderId="6" xfId="0" applyNumberFormat="1" applyFont="1" applyBorder="1" applyAlignment="1">
      <alignment horizontal="center"/>
    </xf>
    <xf numFmtId="3" fontId="16" fillId="0" borderId="13" xfId="0" applyNumberFormat="1" applyFont="1" applyBorder="1" applyAlignment="1">
      <alignment horizontal="center"/>
    </xf>
    <xf numFmtId="3" fontId="16" fillId="0" borderId="0" xfId="0" applyNumberFormat="1" applyFont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50" fillId="0" borderId="6" xfId="0" applyNumberFormat="1" applyFont="1" applyBorder="1" applyAlignment="1">
      <alignment horizontal="center"/>
    </xf>
    <xf numFmtId="4" fontId="16" fillId="0" borderId="6" xfId="0" applyNumberFormat="1" applyFont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1" fontId="20" fillId="0" borderId="0" xfId="0" applyNumberFormat="1" applyFont="1" applyAlignment="1">
      <alignment horizontal="center"/>
    </xf>
    <xf numFmtId="0" fontId="21" fillId="46" borderId="27" xfId="0" applyFont="1" applyFill="1" applyBorder="1"/>
    <xf numFmtId="0" fontId="21" fillId="46" borderId="28" xfId="0" applyFont="1" applyFill="1" applyBorder="1"/>
    <xf numFmtId="0" fontId="21" fillId="0" borderId="29" xfId="0" applyFont="1" applyBorder="1" applyAlignment="1">
      <alignment horizontal="center" vertical="center" wrapText="1"/>
    </xf>
    <xf numFmtId="177" fontId="21" fillId="0" borderId="29" xfId="0" applyNumberFormat="1" applyFont="1" applyBorder="1" applyAlignment="1">
      <alignment horizontal="center" vertical="center" wrapText="1"/>
    </xf>
    <xf numFmtId="0" fontId="19" fillId="0" borderId="6" xfId="0" applyFont="1" applyBorder="1"/>
    <xf numFmtId="10" fontId="19" fillId="0" borderId="6" xfId="0" applyNumberFormat="1" applyFont="1" applyBorder="1" applyAlignment="1">
      <alignment horizontal="center"/>
    </xf>
    <xf numFmtId="3" fontId="19" fillId="0" borderId="6" xfId="0" applyNumberFormat="1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177" fontId="19" fillId="0" borderId="6" xfId="0" applyNumberFormat="1" applyFont="1" applyBorder="1" applyAlignment="1">
      <alignment horizontal="center"/>
    </xf>
    <xf numFmtId="177" fontId="0" fillId="0" borderId="0" xfId="0" applyNumberFormat="1"/>
    <xf numFmtId="0" fontId="19" fillId="35" borderId="6" xfId="0" applyFont="1" applyFill="1" applyBorder="1"/>
    <xf numFmtId="10" fontId="19" fillId="35" borderId="6" xfId="0" applyNumberFormat="1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177" fontId="19" fillId="35" borderId="6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21" fillId="46" borderId="29" xfId="0" applyFont="1" applyFill="1" applyBorder="1" applyAlignment="1">
      <alignment horizontal="center" vertical="center" wrapText="1"/>
    </xf>
    <xf numFmtId="3" fontId="49" fillId="0" borderId="0" xfId="0" applyNumberFormat="1" applyFont="1"/>
    <xf numFmtId="3" fontId="51" fillId="9" borderId="6" xfId="0" applyNumberFormat="1" applyFont="1" applyFill="1" applyBorder="1" applyAlignment="1">
      <alignment horizontal="center"/>
    </xf>
    <xf numFmtId="3" fontId="51" fillId="9" borderId="8" xfId="0" applyNumberFormat="1" applyFont="1" applyFill="1" applyBorder="1" applyAlignment="1">
      <alignment horizontal="center"/>
    </xf>
    <xf numFmtId="3" fontId="51" fillId="8" borderId="6" xfId="0" applyNumberFormat="1" applyFont="1" applyFill="1" applyBorder="1" applyAlignment="1">
      <alignment horizontal="center"/>
    </xf>
    <xf numFmtId="3" fontId="11" fillId="8" borderId="6" xfId="0" applyNumberFormat="1" applyFont="1" applyFill="1" applyBorder="1" applyAlignment="1">
      <alignment horizontal="center"/>
    </xf>
    <xf numFmtId="3" fontId="11" fillId="8" borderId="14" xfId="0" applyNumberFormat="1" applyFont="1" applyFill="1" applyBorder="1" applyAlignment="1">
      <alignment horizontal="center"/>
    </xf>
    <xf numFmtId="3" fontId="11" fillId="8" borderId="18" xfId="0" applyNumberFormat="1" applyFont="1" applyFill="1" applyBorder="1" applyAlignment="1">
      <alignment horizontal="center"/>
    </xf>
    <xf numFmtId="3" fontId="11" fillId="8" borderId="8" xfId="0" applyNumberFormat="1" applyFont="1" applyFill="1" applyBorder="1" applyAlignment="1">
      <alignment horizontal="center"/>
    </xf>
    <xf numFmtId="167" fontId="51" fillId="11" borderId="14" xfId="0" applyNumberFormat="1" applyFont="1" applyFill="1" applyBorder="1" applyAlignment="1">
      <alignment horizontal="center"/>
    </xf>
    <xf numFmtId="167" fontId="51" fillId="11" borderId="22" xfId="0" applyNumberFormat="1" applyFont="1" applyFill="1" applyBorder="1" applyAlignment="1">
      <alignment horizontal="center"/>
    </xf>
    <xf numFmtId="167" fontId="51" fillId="11" borderId="7" xfId="0" applyNumberFormat="1" applyFont="1" applyFill="1" applyBorder="1" applyAlignment="1">
      <alignment horizontal="center"/>
    </xf>
    <xf numFmtId="3" fontId="11" fillId="2" borderId="6" xfId="0" applyNumberFormat="1" applyFont="1" applyFill="1" applyBorder="1" applyAlignment="1">
      <alignment horizontal="center"/>
    </xf>
    <xf numFmtId="3" fontId="51" fillId="12" borderId="6" xfId="0" applyNumberFormat="1" applyFont="1" applyFill="1" applyBorder="1" applyAlignment="1">
      <alignment horizontal="center"/>
    </xf>
    <xf numFmtId="169" fontId="51" fillId="12" borderId="6" xfId="0" applyNumberFormat="1" applyFont="1" applyFill="1" applyBorder="1" applyAlignment="1">
      <alignment horizontal="center"/>
    </xf>
    <xf numFmtId="3" fontId="51" fillId="4" borderId="6" xfId="0" applyNumberFormat="1" applyFont="1" applyFill="1" applyBorder="1" applyAlignment="1">
      <alignment horizontal="center"/>
    </xf>
    <xf numFmtId="3" fontId="51" fillId="14" borderId="6" xfId="0" applyNumberFormat="1" applyFont="1" applyFill="1" applyBorder="1" applyAlignment="1">
      <alignment horizontal="center"/>
    </xf>
    <xf numFmtId="3" fontId="51" fillId="14" borderId="8" xfId="0" applyNumberFormat="1" applyFont="1" applyFill="1" applyBorder="1" applyAlignment="1">
      <alignment horizontal="center"/>
    </xf>
    <xf numFmtId="3" fontId="7" fillId="14" borderId="29" xfId="0" applyNumberFormat="1" applyFont="1" applyFill="1" applyBorder="1" applyAlignment="1">
      <alignment horizontal="center"/>
    </xf>
    <xf numFmtId="3" fontId="7" fillId="14" borderId="18" xfId="0" applyNumberFormat="1" applyFont="1" applyFill="1" applyBorder="1" applyAlignment="1">
      <alignment horizontal="center"/>
    </xf>
    <xf numFmtId="3" fontId="7" fillId="14" borderId="6" xfId="0" applyNumberFormat="1" applyFont="1" applyFill="1" applyBorder="1" applyAlignment="1">
      <alignment horizontal="center"/>
    </xf>
    <xf numFmtId="3" fontId="51" fillId="14" borderId="26" xfId="0" applyNumberFormat="1" applyFont="1" applyFill="1" applyBorder="1" applyAlignment="1">
      <alignment horizontal="center"/>
    </xf>
    <xf numFmtId="3" fontId="51" fillId="14" borderId="14" xfId="0" applyNumberFormat="1" applyFont="1" applyFill="1" applyBorder="1" applyAlignment="1">
      <alignment horizontal="center"/>
    </xf>
    <xf numFmtId="3" fontId="51" fillId="14" borderId="7" xfId="0" applyNumberFormat="1" applyFont="1" applyFill="1" applyBorder="1" applyAlignment="1">
      <alignment horizontal="center"/>
    </xf>
    <xf numFmtId="3" fontId="51" fillId="15" borderId="14" xfId="0" applyNumberFormat="1" applyFont="1" applyFill="1" applyBorder="1" applyAlignment="1">
      <alignment horizontal="center"/>
    </xf>
    <xf numFmtId="3" fontId="51" fillId="15" borderId="6" xfId="0" applyNumberFormat="1" applyFont="1" applyFill="1" applyBorder="1" applyAlignment="1">
      <alignment horizontal="center"/>
    </xf>
    <xf numFmtId="10" fontId="51" fillId="15" borderId="14" xfId="0" applyNumberFormat="1" applyFont="1" applyFill="1" applyBorder="1" applyAlignment="1">
      <alignment horizontal="center"/>
    </xf>
    <xf numFmtId="10" fontId="51" fillId="15" borderId="6" xfId="0" applyNumberFormat="1" applyFont="1" applyFill="1" applyBorder="1" applyAlignment="1">
      <alignment horizontal="center"/>
    </xf>
    <xf numFmtId="3" fontId="11" fillId="44" borderId="6" xfId="0" applyNumberFormat="1" applyFont="1" applyFill="1" applyBorder="1" applyAlignment="1">
      <alignment horizontal="center"/>
    </xf>
    <xf numFmtId="3" fontId="11" fillId="44" borderId="14" xfId="0" applyNumberFormat="1" applyFont="1" applyFill="1" applyBorder="1" applyAlignment="1">
      <alignment horizontal="center"/>
    </xf>
    <xf numFmtId="3" fontId="11" fillId="33" borderId="6" xfId="0" applyNumberFormat="1" applyFont="1" applyFill="1" applyBorder="1" applyAlignment="1">
      <alignment horizontal="center"/>
    </xf>
    <xf numFmtId="3" fontId="11" fillId="33" borderId="14" xfId="0" applyNumberFormat="1" applyFont="1" applyFill="1" applyBorder="1" applyAlignment="1">
      <alignment horizontal="center" wrapText="1"/>
    </xf>
    <xf numFmtId="3" fontId="11" fillId="33" borderId="14" xfId="0" applyNumberFormat="1" applyFont="1" applyFill="1" applyBorder="1" applyAlignment="1">
      <alignment horizontal="center"/>
    </xf>
    <xf numFmtId="0" fontId="46" fillId="0" borderId="13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51" fillId="9" borderId="14" xfId="0" applyFont="1" applyFill="1" applyBorder="1" applyAlignment="1">
      <alignment horizontal="left"/>
    </xf>
    <xf numFmtId="0" fontId="51" fillId="9" borderId="13" xfId="0" applyFont="1" applyFill="1" applyBorder="1" applyAlignment="1">
      <alignment horizontal="left"/>
    </xf>
    <xf numFmtId="0" fontId="51" fillId="9" borderId="14" xfId="0" applyFont="1" applyFill="1" applyBorder="1" applyAlignment="1">
      <alignment horizontal="center"/>
    </xf>
    <xf numFmtId="0" fontId="51" fillId="8" borderId="13" xfId="0" applyFont="1" applyFill="1" applyBorder="1"/>
    <xf numFmtId="0" fontId="51" fillId="8" borderId="14" xfId="0" applyFont="1" applyFill="1" applyBorder="1" applyAlignment="1">
      <alignment horizontal="center"/>
    </xf>
    <xf numFmtId="0" fontId="11" fillId="8" borderId="13" xfId="0" applyFont="1" applyFill="1" applyBorder="1"/>
    <xf numFmtId="0" fontId="11" fillId="8" borderId="14" xfId="0" applyFont="1" applyFill="1" applyBorder="1" applyAlignment="1">
      <alignment horizontal="center"/>
    </xf>
    <xf numFmtId="0" fontId="11" fillId="8" borderId="24" xfId="0" applyFont="1" applyFill="1" applyBorder="1"/>
    <xf numFmtId="0" fontId="11" fillId="8" borderId="18" xfId="0" applyFont="1" applyFill="1" applyBorder="1" applyAlignment="1">
      <alignment horizontal="center"/>
    </xf>
    <xf numFmtId="0" fontId="51" fillId="11" borderId="12" xfId="0" applyFont="1" applyFill="1" applyBorder="1" applyAlignment="1">
      <alignment horizontal="left"/>
    </xf>
    <xf numFmtId="0" fontId="51" fillId="11" borderId="22" xfId="0" applyFont="1" applyFill="1" applyBorder="1" applyAlignment="1">
      <alignment horizontal="left"/>
    </xf>
    <xf numFmtId="168" fontId="51" fillId="12" borderId="12" xfId="0" applyNumberFormat="1" applyFont="1" applyFill="1" applyBorder="1" applyAlignment="1">
      <alignment horizontal="left"/>
    </xf>
    <xf numFmtId="168" fontId="51" fillId="12" borderId="14" xfId="0" applyNumberFormat="1" applyFont="1" applyFill="1" applyBorder="1" applyAlignment="1">
      <alignment horizontal="left"/>
    </xf>
    <xf numFmtId="0" fontId="51" fillId="12" borderId="12" xfId="0" applyFont="1" applyFill="1" applyBorder="1" applyAlignment="1">
      <alignment horizontal="left"/>
    </xf>
    <xf numFmtId="0" fontId="51" fillId="12" borderId="14" xfId="0" applyFont="1" applyFill="1" applyBorder="1" applyAlignment="1">
      <alignment horizontal="left"/>
    </xf>
    <xf numFmtId="3" fontId="51" fillId="4" borderId="15" xfId="0" applyNumberFormat="1" applyFont="1" applyFill="1" applyBorder="1" applyAlignment="1">
      <alignment horizontal="center"/>
    </xf>
    <xf numFmtId="3" fontId="51" fillId="4" borderId="14" xfId="0" applyNumberFormat="1" applyFont="1" applyFill="1" applyBorder="1" applyAlignment="1">
      <alignment horizontal="center"/>
    </xf>
    <xf numFmtId="3" fontId="51" fillId="4" borderId="19" xfId="0" applyNumberFormat="1" applyFont="1" applyFill="1" applyBorder="1" applyAlignment="1">
      <alignment horizontal="center"/>
    </xf>
    <xf numFmtId="0" fontId="11" fillId="14" borderId="13" xfId="0" applyFont="1" applyFill="1" applyBorder="1" applyAlignment="1">
      <alignment horizontal="left"/>
    </xf>
    <xf numFmtId="0" fontId="11" fillId="14" borderId="14" xfId="0" applyFont="1" applyFill="1" applyBorder="1" applyAlignment="1">
      <alignment horizontal="center"/>
    </xf>
    <xf numFmtId="16" fontId="11" fillId="14" borderId="14" xfId="0" applyNumberFormat="1" applyFont="1" applyFill="1" applyBorder="1" applyAlignment="1">
      <alignment horizontal="center"/>
    </xf>
    <xf numFmtId="0" fontId="11" fillId="14" borderId="24" xfId="0" applyFont="1" applyFill="1" applyBorder="1" applyAlignment="1">
      <alignment horizontal="left"/>
    </xf>
    <xf numFmtId="170" fontId="11" fillId="14" borderId="14" xfId="0" applyNumberFormat="1" applyFont="1" applyFill="1" applyBorder="1" applyAlignment="1">
      <alignment horizontal="center"/>
    </xf>
    <xf numFmtId="170" fontId="11" fillId="14" borderId="18" xfId="0" applyNumberFormat="1" applyFont="1" applyFill="1" applyBorder="1" applyAlignment="1">
      <alignment horizontal="center"/>
    </xf>
    <xf numFmtId="0" fontId="11" fillId="14" borderId="23" xfId="0" applyFont="1" applyFill="1" applyBorder="1" applyAlignment="1">
      <alignment horizontal="left"/>
    </xf>
    <xf numFmtId="171" fontId="11" fillId="14" borderId="22" xfId="0" applyNumberFormat="1" applyFont="1" applyFill="1" applyBorder="1" applyAlignment="1">
      <alignment horizontal="center"/>
    </xf>
    <xf numFmtId="3" fontId="53" fillId="12" borderId="17" xfId="0" applyNumberFormat="1" applyFont="1" applyFill="1" applyBorder="1" applyAlignment="1">
      <alignment horizontal="left"/>
    </xf>
    <xf numFmtId="3" fontId="51" fillId="12" borderId="14" xfId="0" applyNumberFormat="1" applyFont="1" applyFill="1" applyBorder="1" applyAlignment="1">
      <alignment horizontal="left"/>
    </xf>
    <xf numFmtId="0" fontId="11" fillId="8" borderId="12" xfId="0" applyFont="1" applyFill="1" applyBorder="1"/>
    <xf numFmtId="0" fontId="11" fillId="15" borderId="13" xfId="0" applyFont="1" applyFill="1" applyBorder="1"/>
    <xf numFmtId="0" fontId="11" fillId="15" borderId="14" xfId="0" applyFont="1" applyFill="1" applyBorder="1" applyAlignment="1">
      <alignment horizontal="left"/>
    </xf>
    <xf numFmtId="0" fontId="11" fillId="14" borderId="14" xfId="0" applyFont="1" applyFill="1" applyBorder="1" applyAlignment="1">
      <alignment horizontal="left"/>
    </xf>
    <xf numFmtId="0" fontId="11" fillId="14" borderId="13" xfId="0" applyFont="1" applyFill="1" applyBorder="1"/>
    <xf numFmtId="0" fontId="11" fillId="33" borderId="13" xfId="0" applyFont="1" applyFill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54" fillId="0" borderId="23" xfId="0" applyFont="1" applyBorder="1" applyAlignment="1">
      <alignment horizontal="center"/>
    </xf>
    <xf numFmtId="0" fontId="54" fillId="0" borderId="23" xfId="0" applyFont="1" applyBorder="1"/>
    <xf numFmtId="167" fontId="10" fillId="0" borderId="6" xfId="0" applyNumberFormat="1" applyFont="1" applyBorder="1" applyAlignment="1">
      <alignment horizontal="center"/>
    </xf>
    <xf numFmtId="0" fontId="0" fillId="0" borderId="62" xfId="0" applyBorder="1"/>
    <xf numFmtId="0" fontId="0" fillId="0" borderId="33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80" xfId="0" applyBorder="1"/>
    <xf numFmtId="0" fontId="0" fillId="0" borderId="81" xfId="0" applyBorder="1" applyAlignment="1">
      <alignment horizontal="center"/>
    </xf>
    <xf numFmtId="0" fontId="55" fillId="35" borderId="78" xfId="0" applyFont="1" applyFill="1" applyBorder="1"/>
    <xf numFmtId="0" fontId="55" fillId="35" borderId="79" xfId="0" applyFont="1" applyFill="1" applyBorder="1"/>
    <xf numFmtId="0" fontId="0" fillId="47" borderId="0" xfId="0" applyFill="1"/>
    <xf numFmtId="0" fontId="49" fillId="47" borderId="0" xfId="0" applyFont="1" applyFill="1"/>
    <xf numFmtId="0" fontId="17" fillId="47" borderId="0" xfId="0" applyFont="1" applyFill="1"/>
    <xf numFmtId="0" fontId="47" fillId="47" borderId="0" xfId="0" applyFont="1" applyFill="1"/>
    <xf numFmtId="3" fontId="0" fillId="47" borderId="0" xfId="0" applyNumberFormat="1" applyFill="1"/>
    <xf numFmtId="177" fontId="0" fillId="35" borderId="0" xfId="0" applyNumberFormat="1" applyFill="1"/>
    <xf numFmtId="0" fontId="49" fillId="35" borderId="0" xfId="0" applyFont="1" applyFill="1"/>
    <xf numFmtId="0" fontId="11" fillId="35" borderId="14" xfId="0" applyFont="1" applyFill="1" applyBorder="1" applyAlignment="1">
      <alignment horizontal="left"/>
    </xf>
    <xf numFmtId="3" fontId="49" fillId="35" borderId="0" xfId="0" applyNumberFormat="1" applyFont="1" applyFill="1"/>
    <xf numFmtId="3" fontId="11" fillId="35" borderId="6" xfId="0" applyNumberFormat="1" applyFont="1" applyFill="1" applyBorder="1" applyAlignment="1">
      <alignment horizontal="center"/>
    </xf>
    <xf numFmtId="0" fontId="16" fillId="35" borderId="12" xfId="0" applyFont="1" applyFill="1" applyBorder="1" applyAlignment="1">
      <alignment horizontal="left"/>
    </xf>
    <xf numFmtId="0" fontId="16" fillId="35" borderId="14" xfId="0" applyFont="1" applyFill="1" applyBorder="1" applyAlignment="1">
      <alignment horizontal="left"/>
    </xf>
    <xf numFmtId="3" fontId="16" fillId="35" borderId="14" xfId="0" applyNumberFormat="1" applyFont="1" applyFill="1" applyBorder="1"/>
    <xf numFmtId="3" fontId="16" fillId="35" borderId="6" xfId="0" applyNumberFormat="1" applyFont="1" applyFill="1" applyBorder="1"/>
    <xf numFmtId="3" fontId="16" fillId="35" borderId="13" xfId="0" applyNumberFormat="1" applyFont="1" applyFill="1" applyBorder="1"/>
    <xf numFmtId="3" fontId="16" fillId="35" borderId="0" xfId="0" applyNumberFormat="1" applyFont="1" applyFill="1"/>
    <xf numFmtId="3" fontId="16" fillId="35" borderId="6" xfId="0" applyNumberFormat="1" applyFont="1" applyFill="1" applyBorder="1" applyAlignment="1">
      <alignment horizontal="center"/>
    </xf>
    <xf numFmtId="3" fontId="16" fillId="35" borderId="8" xfId="0" applyNumberFormat="1" applyFont="1" applyFill="1" applyBorder="1" applyAlignment="1">
      <alignment horizontal="center"/>
    </xf>
    <xf numFmtId="3" fontId="16" fillId="35" borderId="13" xfId="0" applyNumberFormat="1" applyFont="1" applyFill="1" applyBorder="1" applyAlignment="1">
      <alignment horizontal="center"/>
    </xf>
    <xf numFmtId="3" fontId="16" fillId="35" borderId="0" xfId="0" applyNumberFormat="1" applyFont="1" applyFill="1" applyAlignment="1">
      <alignment horizontal="center"/>
    </xf>
    <xf numFmtId="10" fontId="16" fillId="35" borderId="0" xfId="0" applyNumberFormat="1" applyFont="1" applyFill="1" applyAlignment="1">
      <alignment horizontal="center"/>
    </xf>
    <xf numFmtId="0" fontId="32" fillId="35" borderId="0" xfId="0" applyFont="1" applyFill="1"/>
    <xf numFmtId="0" fontId="11" fillId="35" borderId="13" xfId="0" applyFont="1" applyFill="1" applyBorder="1" applyAlignment="1">
      <alignment horizontal="left"/>
    </xf>
    <xf numFmtId="3" fontId="51" fillId="35" borderId="14" xfId="0" applyNumberFormat="1" applyFont="1" applyFill="1" applyBorder="1"/>
    <xf numFmtId="3" fontId="51" fillId="35" borderId="6" xfId="0" applyNumberFormat="1" applyFont="1" applyFill="1" applyBorder="1"/>
    <xf numFmtId="3" fontId="51" fillId="35" borderId="13" xfId="0" applyNumberFormat="1" applyFont="1" applyFill="1" applyBorder="1"/>
    <xf numFmtId="3" fontId="51" fillId="35" borderId="0" xfId="0" applyNumberFormat="1" applyFont="1" applyFill="1"/>
    <xf numFmtId="3" fontId="51" fillId="35" borderId="6" xfId="0" applyNumberFormat="1" applyFont="1" applyFill="1" applyBorder="1" applyAlignment="1">
      <alignment horizontal="center"/>
    </xf>
    <xf numFmtId="3" fontId="51" fillId="35" borderId="13" xfId="0" applyNumberFormat="1" applyFont="1" applyFill="1" applyBorder="1" applyAlignment="1">
      <alignment horizontal="center"/>
    </xf>
    <xf numFmtId="3" fontId="51" fillId="35" borderId="0" xfId="0" applyNumberFormat="1" applyFont="1" applyFill="1" applyAlignment="1">
      <alignment horizontal="center"/>
    </xf>
    <xf numFmtId="0" fontId="17" fillId="35" borderId="0" xfId="0" applyFont="1" applyFill="1"/>
    <xf numFmtId="0" fontId="35" fillId="35" borderId="23" xfId="0" applyFont="1" applyFill="1" applyBorder="1"/>
    <xf numFmtId="0" fontId="8" fillId="47" borderId="6" xfId="0" applyFont="1" applyFill="1" applyBorder="1" applyAlignment="1">
      <alignment horizontal="center" vertical="center"/>
    </xf>
    <xf numFmtId="0" fontId="56" fillId="34" borderId="0" xfId="0" applyFont="1" applyFill="1" applyAlignment="1">
      <alignment horizontal="center" wrapText="1"/>
    </xf>
    <xf numFmtId="1" fontId="0" fillId="0" borderId="6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57" fillId="0" borderId="7" xfId="0" applyNumberFormat="1" applyFont="1" applyBorder="1" applyAlignment="1">
      <alignment horizontal="center"/>
    </xf>
    <xf numFmtId="0" fontId="58" fillId="35" borderId="23" xfId="0" applyFont="1" applyFill="1" applyBorder="1"/>
    <xf numFmtId="1" fontId="55" fillId="35" borderId="6" xfId="0" applyNumberFormat="1" applyFont="1" applyFill="1" applyBorder="1" applyAlignment="1">
      <alignment horizontal="center"/>
    </xf>
    <xf numFmtId="0" fontId="55" fillId="35" borderId="0" xfId="0" applyFont="1" applyFill="1"/>
    <xf numFmtId="0" fontId="47" fillId="33" borderId="0" xfId="0" applyFont="1" applyFill="1"/>
    <xf numFmtId="3" fontId="16" fillId="33" borderId="6" xfId="0" applyNumberFormat="1" applyFont="1" applyFill="1" applyBorder="1" applyAlignment="1">
      <alignment horizontal="center"/>
    </xf>
    <xf numFmtId="0" fontId="16" fillId="45" borderId="12" xfId="0" applyFont="1" applyFill="1" applyBorder="1" applyAlignment="1">
      <alignment horizontal="left"/>
    </xf>
    <xf numFmtId="0" fontId="16" fillId="45" borderId="14" xfId="0" applyFont="1" applyFill="1" applyBorder="1" applyAlignment="1">
      <alignment horizontal="left"/>
    </xf>
    <xf numFmtId="3" fontId="16" fillId="45" borderId="14" xfId="0" applyNumberFormat="1" applyFont="1" applyFill="1" applyBorder="1"/>
    <xf numFmtId="3" fontId="16" fillId="45" borderId="6" xfId="0" applyNumberFormat="1" applyFont="1" applyFill="1" applyBorder="1"/>
    <xf numFmtId="3" fontId="16" fillId="45" borderId="13" xfId="0" applyNumberFormat="1" applyFont="1" applyFill="1" applyBorder="1"/>
    <xf numFmtId="3" fontId="16" fillId="45" borderId="0" xfId="0" applyNumberFormat="1" applyFont="1" applyFill="1"/>
    <xf numFmtId="3" fontId="16" fillId="45" borderId="8" xfId="0" applyNumberFormat="1" applyFont="1" applyFill="1" applyBorder="1" applyAlignment="1">
      <alignment horizontal="center"/>
    </xf>
    <xf numFmtId="3" fontId="16" fillId="45" borderId="13" xfId="0" applyNumberFormat="1" applyFont="1" applyFill="1" applyBorder="1" applyAlignment="1">
      <alignment horizontal="center"/>
    </xf>
    <xf numFmtId="3" fontId="16" fillId="45" borderId="0" xfId="0" applyNumberFormat="1" applyFont="1" applyFill="1" applyAlignment="1">
      <alignment horizontal="center"/>
    </xf>
    <xf numFmtId="3" fontId="16" fillId="45" borderId="14" xfId="0" applyNumberFormat="1" applyFont="1" applyFill="1" applyBorder="1" applyAlignment="1">
      <alignment horizontal="center"/>
    </xf>
    <xf numFmtId="10" fontId="16" fillId="45" borderId="0" xfId="0" applyNumberFormat="1" applyFont="1" applyFill="1" applyAlignment="1">
      <alignment horizontal="center"/>
    </xf>
    <xf numFmtId="0" fontId="32" fillId="45" borderId="0" xfId="0" applyFont="1" applyFill="1"/>
    <xf numFmtId="3" fontId="49" fillId="45" borderId="0" xfId="0" applyNumberFormat="1" applyFont="1" applyFill="1"/>
    <xf numFmtId="0" fontId="9" fillId="45" borderId="7" xfId="0" applyFont="1" applyFill="1" applyBorder="1"/>
    <xf numFmtId="0" fontId="0" fillId="45" borderId="0" xfId="0" applyFill="1"/>
    <xf numFmtId="0" fontId="9" fillId="35" borderId="7" xfId="0" applyFont="1" applyFill="1" applyBorder="1"/>
    <xf numFmtId="3" fontId="0" fillId="35" borderId="0" xfId="0" applyNumberFormat="1" applyFill="1"/>
    <xf numFmtId="0" fontId="11" fillId="33" borderId="6" xfId="0" applyFont="1" applyFill="1" applyBorder="1"/>
    <xf numFmtId="0" fontId="17" fillId="33" borderId="0" xfId="0" applyFont="1" applyFill="1"/>
    <xf numFmtId="0" fontId="51" fillId="33" borderId="13" xfId="0" applyFont="1" applyFill="1" applyBorder="1" applyAlignment="1">
      <alignment horizontal="left"/>
    </xf>
    <xf numFmtId="0" fontId="51" fillId="33" borderId="14" xfId="0" applyFont="1" applyFill="1" applyBorder="1" applyAlignment="1">
      <alignment horizontal="left"/>
    </xf>
    <xf numFmtId="3" fontId="51" fillId="33" borderId="14" xfId="0" applyNumberFormat="1" applyFont="1" applyFill="1" applyBorder="1"/>
    <xf numFmtId="3" fontId="51" fillId="33" borderId="6" xfId="0" applyNumberFormat="1" applyFont="1" applyFill="1" applyBorder="1"/>
    <xf numFmtId="3" fontId="51" fillId="33" borderId="13" xfId="0" applyNumberFormat="1" applyFont="1" applyFill="1" applyBorder="1"/>
    <xf numFmtId="3" fontId="51" fillId="33" borderId="0" xfId="0" applyNumberFormat="1" applyFont="1" applyFill="1"/>
    <xf numFmtId="3" fontId="51" fillId="33" borderId="6" xfId="0" applyNumberFormat="1" applyFont="1" applyFill="1" applyBorder="1" applyAlignment="1">
      <alignment horizontal="center"/>
    </xf>
    <xf numFmtId="3" fontId="51" fillId="33" borderId="13" xfId="0" applyNumberFormat="1" applyFont="1" applyFill="1" applyBorder="1" applyAlignment="1">
      <alignment horizontal="center"/>
    </xf>
    <xf numFmtId="3" fontId="51" fillId="33" borderId="0" xfId="0" applyNumberFormat="1" applyFont="1" applyFill="1" applyAlignment="1">
      <alignment horizontal="center"/>
    </xf>
    <xf numFmtId="3" fontId="51" fillId="33" borderId="7" xfId="0" applyNumberFormat="1" applyFont="1" applyFill="1" applyBorder="1" applyAlignment="1">
      <alignment horizontal="center"/>
    </xf>
    <xf numFmtId="3" fontId="59" fillId="33" borderId="6" xfId="0" applyNumberFormat="1" applyFont="1" applyFill="1" applyBorder="1" applyAlignment="1">
      <alignment horizontal="center"/>
    </xf>
    <xf numFmtId="3" fontId="59" fillId="33" borderId="6" xfId="0" applyNumberFormat="1" applyFont="1" applyFill="1" applyBorder="1" applyAlignment="1">
      <alignment horizontal="center" wrapText="1"/>
    </xf>
    <xf numFmtId="0" fontId="32" fillId="33" borderId="0" xfId="0" applyFont="1" applyFill="1"/>
    <xf numFmtId="0" fontId="50" fillId="0" borderId="13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16" fillId="8" borderId="13" xfId="0" applyFont="1" applyFill="1" applyBorder="1"/>
    <xf numFmtId="0" fontId="65" fillId="0" borderId="0" xfId="0" applyFont="1"/>
    <xf numFmtId="3" fontId="51" fillId="0" borderId="14" xfId="0" applyNumberFormat="1" applyFont="1" applyBorder="1"/>
    <xf numFmtId="3" fontId="51" fillId="0" borderId="6" xfId="0" applyNumberFormat="1" applyFont="1" applyBorder="1"/>
    <xf numFmtId="3" fontId="51" fillId="0" borderId="13" xfId="0" applyNumberFormat="1" applyFont="1" applyBorder="1"/>
    <xf numFmtId="3" fontId="51" fillId="0" borderId="0" xfId="0" applyNumberFormat="1" applyFont="1"/>
    <xf numFmtId="3" fontId="51" fillId="0" borderId="6" xfId="0" applyNumberFormat="1" applyFont="1" applyBorder="1" applyAlignment="1">
      <alignment horizontal="center"/>
    </xf>
    <xf numFmtId="3" fontId="51" fillId="0" borderId="13" xfId="0" applyNumberFormat="1" applyFont="1" applyBorder="1" applyAlignment="1">
      <alignment horizontal="center"/>
    </xf>
    <xf numFmtId="3" fontId="51" fillId="0" borderId="0" xfId="0" applyNumberFormat="1" applyFont="1" applyAlignment="1">
      <alignment horizontal="center"/>
    </xf>
    <xf numFmtId="3" fontId="11" fillId="0" borderId="6" xfId="0" applyNumberFormat="1" applyFont="1" applyBorder="1" applyAlignment="1">
      <alignment horizontal="center"/>
    </xf>
    <xf numFmtId="0" fontId="10" fillId="33" borderId="13" xfId="0" applyFont="1" applyFill="1" applyBorder="1" applyAlignment="1">
      <alignment horizontal="left"/>
    </xf>
    <xf numFmtId="0" fontId="10" fillId="33" borderId="14" xfId="0" applyFont="1" applyFill="1" applyBorder="1" applyAlignment="1">
      <alignment horizontal="left"/>
    </xf>
    <xf numFmtId="3" fontId="10" fillId="33" borderId="7" xfId="0" applyNumberFormat="1" applyFont="1" applyFill="1" applyBorder="1" applyAlignment="1">
      <alignment horizontal="center"/>
    </xf>
    <xf numFmtId="0" fontId="66" fillId="0" borderId="13" xfId="0" applyFont="1" applyBorder="1" applyAlignment="1">
      <alignment horizontal="left"/>
    </xf>
    <xf numFmtId="0" fontId="16" fillId="34" borderId="12" xfId="0" applyFont="1" applyFill="1" applyBorder="1" applyAlignment="1">
      <alignment horizontal="left"/>
    </xf>
    <xf numFmtId="0" fontId="16" fillId="34" borderId="14" xfId="0" applyFont="1" applyFill="1" applyBorder="1" applyAlignment="1">
      <alignment horizontal="left"/>
    </xf>
    <xf numFmtId="3" fontId="16" fillId="34" borderId="14" xfId="0" applyNumberFormat="1" applyFont="1" applyFill="1" applyBorder="1"/>
    <xf numFmtId="3" fontId="16" fillId="34" borderId="6" xfId="0" applyNumberFormat="1" applyFont="1" applyFill="1" applyBorder="1"/>
    <xf numFmtId="3" fontId="16" fillId="34" borderId="13" xfId="0" applyNumberFormat="1" applyFont="1" applyFill="1" applyBorder="1"/>
    <xf numFmtId="3" fontId="16" fillId="34" borderId="0" xfId="0" applyNumberFormat="1" applyFont="1" applyFill="1"/>
    <xf numFmtId="3" fontId="16" fillId="34" borderId="6" xfId="0" applyNumberFormat="1" applyFont="1" applyFill="1" applyBorder="1" applyAlignment="1">
      <alignment horizontal="center"/>
    </xf>
    <xf numFmtId="3" fontId="16" fillId="34" borderId="8" xfId="0" applyNumberFormat="1" applyFont="1" applyFill="1" applyBorder="1" applyAlignment="1">
      <alignment horizontal="center"/>
    </xf>
    <xf numFmtId="3" fontId="16" fillId="34" borderId="13" xfId="0" applyNumberFormat="1" applyFont="1" applyFill="1" applyBorder="1" applyAlignment="1">
      <alignment horizontal="center"/>
    </xf>
    <xf numFmtId="3" fontId="16" fillId="34" borderId="0" xfId="0" applyNumberFormat="1" applyFont="1" applyFill="1" applyAlignment="1">
      <alignment horizontal="center"/>
    </xf>
    <xf numFmtId="3" fontId="16" fillId="34" borderId="14" xfId="0" applyNumberFormat="1" applyFont="1" applyFill="1" applyBorder="1" applyAlignment="1">
      <alignment horizontal="center"/>
    </xf>
    <xf numFmtId="10" fontId="16" fillId="34" borderId="0" xfId="0" applyNumberFormat="1" applyFont="1" applyFill="1" applyAlignment="1">
      <alignment horizontal="center"/>
    </xf>
    <xf numFmtId="0" fontId="32" fillId="34" borderId="0" xfId="0" applyFont="1" applyFill="1"/>
    <xf numFmtId="0" fontId="49" fillId="34" borderId="0" xfId="0" applyFont="1" applyFill="1"/>
    <xf numFmtId="0" fontId="57" fillId="30" borderId="95" xfId="0" applyFont="1" applyFill="1" applyBorder="1"/>
    <xf numFmtId="0" fontId="0" fillId="0" borderId="96" xfId="0" applyBorder="1"/>
    <xf numFmtId="0" fontId="0" fillId="0" borderId="97" xfId="0" applyBorder="1"/>
    <xf numFmtId="0" fontId="35" fillId="35" borderId="97" xfId="0" applyFont="1" applyFill="1" applyBorder="1"/>
    <xf numFmtId="0" fontId="35" fillId="0" borderId="97" xfId="0" applyFont="1" applyBorder="1"/>
    <xf numFmtId="0" fontId="0" fillId="0" borderId="98" xfId="0" applyBorder="1"/>
    <xf numFmtId="0" fontId="0" fillId="0" borderId="99" xfId="0" applyBorder="1"/>
    <xf numFmtId="0" fontId="57" fillId="30" borderId="7" xfId="0" applyFont="1" applyFill="1" applyBorder="1"/>
    <xf numFmtId="1" fontId="67" fillId="0" borderId="0" xfId="0" applyNumberFormat="1" applyFont="1" applyAlignment="1">
      <alignment wrapText="1"/>
    </xf>
    <xf numFmtId="3" fontId="59" fillId="9" borderId="6" xfId="0" applyNumberFormat="1" applyFont="1" applyFill="1" applyBorder="1" applyAlignment="1">
      <alignment horizontal="center"/>
    </xf>
    <xf numFmtId="9" fontId="0" fillId="0" borderId="0" xfId="0" applyNumberFormat="1"/>
    <xf numFmtId="0" fontId="16" fillId="15" borderId="13" xfId="0" applyFont="1" applyFill="1" applyBorder="1"/>
    <xf numFmtId="0" fontId="6" fillId="0" borderId="23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60" fillId="0" borderId="23" xfId="0" applyFont="1" applyBorder="1" applyAlignment="1">
      <alignment horizontal="center"/>
    </xf>
    <xf numFmtId="0" fontId="61" fillId="0" borderId="23" xfId="0" applyFont="1" applyBorder="1"/>
    <xf numFmtId="0" fontId="44" fillId="0" borderId="0" xfId="0" applyFont="1" applyAlignment="1">
      <alignment wrapText="1"/>
    </xf>
    <xf numFmtId="0" fontId="31" fillId="0" borderId="23" xfId="0" applyFont="1" applyBorder="1" applyAlignment="1">
      <alignment wrapText="1"/>
    </xf>
    <xf numFmtId="0" fontId="46" fillId="4" borderId="0" xfId="0" applyFont="1" applyFill="1" applyAlignment="1">
      <alignment horizontal="center"/>
    </xf>
    <xf numFmtId="1" fontId="46" fillId="4" borderId="0" xfId="0" applyNumberFormat="1" applyFont="1" applyFill="1" applyAlignment="1">
      <alignment horizontal="center"/>
    </xf>
    <xf numFmtId="0" fontId="46" fillId="0" borderId="0" xfId="0" applyFont="1" applyAlignment="1">
      <alignment horizontal="center"/>
    </xf>
    <xf numFmtId="3" fontId="59" fillId="35" borderId="6" xfId="0" applyNumberFormat="1" applyFont="1" applyFill="1" applyBorder="1" applyAlignment="1">
      <alignment horizontal="center"/>
    </xf>
    <xf numFmtId="0" fontId="68" fillId="0" borderId="0" xfId="0" applyFont="1"/>
    <xf numFmtId="0" fontId="6" fillId="14" borderId="27" xfId="0" applyFont="1" applyFill="1" applyBorder="1" applyAlignment="1">
      <alignment horizontal="center"/>
    </xf>
    <xf numFmtId="0" fontId="6" fillId="14" borderId="28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1" fillId="14" borderId="12" xfId="0" applyFont="1" applyFill="1" applyBorder="1" applyAlignment="1">
      <alignment horizontal="left"/>
    </xf>
    <xf numFmtId="0" fontId="11" fillId="14" borderId="13" xfId="0" applyFont="1" applyFill="1" applyBorder="1" applyAlignment="1">
      <alignment horizontal="left"/>
    </xf>
    <xf numFmtId="0" fontId="6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0" fillId="0" borderId="5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9" fillId="14" borderId="13" xfId="0" applyFont="1" applyFill="1" applyBorder="1" applyAlignment="1">
      <alignment horizontal="left"/>
    </xf>
    <xf numFmtId="0" fontId="3" fillId="14" borderId="27" xfId="0" applyFont="1" applyFill="1" applyBorder="1" applyAlignment="1">
      <alignment horizontal="center"/>
    </xf>
    <xf numFmtId="0" fontId="3" fillId="14" borderId="28" xfId="0" applyFont="1" applyFill="1" applyBorder="1" applyAlignment="1">
      <alignment horizontal="center"/>
    </xf>
    <xf numFmtId="0" fontId="9" fillId="14" borderId="12" xfId="0" applyFont="1" applyFill="1" applyBorder="1" applyAlignment="1">
      <alignment horizontal="left"/>
    </xf>
    <xf numFmtId="0" fontId="0" fillId="33" borderId="23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9" fillId="21" borderId="1" xfId="0" applyFont="1" applyFill="1" applyBorder="1" applyAlignment="1">
      <alignment horizontal="left" vertical="center"/>
    </xf>
    <xf numFmtId="0" fontId="9" fillId="22" borderId="13" xfId="0" applyFont="1" applyFill="1" applyBorder="1" applyAlignment="1">
      <alignment horizontal="left"/>
    </xf>
    <xf numFmtId="0" fontId="28" fillId="25" borderId="58" xfId="2" applyFont="1" applyFill="1" applyBorder="1" applyAlignment="1">
      <alignment horizontal="center" vertical="center"/>
    </xf>
    <xf numFmtId="0" fontId="28" fillId="25" borderId="65" xfId="2" applyFont="1" applyFill="1" applyBorder="1" applyAlignment="1">
      <alignment horizontal="center" vertical="center"/>
    </xf>
    <xf numFmtId="0" fontId="28" fillId="25" borderId="64" xfId="2" applyFont="1" applyFill="1" applyBorder="1" applyAlignment="1">
      <alignment horizontal="center" vertical="center"/>
    </xf>
    <xf numFmtId="0" fontId="25" fillId="34" borderId="1" xfId="2" applyFont="1" applyFill="1" applyBorder="1" applyAlignment="1">
      <alignment horizontal="center"/>
    </xf>
    <xf numFmtId="0" fontId="25" fillId="34" borderId="10" xfId="2" applyFont="1" applyFill="1" applyBorder="1" applyAlignment="1">
      <alignment horizontal="center"/>
    </xf>
    <xf numFmtId="0" fontId="25" fillId="34" borderId="2" xfId="2" applyFont="1" applyFill="1" applyBorder="1" applyAlignment="1">
      <alignment horizontal="center"/>
    </xf>
    <xf numFmtId="0" fontId="18" fillId="32" borderId="66" xfId="2" applyFont="1" applyFill="1" applyBorder="1" applyAlignment="1">
      <alignment horizontal="center" vertical="center"/>
    </xf>
    <xf numFmtId="0" fontId="18" fillId="32" borderId="67" xfId="2" applyFont="1" applyFill="1" applyBorder="1" applyAlignment="1">
      <alignment horizontal="center" vertical="center"/>
    </xf>
    <xf numFmtId="0" fontId="21" fillId="27" borderId="69" xfId="2" applyFont="1" applyFill="1" applyBorder="1" applyAlignment="1">
      <alignment horizontal="center"/>
    </xf>
    <xf numFmtId="0" fontId="21" fillId="27" borderId="70" xfId="2" applyFont="1" applyFill="1" applyBorder="1" applyAlignment="1">
      <alignment horizontal="center"/>
    </xf>
    <xf numFmtId="0" fontId="21" fillId="27" borderId="71" xfId="2" applyFont="1" applyFill="1" applyBorder="1" applyAlignment="1">
      <alignment horizontal="center"/>
    </xf>
    <xf numFmtId="0" fontId="5" fillId="0" borderId="10" xfId="0" applyFont="1" applyBorder="1" applyAlignment="1"/>
    <xf numFmtId="0" fontId="5" fillId="0" borderId="2" xfId="0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5" fillId="0" borderId="19" xfId="0" applyFont="1" applyBorder="1" applyAlignment="1"/>
    <xf numFmtId="0" fontId="5" fillId="0" borderId="15" xfId="0" applyFont="1" applyBorder="1" applyAlignment="1"/>
    <xf numFmtId="0" fontId="52" fillId="0" borderId="19" xfId="0" applyFont="1" applyBorder="1" applyAlignment="1"/>
    <xf numFmtId="0" fontId="52" fillId="0" borderId="15" xfId="0" applyFont="1" applyBorder="1" applyAlignment="1"/>
    <xf numFmtId="0" fontId="61" fillId="0" borderId="10" xfId="0" applyFont="1" applyBorder="1" applyAlignment="1"/>
    <xf numFmtId="0" fontId="61" fillId="0" borderId="2" xfId="0" applyFont="1" applyBorder="1" applyAlignment="1"/>
    <xf numFmtId="0" fontId="61" fillId="0" borderId="3" xfId="0" applyFont="1" applyBorder="1" applyAlignment="1"/>
    <xf numFmtId="0" fontId="61" fillId="0" borderId="4" xfId="0" applyFont="1" applyBorder="1" applyAlignment="1"/>
    <xf numFmtId="0" fontId="0" fillId="0" borderId="0" xfId="0" applyAlignment="1"/>
    <xf numFmtId="0" fontId="5" fillId="0" borderId="11" xfId="0" applyFont="1" applyBorder="1" applyAlignment="1"/>
    <xf numFmtId="0" fontId="5" fillId="0" borderId="14" xfId="0" applyFont="1" applyBorder="1" applyAlignment="1"/>
  </cellXfs>
  <cellStyles count="5">
    <cellStyle name="Moeda" xfId="3" builtinId="4"/>
    <cellStyle name="Normal" xfId="0" builtinId="0"/>
    <cellStyle name="Normal 2" xfId="1" xr:uid="{A35EC91F-1135-4CDE-8449-A9F9198E4025}"/>
    <cellStyle name="Normal 3" xfId="2" xr:uid="{BCCFC0F9-A57F-4AAF-9D91-70200FD6DC46}"/>
    <cellStyle name="Porcentagem" xfId="4" builtinId="5"/>
  </cellStyles>
  <dxfs count="1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Comparativo cenários-style" pivot="0" count="2" xr9:uid="{00000000-0011-0000-FFFF-FFFF00000000}">
      <tableStyleElement type="firstRowStripe" dxfId="11"/>
      <tableStyleElement type="secondRowStripe" dxfId="10"/>
    </tableStyle>
    <tableStyle name="Comparativo cenários-style 2" pivot="0" count="3" xr9:uid="{00000000-0011-0000-FFFF-FFFF01000000}">
      <tableStyleElement type="headerRow" dxfId="9"/>
      <tableStyleElement type="firstRowStripe" dxfId="8"/>
      <tableStyleElement type="secondRowStripe" dxfId="7"/>
    </tableStyle>
    <tableStyle name="Comparativo cenários-style 3" pivot="0" count="2" xr9:uid="{00000000-0011-0000-FFFF-FFFF02000000}">
      <tableStyleElement type="firstRowStripe" dxfId="6"/>
      <tableStyleElement type="secondRowStripe" dxfId="5"/>
    </tableStyle>
    <tableStyle name="Comparativo cenários-style 4" pivot="0" count="2" xr9:uid="{00000000-0011-0000-FFFF-FFFF03000000}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0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iro Benevides" id="{C8883D07-5DEF-44DA-A320-68634FAC5A83}" userId="S::cairo@liebelingerie.com.br::ff8c43a7-9d8a-42ae-9756-dead8196571a" providerId="AD"/>
  <person displayName="Fagner Brasil" id="{3791EC61-C524-4899-9126-C24B2B7C5528}" userId="S::fagner.brasil@liebelingerie.com.br::2106f20f-bfb0-4cfa-b46c-a3904e9bfa76" providerId="AD"/>
  <person displayName="Sergio Barros" id="{CFBEEADA-E1A6-4F53-9668-03E21D3DC4A6}" userId="S::sergio.barros@liebelingerie.com.br::477e6137-1242-4e25-a7e8-ff4fcf7f1002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X7" dT="2024-02-08T14:19:07.29" personId="{C8883D07-5DEF-44DA-A320-68634FAC5A83}" id="{1EAF2ADF-92DB-4F82-9177-89530F5985C9}">
    <text>19 + 4 SABADO A 50%</text>
  </threadedComment>
  <threadedComment ref="BY7" dT="2024-02-08T14:20:50.91" personId="{C8883D07-5DEF-44DA-A320-68634FAC5A83}" id="{DEB78357-E53D-43C2-9750-FC321E7A0D14}">
    <text>22 DIAS + 4 SABADOS</text>
  </threadedComment>
  <threadedComment ref="CA7" dT="2024-02-08T14:38:55.67" personId="{C8883D07-5DEF-44DA-A320-68634FAC5A83}" id="{6413FD59-2668-4A10-9783-BBFDE8FAF392}">
    <text>CONTRATAÇÃO NOVO GRUPO</text>
  </threadedComment>
  <threadedComment ref="CB7" dT="2024-02-08T14:32:43.17" personId="{C8883D07-5DEF-44DA-A320-68634FAC5A83}" id="{60F4C470-5193-4133-9F26-4A82B008D428}">
    <text>CONTRATAÇÃO NOVO GRUPO</text>
  </threadedComment>
  <threadedComment ref="BZ17" dT="2024-07-01T13:55:50.83" personId="{3791EC61-C524-4899-9126-C24B2B7C5528}" id="{120D832D-EFB1-4E2B-939D-F7AC454F6A0A}">
    <text xml:space="preserve">maior que 6 = 6270
</text>
  </threadedComment>
  <threadedComment ref="CA17" dT="2024-07-01T13:54:25.12" personId="{3791EC61-C524-4899-9126-C24B2B7C5528}" id="{3B975B26-5F5A-4AD1-A493-1CA602F2327C}">
    <text xml:space="preserve">maior que 6  = 11257
</text>
  </threadedComment>
  <threadedComment ref="BZ18" dT="2024-07-01T13:55:50.83" personId="{3791EC61-C524-4899-9126-C24B2B7C5528}" id="{E413AA58-C89D-4F35-8466-2F87E7A2D685}">
    <text xml:space="preserve">maior que 6 = 6270
</text>
  </threadedComment>
  <threadedComment ref="CA18" dT="2024-07-01T13:54:25.12" personId="{3791EC61-C524-4899-9126-C24B2B7C5528}" id="{17BEFEF4-A561-4A7A-8382-18D38E92634B}">
    <text xml:space="preserve">maior que 6  = 11257
</text>
  </threadedComment>
  <threadedComment ref="CJ71" dT="2025-01-16T10:48:35.42" personId="{CFBEEADA-E1A6-4F53-9668-03E21D3DC4A6}" id="{1698EE7C-E10B-464B-9956-96433221D797}">
    <text>a partir do dia 15.01</text>
  </threadedComment>
  <threadedComment ref="CJ71" dT="2025-01-16T11:02:10.63" personId="{CFBEEADA-E1A6-4F53-9668-03E21D3DC4A6}" id="{FB0AB7F1-1398-4CAF-94EB-51CB78A154B6}" parentId="{1698EE7C-E10B-464B-9956-96433221D797}">
    <text>até 14.01 prod 54.240</text>
  </threadedComment>
  <threadedComment ref="BZ79" dT="2024-06-04T10:49:24.20" personId="{CFBEEADA-E1A6-4F53-9668-03E21D3DC4A6}" id="{242BAC7D-6093-4B4B-B10A-DBB7E76786B6}">
    <text>Produziu Mostruário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X7" dT="2024-02-08T14:19:07.29" personId="{C8883D07-5DEF-44DA-A320-68634FAC5A83}" id="{49C337B9-2BCB-4838-871B-3DB3DFD4117F}">
    <text>19 + 4 SABADO A 50%</text>
  </threadedComment>
  <threadedComment ref="BY7" dT="2024-02-08T14:20:50.91" personId="{C8883D07-5DEF-44DA-A320-68634FAC5A83}" id="{1828D66F-376E-461B-9A9C-27031AEBF6BA}">
    <text>22 DIAS + 4 SABADOS</text>
  </threadedComment>
  <threadedComment ref="CA7" dT="2024-02-08T14:38:55.67" personId="{C8883D07-5DEF-44DA-A320-68634FAC5A83}" id="{978D9DC4-DCB2-4D9A-9C67-6B1222F1E5A3}">
    <text>CONTRATAÇÃO NOVO GRUPO</text>
  </threadedComment>
  <threadedComment ref="CB7" dT="2024-02-08T14:32:43.17" personId="{C8883D07-5DEF-44DA-A320-68634FAC5A83}" id="{1714FE14-1161-43D8-8132-1E9D96BBAB50}">
    <text>CONTRATAÇÃO NOVO GRUPO</text>
  </threadedComment>
  <threadedComment ref="BZ17" dT="2024-07-01T13:55:50.83" personId="{3791EC61-C524-4899-9126-C24B2B7C5528}" id="{F848F10E-661A-4DED-AEDD-17FCD13530B5}">
    <text xml:space="preserve">maior que 6 = 6270
</text>
  </threadedComment>
  <threadedComment ref="CA17" dT="2024-07-01T13:54:25.12" personId="{3791EC61-C524-4899-9126-C24B2B7C5528}" id="{7F0B8E3C-D643-453A-BCEC-E16C5B9DEBE2}">
    <text xml:space="preserve">maior que 6  = 11257
</text>
  </threadedComment>
  <threadedComment ref="BZ18" dT="2024-07-01T13:55:50.83" personId="{3791EC61-C524-4899-9126-C24B2B7C5528}" id="{D2FF0E03-4C7E-4767-9498-4FACEC1A6775}">
    <text xml:space="preserve">maior que 6 = 6270
</text>
  </threadedComment>
  <threadedComment ref="CA18" dT="2024-07-01T13:54:25.12" personId="{3791EC61-C524-4899-9126-C24B2B7C5528}" id="{B024E637-39C7-426A-8647-13638E6C5849}">
    <text xml:space="preserve">maior que 6  = 11257
</text>
  </threadedComment>
  <threadedComment ref="CJ71" dT="2025-01-16T10:48:35.42" personId="{CFBEEADA-E1A6-4F53-9668-03E21D3DC4A6}" id="{72131F53-223F-4C34-B9EC-3B1E9DD61356}">
    <text>a partir do dia 15.01</text>
  </threadedComment>
  <threadedComment ref="CJ71" dT="2025-01-16T11:02:10.63" personId="{CFBEEADA-E1A6-4F53-9668-03E21D3DC4A6}" id="{BB2F77C9-B037-44BA-AC34-6F93DF934D0A}" parentId="{72131F53-223F-4C34-B9EC-3B1E9DD61356}">
    <text>até 14.01 prod 54.240</text>
  </threadedComment>
  <threadedComment ref="BZ79" dT="2024-06-04T10:49:24.20" personId="{CFBEEADA-E1A6-4F53-9668-03E21D3DC4A6}" id="{3F950B69-7A58-4334-8D0B-90FDEBBB50C5}">
    <text>Produziu Mostruário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X7" dT="2024-02-08T14:19:07.29" personId="{C8883D07-5DEF-44DA-A320-68634FAC5A83}" id="{109D488E-F907-4A80-A06C-8C49D31AB027}">
    <text>19 + 4 SABADO A 50%</text>
  </threadedComment>
  <threadedComment ref="BY7" dT="2024-02-08T14:20:50.91" personId="{C8883D07-5DEF-44DA-A320-68634FAC5A83}" id="{D8F33283-252A-4846-ABF0-40B369C7BBA7}">
    <text>22 DIAS + 4 SABADOS</text>
  </threadedComment>
  <threadedComment ref="CA7" dT="2024-02-08T14:38:55.67" personId="{C8883D07-5DEF-44DA-A320-68634FAC5A83}" id="{68944C3E-C109-412D-ADF3-92707DF2EC18}">
    <text>CONTRATAÇÃO NOVO GRUPO</text>
  </threadedComment>
  <threadedComment ref="CB7" dT="2024-02-08T14:32:43.17" personId="{C8883D07-5DEF-44DA-A320-68634FAC5A83}" id="{76891731-0555-4685-B641-210D17284A2D}">
    <text>CONTRATAÇÃO NOVO GRUPO</text>
  </threadedComment>
  <threadedComment ref="BZ17" dT="2024-07-01T13:55:50.83" personId="{3791EC61-C524-4899-9126-C24B2B7C5528}" id="{9D320D63-7C4D-4E16-BD4C-9548F0826DF7}">
    <text xml:space="preserve">maior que 6 = 6270
</text>
  </threadedComment>
  <threadedComment ref="CA17" dT="2024-07-01T13:54:25.12" personId="{3791EC61-C524-4899-9126-C24B2B7C5528}" id="{8EF0FD1A-5542-460E-B0B9-EADD21D4E844}">
    <text xml:space="preserve">maior que 6  = 11257
</text>
  </threadedComment>
  <threadedComment ref="BZ18" dT="2024-07-01T13:55:50.83" personId="{3791EC61-C524-4899-9126-C24B2B7C5528}" id="{6E4980D7-2DBB-4E84-8D8F-7F2534E9DD56}">
    <text xml:space="preserve">maior que 6 = 6270
</text>
  </threadedComment>
  <threadedComment ref="CA18" dT="2024-07-01T13:54:25.12" personId="{3791EC61-C524-4899-9126-C24B2B7C5528}" id="{1460F086-E416-4417-AF7C-77F856EB3A53}">
    <text xml:space="preserve">maior que 6  = 11257
</text>
  </threadedComment>
  <threadedComment ref="CJ71" dT="2025-01-16T10:48:35.42" personId="{CFBEEADA-E1A6-4F53-9668-03E21D3DC4A6}" id="{C51A0350-2A9F-4C35-87E1-18571C8D973A}">
    <text>a partir do dia 15.01</text>
  </threadedComment>
  <threadedComment ref="CJ71" dT="2025-01-16T11:02:10.63" personId="{CFBEEADA-E1A6-4F53-9668-03E21D3DC4A6}" id="{CBB892F4-04EE-4A68-B599-0052A9B97750}" parentId="{C51A0350-2A9F-4C35-87E1-18571C8D973A}">
    <text>até 14.01 prod 54.240</text>
  </threadedComment>
  <threadedComment ref="BZ79" dT="2024-06-04T10:49:24.20" personId="{CFBEEADA-E1A6-4F53-9668-03E21D3DC4A6}" id="{0D22FDC4-4B13-4510-8714-9DF493001555}">
    <text>Produziu Mostruário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X7" dT="2024-02-08T14:19:07.29" personId="{C8883D07-5DEF-44DA-A320-68634FAC5A83}" id="{8FA06D4E-0961-4A78-B9AC-5924025B3F41}">
    <text>19 + 4 SABADO A 50%</text>
  </threadedComment>
  <threadedComment ref="BY7" dT="2024-02-08T14:20:50.91" personId="{C8883D07-5DEF-44DA-A320-68634FAC5A83}" id="{C63ACAF8-22D6-4593-A45B-CF83BB430A9B}">
    <text>22 DIAS + 4 SABADOS</text>
  </threadedComment>
  <threadedComment ref="CA7" dT="2024-02-08T14:38:55.67" personId="{C8883D07-5DEF-44DA-A320-68634FAC5A83}" id="{B16B2202-38D7-48BC-897B-1883192C611A}">
    <text>CONTRATAÇÃO NOVO GRUPO</text>
  </threadedComment>
  <threadedComment ref="CB7" dT="2024-02-08T14:32:43.17" personId="{C8883D07-5DEF-44DA-A320-68634FAC5A83}" id="{8D3FF4AE-B907-40ED-8F2F-64068271ED61}">
    <text>CONTRATAÇÃO NOVO GRUPO</text>
  </threadedComment>
  <threadedComment ref="BZ23" dT="2024-07-01T13:55:50.83" personId="{3791EC61-C524-4899-9126-C24B2B7C5528}" id="{236BFC1B-D259-483D-BE2B-1C2DBC165256}">
    <text xml:space="preserve">maior que 6 = 6270
</text>
  </threadedComment>
  <threadedComment ref="CA23" dT="2024-07-01T13:54:25.12" personId="{3791EC61-C524-4899-9126-C24B2B7C5528}" id="{1B66534F-3F7D-4AAE-BE4A-E48B8D56D8F4}">
    <text xml:space="preserve">maior que 6  = 11257
</text>
  </threadedComment>
  <threadedComment ref="BZ24" dT="2024-07-01T13:55:50.83" personId="{3791EC61-C524-4899-9126-C24B2B7C5528}" id="{20A18DBB-7688-4273-8CBE-15962E3A1468}">
    <text xml:space="preserve">maior que 6 = 6270
</text>
  </threadedComment>
  <threadedComment ref="CA24" dT="2024-07-01T13:54:25.12" personId="{3791EC61-C524-4899-9126-C24B2B7C5528}" id="{E45CE290-FD0F-4B67-B432-327E66E068DF}">
    <text xml:space="preserve">maior que 6  = 11257
</text>
  </threadedComment>
  <threadedComment ref="CJ80" dT="2025-01-16T10:48:35.42" personId="{CFBEEADA-E1A6-4F53-9668-03E21D3DC4A6}" id="{6E8A06DD-22B1-4AF8-ABBF-448D8745AD45}">
    <text>a partir do dia 15.01</text>
  </threadedComment>
  <threadedComment ref="CJ80" dT="2025-01-16T11:02:10.63" personId="{CFBEEADA-E1A6-4F53-9668-03E21D3DC4A6}" id="{797FA31F-A8D5-4941-87FD-3918AD98755E}" parentId="{6E8A06DD-22B1-4AF8-ABBF-448D8745AD45}">
    <text>até 14.01 prod 54.240</text>
  </threadedComment>
  <threadedComment ref="BZ90" dT="2024-06-04T10:49:24.20" personId="{CFBEEADA-E1A6-4F53-9668-03E21D3DC4A6}" id="{F2B8F320-A326-4390-82BE-FC056CB98391}">
    <text>Produziu Mostruário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X7" dT="2024-02-08T14:19:07.29" personId="{C8883D07-5DEF-44DA-A320-68634FAC5A83}" id="{5EB151F1-2C41-4042-BCFF-F0553E1E44B3}">
    <text>19 + 4 SABADO A 50%</text>
  </threadedComment>
  <threadedComment ref="BY7" dT="2024-02-08T14:20:50.91" personId="{C8883D07-5DEF-44DA-A320-68634FAC5A83}" id="{4361FAFC-2356-4B84-AECB-531BFC65A286}">
    <text>22 DIAS + 4 SABADOS</text>
  </threadedComment>
  <threadedComment ref="CA7" dT="2024-02-08T14:38:55.67" personId="{C8883D07-5DEF-44DA-A320-68634FAC5A83}" id="{317A5D69-F8DF-40A1-A114-E4883701539C}">
    <text>CONTRATAÇÃO NOVO GRUPO</text>
  </threadedComment>
  <threadedComment ref="CB7" dT="2024-02-08T14:32:43.17" personId="{C8883D07-5DEF-44DA-A320-68634FAC5A83}" id="{855A1039-47CC-408D-A8CB-FF8BD5FA9B6D}">
    <text>CONTRATAÇÃO NOVO GRUPO</text>
  </threadedComment>
  <threadedComment ref="BZ23" dT="2024-07-01T13:55:50.83" personId="{3791EC61-C524-4899-9126-C24B2B7C5528}" id="{E7BFBC47-11CF-4A9F-8078-A8EB6FE3A9FA}">
    <text xml:space="preserve">maior que 6 = 6270
</text>
  </threadedComment>
  <threadedComment ref="CA23" dT="2024-07-01T13:54:25.12" personId="{3791EC61-C524-4899-9126-C24B2B7C5528}" id="{E1B3F637-CC89-4C61-AD23-39C08DAD40D2}">
    <text xml:space="preserve">maior que 6  = 11257
</text>
  </threadedComment>
  <threadedComment ref="BZ24" dT="2024-07-01T13:55:50.83" personId="{3791EC61-C524-4899-9126-C24B2B7C5528}" id="{EA8D5FD0-C3AB-4408-8E62-2435299A35A0}">
    <text xml:space="preserve">maior que 6 = 6270
</text>
  </threadedComment>
  <threadedComment ref="CA24" dT="2024-07-01T13:54:25.12" personId="{3791EC61-C524-4899-9126-C24B2B7C5528}" id="{AC327225-B4AC-4FDC-8AFB-9B1636991F22}">
    <text xml:space="preserve">maior que 6  = 11257
</text>
  </threadedComment>
  <threadedComment ref="CJ80" dT="2025-01-16T10:48:35.42" personId="{CFBEEADA-E1A6-4F53-9668-03E21D3DC4A6}" id="{21BFF02C-A395-44E0-8B04-97E2F7B952EC}">
    <text>a partir do dia 15.01</text>
  </threadedComment>
  <threadedComment ref="CJ80" dT="2025-01-16T11:02:10.63" personId="{CFBEEADA-E1A6-4F53-9668-03E21D3DC4A6}" id="{ECE440E2-541B-45F0-B647-384AA253EA53}" parentId="{21BFF02C-A395-44E0-8B04-97E2F7B952EC}">
    <text>até 14.01 prod 54.240</text>
  </threadedComment>
  <threadedComment ref="BZ90" dT="2024-06-04T10:49:24.20" personId="{CFBEEADA-E1A6-4F53-9668-03E21D3DC4A6}" id="{271F0767-02C7-40D1-BD03-056F66D2EEFC}">
    <text>Produziu Mostruário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X7" dT="2024-02-08T14:19:07.29" personId="{C8883D07-5DEF-44DA-A320-68634FAC5A83}" id="{23A761DE-DC45-4F76-B255-C5FEACED9CC9}">
    <text>19 + 4 SABADO A 50%</text>
  </threadedComment>
  <threadedComment ref="BY7" dT="2024-02-08T14:20:50.91" personId="{C8883D07-5DEF-44DA-A320-68634FAC5A83}" id="{B11E7532-8668-449B-87A7-CBD9936D1E80}">
    <text>22 DIAS + 4 SABADOS</text>
  </threadedComment>
  <threadedComment ref="CA7" dT="2024-02-08T14:38:55.67" personId="{C8883D07-5DEF-44DA-A320-68634FAC5A83}" id="{A83433A3-AA61-4461-AC32-1EF966846FE6}">
    <text>CONTRATAÇÃO NOVO GRUPO</text>
  </threadedComment>
  <threadedComment ref="CB7" dT="2024-02-08T14:32:43.17" personId="{C8883D07-5DEF-44DA-A320-68634FAC5A83}" id="{FE881644-E587-4043-BFAC-2563C1A44C3D}">
    <text>CONTRATAÇÃO NOVO GRUPO</text>
  </threadedComment>
  <threadedComment ref="BZ24" dT="2024-07-01T13:55:50.83" personId="{3791EC61-C524-4899-9126-C24B2B7C5528}" id="{24C87172-C003-4D07-AA5B-B1D8371355E8}">
    <text xml:space="preserve">maior que 6 = 6270
</text>
  </threadedComment>
  <threadedComment ref="CA24" dT="2024-07-01T13:54:25.12" personId="{3791EC61-C524-4899-9126-C24B2B7C5528}" id="{349FF9BB-135B-4010-ACED-9BFAEBC6E3DC}">
    <text xml:space="preserve">maior que 6  = 11257
</text>
  </threadedComment>
  <threadedComment ref="BZ25" dT="2024-07-01T13:55:50.83" personId="{3791EC61-C524-4899-9126-C24B2B7C5528}" id="{D30A52B4-7A20-4D00-88CF-9A4F1FDC0772}">
    <text xml:space="preserve">maior que 6 = 6270
</text>
  </threadedComment>
  <threadedComment ref="CA25" dT="2024-07-01T13:54:25.12" personId="{3791EC61-C524-4899-9126-C24B2B7C5528}" id="{06351F85-4B5C-4BCF-9BC7-FEF0B9F7FDD2}">
    <text xml:space="preserve">maior que 6  = 11257
</text>
  </threadedComment>
  <threadedComment ref="CJ81" dT="2025-01-16T10:48:35.42" personId="{CFBEEADA-E1A6-4F53-9668-03E21D3DC4A6}" id="{74BFA35B-DD61-40CB-B32B-87D3502C378A}">
    <text>a partir do dia 15.01</text>
  </threadedComment>
  <threadedComment ref="CJ81" dT="2025-01-16T11:02:10.63" personId="{CFBEEADA-E1A6-4F53-9668-03E21D3DC4A6}" id="{8D70E4C7-715E-4DEE-A2AE-8A8663B66368}" parentId="{74BFA35B-DD61-40CB-B32B-87D3502C378A}">
    <text>até 14.01 prod 54.240</text>
  </threadedComment>
  <threadedComment ref="BZ91" dT="2024-06-04T10:49:24.20" personId="{CFBEEADA-E1A6-4F53-9668-03E21D3DC4A6}" id="{068F61BC-EE18-4606-8AA7-7E964B03457E}">
    <text>Produziu Mostruário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X7" dT="2024-02-08T14:19:07.29" personId="{C8883D07-5DEF-44DA-A320-68634FAC5A83}" id="{51C75C66-DD33-4650-A7E0-C60FF871631B}">
    <text>19 + 4 SABADO A 50%</text>
  </threadedComment>
  <threadedComment ref="BY7" dT="2024-02-08T14:20:50.91" personId="{C8883D07-5DEF-44DA-A320-68634FAC5A83}" id="{719DEB1D-008C-4C64-BD90-C84A18C657FE}">
    <text>22 DIAS + 4 SABADOS</text>
  </threadedComment>
  <threadedComment ref="CA7" dT="2024-02-08T14:38:55.67" personId="{C8883D07-5DEF-44DA-A320-68634FAC5A83}" id="{32C3614A-7927-4B24-9BE5-6778C48D8522}">
    <text>CONTRATAÇÃO NOVO GRUPO</text>
  </threadedComment>
  <threadedComment ref="CB7" dT="2024-02-08T14:32:43.17" personId="{C8883D07-5DEF-44DA-A320-68634FAC5A83}" id="{D6512C7B-B271-4938-95DE-498D70D2E90E}">
    <text>CONTRATAÇÃO NOVO GRUPO</text>
  </threadedComment>
  <threadedComment ref="BZ24" dT="2024-07-01T13:55:50.83" personId="{3791EC61-C524-4899-9126-C24B2B7C5528}" id="{A7678BD4-E12A-42CC-AE97-B88E51A88992}">
    <text xml:space="preserve">maior que 6 = 6270
</text>
  </threadedComment>
  <threadedComment ref="CA24" dT="2024-07-01T13:54:25.12" personId="{3791EC61-C524-4899-9126-C24B2B7C5528}" id="{96F025CF-71B2-49E1-8268-A9D05C450472}">
    <text xml:space="preserve">maior que 6  = 11257
</text>
  </threadedComment>
  <threadedComment ref="BZ25" dT="2024-07-01T13:55:50.83" personId="{3791EC61-C524-4899-9126-C24B2B7C5528}" id="{13ACF715-D783-4342-B0AC-B15DA51E18E5}">
    <text xml:space="preserve">maior que 6 = 6270
</text>
  </threadedComment>
  <threadedComment ref="CA25" dT="2024-07-01T13:54:25.12" personId="{3791EC61-C524-4899-9126-C24B2B7C5528}" id="{6EDD70BA-1C14-492A-A4FC-91B7398E3B04}">
    <text xml:space="preserve">maior que 6  = 11257
</text>
  </threadedComment>
  <threadedComment ref="CJ81" dT="2025-01-16T10:48:35.42" personId="{CFBEEADA-E1A6-4F53-9668-03E21D3DC4A6}" id="{215BA329-5F06-49C9-978D-33F7782F92CE}">
    <text>a partir do dia 15.01</text>
  </threadedComment>
  <threadedComment ref="CJ81" dT="2025-01-16T11:02:10.63" personId="{CFBEEADA-E1A6-4F53-9668-03E21D3DC4A6}" id="{489DCFFF-033A-431D-ABDB-038A97A3EA3B}" parentId="{215BA329-5F06-49C9-978D-33F7782F92CE}">
    <text>até 14.01 prod 54.240</text>
  </threadedComment>
  <threadedComment ref="BZ91" dT="2024-06-04T10:49:24.20" personId="{CFBEEADA-E1A6-4F53-9668-03E21D3DC4A6}" id="{14D11D2F-7869-4B09-B94E-D164F56570C7}">
    <text>Produziu Mostruário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X7" dT="2024-02-08T14:19:07.29" personId="{C8883D07-5DEF-44DA-A320-68634FAC5A83}" id="{CF5DAC0F-9C78-47A9-9765-B7EF11909422}">
    <text>19 + 4 SABADO A 50%</text>
  </threadedComment>
  <threadedComment ref="BY7" dT="2024-02-08T14:20:50.91" personId="{C8883D07-5DEF-44DA-A320-68634FAC5A83}" id="{F4526840-C558-4F4E-8414-D73910733C29}">
    <text>22 DIAS + 4 SABADOS</text>
  </threadedComment>
  <threadedComment ref="CA7" dT="2024-02-08T14:38:55.67" personId="{C8883D07-5DEF-44DA-A320-68634FAC5A83}" id="{FFA54565-10E7-45F5-AAF4-B70695E7FA14}">
    <text>CONTRATAÇÃO NOVO GRUPO</text>
  </threadedComment>
  <threadedComment ref="CB7" dT="2024-02-08T14:32:43.17" personId="{C8883D07-5DEF-44DA-A320-68634FAC5A83}" id="{2454E2A9-1A5F-41AA-95FB-4AC84DD665D9}">
    <text>CONTRATAÇÃO NOVO GRUPO</text>
  </threadedComment>
  <threadedComment ref="BZ24" dT="2024-07-01T13:55:50.83" personId="{3791EC61-C524-4899-9126-C24B2B7C5528}" id="{00CE07CF-0531-416D-94AF-D1E9E5E81DC6}">
    <text xml:space="preserve">maior que 6 = 6270
</text>
  </threadedComment>
  <threadedComment ref="CA24" dT="2024-07-01T13:54:25.12" personId="{3791EC61-C524-4899-9126-C24B2B7C5528}" id="{3C3F0A1A-33DA-4112-BB1E-0C52BEAA2BC6}">
    <text xml:space="preserve">maior que 6  = 11257
</text>
  </threadedComment>
  <threadedComment ref="BZ25" dT="2024-07-01T13:55:50.83" personId="{3791EC61-C524-4899-9126-C24B2B7C5528}" id="{E1254D4A-BE38-463D-A794-D7A27E092EC2}">
    <text xml:space="preserve">maior que 6 = 6270
</text>
  </threadedComment>
  <threadedComment ref="CA25" dT="2024-07-01T13:54:25.12" personId="{3791EC61-C524-4899-9126-C24B2B7C5528}" id="{99E14D1F-116A-4FF7-845E-713159846253}">
    <text xml:space="preserve">maior que 6  = 11257
</text>
  </threadedComment>
  <threadedComment ref="CJ81" dT="2025-01-16T10:48:35.42" personId="{CFBEEADA-E1A6-4F53-9668-03E21D3DC4A6}" id="{7842ADD8-BCF7-4413-9CA1-986D678CC52A}">
    <text>a partir do dia 15.01</text>
  </threadedComment>
  <threadedComment ref="CJ81" dT="2025-01-16T11:02:10.63" personId="{CFBEEADA-E1A6-4F53-9668-03E21D3DC4A6}" id="{81E99AA8-9A37-43E6-BE0D-85349C12C752}" parentId="{7842ADD8-BCF7-4413-9CA1-986D678CC52A}">
    <text>até 14.01 prod 54.240</text>
  </threadedComment>
  <threadedComment ref="BZ91" dT="2024-06-04T10:49:24.20" personId="{CFBEEADA-E1A6-4F53-9668-03E21D3DC4A6}" id="{6996C360-E6DD-46A6-B160-07583ACF8042}">
    <text>Produziu Mostruário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X7" dT="2024-02-08T14:19:07.29" personId="{C8883D07-5DEF-44DA-A320-68634FAC5A83}" id="{282DD60B-1FEA-4B3F-95A6-C8A508E895C1}">
    <text>19 + 4 SABADO A 50%</text>
  </threadedComment>
  <threadedComment ref="BY7" dT="2024-02-08T14:20:50.91" personId="{C8883D07-5DEF-44DA-A320-68634FAC5A83}" id="{9A2EA00A-754D-4C2B-9255-FBB13699814A}">
    <text>22 DIAS + 4 SABADOS</text>
  </threadedComment>
  <threadedComment ref="CA7" dT="2024-02-08T14:38:55.67" personId="{C8883D07-5DEF-44DA-A320-68634FAC5A83}" id="{C95D9827-8D7D-4C06-BE8F-5E34C9AA9CB0}">
    <text>CONTRATAÇÃO NOVO GRUPO</text>
  </threadedComment>
  <threadedComment ref="CB7" dT="2024-02-08T14:32:43.17" personId="{C8883D07-5DEF-44DA-A320-68634FAC5A83}" id="{CD29E9C9-E0D6-467B-A01C-D72DE1663927}">
    <text>CONTRATAÇÃO NOVO GRUPO</text>
  </threadedComment>
  <threadedComment ref="BZ24" dT="2024-07-01T13:55:50.83" personId="{3791EC61-C524-4899-9126-C24B2B7C5528}" id="{5E2C55B0-EE63-477C-9C86-EFF291D5D66A}">
    <text xml:space="preserve">maior que 6 = 6270
</text>
  </threadedComment>
  <threadedComment ref="CA24" dT="2024-07-01T13:54:25.12" personId="{3791EC61-C524-4899-9126-C24B2B7C5528}" id="{CCF9906E-7204-4C2B-8BB2-2A09A7B8E877}">
    <text xml:space="preserve">maior que 6  = 11257
</text>
  </threadedComment>
  <threadedComment ref="BZ25" dT="2024-07-01T13:55:50.83" personId="{3791EC61-C524-4899-9126-C24B2B7C5528}" id="{7B56A043-888F-4AEF-B341-96155CAC819E}">
    <text xml:space="preserve">maior que 6 = 6270
</text>
  </threadedComment>
  <threadedComment ref="CA25" dT="2024-07-01T13:54:25.12" personId="{3791EC61-C524-4899-9126-C24B2B7C5528}" id="{36E15EE8-A7BF-4F96-ACF5-3E3734B09534}">
    <text xml:space="preserve">maior que 6  = 11257
</text>
  </threadedComment>
  <threadedComment ref="CJ81" dT="2025-01-16T10:48:35.42" personId="{CFBEEADA-E1A6-4F53-9668-03E21D3DC4A6}" id="{16EE5D7E-D171-4A01-8764-B8DFD3B6E066}">
    <text>a partir do dia 15.01</text>
  </threadedComment>
  <threadedComment ref="CJ81" dT="2025-01-16T11:02:10.63" personId="{CFBEEADA-E1A6-4F53-9668-03E21D3DC4A6}" id="{4B9B8629-66EF-46C2-8948-8A548CD8D329}" parentId="{16EE5D7E-D171-4A01-8764-B8DFD3B6E066}">
    <text>até 14.01 prod 54.240</text>
  </threadedComment>
  <threadedComment ref="BZ91" dT="2024-06-04T10:49:24.20" personId="{CFBEEADA-E1A6-4F53-9668-03E21D3DC4A6}" id="{1125AAC9-BD6C-4C41-AA44-D60D51ED52DB}">
    <text>Produziu Mostruário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X7" dT="2024-02-08T14:19:07.29" personId="{C8883D07-5DEF-44DA-A320-68634FAC5A83}" id="{8033A7DA-45B1-4C8A-A05C-44B458F2B8FA}">
    <text>19 + 4 SABADO A 50%</text>
  </threadedComment>
  <threadedComment ref="BY7" dT="2024-02-08T14:20:50.91" personId="{C8883D07-5DEF-44DA-A320-68634FAC5A83}" id="{74B55E3C-992D-4701-804B-3F6F1CB68F39}">
    <text>22 DIAS + 4 SABADOS</text>
  </threadedComment>
  <threadedComment ref="CA7" dT="2024-02-08T14:38:55.67" personId="{C8883D07-5DEF-44DA-A320-68634FAC5A83}" id="{3D77091B-888B-4743-A80B-9AC0770E5289}">
    <text>CONTRATAÇÃO NOVO GRUPO</text>
  </threadedComment>
  <threadedComment ref="CB7" dT="2024-02-08T14:32:43.17" personId="{C8883D07-5DEF-44DA-A320-68634FAC5A83}" id="{D93C8109-A7BB-456B-A8FF-FD15BE4B0DEE}">
    <text>CONTRATAÇÃO NOVO GRUPO</text>
  </threadedComment>
  <threadedComment ref="BZ24" dT="2024-07-01T13:55:50.83" personId="{3791EC61-C524-4899-9126-C24B2B7C5528}" id="{0A61837E-90E0-41E1-9CF6-CD0F546128DA}">
    <text xml:space="preserve">maior que 6 = 6270
</text>
  </threadedComment>
  <threadedComment ref="CA24" dT="2024-07-01T13:54:25.12" personId="{3791EC61-C524-4899-9126-C24B2B7C5528}" id="{44881627-EBAA-49D7-A890-72BB85058EC7}">
    <text xml:space="preserve">maior que 6  = 11257
</text>
  </threadedComment>
  <threadedComment ref="BZ25" dT="2024-07-01T13:55:50.83" personId="{3791EC61-C524-4899-9126-C24B2B7C5528}" id="{5371B708-71DF-4EBE-ADBA-EFC7AD675406}">
    <text xml:space="preserve">maior que 6 = 6270
</text>
  </threadedComment>
  <threadedComment ref="CA25" dT="2024-07-01T13:54:25.12" personId="{3791EC61-C524-4899-9126-C24B2B7C5528}" id="{8A9C6925-28EB-43CF-A6E8-C7053EE14A1D}">
    <text xml:space="preserve">maior que 6  = 11257
</text>
  </threadedComment>
  <threadedComment ref="CJ81" dT="2025-01-16T10:48:35.42" personId="{CFBEEADA-E1A6-4F53-9668-03E21D3DC4A6}" id="{B015AE49-FC68-4190-83DA-9409FF7321E5}">
    <text>a partir do dia 15.01</text>
  </threadedComment>
  <threadedComment ref="CJ81" dT="2025-01-16T11:02:10.63" personId="{CFBEEADA-E1A6-4F53-9668-03E21D3DC4A6}" id="{5C5A9924-33D4-40D1-850B-84505C2E5095}" parentId="{B015AE49-FC68-4190-83DA-9409FF7321E5}">
    <text>até 14.01 prod 54.240</text>
  </threadedComment>
  <threadedComment ref="BZ91" dT="2024-06-04T10:49:24.20" personId="{CFBEEADA-E1A6-4F53-9668-03E21D3DC4A6}" id="{C7F2C2A1-B44E-408F-9FED-C558E85BFF50}">
    <text>Produziu Mostruário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BX8" dT="2024-02-08T14:19:07.29" personId="{C8883D07-5DEF-44DA-A320-68634FAC5A83}" id="{E4CB58A1-2963-4079-BE30-E0C9DE057DC0}">
    <text>19 + 4 SABADO A 50%</text>
  </threadedComment>
  <threadedComment ref="BY8" dT="2024-02-08T14:20:50.91" personId="{C8883D07-5DEF-44DA-A320-68634FAC5A83}" id="{80E8122B-7A5F-47DE-9083-60A884475383}">
    <text>22 DIAS + 4 SABADOS</text>
  </threadedComment>
  <threadedComment ref="CA8" dT="2024-02-08T14:38:55.67" personId="{C8883D07-5DEF-44DA-A320-68634FAC5A83}" id="{18A47295-8F20-402A-8F62-8C6E6305BD5D}">
    <text>CONTRATAÇÃO NOVO GRUPO</text>
  </threadedComment>
  <threadedComment ref="CB8" dT="2024-02-08T14:32:43.17" personId="{C8883D07-5DEF-44DA-A320-68634FAC5A83}" id="{56FF48D0-098E-40A9-81B4-3DAC9BD46E2E}">
    <text>CONTRATAÇÃO NOVO GRUPO</text>
  </threadedComment>
  <threadedComment ref="BZ25" dT="2024-07-01T13:55:50.83" personId="{3791EC61-C524-4899-9126-C24B2B7C5528}" id="{05501B3F-7BE3-4D84-B0CF-F8705810B46A}">
    <text xml:space="preserve">maior que 6 = 6270
</text>
  </threadedComment>
  <threadedComment ref="CA25" dT="2024-07-01T13:54:25.12" personId="{3791EC61-C524-4899-9126-C24B2B7C5528}" id="{E1F8B793-35F9-4B4E-8C35-08059E9E6F4E}">
    <text xml:space="preserve">maior que 6  = 11257
</text>
  </threadedComment>
  <threadedComment ref="BZ26" dT="2024-07-01T13:55:50.83" personId="{3791EC61-C524-4899-9126-C24B2B7C5528}" id="{57CEE6D4-CA2E-4C92-AA4C-76CABB4C821D}">
    <text xml:space="preserve">maior que 6 = 6270
</text>
  </threadedComment>
  <threadedComment ref="CA26" dT="2024-07-01T13:54:25.12" personId="{3791EC61-C524-4899-9126-C24B2B7C5528}" id="{B900E611-68AD-43F5-82C8-3142B3AC62B6}">
    <text xml:space="preserve">maior que 6  = 11257
</text>
  </threadedComment>
  <threadedComment ref="DO39" dT="2026-08-19T18:16:31.56" personId="{3791EC61-C524-4899-9126-C24B2B7C5528}" id="{8571A8C4-E4D3-4561-A23A-07BB578DB5C9}">
    <text>sinistrp -aplicado aumento de 10%</text>
  </threadedComment>
  <threadedComment ref="DP39" dT="2026-08-19T18:16:31.56" personId="{3791EC61-C524-4899-9126-C24B2B7C5528}" id="{A6A84214-14B5-4DDB-8C79-0A79BDBB1998}">
    <text>sinistrp -aplicado aumento de 10%</text>
  </threadedComment>
  <threadedComment ref="CJ82" dT="2025-01-16T10:48:35.42" personId="{CFBEEADA-E1A6-4F53-9668-03E21D3DC4A6}" id="{1A184AC9-5902-463B-AC4B-96B0C605E0B5}">
    <text>a partir do dia 15.01</text>
  </threadedComment>
  <threadedComment ref="CJ82" dT="2025-01-16T11:02:10.63" personId="{CFBEEADA-E1A6-4F53-9668-03E21D3DC4A6}" id="{DCC432C2-3CFC-4207-85EB-8EC02022938D}" parentId="{1A184AC9-5902-463B-AC4B-96B0C605E0B5}">
    <text>até 14.01 prod 54.240</text>
  </threadedComment>
  <threadedComment ref="BZ92" dT="2024-06-04T10:49:24.20" personId="{CFBEEADA-E1A6-4F53-9668-03E21D3DC4A6}" id="{4FE217DC-A3CE-42A1-88FF-7285E4F0F229}">
    <text>Produziu Mostruário</text>
  </threadedComment>
  <threadedComment ref="DO123" dT="2026-08-19T18:16:31.56" personId="{3791EC61-C524-4899-9126-C24B2B7C5528}" id="{0D9D6425-0314-44C0-BFBE-DB283465BD5D}">
    <text>sinistrp -aplicado aumento de 10%</text>
  </threadedComment>
  <threadedComment ref="DP123" dT="2026-08-19T18:16:31.56" personId="{3791EC61-C524-4899-9126-C24B2B7C5528}" id="{1B98161E-F470-47F6-8357-A563A3DF6A66}">
    <text>sinistrp -aplicado aumento de 10%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X8" dT="2024-02-08T14:19:07.29" personId="{C8883D07-5DEF-44DA-A320-68634FAC5A83}" id="{E6C8B2BC-3045-4A02-8DB9-250E8BE633E7}">
    <text>19 + 4 SABADO A 50%</text>
  </threadedComment>
  <threadedComment ref="BY8" dT="2024-02-08T14:20:50.91" personId="{C8883D07-5DEF-44DA-A320-68634FAC5A83}" id="{E04C8646-3AA0-4FB1-9055-1CA1A4F85F4E}">
    <text>22 DIAS + 4 SABADOS</text>
  </threadedComment>
  <threadedComment ref="CA8" dT="2024-02-08T14:38:55.67" personId="{C8883D07-5DEF-44DA-A320-68634FAC5A83}" id="{8C60B867-7B33-4D80-A3A3-4E80B3DE54B2}">
    <text>CONTRATAÇÃO NOVO GRUPO</text>
  </threadedComment>
  <threadedComment ref="CB8" dT="2024-02-08T14:32:43.17" personId="{C8883D07-5DEF-44DA-A320-68634FAC5A83}" id="{3E95AE1C-1913-488B-8BF9-2D79DAA29272}">
    <text>CONTRATAÇÃO NOVO GRUPO</text>
  </threadedComment>
  <threadedComment ref="BZ25" dT="2024-07-01T13:55:50.83" personId="{3791EC61-C524-4899-9126-C24B2B7C5528}" id="{D33BB558-94B0-4CAC-BAF6-9A07F7FB6466}">
    <text xml:space="preserve">maior que 6 = 6270
</text>
  </threadedComment>
  <threadedComment ref="CA25" dT="2024-07-01T13:54:25.12" personId="{3791EC61-C524-4899-9126-C24B2B7C5528}" id="{CE7B41B3-4397-4680-BEDF-D8DAE79D1DBD}">
    <text xml:space="preserve">maior que 6  = 11257
</text>
  </threadedComment>
  <threadedComment ref="BZ26" dT="2024-07-01T13:55:50.83" personId="{3791EC61-C524-4899-9126-C24B2B7C5528}" id="{5A42026E-08BB-4260-83FE-D5526558BEB2}">
    <text xml:space="preserve">maior que 6 = 6270
</text>
  </threadedComment>
  <threadedComment ref="CA26" dT="2024-07-01T13:54:25.12" personId="{3791EC61-C524-4899-9126-C24B2B7C5528}" id="{B3B32334-2167-4587-A4DA-3600D4ED1A91}">
    <text xml:space="preserve">maior que 6  = 11257
</text>
  </threadedComment>
  <threadedComment ref="DO39" dT="2026-08-19T18:16:31.56" personId="{3791EC61-C524-4899-9126-C24B2B7C5528}" id="{E311CC9A-DB7D-42B8-80BE-DDD50493AEBB}">
    <text>sinistrp -aplicado aumento de 10%</text>
  </threadedComment>
  <threadedComment ref="DP39" dT="2026-08-19T18:16:31.56" personId="{3791EC61-C524-4899-9126-C24B2B7C5528}" id="{2C6928F3-BB2A-4409-901A-A2C1C62A5056}">
    <text>sinistrp -aplicado aumento de 10%</text>
  </threadedComment>
  <threadedComment ref="CJ82" dT="2025-01-16T10:48:35.42" personId="{CFBEEADA-E1A6-4F53-9668-03E21D3DC4A6}" id="{CD89CFB4-EA2C-46FC-939C-CFDACF7E4A2D}">
    <text>a partir do dia 15.01</text>
  </threadedComment>
  <threadedComment ref="CJ82" dT="2025-01-16T11:02:10.63" personId="{CFBEEADA-E1A6-4F53-9668-03E21D3DC4A6}" id="{17C3472C-A5A9-4726-92B7-2A4E6C409C05}" parentId="{CD89CFB4-EA2C-46FC-939C-CFDACF7E4A2D}">
    <text>até 14.01 prod 54.240</text>
  </threadedComment>
  <threadedComment ref="BZ92" dT="2024-06-04T10:49:24.20" personId="{CFBEEADA-E1A6-4F53-9668-03E21D3DC4A6}" id="{655C6449-0395-4073-A39B-6F363DAB2C02}">
    <text>Produziu Mostruário</text>
  </threadedComment>
  <threadedComment ref="DO123" dT="2026-08-19T18:16:31.56" personId="{3791EC61-C524-4899-9126-C24B2B7C5528}" id="{52F008A3-614E-4AEE-A8D2-60D3DE4429A1}">
    <text>sinistrp -aplicado aumento de 10%</text>
  </threadedComment>
  <threadedComment ref="DP123" dT="2026-08-19T18:16:31.56" personId="{3791EC61-C524-4899-9126-C24B2B7C5528}" id="{F2EEECD6-683B-4E40-B9E9-AE98415FD5B9}">
    <text>sinistrp -aplicado aumento de 10%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BX7" dT="2024-02-08T14:19:07.29" personId="{C8883D07-5DEF-44DA-A320-68634FAC5A83}" id="{A367BA13-A76F-4A67-88C1-AB9157DEF26A}">
    <text>19 + 4 SABADO A 50%</text>
  </threadedComment>
  <threadedComment ref="BY7" dT="2024-02-08T14:20:50.91" personId="{C8883D07-5DEF-44DA-A320-68634FAC5A83}" id="{E897906C-9A19-4603-BED6-0FD1EC951E23}">
    <text>22 DIAS + 4 SABADOS</text>
  </threadedComment>
  <threadedComment ref="CA7" dT="2024-02-08T14:38:55.67" personId="{C8883D07-5DEF-44DA-A320-68634FAC5A83}" id="{A1490143-16D5-46EE-A429-C65075E3D9F7}">
    <text>CONTRATAÇÃO NOVO GRUPO</text>
  </threadedComment>
  <threadedComment ref="CB7" dT="2024-02-08T14:32:43.17" personId="{C8883D07-5DEF-44DA-A320-68634FAC5A83}" id="{1D69BD5F-E126-474F-A3FD-B6CC98AB8AA6}">
    <text>CONTRATAÇÃO NOVO GRUPO</text>
  </threadedComment>
  <threadedComment ref="BZ17" dT="2024-07-01T13:55:50.83" personId="{3791EC61-C524-4899-9126-C24B2B7C5528}" id="{091E45E2-E015-469C-AF0B-7C146CDEEC63}">
    <text xml:space="preserve">maior que 6 = 6270
</text>
  </threadedComment>
  <threadedComment ref="CA17" dT="2024-07-01T13:54:25.12" personId="{3791EC61-C524-4899-9126-C24B2B7C5528}" id="{495CCA4C-8AEB-4CB7-AFFF-04A62D9E13E6}">
    <text xml:space="preserve">maior que 6  = 11257
</text>
  </threadedComment>
  <threadedComment ref="BZ18" dT="2024-07-01T13:55:50.83" personId="{3791EC61-C524-4899-9126-C24B2B7C5528}" id="{C24F66FE-BE2C-4DCD-9050-DF87819FC981}">
    <text xml:space="preserve">maior que 6 = 6270
</text>
  </threadedComment>
  <threadedComment ref="CA18" dT="2024-07-01T13:54:25.12" personId="{3791EC61-C524-4899-9126-C24B2B7C5528}" id="{6D64F733-CA6E-47C6-98ED-F3F977676B23}">
    <text xml:space="preserve">maior que 6  = 11257
</text>
  </threadedComment>
  <threadedComment ref="CJ71" dT="2025-01-16T10:48:35.42" personId="{CFBEEADA-E1A6-4F53-9668-03E21D3DC4A6}" id="{BADBA18B-5D4C-422E-93CF-8887738967DC}">
    <text>a partir do dia 15.01</text>
  </threadedComment>
  <threadedComment ref="CJ71" dT="2025-01-16T11:02:10.63" personId="{CFBEEADA-E1A6-4F53-9668-03E21D3DC4A6}" id="{F75B7905-2877-4600-9ACB-DCBEFEDF90D3}" parentId="{BADBA18B-5D4C-422E-93CF-8887738967DC}">
    <text>até 14.01 prod 54.240</text>
  </threadedComment>
  <threadedComment ref="BZ79" dT="2024-06-04T10:49:24.20" personId="{CFBEEADA-E1A6-4F53-9668-03E21D3DC4A6}" id="{DE001DF3-597A-4CCD-89AF-F3D089C9B333}">
    <text>Produziu Mostruário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X7" dT="2024-02-08T14:19:07.29" personId="{C8883D07-5DEF-44DA-A320-68634FAC5A83}" id="{34EF8CE3-83DB-4AD1-B5E8-08C589434930}">
    <text>19 + 4 SABADO A 50%</text>
  </threadedComment>
  <threadedComment ref="BY7" dT="2024-02-08T14:20:50.91" personId="{C8883D07-5DEF-44DA-A320-68634FAC5A83}" id="{9D2F0F7F-E62A-4ABE-89B0-2D01E2AEAD21}">
    <text>22 DIAS + 4 SABADOS</text>
  </threadedComment>
  <threadedComment ref="CA7" dT="2024-02-08T14:38:55.67" personId="{C8883D07-5DEF-44DA-A320-68634FAC5A83}" id="{64F8C8BF-28A1-4454-99A6-3C69191ADB3E}">
    <text>CONTRATAÇÃO NOVO GRUPO</text>
  </threadedComment>
  <threadedComment ref="CB7" dT="2024-02-08T14:32:43.17" personId="{C8883D07-5DEF-44DA-A320-68634FAC5A83}" id="{668A6EFE-488C-403C-80E1-EA5CE265260F}">
    <text>CONTRATAÇÃO NOVO GRUPO</text>
  </threadedComment>
  <threadedComment ref="BZ17" dT="2024-07-01T13:55:50.83" personId="{3791EC61-C524-4899-9126-C24B2B7C5528}" id="{CB16381B-3780-426F-A5F6-82FBE724AB46}">
    <text xml:space="preserve">maior que 6 = 6270
</text>
  </threadedComment>
  <threadedComment ref="CA17" dT="2024-07-01T13:54:25.12" personId="{3791EC61-C524-4899-9126-C24B2B7C5528}" id="{3A4059C6-BD18-4C8A-9DDB-5CDF022B77C8}">
    <text xml:space="preserve">maior que 6  = 11257
</text>
  </threadedComment>
  <threadedComment ref="BZ18" dT="2024-07-01T13:55:50.83" personId="{3791EC61-C524-4899-9126-C24B2B7C5528}" id="{23C702E0-EC9C-43B2-BA99-C882C0616E1A}">
    <text xml:space="preserve">maior que 6 = 6270
</text>
  </threadedComment>
  <threadedComment ref="CA18" dT="2024-07-01T13:54:25.12" personId="{3791EC61-C524-4899-9126-C24B2B7C5528}" id="{C55A440C-E31E-4B64-A9AB-BBF35A4DD9D3}">
    <text xml:space="preserve">maior que 6  = 11257
</text>
  </threadedComment>
  <threadedComment ref="CJ71" dT="2025-01-16T10:48:35.42" personId="{CFBEEADA-E1A6-4F53-9668-03E21D3DC4A6}" id="{34A839B3-2359-40FF-BED8-C0C86A058181}">
    <text>a partir do dia 15.01</text>
  </threadedComment>
  <threadedComment ref="CJ71" dT="2025-01-16T11:02:10.63" personId="{CFBEEADA-E1A6-4F53-9668-03E21D3DC4A6}" id="{7C0283B3-2F4B-4750-A175-F35111EE4912}" parentId="{34A839B3-2359-40FF-BED8-C0C86A058181}">
    <text>até 14.01 prod 54.240</text>
  </threadedComment>
  <threadedComment ref="BZ79" dT="2024-06-04T10:49:24.20" personId="{CFBEEADA-E1A6-4F53-9668-03E21D3DC4A6}" id="{0CDF184C-5928-4F8C-8214-9D31F11D4D15}">
    <text>Produziu Mostruário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BX7" dT="2024-02-08T14:19:07.29" personId="{C8883D07-5DEF-44DA-A320-68634FAC5A83}" id="{4F1E667D-ABC1-415C-8999-8DEC0EBD5424}">
    <text>19 + 4 SABADO A 50%</text>
  </threadedComment>
  <threadedComment ref="BY7" dT="2024-02-08T14:20:50.91" personId="{C8883D07-5DEF-44DA-A320-68634FAC5A83}" id="{DF838332-D1E8-46A0-BDA3-B62139356591}">
    <text>22 DIAS + 4 SABADOS</text>
  </threadedComment>
  <threadedComment ref="CA7" dT="2024-02-08T14:38:55.67" personId="{C8883D07-5DEF-44DA-A320-68634FAC5A83}" id="{529E1A0E-FAB1-4B9A-B1CD-6D30D66E4C1A}">
    <text>CONTRATAÇÃO NOVO GRUPO</text>
  </threadedComment>
  <threadedComment ref="CB7" dT="2024-02-08T14:32:43.17" personId="{C8883D07-5DEF-44DA-A320-68634FAC5A83}" id="{DA2E0749-5D53-4FBE-85BE-53733DCA09A7}">
    <text>CONTRATAÇÃO NOVO GRUPO</text>
  </threadedComment>
  <threadedComment ref="BZ15" dT="2024-07-01T13:55:50.83" personId="{3791EC61-C524-4899-9126-C24B2B7C5528}" id="{FA05EEC3-5B30-4328-A84F-4B7439C9BA1D}">
    <text xml:space="preserve">maior que 6 = 6270
</text>
  </threadedComment>
  <threadedComment ref="CA15" dT="2024-07-01T13:54:25.12" personId="{3791EC61-C524-4899-9126-C24B2B7C5528}" id="{94A4A469-8160-4EF8-A706-062F33775777}">
    <text xml:space="preserve">maior que 6  = 11257
</text>
  </threadedComment>
  <threadedComment ref="BZ16" dT="2024-07-01T13:55:50.83" personId="{3791EC61-C524-4899-9126-C24B2B7C5528}" id="{A526CCE9-85C0-4B11-B3CD-06DAA05C02C5}">
    <text xml:space="preserve">maior que 6 = 6270
</text>
  </threadedComment>
  <threadedComment ref="CA16" dT="2024-07-01T13:54:25.12" personId="{3791EC61-C524-4899-9126-C24B2B7C5528}" id="{28C34CCA-5A65-49B5-B89D-B7237FE7F356}">
    <text xml:space="preserve">maior que 6  = 11257
</text>
  </threadedComment>
  <threadedComment ref="BZ73" dT="2024-06-04T10:49:24.20" personId="{CFBEEADA-E1A6-4F53-9668-03E21D3DC4A6}" id="{04230ABC-E418-4E93-AD5B-47694E255EC1}">
    <text>Produziu Mostruário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BX7" dT="2024-02-08T14:19:07.29" personId="{C8883D07-5DEF-44DA-A320-68634FAC5A83}" id="{56574EF9-FF3C-4B82-A780-FEAAA059C717}">
    <text>19 + 4 SABADO A 50%</text>
  </threadedComment>
  <threadedComment ref="BY7" dT="2024-02-08T14:20:50.91" personId="{C8883D07-5DEF-44DA-A320-68634FAC5A83}" id="{3D3B60F9-2A12-44BA-B2C9-66669ACB344F}">
    <text>22 DIAS + 4 SABADOS</text>
  </threadedComment>
  <threadedComment ref="CA7" dT="2024-02-08T14:38:55.67" personId="{C8883D07-5DEF-44DA-A320-68634FAC5A83}" id="{69F823A1-4A35-45D9-A6CC-771CB9A57D16}">
    <text>CONTRATAÇÃO NOVO GRUPO</text>
  </threadedComment>
  <threadedComment ref="CB7" dT="2024-02-08T14:32:43.17" personId="{C8883D07-5DEF-44DA-A320-68634FAC5A83}" id="{20A7D89D-3F97-4BC7-AFDC-D8F3577FE498}">
    <text>CONTRATAÇÃO NOVO GRUPO</text>
  </threadedComment>
  <threadedComment ref="BZ15" dT="2024-07-01T13:55:50.83" personId="{3791EC61-C524-4899-9126-C24B2B7C5528}" id="{E4E1EE76-0423-4E19-93FD-574D692709F4}">
    <text xml:space="preserve">maior que 6 = 6270
</text>
  </threadedComment>
  <threadedComment ref="CA15" dT="2024-07-01T13:54:25.12" personId="{3791EC61-C524-4899-9126-C24B2B7C5528}" id="{F0FC1496-4C46-43F4-BDFA-743994F42301}">
    <text xml:space="preserve">maior que 6  = 11257
</text>
  </threadedComment>
  <threadedComment ref="BZ16" dT="2024-07-01T13:55:50.83" personId="{3791EC61-C524-4899-9126-C24B2B7C5528}" id="{F9966C85-B500-4215-BBFA-22AA802565E2}">
    <text xml:space="preserve">maior que 6 = 6270
</text>
  </threadedComment>
  <threadedComment ref="CA16" dT="2024-07-01T13:54:25.12" personId="{3791EC61-C524-4899-9126-C24B2B7C5528}" id="{67B45D4D-358A-4B50-BFA2-1E96899C4FA6}">
    <text xml:space="preserve">maior que 6  = 11257
</text>
  </threadedComment>
  <threadedComment ref="BZ73" dT="2024-06-04T10:49:24.20" personId="{CFBEEADA-E1A6-4F53-9668-03E21D3DC4A6}" id="{D7182BA8-5384-4AD2-896D-6DA75F876456}">
    <text>Produziu Mostruário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BX3" dT="2024-02-08T14:19:07.29" personId="{C8883D07-5DEF-44DA-A320-68634FAC5A83}" id="{404EEB29-5EBF-48EE-B0B0-466021A50809}">
    <text>19 + 4 SABADO A 50%</text>
  </threadedComment>
  <threadedComment ref="BY3" dT="2024-02-08T14:20:50.91" personId="{C8883D07-5DEF-44DA-A320-68634FAC5A83}" id="{C787FD29-B706-40AD-A572-6F006037D230}">
    <text>22 DIAS + 4 SABADOS</text>
  </threadedComment>
  <threadedComment ref="CA3" dT="2024-02-08T14:38:55.67" personId="{C8883D07-5DEF-44DA-A320-68634FAC5A83}" id="{57AF2507-C66B-4091-8215-14CAEB280175}">
    <text>CONTRATAÇÃO NOVO GRUPO</text>
  </threadedComment>
  <threadedComment ref="CB3" dT="2024-02-08T14:32:43.17" personId="{C8883D07-5DEF-44DA-A320-68634FAC5A83}" id="{2C7E2315-655C-47FA-8819-30F594D894B3}">
    <text>CONTRATAÇÃO NOVO GRUPO</text>
  </threadedComment>
  <threadedComment ref="BZ66" dT="2024-06-04T10:49:24.20" personId="{CFBEEADA-E1A6-4F53-9668-03E21D3DC4A6}" id="{C217C11E-624B-45D0-BA0F-6A5C329783E4}">
    <text>Produziu Mostruário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BX3" dT="2024-02-08T14:19:07.29" personId="{C8883D07-5DEF-44DA-A320-68634FAC5A83}" id="{32321870-616E-44DF-B8F4-E7D2D9F64C17}">
    <text>19 + 4 SABADO A 50%</text>
  </threadedComment>
  <threadedComment ref="BY3" dT="2024-02-08T14:20:50.91" personId="{C8883D07-5DEF-44DA-A320-68634FAC5A83}" id="{67BC27ED-5363-4778-9B6D-C948DA67FA19}">
    <text>22 DIAS + 4 SABADOS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BX3" dT="2024-02-08T14:19:07.29" personId="{C8883D07-5DEF-44DA-A320-68634FAC5A83}" id="{7F49AEC5-E0BA-44AF-8CD5-76B2826B8706}">
    <text>19 + 4 SABADO A 50%</text>
  </threadedComment>
  <threadedComment ref="BY3" dT="2024-02-08T14:20:50.91" personId="{C8883D07-5DEF-44DA-A320-68634FAC5A83}" id="{3580834C-0AA1-4A6D-9F6F-1B6915B29D3F}">
    <text>22 DIAS + 4 SABADOS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7.xml"/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A924-0C6C-4010-B1D5-2C3853277FD1}">
  <sheetPr>
    <tabColor rgb="FFFF0000"/>
  </sheetPr>
  <dimension ref="A1:DJ83"/>
  <sheetViews>
    <sheetView showGridLines="0" topLeftCell="C56" zoomScale="80" zoomScaleNormal="80" workbookViewId="0">
      <selection activeCell="CY71" sqref="CY71"/>
    </sheetView>
  </sheetViews>
  <sheetFormatPr defaultColWidth="14.42578125" defaultRowHeight="15" customHeight="1" outlineLevelRow="1" outlineLevelCol="1"/>
  <cols>
    <col min="1" max="1" width="16.85546875" customWidth="1"/>
    <col min="2" max="2" width="17.85546875" customWidth="1"/>
    <col min="3" max="3" width="20.14062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3.140625" customWidth="1" collapsed="1"/>
    <col min="74" max="84" width="13.140625" hidden="1" customWidth="1" outlineLevel="1"/>
    <col min="85" max="85" width="12.140625" hidden="1" customWidth="1" outlineLevel="1"/>
    <col min="86" max="86" width="16.42578125" hidden="1" customWidth="1" outlineLevel="1"/>
    <col min="87" max="87" width="11.5703125" hidden="1" customWidth="1" outlineLevel="1"/>
    <col min="88" max="88" width="9.140625" collapsed="1"/>
    <col min="89" max="94" width="9.140625"/>
    <col min="95" max="95" width="12.28515625" customWidth="1"/>
    <col min="96" max="96" width="12.28515625" bestFit="1" customWidth="1"/>
    <col min="97" max="97" width="13.28515625" customWidth="1"/>
    <col min="98" max="99" width="9.140625"/>
    <col min="100" max="100" width="16.85546875" customWidth="1"/>
  </cols>
  <sheetData>
    <row r="1" spans="1:114" ht="12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s="699" t="s">
        <v>1</v>
      </c>
      <c r="CJ1" s="1089" t="s">
        <v>2</v>
      </c>
      <c r="CK1" s="1090"/>
      <c r="CL1" s="1090"/>
      <c r="CM1" s="1090"/>
      <c r="CN1" s="1090"/>
      <c r="CO1" s="1090"/>
      <c r="CP1" s="1090"/>
      <c r="CQ1" s="1090"/>
      <c r="CR1" s="1090"/>
      <c r="CS1" s="1090"/>
      <c r="CT1" s="1090"/>
      <c r="CU1" s="1091"/>
      <c r="CX1" s="1081" t="s">
        <v>0</v>
      </c>
      <c r="CY1" s="1113"/>
      <c r="CZ1" s="1113"/>
      <c r="DA1" s="1113"/>
      <c r="DB1" s="1113"/>
      <c r="DC1" s="1113"/>
      <c r="DD1" s="1113"/>
      <c r="DE1" s="1113"/>
      <c r="DF1" s="1113"/>
      <c r="DG1" s="1113"/>
      <c r="DH1" s="1113"/>
      <c r="DI1" s="1114"/>
    </row>
    <row r="2" spans="1:114" ht="15" customHeight="1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H2" s="700" t="s">
        <v>3</v>
      </c>
      <c r="CJ2" s="1085" t="s">
        <v>4</v>
      </c>
      <c r="CK2" s="1086"/>
      <c r="CL2" s="1086"/>
      <c r="CM2" s="1086"/>
      <c r="CN2" s="1086"/>
      <c r="CO2" s="1086"/>
      <c r="CP2" s="1086"/>
      <c r="CQ2" s="1086"/>
      <c r="CR2" s="1086"/>
      <c r="CS2" s="1086"/>
      <c r="CT2" s="1086"/>
      <c r="CU2" s="1087"/>
      <c r="CX2" s="1077">
        <v>2026</v>
      </c>
      <c r="CY2" s="1115"/>
      <c r="CZ2" s="1115"/>
      <c r="DA2" s="1115"/>
      <c r="DB2" s="1115"/>
      <c r="DC2" s="1115"/>
      <c r="DD2" s="1115"/>
      <c r="DE2" s="1115"/>
      <c r="DF2" s="1115"/>
      <c r="DG2" s="1115"/>
      <c r="DH2" s="1115"/>
      <c r="DI2" s="1116"/>
    </row>
    <row r="3" spans="1:114" ht="15.75">
      <c r="A3" s="703" t="s">
        <v>5</v>
      </c>
      <c r="B3" s="4"/>
      <c r="C3" s="4" t="str">
        <f>A3</f>
        <v>Dias Uteis Produção</v>
      </c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H3" t="s">
        <v>6</v>
      </c>
      <c r="CJ3" s="253">
        <v>23</v>
      </c>
      <c r="CK3" s="566">
        <v>20</v>
      </c>
      <c r="CL3" s="566">
        <v>21</v>
      </c>
      <c r="CM3" s="252">
        <v>22</v>
      </c>
      <c r="CN3" s="248">
        <v>22</v>
      </c>
      <c r="CO3" s="248">
        <v>21</v>
      </c>
      <c r="CP3" s="248">
        <v>23</v>
      </c>
      <c r="CQ3" s="248">
        <v>21</v>
      </c>
      <c r="CR3" s="248">
        <v>21</v>
      </c>
      <c r="CS3" s="248">
        <v>23</v>
      </c>
      <c r="CT3" s="248">
        <v>20</v>
      </c>
      <c r="CU3" s="248">
        <v>13</v>
      </c>
      <c r="CX3" s="253">
        <v>23</v>
      </c>
      <c r="CY3" s="566">
        <v>20</v>
      </c>
      <c r="CZ3" s="566">
        <v>21</v>
      </c>
      <c r="DA3" s="252">
        <v>22</v>
      </c>
      <c r="DB3" s="248">
        <v>22</v>
      </c>
      <c r="DC3" s="248">
        <v>21</v>
      </c>
      <c r="DD3" s="248">
        <v>23</v>
      </c>
      <c r="DE3" s="248">
        <v>21</v>
      </c>
      <c r="DF3" s="248">
        <v>21</v>
      </c>
      <c r="DG3" s="248">
        <v>23</v>
      </c>
      <c r="DH3" s="248">
        <v>20</v>
      </c>
      <c r="DI3" s="248">
        <v>13</v>
      </c>
    </row>
    <row r="4" spans="1:114" ht="15.75">
      <c r="A4" s="703" t="s">
        <v>7</v>
      </c>
      <c r="B4" s="4"/>
      <c r="C4" s="4" t="str">
        <f t="shared" ref="C4:C7" si="0">A4</f>
        <v>(-) FÉRIAS</v>
      </c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H4" t="s">
        <v>8</v>
      </c>
      <c r="CJ4" s="253">
        <v>3</v>
      </c>
      <c r="CK4" s="566"/>
      <c r="CL4" s="566">
        <v>1.5</v>
      </c>
      <c r="CM4" s="252"/>
      <c r="CN4" s="248"/>
      <c r="CO4" s="248"/>
      <c r="CP4" s="248"/>
      <c r="CQ4" s="248"/>
      <c r="CR4" s="248"/>
      <c r="CS4" s="248"/>
      <c r="CT4" s="248"/>
      <c r="CU4" s="248"/>
      <c r="CX4" s="253">
        <v>3</v>
      </c>
      <c r="CY4" s="566">
        <v>5</v>
      </c>
      <c r="CZ4" s="566"/>
      <c r="DA4" s="252"/>
      <c r="DB4" s="248"/>
      <c r="DC4" s="248"/>
      <c r="DD4" s="248"/>
      <c r="DE4" s="248"/>
      <c r="DF4" s="248"/>
      <c r="DG4" s="248"/>
      <c r="DH4" s="248"/>
      <c r="DI4" s="248"/>
    </row>
    <row r="5" spans="1:114" ht="15.75">
      <c r="A5" s="703" t="s">
        <v>9</v>
      </c>
      <c r="B5" s="4"/>
      <c r="C5" s="4" t="str">
        <f t="shared" si="0"/>
        <v>(+) SABADO</v>
      </c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H5" t="s">
        <v>10</v>
      </c>
      <c r="CJ5" s="701">
        <v>2</v>
      </c>
      <c r="CK5" s="701">
        <v>3</v>
      </c>
      <c r="CL5" s="701">
        <v>1.5</v>
      </c>
      <c r="CM5" s="733">
        <v>0</v>
      </c>
      <c r="CN5" s="733">
        <v>0</v>
      </c>
      <c r="CO5" s="733">
        <v>1.5</v>
      </c>
      <c r="CP5" s="679">
        <v>1</v>
      </c>
      <c r="CQ5" s="679">
        <v>1.5</v>
      </c>
      <c r="CR5" s="679">
        <v>1.5</v>
      </c>
      <c r="CS5" s="679">
        <v>1.5</v>
      </c>
      <c r="CT5" s="679">
        <v>0</v>
      </c>
      <c r="CU5" s="643"/>
      <c r="CX5" s="644"/>
      <c r="CY5" s="679"/>
      <c r="CZ5" s="679"/>
      <c r="DA5" s="679">
        <v>0</v>
      </c>
      <c r="DB5" s="679">
        <v>0</v>
      </c>
      <c r="DC5" s="679">
        <v>0</v>
      </c>
      <c r="DD5" s="679">
        <v>0</v>
      </c>
      <c r="DE5" s="679">
        <v>0</v>
      </c>
      <c r="DF5" s="679">
        <v>0</v>
      </c>
      <c r="DG5" s="643">
        <v>1</v>
      </c>
      <c r="DH5" s="643">
        <v>0</v>
      </c>
      <c r="DI5" s="643"/>
    </row>
    <row r="6" spans="1:114" ht="15.75">
      <c r="A6" s="703" t="s">
        <v>11</v>
      </c>
      <c r="B6" s="4"/>
      <c r="C6" s="4" t="str">
        <f t="shared" si="0"/>
        <v>(-)FERIADO</v>
      </c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 t="s">
        <v>12</v>
      </c>
      <c r="CJ6" s="644"/>
      <c r="CK6" s="679"/>
      <c r="CL6" s="679">
        <v>2</v>
      </c>
      <c r="CM6" s="679">
        <v>2</v>
      </c>
      <c r="CN6" s="679">
        <v>1</v>
      </c>
      <c r="CO6" s="679">
        <v>1</v>
      </c>
      <c r="CP6" s="679"/>
      <c r="CQ6" s="679"/>
      <c r="CR6" s="679">
        <v>1</v>
      </c>
      <c r="CS6" s="643">
        <v>1</v>
      </c>
      <c r="CT6" s="643">
        <v>1</v>
      </c>
      <c r="CU6" s="643"/>
      <c r="CX6" s="644"/>
      <c r="CY6" s="679"/>
      <c r="CZ6" s="679">
        <v>2</v>
      </c>
      <c r="DA6" s="679">
        <v>2</v>
      </c>
      <c r="DB6" s="679">
        <v>1</v>
      </c>
      <c r="DC6" s="679">
        <v>1</v>
      </c>
      <c r="DD6" s="679"/>
      <c r="DE6" s="679"/>
      <c r="DF6" s="679">
        <v>1</v>
      </c>
      <c r="DG6" s="643">
        <v>1</v>
      </c>
      <c r="DH6" s="643">
        <v>1</v>
      </c>
      <c r="DI6" s="643"/>
    </row>
    <row r="7" spans="1:114">
      <c r="A7" s="704" t="s">
        <v>13</v>
      </c>
      <c r="B7" s="3"/>
      <c r="C7" s="3" t="str">
        <f t="shared" si="0"/>
        <v>Dias Trabalhados</v>
      </c>
      <c r="D7" s="252">
        <v>16</v>
      </c>
      <c r="E7" s="252">
        <v>21</v>
      </c>
      <c r="F7" s="252">
        <v>18</v>
      </c>
      <c r="G7" s="252">
        <v>21</v>
      </c>
      <c r="H7" s="252">
        <v>22</v>
      </c>
      <c r="I7" s="252">
        <v>19</v>
      </c>
      <c r="J7" s="252">
        <v>23</v>
      </c>
      <c r="K7" s="252">
        <v>21</v>
      </c>
      <c r="L7" s="252">
        <v>21</v>
      </c>
      <c r="M7" s="252">
        <v>26</v>
      </c>
      <c r="N7" s="252">
        <v>24</v>
      </c>
      <c r="O7" s="252">
        <v>15</v>
      </c>
      <c r="P7" s="4"/>
      <c r="Q7" s="247"/>
      <c r="R7" s="252">
        <v>22</v>
      </c>
      <c r="S7" s="252">
        <v>20</v>
      </c>
      <c r="T7" s="252">
        <v>14</v>
      </c>
      <c r="U7" s="252">
        <v>1</v>
      </c>
      <c r="V7" s="252">
        <v>12</v>
      </c>
      <c r="W7" s="252">
        <v>22</v>
      </c>
      <c r="X7" s="252">
        <v>23</v>
      </c>
      <c r="Y7" s="252">
        <v>21</v>
      </c>
      <c r="Z7" s="252">
        <v>21</v>
      </c>
      <c r="AA7" s="252">
        <v>21</v>
      </c>
      <c r="AB7" s="252">
        <v>20</v>
      </c>
      <c r="AC7" s="252">
        <v>17</v>
      </c>
      <c r="AD7" s="2"/>
      <c r="AE7" s="253"/>
      <c r="AF7" s="254">
        <v>18</v>
      </c>
      <c r="AG7" s="252">
        <v>20</v>
      </c>
      <c r="AH7" s="248">
        <v>20</v>
      </c>
      <c r="AI7" s="248">
        <v>20</v>
      </c>
      <c r="AJ7" s="252">
        <v>22</v>
      </c>
      <c r="AK7" s="252">
        <v>20</v>
      </c>
      <c r="AL7" s="252">
        <v>22</v>
      </c>
      <c r="AM7" s="252">
        <v>22</v>
      </c>
      <c r="AN7" s="252">
        <v>21</v>
      </c>
      <c r="AO7" s="252">
        <v>20</v>
      </c>
      <c r="AP7" s="252">
        <v>20</v>
      </c>
      <c r="AQ7" s="248">
        <v>12</v>
      </c>
      <c r="AR7" s="2"/>
      <c r="AS7" s="124"/>
      <c r="AT7" s="253">
        <v>19</v>
      </c>
      <c r="AU7" s="248">
        <v>19</v>
      </c>
      <c r="AV7" s="248">
        <v>18</v>
      </c>
      <c r="AW7" s="248">
        <v>19</v>
      </c>
      <c r="AX7" s="248">
        <v>22</v>
      </c>
      <c r="AY7" s="248">
        <v>21</v>
      </c>
      <c r="AZ7" s="248">
        <v>21</v>
      </c>
      <c r="BA7" s="248">
        <v>22</v>
      </c>
      <c r="BB7" s="248">
        <v>22</v>
      </c>
      <c r="BC7" s="248">
        <v>21</v>
      </c>
      <c r="BD7" s="248">
        <v>20</v>
      </c>
      <c r="BE7" s="248">
        <v>10</v>
      </c>
      <c r="BF7" s="2"/>
      <c r="BG7" s="125"/>
      <c r="BH7" s="253">
        <v>20</v>
      </c>
      <c r="BI7" s="248">
        <v>17</v>
      </c>
      <c r="BJ7" s="248">
        <v>23</v>
      </c>
      <c r="BK7" s="248">
        <v>18</v>
      </c>
      <c r="BL7" s="248">
        <v>22</v>
      </c>
      <c r="BM7" s="248">
        <v>23</v>
      </c>
      <c r="BN7" s="248">
        <v>21</v>
      </c>
      <c r="BO7" s="248">
        <v>21</v>
      </c>
      <c r="BP7" s="248">
        <v>20</v>
      </c>
      <c r="BQ7" s="248">
        <v>21</v>
      </c>
      <c r="BR7" s="248">
        <v>20</v>
      </c>
      <c r="BS7" s="248">
        <v>14</v>
      </c>
      <c r="BT7" s="253">
        <v>20</v>
      </c>
      <c r="BU7" s="252"/>
      <c r="BV7" s="253">
        <v>19</v>
      </c>
      <c r="BW7" s="248">
        <v>19</v>
      </c>
      <c r="BX7" s="566">
        <v>21</v>
      </c>
      <c r="BY7" s="566">
        <f>22+2</f>
        <v>24</v>
      </c>
      <c r="BZ7" s="248">
        <f>21+2</f>
        <v>23</v>
      </c>
      <c r="CA7" s="567">
        <f>20+2</f>
        <v>22</v>
      </c>
      <c r="CB7" s="567">
        <f>23+2</f>
        <v>25</v>
      </c>
      <c r="CC7" s="252">
        <f>21+3</f>
        <v>24</v>
      </c>
      <c r="CD7" s="252">
        <f>21+3</f>
        <v>24</v>
      </c>
      <c r="CE7" s="248">
        <f>23+1</f>
        <v>24</v>
      </c>
      <c r="CF7" s="248">
        <f>19+3</f>
        <v>22</v>
      </c>
      <c r="CG7" s="248">
        <f>12+1</f>
        <v>13</v>
      </c>
      <c r="CH7" s="248"/>
      <c r="CJ7" s="253">
        <f>CJ3+CJ5-CJ6-CJ4</f>
        <v>22</v>
      </c>
      <c r="CK7" s="253">
        <f>CK3+CK5-CK6-CK4</f>
        <v>23</v>
      </c>
      <c r="CL7" s="253">
        <v>19</v>
      </c>
      <c r="CM7" s="734">
        <f t="shared" ref="CM7:CQ7" si="1">CM3+CM5-CM6-CM4</f>
        <v>20</v>
      </c>
      <c r="CN7" s="734">
        <f>CN3+CN5-CN6-CN4</f>
        <v>21</v>
      </c>
      <c r="CO7" s="734">
        <f t="shared" si="1"/>
        <v>21.5</v>
      </c>
      <c r="CP7" s="734">
        <f t="shared" ref="CP7:CU7" si="2">CP3+CP5-CP6</f>
        <v>24</v>
      </c>
      <c r="CQ7" s="734">
        <f>CQ3+CQ5-CQ6</f>
        <v>22.5</v>
      </c>
      <c r="CR7" s="734">
        <f t="shared" si="2"/>
        <v>21.5</v>
      </c>
      <c r="CS7" s="734">
        <f>CS3+CS5-CS6</f>
        <v>23.5</v>
      </c>
      <c r="CT7" s="734">
        <f>CT3+CT5-CT6</f>
        <v>19</v>
      </c>
      <c r="CU7" s="734">
        <f t="shared" si="2"/>
        <v>13</v>
      </c>
      <c r="CV7" s="248"/>
      <c r="CX7" s="253">
        <f>CX3+CX5-CX6-CX4</f>
        <v>20</v>
      </c>
      <c r="CY7" s="253">
        <f t="shared" ref="CY7:DC7" si="3">CY3+CY5-CY6-CY4</f>
        <v>15</v>
      </c>
      <c r="CZ7" s="253">
        <f t="shared" si="3"/>
        <v>19</v>
      </c>
      <c r="DA7" s="253">
        <f t="shared" si="3"/>
        <v>20</v>
      </c>
      <c r="DB7" s="253">
        <f t="shared" si="3"/>
        <v>21</v>
      </c>
      <c r="DC7" s="253">
        <f t="shared" si="3"/>
        <v>20</v>
      </c>
      <c r="DD7" s="253">
        <f t="shared" ref="DD7:DI7" si="4">DD3+DD5-DD6</f>
        <v>23</v>
      </c>
      <c r="DE7" s="253">
        <f>DE3+DE5-DE6</f>
        <v>21</v>
      </c>
      <c r="DF7" s="253">
        <f t="shared" ref="DF7:DJ7" si="5">DF3+DF5-DF6</f>
        <v>20</v>
      </c>
      <c r="DG7" s="253">
        <f>DG3+DG5-DG6</f>
        <v>23</v>
      </c>
      <c r="DH7" s="253">
        <f>DH3+DH5-DH6</f>
        <v>19</v>
      </c>
      <c r="DI7" s="253">
        <f t="shared" ref="DI7:DJ7" si="6">DI3+DI5-DI6</f>
        <v>13</v>
      </c>
      <c r="DJ7" s="248"/>
    </row>
    <row r="8" spans="1:114" ht="18" customHeight="1">
      <c r="A8" s="8"/>
      <c r="B8" s="255"/>
      <c r="C8" s="256"/>
      <c r="D8" s="257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258" t="s">
        <v>26</v>
      </c>
      <c r="Q8" s="10"/>
      <c r="R8" s="257" t="s">
        <v>14</v>
      </c>
      <c r="S8" s="9" t="s">
        <v>15</v>
      </c>
      <c r="T8" s="9" t="s">
        <v>16</v>
      </c>
      <c r="U8" s="9" t="s">
        <v>17</v>
      </c>
      <c r="V8" s="9" t="s">
        <v>18</v>
      </c>
      <c r="W8" s="9" t="s">
        <v>19</v>
      </c>
      <c r="X8" s="9" t="s">
        <v>20</v>
      </c>
      <c r="Y8" s="9" t="s">
        <v>21</v>
      </c>
      <c r="Z8" s="9" t="s">
        <v>22</v>
      </c>
      <c r="AA8" s="9" t="s">
        <v>23</v>
      </c>
      <c r="AB8" s="9" t="s">
        <v>24</v>
      </c>
      <c r="AC8" s="9" t="s">
        <v>25</v>
      </c>
      <c r="AD8" s="258" t="s">
        <v>26</v>
      </c>
      <c r="AE8" s="11"/>
      <c r="AF8" s="257" t="s">
        <v>14</v>
      </c>
      <c r="AG8" s="9" t="s">
        <v>15</v>
      </c>
      <c r="AH8" s="9" t="s">
        <v>16</v>
      </c>
      <c r="AI8" s="9" t="s">
        <v>17</v>
      </c>
      <c r="AJ8" s="9" t="s">
        <v>18</v>
      </c>
      <c r="AK8" s="9" t="s">
        <v>19</v>
      </c>
      <c r="AL8" s="9" t="s">
        <v>20</v>
      </c>
      <c r="AM8" s="9" t="s">
        <v>21</v>
      </c>
      <c r="AN8" s="9" t="s">
        <v>22</v>
      </c>
      <c r="AO8" s="9" t="s">
        <v>23</v>
      </c>
      <c r="AP8" s="9" t="s">
        <v>24</v>
      </c>
      <c r="AQ8" s="9" t="s">
        <v>25</v>
      </c>
      <c r="AR8" s="9" t="s">
        <v>26</v>
      </c>
      <c r="AS8" s="11"/>
      <c r="AT8" s="9" t="s">
        <v>14</v>
      </c>
      <c r="AU8" s="9" t="s">
        <v>15</v>
      </c>
      <c r="AV8" s="9" t="s">
        <v>16</v>
      </c>
      <c r="AW8" s="9" t="s">
        <v>17</v>
      </c>
      <c r="AX8" s="9" t="s">
        <v>18</v>
      </c>
      <c r="AY8" s="9" t="s">
        <v>19</v>
      </c>
      <c r="AZ8" s="9" t="s">
        <v>20</v>
      </c>
      <c r="BA8" s="9" t="s">
        <v>21</v>
      </c>
      <c r="BB8" s="9" t="s">
        <v>22</v>
      </c>
      <c r="BC8" s="9" t="s">
        <v>23</v>
      </c>
      <c r="BD8" s="9" t="s">
        <v>24</v>
      </c>
      <c r="BE8" s="9" t="s">
        <v>25</v>
      </c>
      <c r="BF8" s="9" t="s">
        <v>26</v>
      </c>
      <c r="BG8" s="10"/>
      <c r="BH8" s="9" t="s">
        <v>14</v>
      </c>
      <c r="BI8" s="9" t="s">
        <v>15</v>
      </c>
      <c r="BJ8" s="9" t="s">
        <v>16</v>
      </c>
      <c r="BK8" s="9" t="s">
        <v>17</v>
      </c>
      <c r="BL8" s="9" t="s">
        <v>18</v>
      </c>
      <c r="BM8" s="9" t="s">
        <v>19</v>
      </c>
      <c r="BN8" s="9" t="s">
        <v>20</v>
      </c>
      <c r="BO8" s="9" t="s">
        <v>21</v>
      </c>
      <c r="BP8" s="9" t="s">
        <v>22</v>
      </c>
      <c r="BQ8" s="9" t="s">
        <v>23</v>
      </c>
      <c r="BR8" s="9" t="s">
        <v>24</v>
      </c>
      <c r="BS8" s="9" t="s">
        <v>25</v>
      </c>
      <c r="BT8" s="9" t="s">
        <v>26</v>
      </c>
      <c r="BU8" s="12"/>
      <c r="BV8" s="9" t="s">
        <v>14</v>
      </c>
      <c r="BW8" s="9" t="s">
        <v>15</v>
      </c>
      <c r="BX8" s="9" t="s">
        <v>16</v>
      </c>
      <c r="BY8" s="9" t="s">
        <v>17</v>
      </c>
      <c r="BZ8" s="9" t="s">
        <v>18</v>
      </c>
      <c r="CA8" s="9" t="s">
        <v>19</v>
      </c>
      <c r="CB8" s="9" t="s">
        <v>20</v>
      </c>
      <c r="CC8" s="9" t="s">
        <v>21</v>
      </c>
      <c r="CD8" s="9" t="s">
        <v>22</v>
      </c>
      <c r="CE8" s="9" t="s">
        <v>23</v>
      </c>
      <c r="CF8" s="9" t="s">
        <v>24</v>
      </c>
      <c r="CG8" s="9" t="s">
        <v>25</v>
      </c>
      <c r="CH8" s="9" t="s">
        <v>26</v>
      </c>
      <c r="CJ8" s="9" t="s">
        <v>14</v>
      </c>
      <c r="CK8" s="9" t="s">
        <v>15</v>
      </c>
      <c r="CL8" s="9" t="s">
        <v>16</v>
      </c>
      <c r="CM8" s="9" t="s">
        <v>17</v>
      </c>
      <c r="CN8" s="9" t="s">
        <v>18</v>
      </c>
      <c r="CO8" s="9" t="s">
        <v>19</v>
      </c>
      <c r="CP8" s="9" t="s">
        <v>20</v>
      </c>
      <c r="CQ8" s="9" t="s">
        <v>21</v>
      </c>
      <c r="CR8" s="9" t="s">
        <v>22</v>
      </c>
      <c r="CS8" s="9" t="s">
        <v>23</v>
      </c>
      <c r="CT8" s="9" t="s">
        <v>24</v>
      </c>
      <c r="CU8" s="9" t="s">
        <v>25</v>
      </c>
      <c r="CV8" s="9" t="s">
        <v>26</v>
      </c>
      <c r="CX8" s="9" t="s">
        <v>14</v>
      </c>
      <c r="CY8" s="9" t="s">
        <v>15</v>
      </c>
      <c r="CZ8" s="9" t="s">
        <v>16</v>
      </c>
      <c r="DA8" s="9" t="s">
        <v>17</v>
      </c>
      <c r="DB8" s="9" t="s">
        <v>18</v>
      </c>
      <c r="DC8" s="9" t="s">
        <v>19</v>
      </c>
      <c r="DD8" s="9" t="s">
        <v>20</v>
      </c>
      <c r="DE8" s="9" t="s">
        <v>21</v>
      </c>
      <c r="DF8" s="9" t="s">
        <v>22</v>
      </c>
      <c r="DG8" s="9" t="s">
        <v>23</v>
      </c>
      <c r="DH8" s="9" t="s">
        <v>24</v>
      </c>
      <c r="DI8" s="9" t="s">
        <v>25</v>
      </c>
      <c r="DJ8" s="9" t="s">
        <v>26</v>
      </c>
    </row>
    <row r="9" spans="1:114" ht="10.5" hidden="1" customHeight="1">
      <c r="A9" s="13"/>
      <c r="B9" s="259"/>
      <c r="C9" s="260"/>
      <c r="D9" s="26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62"/>
      <c r="Q9" s="15"/>
      <c r="R9" s="261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263"/>
      <c r="AE9" s="16"/>
      <c r="AF9" s="261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7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7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8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682" t="s">
        <v>27</v>
      </c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682" t="s">
        <v>27</v>
      </c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</row>
    <row r="10" spans="1:114" ht="30.75">
      <c r="A10" s="13" t="s">
        <v>28</v>
      </c>
      <c r="B10" s="706" t="s">
        <v>29</v>
      </c>
      <c r="C10" s="260"/>
      <c r="D10" s="261">
        <f t="shared" ref="D10:O10" si="7">SUM(D15:D17)</f>
        <v>304786</v>
      </c>
      <c r="E10" s="14">
        <f t="shared" si="7"/>
        <v>311986</v>
      </c>
      <c r="F10" s="14">
        <f t="shared" si="7"/>
        <v>328231</v>
      </c>
      <c r="G10" s="14">
        <f t="shared" si="7"/>
        <v>317873</v>
      </c>
      <c r="H10" s="14">
        <f t="shared" si="7"/>
        <v>347196</v>
      </c>
      <c r="I10" s="14">
        <f t="shared" si="7"/>
        <v>402253</v>
      </c>
      <c r="J10" s="14">
        <f t="shared" si="7"/>
        <v>454488</v>
      </c>
      <c r="K10" s="14">
        <f t="shared" si="7"/>
        <v>447182</v>
      </c>
      <c r="L10" s="14">
        <f t="shared" si="7"/>
        <v>416931</v>
      </c>
      <c r="M10" s="14">
        <f t="shared" si="7"/>
        <v>304402</v>
      </c>
      <c r="N10" s="14">
        <f t="shared" si="7"/>
        <v>0</v>
      </c>
      <c r="O10" s="14">
        <f t="shared" si="7"/>
        <v>188264</v>
      </c>
      <c r="P10" s="262"/>
      <c r="Q10" s="15"/>
      <c r="R10" s="14">
        <f t="shared" ref="R10:AC10" si="8">SUM(R15:R17)</f>
        <v>283359</v>
      </c>
      <c r="S10" s="14">
        <f t="shared" si="8"/>
        <v>342718</v>
      </c>
      <c r="T10" s="14">
        <f t="shared" si="8"/>
        <v>313212</v>
      </c>
      <c r="U10" s="14">
        <f t="shared" si="8"/>
        <v>298093</v>
      </c>
      <c r="V10" s="14">
        <f t="shared" si="8"/>
        <v>206617</v>
      </c>
      <c r="W10" s="14">
        <f t="shared" si="8"/>
        <v>235875</v>
      </c>
      <c r="X10" s="14">
        <f t="shared" si="8"/>
        <v>360135</v>
      </c>
      <c r="Y10" s="14">
        <f t="shared" si="8"/>
        <v>361665</v>
      </c>
      <c r="Z10" s="14">
        <f t="shared" si="8"/>
        <v>353400</v>
      </c>
      <c r="AA10" s="14">
        <f t="shared" si="8"/>
        <v>272097</v>
      </c>
      <c r="AB10" s="14">
        <f t="shared" si="8"/>
        <v>170626</v>
      </c>
      <c r="AC10" s="14">
        <f t="shared" si="8"/>
        <v>197551</v>
      </c>
      <c r="AD10" s="263"/>
      <c r="AE10" s="16"/>
      <c r="AF10" s="14">
        <f t="shared" ref="AF10:AQ10" si="9">SUM(AF15:AF19)</f>
        <v>255339</v>
      </c>
      <c r="AG10" s="14">
        <f t="shared" si="9"/>
        <v>292621</v>
      </c>
      <c r="AH10" s="14">
        <f t="shared" si="9"/>
        <v>397976</v>
      </c>
      <c r="AI10" s="14">
        <f t="shared" si="9"/>
        <v>388165</v>
      </c>
      <c r="AJ10" s="14">
        <f t="shared" si="9"/>
        <v>409301</v>
      </c>
      <c r="AK10" s="14">
        <f t="shared" si="9"/>
        <v>490913</v>
      </c>
      <c r="AL10" s="14">
        <f t="shared" si="9"/>
        <v>563229</v>
      </c>
      <c r="AM10" s="14">
        <f t="shared" si="9"/>
        <v>559169</v>
      </c>
      <c r="AN10" s="14">
        <f t="shared" si="9"/>
        <v>487294</v>
      </c>
      <c r="AO10" s="14">
        <f t="shared" si="9"/>
        <v>407614</v>
      </c>
      <c r="AP10" s="14">
        <f t="shared" si="9"/>
        <v>503756</v>
      </c>
      <c r="AQ10" s="14">
        <f t="shared" si="9"/>
        <v>531679</v>
      </c>
      <c r="AR10" s="14">
        <f t="shared" ref="AR10:AR25" si="10">AQ10</f>
        <v>531679</v>
      </c>
      <c r="AS10" s="17"/>
      <c r="AT10" s="14">
        <f t="shared" ref="AT10:BE10" si="11">SUM(AT15:AT19)</f>
        <v>471378</v>
      </c>
      <c r="AU10" s="14">
        <f t="shared" si="11"/>
        <v>473307</v>
      </c>
      <c r="AV10" s="14">
        <f t="shared" si="11"/>
        <v>412518</v>
      </c>
      <c r="AW10" s="14">
        <f t="shared" si="11"/>
        <v>398039</v>
      </c>
      <c r="AX10" s="14">
        <f t="shared" si="11"/>
        <v>417827</v>
      </c>
      <c r="AY10" s="14">
        <f t="shared" si="11"/>
        <v>507968</v>
      </c>
      <c r="AZ10" s="14">
        <f t="shared" si="11"/>
        <v>477530</v>
      </c>
      <c r="BA10" s="14">
        <f t="shared" si="11"/>
        <v>520708</v>
      </c>
      <c r="BB10" s="14">
        <f t="shared" si="11"/>
        <v>505851</v>
      </c>
      <c r="BC10" s="14">
        <f t="shared" si="11"/>
        <v>454245</v>
      </c>
      <c r="BD10" s="14">
        <f t="shared" si="11"/>
        <v>405700</v>
      </c>
      <c r="BE10" s="14">
        <f t="shared" si="11"/>
        <v>356505</v>
      </c>
      <c r="BF10" s="14">
        <f t="shared" ref="BF10:BF22" si="12">BE10</f>
        <v>356505</v>
      </c>
      <c r="BG10" s="17"/>
      <c r="BH10" s="14">
        <f t="shared" ref="BH10:BQ10" si="13">SUM(BH15:BH19)</f>
        <v>357143</v>
      </c>
      <c r="BI10" s="14">
        <f t="shared" si="13"/>
        <v>355011</v>
      </c>
      <c r="BJ10" s="14">
        <f t="shared" si="13"/>
        <v>344281</v>
      </c>
      <c r="BK10" s="14">
        <f t="shared" si="13"/>
        <v>389628</v>
      </c>
      <c r="BL10" s="14">
        <f t="shared" si="13"/>
        <v>324889</v>
      </c>
      <c r="BM10" s="14">
        <f t="shared" si="13"/>
        <v>352666</v>
      </c>
      <c r="BN10" s="14">
        <f t="shared" si="13"/>
        <v>418721</v>
      </c>
      <c r="BO10" s="14">
        <f t="shared" si="13"/>
        <v>356602</v>
      </c>
      <c r="BP10" s="14">
        <f t="shared" si="13"/>
        <v>326706</v>
      </c>
      <c r="BQ10" s="14">
        <f t="shared" si="13"/>
        <v>304987</v>
      </c>
      <c r="BR10" s="14">
        <f>SUM(BR15:BR19)</f>
        <v>228035</v>
      </c>
      <c r="BS10" s="14">
        <f>BS15+BS16+BS19</f>
        <v>201165</v>
      </c>
      <c r="BT10" s="14">
        <f>BS10</f>
        <v>201165</v>
      </c>
      <c r="BU10" s="18"/>
      <c r="BV10" s="14">
        <f>BV11+BV16+BV19</f>
        <v>247713</v>
      </c>
      <c r="BW10" s="14">
        <f t="shared" ref="BW10:CF10" si="14">BW11+BW16+BW19</f>
        <v>278707</v>
      </c>
      <c r="BX10" s="14">
        <f t="shared" si="14"/>
        <v>281829</v>
      </c>
      <c r="BY10" s="14">
        <f t="shared" si="14"/>
        <v>317753</v>
      </c>
      <c r="BZ10" s="14">
        <f t="shared" si="14"/>
        <v>270339</v>
      </c>
      <c r="CA10" s="14">
        <f t="shared" si="14"/>
        <v>310383</v>
      </c>
      <c r="CB10" s="14">
        <f t="shared" si="14"/>
        <v>328365</v>
      </c>
      <c r="CC10" s="14">
        <f t="shared" si="14"/>
        <v>333476</v>
      </c>
      <c r="CD10" s="14">
        <f>CD11+CD16+CD19</f>
        <v>306264</v>
      </c>
      <c r="CE10" s="14">
        <f t="shared" si="14"/>
        <v>270370</v>
      </c>
      <c r="CF10" s="14">
        <f t="shared" si="14"/>
        <v>194014</v>
      </c>
      <c r="CG10" s="14">
        <f>CG11+CG16+CG19</f>
        <v>182266</v>
      </c>
      <c r="CH10" s="14">
        <f t="shared" ref="CH10" si="15">CH15+CH16+CH19</f>
        <v>161447</v>
      </c>
      <c r="CJ10" s="14">
        <f>CH10+CJ71-CJ27</f>
        <v>145024.06</v>
      </c>
      <c r="CK10" s="14">
        <f>CJ10+CK71-CK27</f>
        <v>167771.39000000001</v>
      </c>
      <c r="CL10" s="14">
        <f>CK10+CL71-CL27</f>
        <v>152974.71000000002</v>
      </c>
      <c r="CM10" s="14">
        <f>CL10+CM71-CM27</f>
        <v>172918.05000000005</v>
      </c>
      <c r="CN10" s="14">
        <f>CM10+CN71-CN27</f>
        <v>208116.10000000003</v>
      </c>
      <c r="CO10" s="14">
        <f t="shared" ref="CO10:CU10" si="16">CN10+CO71-CO27</f>
        <v>281435.22000000003</v>
      </c>
      <c r="CP10" s="14">
        <f t="shared" si="16"/>
        <v>271715.13</v>
      </c>
      <c r="CQ10" s="14">
        <f>CP10+CQ71-CQ27</f>
        <v>271819.82</v>
      </c>
      <c r="CR10" s="14">
        <f t="shared" si="16"/>
        <v>212966.18000000002</v>
      </c>
      <c r="CS10" s="14">
        <f t="shared" si="16"/>
        <v>199749.26000000004</v>
      </c>
      <c r="CT10" s="14">
        <f t="shared" si="16"/>
        <v>211764.17</v>
      </c>
      <c r="CU10" s="14">
        <f t="shared" si="16"/>
        <v>228180.35000000003</v>
      </c>
      <c r="CV10" s="14">
        <v>116080.10690622788</v>
      </c>
      <c r="CX10" s="14">
        <f>CV10+CX71-CX27</f>
        <v>109586.01990622788</v>
      </c>
      <c r="CY10" s="14">
        <f>CX10+CY71-CY27</f>
        <v>73440.716406227904</v>
      </c>
      <c r="CZ10" s="14">
        <f>CY10+CZ71-CZ27</f>
        <v>53154.202406227909</v>
      </c>
      <c r="DA10" s="14">
        <f>CZ10+DA71-DA27</f>
        <v>69094.709406227921</v>
      </c>
      <c r="DB10" s="14">
        <f>DA10+DB71-DB27</f>
        <v>100802.66190622791</v>
      </c>
      <c r="DC10" s="14">
        <f t="shared" ref="DC10:DI10" si="17">DB10+DC71-DC27</f>
        <v>158612.73790622794</v>
      </c>
      <c r="DD10" s="14">
        <f t="shared" si="17"/>
        <v>133206.64340622793</v>
      </c>
      <c r="DE10" s="14">
        <f t="shared" si="17"/>
        <v>109166.56790622792</v>
      </c>
      <c r="DF10" s="14">
        <f t="shared" si="17"/>
        <v>23680.245906227909</v>
      </c>
      <c r="DG10" s="14">
        <f t="shared" si="17"/>
        <v>-5607.5200937721238</v>
      </c>
      <c r="DH10" s="14">
        <f t="shared" si="17"/>
        <v>-1731.8645937721303</v>
      </c>
      <c r="DI10" s="14">
        <f t="shared" si="17"/>
        <v>9525.1244062278565</v>
      </c>
      <c r="DJ10" s="14">
        <v>116080.10690622788</v>
      </c>
    </row>
    <row r="11" spans="1:114">
      <c r="A11" s="19">
        <v>0</v>
      </c>
      <c r="B11" s="158" t="s">
        <v>30</v>
      </c>
      <c r="C11" s="264"/>
      <c r="D11" s="265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66"/>
      <c r="Q11" s="21"/>
      <c r="R11" s="265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67"/>
      <c r="AE11" s="23"/>
      <c r="AF11" s="22"/>
      <c r="AG11" s="22"/>
      <c r="AH11" s="22"/>
      <c r="AI11" s="22"/>
      <c r="AJ11" s="24"/>
      <c r="AK11" s="22"/>
      <c r="AL11" s="22"/>
      <c r="AM11" s="22"/>
      <c r="AN11" s="22"/>
      <c r="AO11" s="22"/>
      <c r="AP11" s="25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6"/>
      <c r="BC11" s="22"/>
      <c r="BD11" s="22"/>
      <c r="BE11" s="22"/>
      <c r="BF11" s="22"/>
      <c r="BG11" s="27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8"/>
      <c r="BV11" s="22">
        <v>204006</v>
      </c>
      <c r="BW11" s="22">
        <v>241182</v>
      </c>
      <c r="BX11" s="22">
        <v>245950</v>
      </c>
      <c r="BY11" s="22">
        <v>281974</v>
      </c>
      <c r="BZ11" s="22">
        <v>202865</v>
      </c>
      <c r="CA11" s="22">
        <v>240895</v>
      </c>
      <c r="CB11" s="22">
        <v>273565</v>
      </c>
      <c r="CC11" s="22">
        <v>288981</v>
      </c>
      <c r="CD11" s="22">
        <v>273990</v>
      </c>
      <c r="CE11" s="22">
        <v>237556</v>
      </c>
      <c r="CF11" s="22">
        <v>168313</v>
      </c>
      <c r="CG11" s="22">
        <v>150819</v>
      </c>
      <c r="CH11" s="22">
        <f>CG11</f>
        <v>150819</v>
      </c>
      <c r="CJ11" s="22">
        <v>205037</v>
      </c>
      <c r="CK11" s="22">
        <v>230430</v>
      </c>
      <c r="CL11" s="22">
        <v>234343</v>
      </c>
      <c r="CM11" s="22">
        <v>262404</v>
      </c>
      <c r="CN11" s="22"/>
      <c r="CO11" s="22"/>
      <c r="CP11" s="22"/>
      <c r="CQ11" s="22"/>
      <c r="CR11" s="22"/>
      <c r="CS11" s="22"/>
      <c r="CT11" s="22"/>
      <c r="CU11" s="22"/>
      <c r="CV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</row>
    <row r="12" spans="1:114">
      <c r="A12" s="19">
        <v>0</v>
      </c>
      <c r="B12" s="158" t="s">
        <v>31</v>
      </c>
      <c r="C12" s="264"/>
      <c r="D12" s="265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66"/>
      <c r="Q12" s="21"/>
      <c r="R12" s="265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67"/>
      <c r="AE12" s="23"/>
      <c r="AF12" s="22"/>
      <c r="AG12" s="22"/>
      <c r="AH12" s="22"/>
      <c r="AI12" s="22"/>
      <c r="AJ12" s="24"/>
      <c r="AK12" s="22"/>
      <c r="AL12" s="22"/>
      <c r="AM12" s="22"/>
      <c r="AN12" s="22"/>
      <c r="AO12" s="22"/>
      <c r="AP12" s="25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6"/>
      <c r="BC12" s="22"/>
      <c r="BD12" s="22"/>
      <c r="BE12" s="22"/>
      <c r="BF12" s="22"/>
      <c r="BG12" s="27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8"/>
      <c r="BV12" s="22">
        <v>80956</v>
      </c>
      <c r="BW12" s="22">
        <v>110544</v>
      </c>
      <c r="BX12" s="22">
        <v>134506</v>
      </c>
      <c r="BY12" s="22">
        <v>127959</v>
      </c>
      <c r="BZ12" s="22">
        <v>66136</v>
      </c>
      <c r="CA12" s="22">
        <v>72582</v>
      </c>
      <c r="CB12" s="22">
        <v>94286</v>
      </c>
      <c r="CC12" s="22">
        <v>133081</v>
      </c>
      <c r="CD12" s="22">
        <v>148174</v>
      </c>
      <c r="CE12" s="22">
        <v>154201</v>
      </c>
      <c r="CF12" s="22">
        <v>97365</v>
      </c>
      <c r="CG12" s="22">
        <v>30184</v>
      </c>
      <c r="CH12" s="22"/>
      <c r="CJ12" s="22">
        <v>132209</v>
      </c>
      <c r="CK12" s="22">
        <v>180000</v>
      </c>
      <c r="CL12" s="22">
        <v>177643</v>
      </c>
      <c r="CM12" s="22">
        <v>148159</v>
      </c>
      <c r="CN12" s="22"/>
      <c r="CO12" s="22"/>
      <c r="CP12" s="22"/>
      <c r="CQ12" s="22"/>
      <c r="CR12" s="22"/>
      <c r="CS12" s="22"/>
      <c r="CT12" s="22"/>
      <c r="CU12" s="22"/>
      <c r="CV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</row>
    <row r="13" spans="1:114">
      <c r="A13" s="19">
        <v>0</v>
      </c>
      <c r="B13" s="158" t="s">
        <v>32</v>
      </c>
      <c r="C13" s="264"/>
      <c r="D13" s="26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66"/>
      <c r="Q13" s="21"/>
      <c r="R13" s="265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67"/>
      <c r="AE13" s="23"/>
      <c r="AF13" s="22"/>
      <c r="AG13" s="22"/>
      <c r="AH13" s="22"/>
      <c r="AI13" s="22"/>
      <c r="AJ13" s="24"/>
      <c r="AK13" s="22"/>
      <c r="AL13" s="22"/>
      <c r="AM13" s="22"/>
      <c r="AN13" s="22"/>
      <c r="AO13" s="22"/>
      <c r="AP13" s="25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6"/>
      <c r="BC13" s="22"/>
      <c r="BD13" s="22"/>
      <c r="BE13" s="22"/>
      <c r="BF13" s="22"/>
      <c r="BG13" s="27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8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J13" s="22">
        <v>150321</v>
      </c>
      <c r="CK13" s="22">
        <v>133602</v>
      </c>
      <c r="CL13" s="22">
        <v>135672</v>
      </c>
      <c r="CM13" s="22">
        <v>127653</v>
      </c>
      <c r="CN13" s="22"/>
      <c r="CO13" s="22"/>
      <c r="CP13" s="22"/>
      <c r="CQ13" s="22"/>
      <c r="CR13" s="22"/>
      <c r="CS13" s="22"/>
      <c r="CT13" s="22"/>
      <c r="CU13" s="22"/>
      <c r="CV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</row>
    <row r="14" spans="1:114">
      <c r="A14" s="19">
        <v>0</v>
      </c>
      <c r="B14" s="717" t="s">
        <v>33</v>
      </c>
      <c r="C14" s="264"/>
      <c r="D14" s="26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66"/>
      <c r="Q14" s="21"/>
      <c r="R14" s="265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67"/>
      <c r="AE14" s="23"/>
      <c r="AF14" s="22"/>
      <c r="AG14" s="22"/>
      <c r="AH14" s="22"/>
      <c r="AI14" s="22"/>
      <c r="AJ14" s="24"/>
      <c r="AK14" s="22"/>
      <c r="AL14" s="22"/>
      <c r="AM14" s="22"/>
      <c r="AN14" s="22"/>
      <c r="AO14" s="22"/>
      <c r="AP14" s="25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6"/>
      <c r="BC14" s="22"/>
      <c r="BD14" s="22"/>
      <c r="BE14" s="22"/>
      <c r="BF14" s="22"/>
      <c r="BG14" s="27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8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J14" s="718">
        <v>36757</v>
      </c>
      <c r="CK14" s="718">
        <v>55826</v>
      </c>
      <c r="CL14" s="718">
        <v>60438</v>
      </c>
      <c r="CM14" s="718">
        <v>50114</v>
      </c>
      <c r="CN14" s="22"/>
      <c r="CO14" s="22"/>
      <c r="CP14" s="22"/>
      <c r="CQ14" s="22"/>
      <c r="CR14" s="22"/>
      <c r="CS14" s="22"/>
      <c r="CT14" s="22"/>
      <c r="CU14" s="22"/>
      <c r="CV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</row>
    <row r="15" spans="1:114" s="698" customFormat="1" ht="15.75">
      <c r="A15" s="683">
        <v>1</v>
      </c>
      <c r="B15" s="684" t="s">
        <v>34</v>
      </c>
      <c r="C15" s="685"/>
      <c r="D15" s="686">
        <v>197000</v>
      </c>
      <c r="E15" s="687">
        <v>223027</v>
      </c>
      <c r="F15" s="687">
        <v>230513</v>
      </c>
      <c r="G15" s="687">
        <v>231174</v>
      </c>
      <c r="H15" s="687">
        <v>255028</v>
      </c>
      <c r="I15" s="687">
        <f>316386+3241</f>
        <v>319627</v>
      </c>
      <c r="J15" s="687">
        <v>377712</v>
      </c>
      <c r="K15" s="687">
        <v>382411</v>
      </c>
      <c r="L15" s="687">
        <v>394107</v>
      </c>
      <c r="M15" s="687">
        <v>267954</v>
      </c>
      <c r="N15" s="687"/>
      <c r="O15" s="687">
        <v>143875</v>
      </c>
      <c r="P15" s="688"/>
      <c r="Q15" s="689"/>
      <c r="R15" s="686">
        <v>208084</v>
      </c>
      <c r="S15" s="690">
        <v>268431</v>
      </c>
      <c r="T15" s="690">
        <v>250616</v>
      </c>
      <c r="U15" s="690">
        <v>237088</v>
      </c>
      <c r="V15" s="690">
        <v>147777</v>
      </c>
      <c r="W15" s="690">
        <v>215818</v>
      </c>
      <c r="X15" s="690">
        <v>273510</v>
      </c>
      <c r="Y15" s="690">
        <v>299059</v>
      </c>
      <c r="Z15" s="690">
        <v>304980</v>
      </c>
      <c r="AA15" s="690">
        <v>231197</v>
      </c>
      <c r="AB15" s="690">
        <v>143086</v>
      </c>
      <c r="AC15" s="690">
        <v>172491</v>
      </c>
      <c r="AD15" s="691"/>
      <c r="AE15" s="692"/>
      <c r="AF15" s="690">
        <v>198695</v>
      </c>
      <c r="AG15" s="690">
        <v>234210</v>
      </c>
      <c r="AH15" s="690">
        <v>327560</v>
      </c>
      <c r="AI15" s="690">
        <v>332523</v>
      </c>
      <c r="AJ15" s="693">
        <v>356667</v>
      </c>
      <c r="AK15" s="690">
        <v>384165</v>
      </c>
      <c r="AL15" s="690">
        <v>317268</v>
      </c>
      <c r="AM15" s="690">
        <v>370708</v>
      </c>
      <c r="AN15" s="690">
        <v>354503</v>
      </c>
      <c r="AO15" s="690">
        <v>314605</v>
      </c>
      <c r="AP15" s="694">
        <v>90490</v>
      </c>
      <c r="AQ15" s="690">
        <v>58348</v>
      </c>
      <c r="AR15" s="690">
        <f t="shared" si="10"/>
        <v>58348</v>
      </c>
      <c r="AS15" s="692"/>
      <c r="AT15" s="690">
        <v>158701</v>
      </c>
      <c r="AU15" s="690">
        <v>115369</v>
      </c>
      <c r="AV15" s="690">
        <v>142379</v>
      </c>
      <c r="AW15" s="690">
        <v>118765</v>
      </c>
      <c r="AX15" s="690">
        <v>113246</v>
      </c>
      <c r="AY15" s="690">
        <v>106776</v>
      </c>
      <c r="AZ15" s="690">
        <v>175234</v>
      </c>
      <c r="BA15" s="690">
        <v>151553</v>
      </c>
      <c r="BB15" s="695">
        <v>167082</v>
      </c>
      <c r="BC15" s="690">
        <v>150959</v>
      </c>
      <c r="BD15" s="690">
        <v>119787</v>
      </c>
      <c r="BE15" s="690">
        <v>65426</v>
      </c>
      <c r="BF15" s="690">
        <f t="shared" si="12"/>
        <v>65426</v>
      </c>
      <c r="BG15" s="696"/>
      <c r="BH15" s="690">
        <v>166918</v>
      </c>
      <c r="BI15" s="690">
        <v>167160</v>
      </c>
      <c r="BJ15" s="690">
        <v>204571</v>
      </c>
      <c r="BK15" s="690">
        <v>153197</v>
      </c>
      <c r="BL15" s="690">
        <v>196798</v>
      </c>
      <c r="BM15" s="690">
        <v>145596</v>
      </c>
      <c r="BN15" s="690">
        <v>166021</v>
      </c>
      <c r="BO15" s="690">
        <v>211305</v>
      </c>
      <c r="BP15" s="690">
        <v>201071</v>
      </c>
      <c r="BQ15" s="690">
        <v>177743</v>
      </c>
      <c r="BR15" s="690">
        <v>144020</v>
      </c>
      <c r="BS15" s="690">
        <v>154347</v>
      </c>
      <c r="BT15" s="690">
        <f>BS15</f>
        <v>154347</v>
      </c>
      <c r="BU15" s="697"/>
      <c r="BV15" s="690">
        <v>151471</v>
      </c>
      <c r="BW15" s="690">
        <v>155653</v>
      </c>
      <c r="BX15" s="690">
        <v>151611</v>
      </c>
      <c r="BY15" s="690">
        <v>177044</v>
      </c>
      <c r="BZ15" s="690">
        <v>170481</v>
      </c>
      <c r="CA15" s="690">
        <v>221665</v>
      </c>
      <c r="CB15" s="690">
        <v>218105</v>
      </c>
      <c r="CC15" s="690">
        <v>188153</v>
      </c>
      <c r="CD15" s="690">
        <v>147751</v>
      </c>
      <c r="CE15" s="690">
        <v>112996</v>
      </c>
      <c r="CF15" s="690">
        <v>135968</v>
      </c>
      <c r="CG15" s="690">
        <v>130000</v>
      </c>
      <c r="CH15" s="690">
        <f t="shared" ref="CH15:CH25" si="18">CG15</f>
        <v>130000</v>
      </c>
      <c r="CI15" s="707">
        <v>114000</v>
      </c>
      <c r="CJ15" s="690">
        <v>109585</v>
      </c>
      <c r="CK15" s="690">
        <v>103815</v>
      </c>
      <c r="CL15" s="690">
        <v>117138</v>
      </c>
      <c r="CM15" s="690">
        <f>CL15+CM71-CM27</f>
        <v>137081.34000000003</v>
      </c>
      <c r="CN15" s="690">
        <f t="shared" ref="CN15:CU15" si="19">CM15+CN71-CN27</f>
        <v>172279.39</v>
      </c>
      <c r="CO15" s="690">
        <f t="shared" si="19"/>
        <v>245598.51</v>
      </c>
      <c r="CP15" s="690">
        <f t="shared" si="19"/>
        <v>235878.42</v>
      </c>
      <c r="CQ15" s="690">
        <f t="shared" si="19"/>
        <v>235983.11000000004</v>
      </c>
      <c r="CR15" s="690">
        <f t="shared" si="19"/>
        <v>177129.47000000006</v>
      </c>
      <c r="CS15" s="690">
        <f t="shared" si="19"/>
        <v>163912.55000000008</v>
      </c>
      <c r="CT15" s="690">
        <f t="shared" si="19"/>
        <v>175927.46000000005</v>
      </c>
      <c r="CU15" s="690">
        <f t="shared" si="19"/>
        <v>192343.64000000007</v>
      </c>
      <c r="CV15" s="690"/>
      <c r="CX15" s="690">
        <f>CU15+CX71-CX27</f>
        <v>185849.55300000007</v>
      </c>
      <c r="CY15" s="690">
        <f>CX15+CY71-CY27</f>
        <v>149704.24950000009</v>
      </c>
      <c r="CZ15" s="690">
        <f t="shared" ref="CZ15:DI15" si="20">CY15+CZ71-CZ27</f>
        <v>129417.7355000001</v>
      </c>
      <c r="DA15" s="690">
        <f t="shared" si="20"/>
        <v>145358.24250000008</v>
      </c>
      <c r="DB15" s="690">
        <f t="shared" si="20"/>
        <v>177066.19500000004</v>
      </c>
      <c r="DC15" s="690">
        <f t="shared" si="20"/>
        <v>234876.27100000007</v>
      </c>
      <c r="DD15" s="690">
        <f t="shared" si="20"/>
        <v>209470.17650000006</v>
      </c>
      <c r="DE15" s="690">
        <f t="shared" si="20"/>
        <v>185430.10100000005</v>
      </c>
      <c r="DF15" s="690">
        <f t="shared" si="20"/>
        <v>99943.779000000039</v>
      </c>
      <c r="DG15" s="690">
        <f t="shared" si="20"/>
        <v>70656.013000000006</v>
      </c>
      <c r="DH15" s="690">
        <f t="shared" si="20"/>
        <v>74531.6685</v>
      </c>
      <c r="DI15" s="690">
        <f t="shared" si="20"/>
        <v>85788.657499999987</v>
      </c>
      <c r="DJ15" s="690">
        <v>0</v>
      </c>
    </row>
    <row r="16" spans="1:114">
      <c r="A16" s="19">
        <v>2</v>
      </c>
      <c r="B16" s="702" t="s">
        <v>35</v>
      </c>
      <c r="C16" s="264"/>
      <c r="D16" s="265">
        <v>73670</v>
      </c>
      <c r="E16" s="20">
        <v>59682</v>
      </c>
      <c r="F16" s="20">
        <v>54710</v>
      </c>
      <c r="G16" s="20">
        <v>56175</v>
      </c>
      <c r="H16" s="20">
        <v>58933</v>
      </c>
      <c r="I16" s="20">
        <v>42784</v>
      </c>
      <c r="J16" s="20">
        <v>35755</v>
      </c>
      <c r="K16" s="20">
        <v>33547</v>
      </c>
      <c r="L16" s="20">
        <v>22824</v>
      </c>
      <c r="M16" s="20">
        <v>26162</v>
      </c>
      <c r="N16" s="20"/>
      <c r="O16" s="20">
        <v>44389</v>
      </c>
      <c r="P16" s="266"/>
      <c r="Q16" s="21"/>
      <c r="R16" s="265">
        <v>39759</v>
      </c>
      <c r="S16" s="22">
        <v>38325</v>
      </c>
      <c r="T16" s="22">
        <v>26634</v>
      </c>
      <c r="U16" s="22">
        <f>14430+2754+7859</f>
        <v>25043</v>
      </c>
      <c r="V16" s="22">
        <v>23840</v>
      </c>
      <c r="W16" s="22">
        <v>20057</v>
      </c>
      <c r="X16" s="22">
        <v>80502</v>
      </c>
      <c r="Y16" s="22">
        <v>56483</v>
      </c>
      <c r="Z16" s="22">
        <v>44233</v>
      </c>
      <c r="AA16" s="22">
        <v>38155</v>
      </c>
      <c r="AB16" s="22">
        <v>27540</v>
      </c>
      <c r="AC16" s="22">
        <v>25060</v>
      </c>
      <c r="AD16" s="267"/>
      <c r="AE16" s="23"/>
      <c r="AF16" s="22">
        <v>21326</v>
      </c>
      <c r="AG16" s="22">
        <v>17804</v>
      </c>
      <c r="AH16" s="22">
        <v>27157</v>
      </c>
      <c r="AI16" s="22">
        <v>19677</v>
      </c>
      <c r="AJ16" s="22">
        <v>18817</v>
      </c>
      <c r="AK16" s="22">
        <v>25034</v>
      </c>
      <c r="AL16" s="22">
        <v>28090</v>
      </c>
      <c r="AM16" s="22">
        <v>25660</v>
      </c>
      <c r="AN16" s="22">
        <v>33752</v>
      </c>
      <c r="AO16" s="22">
        <v>24699</v>
      </c>
      <c r="AP16" s="25">
        <v>19340</v>
      </c>
      <c r="AQ16" s="22">
        <v>29842</v>
      </c>
      <c r="AR16" s="22">
        <f t="shared" si="10"/>
        <v>29842</v>
      </c>
      <c r="AS16" s="23"/>
      <c r="AT16" s="22">
        <v>46493</v>
      </c>
      <c r="AU16" s="22">
        <v>37125</v>
      </c>
      <c r="AV16" s="22">
        <v>38574</v>
      </c>
      <c r="AW16" s="22">
        <v>43626</v>
      </c>
      <c r="AX16" s="22">
        <v>39641</v>
      </c>
      <c r="AY16" s="22">
        <v>55553</v>
      </c>
      <c r="AZ16" s="22">
        <v>48023</v>
      </c>
      <c r="BA16" s="22">
        <v>55043</v>
      </c>
      <c r="BB16" s="26">
        <v>50383</v>
      </c>
      <c r="BC16" s="22">
        <v>54355</v>
      </c>
      <c r="BD16" s="22">
        <v>82473</v>
      </c>
      <c r="BE16" s="22">
        <v>65398</v>
      </c>
      <c r="BF16" s="22">
        <f t="shared" si="12"/>
        <v>65398</v>
      </c>
      <c r="BG16" s="27"/>
      <c r="BH16" s="22">
        <v>68747</v>
      </c>
      <c r="BI16" s="22">
        <v>62843</v>
      </c>
      <c r="BJ16" s="22">
        <v>62154</v>
      </c>
      <c r="BK16" s="22">
        <v>49337</v>
      </c>
      <c r="BL16" s="22">
        <v>27730</v>
      </c>
      <c r="BM16" s="22">
        <v>42459</v>
      </c>
      <c r="BN16" s="22">
        <v>44049</v>
      </c>
      <c r="BO16" s="22">
        <v>29196</v>
      </c>
      <c r="BP16" s="22">
        <v>36882</v>
      </c>
      <c r="BQ16" s="22">
        <v>35965</v>
      </c>
      <c r="BR16" s="22">
        <v>31343</v>
      </c>
      <c r="BS16" s="22">
        <v>23087</v>
      </c>
      <c r="BT16" s="22">
        <f t="shared" ref="BT16:BT25" si="21">BS16</f>
        <v>23087</v>
      </c>
      <c r="BU16" s="28"/>
      <c r="BV16" s="22">
        <v>15202</v>
      </c>
      <c r="BW16" s="22">
        <v>12471</v>
      </c>
      <c r="BX16" s="22">
        <v>11483</v>
      </c>
      <c r="BY16" s="22">
        <v>14071</v>
      </c>
      <c r="BZ16" s="22">
        <v>49617</v>
      </c>
      <c r="CA16" s="22">
        <v>36385</v>
      </c>
      <c r="CB16" s="22">
        <v>25473</v>
      </c>
      <c r="CC16" s="22">
        <v>16933</v>
      </c>
      <c r="CD16" s="22">
        <v>12684</v>
      </c>
      <c r="CE16" s="22">
        <v>21084</v>
      </c>
      <c r="CF16" s="22">
        <v>15172</v>
      </c>
      <c r="CG16" s="22">
        <v>11469</v>
      </c>
      <c r="CH16" s="22">
        <f>CG16</f>
        <v>11469</v>
      </c>
      <c r="CI16">
        <f>7500*5</f>
        <v>37500</v>
      </c>
      <c r="CJ16" s="22">
        <v>9465</v>
      </c>
      <c r="CK16" s="22">
        <v>13722</v>
      </c>
      <c r="CL16" s="22">
        <v>10771</v>
      </c>
      <c r="CM16" s="22">
        <v>8991</v>
      </c>
      <c r="CN16" s="22"/>
      <c r="CO16" s="22"/>
      <c r="CP16" s="22"/>
      <c r="CQ16" s="22"/>
      <c r="CR16" s="22"/>
      <c r="CS16" s="22"/>
      <c r="CT16" s="22"/>
      <c r="CU16" s="22"/>
      <c r="CV16" s="22">
        <v>0</v>
      </c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>
        <v>0</v>
      </c>
    </row>
    <row r="17" spans="1:114">
      <c r="A17" s="19">
        <v>3</v>
      </c>
      <c r="B17" s="702" t="s">
        <v>36</v>
      </c>
      <c r="C17" s="264"/>
      <c r="D17" s="268">
        <v>34116</v>
      </c>
      <c r="E17" s="269">
        <v>29277</v>
      </c>
      <c r="F17" s="269">
        <v>43008</v>
      </c>
      <c r="G17" s="269">
        <v>30524</v>
      </c>
      <c r="H17" s="269">
        <v>33235</v>
      </c>
      <c r="I17" s="269">
        <v>39842</v>
      </c>
      <c r="J17" s="269">
        <v>41021</v>
      </c>
      <c r="K17" s="269">
        <v>31224</v>
      </c>
      <c r="L17" s="269"/>
      <c r="M17" s="269">
        <v>10286</v>
      </c>
      <c r="N17" s="269"/>
      <c r="O17" s="269"/>
      <c r="P17" s="266"/>
      <c r="Q17" s="21"/>
      <c r="R17" s="268">
        <v>35516</v>
      </c>
      <c r="S17" s="270">
        <v>35962</v>
      </c>
      <c r="T17" s="270">
        <v>35962</v>
      </c>
      <c r="U17" s="270">
        <v>35962</v>
      </c>
      <c r="V17" s="270">
        <v>35000</v>
      </c>
      <c r="W17" s="270"/>
      <c r="X17" s="270">
        <v>6123</v>
      </c>
      <c r="Y17" s="270">
        <v>6123</v>
      </c>
      <c r="Z17" s="270">
        <v>4187</v>
      </c>
      <c r="AA17" s="270">
        <v>2745</v>
      </c>
      <c r="AB17" s="270"/>
      <c r="AC17" s="270"/>
      <c r="AD17" s="267"/>
      <c r="AE17" s="23"/>
      <c r="AF17" s="270">
        <v>8366</v>
      </c>
      <c r="AG17" s="270">
        <v>11534</v>
      </c>
      <c r="AH17" s="270">
        <v>11507</v>
      </c>
      <c r="AI17" s="270">
        <v>9148</v>
      </c>
      <c r="AJ17" s="22">
        <v>8524</v>
      </c>
      <c r="AK17" s="270">
        <v>25290</v>
      </c>
      <c r="AL17" s="270">
        <v>91080</v>
      </c>
      <c r="AM17" s="270">
        <v>66830</v>
      </c>
      <c r="AN17" s="270">
        <v>36866</v>
      </c>
      <c r="AO17" s="270">
        <v>16173</v>
      </c>
      <c r="AP17" s="271">
        <v>178274</v>
      </c>
      <c r="AQ17" s="270">
        <v>210665</v>
      </c>
      <c r="AR17" s="22">
        <f t="shared" si="10"/>
        <v>210665</v>
      </c>
      <c r="AS17" s="23"/>
      <c r="AT17" s="270">
        <v>121075</v>
      </c>
      <c r="AU17" s="270">
        <v>149376</v>
      </c>
      <c r="AV17" s="270">
        <v>104538</v>
      </c>
      <c r="AW17" s="270">
        <v>105262</v>
      </c>
      <c r="AX17" s="270">
        <v>121073</v>
      </c>
      <c r="AY17" s="270">
        <v>163931</v>
      </c>
      <c r="AZ17" s="270">
        <v>109964</v>
      </c>
      <c r="BA17" s="270">
        <v>148266</v>
      </c>
      <c r="BB17" s="26">
        <v>130697</v>
      </c>
      <c r="BC17" s="270">
        <v>113779</v>
      </c>
      <c r="BD17" s="270">
        <v>91119</v>
      </c>
      <c r="BE17" s="270">
        <v>103286</v>
      </c>
      <c r="BF17" s="22">
        <f t="shared" si="12"/>
        <v>103286</v>
      </c>
      <c r="BG17" s="27"/>
      <c r="BH17" s="270">
        <v>49631</v>
      </c>
      <c r="BI17" s="270">
        <v>52953</v>
      </c>
      <c r="BJ17" s="270">
        <v>28440</v>
      </c>
      <c r="BK17" s="270">
        <v>83601</v>
      </c>
      <c r="BL17" s="22">
        <v>25812</v>
      </c>
      <c r="BM17" s="22">
        <v>59545</v>
      </c>
      <c r="BN17" s="22">
        <v>83435</v>
      </c>
      <c r="BO17" s="22">
        <v>34041</v>
      </c>
      <c r="BP17" s="22">
        <v>22399</v>
      </c>
      <c r="BQ17" s="22">
        <v>24887</v>
      </c>
      <c r="BR17" s="22">
        <v>12183</v>
      </c>
      <c r="BS17" s="22">
        <v>12183</v>
      </c>
      <c r="BT17" s="22">
        <f t="shared" si="21"/>
        <v>12183</v>
      </c>
      <c r="BU17" s="28"/>
      <c r="BV17" s="270">
        <v>5216</v>
      </c>
      <c r="BW17" s="270"/>
      <c r="BX17" s="270">
        <v>65273</v>
      </c>
      <c r="BY17" s="270">
        <v>70182</v>
      </c>
      <c r="BZ17" s="22">
        <v>57659</v>
      </c>
      <c r="CA17" s="22">
        <v>71669</v>
      </c>
      <c r="CB17" s="22">
        <v>73078</v>
      </c>
      <c r="CC17" s="22">
        <v>85302</v>
      </c>
      <c r="CD17" s="22">
        <v>25343</v>
      </c>
      <c r="CE17" s="22">
        <v>19030</v>
      </c>
      <c r="CF17" s="22">
        <v>19422</v>
      </c>
      <c r="CG17" s="22">
        <v>25927</v>
      </c>
      <c r="CH17" s="22">
        <f>CG17</f>
        <v>25927</v>
      </c>
      <c r="CI17">
        <v>29000</v>
      </c>
      <c r="CJ17" s="270">
        <v>21580</v>
      </c>
      <c r="CK17" s="270">
        <v>18052</v>
      </c>
      <c r="CL17" s="270">
        <v>30722</v>
      </c>
      <c r="CM17" s="270">
        <v>55095</v>
      </c>
      <c r="CN17" s="22"/>
      <c r="CO17" s="22"/>
      <c r="CP17" s="22"/>
      <c r="CQ17" s="22"/>
      <c r="CR17" s="22"/>
      <c r="CS17" s="22"/>
      <c r="CT17" s="22"/>
      <c r="CU17" s="22"/>
      <c r="CV17" s="22">
        <v>0</v>
      </c>
      <c r="CX17" s="270"/>
      <c r="CY17" s="270"/>
      <c r="CZ17" s="270"/>
      <c r="DA17" s="270"/>
      <c r="DB17" s="22"/>
      <c r="DC17" s="22"/>
      <c r="DD17" s="22"/>
      <c r="DE17" s="22"/>
      <c r="DF17" s="22"/>
      <c r="DG17" s="22"/>
      <c r="DH17" s="22"/>
      <c r="DI17" s="22"/>
      <c r="DJ17" s="22">
        <v>0</v>
      </c>
    </row>
    <row r="18" spans="1:114">
      <c r="A18" s="19">
        <v>4</v>
      </c>
      <c r="B18" s="702" t="s">
        <v>37</v>
      </c>
      <c r="C18" s="264"/>
      <c r="D18" s="268">
        <v>34116</v>
      </c>
      <c r="E18" s="269">
        <v>29277</v>
      </c>
      <c r="F18" s="269">
        <v>43008</v>
      </c>
      <c r="G18" s="269">
        <v>30524</v>
      </c>
      <c r="H18" s="269">
        <v>33235</v>
      </c>
      <c r="I18" s="269">
        <v>39842</v>
      </c>
      <c r="J18" s="269">
        <v>41021</v>
      </c>
      <c r="K18" s="269">
        <v>31224</v>
      </c>
      <c r="L18" s="269"/>
      <c r="M18" s="269">
        <v>10286</v>
      </c>
      <c r="N18" s="269"/>
      <c r="O18" s="269"/>
      <c r="P18" s="266"/>
      <c r="Q18" s="21"/>
      <c r="R18" s="268">
        <v>35516</v>
      </c>
      <c r="S18" s="270">
        <v>35962</v>
      </c>
      <c r="T18" s="270">
        <v>35962</v>
      </c>
      <c r="U18" s="270">
        <v>35962</v>
      </c>
      <c r="V18" s="270">
        <v>35000</v>
      </c>
      <c r="W18" s="270"/>
      <c r="X18" s="270">
        <v>6123</v>
      </c>
      <c r="Y18" s="270">
        <v>6123</v>
      </c>
      <c r="Z18" s="270">
        <v>4187</v>
      </c>
      <c r="AA18" s="270">
        <v>2745</v>
      </c>
      <c r="AB18" s="270"/>
      <c r="AC18" s="270"/>
      <c r="AD18" s="267"/>
      <c r="AE18" s="23"/>
      <c r="AF18" s="270">
        <v>8366</v>
      </c>
      <c r="AG18" s="270">
        <v>11534</v>
      </c>
      <c r="AH18" s="270">
        <v>11507</v>
      </c>
      <c r="AI18" s="270">
        <v>9148</v>
      </c>
      <c r="AJ18" s="22">
        <v>8524</v>
      </c>
      <c r="AK18" s="270">
        <v>25290</v>
      </c>
      <c r="AL18" s="270">
        <v>91080</v>
      </c>
      <c r="AM18" s="270">
        <v>66830</v>
      </c>
      <c r="AN18" s="270">
        <v>36866</v>
      </c>
      <c r="AO18" s="270">
        <v>16173</v>
      </c>
      <c r="AP18" s="271">
        <v>178274</v>
      </c>
      <c r="AQ18" s="270">
        <v>210665</v>
      </c>
      <c r="AR18" s="22">
        <f t="shared" si="10"/>
        <v>210665</v>
      </c>
      <c r="AS18" s="23"/>
      <c r="AT18" s="270">
        <v>121075</v>
      </c>
      <c r="AU18" s="270">
        <v>149376</v>
      </c>
      <c r="AV18" s="270">
        <v>104538</v>
      </c>
      <c r="AW18" s="270">
        <v>105262</v>
      </c>
      <c r="AX18" s="270">
        <v>121073</v>
      </c>
      <c r="AY18" s="270">
        <v>163931</v>
      </c>
      <c r="AZ18" s="270">
        <v>109964</v>
      </c>
      <c r="BA18" s="270">
        <v>148266</v>
      </c>
      <c r="BB18" s="26">
        <v>130697</v>
      </c>
      <c r="BC18" s="270">
        <v>113779</v>
      </c>
      <c r="BD18" s="270">
        <v>91119</v>
      </c>
      <c r="BE18" s="270">
        <v>103286</v>
      </c>
      <c r="BF18" s="22">
        <f t="shared" si="12"/>
        <v>103286</v>
      </c>
      <c r="BG18" s="27"/>
      <c r="BH18" s="270">
        <v>49631</v>
      </c>
      <c r="BI18" s="270">
        <v>52953</v>
      </c>
      <c r="BJ18" s="270">
        <v>28440</v>
      </c>
      <c r="BK18" s="270">
        <v>83601</v>
      </c>
      <c r="BL18" s="22">
        <v>25812</v>
      </c>
      <c r="BM18" s="22">
        <v>59545</v>
      </c>
      <c r="BN18" s="22">
        <v>83435</v>
      </c>
      <c r="BO18" s="22">
        <v>34041</v>
      </c>
      <c r="BP18" s="22">
        <v>22399</v>
      </c>
      <c r="BQ18" s="22">
        <v>24887</v>
      </c>
      <c r="BR18" s="22">
        <v>12183</v>
      </c>
      <c r="BS18" s="22">
        <v>12183</v>
      </c>
      <c r="BT18" s="22">
        <f t="shared" si="21"/>
        <v>12183</v>
      </c>
      <c r="BU18" s="28"/>
      <c r="BV18" s="270"/>
      <c r="BW18" s="270"/>
      <c r="BX18" s="270"/>
      <c r="BY18" s="270"/>
      <c r="BZ18" s="22"/>
      <c r="CA18" s="22"/>
      <c r="CB18" s="22"/>
      <c r="CC18" s="22"/>
      <c r="CD18" s="22">
        <v>6361</v>
      </c>
      <c r="CE18" s="22">
        <v>7759</v>
      </c>
      <c r="CF18" s="22">
        <v>6573</v>
      </c>
      <c r="CG18" s="22">
        <v>9541</v>
      </c>
      <c r="CH18" s="22">
        <f t="shared" si="18"/>
        <v>9541</v>
      </c>
      <c r="CI18">
        <f>CI15+CI16-CI17</f>
        <v>122500</v>
      </c>
      <c r="CJ18" s="270">
        <v>9582</v>
      </c>
      <c r="CK18" s="270">
        <v>7266</v>
      </c>
      <c r="CL18" s="270">
        <v>11364</v>
      </c>
      <c r="CM18" s="270">
        <v>15500</v>
      </c>
      <c r="CN18" s="22"/>
      <c r="CO18" s="22"/>
      <c r="CP18" s="22"/>
      <c r="CQ18" s="22"/>
      <c r="CR18" s="22"/>
      <c r="CS18" s="22"/>
      <c r="CT18" s="22"/>
      <c r="CU18" s="22"/>
      <c r="CV18" s="22">
        <v>0</v>
      </c>
      <c r="CX18" s="270"/>
      <c r="CY18" s="270"/>
      <c r="CZ18" s="270"/>
      <c r="DA18" s="270"/>
      <c r="DB18" s="22"/>
      <c r="DC18" s="22"/>
      <c r="DD18" s="22"/>
      <c r="DE18" s="22"/>
      <c r="DF18" s="22"/>
      <c r="DG18" s="22"/>
      <c r="DH18" s="22"/>
      <c r="DI18" s="22"/>
      <c r="DJ18" s="22">
        <v>0</v>
      </c>
    </row>
    <row r="19" spans="1:114">
      <c r="A19" s="19">
        <v>1</v>
      </c>
      <c r="B19" s="158" t="s">
        <v>38</v>
      </c>
      <c r="C19" s="159"/>
      <c r="D19" s="265">
        <v>6409</v>
      </c>
      <c r="E19" s="20">
        <v>6860</v>
      </c>
      <c r="F19" s="20">
        <v>4970</v>
      </c>
      <c r="G19" s="20">
        <v>31203</v>
      </c>
      <c r="H19" s="20">
        <v>31499</v>
      </c>
      <c r="I19" s="20">
        <v>25903</v>
      </c>
      <c r="J19" s="20">
        <v>18606</v>
      </c>
      <c r="K19" s="20">
        <v>16014</v>
      </c>
      <c r="L19" s="20">
        <v>13416</v>
      </c>
      <c r="M19" s="20">
        <v>40079</v>
      </c>
      <c r="N19" s="20"/>
      <c r="O19" s="20">
        <v>0</v>
      </c>
      <c r="P19" s="266"/>
      <c r="Q19" s="21"/>
      <c r="R19" s="265">
        <v>3376</v>
      </c>
      <c r="S19" s="22">
        <v>11736</v>
      </c>
      <c r="T19" s="22">
        <v>22454</v>
      </c>
      <c r="U19" s="22">
        <v>21384</v>
      </c>
      <c r="V19" s="22">
        <v>66870</v>
      </c>
      <c r="W19" s="22">
        <v>73769</v>
      </c>
      <c r="X19" s="22">
        <v>13944</v>
      </c>
      <c r="Y19" s="22">
        <v>32750</v>
      </c>
      <c r="Z19" s="22">
        <v>18536</v>
      </c>
      <c r="AA19" s="22">
        <v>40211</v>
      </c>
      <c r="AB19" s="22">
        <v>44457</v>
      </c>
      <c r="AC19" s="22">
        <v>24504</v>
      </c>
      <c r="AD19" s="267"/>
      <c r="AE19" s="23"/>
      <c r="AF19" s="22">
        <v>18586</v>
      </c>
      <c r="AG19" s="22">
        <v>17539</v>
      </c>
      <c r="AH19" s="22">
        <v>20245</v>
      </c>
      <c r="AI19" s="22">
        <v>17669</v>
      </c>
      <c r="AJ19" s="22">
        <v>16769</v>
      </c>
      <c r="AK19" s="22">
        <v>31134</v>
      </c>
      <c r="AL19" s="22">
        <v>35711</v>
      </c>
      <c r="AM19" s="22">
        <v>29141</v>
      </c>
      <c r="AN19" s="22">
        <v>25307</v>
      </c>
      <c r="AO19" s="22">
        <v>35964</v>
      </c>
      <c r="AP19" s="25">
        <v>37378</v>
      </c>
      <c r="AQ19" s="22">
        <v>22159</v>
      </c>
      <c r="AR19" s="22">
        <f t="shared" si="10"/>
        <v>22159</v>
      </c>
      <c r="AS19" s="23"/>
      <c r="AT19" s="22">
        <v>24034</v>
      </c>
      <c r="AU19" s="270">
        <v>22061</v>
      </c>
      <c r="AV19" s="22">
        <v>22489</v>
      </c>
      <c r="AW19" s="22">
        <v>25124</v>
      </c>
      <c r="AX19" s="22">
        <v>22794</v>
      </c>
      <c r="AY19" s="22">
        <v>17777</v>
      </c>
      <c r="AZ19" s="22">
        <v>34345</v>
      </c>
      <c r="BA19" s="22">
        <v>17580</v>
      </c>
      <c r="BB19" s="26">
        <v>26992</v>
      </c>
      <c r="BC19" s="22">
        <v>21373</v>
      </c>
      <c r="BD19" s="22">
        <v>21202</v>
      </c>
      <c r="BE19" s="22">
        <v>19109</v>
      </c>
      <c r="BF19" s="22">
        <f t="shared" si="12"/>
        <v>19109</v>
      </c>
      <c r="BG19" s="27"/>
      <c r="BH19" s="22">
        <v>22216</v>
      </c>
      <c r="BI19" s="270">
        <v>19102</v>
      </c>
      <c r="BJ19" s="22">
        <v>20676</v>
      </c>
      <c r="BK19" s="22">
        <v>19892</v>
      </c>
      <c r="BL19" s="22">
        <v>48737</v>
      </c>
      <c r="BM19" s="22">
        <v>45521</v>
      </c>
      <c r="BN19" s="22">
        <v>41781</v>
      </c>
      <c r="BO19" s="22">
        <v>48019</v>
      </c>
      <c r="BP19" s="22">
        <v>43955</v>
      </c>
      <c r="BQ19" s="22">
        <v>41505</v>
      </c>
      <c r="BR19" s="22">
        <v>28306</v>
      </c>
      <c r="BS19" s="22">
        <v>23731</v>
      </c>
      <c r="BT19" s="22">
        <f t="shared" si="21"/>
        <v>23731</v>
      </c>
      <c r="BU19" s="28"/>
      <c r="BV19" s="22">
        <v>28505</v>
      </c>
      <c r="BW19" s="270">
        <v>25054</v>
      </c>
      <c r="BX19" s="22">
        <v>24396</v>
      </c>
      <c r="BY19" s="22">
        <v>21708</v>
      </c>
      <c r="BZ19" s="22">
        <v>17857</v>
      </c>
      <c r="CA19" s="22">
        <v>33103</v>
      </c>
      <c r="CB19" s="22">
        <v>29327</v>
      </c>
      <c r="CC19" s="22">
        <v>27562</v>
      </c>
      <c r="CD19" s="22">
        <v>19590</v>
      </c>
      <c r="CE19" s="22">
        <v>11730</v>
      </c>
      <c r="CF19" s="22">
        <v>10529</v>
      </c>
      <c r="CG19" s="22">
        <v>19978</v>
      </c>
      <c r="CH19" s="22">
        <f t="shared" si="18"/>
        <v>19978</v>
      </c>
      <c r="CJ19" s="22">
        <v>18456</v>
      </c>
      <c r="CK19" s="270">
        <v>15409</v>
      </c>
      <c r="CL19" s="22">
        <v>18755</v>
      </c>
      <c r="CM19" s="22">
        <v>15700</v>
      </c>
      <c r="CN19" s="22"/>
      <c r="CO19" s="22"/>
      <c r="CP19" s="22"/>
      <c r="CQ19" s="22"/>
      <c r="CR19" s="22"/>
      <c r="CS19" s="22"/>
      <c r="CT19" s="22"/>
      <c r="CU19" s="22"/>
      <c r="CV19" s="22">
        <v>0</v>
      </c>
      <c r="CX19" s="22"/>
      <c r="CY19" s="270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>
        <v>0</v>
      </c>
    </row>
    <row r="20" spans="1:114">
      <c r="A20" s="19">
        <v>0</v>
      </c>
      <c r="B20" s="158" t="s">
        <v>39</v>
      </c>
      <c r="C20" s="159"/>
      <c r="D20" s="265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66"/>
      <c r="Q20" s="21"/>
      <c r="R20" s="265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67"/>
      <c r="AE20" s="23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5"/>
      <c r="AQ20" s="22"/>
      <c r="AR20" s="22"/>
      <c r="AS20" s="23"/>
      <c r="AT20" s="22"/>
      <c r="AU20" s="270"/>
      <c r="AV20" s="22"/>
      <c r="AW20" s="22"/>
      <c r="AX20" s="22"/>
      <c r="AY20" s="22"/>
      <c r="AZ20" s="22"/>
      <c r="BA20" s="22"/>
      <c r="BB20" s="26"/>
      <c r="BC20" s="22"/>
      <c r="BD20" s="22"/>
      <c r="BE20" s="22"/>
      <c r="BF20" s="22"/>
      <c r="BG20" s="27"/>
      <c r="BH20" s="22"/>
      <c r="BI20" s="270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8"/>
      <c r="BV20" s="22"/>
      <c r="BW20" s="270"/>
      <c r="BX20" s="22"/>
      <c r="BY20" s="22"/>
      <c r="BZ20" s="22"/>
      <c r="CA20" s="22"/>
      <c r="CB20" s="22"/>
      <c r="CC20" s="22"/>
      <c r="CD20" s="22"/>
      <c r="CE20" s="22">
        <v>34501</v>
      </c>
      <c r="CF20" s="22">
        <v>18809</v>
      </c>
      <c r="CG20" s="22">
        <v>12618</v>
      </c>
      <c r="CH20" s="22"/>
      <c r="CJ20" s="22">
        <v>11940</v>
      </c>
      <c r="CK20" s="270">
        <v>19956</v>
      </c>
      <c r="CL20" s="22">
        <v>15650</v>
      </c>
      <c r="CM20" s="22">
        <v>11745</v>
      </c>
      <c r="CN20" s="22"/>
      <c r="CO20" s="22"/>
      <c r="CP20" s="22"/>
      <c r="CQ20" s="22"/>
      <c r="CR20" s="22"/>
      <c r="CS20" s="22"/>
      <c r="CT20" s="22"/>
      <c r="CU20" s="22"/>
      <c r="CV20" s="22"/>
      <c r="CX20" s="22"/>
      <c r="CY20" s="270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</row>
    <row r="21" spans="1:114">
      <c r="A21" s="19">
        <v>0</v>
      </c>
      <c r="B21" s="158" t="s">
        <v>40</v>
      </c>
      <c r="C21" s="159"/>
      <c r="D21" s="265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66"/>
      <c r="Q21" s="21"/>
      <c r="R21" s="265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67"/>
      <c r="AE21" s="23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5"/>
      <c r="AQ21" s="22"/>
      <c r="AR21" s="22"/>
      <c r="AS21" s="23"/>
      <c r="AT21" s="22"/>
      <c r="AU21" s="270"/>
      <c r="AV21" s="22"/>
      <c r="AW21" s="22"/>
      <c r="AX21" s="22"/>
      <c r="AY21" s="22"/>
      <c r="AZ21" s="22"/>
      <c r="BA21" s="22"/>
      <c r="BB21" s="26"/>
      <c r="BC21" s="22"/>
      <c r="BD21" s="22"/>
      <c r="BE21" s="22"/>
      <c r="BF21" s="22"/>
      <c r="BG21" s="27"/>
      <c r="BH21" s="22"/>
      <c r="BI21" s="270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8"/>
      <c r="BV21" s="22"/>
      <c r="BW21" s="270"/>
      <c r="BX21" s="22"/>
      <c r="BY21" s="22"/>
      <c r="BZ21" s="22"/>
      <c r="CA21" s="22"/>
      <c r="CB21" s="22"/>
      <c r="CC21" s="22"/>
      <c r="CD21" s="22"/>
      <c r="CE21" s="22">
        <v>12837</v>
      </c>
      <c r="CF21" s="22">
        <v>11839</v>
      </c>
      <c r="CG21" s="22">
        <v>20519</v>
      </c>
      <c r="CH21" s="22"/>
      <c r="CJ21" s="22">
        <v>17816</v>
      </c>
      <c r="CK21" s="270">
        <v>17432</v>
      </c>
      <c r="CL21" s="22">
        <v>21670</v>
      </c>
      <c r="CM21" s="22">
        <v>19814</v>
      </c>
      <c r="CN21" s="22"/>
      <c r="CO21" s="22"/>
      <c r="CP21" s="22"/>
      <c r="CQ21" s="22"/>
      <c r="CR21" s="22"/>
      <c r="CS21" s="22"/>
      <c r="CT21" s="22"/>
      <c r="CU21" s="22"/>
      <c r="CV21" s="22"/>
      <c r="CX21" s="22"/>
      <c r="CY21" s="270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</row>
    <row r="22" spans="1:114">
      <c r="A22" s="29"/>
      <c r="B22" s="272" t="s">
        <v>41</v>
      </c>
      <c r="C22" s="273"/>
      <c r="D22" s="274">
        <f t="shared" ref="D22:O22" si="22">D10-D17</f>
        <v>270670</v>
      </c>
      <c r="E22" s="30">
        <f t="shared" si="22"/>
        <v>282709</v>
      </c>
      <c r="F22" s="30">
        <f t="shared" si="22"/>
        <v>285223</v>
      </c>
      <c r="G22" s="30">
        <f t="shared" si="22"/>
        <v>287349</v>
      </c>
      <c r="H22" s="30">
        <f t="shared" si="22"/>
        <v>313961</v>
      </c>
      <c r="I22" s="30">
        <f t="shared" si="22"/>
        <v>362411</v>
      </c>
      <c r="J22" s="30">
        <f t="shared" si="22"/>
        <v>413467</v>
      </c>
      <c r="K22" s="30">
        <f t="shared" si="22"/>
        <v>415958</v>
      </c>
      <c r="L22" s="30">
        <f t="shared" si="22"/>
        <v>416931</v>
      </c>
      <c r="M22" s="30">
        <f t="shared" si="22"/>
        <v>294116</v>
      </c>
      <c r="N22" s="30">
        <f t="shared" si="22"/>
        <v>0</v>
      </c>
      <c r="O22" s="30">
        <f t="shared" si="22"/>
        <v>188264</v>
      </c>
      <c r="P22" s="275"/>
      <c r="Q22" s="31"/>
      <c r="R22" s="274">
        <f t="shared" ref="R22:AB22" si="23">R10-R17</f>
        <v>247843</v>
      </c>
      <c r="S22" s="32">
        <f t="shared" si="23"/>
        <v>306756</v>
      </c>
      <c r="T22" s="32">
        <f t="shared" si="23"/>
        <v>277250</v>
      </c>
      <c r="U22" s="32">
        <f t="shared" si="23"/>
        <v>262131</v>
      </c>
      <c r="V22" s="32">
        <f t="shared" si="23"/>
        <v>171617</v>
      </c>
      <c r="W22" s="32">
        <f t="shared" si="23"/>
        <v>235875</v>
      </c>
      <c r="X22" s="32">
        <f t="shared" si="23"/>
        <v>354012</v>
      </c>
      <c r="Y22" s="32">
        <f t="shared" si="23"/>
        <v>355542</v>
      </c>
      <c r="Z22" s="32">
        <f t="shared" si="23"/>
        <v>349213</v>
      </c>
      <c r="AA22" s="32">
        <f t="shared" si="23"/>
        <v>269352</v>
      </c>
      <c r="AB22" s="32">
        <f t="shared" si="23"/>
        <v>170626</v>
      </c>
      <c r="AC22" s="32"/>
      <c r="AD22" s="276"/>
      <c r="AE22" s="17"/>
      <c r="AF22" s="32">
        <f t="shared" ref="AF22:AQ22" si="24">AF10-AF17</f>
        <v>246973</v>
      </c>
      <c r="AG22" s="32">
        <f t="shared" si="24"/>
        <v>281087</v>
      </c>
      <c r="AH22" s="32">
        <f t="shared" si="24"/>
        <v>386469</v>
      </c>
      <c r="AI22" s="32">
        <f t="shared" si="24"/>
        <v>379017</v>
      </c>
      <c r="AJ22" s="32">
        <f t="shared" si="24"/>
        <v>400777</v>
      </c>
      <c r="AK22" s="32">
        <f t="shared" si="24"/>
        <v>465623</v>
      </c>
      <c r="AL22" s="32">
        <f t="shared" si="24"/>
        <v>472149</v>
      </c>
      <c r="AM22" s="32">
        <f t="shared" si="24"/>
        <v>492339</v>
      </c>
      <c r="AN22" s="32">
        <f t="shared" si="24"/>
        <v>450428</v>
      </c>
      <c r="AO22" s="32">
        <f t="shared" si="24"/>
        <v>391441</v>
      </c>
      <c r="AP22" s="32">
        <f t="shared" si="24"/>
        <v>325482</v>
      </c>
      <c r="AQ22" s="32">
        <f t="shared" si="24"/>
        <v>321014</v>
      </c>
      <c r="AR22" s="32">
        <f t="shared" si="10"/>
        <v>321014</v>
      </c>
      <c r="AS22" s="17"/>
      <c r="AT22" s="32">
        <f t="shared" ref="AT22:BE22" si="25">AT10-AT17</f>
        <v>350303</v>
      </c>
      <c r="AU22" s="32">
        <f t="shared" si="25"/>
        <v>323931</v>
      </c>
      <c r="AV22" s="32">
        <f t="shared" si="25"/>
        <v>307980</v>
      </c>
      <c r="AW22" s="32">
        <f t="shared" si="25"/>
        <v>292777</v>
      </c>
      <c r="AX22" s="32">
        <f t="shared" si="25"/>
        <v>296754</v>
      </c>
      <c r="AY22" s="32">
        <f t="shared" si="25"/>
        <v>344037</v>
      </c>
      <c r="AZ22" s="32">
        <f t="shared" si="25"/>
        <v>367566</v>
      </c>
      <c r="BA22" s="32">
        <f t="shared" si="25"/>
        <v>372442</v>
      </c>
      <c r="BB22" s="32">
        <f t="shared" si="25"/>
        <v>375154</v>
      </c>
      <c r="BC22" s="32">
        <f t="shared" si="25"/>
        <v>340466</v>
      </c>
      <c r="BD22" s="32">
        <f t="shared" si="25"/>
        <v>314581</v>
      </c>
      <c r="BE22" s="32">
        <f t="shared" si="25"/>
        <v>253219</v>
      </c>
      <c r="BF22" s="32">
        <f t="shared" si="12"/>
        <v>253219</v>
      </c>
      <c r="BG22" s="17"/>
      <c r="BH22" s="32">
        <f t="shared" ref="BH22:BQ22" si="26">BH10-BH17</f>
        <v>307512</v>
      </c>
      <c r="BI22" s="32">
        <f t="shared" si="26"/>
        <v>302058</v>
      </c>
      <c r="BJ22" s="32">
        <f t="shared" si="26"/>
        <v>315841</v>
      </c>
      <c r="BK22" s="32">
        <f t="shared" si="26"/>
        <v>306027</v>
      </c>
      <c r="BL22" s="32">
        <f t="shared" si="26"/>
        <v>299077</v>
      </c>
      <c r="BM22" s="32">
        <f t="shared" si="26"/>
        <v>293121</v>
      </c>
      <c r="BN22" s="32">
        <f t="shared" si="26"/>
        <v>335286</v>
      </c>
      <c r="BO22" s="32">
        <f t="shared" si="26"/>
        <v>322561</v>
      </c>
      <c r="BP22" s="32">
        <f t="shared" si="26"/>
        <v>304307</v>
      </c>
      <c r="BQ22" s="32">
        <f t="shared" si="26"/>
        <v>280100</v>
      </c>
      <c r="BR22" s="32">
        <f>BR10-BR17</f>
        <v>215852</v>
      </c>
      <c r="BS22" s="32">
        <f>BS10-BS17</f>
        <v>188982</v>
      </c>
      <c r="BT22" s="32">
        <f>BS22</f>
        <v>188982</v>
      </c>
      <c r="BU22" s="28"/>
      <c r="BV22" s="32">
        <f t="shared" ref="BV22:CC22" si="27">BV15-BV17-BV18</f>
        <v>146255</v>
      </c>
      <c r="BW22" s="32">
        <f t="shared" si="27"/>
        <v>155653</v>
      </c>
      <c r="BX22" s="32">
        <f t="shared" si="27"/>
        <v>86338</v>
      </c>
      <c r="BY22" s="32">
        <f t="shared" si="27"/>
        <v>106862</v>
      </c>
      <c r="BZ22" s="32">
        <f t="shared" si="27"/>
        <v>112822</v>
      </c>
      <c r="CA22" s="32">
        <f t="shared" si="27"/>
        <v>149996</v>
      </c>
      <c r="CB22" s="32">
        <f t="shared" si="27"/>
        <v>145027</v>
      </c>
      <c r="CC22" s="32">
        <f t="shared" si="27"/>
        <v>102851</v>
      </c>
      <c r="CD22" s="32">
        <f>CD15-CD17-CD18</f>
        <v>116047</v>
      </c>
      <c r="CE22" s="32">
        <f>CE15-CE17-CE18</f>
        <v>86207</v>
      </c>
      <c r="CF22" s="32">
        <f>CF15-CF17-CF18</f>
        <v>109973</v>
      </c>
      <c r="CG22" s="32">
        <f>CG15-CG17-CG18</f>
        <v>94532</v>
      </c>
      <c r="CH22" s="32">
        <f t="shared" ref="CH22" si="28">CH15-CH17-CH18</f>
        <v>94532</v>
      </c>
      <c r="CJ22" s="32">
        <f t="shared" ref="CJ22:CU22" si="29">CJ15-CJ17-CJ18</f>
        <v>78423</v>
      </c>
      <c r="CK22" s="32">
        <f t="shared" si="29"/>
        <v>78497</v>
      </c>
      <c r="CL22" s="32">
        <f t="shared" si="29"/>
        <v>75052</v>
      </c>
      <c r="CM22" s="32">
        <f t="shared" si="29"/>
        <v>66486.340000000026</v>
      </c>
      <c r="CN22" s="32">
        <f t="shared" si="29"/>
        <v>172279.39</v>
      </c>
      <c r="CO22" s="32">
        <f t="shared" si="29"/>
        <v>245598.51</v>
      </c>
      <c r="CP22" s="32">
        <f t="shared" si="29"/>
        <v>235878.42</v>
      </c>
      <c r="CQ22" s="32">
        <f t="shared" si="29"/>
        <v>235983.11000000004</v>
      </c>
      <c r="CR22" s="32">
        <f t="shared" si="29"/>
        <v>177129.47000000006</v>
      </c>
      <c r="CS22" s="32">
        <f t="shared" si="29"/>
        <v>163912.55000000008</v>
      </c>
      <c r="CT22" s="32">
        <f t="shared" si="29"/>
        <v>175927.46000000005</v>
      </c>
      <c r="CU22" s="32">
        <f t="shared" si="29"/>
        <v>192343.64000000007</v>
      </c>
      <c r="CV22" s="32">
        <v>116080.10690622788</v>
      </c>
      <c r="CX22" s="32">
        <v>242497</v>
      </c>
      <c r="CY22" s="32">
        <v>234422.08006563294</v>
      </c>
      <c r="CZ22" s="32">
        <v>194348.7132915963</v>
      </c>
      <c r="DA22" s="32">
        <v>223062.99421980139</v>
      </c>
      <c r="DB22" s="32">
        <v>228884.86858944659</v>
      </c>
      <c r="DC22" s="32">
        <v>240669.78918926936</v>
      </c>
      <c r="DD22" s="32">
        <v>234679.65868928705</v>
      </c>
      <c r="DE22" s="32">
        <v>197008.01236523816</v>
      </c>
      <c r="DF22" s="32">
        <v>148007.96159444697</v>
      </c>
      <c r="DG22" s="32">
        <v>111276.29521213027</v>
      </c>
      <c r="DH22" s="32">
        <v>93072.105643725808</v>
      </c>
      <c r="DI22" s="32">
        <v>116080.10690622788</v>
      </c>
      <c r="DJ22" s="32">
        <v>116080.10690622788</v>
      </c>
    </row>
    <row r="23" spans="1:114">
      <c r="A23" s="13" t="s">
        <v>42</v>
      </c>
      <c r="B23" s="259"/>
      <c r="C23" s="260" t="s">
        <v>43</v>
      </c>
      <c r="D23" s="277">
        <f>D15-D17</f>
        <v>162884</v>
      </c>
      <c r="E23" s="33">
        <f t="shared" ref="E23:O23" si="30">E15+E19-E17-E60</f>
        <v>200610</v>
      </c>
      <c r="F23" s="33">
        <f t="shared" si="30"/>
        <v>192475</v>
      </c>
      <c r="G23" s="33">
        <f t="shared" si="30"/>
        <v>231853</v>
      </c>
      <c r="H23" s="33">
        <f t="shared" si="30"/>
        <v>253292</v>
      </c>
      <c r="I23" s="33">
        <f t="shared" si="30"/>
        <v>305688</v>
      </c>
      <c r="J23" s="33">
        <f t="shared" si="30"/>
        <v>355297</v>
      </c>
      <c r="K23" s="33">
        <f t="shared" si="30"/>
        <v>367201</v>
      </c>
      <c r="L23" s="33">
        <f t="shared" si="30"/>
        <v>407523</v>
      </c>
      <c r="M23" s="33">
        <f t="shared" si="30"/>
        <v>297747</v>
      </c>
      <c r="N23" s="33">
        <f t="shared" si="30"/>
        <v>0</v>
      </c>
      <c r="O23" s="33">
        <f t="shared" si="30"/>
        <v>143875</v>
      </c>
      <c r="P23" s="262">
        <f>J23</f>
        <v>355297</v>
      </c>
      <c r="Q23" s="15"/>
      <c r="R23" s="277">
        <f>R15-R17</f>
        <v>172568</v>
      </c>
      <c r="S23" s="14">
        <f t="shared" ref="S23:AC23" si="31">S15+S19-S17-S60</f>
        <v>244205</v>
      </c>
      <c r="T23" s="14">
        <f t="shared" si="31"/>
        <v>237108</v>
      </c>
      <c r="U23" s="14">
        <f t="shared" si="31"/>
        <v>222510</v>
      </c>
      <c r="V23" s="14">
        <f t="shared" si="31"/>
        <v>179647</v>
      </c>
      <c r="W23" s="14">
        <f t="shared" si="31"/>
        <v>289587</v>
      </c>
      <c r="X23" s="14">
        <f t="shared" si="31"/>
        <v>281331</v>
      </c>
      <c r="Y23" s="14">
        <f t="shared" si="31"/>
        <v>325686</v>
      </c>
      <c r="Z23" s="14">
        <f t="shared" si="31"/>
        <v>319329</v>
      </c>
      <c r="AA23" s="14">
        <f t="shared" si="31"/>
        <v>268663</v>
      </c>
      <c r="AB23" s="14">
        <f t="shared" si="31"/>
        <v>187543</v>
      </c>
      <c r="AC23" s="14">
        <f t="shared" si="31"/>
        <v>196995</v>
      </c>
      <c r="AD23" s="263">
        <f>X23</f>
        <v>281331</v>
      </c>
      <c r="AE23" s="16"/>
      <c r="AF23" s="14">
        <f t="shared" ref="AF23:AQ23" si="32">AF15+AF17+AF16</f>
        <v>228387</v>
      </c>
      <c r="AG23" s="14">
        <f t="shared" si="32"/>
        <v>263548</v>
      </c>
      <c r="AH23" s="14">
        <f t="shared" si="32"/>
        <v>366224</v>
      </c>
      <c r="AI23" s="14">
        <f t="shared" si="32"/>
        <v>361348</v>
      </c>
      <c r="AJ23" s="14">
        <f t="shared" si="32"/>
        <v>384008</v>
      </c>
      <c r="AK23" s="14">
        <f t="shared" si="32"/>
        <v>434489</v>
      </c>
      <c r="AL23" s="14">
        <f t="shared" si="32"/>
        <v>436438</v>
      </c>
      <c r="AM23" s="14">
        <f t="shared" si="32"/>
        <v>463198</v>
      </c>
      <c r="AN23" s="14">
        <f t="shared" si="32"/>
        <v>425121</v>
      </c>
      <c r="AO23" s="14">
        <f t="shared" si="32"/>
        <v>355477</v>
      </c>
      <c r="AP23" s="14">
        <f t="shared" si="32"/>
        <v>288104</v>
      </c>
      <c r="AQ23" s="14">
        <f t="shared" si="32"/>
        <v>298855</v>
      </c>
      <c r="AR23" s="14">
        <f t="shared" si="10"/>
        <v>298855</v>
      </c>
      <c r="AS23" s="17"/>
      <c r="AT23" s="14">
        <f t="shared" ref="AT23:BE23" si="33">AT15+AT17+AT16</f>
        <v>326269</v>
      </c>
      <c r="AU23" s="14">
        <f t="shared" si="33"/>
        <v>301870</v>
      </c>
      <c r="AV23" s="14">
        <f t="shared" si="33"/>
        <v>285491</v>
      </c>
      <c r="AW23" s="14">
        <f t="shared" si="33"/>
        <v>267653</v>
      </c>
      <c r="AX23" s="14">
        <f t="shared" si="33"/>
        <v>273960</v>
      </c>
      <c r="AY23" s="14">
        <f t="shared" si="33"/>
        <v>326260</v>
      </c>
      <c r="AZ23" s="14">
        <f t="shared" si="33"/>
        <v>333221</v>
      </c>
      <c r="BA23" s="14">
        <f t="shared" si="33"/>
        <v>354862</v>
      </c>
      <c r="BB23" s="14">
        <f t="shared" si="33"/>
        <v>348162</v>
      </c>
      <c r="BC23" s="14">
        <f t="shared" si="33"/>
        <v>319093</v>
      </c>
      <c r="BD23" s="14">
        <f t="shared" si="33"/>
        <v>293379</v>
      </c>
      <c r="BE23" s="14">
        <f t="shared" si="33"/>
        <v>234110</v>
      </c>
      <c r="BF23" s="32">
        <f t="shared" ref="BF23:BF24" si="34">SUM(AT23:BE23)</f>
        <v>3664330</v>
      </c>
      <c r="BG23" s="17"/>
      <c r="BH23" s="14">
        <f t="shared" ref="BH23:BS23" si="35">BH15+BH17+BH16</f>
        <v>285296</v>
      </c>
      <c r="BI23" s="14">
        <f t="shared" si="35"/>
        <v>282956</v>
      </c>
      <c r="BJ23" s="14">
        <f t="shared" si="35"/>
        <v>295165</v>
      </c>
      <c r="BK23" s="14">
        <f t="shared" si="35"/>
        <v>286135</v>
      </c>
      <c r="BL23" s="14">
        <f t="shared" si="35"/>
        <v>250340</v>
      </c>
      <c r="BM23" s="14">
        <f t="shared" si="35"/>
        <v>247600</v>
      </c>
      <c r="BN23" s="14">
        <f t="shared" si="35"/>
        <v>293505</v>
      </c>
      <c r="BO23" s="14">
        <f t="shared" si="35"/>
        <v>274542</v>
      </c>
      <c r="BP23" s="14">
        <f t="shared" si="35"/>
        <v>260352</v>
      </c>
      <c r="BQ23" s="14">
        <f>BQ15+BQ17+BQ16</f>
        <v>238595</v>
      </c>
      <c r="BR23" s="14">
        <f t="shared" si="35"/>
        <v>187546</v>
      </c>
      <c r="BS23" s="14">
        <f t="shared" si="35"/>
        <v>189617</v>
      </c>
      <c r="BT23" s="14">
        <f t="shared" si="21"/>
        <v>189617</v>
      </c>
      <c r="BU23" s="18"/>
      <c r="BV23" s="14">
        <f>BV15+BV17+BV16</f>
        <v>171889</v>
      </c>
      <c r="BW23" s="14">
        <f>BW15+BW19+BW16</f>
        <v>193178</v>
      </c>
      <c r="BX23" s="14">
        <f>BX15+BX17+BX16</f>
        <v>228367</v>
      </c>
      <c r="BY23" s="14">
        <f>BY15+BY17+BY16</f>
        <v>261297</v>
      </c>
      <c r="BZ23" s="14">
        <f>BZ15+BZ17+BZ16</f>
        <v>277757</v>
      </c>
      <c r="CA23" s="14">
        <f>CA15+CA17+CA16</f>
        <v>329719</v>
      </c>
      <c r="CB23" s="14">
        <f>CB15+CB17+CB16</f>
        <v>316656</v>
      </c>
      <c r="CC23" s="14">
        <f>CC15+CC17+CC16</f>
        <v>290388</v>
      </c>
      <c r="CD23" s="14">
        <f>CD15+CD17+CD16</f>
        <v>185778</v>
      </c>
      <c r="CE23" s="14">
        <f>CE15+CE17+CE16</f>
        <v>153110</v>
      </c>
      <c r="CF23" s="14">
        <f>CF15+CF17+CF16</f>
        <v>170562</v>
      </c>
      <c r="CG23" s="14">
        <f>CG15+CG17+CG16</f>
        <v>167396</v>
      </c>
      <c r="CH23" s="14">
        <f t="shared" si="18"/>
        <v>167396</v>
      </c>
      <c r="CJ23" s="14">
        <v>224424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X23" s="14">
        <v>224424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</row>
    <row r="24" spans="1:114">
      <c r="A24" s="34" t="s">
        <v>44</v>
      </c>
      <c r="B24" s="278"/>
      <c r="C24" s="445" t="s">
        <v>45</v>
      </c>
      <c r="D24" s="277">
        <f t="shared" ref="D24:O24" si="36">D10-D19-D17</f>
        <v>264261</v>
      </c>
      <c r="E24" s="33">
        <f t="shared" si="36"/>
        <v>275849</v>
      </c>
      <c r="F24" s="33">
        <f t="shared" si="36"/>
        <v>280253</v>
      </c>
      <c r="G24" s="33">
        <f t="shared" si="36"/>
        <v>256146</v>
      </c>
      <c r="H24" s="33">
        <f t="shared" si="36"/>
        <v>282462</v>
      </c>
      <c r="I24" s="33">
        <f t="shared" si="36"/>
        <v>336508</v>
      </c>
      <c r="J24" s="33">
        <f t="shared" si="36"/>
        <v>394861</v>
      </c>
      <c r="K24" s="33">
        <f t="shared" si="36"/>
        <v>399944</v>
      </c>
      <c r="L24" s="33">
        <f t="shared" si="36"/>
        <v>403515</v>
      </c>
      <c r="M24" s="33">
        <f t="shared" si="36"/>
        <v>254037</v>
      </c>
      <c r="N24" s="33">
        <f t="shared" si="36"/>
        <v>0</v>
      </c>
      <c r="O24" s="33">
        <f t="shared" si="36"/>
        <v>188264</v>
      </c>
      <c r="P24" s="262">
        <f t="shared" ref="P24:P25" si="37">O24</f>
        <v>188264</v>
      </c>
      <c r="Q24" s="15"/>
      <c r="R24" s="277">
        <f t="shared" ref="R24:AC24" si="38">R10-R19-R17</f>
        <v>244467</v>
      </c>
      <c r="S24" s="14">
        <f t="shared" si="38"/>
        <v>295020</v>
      </c>
      <c r="T24" s="14">
        <f t="shared" si="38"/>
        <v>254796</v>
      </c>
      <c r="U24" s="14">
        <f t="shared" si="38"/>
        <v>240747</v>
      </c>
      <c r="V24" s="14">
        <f t="shared" si="38"/>
        <v>104747</v>
      </c>
      <c r="W24" s="14">
        <f t="shared" si="38"/>
        <v>162106</v>
      </c>
      <c r="X24" s="14">
        <f t="shared" si="38"/>
        <v>340068</v>
      </c>
      <c r="Y24" s="14">
        <f t="shared" si="38"/>
        <v>322792</v>
      </c>
      <c r="Z24" s="14">
        <f t="shared" si="38"/>
        <v>330677</v>
      </c>
      <c r="AA24" s="14">
        <f t="shared" si="38"/>
        <v>229141</v>
      </c>
      <c r="AB24" s="14">
        <f t="shared" si="38"/>
        <v>126169</v>
      </c>
      <c r="AC24" s="14">
        <f t="shared" si="38"/>
        <v>173047</v>
      </c>
      <c r="AD24" s="263">
        <f t="shared" ref="AD24:AD25" si="39">AC24</f>
        <v>173047</v>
      </c>
      <c r="AE24" s="16"/>
      <c r="AF24" s="261">
        <f t="shared" ref="AF24:AQ24" si="40">AF23-AF17</f>
        <v>220021</v>
      </c>
      <c r="AG24" s="261">
        <f t="shared" si="40"/>
        <v>252014</v>
      </c>
      <c r="AH24" s="261">
        <f t="shared" si="40"/>
        <v>354717</v>
      </c>
      <c r="AI24" s="261">
        <f t="shared" si="40"/>
        <v>352200</v>
      </c>
      <c r="AJ24" s="261">
        <f t="shared" si="40"/>
        <v>375484</v>
      </c>
      <c r="AK24" s="261">
        <f t="shared" si="40"/>
        <v>409199</v>
      </c>
      <c r="AL24" s="261">
        <f t="shared" si="40"/>
        <v>345358</v>
      </c>
      <c r="AM24" s="261">
        <f t="shared" si="40"/>
        <v>396368</v>
      </c>
      <c r="AN24" s="261">
        <f t="shared" si="40"/>
        <v>388255</v>
      </c>
      <c r="AO24" s="261">
        <f t="shared" si="40"/>
        <v>339304</v>
      </c>
      <c r="AP24" s="261">
        <f t="shared" si="40"/>
        <v>109830</v>
      </c>
      <c r="AQ24" s="261">
        <f t="shared" si="40"/>
        <v>88190</v>
      </c>
      <c r="AR24" s="14">
        <f t="shared" si="10"/>
        <v>88190</v>
      </c>
      <c r="AS24" s="17"/>
      <c r="AT24" s="261">
        <f t="shared" ref="AT24:BE24" si="41">AT23-AT17</f>
        <v>205194</v>
      </c>
      <c r="AU24" s="261">
        <f t="shared" si="41"/>
        <v>152494</v>
      </c>
      <c r="AV24" s="261">
        <f t="shared" si="41"/>
        <v>180953</v>
      </c>
      <c r="AW24" s="261">
        <f t="shared" si="41"/>
        <v>162391</v>
      </c>
      <c r="AX24" s="261">
        <f t="shared" si="41"/>
        <v>152887</v>
      </c>
      <c r="AY24" s="261">
        <f t="shared" si="41"/>
        <v>162329</v>
      </c>
      <c r="AZ24" s="261">
        <f t="shared" si="41"/>
        <v>223257</v>
      </c>
      <c r="BA24" s="261">
        <f t="shared" si="41"/>
        <v>206596</v>
      </c>
      <c r="BB24" s="261">
        <f t="shared" si="41"/>
        <v>217465</v>
      </c>
      <c r="BC24" s="261">
        <f t="shared" si="41"/>
        <v>205314</v>
      </c>
      <c r="BD24" s="261">
        <f t="shared" si="41"/>
        <v>202260</v>
      </c>
      <c r="BE24" s="261">
        <f t="shared" si="41"/>
        <v>130824</v>
      </c>
      <c r="BF24" s="32">
        <f t="shared" si="34"/>
        <v>2201964</v>
      </c>
      <c r="BG24" s="35">
        <f>SUM(AT27:AY27)/SUM(AF61:AK61)-1</f>
        <v>0.2283258050797119</v>
      </c>
      <c r="BH24" s="416">
        <f t="shared" ref="BH24:BS24" si="42">BH23-BH17</f>
        <v>235665</v>
      </c>
      <c r="BI24" s="416">
        <f t="shared" si="42"/>
        <v>230003</v>
      </c>
      <c r="BJ24" s="416">
        <f t="shared" si="42"/>
        <v>266725</v>
      </c>
      <c r="BK24" s="416">
        <f t="shared" si="42"/>
        <v>202534</v>
      </c>
      <c r="BL24" s="417">
        <f t="shared" si="42"/>
        <v>224528</v>
      </c>
      <c r="BM24" s="417">
        <f t="shared" si="42"/>
        <v>188055</v>
      </c>
      <c r="BN24" s="417">
        <f t="shared" si="42"/>
        <v>210070</v>
      </c>
      <c r="BO24" s="417">
        <f t="shared" si="42"/>
        <v>240501</v>
      </c>
      <c r="BP24" s="417">
        <f t="shared" si="42"/>
        <v>237953</v>
      </c>
      <c r="BQ24" s="417">
        <f t="shared" si="42"/>
        <v>213708</v>
      </c>
      <c r="BR24" s="417">
        <f t="shared" si="42"/>
        <v>175363</v>
      </c>
      <c r="BS24" s="417">
        <f t="shared" si="42"/>
        <v>177434</v>
      </c>
      <c r="BT24" s="417">
        <f t="shared" si="21"/>
        <v>177434</v>
      </c>
      <c r="BU24" s="18"/>
      <c r="BV24" s="261">
        <f>BV23-BV17</f>
        <v>166673</v>
      </c>
      <c r="BW24" s="261">
        <f>BW23-BW17</f>
        <v>193178</v>
      </c>
      <c r="BX24" s="261">
        <f>BX23-BX17</f>
        <v>163094</v>
      </c>
      <c r="BY24" s="416">
        <f>BY23-BY17</f>
        <v>191115</v>
      </c>
      <c r="BZ24" s="417">
        <f>BZ23-BZ17</f>
        <v>220098</v>
      </c>
      <c r="CA24" s="417">
        <f>CA23-CA17</f>
        <v>258050</v>
      </c>
      <c r="CB24" s="417">
        <f>CB23-CB17</f>
        <v>243578</v>
      </c>
      <c r="CC24" s="417">
        <f>CC23-CC17</f>
        <v>205086</v>
      </c>
      <c r="CD24" s="417">
        <f>CD23-CD17</f>
        <v>160435</v>
      </c>
      <c r="CE24" s="417">
        <f>CE23-CE17</f>
        <v>134080</v>
      </c>
      <c r="CF24" s="417">
        <f>CF23-CF17</f>
        <v>151140</v>
      </c>
      <c r="CG24" s="417">
        <f>CG23-CG17</f>
        <v>141469</v>
      </c>
      <c r="CH24" s="417">
        <f t="shared" si="18"/>
        <v>141469</v>
      </c>
      <c r="CJ24" s="261">
        <v>219208</v>
      </c>
      <c r="CK24" s="261">
        <v>0</v>
      </c>
      <c r="CL24" s="261">
        <v>0</v>
      </c>
      <c r="CM24" s="416">
        <v>0</v>
      </c>
      <c r="CN24" s="417">
        <v>0</v>
      </c>
      <c r="CO24" s="417">
        <v>0</v>
      </c>
      <c r="CP24" s="417">
        <v>0</v>
      </c>
      <c r="CQ24" s="417">
        <v>0</v>
      </c>
      <c r="CR24" s="417">
        <v>0</v>
      </c>
      <c r="CS24" s="417">
        <v>0</v>
      </c>
      <c r="CT24" s="417">
        <v>0</v>
      </c>
      <c r="CU24" s="417">
        <v>0</v>
      </c>
      <c r="CV24" s="417">
        <v>0</v>
      </c>
      <c r="CX24" s="261">
        <v>219208</v>
      </c>
      <c r="CY24" s="261">
        <v>0</v>
      </c>
      <c r="CZ24" s="261">
        <v>0</v>
      </c>
      <c r="DA24" s="416">
        <v>0</v>
      </c>
      <c r="DB24" s="417">
        <v>0</v>
      </c>
      <c r="DC24" s="417">
        <v>0</v>
      </c>
      <c r="DD24" s="417">
        <v>0</v>
      </c>
      <c r="DE24" s="417">
        <v>0</v>
      </c>
      <c r="DF24" s="417">
        <v>0</v>
      </c>
      <c r="DG24" s="417">
        <v>0</v>
      </c>
      <c r="DH24" s="417">
        <v>0</v>
      </c>
      <c r="DI24" s="417">
        <v>0</v>
      </c>
      <c r="DJ24" s="417">
        <v>0</v>
      </c>
    </row>
    <row r="25" spans="1:114" ht="15.75">
      <c r="A25" s="447" t="s">
        <v>46</v>
      </c>
      <c r="B25" s="448"/>
      <c r="C25" s="449" t="s">
        <v>47</v>
      </c>
      <c r="D25" s="281">
        <f t="shared" ref="D25:O25" si="43">D10</f>
        <v>304786</v>
      </c>
      <c r="E25" s="37">
        <f t="shared" si="43"/>
        <v>311986</v>
      </c>
      <c r="F25" s="37">
        <f t="shared" si="43"/>
        <v>328231</v>
      </c>
      <c r="G25" s="37">
        <f t="shared" si="43"/>
        <v>317873</v>
      </c>
      <c r="H25" s="37">
        <f t="shared" si="43"/>
        <v>347196</v>
      </c>
      <c r="I25" s="37">
        <f t="shared" si="43"/>
        <v>402253</v>
      </c>
      <c r="J25" s="37">
        <f t="shared" si="43"/>
        <v>454488</v>
      </c>
      <c r="K25" s="37">
        <f t="shared" si="43"/>
        <v>447182</v>
      </c>
      <c r="L25" s="37">
        <f t="shared" si="43"/>
        <v>416931</v>
      </c>
      <c r="M25" s="37">
        <f t="shared" si="43"/>
        <v>304402</v>
      </c>
      <c r="N25" s="37">
        <f t="shared" si="43"/>
        <v>0</v>
      </c>
      <c r="O25" s="37">
        <f t="shared" si="43"/>
        <v>188264</v>
      </c>
      <c r="P25" s="38">
        <f t="shared" si="37"/>
        <v>188264</v>
      </c>
      <c r="Q25" s="39"/>
      <c r="R25" s="40">
        <f t="shared" ref="R25:AC25" si="44">R10</f>
        <v>283359</v>
      </c>
      <c r="S25" s="41">
        <f t="shared" si="44"/>
        <v>342718</v>
      </c>
      <c r="T25" s="41">
        <f t="shared" si="44"/>
        <v>313212</v>
      </c>
      <c r="U25" s="41">
        <f t="shared" si="44"/>
        <v>298093</v>
      </c>
      <c r="V25" s="41">
        <f t="shared" si="44"/>
        <v>206617</v>
      </c>
      <c r="W25" s="41">
        <f t="shared" si="44"/>
        <v>235875</v>
      </c>
      <c r="X25" s="41">
        <f t="shared" si="44"/>
        <v>360135</v>
      </c>
      <c r="Y25" s="41">
        <f t="shared" si="44"/>
        <v>361665</v>
      </c>
      <c r="Z25" s="41">
        <f t="shared" si="44"/>
        <v>353400</v>
      </c>
      <c r="AA25" s="41">
        <f t="shared" si="44"/>
        <v>272097</v>
      </c>
      <c r="AB25" s="41">
        <f t="shared" si="44"/>
        <v>170626</v>
      </c>
      <c r="AC25" s="41">
        <f t="shared" si="44"/>
        <v>197551</v>
      </c>
      <c r="AD25" s="229">
        <f t="shared" si="39"/>
        <v>197551</v>
      </c>
      <c r="AE25" s="42"/>
      <c r="AF25" s="41">
        <f>AF10-AF60</f>
        <v>255339</v>
      </c>
      <c r="AG25" s="41">
        <f t="shared" ref="AG25:AQ25" si="45">AG10-AG60</f>
        <v>292621</v>
      </c>
      <c r="AH25" s="41">
        <f t="shared" si="45"/>
        <v>397976</v>
      </c>
      <c r="AI25" s="41">
        <f t="shared" si="45"/>
        <v>388165</v>
      </c>
      <c r="AJ25" s="41">
        <f t="shared" si="45"/>
        <v>409301</v>
      </c>
      <c r="AK25" s="41">
        <f t="shared" si="45"/>
        <v>490913</v>
      </c>
      <c r="AL25" s="41">
        <f t="shared" si="45"/>
        <v>563229</v>
      </c>
      <c r="AM25" s="41">
        <f t="shared" si="45"/>
        <v>559169</v>
      </c>
      <c r="AN25" s="41">
        <f t="shared" si="45"/>
        <v>487294</v>
      </c>
      <c r="AO25" s="41">
        <f t="shared" si="45"/>
        <v>407614</v>
      </c>
      <c r="AP25" s="41">
        <f t="shared" si="45"/>
        <v>503756</v>
      </c>
      <c r="AQ25" s="41">
        <f t="shared" si="45"/>
        <v>522741</v>
      </c>
      <c r="AR25" s="41">
        <f t="shared" si="10"/>
        <v>522741</v>
      </c>
      <c r="AS25" s="42"/>
      <c r="AT25" s="41">
        <f t="shared" ref="AT25:BB25" si="46">AT10-AT60</f>
        <v>364736</v>
      </c>
      <c r="AU25" s="41">
        <f t="shared" si="46"/>
        <v>382608</v>
      </c>
      <c r="AV25" s="41">
        <f t="shared" si="46"/>
        <v>322837</v>
      </c>
      <c r="AW25" s="41">
        <f t="shared" si="46"/>
        <v>339249</v>
      </c>
      <c r="AX25" s="41">
        <f t="shared" si="46"/>
        <v>382307</v>
      </c>
      <c r="AY25" s="41">
        <f t="shared" si="46"/>
        <v>446417</v>
      </c>
      <c r="AZ25" s="41">
        <f t="shared" si="46"/>
        <v>406019</v>
      </c>
      <c r="BA25" s="41">
        <f t="shared" si="46"/>
        <v>457091</v>
      </c>
      <c r="BB25" s="41">
        <f t="shared" si="46"/>
        <v>439103</v>
      </c>
      <c r="BC25" s="41">
        <f>BB25-BC27+BC71-BC60</f>
        <v>267702.70924434217</v>
      </c>
      <c r="BD25" s="41">
        <f>BC25-BD27+BD71-BD60</f>
        <v>224792.12236286921</v>
      </c>
      <c r="BE25" s="41">
        <f>BD25-BE27+BE71-BE60</f>
        <v>209302.50939777523</v>
      </c>
      <c r="BF25" s="41">
        <f>BE25</f>
        <v>209302.50939777523</v>
      </c>
      <c r="BG25" s="43">
        <f>BG27/AR27</f>
        <v>7.0333736034655189E-2</v>
      </c>
      <c r="BH25" s="41">
        <f t="shared" ref="BH25:BS25" si="47">BH10-BH60</f>
        <v>287739</v>
      </c>
      <c r="BI25" s="41">
        <f t="shared" si="47"/>
        <v>274599</v>
      </c>
      <c r="BJ25" s="41">
        <f t="shared" si="47"/>
        <v>249895</v>
      </c>
      <c r="BK25" s="41">
        <f t="shared" si="47"/>
        <v>311315</v>
      </c>
      <c r="BL25" s="41">
        <f t="shared" si="47"/>
        <v>277855</v>
      </c>
      <c r="BM25" s="41">
        <f t="shared" si="47"/>
        <v>301815</v>
      </c>
      <c r="BN25" s="41">
        <f t="shared" si="47"/>
        <v>325519</v>
      </c>
      <c r="BO25" s="41">
        <f t="shared" si="47"/>
        <v>255915</v>
      </c>
      <c r="BP25" s="41">
        <f t="shared" si="47"/>
        <v>198711</v>
      </c>
      <c r="BQ25" s="41">
        <f t="shared" si="47"/>
        <v>182301</v>
      </c>
      <c r="BR25" s="41">
        <f t="shared" si="47"/>
        <v>228035</v>
      </c>
      <c r="BS25" s="41">
        <f t="shared" si="47"/>
        <v>201165</v>
      </c>
      <c r="BT25" s="41">
        <f t="shared" si="21"/>
        <v>201165</v>
      </c>
      <c r="BU25" s="45"/>
      <c r="BV25" s="41">
        <f>BV10-BV60</f>
        <v>247713</v>
      </c>
      <c r="BW25" s="41">
        <f>BW10-BW60</f>
        <v>278707</v>
      </c>
      <c r="BX25" s="41">
        <f>BX10-BX60</f>
        <v>281829</v>
      </c>
      <c r="BY25" s="41">
        <f>BY10-BY60</f>
        <v>317753</v>
      </c>
      <c r="BZ25" s="41">
        <f>BZ10-BZ60</f>
        <v>270339</v>
      </c>
      <c r="CA25" s="41">
        <f>CA10-CA60</f>
        <v>310383</v>
      </c>
      <c r="CB25" s="41">
        <f>CB10-CB60</f>
        <v>328365</v>
      </c>
      <c r="CC25" s="41">
        <f>CC10-CC60</f>
        <v>333476</v>
      </c>
      <c r="CD25" s="41">
        <f>CD10-CD60</f>
        <v>306264</v>
      </c>
      <c r="CE25" s="41">
        <f>CE10-CE60</f>
        <v>270370</v>
      </c>
      <c r="CF25" s="41">
        <f>CF10-CF60</f>
        <v>194014</v>
      </c>
      <c r="CG25" s="41">
        <f>CG10-CG60</f>
        <v>182266</v>
      </c>
      <c r="CH25" s="41">
        <f t="shared" si="18"/>
        <v>182266</v>
      </c>
      <c r="CJ25" s="41">
        <v>247713</v>
      </c>
      <c r="CK25" s="41">
        <v>234422.08006563294</v>
      </c>
      <c r="CL25" s="41">
        <v>194348.7132915963</v>
      </c>
      <c r="CM25" s="41">
        <v>223062.99421980139</v>
      </c>
      <c r="CN25" s="41">
        <v>228884.86858944659</v>
      </c>
      <c r="CO25" s="41">
        <v>240669.78918926936</v>
      </c>
      <c r="CP25" s="41">
        <v>234679.65868928705</v>
      </c>
      <c r="CQ25" s="41">
        <v>197008.01236523816</v>
      </c>
      <c r="CR25" s="41">
        <v>148007.96159444697</v>
      </c>
      <c r="CS25" s="41">
        <v>111276.29521213027</v>
      </c>
      <c r="CT25" s="41">
        <v>93072.105643725808</v>
      </c>
      <c r="CU25" s="41">
        <v>116080.10690622788</v>
      </c>
      <c r="CV25" s="41">
        <v>116080.10690622788</v>
      </c>
      <c r="CW25" s="598">
        <f>CV27-459000</f>
        <v>1692766.65</v>
      </c>
      <c r="CX25" s="41">
        <v>247713</v>
      </c>
      <c r="CY25" s="41">
        <v>234422.08006563294</v>
      </c>
      <c r="CZ25" s="41">
        <v>194348.7132915963</v>
      </c>
      <c r="DA25" s="41">
        <v>223062.99421980139</v>
      </c>
      <c r="DB25" s="41">
        <v>228884.86858944659</v>
      </c>
      <c r="DC25" s="41">
        <v>240669.78918926936</v>
      </c>
      <c r="DD25" s="41">
        <v>234679.65868928705</v>
      </c>
      <c r="DE25" s="41">
        <v>197008.01236523816</v>
      </c>
      <c r="DF25" s="41">
        <v>148007.96159444697</v>
      </c>
      <c r="DG25" s="41">
        <v>111276.29521213027</v>
      </c>
      <c r="DH25" s="41">
        <v>93072.105643725808</v>
      </c>
      <c r="DI25" s="41">
        <v>116080.10690622788</v>
      </c>
      <c r="DJ25" s="41">
        <v>116080.10690622788</v>
      </c>
    </row>
    <row r="26" spans="1:114">
      <c r="A26" s="46"/>
      <c r="B26" s="47" t="s">
        <v>48</v>
      </c>
      <c r="C26" s="446"/>
      <c r="D26" s="283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284"/>
      <c r="Q26" s="49"/>
      <c r="R26" s="283"/>
      <c r="S26" s="50"/>
      <c r="T26" s="50"/>
      <c r="U26" s="50"/>
      <c r="V26" s="51"/>
      <c r="W26" s="51"/>
      <c r="X26" s="51"/>
      <c r="Y26" s="51"/>
      <c r="Z26" s="51"/>
      <c r="AA26" s="51"/>
      <c r="AB26" s="51"/>
      <c r="AC26" s="50"/>
      <c r="AD26" s="285"/>
      <c r="AE26" s="23"/>
      <c r="AF26" s="286">
        <f t="shared" ref="AF26:AP26" si="48">AF10/AG27</f>
        <v>1.4346741432881778</v>
      </c>
      <c r="AG26" s="286">
        <f t="shared" si="48"/>
        <v>3.9745327610561771</v>
      </c>
      <c r="AH26" s="286">
        <f t="shared" si="48"/>
        <v>4.4537254638644557</v>
      </c>
      <c r="AI26" s="286">
        <f t="shared" si="48"/>
        <v>3.1781895295331357</v>
      </c>
      <c r="AJ26" s="286">
        <f t="shared" si="48"/>
        <v>2.7551225094238019</v>
      </c>
      <c r="AK26" s="286">
        <f t="shared" si="48"/>
        <v>3.2297970327971317</v>
      </c>
      <c r="AL26" s="286">
        <f t="shared" si="48"/>
        <v>2.3575635299682296</v>
      </c>
      <c r="AM26" s="286">
        <f t="shared" si="48"/>
        <v>2.1413160582078121</v>
      </c>
      <c r="AN26" s="286">
        <f t="shared" si="48"/>
        <v>1.9042360296991012</v>
      </c>
      <c r="AO26" s="286">
        <f t="shared" si="48"/>
        <v>3.1686411691542289</v>
      </c>
      <c r="AP26" s="286">
        <f t="shared" si="48"/>
        <v>5.1487735077677845</v>
      </c>
      <c r="AQ26" s="286">
        <f>AQ10/AT27</f>
        <v>3.4807306746186968</v>
      </c>
      <c r="AR26" s="287">
        <f>AQ26</f>
        <v>3.4807306746186968</v>
      </c>
      <c r="AS26" s="23"/>
      <c r="AT26" s="286">
        <f>AT10/AU27</f>
        <v>2.7971286279646934</v>
      </c>
      <c r="AU26" s="286">
        <f>AU10/AV27</f>
        <v>3.0710063937614676</v>
      </c>
      <c r="AV26" s="286">
        <f>AV10/AW27</f>
        <v>2.5847779910329129</v>
      </c>
      <c r="AW26" s="286">
        <f>AW10/AX27</f>
        <v>3.3142307600651066</v>
      </c>
      <c r="AX26" s="286">
        <f>AX10/AY27</f>
        <v>3.0202081128011216</v>
      </c>
      <c r="AY26" s="286">
        <f t="shared" ref="AY26:BD26" si="49">AY10/(AZ57+AZ56)</f>
        <v>3.0375411110446691</v>
      </c>
      <c r="AZ26" s="286">
        <f t="shared" si="49"/>
        <v>1.7862994390436959</v>
      </c>
      <c r="BA26" s="286">
        <f t="shared" si="49"/>
        <v>2.3917338115287117</v>
      </c>
      <c r="BB26" s="286">
        <f t="shared" si="49"/>
        <v>2.0297186803388318</v>
      </c>
      <c r="BC26" s="286">
        <f t="shared" si="49"/>
        <v>2.9418601583113455</v>
      </c>
      <c r="BD26" s="286">
        <f t="shared" si="49"/>
        <v>5.3595753009100697</v>
      </c>
      <c r="BE26" s="286">
        <f>BE10/BH27</f>
        <v>2.3338657833234047</v>
      </c>
      <c r="BF26" s="52"/>
      <c r="BG26" s="27"/>
      <c r="BH26" s="418">
        <f t="shared" ref="BH26:BN26" si="50">BH10/BI27</f>
        <v>2.4324841588586663</v>
      </c>
      <c r="BI26" s="418">
        <f t="shared" si="50"/>
        <v>2.0694790126570033</v>
      </c>
      <c r="BJ26" s="418">
        <f t="shared" si="50"/>
        <v>2.1548303749075362</v>
      </c>
      <c r="BK26" s="418">
        <f t="shared" si="50"/>
        <v>2.940658548141605</v>
      </c>
      <c r="BL26" s="418">
        <f t="shared" si="50"/>
        <v>2.5009495450993295</v>
      </c>
      <c r="BM26" s="418">
        <f t="shared" si="50"/>
        <v>2.0577586855214944</v>
      </c>
      <c r="BN26" s="418">
        <f t="shared" si="50"/>
        <v>2.3320530115558045</v>
      </c>
      <c r="BO26" s="419"/>
      <c r="BP26" s="419"/>
      <c r="BQ26" s="419"/>
      <c r="BR26" s="419"/>
      <c r="BS26" s="419"/>
      <c r="BT26" s="419"/>
      <c r="BU26" s="54"/>
      <c r="BV26" s="286">
        <v>0</v>
      </c>
      <c r="BW26" s="286">
        <v>0</v>
      </c>
      <c r="BX26" s="286">
        <v>0</v>
      </c>
      <c r="BY26" s="418">
        <v>0</v>
      </c>
      <c r="BZ26" s="418">
        <v>0</v>
      </c>
      <c r="CA26" s="418">
        <v>0</v>
      </c>
      <c r="CB26" s="418">
        <v>0</v>
      </c>
      <c r="CC26" s="418">
        <v>0</v>
      </c>
      <c r="CD26" s="418">
        <v>0</v>
      </c>
      <c r="CE26" s="418">
        <v>0</v>
      </c>
      <c r="CF26" s="418">
        <v>0</v>
      </c>
      <c r="CG26" s="419"/>
      <c r="CH26" s="419"/>
      <c r="CJ26" s="286">
        <v>0</v>
      </c>
      <c r="CK26" s="286">
        <v>0</v>
      </c>
      <c r="CL26" s="286">
        <v>0</v>
      </c>
      <c r="CM26" s="418">
        <v>0</v>
      </c>
      <c r="CN26" s="418">
        <v>0</v>
      </c>
      <c r="CO26" s="418">
        <v>0</v>
      </c>
      <c r="CP26" s="418">
        <v>0</v>
      </c>
      <c r="CQ26" s="418">
        <v>0</v>
      </c>
      <c r="CR26" s="418">
        <v>0</v>
      </c>
      <c r="CS26" s="418">
        <v>0</v>
      </c>
      <c r="CT26" s="418">
        <v>0</v>
      </c>
      <c r="CU26" s="419"/>
      <c r="CV26" s="419"/>
      <c r="CX26" s="286">
        <v>0</v>
      </c>
      <c r="CY26" s="286">
        <v>0</v>
      </c>
      <c r="CZ26" s="286">
        <v>0</v>
      </c>
      <c r="DA26" s="418">
        <v>0</v>
      </c>
      <c r="DB26" s="418">
        <v>0</v>
      </c>
      <c r="DC26" s="418">
        <v>0</v>
      </c>
      <c r="DD26" s="418">
        <v>0</v>
      </c>
      <c r="DE26" s="418">
        <v>0</v>
      </c>
      <c r="DF26" s="418">
        <v>0</v>
      </c>
      <c r="DG26" s="418">
        <v>0</v>
      </c>
      <c r="DH26" s="418">
        <v>0</v>
      </c>
      <c r="DI26" s="419"/>
      <c r="DJ26" s="419"/>
    </row>
    <row r="27" spans="1:114" ht="18.75">
      <c r="A27" s="55">
        <v>6</v>
      </c>
      <c r="B27" s="56" t="s">
        <v>49</v>
      </c>
      <c r="C27" s="280"/>
      <c r="D27" s="288">
        <f t="shared" ref="D27:P27" si="51">SUM(D31:D54)</f>
        <v>82250</v>
      </c>
      <c r="E27" s="57">
        <f t="shared" si="51"/>
        <v>117000</v>
      </c>
      <c r="F27" s="57">
        <f t="shared" si="51"/>
        <v>121750</v>
      </c>
      <c r="G27" s="57">
        <f t="shared" si="51"/>
        <v>150000</v>
      </c>
      <c r="H27" s="57">
        <f t="shared" si="51"/>
        <v>99500</v>
      </c>
      <c r="I27" s="57">
        <f t="shared" si="51"/>
        <v>102000</v>
      </c>
      <c r="J27" s="57">
        <f t="shared" si="51"/>
        <v>177632</v>
      </c>
      <c r="K27" s="57">
        <f t="shared" si="51"/>
        <v>178158</v>
      </c>
      <c r="L27" s="57">
        <f t="shared" si="51"/>
        <v>199211</v>
      </c>
      <c r="M27" s="57">
        <f t="shared" si="51"/>
        <v>229474</v>
      </c>
      <c r="N27" s="57">
        <f t="shared" si="51"/>
        <v>122368</v>
      </c>
      <c r="O27" s="57">
        <f t="shared" si="51"/>
        <v>38421</v>
      </c>
      <c r="P27" s="289">
        <f t="shared" si="51"/>
        <v>1617764</v>
      </c>
      <c r="Q27" s="39"/>
      <c r="R27" s="288">
        <f t="shared" ref="R27:AC27" si="52">R31+R55</f>
        <v>136177.33998294926</v>
      </c>
      <c r="S27" s="58">
        <f t="shared" si="52"/>
        <v>143840.32639116928</v>
      </c>
      <c r="T27" s="58">
        <f t="shared" si="52"/>
        <v>142553.77192982455</v>
      </c>
      <c r="U27" s="58">
        <f t="shared" si="52"/>
        <v>19814.899999999998</v>
      </c>
      <c r="V27" s="58">
        <f t="shared" si="52"/>
        <v>52085</v>
      </c>
      <c r="W27" s="290">
        <f t="shared" si="52"/>
        <v>70169.381950239796</v>
      </c>
      <c r="X27" s="290">
        <f t="shared" si="52"/>
        <v>144463.33333333299</v>
      </c>
      <c r="Y27" s="290">
        <f t="shared" si="52"/>
        <v>226547.08333333331</v>
      </c>
      <c r="Z27" s="290">
        <f t="shared" si="52"/>
        <v>273187.5</v>
      </c>
      <c r="AA27" s="290">
        <f t="shared" si="52"/>
        <v>172100</v>
      </c>
      <c r="AB27" s="290">
        <f t="shared" si="52"/>
        <v>37500</v>
      </c>
      <c r="AC27" s="290">
        <f t="shared" si="52"/>
        <v>0</v>
      </c>
      <c r="AD27" s="291">
        <f>SUM(R27:AC27)</f>
        <v>1418438.6369208493</v>
      </c>
      <c r="AE27" s="59"/>
      <c r="AF27" s="292">
        <f>AF31+AF55</f>
        <v>128646</v>
      </c>
      <c r="AG27" s="58">
        <f t="shared" ref="AG27:AQ27" si="53">AG31+AG55</f>
        <v>177977</v>
      </c>
      <c r="AH27" s="58">
        <f t="shared" si="53"/>
        <v>73624</v>
      </c>
      <c r="AI27" s="58">
        <f t="shared" si="53"/>
        <v>89358</v>
      </c>
      <c r="AJ27" s="58">
        <f t="shared" si="53"/>
        <v>122134</v>
      </c>
      <c r="AK27" s="58">
        <f t="shared" si="53"/>
        <v>148560</v>
      </c>
      <c r="AL27" s="58">
        <f t="shared" si="53"/>
        <v>151995</v>
      </c>
      <c r="AM27" s="58">
        <f t="shared" si="53"/>
        <v>238903</v>
      </c>
      <c r="AN27" s="58">
        <f t="shared" si="53"/>
        <v>261133.33333333334</v>
      </c>
      <c r="AO27" s="58">
        <f t="shared" si="53"/>
        <v>255900</v>
      </c>
      <c r="AP27" s="58">
        <f t="shared" si="53"/>
        <v>128640</v>
      </c>
      <c r="AQ27" s="58">
        <f t="shared" si="53"/>
        <v>97840</v>
      </c>
      <c r="AR27" s="58">
        <f>SUM(AF27:AQ27)</f>
        <v>1874710.3333333333</v>
      </c>
      <c r="AS27" s="59"/>
      <c r="AT27" s="58">
        <f t="shared" ref="AT27:BD27" si="54">AT31+AT55</f>
        <v>152749.25</v>
      </c>
      <c r="AU27" s="58">
        <f t="shared" si="54"/>
        <v>168522.10344827586</v>
      </c>
      <c r="AV27" s="58">
        <f t="shared" si="54"/>
        <v>154121.13793103449</v>
      </c>
      <c r="AW27" s="58">
        <f t="shared" si="54"/>
        <v>159595.13793103449</v>
      </c>
      <c r="AX27" s="58">
        <f t="shared" si="54"/>
        <v>120099.96551724138</v>
      </c>
      <c r="AY27" s="58">
        <f t="shared" si="54"/>
        <v>138343.77777777778</v>
      </c>
      <c r="AZ27" s="58">
        <f t="shared" si="54"/>
        <v>166673.77777777778</v>
      </c>
      <c r="BA27" s="58">
        <f t="shared" si="54"/>
        <v>242442.29629629629</v>
      </c>
      <c r="BB27" s="58">
        <f t="shared" si="54"/>
        <v>243407.77777777778</v>
      </c>
      <c r="BC27" s="58">
        <f t="shared" si="54"/>
        <v>253368.29075565783</v>
      </c>
      <c r="BD27" s="58">
        <f t="shared" si="54"/>
        <v>134555.58688147296</v>
      </c>
      <c r="BE27" s="58">
        <f>BE31+BE56</f>
        <v>72686.612965093984</v>
      </c>
      <c r="BF27" s="58">
        <f t="shared" ref="BF27:BF29" si="55">SUM(AT27:BE27)</f>
        <v>2006565.7150594404</v>
      </c>
      <c r="BG27" s="59">
        <f>BF27-AR27</f>
        <v>131855.38172610709</v>
      </c>
      <c r="BH27" s="58">
        <f>BH28+BH55</f>
        <v>152753</v>
      </c>
      <c r="BI27" s="58">
        <f t="shared" ref="BI27:BN27" si="56">BI28+BI55</f>
        <v>146822.33333333331</v>
      </c>
      <c r="BJ27" s="58">
        <f t="shared" si="56"/>
        <v>171546.07407407407</v>
      </c>
      <c r="BK27" s="58">
        <f t="shared" si="56"/>
        <v>159771.74074074073</v>
      </c>
      <c r="BL27" s="58">
        <f t="shared" si="56"/>
        <v>132496.85185185185</v>
      </c>
      <c r="BM27" s="58">
        <f t="shared" si="56"/>
        <v>129906.25925925926</v>
      </c>
      <c r="BN27" s="58">
        <f t="shared" si="56"/>
        <v>171383.55555555556</v>
      </c>
      <c r="BO27" s="58">
        <f>BO28+BO56</f>
        <v>179550.37811111109</v>
      </c>
      <c r="BP27" s="58">
        <f>BP28+BP56</f>
        <v>202053.74953703705</v>
      </c>
      <c r="BQ27" s="58">
        <f>BQ28+BQ56</f>
        <v>163865</v>
      </c>
      <c r="BR27" s="58">
        <f>BR28+BR56</f>
        <v>175620.6</v>
      </c>
      <c r="BS27" s="58">
        <v>92285.6</v>
      </c>
      <c r="BT27" s="58">
        <f t="shared" ref="BT27:BT29" si="57">SUM(BH27:BS27)</f>
        <v>1878055.142462963</v>
      </c>
      <c r="BU27" s="60"/>
      <c r="BV27" s="58">
        <f>BV31+(BV56)*$CI$27</f>
        <v>161157.867486095</v>
      </c>
      <c r="BW27" s="58">
        <f t="shared" ref="BW27:CG27" si="58">BW31+(BW56)*$CI$27</f>
        <v>155966.83045180296</v>
      </c>
      <c r="BX27" s="58">
        <f>BX31+(BX56)*$CI$27</f>
        <v>196111.53846153844</v>
      </c>
      <c r="BY27" s="58">
        <f t="shared" si="58"/>
        <v>159169.23076923078</v>
      </c>
      <c r="BZ27" s="58">
        <f>BZ31+(BZ56)*$CI$27</f>
        <v>151482.39341785663</v>
      </c>
      <c r="CA27" s="58">
        <f t="shared" si="58"/>
        <v>141442.12910096842</v>
      </c>
      <c r="CB27" s="58">
        <f>CB31+(CB56)*$CI$27</f>
        <v>176986.21444761599</v>
      </c>
      <c r="CC27" s="58">
        <f t="shared" si="58"/>
        <v>201301.08944885107</v>
      </c>
      <c r="CD27" s="58">
        <f t="shared" si="58"/>
        <v>212833.04013559342</v>
      </c>
      <c r="CE27" s="58">
        <f t="shared" si="58"/>
        <v>215922.30386211892</v>
      </c>
      <c r="CF27" s="58">
        <f>CF31+(CF56)*$CI$27</f>
        <v>171115.84223630186</v>
      </c>
      <c r="CG27" s="58">
        <f t="shared" si="58"/>
        <v>87483.816691710366</v>
      </c>
      <c r="CH27" s="58">
        <f t="shared" ref="CH27:CH28" si="59">SUM(BV27:CG27)</f>
        <v>2030972.2965096838</v>
      </c>
      <c r="CI27" s="594">
        <v>0.95</v>
      </c>
      <c r="CJ27" s="705">
        <f>CJ31+CJ65</f>
        <v>181422.94</v>
      </c>
      <c r="CK27" s="705">
        <f>CK31+CK65</f>
        <v>165852.66999999998</v>
      </c>
      <c r="CL27" s="705">
        <f t="shared" ref="CL27:CV27" si="60">CL31+CL65</f>
        <v>185796.68</v>
      </c>
      <c r="CM27" s="705">
        <f>CM31+CM65</f>
        <v>160056.65999999997</v>
      </c>
      <c r="CN27" s="705">
        <f>CN31+CN65</f>
        <v>153801.95000000001</v>
      </c>
      <c r="CO27" s="705">
        <f t="shared" si="60"/>
        <v>120180.87999999999</v>
      </c>
      <c r="CP27" s="705">
        <f>CP31+CP65</f>
        <v>225720.09</v>
      </c>
      <c r="CQ27" s="705">
        <f t="shared" si="60"/>
        <v>206895.31</v>
      </c>
      <c r="CR27" s="705">
        <f t="shared" si="60"/>
        <v>256653.63999999998</v>
      </c>
      <c r="CS27" s="705">
        <f t="shared" si="60"/>
        <v>229416.92</v>
      </c>
      <c r="CT27" s="705">
        <f t="shared" si="60"/>
        <v>162785.09</v>
      </c>
      <c r="CU27" s="705">
        <f t="shared" si="60"/>
        <v>103183.82</v>
      </c>
      <c r="CV27" s="705">
        <f>SUM(CJ27:CU27)</f>
        <v>2151766.65</v>
      </c>
      <c r="CW27" s="594" t="s">
        <v>50</v>
      </c>
      <c r="CX27" s="58">
        <f>CJ27*1.05</f>
        <v>190494.087</v>
      </c>
      <c r="CY27" s="58">
        <f t="shared" ref="CY27:DI27" si="61">CK27*1.05</f>
        <v>174145.30349999998</v>
      </c>
      <c r="CZ27" s="58">
        <f t="shared" si="61"/>
        <v>195086.514</v>
      </c>
      <c r="DA27" s="58">
        <f t="shared" si="61"/>
        <v>168059.49299999999</v>
      </c>
      <c r="DB27" s="58">
        <f t="shared" si="61"/>
        <v>161492.04750000002</v>
      </c>
      <c r="DC27" s="58">
        <f t="shared" si="61"/>
        <v>126189.924</v>
      </c>
      <c r="DD27" s="58">
        <f t="shared" si="61"/>
        <v>237006.09450000001</v>
      </c>
      <c r="DE27" s="58">
        <f t="shared" si="61"/>
        <v>217240.07550000001</v>
      </c>
      <c r="DF27" s="58">
        <f t="shared" si="61"/>
        <v>269486.32199999999</v>
      </c>
      <c r="DG27" s="58">
        <f t="shared" si="61"/>
        <v>240887.76600000003</v>
      </c>
      <c r="DH27" s="58">
        <f t="shared" si="61"/>
        <v>170924.34450000001</v>
      </c>
      <c r="DI27" s="58">
        <f t="shared" si="61"/>
        <v>108343.01100000001</v>
      </c>
      <c r="DJ27" s="58">
        <v>1957097.174059076</v>
      </c>
    </row>
    <row r="28" spans="1:114">
      <c r="A28" s="61"/>
      <c r="B28" s="62" t="s">
        <v>51</v>
      </c>
      <c r="C28" s="293"/>
      <c r="D28" s="294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295"/>
      <c r="Q28" s="64"/>
      <c r="R28" s="294"/>
      <c r="S28" s="65"/>
      <c r="T28" s="65"/>
      <c r="U28" s="65"/>
      <c r="V28" s="296"/>
      <c r="W28" s="297"/>
      <c r="X28" s="297"/>
      <c r="Y28" s="297"/>
      <c r="Z28" s="297"/>
      <c r="AA28" s="297"/>
      <c r="AB28" s="297"/>
      <c r="AC28" s="66"/>
      <c r="AD28" s="67"/>
      <c r="AE28" s="68"/>
      <c r="AF28" s="298"/>
      <c r="AG28" s="65"/>
      <c r="AH28" s="65"/>
      <c r="AI28" s="65"/>
      <c r="AJ28" s="296"/>
      <c r="AK28" s="296"/>
      <c r="AL28" s="296"/>
      <c r="AM28" s="296"/>
      <c r="AN28" s="65"/>
      <c r="AO28" s="65"/>
      <c r="AP28" s="65"/>
      <c r="AQ28" s="65"/>
      <c r="AR28" s="299"/>
      <c r="AS28" s="68"/>
      <c r="AT28" s="65"/>
      <c r="AU28" s="65"/>
      <c r="AV28" s="65"/>
      <c r="AW28" s="65"/>
      <c r="AX28" s="65"/>
      <c r="AY28" s="69">
        <f t="shared" ref="AY28:BA28" si="62">AY31+AY56</f>
        <v>119777.77777777778</v>
      </c>
      <c r="AZ28" s="69">
        <f t="shared" si="62"/>
        <v>150777.77777777778</v>
      </c>
      <c r="BA28" s="69">
        <f t="shared" si="62"/>
        <v>233098.4962962963</v>
      </c>
      <c r="BB28" s="69">
        <f>BB29/BB30</f>
        <v>210777.77777777778</v>
      </c>
      <c r="BC28" s="69">
        <f>BC31+BC56</f>
        <v>249806.29075565783</v>
      </c>
      <c r="BD28" s="69">
        <f t="shared" ref="BD28:BE28" si="63">BD31+BD56*0.85</f>
        <v>122960.58688147296</v>
      </c>
      <c r="BE28" s="69">
        <f t="shared" si="63"/>
        <v>66386.612965093984</v>
      </c>
      <c r="BF28" s="69">
        <f t="shared" si="55"/>
        <v>1153585.3202318544</v>
      </c>
      <c r="BG28" s="68"/>
      <c r="BH28" s="69">
        <f>BH29/BH30-0.1*BH29/BH30</f>
        <v>116600</v>
      </c>
      <c r="BI28" s="69">
        <f t="shared" ref="BI28" si="64">BI29/BI30-0.1*BI29/BI30</f>
        <v>111533.33333333333</v>
      </c>
      <c r="BJ28" s="69">
        <f t="shared" ref="BJ28:BP28" si="65">BJ29/BJ30-0.05*BJ29/BJ30</f>
        <v>135674.07407407407</v>
      </c>
      <c r="BK28" s="69">
        <f t="shared" si="65"/>
        <v>121740.74074074074</v>
      </c>
      <c r="BL28" s="69">
        <f t="shared" si="65"/>
        <v>93926.851851851854</v>
      </c>
      <c r="BM28" s="69">
        <f t="shared" si="65"/>
        <v>90679.259259259255</v>
      </c>
      <c r="BN28" s="69">
        <f t="shared" si="65"/>
        <v>130255.55555555556</v>
      </c>
      <c r="BO28" s="69">
        <f t="shared" si="65"/>
        <v>150550.37811111109</v>
      </c>
      <c r="BP28" s="69">
        <f t="shared" si="65"/>
        <v>161830.74953703705</v>
      </c>
      <c r="BQ28" s="69">
        <v>127130</v>
      </c>
      <c r="BR28" s="69">
        <v>138687.6</v>
      </c>
      <c r="BS28" s="69">
        <v>43639.199999999997</v>
      </c>
      <c r="BT28" s="69">
        <f t="shared" si="57"/>
        <v>1422247.7424629631</v>
      </c>
      <c r="BU28" s="54"/>
      <c r="BV28" s="69">
        <f>BV31+BV55</f>
        <v>166555.77995873816</v>
      </c>
      <c r="BW28" s="69">
        <f>BW31+BW55</f>
        <v>152835.36924465047</v>
      </c>
      <c r="BX28" s="69">
        <f t="shared" ref="BX28:CG28" si="66">BX31+BX55</f>
        <v>195319.2072937729</v>
      </c>
      <c r="BY28" s="69">
        <f t="shared" si="66"/>
        <v>158396.18906207831</v>
      </c>
      <c r="BZ28" s="69">
        <f t="shared" si="66"/>
        <v>152371.51475009107</v>
      </c>
      <c r="CA28" s="69">
        <f t="shared" si="66"/>
        <v>147696.01107361159</v>
      </c>
      <c r="CB28" s="69">
        <f t="shared" si="66"/>
        <v>189465.0513586243</v>
      </c>
      <c r="CC28" s="69">
        <f t="shared" si="66"/>
        <v>202914.10079748323</v>
      </c>
      <c r="CD28" s="69">
        <f t="shared" si="66"/>
        <v>214499.61628422557</v>
      </c>
      <c r="CE28" s="69">
        <f t="shared" si="66"/>
        <v>217682.99793575107</v>
      </c>
      <c r="CF28" s="69">
        <f t="shared" si="66"/>
        <v>179284.72030485788</v>
      </c>
      <c r="CG28" s="69">
        <f t="shared" si="66"/>
        <v>88389.319383536102</v>
      </c>
      <c r="CH28" s="69">
        <f t="shared" si="59"/>
        <v>2065409.8774474205</v>
      </c>
      <c r="CI28" s="395">
        <f>(CH28-BT62)/BT62</f>
        <v>0.48621753003500767</v>
      </c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395">
        <f>(CV28-CH62)/CH62</f>
        <v>-1</v>
      </c>
      <c r="CX28" s="69">
        <v>166555.77995873816</v>
      </c>
      <c r="CY28" s="69">
        <v>152835.36924465047</v>
      </c>
      <c r="CZ28" s="69">
        <v>195319.2072937729</v>
      </c>
      <c r="DA28" s="69">
        <v>158396.18906207831</v>
      </c>
      <c r="DB28" s="69">
        <v>152371.51475009107</v>
      </c>
      <c r="DC28" s="69">
        <v>147696.01107361159</v>
      </c>
      <c r="DD28" s="69">
        <v>189465.0513586243</v>
      </c>
      <c r="DE28" s="69">
        <v>202914.10079748323</v>
      </c>
      <c r="DF28" s="69">
        <v>214499.61628422557</v>
      </c>
      <c r="DG28" s="69">
        <v>217682.99793575107</v>
      </c>
      <c r="DH28" s="69">
        <v>179284.72030485788</v>
      </c>
      <c r="DI28" s="69">
        <v>88389.319383536102</v>
      </c>
      <c r="DJ28" s="69">
        <v>2065409.8774474205</v>
      </c>
    </row>
    <row r="29" spans="1:114">
      <c r="A29" s="61"/>
      <c r="B29" s="62" t="s">
        <v>52</v>
      </c>
      <c r="C29" s="293"/>
      <c r="D29" s="294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295"/>
      <c r="Q29" s="64"/>
      <c r="R29" s="294"/>
      <c r="S29" s="65"/>
      <c r="T29" s="65"/>
      <c r="U29" s="65"/>
      <c r="V29" s="296"/>
      <c r="W29" s="297"/>
      <c r="X29" s="297"/>
      <c r="Y29" s="297"/>
      <c r="Z29" s="297"/>
      <c r="AA29" s="297"/>
      <c r="AB29" s="297"/>
      <c r="AC29" s="66"/>
      <c r="AD29" s="67"/>
      <c r="AE29" s="68"/>
      <c r="AF29" s="298"/>
      <c r="AG29" s="65"/>
      <c r="AH29" s="65" t="s">
        <v>53</v>
      </c>
      <c r="AI29" s="65"/>
      <c r="AJ29" s="296"/>
      <c r="AK29" s="296"/>
      <c r="AL29" s="296"/>
      <c r="AM29" s="296"/>
      <c r="AN29" s="65">
        <v>6715000</v>
      </c>
      <c r="AO29" s="65">
        <v>6555000</v>
      </c>
      <c r="AP29" s="65">
        <v>2640000</v>
      </c>
      <c r="AQ29" s="65">
        <v>1302000</v>
      </c>
      <c r="AR29" s="299"/>
      <c r="AS29" s="68"/>
      <c r="AT29" s="65">
        <v>3264695</v>
      </c>
      <c r="AU29" s="65">
        <v>3863760</v>
      </c>
      <c r="AV29" s="65">
        <v>3429225</v>
      </c>
      <c r="AW29" s="65">
        <v>3525360</v>
      </c>
      <c r="AX29" s="65">
        <v>2509485</v>
      </c>
      <c r="AY29" s="65">
        <v>2829000</v>
      </c>
      <c r="AZ29" s="65">
        <v>3666000</v>
      </c>
      <c r="BA29" s="65">
        <v>5705000</v>
      </c>
      <c r="BB29" s="65">
        <v>5691000</v>
      </c>
      <c r="BC29" s="65">
        <v>5600000</v>
      </c>
      <c r="BD29" s="65">
        <v>2430000</v>
      </c>
      <c r="BE29" s="65">
        <v>800000</v>
      </c>
      <c r="BF29" s="69">
        <f t="shared" si="55"/>
        <v>43313525</v>
      </c>
      <c r="BG29" s="68"/>
      <c r="BH29" s="70">
        <v>3498000</v>
      </c>
      <c r="BI29" s="70">
        <v>3346000</v>
      </c>
      <c r="BJ29" s="70">
        <v>3856000</v>
      </c>
      <c r="BK29" s="70">
        <v>3460000</v>
      </c>
      <c r="BL29" s="70">
        <v>2669500</v>
      </c>
      <c r="BM29" s="70">
        <v>2577200</v>
      </c>
      <c r="BN29" s="70">
        <v>3702000</v>
      </c>
      <c r="BO29" s="70">
        <v>4278800.22</v>
      </c>
      <c r="BP29" s="70">
        <v>4599400.25</v>
      </c>
      <c r="BQ29" s="70">
        <f>BQ28*BQ30</f>
        <v>3432510</v>
      </c>
      <c r="BR29" s="70">
        <v>2954493.21</v>
      </c>
      <c r="BS29" s="70">
        <v>984831.07</v>
      </c>
      <c r="BT29" s="65">
        <f t="shared" si="57"/>
        <v>39358734.75</v>
      </c>
      <c r="BU29" s="54"/>
      <c r="BV29" s="70">
        <f>BV30*BV31</f>
        <v>3399704.5546384701</v>
      </c>
      <c r="BW29" s="70">
        <f t="shared" ref="BW29:CG29" si="67">BW30*BW31</f>
        <v>3264737.5917468769</v>
      </c>
      <c r="BX29" s="70">
        <f t="shared" si="67"/>
        <v>4184999.9999999995</v>
      </c>
      <c r="BY29" s="70">
        <f t="shared" si="67"/>
        <v>3348000.0000000005</v>
      </c>
      <c r="BZ29" s="70">
        <f t="shared" si="67"/>
        <v>3074042.2288642721</v>
      </c>
      <c r="CA29" s="70">
        <f t="shared" si="67"/>
        <v>2812995.3566251793</v>
      </c>
      <c r="CB29" s="70">
        <f t="shared" si="67"/>
        <v>3737141.5756380158</v>
      </c>
      <c r="CC29" s="70">
        <f t="shared" si="67"/>
        <v>4437000.7194458414</v>
      </c>
      <c r="CD29" s="70">
        <f t="shared" si="67"/>
        <v>4710370.4261011425</v>
      </c>
      <c r="CE29" s="70">
        <f t="shared" si="67"/>
        <v>4744197.0280408058</v>
      </c>
      <c r="CF29" s="70">
        <f t="shared" si="67"/>
        <v>3461011.8981438484</v>
      </c>
      <c r="CG29" s="70">
        <f t="shared" si="67"/>
        <v>792579.23398446955</v>
      </c>
      <c r="CH29" s="65">
        <f>SUM(BV29:CG29)</f>
        <v>41966780.613228925</v>
      </c>
      <c r="CJ29" s="70">
        <f>CJ30*CJ31</f>
        <v>4023031.4767999998</v>
      </c>
      <c r="CK29" s="70">
        <f t="shared" ref="CK29:CU29" si="68">CK30*CK31</f>
        <v>3734347.6631999994</v>
      </c>
      <c r="CL29" s="70">
        <f t="shared" si="68"/>
        <v>4223923.0879999995</v>
      </c>
      <c r="CM29" s="70">
        <f t="shared" si="68"/>
        <v>3507679.0335999997</v>
      </c>
      <c r="CN29" s="70">
        <f t="shared" si="68"/>
        <v>3217429.18</v>
      </c>
      <c r="CO29" s="70">
        <f t="shared" si="68"/>
        <v>2332522.6176</v>
      </c>
      <c r="CP29" s="70">
        <f t="shared" si="68"/>
        <v>5138020.6359999999</v>
      </c>
      <c r="CQ29" s="70">
        <f t="shared" si="68"/>
        <v>4640708.9735999992</v>
      </c>
      <c r="CR29" s="70">
        <f t="shared" si="68"/>
        <v>5942025.5719999997</v>
      </c>
      <c r="CS29" s="70">
        <f t="shared" si="68"/>
        <v>5183216.5504000001</v>
      </c>
      <c r="CT29" s="70">
        <f>CT30*CT31</f>
        <v>3252007.3432</v>
      </c>
      <c r="CU29" s="70">
        <f>CU30*CU31</f>
        <v>1251798.4135999999</v>
      </c>
      <c r="CV29" s="70">
        <f>CV30*CV31</f>
        <v>46446710.548</v>
      </c>
      <c r="CX29" s="70">
        <v>3399704.5546384701</v>
      </c>
      <c r="CY29" s="70">
        <v>3264737.5917468769</v>
      </c>
      <c r="CZ29" s="70">
        <v>4184999.9999999995</v>
      </c>
      <c r="DA29" s="70">
        <v>3348000.0000000005</v>
      </c>
      <c r="DB29" s="70">
        <v>3074042.2288642721</v>
      </c>
      <c r="DC29" s="70">
        <v>2812995.3566251793</v>
      </c>
      <c r="DD29" s="70">
        <v>3737141.5756380158</v>
      </c>
      <c r="DE29" s="70">
        <v>4437000.7194458414</v>
      </c>
      <c r="DF29" s="70">
        <v>4710370.4261011425</v>
      </c>
      <c r="DG29" s="70">
        <v>4744197.0280408058</v>
      </c>
      <c r="DH29" s="70">
        <v>3461011.8981438484</v>
      </c>
      <c r="DI29" s="70">
        <v>792579.23398446955</v>
      </c>
      <c r="DJ29" s="65">
        <v>41966780.613228925</v>
      </c>
    </row>
    <row r="30" spans="1:114">
      <c r="A30" s="71"/>
      <c r="B30" s="72" t="s">
        <v>54</v>
      </c>
      <c r="C30" s="300"/>
      <c r="D30" s="301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302"/>
      <c r="Q30" s="74"/>
      <c r="R30" s="301"/>
      <c r="S30" s="69"/>
      <c r="T30" s="69"/>
      <c r="U30" s="69"/>
      <c r="V30" s="303"/>
      <c r="W30" s="304"/>
      <c r="X30" s="304"/>
      <c r="Y30" s="304"/>
      <c r="Z30" s="304"/>
      <c r="AA30" s="304"/>
      <c r="AB30" s="304"/>
      <c r="AC30" s="75"/>
      <c r="AD30" s="76"/>
      <c r="AE30" s="77"/>
      <c r="AF30" s="305"/>
      <c r="AG30" s="69"/>
      <c r="AH30" s="69"/>
      <c r="AI30" s="69"/>
      <c r="AJ30" s="303"/>
      <c r="AK30" s="303"/>
      <c r="AL30" s="303"/>
      <c r="AM30" s="303"/>
      <c r="AN30" s="69">
        <f t="shared" ref="AN30:AQ30" si="69">30</f>
        <v>30</v>
      </c>
      <c r="AO30" s="69">
        <f t="shared" si="69"/>
        <v>30</v>
      </c>
      <c r="AP30" s="69">
        <f t="shared" si="69"/>
        <v>30</v>
      </c>
      <c r="AQ30" s="69">
        <f t="shared" si="69"/>
        <v>30</v>
      </c>
      <c r="AR30" s="306"/>
      <c r="AS30" s="77"/>
      <c r="AT30" s="69">
        <v>28</v>
      </c>
      <c r="AU30" s="69">
        <v>29</v>
      </c>
      <c r="AV30" s="69">
        <v>29</v>
      </c>
      <c r="AW30" s="69">
        <v>29</v>
      </c>
      <c r="AX30" s="69">
        <v>29</v>
      </c>
      <c r="AY30" s="69">
        <v>27</v>
      </c>
      <c r="AZ30" s="69">
        <v>27</v>
      </c>
      <c r="BA30" s="69">
        <v>27</v>
      </c>
      <c r="BB30" s="69">
        <v>27</v>
      </c>
      <c r="BC30" s="69">
        <v>26.07</v>
      </c>
      <c r="BD30" s="69">
        <v>26.07</v>
      </c>
      <c r="BE30" s="69">
        <v>26.07</v>
      </c>
      <c r="BF30" s="305"/>
      <c r="BG30" s="78"/>
      <c r="BH30" s="69">
        <v>27</v>
      </c>
      <c r="BI30" s="69">
        <v>27</v>
      </c>
      <c r="BJ30" s="69">
        <v>27</v>
      </c>
      <c r="BK30" s="69">
        <v>27</v>
      </c>
      <c r="BL30" s="69">
        <v>27</v>
      </c>
      <c r="BM30" s="69">
        <v>27</v>
      </c>
      <c r="BN30" s="69">
        <v>27</v>
      </c>
      <c r="BO30" s="69">
        <v>27</v>
      </c>
      <c r="BP30" s="69">
        <v>27</v>
      </c>
      <c r="BQ30" s="69">
        <v>27</v>
      </c>
      <c r="BR30" s="69">
        <v>27</v>
      </c>
      <c r="BS30" s="69">
        <v>27</v>
      </c>
      <c r="BT30" s="69"/>
      <c r="BU30" s="54"/>
      <c r="BV30" s="69">
        <v>26</v>
      </c>
      <c r="BW30" s="69">
        <v>26</v>
      </c>
      <c r="BX30" s="69">
        <v>26</v>
      </c>
      <c r="BY30" s="69">
        <v>26</v>
      </c>
      <c r="BZ30" s="69">
        <v>26</v>
      </c>
      <c r="CA30" s="69">
        <v>26</v>
      </c>
      <c r="CB30" s="69">
        <v>26</v>
      </c>
      <c r="CC30" s="69">
        <v>26</v>
      </c>
      <c r="CD30" s="69">
        <v>26</v>
      </c>
      <c r="CE30" s="69">
        <v>26</v>
      </c>
      <c r="CF30" s="69">
        <v>26</v>
      </c>
      <c r="CG30" s="69">
        <v>26</v>
      </c>
      <c r="CH30" s="69"/>
      <c r="CJ30" s="752">
        <v>26.32</v>
      </c>
      <c r="CK30" s="752">
        <f>CJ30</f>
        <v>26.32</v>
      </c>
      <c r="CL30" s="752">
        <f t="shared" ref="CL30:CV30" si="70">CK30</f>
        <v>26.32</v>
      </c>
      <c r="CM30" s="752">
        <f t="shared" si="70"/>
        <v>26.32</v>
      </c>
      <c r="CN30" s="752">
        <f t="shared" si="70"/>
        <v>26.32</v>
      </c>
      <c r="CO30" s="752">
        <f t="shared" si="70"/>
        <v>26.32</v>
      </c>
      <c r="CP30" s="752">
        <f t="shared" si="70"/>
        <v>26.32</v>
      </c>
      <c r="CQ30" s="752">
        <f t="shared" si="70"/>
        <v>26.32</v>
      </c>
      <c r="CR30" s="752">
        <f t="shared" si="70"/>
        <v>26.32</v>
      </c>
      <c r="CS30" s="752">
        <f t="shared" si="70"/>
        <v>26.32</v>
      </c>
      <c r="CT30" s="752">
        <f t="shared" si="70"/>
        <v>26.32</v>
      </c>
      <c r="CU30" s="752">
        <f t="shared" si="70"/>
        <v>26.32</v>
      </c>
      <c r="CV30" s="69">
        <f t="shared" si="70"/>
        <v>26.32</v>
      </c>
      <c r="CX30" s="69">
        <v>26</v>
      </c>
      <c r="CY30" s="69">
        <v>26</v>
      </c>
      <c r="CZ30" s="69">
        <v>26</v>
      </c>
      <c r="DA30" s="69">
        <v>26</v>
      </c>
      <c r="DB30" s="69">
        <v>26</v>
      </c>
      <c r="DC30" s="69">
        <v>26</v>
      </c>
      <c r="DD30" s="69">
        <v>26</v>
      </c>
      <c r="DE30" s="69">
        <v>26</v>
      </c>
      <c r="DF30" s="69">
        <v>26</v>
      </c>
      <c r="DG30" s="69">
        <v>26</v>
      </c>
      <c r="DH30" s="69">
        <v>26</v>
      </c>
      <c r="DI30" s="69">
        <v>26</v>
      </c>
      <c r="DJ30" s="69"/>
    </row>
    <row r="31" spans="1:114" ht="15.75">
      <c r="A31" s="79"/>
      <c r="B31" s="80" t="s">
        <v>55</v>
      </c>
      <c r="C31" s="81"/>
      <c r="D31" s="288">
        <v>82250</v>
      </c>
      <c r="E31" s="57">
        <v>117000</v>
      </c>
      <c r="F31" s="57">
        <v>121750</v>
      </c>
      <c r="G31" s="57">
        <v>150000</v>
      </c>
      <c r="H31" s="57">
        <v>99500</v>
      </c>
      <c r="I31" s="57">
        <v>102000</v>
      </c>
      <c r="J31" s="57">
        <v>177632</v>
      </c>
      <c r="K31" s="57">
        <v>178158</v>
      </c>
      <c r="L31" s="57">
        <v>199211</v>
      </c>
      <c r="M31" s="57">
        <v>229474</v>
      </c>
      <c r="N31" s="57">
        <v>122368</v>
      </c>
      <c r="O31" s="57">
        <v>38421</v>
      </c>
      <c r="P31" s="289">
        <f>SUM(D31:O31)</f>
        <v>1617764</v>
      </c>
      <c r="Q31" s="39"/>
      <c r="R31" s="288">
        <v>115619.79612330014</v>
      </c>
      <c r="S31" s="58">
        <v>123327.78253152016</v>
      </c>
      <c r="T31" s="58">
        <v>128854</v>
      </c>
      <c r="U31" s="58">
        <f>126016*0.15</f>
        <v>18902.399999999998</v>
      </c>
      <c r="V31" s="58">
        <v>35234</v>
      </c>
      <c r="W31" s="290">
        <v>56469.381950239796</v>
      </c>
      <c r="X31" s="290">
        <v>118413.33333333299</v>
      </c>
      <c r="Y31" s="290">
        <v>198797.08333333331</v>
      </c>
      <c r="Z31" s="290">
        <v>242087.5</v>
      </c>
      <c r="AA31" s="290">
        <v>140000</v>
      </c>
      <c r="AB31" s="290">
        <v>0</v>
      </c>
      <c r="AC31" s="290">
        <v>-45300</v>
      </c>
      <c r="AD31" s="291">
        <f>SUM(R31:AC31)</f>
        <v>1132405.2772717264</v>
      </c>
      <c r="AE31" s="59"/>
      <c r="AF31" s="292">
        <v>90146</v>
      </c>
      <c r="AG31" s="58">
        <v>155577</v>
      </c>
      <c r="AH31" s="58">
        <v>62953</v>
      </c>
      <c r="AI31" s="58">
        <v>73261</v>
      </c>
      <c r="AJ31" s="58">
        <v>91856</v>
      </c>
      <c r="AK31" s="58">
        <v>120000</v>
      </c>
      <c r="AL31" s="58">
        <v>110295</v>
      </c>
      <c r="AM31" s="58">
        <v>200203</v>
      </c>
      <c r="AN31" s="58">
        <f t="shared" ref="AN31:AQ31" si="71">AN29/AN30</f>
        <v>223833.33333333334</v>
      </c>
      <c r="AO31" s="58">
        <f t="shared" si="71"/>
        <v>218500</v>
      </c>
      <c r="AP31" s="58">
        <f t="shared" si="71"/>
        <v>88000</v>
      </c>
      <c r="AQ31" s="58">
        <f t="shared" si="71"/>
        <v>43400</v>
      </c>
      <c r="AR31" s="58">
        <f>SUM(AF31:AQ31)</f>
        <v>1478024.3333333333</v>
      </c>
      <c r="AS31" s="59"/>
      <c r="AT31" s="58">
        <f t="shared" ref="AT31:BE31" si="72">AT29/AT30</f>
        <v>116596.25</v>
      </c>
      <c r="AU31" s="58">
        <f t="shared" si="72"/>
        <v>133233.10344827586</v>
      </c>
      <c r="AV31" s="58">
        <f t="shared" si="72"/>
        <v>118249.13793103448</v>
      </c>
      <c r="AW31" s="58">
        <f t="shared" si="72"/>
        <v>121564.13793103448</v>
      </c>
      <c r="AX31" s="58">
        <f t="shared" si="72"/>
        <v>86533.965517241377</v>
      </c>
      <c r="AY31" s="58">
        <f t="shared" si="72"/>
        <v>104777.77777777778</v>
      </c>
      <c r="AZ31" s="58">
        <f t="shared" si="72"/>
        <v>135777.77777777778</v>
      </c>
      <c r="BA31" s="58">
        <f t="shared" si="72"/>
        <v>211296.29629629629</v>
      </c>
      <c r="BB31" s="58">
        <f t="shared" si="72"/>
        <v>210777.77777777778</v>
      </c>
      <c r="BC31" s="58">
        <f t="shared" si="72"/>
        <v>214806.29075565783</v>
      </c>
      <c r="BD31" s="58">
        <f t="shared" si="72"/>
        <v>93210.586881472962</v>
      </c>
      <c r="BE31" s="58">
        <f t="shared" si="72"/>
        <v>30686.612965093977</v>
      </c>
      <c r="BF31" s="58">
        <f>SUM(AT31:BE31)</f>
        <v>1577509.7150594404</v>
      </c>
      <c r="BG31" s="59">
        <f>BF31-AR31</f>
        <v>99485.381726107094</v>
      </c>
      <c r="BH31" s="58">
        <f>BH28</f>
        <v>116600</v>
      </c>
      <c r="BI31" s="58">
        <f t="shared" ref="BI31:BT31" si="73">BI28</f>
        <v>111533.33333333333</v>
      </c>
      <c r="BJ31" s="58">
        <f t="shared" si="73"/>
        <v>135674.07407407407</v>
      </c>
      <c r="BK31" s="58">
        <f t="shared" si="73"/>
        <v>121740.74074074074</v>
      </c>
      <c r="BL31" s="58">
        <f t="shared" si="73"/>
        <v>93926.851851851854</v>
      </c>
      <c r="BM31" s="58">
        <f t="shared" si="73"/>
        <v>90679.259259259255</v>
      </c>
      <c r="BN31" s="58">
        <f t="shared" si="73"/>
        <v>130255.55555555556</v>
      </c>
      <c r="BO31" s="58">
        <f t="shared" si="73"/>
        <v>150550.37811111109</v>
      </c>
      <c r="BP31" s="58">
        <f t="shared" si="73"/>
        <v>161830.74953703705</v>
      </c>
      <c r="BQ31" s="58">
        <f t="shared" si="73"/>
        <v>127130</v>
      </c>
      <c r="BR31" s="58">
        <f>BR28</f>
        <v>138687.6</v>
      </c>
      <c r="BS31" s="58">
        <f t="shared" si="73"/>
        <v>43639.199999999997</v>
      </c>
      <c r="BT31" s="58">
        <f t="shared" si="73"/>
        <v>1422247.7424629631</v>
      </c>
      <c r="BU31" s="60"/>
      <c r="BV31" s="58">
        <f>'META  EM PEÇAS'!S73</f>
        <v>130757.867486095</v>
      </c>
      <c r="BW31" s="58">
        <f>'META  EM PEÇAS'!T73</f>
        <v>125566.83045180296</v>
      </c>
      <c r="BX31" s="58">
        <f>'META  EM PEÇAS'!U73</f>
        <v>160961.53846153844</v>
      </c>
      <c r="BY31" s="58">
        <f>'META  EM PEÇAS'!V73</f>
        <v>128769.23076923078</v>
      </c>
      <c r="BZ31" s="58">
        <f>'META  EM PEÇAS'!W73</f>
        <v>118232.39341785663</v>
      </c>
      <c r="CA31" s="58">
        <f>'META  EM PEÇAS'!X73</f>
        <v>108192.12910096844</v>
      </c>
      <c r="CB31" s="58">
        <f>'META  EM PEÇAS'!Y73</f>
        <v>143736.21444761599</v>
      </c>
      <c r="CC31" s="58">
        <f>'META  EM PEÇAS'!Z73</f>
        <v>170653.87382484006</v>
      </c>
      <c r="CD31" s="58">
        <f>'META  EM PEÇAS'!AA73</f>
        <v>181168.0933115824</v>
      </c>
      <c r="CE31" s="58">
        <f>'META  EM PEÇAS'!AB73</f>
        <v>182469.1164631079</v>
      </c>
      <c r="CF31" s="58">
        <f>'META  EM PEÇAS'!AC73</f>
        <v>133115.84223630186</v>
      </c>
      <c r="CG31" s="58">
        <f>'META  EM PEÇAS'!AD73</f>
        <v>30483.816691710366</v>
      </c>
      <c r="CH31" s="58">
        <v>45</v>
      </c>
      <c r="CI31">
        <f>CH31*26</f>
        <v>1170</v>
      </c>
      <c r="CJ31" s="58">
        <f>BV62*1.19</f>
        <v>152850.74</v>
      </c>
      <c r="CK31" s="58">
        <f t="shared" ref="CK31:CT31" si="74">BW62*1.19</f>
        <v>141882.50999999998</v>
      </c>
      <c r="CL31" s="58">
        <f>BX62*1.19</f>
        <v>160483.4</v>
      </c>
      <c r="CM31" s="58">
        <f t="shared" si="74"/>
        <v>133270.47999999998</v>
      </c>
      <c r="CN31" s="58">
        <f t="shared" si="74"/>
        <v>122242.75</v>
      </c>
      <c r="CO31" s="58">
        <f t="shared" si="74"/>
        <v>88621.68</v>
      </c>
      <c r="CP31" s="58">
        <f>CB62*1.19</f>
        <v>195213.55</v>
      </c>
      <c r="CQ31" s="58">
        <f t="shared" si="74"/>
        <v>176318.72999999998</v>
      </c>
      <c r="CR31" s="58">
        <f t="shared" si="74"/>
        <v>225760.84999999998</v>
      </c>
      <c r="CS31" s="58">
        <f t="shared" si="74"/>
        <v>196930.72</v>
      </c>
      <c r="CT31" s="58">
        <f t="shared" si="74"/>
        <v>123556.51</v>
      </c>
      <c r="CU31" s="58">
        <f>CG62*1.19</f>
        <v>47560.729999999996</v>
      </c>
      <c r="CV31" s="58">
        <f>SUM(CJ31:CU31)</f>
        <v>1764692.65</v>
      </c>
      <c r="CW31">
        <f>CV31*26</f>
        <v>45882008.899999999</v>
      </c>
      <c r="CX31" s="58">
        <v>130757.867486095</v>
      </c>
      <c r="CY31" s="58">
        <v>125566.83045180296</v>
      </c>
      <c r="CZ31" s="58">
        <v>160961.53846153844</v>
      </c>
      <c r="DA31" s="58">
        <v>128769.23076923078</v>
      </c>
      <c r="DB31" s="58">
        <v>118232.39341785663</v>
      </c>
      <c r="DC31" s="58">
        <v>108192.12910096844</v>
      </c>
      <c r="DD31" s="58">
        <v>143736.21444761599</v>
      </c>
      <c r="DE31" s="58">
        <v>170653.87382484006</v>
      </c>
      <c r="DF31" s="58">
        <v>181168.0933115824</v>
      </c>
      <c r="DG31" s="58">
        <v>182469.1164631079</v>
      </c>
      <c r="DH31" s="58">
        <v>133115.84223630186</v>
      </c>
      <c r="DI31" s="58">
        <v>30483.816691710366</v>
      </c>
      <c r="DJ31" s="58">
        <v>1614106.9466626509</v>
      </c>
    </row>
    <row r="32" spans="1:114">
      <c r="A32" s="307"/>
      <c r="B32" s="82"/>
      <c r="C32" s="308"/>
      <c r="D32" s="309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310"/>
      <c r="Q32" s="84"/>
      <c r="R32" s="309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311"/>
      <c r="AE32" s="23"/>
      <c r="AF32" s="312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6"/>
      <c r="AS32" s="23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2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54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J32" s="87">
        <f>BV62</f>
        <v>128446</v>
      </c>
      <c r="CK32" s="87">
        <f t="shared" ref="CK32:CU32" si="75">BW62</f>
        <v>119229</v>
      </c>
      <c r="CL32" s="87">
        <f t="shared" si="75"/>
        <v>134860</v>
      </c>
      <c r="CM32" s="87">
        <f t="shared" si="75"/>
        <v>111992</v>
      </c>
      <c r="CN32" s="87">
        <f t="shared" si="75"/>
        <v>102725</v>
      </c>
      <c r="CO32" s="87">
        <f t="shared" si="75"/>
        <v>74472</v>
      </c>
      <c r="CP32" s="87">
        <f t="shared" si="75"/>
        <v>164045</v>
      </c>
      <c r="CQ32" s="87">
        <f t="shared" si="75"/>
        <v>148167</v>
      </c>
      <c r="CR32" s="87">
        <f t="shared" si="75"/>
        <v>189715</v>
      </c>
      <c r="CS32" s="87">
        <f t="shared" si="75"/>
        <v>165488</v>
      </c>
      <c r="CT32" s="87">
        <f t="shared" si="75"/>
        <v>103829</v>
      </c>
      <c r="CU32" s="87">
        <f t="shared" si="75"/>
        <v>39967</v>
      </c>
      <c r="CV32" s="87">
        <f>SUM(CJ32:CU32)</f>
        <v>1482935</v>
      </c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</row>
    <row r="33" spans="1:114">
      <c r="A33" s="709"/>
      <c r="B33" s="710"/>
      <c r="C33" s="710"/>
      <c r="D33" s="309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310"/>
      <c r="Q33" s="84"/>
      <c r="R33" s="309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311"/>
      <c r="AE33" s="23"/>
      <c r="AF33" s="312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6"/>
      <c r="AS33" s="23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2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54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J33" s="711">
        <f>(CJ31-CJ32)/CJ32</f>
        <v>0.18999999999999992</v>
      </c>
      <c r="CK33" s="711">
        <f t="shared" ref="CK33:CU33" si="76">(CK31-CK32)/CK32</f>
        <v>0.18999999999999984</v>
      </c>
      <c r="CL33" s="711">
        <f t="shared" si="76"/>
        <v>0.18999999999999995</v>
      </c>
      <c r="CM33" s="711">
        <f t="shared" si="76"/>
        <v>0.18999999999999984</v>
      </c>
      <c r="CN33" s="711">
        <f t="shared" si="76"/>
        <v>0.19</v>
      </c>
      <c r="CO33" s="711">
        <f t="shared" si="76"/>
        <v>0.18999999999999992</v>
      </c>
      <c r="CP33" s="711">
        <f t="shared" si="76"/>
        <v>0.18999999999999992</v>
      </c>
      <c r="CQ33" s="711">
        <f t="shared" si="76"/>
        <v>0.18999999999999986</v>
      </c>
      <c r="CR33" s="711">
        <f t="shared" si="76"/>
        <v>0.18999999999999986</v>
      </c>
      <c r="CS33" s="711">
        <f t="shared" si="76"/>
        <v>0.19</v>
      </c>
      <c r="CT33" s="711">
        <f t="shared" si="76"/>
        <v>0.18999999999999995</v>
      </c>
      <c r="CU33" s="711">
        <f t="shared" si="76"/>
        <v>0.18999999999999989</v>
      </c>
      <c r="CV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</row>
    <row r="34" spans="1:114" ht="15" customHeight="1" outlineLevel="1">
      <c r="A34" s="88">
        <v>1</v>
      </c>
      <c r="B34" s="1095" t="s">
        <v>56</v>
      </c>
      <c r="C34" s="1117"/>
      <c r="D34" s="313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ref="P34:P46" si="77">SUM(D34:O34)</f>
        <v>0</v>
      </c>
      <c r="Q34" s="90"/>
      <c r="R34" s="313">
        <v>7017.5438596491231</v>
      </c>
      <c r="S34" s="91">
        <v>7017.5438596491231</v>
      </c>
      <c r="T34" s="91">
        <f>7017.54385964912/2</f>
        <v>3508.7719298245602</v>
      </c>
      <c r="U34" s="91">
        <f>96*U7</f>
        <v>96</v>
      </c>
      <c r="V34" s="91">
        <v>3000</v>
      </c>
      <c r="W34" s="91">
        <v>7200</v>
      </c>
      <c r="X34" s="91">
        <v>8500</v>
      </c>
      <c r="Y34" s="91">
        <v>8500</v>
      </c>
      <c r="Z34" s="91">
        <v>8500</v>
      </c>
      <c r="AA34" s="91">
        <v>9000</v>
      </c>
      <c r="AB34" s="91">
        <v>9500</v>
      </c>
      <c r="AC34" s="91">
        <v>8500</v>
      </c>
      <c r="AD34" s="315">
        <f t="shared" ref="AD34:AD48" si="78">SUM(R34:AC34)</f>
        <v>80339.859649122809</v>
      </c>
      <c r="AE34" s="23"/>
      <c r="AF34" s="316">
        <v>8000</v>
      </c>
      <c r="AG34" s="91">
        <v>4000</v>
      </c>
      <c r="AH34" s="91">
        <v>5673</v>
      </c>
      <c r="AI34" s="91">
        <v>4500</v>
      </c>
      <c r="AJ34" s="91">
        <v>7892</v>
      </c>
      <c r="AK34" s="91">
        <v>6400</v>
      </c>
      <c r="AL34" s="91">
        <v>8000</v>
      </c>
      <c r="AM34" s="91">
        <v>8000</v>
      </c>
      <c r="AN34" s="91">
        <v>8000</v>
      </c>
      <c r="AO34" s="91">
        <v>8000</v>
      </c>
      <c r="AP34" s="91">
        <v>8800</v>
      </c>
      <c r="AQ34" s="91">
        <v>6400</v>
      </c>
      <c r="AR34" s="92">
        <f t="shared" ref="AR34:AR52" si="79">SUM(AF34:AQ34)</f>
        <v>83665</v>
      </c>
      <c r="AS34" s="23"/>
      <c r="AT34" s="91">
        <v>4861</v>
      </c>
      <c r="AU34" s="91">
        <v>5809</v>
      </c>
      <c r="AV34" s="91">
        <v>5072</v>
      </c>
      <c r="AW34" s="91">
        <v>4725</v>
      </c>
      <c r="AX34" s="317">
        <v>5832</v>
      </c>
      <c r="AY34" s="317">
        <v>5832</v>
      </c>
      <c r="AZ34" s="317">
        <v>5567</v>
      </c>
      <c r="BA34" s="317">
        <v>5567</v>
      </c>
      <c r="BB34" s="317">
        <v>5832</v>
      </c>
      <c r="BC34" s="317">
        <v>6892</v>
      </c>
      <c r="BD34" s="317">
        <v>7422</v>
      </c>
      <c r="BE34" s="317">
        <v>4241</v>
      </c>
      <c r="BF34" s="91">
        <f t="shared" ref="BF34:BF66" si="80">SUM(AT34:BE34)</f>
        <v>67652</v>
      </c>
      <c r="BG34" s="93">
        <f t="shared" ref="BG34:BG52" si="81">BF34/AR34-1</f>
        <v>-0.19139425088149165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>
        <v>36051</v>
      </c>
      <c r="BU34" s="54"/>
      <c r="BV34" s="91">
        <v>4782.99</v>
      </c>
      <c r="BW34" s="91">
        <v>2945.31</v>
      </c>
      <c r="BX34" s="91">
        <f>'META  EM PEÇAS'!U26-('META  EM PEÇAS'!U26*0.05)</f>
        <v>7080.3689999999997</v>
      </c>
      <c r="BY34" s="91">
        <f>'META  EM PEÇAS'!V26-('META  EM PEÇAS'!V26*0.05)</f>
        <v>4355.6549999999997</v>
      </c>
      <c r="BZ34" s="91">
        <f>'META  EM PEÇAS'!W26-('META  EM PEÇAS'!W26*0.05)</f>
        <v>5839.9349999999995</v>
      </c>
      <c r="CA34" s="91">
        <f>'META  EM PEÇAS'!X26-('META  EM PEÇAS'!X26*0.05)</f>
        <v>5900.8964999999989</v>
      </c>
      <c r="CB34" s="91">
        <f>'META  EM PEÇAS'!Y26-('META  EM PEÇAS'!Y26*0.05)</f>
        <v>5279.7959999999994</v>
      </c>
      <c r="CC34" s="91">
        <f>'META  EM PEÇAS'!Z26-('META  EM PEÇAS'!Z26*0.05)</f>
        <v>4897.2404999999999</v>
      </c>
      <c r="CD34" s="91">
        <f>'META  EM PEÇAS'!AA26-('META  EM PEÇAS'!AA26*0.05)</f>
        <v>5018.28</v>
      </c>
      <c r="CE34" s="91">
        <f>'META  EM PEÇAS'!AB26-('META  EM PEÇAS'!AB26*0.05)</f>
        <v>4641.0254999999997</v>
      </c>
      <c r="CF34" s="91">
        <f>'META  EM PEÇAS'!AC26-('META  EM PEÇAS'!AC26*0.05)</f>
        <v>6521.1134999999995</v>
      </c>
      <c r="CG34" s="91">
        <f>'META  EM PEÇAS'!AD26-('META  EM PEÇAS'!AD26*0.05)</f>
        <v>3929.8079999999995</v>
      </c>
      <c r="CH34" s="91">
        <v>4136.6400000000003</v>
      </c>
      <c r="CJ34" s="91">
        <v>4782.99</v>
      </c>
      <c r="CK34" s="91">
        <v>2945.31</v>
      </c>
      <c r="CL34" s="91">
        <v>7080.3689999999997</v>
      </c>
      <c r="CM34" s="91">
        <v>4355.6549999999997</v>
      </c>
      <c r="CN34" s="91">
        <v>5839.9349999999995</v>
      </c>
      <c r="CO34" s="91">
        <v>5900.8964999999989</v>
      </c>
      <c r="CP34" s="91">
        <v>5279.7959999999994</v>
      </c>
      <c r="CQ34" s="91">
        <v>4897.2404999999999</v>
      </c>
      <c r="CR34" s="91">
        <v>5018.28</v>
      </c>
      <c r="CS34" s="91">
        <v>4641.0254999999997</v>
      </c>
      <c r="CT34" s="91">
        <v>6521.1134999999995</v>
      </c>
      <c r="CU34" s="91">
        <v>3929.8079999999995</v>
      </c>
      <c r="CV34" s="91">
        <v>4136.6400000000003</v>
      </c>
      <c r="CX34" s="91">
        <v>4782.99</v>
      </c>
      <c r="CY34" s="91">
        <v>2945.31</v>
      </c>
      <c r="CZ34" s="91">
        <v>7080.3689999999997</v>
      </c>
      <c r="DA34" s="91">
        <v>4355.6549999999997</v>
      </c>
      <c r="DB34" s="91">
        <v>5839.9349999999995</v>
      </c>
      <c r="DC34" s="91">
        <v>5900.8964999999989</v>
      </c>
      <c r="DD34" s="91">
        <v>5279.7959999999994</v>
      </c>
      <c r="DE34" s="91">
        <v>4897.2404999999999</v>
      </c>
      <c r="DF34" s="91">
        <v>5018.28</v>
      </c>
      <c r="DG34" s="91">
        <v>4641.0254999999997</v>
      </c>
      <c r="DH34" s="91">
        <v>6521.1134999999995</v>
      </c>
      <c r="DI34" s="91">
        <v>3929.8079999999995</v>
      </c>
      <c r="DJ34" s="91">
        <v>4136.6400000000003</v>
      </c>
    </row>
    <row r="35" spans="1:114" ht="15" customHeight="1" outlineLevel="1">
      <c r="A35" s="94">
        <v>2</v>
      </c>
      <c r="B35" s="1092" t="s">
        <v>57</v>
      </c>
      <c r="C35" s="1118"/>
      <c r="D35" s="313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>
        <f t="shared" si="77"/>
        <v>0</v>
      </c>
      <c r="Q35" s="90"/>
      <c r="R35" s="313">
        <v>2909</v>
      </c>
      <c r="S35" s="91">
        <v>2545</v>
      </c>
      <c r="T35" s="91">
        <f>2727/1.2</f>
        <v>2272.5</v>
      </c>
      <c r="U35" s="91">
        <f>2*U7</f>
        <v>2</v>
      </c>
      <c r="V35" s="91">
        <v>500</v>
      </c>
      <c r="W35" s="91">
        <v>1300</v>
      </c>
      <c r="X35" s="91">
        <v>3200</v>
      </c>
      <c r="Y35" s="91">
        <v>3200</v>
      </c>
      <c r="Z35" s="91">
        <v>3600</v>
      </c>
      <c r="AA35" s="91">
        <v>3600</v>
      </c>
      <c r="AB35" s="91">
        <v>3600</v>
      </c>
      <c r="AC35" s="91">
        <v>4500</v>
      </c>
      <c r="AD35" s="315">
        <f t="shared" si="78"/>
        <v>31228.5</v>
      </c>
      <c r="AE35" s="23"/>
      <c r="AF35" s="316">
        <v>4000</v>
      </c>
      <c r="AG35" s="91">
        <v>1500</v>
      </c>
      <c r="AH35" s="91">
        <v>189</v>
      </c>
      <c r="AI35" s="91">
        <v>1842</v>
      </c>
      <c r="AJ35" s="91">
        <v>3764</v>
      </c>
      <c r="AK35" s="91">
        <v>3200</v>
      </c>
      <c r="AL35" s="91">
        <v>6000</v>
      </c>
      <c r="AM35" s="91">
        <v>5000</v>
      </c>
      <c r="AN35" s="91">
        <v>5000</v>
      </c>
      <c r="AO35" s="91">
        <v>5000</v>
      </c>
      <c r="AP35" s="91">
        <v>5000</v>
      </c>
      <c r="AQ35" s="91">
        <v>9000</v>
      </c>
      <c r="AR35" s="92">
        <f t="shared" si="79"/>
        <v>49495</v>
      </c>
      <c r="AS35" s="23"/>
      <c r="AT35" s="91">
        <v>5468</v>
      </c>
      <c r="AU35" s="91">
        <v>5468</v>
      </c>
      <c r="AV35" s="91">
        <v>6249</v>
      </c>
      <c r="AW35" s="91">
        <v>6249</v>
      </c>
      <c r="AX35" s="317">
        <v>3923</v>
      </c>
      <c r="AY35" s="317">
        <v>3923</v>
      </c>
      <c r="AZ35" s="317">
        <v>3745</v>
      </c>
      <c r="BA35" s="317">
        <v>3745</v>
      </c>
      <c r="BB35" s="317">
        <v>3923</v>
      </c>
      <c r="BC35" s="317">
        <v>4636</v>
      </c>
      <c r="BD35" s="317">
        <v>4993</v>
      </c>
      <c r="BE35" s="317">
        <v>7133</v>
      </c>
      <c r="BF35" s="91">
        <f t="shared" si="80"/>
        <v>59455</v>
      </c>
      <c r="BG35" s="93">
        <f t="shared" si="81"/>
        <v>0.20123244772199222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>
        <v>40562</v>
      </c>
      <c r="BU35" s="54"/>
      <c r="BV35" s="91">
        <v>4442.6099999999997</v>
      </c>
      <c r="BW35" s="91">
        <v>3433.56</v>
      </c>
      <c r="BX35" s="91">
        <f>'META  EM PEÇAS'!U27-('META  EM PEÇAS'!U27*0.05)</f>
        <v>3860.0114999999996</v>
      </c>
      <c r="BY35" s="91">
        <f>'META  EM PEÇAS'!V27-('META  EM PEÇAS'!V27*0.05)</f>
        <v>3578.1749999999997</v>
      </c>
      <c r="BZ35" s="91">
        <f>'META  EM PEÇAS'!W27-('META  EM PEÇAS'!W27*0.05)</f>
        <v>4015.5074999999997</v>
      </c>
      <c r="CA35" s="91">
        <f>'META  EM PEÇAS'!X27-('META  EM PEÇAS'!X27*0.05)</f>
        <v>4835.3954999999996</v>
      </c>
      <c r="CB35" s="91">
        <f>'META  EM PEÇAS'!Y27-('META  EM PEÇAS'!Y27*0.05)</f>
        <v>5815.1969999999992</v>
      </c>
      <c r="CC35" s="91">
        <f>'META  EM PEÇAS'!Z27-('META  EM PEÇAS'!Z27*0.05)</f>
        <v>3888.2835</v>
      </c>
      <c r="CD35" s="91">
        <f>'META  EM PEÇAS'!AA27-('META  EM PEÇAS'!AA27*0.05)</f>
        <v>4032.2939999999994</v>
      </c>
      <c r="CE35" s="91">
        <f>'META  EM PEÇAS'!AB27-('META  EM PEÇAS'!AB27*0.05)</f>
        <v>4375.0919999999996</v>
      </c>
      <c r="CF35" s="91">
        <f>'META  EM PEÇAS'!AC27-('META  EM PEÇAS'!AC27*0.05)</f>
        <v>5604.9239999999991</v>
      </c>
      <c r="CG35" s="91">
        <f>'META  EM PEÇAS'!AD27-('META  EM PEÇAS'!AD27*0.05)</f>
        <v>7897.606499999999</v>
      </c>
      <c r="CH35" s="91">
        <f>SUM(BV35:CG35)</f>
        <v>55778.656499999997</v>
      </c>
      <c r="CJ35" s="91">
        <v>4442.6099999999997</v>
      </c>
      <c r="CK35" s="91">
        <v>3433.56</v>
      </c>
      <c r="CL35" s="91">
        <v>3860.0114999999996</v>
      </c>
      <c r="CM35" s="91">
        <v>3578.1749999999997</v>
      </c>
      <c r="CN35" s="91">
        <v>4015.5074999999997</v>
      </c>
      <c r="CO35" s="91">
        <v>4835.3954999999996</v>
      </c>
      <c r="CP35" s="91">
        <v>5815.1969999999992</v>
      </c>
      <c r="CQ35" s="91">
        <v>3888.2835</v>
      </c>
      <c r="CR35" s="91">
        <v>4032.2939999999994</v>
      </c>
      <c r="CS35" s="91">
        <v>4375.0919999999996</v>
      </c>
      <c r="CT35" s="91">
        <v>5604.9239999999991</v>
      </c>
      <c r="CU35" s="91">
        <v>7897.606499999999</v>
      </c>
      <c r="CV35" s="91">
        <v>55778.656499999997</v>
      </c>
      <c r="CX35" s="91">
        <v>4442.6099999999997</v>
      </c>
      <c r="CY35" s="91">
        <v>3433.56</v>
      </c>
      <c r="CZ35" s="91">
        <v>3860.0114999999996</v>
      </c>
      <c r="DA35" s="91">
        <v>3578.1749999999997</v>
      </c>
      <c r="DB35" s="91">
        <v>4015.5074999999997</v>
      </c>
      <c r="DC35" s="91">
        <v>4835.3954999999996</v>
      </c>
      <c r="DD35" s="91">
        <v>5815.1969999999992</v>
      </c>
      <c r="DE35" s="91">
        <v>3888.2835</v>
      </c>
      <c r="DF35" s="91">
        <v>4032.2939999999994</v>
      </c>
      <c r="DG35" s="91">
        <v>4375.0919999999996</v>
      </c>
      <c r="DH35" s="91">
        <v>5604.9239999999991</v>
      </c>
      <c r="DI35" s="91">
        <v>7897.606499999999</v>
      </c>
      <c r="DJ35" s="91">
        <v>55778.656499999997</v>
      </c>
    </row>
    <row r="36" spans="1:114" ht="15" customHeight="1" outlineLevel="1">
      <c r="A36" s="94">
        <v>3</v>
      </c>
      <c r="B36" s="1092" t="s">
        <v>58</v>
      </c>
      <c r="C36" s="1118"/>
      <c r="D36" s="313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>
        <f t="shared" si="77"/>
        <v>0</v>
      </c>
      <c r="Q36" s="90"/>
      <c r="R36" s="313">
        <v>746</v>
      </c>
      <c r="S36" s="91">
        <v>653</v>
      </c>
      <c r="T36" s="91">
        <v>700</v>
      </c>
      <c r="U36" s="91">
        <v>0</v>
      </c>
      <c r="V36" s="91">
        <v>200</v>
      </c>
      <c r="W36" s="91">
        <v>400</v>
      </c>
      <c r="X36" s="91">
        <v>900</v>
      </c>
      <c r="Y36" s="91">
        <v>900</v>
      </c>
      <c r="Z36" s="91">
        <v>900</v>
      </c>
      <c r="AA36" s="91">
        <v>900</v>
      </c>
      <c r="AB36" s="91">
        <v>900</v>
      </c>
      <c r="AC36" s="91">
        <v>1200</v>
      </c>
      <c r="AD36" s="315">
        <f t="shared" si="78"/>
        <v>8399</v>
      </c>
      <c r="AE36" s="23"/>
      <c r="AF36" s="316">
        <v>1800</v>
      </c>
      <c r="AG36" s="91">
        <v>1200</v>
      </c>
      <c r="AH36" s="91">
        <v>230</v>
      </c>
      <c r="AI36" s="91">
        <v>472</v>
      </c>
      <c r="AJ36" s="91">
        <v>1495</v>
      </c>
      <c r="AK36" s="91">
        <v>1200</v>
      </c>
      <c r="AL36" s="91">
        <v>1500</v>
      </c>
      <c r="AM36" s="91">
        <v>1500</v>
      </c>
      <c r="AN36" s="91">
        <v>1500</v>
      </c>
      <c r="AO36" s="91">
        <v>1500</v>
      </c>
      <c r="AP36" s="91">
        <v>1650</v>
      </c>
      <c r="AQ36" s="91">
        <v>2400</v>
      </c>
      <c r="AR36" s="92">
        <f t="shared" si="79"/>
        <v>16447</v>
      </c>
      <c r="AS36" s="23"/>
      <c r="AT36" s="91">
        <v>2438</v>
      </c>
      <c r="AU36" s="91">
        <v>1501</v>
      </c>
      <c r="AV36" s="91">
        <v>1566</v>
      </c>
      <c r="AW36" s="91">
        <v>2127</v>
      </c>
      <c r="AX36" s="317">
        <v>1928</v>
      </c>
      <c r="AY36" s="317">
        <v>1928</v>
      </c>
      <c r="AZ36" s="317">
        <v>1840</v>
      </c>
      <c r="BA36" s="317">
        <v>1840</v>
      </c>
      <c r="BB36" s="317">
        <v>1928</v>
      </c>
      <c r="BC36" s="317">
        <v>2278</v>
      </c>
      <c r="BD36" s="317">
        <v>2454</v>
      </c>
      <c r="BE36" s="317">
        <v>3505</v>
      </c>
      <c r="BF36" s="91">
        <f t="shared" si="80"/>
        <v>25333</v>
      </c>
      <c r="BG36" s="93">
        <f t="shared" si="81"/>
        <v>0.54028090229221126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>
        <v>7784</v>
      </c>
      <c r="BU36" s="54"/>
      <c r="BV36" s="91">
        <v>450.99999999999989</v>
      </c>
      <c r="BW36" s="91">
        <v>348.59999999999991</v>
      </c>
      <c r="BX36" s="91">
        <f>'META  EM PEÇAS'!U28-('META  EM PEÇAS'!U28*0.05)</f>
        <v>391.96999999999991</v>
      </c>
      <c r="BY36" s="91">
        <f>'META  EM PEÇAS'!V28-('META  EM PEÇAS'!V28*0.05)</f>
        <v>363.27999999999992</v>
      </c>
      <c r="BZ36" s="91">
        <f>'META  EM PEÇAS'!W28-('META  EM PEÇAS'!W28*0.05)</f>
        <v>407.5499999999999</v>
      </c>
      <c r="CA36" s="91">
        <f>'META  EM PEÇAS'!X28-('META  EM PEÇAS'!X28*0.05)</f>
        <v>490.76999999999992</v>
      </c>
      <c r="CB36" s="91">
        <f>'META  EM PEÇAS'!Y28-('META  EM PEÇAS'!Y28*0.05)</f>
        <v>590.32999999999993</v>
      </c>
      <c r="CC36" s="91">
        <f>'META  EM PEÇAS'!Z28-('META  EM PEÇAS'!Z28*0.05)</f>
        <v>394.62999999999994</v>
      </c>
      <c r="CD36" s="91">
        <f>'META  EM PEÇAS'!AA28-('META  EM PEÇAS'!AA28*0.05)</f>
        <v>409.25999999999988</v>
      </c>
      <c r="CE36" s="91">
        <f>'META  EM PEÇAS'!AB28-('META  EM PEÇAS'!AB28*0.05)</f>
        <v>444.21999999999991</v>
      </c>
      <c r="CF36" s="91">
        <f>'META  EM PEÇAS'!AC28-('META  EM PEÇAS'!AC28*0.05)</f>
        <v>569.04999999999984</v>
      </c>
      <c r="CG36" s="91">
        <f>'META  EM PEÇAS'!AD28-('META  EM PEÇAS'!AD28*0.05)</f>
        <v>801.79999999999973</v>
      </c>
      <c r="CH36" s="91">
        <f t="shared" ref="CH36:CH49" si="82">SUM(BV36:CG36)</f>
        <v>5662.4599999999991</v>
      </c>
      <c r="CJ36" s="91">
        <v>450.99999999999989</v>
      </c>
      <c r="CK36" s="91">
        <v>348.59999999999991</v>
      </c>
      <c r="CL36" s="91">
        <v>391.96999999999991</v>
      </c>
      <c r="CM36" s="91">
        <v>363.27999999999992</v>
      </c>
      <c r="CN36" s="91">
        <v>407.5499999999999</v>
      </c>
      <c r="CO36" s="91">
        <v>490.76999999999992</v>
      </c>
      <c r="CP36" s="91">
        <v>590.32999999999993</v>
      </c>
      <c r="CQ36" s="91">
        <v>394.62999999999994</v>
      </c>
      <c r="CR36" s="91">
        <v>409.25999999999988</v>
      </c>
      <c r="CS36" s="91">
        <v>444.21999999999991</v>
      </c>
      <c r="CT36" s="91">
        <v>569.04999999999984</v>
      </c>
      <c r="CU36" s="91">
        <v>801.79999999999973</v>
      </c>
      <c r="CV36" s="91">
        <v>5662.4599999999991</v>
      </c>
      <c r="CX36" s="91">
        <v>450.99999999999989</v>
      </c>
      <c r="CY36" s="91">
        <v>348.59999999999991</v>
      </c>
      <c r="CZ36" s="91">
        <v>391.96999999999991</v>
      </c>
      <c r="DA36" s="91">
        <v>363.27999999999992</v>
      </c>
      <c r="DB36" s="91">
        <v>407.5499999999999</v>
      </c>
      <c r="DC36" s="91">
        <v>490.76999999999992</v>
      </c>
      <c r="DD36" s="91">
        <v>590.32999999999993</v>
      </c>
      <c r="DE36" s="91">
        <v>394.62999999999994</v>
      </c>
      <c r="DF36" s="91">
        <v>409.25999999999988</v>
      </c>
      <c r="DG36" s="91">
        <v>444.21999999999991</v>
      </c>
      <c r="DH36" s="91">
        <v>569.04999999999984</v>
      </c>
      <c r="DI36" s="91">
        <v>801.79999999999973</v>
      </c>
      <c r="DJ36" s="91">
        <v>5662.4599999999991</v>
      </c>
    </row>
    <row r="37" spans="1:114" ht="15" customHeight="1" outlineLevel="1">
      <c r="A37" s="94">
        <v>4</v>
      </c>
      <c r="B37" s="1092" t="s">
        <v>59</v>
      </c>
      <c r="C37" s="1118"/>
      <c r="D37" s="313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>
        <f t="shared" si="77"/>
        <v>0</v>
      </c>
      <c r="Q37" s="90"/>
      <c r="R37" s="313">
        <v>1455</v>
      </c>
      <c r="S37" s="91">
        <f>2036</f>
        <v>2036</v>
      </c>
      <c r="T37" s="91">
        <f>2182/2</f>
        <v>1091</v>
      </c>
      <c r="U37" s="91">
        <v>0</v>
      </c>
      <c r="V37" s="91">
        <v>200</v>
      </c>
      <c r="W37" s="91">
        <v>900</v>
      </c>
      <c r="X37" s="91">
        <v>1600</v>
      </c>
      <c r="Y37" s="91">
        <v>1600</v>
      </c>
      <c r="Z37" s="91">
        <v>1600</v>
      </c>
      <c r="AA37" s="91">
        <v>1600</v>
      </c>
      <c r="AB37" s="91">
        <v>2200</v>
      </c>
      <c r="AC37" s="91">
        <v>2500</v>
      </c>
      <c r="AD37" s="315">
        <f t="shared" si="78"/>
        <v>16782</v>
      </c>
      <c r="AE37" s="23"/>
      <c r="AF37" s="316">
        <v>2200</v>
      </c>
      <c r="AG37" s="91">
        <v>1500</v>
      </c>
      <c r="AH37" s="91">
        <v>121</v>
      </c>
      <c r="AI37" s="91">
        <v>565</v>
      </c>
      <c r="AJ37" s="91">
        <v>1514</v>
      </c>
      <c r="AK37" s="91">
        <v>1760</v>
      </c>
      <c r="AL37" s="91">
        <v>1800</v>
      </c>
      <c r="AM37" s="91">
        <v>2200</v>
      </c>
      <c r="AN37" s="91">
        <v>2200</v>
      </c>
      <c r="AO37" s="91">
        <v>2200</v>
      </c>
      <c r="AP37" s="91">
        <v>2420</v>
      </c>
      <c r="AQ37" s="91">
        <v>3520</v>
      </c>
      <c r="AR37" s="92">
        <f t="shared" si="79"/>
        <v>22000</v>
      </c>
      <c r="AS37" s="23"/>
      <c r="AT37" s="91">
        <v>1529</v>
      </c>
      <c r="AU37" s="91">
        <v>1516</v>
      </c>
      <c r="AV37" s="91">
        <v>1586</v>
      </c>
      <c r="AW37" s="91">
        <v>1979</v>
      </c>
      <c r="AX37" s="317">
        <v>1283</v>
      </c>
      <c r="AY37" s="317">
        <v>1283</v>
      </c>
      <c r="AZ37" s="317">
        <v>1224</v>
      </c>
      <c r="BA37" s="317">
        <v>1224</v>
      </c>
      <c r="BB37" s="317">
        <v>1283</v>
      </c>
      <c r="BC37" s="317">
        <v>1516</v>
      </c>
      <c r="BD37" s="317">
        <v>1632</v>
      </c>
      <c r="BE37" s="317">
        <v>2332</v>
      </c>
      <c r="BF37" s="91">
        <f t="shared" si="80"/>
        <v>18387</v>
      </c>
      <c r="BG37" s="93">
        <f t="shared" si="81"/>
        <v>-0.16422727272727278</v>
      </c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>
        <v>9018</v>
      </c>
      <c r="BU37" s="54"/>
      <c r="BV37" s="91">
        <v>1143.8999999999999</v>
      </c>
      <c r="BW37" s="91">
        <v>884.43</v>
      </c>
      <c r="BX37" s="91">
        <f>'META  EM PEÇAS'!U29-('META  EM PEÇAS'!U29*0.05)</f>
        <v>993.9375</v>
      </c>
      <c r="BY37" s="91">
        <f>'META  EM PEÇAS'!V29-('META  EM PEÇAS'!V29*0.05)</f>
        <v>921.49049999999988</v>
      </c>
      <c r="BZ37" s="91">
        <f>'META  EM PEÇAS'!W29-('META  EM PEÇAS'!W29*0.05)</f>
        <v>1033.6949999999999</v>
      </c>
      <c r="CA37" s="91">
        <f>'META  EM PEÇAS'!X29-('META  EM PEÇAS'!X29*0.05)</f>
        <v>1244.8515</v>
      </c>
      <c r="CB37" s="91">
        <f>'META  EM PEÇAS'!Y29-('META  EM PEÇAS'!Y29*0.05)</f>
        <v>1497.5324999999998</v>
      </c>
      <c r="CC37" s="91">
        <f>'META  EM PEÇAS'!Z29-('META  EM PEÇAS'!Z29*0.05)</f>
        <v>1001.0054999999999</v>
      </c>
      <c r="CD37" s="91">
        <f>'META  EM PEÇAS'!AA29-('META  EM PEÇAS'!AA29*0.05)</f>
        <v>1038.1125</v>
      </c>
      <c r="CE37" s="91">
        <f>'META  EM PEÇAS'!AB29-('META  EM PEÇAS'!AB29*0.05)</f>
        <v>1126.4625000000001</v>
      </c>
      <c r="CF37" s="91">
        <f>'META  EM PEÇAS'!AC29-('META  EM PEÇAS'!AC29*0.05)</f>
        <v>1443.6389999999999</v>
      </c>
      <c r="CG37" s="91">
        <f>'META  EM PEÇAS'!AD29-('META  EM PEÇAS'!AD29*0.05)</f>
        <v>2033.8169999999998</v>
      </c>
      <c r="CH37" s="91">
        <f t="shared" si="82"/>
        <v>14362.873499999996</v>
      </c>
      <c r="CJ37" s="91">
        <v>1143.8999999999999</v>
      </c>
      <c r="CK37" s="91">
        <v>884.43</v>
      </c>
      <c r="CL37" s="91">
        <v>993.9375</v>
      </c>
      <c r="CM37" s="91">
        <v>921.49049999999988</v>
      </c>
      <c r="CN37" s="91">
        <v>1033.6949999999999</v>
      </c>
      <c r="CO37" s="91">
        <v>1244.8515</v>
      </c>
      <c r="CP37" s="91">
        <v>1497.5324999999998</v>
      </c>
      <c r="CQ37" s="91">
        <v>1001.0054999999999</v>
      </c>
      <c r="CR37" s="91">
        <v>1038.1125</v>
      </c>
      <c r="CS37" s="91">
        <v>1126.4625000000001</v>
      </c>
      <c r="CT37" s="91">
        <v>1443.6389999999999</v>
      </c>
      <c r="CU37" s="91">
        <v>2033.8169999999998</v>
      </c>
      <c r="CV37" s="91">
        <v>14362.873499999996</v>
      </c>
      <c r="CX37" s="91">
        <v>1143.8999999999999</v>
      </c>
      <c r="CY37" s="91">
        <v>884.43</v>
      </c>
      <c r="CZ37" s="91">
        <v>993.9375</v>
      </c>
      <c r="DA37" s="91">
        <v>921.49049999999988</v>
      </c>
      <c r="DB37" s="91">
        <v>1033.6949999999999</v>
      </c>
      <c r="DC37" s="91">
        <v>1244.8515</v>
      </c>
      <c r="DD37" s="91">
        <v>1497.5324999999998</v>
      </c>
      <c r="DE37" s="91">
        <v>1001.0054999999999</v>
      </c>
      <c r="DF37" s="91">
        <v>1038.1125</v>
      </c>
      <c r="DG37" s="91">
        <v>1126.4625000000001</v>
      </c>
      <c r="DH37" s="91">
        <v>1443.6389999999999</v>
      </c>
      <c r="DI37" s="91">
        <v>2033.8169999999998</v>
      </c>
      <c r="DJ37" s="91">
        <v>14362.873499999996</v>
      </c>
    </row>
    <row r="38" spans="1:114" ht="15" customHeight="1" outlineLevel="1">
      <c r="A38" s="94">
        <v>5</v>
      </c>
      <c r="B38" s="1092" t="s">
        <v>60</v>
      </c>
      <c r="C38" s="1118"/>
      <c r="D38" s="313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>
        <f t="shared" si="77"/>
        <v>0</v>
      </c>
      <c r="Q38" s="90"/>
      <c r="R38" s="313">
        <v>1353</v>
      </c>
      <c r="S38" s="91">
        <v>1184</v>
      </c>
      <c r="T38" s="91">
        <v>1268</v>
      </c>
      <c r="U38" s="91">
        <f t="shared" ref="U38:V38" si="83">10*U7</f>
        <v>10</v>
      </c>
      <c r="V38" s="91">
        <f t="shared" si="83"/>
        <v>120</v>
      </c>
      <c r="W38" s="91">
        <v>600</v>
      </c>
      <c r="X38" s="91">
        <v>1600</v>
      </c>
      <c r="Y38" s="91">
        <v>1600</v>
      </c>
      <c r="Z38" s="91">
        <v>1600</v>
      </c>
      <c r="AA38" s="91">
        <v>1600</v>
      </c>
      <c r="AB38" s="91">
        <v>1600</v>
      </c>
      <c r="AC38" s="91">
        <v>2200</v>
      </c>
      <c r="AD38" s="315">
        <f t="shared" si="78"/>
        <v>14735</v>
      </c>
      <c r="AE38" s="23"/>
      <c r="AF38" s="316">
        <v>1800</v>
      </c>
      <c r="AG38" s="91">
        <v>1200</v>
      </c>
      <c r="AH38" s="91">
        <v>181</v>
      </c>
      <c r="AI38" s="91">
        <v>628</v>
      </c>
      <c r="AJ38" s="91">
        <v>1169</v>
      </c>
      <c r="AK38" s="91">
        <v>960</v>
      </c>
      <c r="AL38" s="91">
        <v>1500</v>
      </c>
      <c r="AM38" s="91">
        <v>1200</v>
      </c>
      <c r="AN38" s="91">
        <v>1200</v>
      </c>
      <c r="AO38" s="91">
        <v>1200</v>
      </c>
      <c r="AP38" s="91">
        <v>1320</v>
      </c>
      <c r="AQ38" s="91">
        <v>1920</v>
      </c>
      <c r="AR38" s="92">
        <f t="shared" si="79"/>
        <v>14278</v>
      </c>
      <c r="AS38" s="23"/>
      <c r="AT38" s="91">
        <v>1496</v>
      </c>
      <c r="AU38" s="91">
        <v>1200</v>
      </c>
      <c r="AV38" s="91">
        <v>1227</v>
      </c>
      <c r="AW38" s="91">
        <v>1655</v>
      </c>
      <c r="AX38" s="317">
        <v>1141</v>
      </c>
      <c r="AY38" s="317">
        <v>1141</v>
      </c>
      <c r="AZ38" s="317">
        <v>1089</v>
      </c>
      <c r="BA38" s="317">
        <v>1089</v>
      </c>
      <c r="BB38" s="317">
        <v>1141</v>
      </c>
      <c r="BC38" s="317">
        <v>1349</v>
      </c>
      <c r="BD38" s="317">
        <v>1453</v>
      </c>
      <c r="BE38" s="317">
        <v>2075</v>
      </c>
      <c r="BF38" s="91">
        <f t="shared" si="80"/>
        <v>16056</v>
      </c>
      <c r="BG38" s="93">
        <f t="shared" si="81"/>
        <v>0.1245272447121446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>
        <v>10591</v>
      </c>
      <c r="BU38" s="54"/>
      <c r="BV38" s="91">
        <v>1474.9799999999998</v>
      </c>
      <c r="BW38" s="91">
        <v>1140.1799999999998</v>
      </c>
      <c r="BX38" s="91">
        <f>'META  EM PEÇAS'!U30-('META  EM PEÇAS'!U30*0.05)</f>
        <v>1281.9584999999997</v>
      </c>
      <c r="BY38" s="91">
        <f>'META  EM PEÇAS'!V30-('META  EM PEÇAS'!V30*0.05)</f>
        <v>1188.3074999999999</v>
      </c>
      <c r="BZ38" s="91">
        <f>'META  EM PEÇAS'!W30-('META  EM PEÇAS'!W30*0.05)</f>
        <v>1333.2014999999999</v>
      </c>
      <c r="CA38" s="91">
        <f>'META  EM PEÇAS'!X30-('META  EM PEÇAS'!X30*0.05)</f>
        <v>1606.2029999999997</v>
      </c>
      <c r="CB38" s="91">
        <f>'META  EM PEÇAS'!Y30-('META  EM PEÇAS'!Y30*0.05)</f>
        <v>1931.3309999999997</v>
      </c>
      <c r="CC38" s="91">
        <f>'META  EM PEÇAS'!Z30-('META  EM PEÇAS'!Z30*0.05)</f>
        <v>1291.6769999999999</v>
      </c>
      <c r="CD38" s="91">
        <f>'META  EM PEÇAS'!AA30-('META  EM PEÇAS'!AA30*0.05)</f>
        <v>1339.386</v>
      </c>
      <c r="CE38" s="91">
        <f>'META  EM PEÇAS'!AB30-('META  EM PEÇAS'!AB30*0.05)</f>
        <v>1453.3574999999998</v>
      </c>
      <c r="CF38" s="91">
        <f>'META  EM PEÇAS'!AC30-('META  EM PEÇAS'!AC30*0.05)</f>
        <v>1861.5344999999998</v>
      </c>
      <c r="CG38" s="91">
        <f>'META  EM PEÇAS'!AD30-('META  EM PEÇAS'!AD30*0.05)</f>
        <v>2623.1114999999995</v>
      </c>
      <c r="CH38" s="91">
        <f t="shared" si="82"/>
        <v>18525.227999999999</v>
      </c>
      <c r="CI38" s="450"/>
      <c r="CJ38" s="91">
        <v>1474.9799999999998</v>
      </c>
      <c r="CK38" s="91">
        <v>1140.1799999999998</v>
      </c>
      <c r="CL38" s="91">
        <v>1281.9584999999997</v>
      </c>
      <c r="CM38" s="91">
        <v>1188.3074999999999</v>
      </c>
      <c r="CN38" s="91">
        <v>1333.2014999999999</v>
      </c>
      <c r="CO38" s="91">
        <v>1606.2029999999997</v>
      </c>
      <c r="CP38" s="91">
        <v>1931.3309999999997</v>
      </c>
      <c r="CQ38" s="91">
        <v>1291.6769999999999</v>
      </c>
      <c r="CR38" s="91">
        <v>1339.386</v>
      </c>
      <c r="CS38" s="91">
        <v>1453.3574999999998</v>
      </c>
      <c r="CT38" s="91">
        <v>1861.5344999999998</v>
      </c>
      <c r="CU38" s="91">
        <v>2623.1114999999995</v>
      </c>
      <c r="CV38" s="91">
        <v>18525.227999999999</v>
      </c>
      <c r="CW38" s="450"/>
      <c r="CX38" s="91">
        <v>1474.9799999999998</v>
      </c>
      <c r="CY38" s="91">
        <v>1140.1799999999998</v>
      </c>
      <c r="CZ38" s="91">
        <v>1281.9584999999997</v>
      </c>
      <c r="DA38" s="91">
        <v>1188.3074999999999</v>
      </c>
      <c r="DB38" s="91">
        <v>1333.2014999999999</v>
      </c>
      <c r="DC38" s="91">
        <v>1606.2029999999997</v>
      </c>
      <c r="DD38" s="91">
        <v>1931.3309999999997</v>
      </c>
      <c r="DE38" s="91">
        <v>1291.6769999999999</v>
      </c>
      <c r="DF38" s="91">
        <v>1339.386</v>
      </c>
      <c r="DG38" s="91">
        <v>1453.3574999999998</v>
      </c>
      <c r="DH38" s="91">
        <v>1861.5344999999998</v>
      </c>
      <c r="DI38" s="91">
        <v>2623.1114999999995</v>
      </c>
      <c r="DJ38" s="91">
        <v>18525.227999999999</v>
      </c>
    </row>
    <row r="39" spans="1:114" ht="15" customHeight="1" outlineLevel="1">
      <c r="A39" s="94">
        <v>6</v>
      </c>
      <c r="B39" s="1092" t="s">
        <v>61</v>
      </c>
      <c r="C39" s="1118"/>
      <c r="D39" s="313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314">
        <f t="shared" si="77"/>
        <v>0</v>
      </c>
      <c r="Q39" s="90"/>
      <c r="R39" s="313">
        <v>1455</v>
      </c>
      <c r="S39" s="91">
        <v>1273</v>
      </c>
      <c r="T39" s="91">
        <v>1364</v>
      </c>
      <c r="U39" s="91">
        <v>0</v>
      </c>
      <c r="V39" s="91">
        <v>200</v>
      </c>
      <c r="W39" s="91">
        <v>800</v>
      </c>
      <c r="X39" s="91">
        <v>1600</v>
      </c>
      <c r="Y39" s="91">
        <v>1600</v>
      </c>
      <c r="Z39" s="91">
        <v>1600</v>
      </c>
      <c r="AA39" s="91">
        <v>1600</v>
      </c>
      <c r="AB39" s="91">
        <v>1800</v>
      </c>
      <c r="AC39" s="91">
        <v>2400</v>
      </c>
      <c r="AD39" s="315">
        <f t="shared" si="78"/>
        <v>15692</v>
      </c>
      <c r="AE39" s="23"/>
      <c r="AF39" s="316">
        <v>1500</v>
      </c>
      <c r="AG39" s="91">
        <v>1200</v>
      </c>
      <c r="AH39" s="91">
        <v>127</v>
      </c>
      <c r="AI39" s="91">
        <v>426</v>
      </c>
      <c r="AJ39" s="91">
        <v>1063</v>
      </c>
      <c r="AK39" s="91">
        <v>960</v>
      </c>
      <c r="AL39" s="91">
        <v>1500</v>
      </c>
      <c r="AM39" s="91">
        <v>1200</v>
      </c>
      <c r="AN39" s="91">
        <v>1200</v>
      </c>
      <c r="AO39" s="91">
        <v>1200</v>
      </c>
      <c r="AP39" s="91">
        <v>1320</v>
      </c>
      <c r="AQ39" s="91">
        <v>1920</v>
      </c>
      <c r="AR39" s="92">
        <f t="shared" si="79"/>
        <v>13616</v>
      </c>
      <c r="AS39" s="23"/>
      <c r="AT39" s="91">
        <v>1222</v>
      </c>
      <c r="AU39" s="91">
        <v>1200</v>
      </c>
      <c r="AV39" s="91">
        <v>1117</v>
      </c>
      <c r="AW39" s="91">
        <v>1463</v>
      </c>
      <c r="AX39" s="317">
        <v>1087</v>
      </c>
      <c r="AY39" s="317">
        <v>1087</v>
      </c>
      <c r="AZ39" s="317">
        <v>1038</v>
      </c>
      <c r="BA39" s="317">
        <v>1038</v>
      </c>
      <c r="BB39" s="317">
        <v>1087</v>
      </c>
      <c r="BC39" s="317">
        <v>1285</v>
      </c>
      <c r="BD39" s="317">
        <v>1384</v>
      </c>
      <c r="BE39" s="317">
        <v>1977</v>
      </c>
      <c r="BF39" s="91">
        <f t="shared" si="80"/>
        <v>14985</v>
      </c>
      <c r="BG39" s="93">
        <f t="shared" si="81"/>
        <v>0.10054347826086962</v>
      </c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>
        <v>10087</v>
      </c>
      <c r="BU39" s="54"/>
      <c r="BV39" s="91">
        <v>1214.58</v>
      </c>
      <c r="BW39" s="91">
        <v>939.3</v>
      </c>
      <c r="BX39" s="91">
        <f>'META  EM PEÇAS'!U31-('META  EM PEÇAS'!U31*0.05)</f>
        <v>1055.7824999999998</v>
      </c>
      <c r="BY39" s="91">
        <f>'META  EM PEÇAS'!V31-('META  EM PEÇAS'!V31*0.05)</f>
        <v>978.03449999999998</v>
      </c>
      <c r="BZ39" s="91">
        <f>'META  EM PEÇAS'!W31-('META  EM PEÇAS'!W31*0.05)</f>
        <v>1098.1904999999999</v>
      </c>
      <c r="CA39" s="91">
        <f>'META  EM PEÇAS'!X31-('META  EM PEÇAS'!X31*0.05)</f>
        <v>1322.5994999999998</v>
      </c>
      <c r="CB39" s="91">
        <f>'META  EM PEÇAS'!Y31-('META  EM PEÇAS'!Y31*0.05)</f>
        <v>1590.3</v>
      </c>
      <c r="CC39" s="91">
        <f>'META  EM PEÇAS'!Z31-('META  EM PEÇAS'!Z31*0.05)</f>
        <v>1062.8505</v>
      </c>
      <c r="CD39" s="91">
        <f>'META  EM PEÇAS'!AA31-('META  EM PEÇAS'!AA31*0.05)</f>
        <v>1102.6079999999999</v>
      </c>
      <c r="CE39" s="91">
        <f>'META  EM PEÇAS'!AB31-('META  EM PEÇAS'!AB31*0.05)</f>
        <v>1196.259</v>
      </c>
      <c r="CF39" s="91">
        <f>'META  EM PEÇAS'!AC31-('META  EM PEÇAS'!AC31*0.05)</f>
        <v>1532.8724999999999</v>
      </c>
      <c r="CG39" s="91">
        <f>'META  EM PEÇAS'!AD31-('META  EM PEÇAS'!AD31*0.05)</f>
        <v>2160.1574999999998</v>
      </c>
      <c r="CH39" s="91">
        <f t="shared" si="82"/>
        <v>15253.534499999998</v>
      </c>
      <c r="CJ39" s="91">
        <v>1214.58</v>
      </c>
      <c r="CK39" s="91">
        <v>939.3</v>
      </c>
      <c r="CL39" s="91">
        <v>1055.7824999999998</v>
      </c>
      <c r="CM39" s="91">
        <v>978.03449999999998</v>
      </c>
      <c r="CN39" s="91">
        <v>1098.1904999999999</v>
      </c>
      <c r="CO39" s="91">
        <v>1322.5994999999998</v>
      </c>
      <c r="CP39" s="91">
        <v>1590.3</v>
      </c>
      <c r="CQ39" s="91">
        <v>1062.8505</v>
      </c>
      <c r="CR39" s="91">
        <v>1102.6079999999999</v>
      </c>
      <c r="CS39" s="91">
        <v>1196.259</v>
      </c>
      <c r="CT39" s="91">
        <v>1532.8724999999999</v>
      </c>
      <c r="CU39" s="91">
        <v>2160.1574999999998</v>
      </c>
      <c r="CV39" s="91">
        <v>15253.534499999998</v>
      </c>
      <c r="CX39" s="91">
        <v>1214.58</v>
      </c>
      <c r="CY39" s="91">
        <v>939.3</v>
      </c>
      <c r="CZ39" s="91">
        <v>1055.7824999999998</v>
      </c>
      <c r="DA39" s="91">
        <v>978.03449999999998</v>
      </c>
      <c r="DB39" s="91">
        <v>1098.1904999999999</v>
      </c>
      <c r="DC39" s="91">
        <v>1322.5994999999998</v>
      </c>
      <c r="DD39" s="91">
        <v>1590.3</v>
      </c>
      <c r="DE39" s="91">
        <v>1062.8505</v>
      </c>
      <c r="DF39" s="91">
        <v>1102.6079999999999</v>
      </c>
      <c r="DG39" s="91">
        <v>1196.259</v>
      </c>
      <c r="DH39" s="91">
        <v>1532.8724999999999</v>
      </c>
      <c r="DI39" s="91">
        <v>2160.1574999999998</v>
      </c>
      <c r="DJ39" s="91">
        <v>15253.534499999998</v>
      </c>
    </row>
    <row r="40" spans="1:114" ht="15" customHeight="1" outlineLevel="1">
      <c r="A40" s="94">
        <v>7</v>
      </c>
      <c r="B40" s="1092" t="s">
        <v>62</v>
      </c>
      <c r="C40" s="1118"/>
      <c r="D40" s="313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314">
        <f t="shared" si="77"/>
        <v>0</v>
      </c>
      <c r="Q40" s="90"/>
      <c r="R40" s="313">
        <v>2000</v>
      </c>
      <c r="S40" s="91">
        <f>2182</f>
        <v>2182</v>
      </c>
      <c r="T40" s="91">
        <f>2455/2</f>
        <v>1227.5</v>
      </c>
      <c r="U40" s="91">
        <f>4*U7</f>
        <v>4</v>
      </c>
      <c r="V40" s="91">
        <v>200</v>
      </c>
      <c r="W40" s="91">
        <v>700</v>
      </c>
      <c r="X40" s="91">
        <v>1600</v>
      </c>
      <c r="Y40" s="91">
        <v>1600</v>
      </c>
      <c r="Z40" s="91">
        <v>1600</v>
      </c>
      <c r="AA40" s="91">
        <v>1600</v>
      </c>
      <c r="AB40" s="91">
        <v>2500</v>
      </c>
      <c r="AC40" s="91">
        <v>3200</v>
      </c>
      <c r="AD40" s="315">
        <f t="shared" si="78"/>
        <v>18413.5</v>
      </c>
      <c r="AE40" s="23"/>
      <c r="AF40" s="316">
        <v>2600</v>
      </c>
      <c r="AG40" s="91">
        <v>1000</v>
      </c>
      <c r="AH40" s="91">
        <v>195</v>
      </c>
      <c r="AI40" s="91">
        <v>844</v>
      </c>
      <c r="AJ40" s="91">
        <v>1973</v>
      </c>
      <c r="AK40" s="91">
        <v>1840</v>
      </c>
      <c r="AL40" s="91">
        <v>2000</v>
      </c>
      <c r="AM40" s="91">
        <v>2300</v>
      </c>
      <c r="AN40" s="91">
        <v>2300</v>
      </c>
      <c r="AO40" s="91">
        <v>2300</v>
      </c>
      <c r="AP40" s="91">
        <v>2530</v>
      </c>
      <c r="AQ40" s="91">
        <v>3680</v>
      </c>
      <c r="AR40" s="92">
        <f t="shared" si="79"/>
        <v>23562</v>
      </c>
      <c r="AS40" s="23"/>
      <c r="AT40" s="91">
        <v>1888</v>
      </c>
      <c r="AU40" s="91">
        <v>1414</v>
      </c>
      <c r="AV40" s="91">
        <v>2073</v>
      </c>
      <c r="AW40" s="91">
        <v>2338</v>
      </c>
      <c r="AX40" s="317">
        <v>1857</v>
      </c>
      <c r="AY40" s="317">
        <v>1857</v>
      </c>
      <c r="AZ40" s="317">
        <v>1772</v>
      </c>
      <c r="BA40" s="317">
        <v>1772</v>
      </c>
      <c r="BB40" s="317">
        <v>1857</v>
      </c>
      <c r="BC40" s="317">
        <v>2194</v>
      </c>
      <c r="BD40" s="317">
        <v>2363</v>
      </c>
      <c r="BE40" s="317">
        <v>3376</v>
      </c>
      <c r="BF40" s="91">
        <f t="shared" si="80"/>
        <v>24761</v>
      </c>
      <c r="BG40" s="93">
        <f t="shared" si="81"/>
        <v>5.0887021475256811E-2</v>
      </c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>
        <v>22941</v>
      </c>
      <c r="BU40" s="54"/>
      <c r="BV40" s="91">
        <v>3211.29</v>
      </c>
      <c r="BW40" s="91">
        <v>2482.1699999999996</v>
      </c>
      <c r="BX40" s="91">
        <f>'META  EM PEÇAS'!U32-('META  EM PEÇAS'!U32*0.05)</f>
        <v>2790.0929999999998</v>
      </c>
      <c r="BY40" s="91">
        <f>'META  EM PEÇAS'!V32-('META  EM PEÇAS'!V32*0.05)</f>
        <v>2586.0044999999996</v>
      </c>
      <c r="BZ40" s="91">
        <f>'META  EM PEÇAS'!W32-('META  EM PEÇAS'!W32*0.05)</f>
        <v>2902.2974999999997</v>
      </c>
      <c r="CA40" s="91">
        <f>'META  EM PEÇAS'!X32-('META  EM PEÇAS'!X32*0.05)</f>
        <v>3495.1259999999997</v>
      </c>
      <c r="CB40" s="91">
        <f>'META  EM PEÇAS'!Y32-('META  EM PEÇAS'!Y32*0.05)</f>
        <v>4203.6929999999993</v>
      </c>
      <c r="CC40" s="91">
        <f>'META  EM PEÇAS'!Z32-('META  EM PEÇAS'!Z32*0.05)</f>
        <v>2810.4135000000001</v>
      </c>
      <c r="CD40" s="91">
        <f>'META  EM PEÇAS'!AA32-('META  EM PEÇAS'!AA32*0.05)</f>
        <v>2914.6664999999998</v>
      </c>
      <c r="CE40" s="91">
        <f>'META  EM PEÇAS'!AB32-('META  EM PEÇAS'!AB32*0.05)</f>
        <v>3162.93</v>
      </c>
      <c r="CF40" s="91">
        <f>'META  EM PEÇAS'!AC32-('META  EM PEÇAS'!AC32*0.05)</f>
        <v>4051.7309999999998</v>
      </c>
      <c r="CG40" s="91">
        <f>'META  EM PEÇAS'!AD32-('META  EM PEÇAS'!AD32*0.05)</f>
        <v>5709.1769999999997</v>
      </c>
      <c r="CH40" s="91">
        <f t="shared" si="82"/>
        <v>40319.59199999999</v>
      </c>
      <c r="CJ40" s="91">
        <v>3211.29</v>
      </c>
      <c r="CK40" s="91">
        <v>2482.1699999999996</v>
      </c>
      <c r="CL40" s="91">
        <v>2790.0929999999998</v>
      </c>
      <c r="CM40" s="91">
        <v>2586.0044999999996</v>
      </c>
      <c r="CN40" s="91">
        <v>2902.2974999999997</v>
      </c>
      <c r="CO40" s="91">
        <v>3495.1259999999997</v>
      </c>
      <c r="CP40" s="91">
        <v>4203.6929999999993</v>
      </c>
      <c r="CQ40" s="91">
        <v>2810.4135000000001</v>
      </c>
      <c r="CR40" s="91">
        <v>2914.6664999999998</v>
      </c>
      <c r="CS40" s="91">
        <v>3162.93</v>
      </c>
      <c r="CT40" s="91">
        <v>4051.7309999999998</v>
      </c>
      <c r="CU40" s="91">
        <v>5709.1769999999997</v>
      </c>
      <c r="CV40" s="91">
        <v>40319.59199999999</v>
      </c>
      <c r="CX40" s="91">
        <v>3211.29</v>
      </c>
      <c r="CY40" s="91">
        <v>2482.1699999999996</v>
      </c>
      <c r="CZ40" s="91">
        <v>2790.0929999999998</v>
      </c>
      <c r="DA40" s="91">
        <v>2586.0044999999996</v>
      </c>
      <c r="DB40" s="91">
        <v>2902.2974999999997</v>
      </c>
      <c r="DC40" s="91">
        <v>3495.1259999999997</v>
      </c>
      <c r="DD40" s="91">
        <v>4203.6929999999993</v>
      </c>
      <c r="DE40" s="91">
        <v>2810.4135000000001</v>
      </c>
      <c r="DF40" s="91">
        <v>2914.6664999999998</v>
      </c>
      <c r="DG40" s="91">
        <v>3162.93</v>
      </c>
      <c r="DH40" s="91">
        <v>4051.7309999999998</v>
      </c>
      <c r="DI40" s="91">
        <v>5709.1769999999997</v>
      </c>
      <c r="DJ40" s="91">
        <v>40319.59199999999</v>
      </c>
    </row>
    <row r="41" spans="1:114" ht="15" customHeight="1" outlineLevel="1">
      <c r="A41" s="94">
        <v>9</v>
      </c>
      <c r="B41" s="1092" t="s">
        <v>63</v>
      </c>
      <c r="C41" s="1118"/>
      <c r="D41" s="313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314">
        <f t="shared" si="77"/>
        <v>0</v>
      </c>
      <c r="Q41" s="90"/>
      <c r="R41" s="313">
        <v>1636</v>
      </c>
      <c r="S41" s="91">
        <v>1636</v>
      </c>
      <c r="T41" s="91">
        <f t="shared" ref="T41:T42" si="84">1818/2</f>
        <v>909</v>
      </c>
      <c r="U41" s="91">
        <v>0</v>
      </c>
      <c r="V41" s="91">
        <v>200</v>
      </c>
      <c r="W41" s="91">
        <v>300</v>
      </c>
      <c r="X41" s="91">
        <v>1000</v>
      </c>
      <c r="Y41" s="91">
        <v>1200</v>
      </c>
      <c r="Z41" s="91">
        <v>1600</v>
      </c>
      <c r="AA41" s="91">
        <v>1600</v>
      </c>
      <c r="AB41" s="91">
        <v>1800</v>
      </c>
      <c r="AC41" s="91">
        <v>2300</v>
      </c>
      <c r="AD41" s="315">
        <f t="shared" si="78"/>
        <v>14181</v>
      </c>
      <c r="AE41" s="23"/>
      <c r="AF41" s="316">
        <v>1500</v>
      </c>
      <c r="AG41" s="91">
        <v>1000</v>
      </c>
      <c r="AH41" s="91">
        <v>126</v>
      </c>
      <c r="AI41" s="91">
        <v>387</v>
      </c>
      <c r="AJ41" s="91">
        <v>895</v>
      </c>
      <c r="AK41" s="91">
        <v>800</v>
      </c>
      <c r="AL41" s="91">
        <v>1500</v>
      </c>
      <c r="AM41" s="91">
        <v>1000</v>
      </c>
      <c r="AN41" s="91">
        <v>1000</v>
      </c>
      <c r="AO41" s="91">
        <v>1000</v>
      </c>
      <c r="AP41" s="91">
        <v>1100</v>
      </c>
      <c r="AQ41" s="91">
        <v>1600</v>
      </c>
      <c r="AR41" s="92">
        <f t="shared" si="79"/>
        <v>11908</v>
      </c>
      <c r="AS41" s="23"/>
      <c r="AT41" s="91">
        <v>1182</v>
      </c>
      <c r="AU41" s="91">
        <v>1200</v>
      </c>
      <c r="AV41" s="91">
        <v>932</v>
      </c>
      <c r="AW41" s="91">
        <v>1020</v>
      </c>
      <c r="AX41" s="317">
        <v>0</v>
      </c>
      <c r="AY41" s="317">
        <v>0</v>
      </c>
      <c r="AZ41" s="317">
        <v>0</v>
      </c>
      <c r="BA41" s="317">
        <v>0</v>
      </c>
      <c r="BB41" s="317">
        <v>0</v>
      </c>
      <c r="BC41" s="317">
        <v>0</v>
      </c>
      <c r="BD41" s="317">
        <v>0</v>
      </c>
      <c r="BE41" s="317">
        <v>0</v>
      </c>
      <c r="BF41" s="91">
        <f t="shared" si="80"/>
        <v>4334</v>
      </c>
      <c r="BG41" s="93">
        <f t="shared" si="81"/>
        <v>-0.63604299630500505</v>
      </c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>
        <v>7070</v>
      </c>
      <c r="BU41" s="54"/>
      <c r="BV41" s="91">
        <v>928.14</v>
      </c>
      <c r="BW41" s="91">
        <v>717.95999999999992</v>
      </c>
      <c r="BX41" s="91">
        <f>'META  EM PEÇAS'!U37-('META  EM PEÇAS'!U37*0.05)</f>
        <v>806.63549999999987</v>
      </c>
      <c r="BY41" s="91">
        <f>'META  EM PEÇAS'!V37-('META  EM PEÇAS'!V37*0.05)</f>
        <v>747.44100000000003</v>
      </c>
      <c r="BZ41" s="91">
        <f>'META  EM PEÇAS'!W37-('META  EM PEÇAS'!W37*0.05)</f>
        <v>839.32499999999993</v>
      </c>
      <c r="CA41" s="91">
        <f>'META  EM PEÇAS'!X37-('META  EM PEÇAS'!X37*0.05)</f>
        <v>1010.7239999999998</v>
      </c>
      <c r="CB41" s="91">
        <f>'META  EM PEÇAS'!Y37-('META  EM PEÇAS'!Y37*0.05)</f>
        <v>1214.8125</v>
      </c>
      <c r="CC41" s="91">
        <f>'META  EM PEÇAS'!Z37-('META  EM PEÇAS'!Z37*0.05)</f>
        <v>812.81999999999994</v>
      </c>
      <c r="CD41" s="91">
        <f>'META  EM PEÇAS'!AA37-('META  EM PEÇAS'!AA37*0.05)</f>
        <v>842.85899999999992</v>
      </c>
      <c r="CE41" s="91">
        <f>'META  EM PEÇAS'!AB37-('META  EM PEÇAS'!AB37*0.05)</f>
        <v>914.4224999999999</v>
      </c>
      <c r="CF41" s="91">
        <f>'META  EM PEÇAS'!AC37-('META  EM PEÇAS'!AC37*0.05)</f>
        <v>1171.5209999999997</v>
      </c>
      <c r="CG41" s="91">
        <f>'META  EM PEÇAS'!AD37-('META  EM PEÇAS'!AD37*0.05)</f>
        <v>1650.3779999999997</v>
      </c>
      <c r="CH41" s="91">
        <f t="shared" si="82"/>
        <v>11657.038499999999</v>
      </c>
      <c r="CJ41" s="91">
        <v>928.14</v>
      </c>
      <c r="CK41" s="91">
        <v>717.95999999999992</v>
      </c>
      <c r="CL41" s="91">
        <v>806.63549999999987</v>
      </c>
      <c r="CM41" s="91">
        <v>747.44100000000003</v>
      </c>
      <c r="CN41" s="91">
        <v>839.32499999999993</v>
      </c>
      <c r="CO41" s="91">
        <v>1010.7239999999998</v>
      </c>
      <c r="CP41" s="91">
        <v>1214.8125</v>
      </c>
      <c r="CQ41" s="91">
        <v>812.81999999999994</v>
      </c>
      <c r="CR41" s="91">
        <v>842.85899999999992</v>
      </c>
      <c r="CS41" s="91">
        <v>914.4224999999999</v>
      </c>
      <c r="CT41" s="91">
        <v>1171.5209999999997</v>
      </c>
      <c r="CU41" s="91">
        <v>1650.3779999999997</v>
      </c>
      <c r="CV41" s="91">
        <v>11657.038499999999</v>
      </c>
      <c r="CX41" s="91">
        <v>928.14</v>
      </c>
      <c r="CY41" s="91">
        <v>717.95999999999992</v>
      </c>
      <c r="CZ41" s="91">
        <v>806.63549999999987</v>
      </c>
      <c r="DA41" s="91">
        <v>747.44100000000003</v>
      </c>
      <c r="DB41" s="91">
        <v>839.32499999999993</v>
      </c>
      <c r="DC41" s="91">
        <v>1010.7239999999998</v>
      </c>
      <c r="DD41" s="91">
        <v>1214.8125</v>
      </c>
      <c r="DE41" s="91">
        <v>812.81999999999994</v>
      </c>
      <c r="DF41" s="91">
        <v>842.85899999999992</v>
      </c>
      <c r="DG41" s="91">
        <v>914.4224999999999</v>
      </c>
      <c r="DH41" s="91">
        <v>1171.5209999999997</v>
      </c>
      <c r="DI41" s="91">
        <v>1650.3779999999997</v>
      </c>
      <c r="DJ41" s="91">
        <v>11657.038499999999</v>
      </c>
    </row>
    <row r="42" spans="1:114" ht="15" customHeight="1" outlineLevel="1">
      <c r="A42" s="94">
        <v>10</v>
      </c>
      <c r="B42" s="1092" t="s">
        <v>64</v>
      </c>
      <c r="C42" s="1118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si="77"/>
        <v>0</v>
      </c>
      <c r="Q42" s="90"/>
      <c r="R42" s="313">
        <v>1636</v>
      </c>
      <c r="S42" s="91">
        <v>1636</v>
      </c>
      <c r="T42" s="91">
        <f t="shared" si="84"/>
        <v>909</v>
      </c>
      <c r="U42" s="91">
        <f>0.5*U7</f>
        <v>0.5</v>
      </c>
      <c r="V42" s="91">
        <v>200</v>
      </c>
      <c r="W42" s="91">
        <v>300</v>
      </c>
      <c r="X42" s="91">
        <v>1000</v>
      </c>
      <c r="Y42" s="91">
        <v>1200</v>
      </c>
      <c r="Z42" s="91">
        <v>1600</v>
      </c>
      <c r="AA42" s="91">
        <v>1600</v>
      </c>
      <c r="AB42" s="91">
        <v>1800</v>
      </c>
      <c r="AC42" s="91">
        <v>2300</v>
      </c>
      <c r="AD42" s="315">
        <f t="shared" si="78"/>
        <v>14181.5</v>
      </c>
      <c r="AE42" s="23"/>
      <c r="AF42" s="316">
        <v>1500</v>
      </c>
      <c r="AG42" s="91">
        <v>1000</v>
      </c>
      <c r="AH42" s="91">
        <v>764</v>
      </c>
      <c r="AI42" s="91">
        <v>561</v>
      </c>
      <c r="AJ42" s="91">
        <v>1353</v>
      </c>
      <c r="AK42" s="91">
        <v>960</v>
      </c>
      <c r="AL42" s="91">
        <v>1500</v>
      </c>
      <c r="AM42" s="91">
        <v>1200</v>
      </c>
      <c r="AN42" s="91">
        <v>1200</v>
      </c>
      <c r="AO42" s="91">
        <v>1200</v>
      </c>
      <c r="AP42" s="91">
        <v>1320</v>
      </c>
      <c r="AQ42" s="91">
        <v>1920</v>
      </c>
      <c r="AR42" s="92">
        <f t="shared" si="79"/>
        <v>14478</v>
      </c>
      <c r="AS42" s="23"/>
      <c r="AT42" s="91">
        <v>1285</v>
      </c>
      <c r="AU42" s="91">
        <v>957</v>
      </c>
      <c r="AV42" s="91">
        <v>1426</v>
      </c>
      <c r="AW42" s="91">
        <v>1595</v>
      </c>
      <c r="AX42" s="317">
        <v>1767</v>
      </c>
      <c r="AY42" s="317">
        <v>1767</v>
      </c>
      <c r="AZ42" s="317">
        <v>1686</v>
      </c>
      <c r="BA42" s="317">
        <v>1686</v>
      </c>
      <c r="BB42" s="317">
        <v>1767</v>
      </c>
      <c r="BC42" s="317">
        <v>2088</v>
      </c>
      <c r="BD42" s="317">
        <v>2248</v>
      </c>
      <c r="BE42" s="317">
        <v>3212</v>
      </c>
      <c r="BF42" s="91">
        <f t="shared" si="80"/>
        <v>21484</v>
      </c>
      <c r="BG42" s="93">
        <f t="shared" si="81"/>
        <v>0.48390661693604087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16952</v>
      </c>
      <c r="BU42" s="54"/>
      <c r="BV42" s="91">
        <v>2631.8999999999996</v>
      </c>
      <c r="BW42" s="91">
        <v>2034.84</v>
      </c>
      <c r="BX42" s="91">
        <f>'META  EM PEÇAS'!U33-('META  EM PEÇAS'!U33*0.05)</f>
        <v>2287.3815</v>
      </c>
      <c r="BY42" s="91">
        <f>'META  EM PEÇAS'!V33-('META  EM PEÇAS'!V33*0.05)</f>
        <v>2119.5164999999997</v>
      </c>
      <c r="BZ42" s="91">
        <f>'META  EM PEÇAS'!W33-('META  EM PEÇAS'!W33*0.05)</f>
        <v>2379.2655</v>
      </c>
      <c r="CA42" s="91">
        <f>'META  EM PEÇAS'!X33-('META  EM PEÇAS'!X33*0.05)</f>
        <v>2865.1904999999997</v>
      </c>
      <c r="CB42" s="91">
        <f>'META  EM PEÇAS'!Y33-('META  EM PEÇAS'!Y33*0.05)</f>
        <v>3445.6499999999996</v>
      </c>
      <c r="CC42" s="91">
        <f>'META  EM PEÇAS'!Z33-('META  EM PEÇAS'!Z33*0.05)</f>
        <v>2303.2844999999998</v>
      </c>
      <c r="CD42" s="91">
        <f>'META  EM PEÇAS'!AA33-('META  EM PEÇAS'!AA33*0.05)</f>
        <v>2388.9839999999999</v>
      </c>
      <c r="CE42" s="91">
        <f>'META  EM PEÇAS'!AB33-('META  EM PEÇAS'!AB33*0.05)</f>
        <v>2592.1889999999999</v>
      </c>
      <c r="CF42" s="91">
        <f>'META  EM PEÇAS'!AC33-('META  EM PEÇAS'!AC33*0.05)</f>
        <v>3321.0765000000001</v>
      </c>
      <c r="CG42" s="91">
        <f>'META  EM PEÇAS'!AD33-('META  EM PEÇAS'!AD33*0.05)</f>
        <v>4679.8995000000004</v>
      </c>
      <c r="CH42" s="91">
        <f t="shared" si="82"/>
        <v>33049.177499999998</v>
      </c>
      <c r="CJ42" s="91">
        <v>2631.8999999999996</v>
      </c>
      <c r="CK42" s="91">
        <v>2034.84</v>
      </c>
      <c r="CL42" s="91">
        <v>2287.3815</v>
      </c>
      <c r="CM42" s="91">
        <v>2119.5164999999997</v>
      </c>
      <c r="CN42" s="91">
        <v>2379.2655</v>
      </c>
      <c r="CO42" s="91">
        <v>2865.1904999999997</v>
      </c>
      <c r="CP42" s="91">
        <v>3445.6499999999996</v>
      </c>
      <c r="CQ42" s="91">
        <v>2303.2844999999998</v>
      </c>
      <c r="CR42" s="91">
        <v>2388.9839999999999</v>
      </c>
      <c r="CS42" s="91">
        <v>2592.1889999999999</v>
      </c>
      <c r="CT42" s="91">
        <v>3321.0765000000001</v>
      </c>
      <c r="CU42" s="91">
        <v>4679.8995000000004</v>
      </c>
      <c r="CV42" s="91">
        <v>33049.177499999998</v>
      </c>
      <c r="CX42" s="91">
        <v>2631.8999999999996</v>
      </c>
      <c r="CY42" s="91">
        <v>2034.84</v>
      </c>
      <c r="CZ42" s="91">
        <v>2287.3815</v>
      </c>
      <c r="DA42" s="91">
        <v>2119.5164999999997</v>
      </c>
      <c r="DB42" s="91">
        <v>2379.2655</v>
      </c>
      <c r="DC42" s="91">
        <v>2865.1904999999997</v>
      </c>
      <c r="DD42" s="91">
        <v>3445.6499999999996</v>
      </c>
      <c r="DE42" s="91">
        <v>2303.2844999999998</v>
      </c>
      <c r="DF42" s="91">
        <v>2388.9839999999999</v>
      </c>
      <c r="DG42" s="91">
        <v>2592.1889999999999</v>
      </c>
      <c r="DH42" s="91">
        <v>3321.0765000000001</v>
      </c>
      <c r="DI42" s="91">
        <v>4679.8995000000004</v>
      </c>
      <c r="DJ42" s="91">
        <v>33049.177499999998</v>
      </c>
    </row>
    <row r="43" spans="1:114" ht="15" customHeight="1" outlineLevel="1">
      <c r="A43" s="94">
        <v>10</v>
      </c>
      <c r="B43" s="1092" t="s">
        <v>65</v>
      </c>
      <c r="C43" s="1118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>
        <f t="shared" si="77"/>
        <v>0</v>
      </c>
      <c r="Q43" s="90"/>
      <c r="R43" s="313">
        <v>0</v>
      </c>
      <c r="S43" s="91">
        <v>0</v>
      </c>
      <c r="T43" s="91">
        <v>0</v>
      </c>
      <c r="U43" s="91">
        <v>0</v>
      </c>
      <c r="V43" s="91">
        <v>3500</v>
      </c>
      <c r="W43" s="91">
        <v>350</v>
      </c>
      <c r="X43" s="91">
        <v>800</v>
      </c>
      <c r="Y43" s="91">
        <v>1000</v>
      </c>
      <c r="Z43" s="91">
        <v>1600</v>
      </c>
      <c r="AA43" s="91">
        <v>2000</v>
      </c>
      <c r="AB43" s="91">
        <v>2400</v>
      </c>
      <c r="AC43" s="91">
        <v>3000</v>
      </c>
      <c r="AD43" s="315">
        <f t="shared" si="78"/>
        <v>14650</v>
      </c>
      <c r="AE43" s="23"/>
      <c r="AF43" s="316">
        <v>2500</v>
      </c>
      <c r="AG43" s="91">
        <v>1000</v>
      </c>
      <c r="AH43" s="91">
        <f>2500*0.15</f>
        <v>375</v>
      </c>
      <c r="AI43" s="91">
        <v>787</v>
      </c>
      <c r="AJ43" s="91">
        <v>1569</v>
      </c>
      <c r="AK43" s="91">
        <v>2000</v>
      </c>
      <c r="AL43" s="91">
        <v>2500</v>
      </c>
      <c r="AM43" s="91">
        <v>2500</v>
      </c>
      <c r="AN43" s="91">
        <v>2500</v>
      </c>
      <c r="AO43" s="91">
        <v>2500</v>
      </c>
      <c r="AP43" s="91">
        <v>2750</v>
      </c>
      <c r="AQ43" s="91">
        <v>4000</v>
      </c>
      <c r="AR43" s="92">
        <f t="shared" si="79"/>
        <v>24981</v>
      </c>
      <c r="AS43" s="23"/>
      <c r="AT43" s="91">
        <v>1806</v>
      </c>
      <c r="AU43" s="91">
        <v>2046</v>
      </c>
      <c r="AV43" s="91">
        <v>1646</v>
      </c>
      <c r="AW43" s="91">
        <v>1902</v>
      </c>
      <c r="AX43" s="317">
        <v>1545</v>
      </c>
      <c r="AY43" s="317">
        <v>1545</v>
      </c>
      <c r="AZ43" s="317">
        <v>1475</v>
      </c>
      <c r="BA43" s="317">
        <v>1475</v>
      </c>
      <c r="BB43" s="317">
        <v>1545</v>
      </c>
      <c r="BC43" s="317">
        <v>1826</v>
      </c>
      <c r="BD43" s="317">
        <v>0</v>
      </c>
      <c r="BE43" s="317">
        <v>0</v>
      </c>
      <c r="BF43" s="91">
        <f t="shared" si="80"/>
        <v>16811</v>
      </c>
      <c r="BG43" s="93">
        <f t="shared" si="81"/>
        <v>-0.32704855690324641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10230</v>
      </c>
      <c r="BU43" s="54"/>
      <c r="BV43" s="91">
        <v>1335.48</v>
      </c>
      <c r="BW43" s="91">
        <v>1032.3</v>
      </c>
      <c r="BX43" s="91">
        <f>'META  EM PEÇAS'!U39-('META  EM PEÇAS'!U39*0.05)</f>
        <v>1160.0355</v>
      </c>
      <c r="BY43" s="91">
        <f>'META  EM PEÇAS'!V39-('META  EM PEÇAS'!V39*0.05)</f>
        <v>1075.2194999999999</v>
      </c>
      <c r="BZ43" s="91">
        <f>'META  EM PEÇAS'!W39-('META  EM PEÇAS'!W39*0.05)</f>
        <v>1206.8609999999999</v>
      </c>
      <c r="CA43" s="91">
        <f>'META  EM PEÇAS'!X39-('META  EM PEÇAS'!X39*0.05)</f>
        <v>1453.3574999999998</v>
      </c>
      <c r="CB43" s="91">
        <f>'META  EM PEÇAS'!Y39-('META  EM PEÇAS'!Y39*0.05)</f>
        <v>1747.5629999999999</v>
      </c>
      <c r="CC43" s="91">
        <f>'META  EM PEÇAS'!Z39-('META  EM PEÇAS'!Z39*0.05)</f>
        <v>1168.8705</v>
      </c>
      <c r="CD43" s="91">
        <f>'META  EM PEÇAS'!AA39-('META  EM PEÇAS'!AA39*0.05)</f>
        <v>1212.1619999999998</v>
      </c>
      <c r="CE43" s="91">
        <f>'META  EM PEÇAS'!AB39-('META  EM PEÇAS'!AB39*0.05)</f>
        <v>1314.6479999999999</v>
      </c>
      <c r="CF43" s="91">
        <f>'META  EM PEÇAS'!AC39-('META  EM PEÇAS'!AC39*0.05)</f>
        <v>1684.8344999999999</v>
      </c>
      <c r="CG43" s="91">
        <f>'META  EM PEÇAS'!AD39-('META  EM PEÇAS'!AD39*0.05)</f>
        <v>2373.9645</v>
      </c>
      <c r="CH43" s="91">
        <f t="shared" si="82"/>
        <v>16765.295999999995</v>
      </c>
      <c r="CJ43" s="91">
        <v>1335.48</v>
      </c>
      <c r="CK43" s="91">
        <v>1032.3</v>
      </c>
      <c r="CL43" s="91">
        <v>1160.0355</v>
      </c>
      <c r="CM43" s="91">
        <v>1075.2194999999999</v>
      </c>
      <c r="CN43" s="91">
        <v>1206.8609999999999</v>
      </c>
      <c r="CO43" s="91">
        <v>1453.3574999999998</v>
      </c>
      <c r="CP43" s="91">
        <v>1747.5629999999999</v>
      </c>
      <c r="CQ43" s="91">
        <v>1168.8705</v>
      </c>
      <c r="CR43" s="91">
        <v>1212.1619999999998</v>
      </c>
      <c r="CS43" s="91">
        <v>1314.6479999999999</v>
      </c>
      <c r="CT43" s="91">
        <v>1684.8344999999999</v>
      </c>
      <c r="CU43" s="91">
        <v>2373.9645</v>
      </c>
      <c r="CV43" s="91">
        <v>16765.295999999995</v>
      </c>
      <c r="CX43" s="91">
        <v>1335.48</v>
      </c>
      <c r="CY43" s="91">
        <v>1032.3</v>
      </c>
      <c r="CZ43" s="91">
        <v>1160.0355</v>
      </c>
      <c r="DA43" s="91">
        <v>1075.2194999999999</v>
      </c>
      <c r="DB43" s="91">
        <v>1206.8609999999999</v>
      </c>
      <c r="DC43" s="91">
        <v>1453.3574999999998</v>
      </c>
      <c r="DD43" s="91">
        <v>1747.5629999999999</v>
      </c>
      <c r="DE43" s="91">
        <v>1168.8705</v>
      </c>
      <c r="DF43" s="91">
        <v>1212.1619999999998</v>
      </c>
      <c r="DG43" s="91">
        <v>1314.6479999999999</v>
      </c>
      <c r="DH43" s="91">
        <v>1684.8344999999999</v>
      </c>
      <c r="DI43" s="91">
        <v>2373.9645</v>
      </c>
      <c r="DJ43" s="91">
        <v>16765.295999999995</v>
      </c>
    </row>
    <row r="44" spans="1:114" ht="15" customHeight="1" outlineLevel="1">
      <c r="A44" s="94">
        <v>11</v>
      </c>
      <c r="B44" s="210" t="s">
        <v>66</v>
      </c>
      <c r="C44" s="211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>
        <f t="shared" si="77"/>
        <v>0</v>
      </c>
      <c r="Q44" s="90"/>
      <c r="R44" s="313">
        <v>0</v>
      </c>
      <c r="S44" s="91">
        <v>0</v>
      </c>
      <c r="T44" s="91">
        <v>0</v>
      </c>
      <c r="U44" s="91">
        <v>0</v>
      </c>
      <c r="V44" s="91">
        <v>4000</v>
      </c>
      <c r="W44" s="91">
        <v>100</v>
      </c>
      <c r="X44" s="91">
        <v>800</v>
      </c>
      <c r="Y44" s="91">
        <v>800</v>
      </c>
      <c r="Z44" s="91">
        <v>1200</v>
      </c>
      <c r="AA44" s="91">
        <v>1200</v>
      </c>
      <c r="AB44" s="91">
        <v>1800</v>
      </c>
      <c r="AC44" s="91">
        <v>2300</v>
      </c>
      <c r="AD44" s="315">
        <f t="shared" si="78"/>
        <v>12200</v>
      </c>
      <c r="AE44" s="23"/>
      <c r="AF44" s="316">
        <v>1500</v>
      </c>
      <c r="AG44" s="91">
        <v>1000</v>
      </c>
      <c r="AH44" s="91">
        <f t="shared" ref="AH44:AH45" si="85">1500*0.15</f>
        <v>225</v>
      </c>
      <c r="AI44" s="91">
        <v>324</v>
      </c>
      <c r="AJ44" s="91">
        <v>869</v>
      </c>
      <c r="AK44" s="91">
        <v>800</v>
      </c>
      <c r="AL44" s="91">
        <v>1500</v>
      </c>
      <c r="AM44" s="91">
        <v>1000</v>
      </c>
      <c r="AN44" s="91">
        <v>1000</v>
      </c>
      <c r="AO44" s="91">
        <v>1000</v>
      </c>
      <c r="AP44" s="91">
        <v>1100</v>
      </c>
      <c r="AQ44" s="91">
        <v>1600</v>
      </c>
      <c r="AR44" s="92">
        <f t="shared" si="79"/>
        <v>11918</v>
      </c>
      <c r="AS44" s="23"/>
      <c r="AT44" s="91">
        <v>1191</v>
      </c>
      <c r="AU44" s="91">
        <v>1191</v>
      </c>
      <c r="AV44" s="91">
        <v>1191</v>
      </c>
      <c r="AW44" s="91">
        <v>1191</v>
      </c>
      <c r="AX44" s="317">
        <v>876</v>
      </c>
      <c r="AY44" s="317">
        <v>876</v>
      </c>
      <c r="AZ44" s="317">
        <v>836</v>
      </c>
      <c r="BA44" s="317">
        <v>836</v>
      </c>
      <c r="BB44" s="317">
        <v>876</v>
      </c>
      <c r="BC44" s="317">
        <v>1035</v>
      </c>
      <c r="BD44" s="317">
        <v>0</v>
      </c>
      <c r="BE44" s="317">
        <v>0</v>
      </c>
      <c r="BF44" s="91">
        <f t="shared" si="80"/>
        <v>10099</v>
      </c>
      <c r="BG44" s="93">
        <f t="shared" si="81"/>
        <v>-0.15262627957711028</v>
      </c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>
        <v>7342</v>
      </c>
      <c r="BU44" s="54"/>
      <c r="BV44" s="91">
        <v>1643.31</v>
      </c>
      <c r="BW44" s="91">
        <v>1270.3799999999999</v>
      </c>
      <c r="BX44" s="91">
        <f>'META  EM PEÇAS'!U40-('META  EM PEÇAS'!U40*0.05)</f>
        <v>1427.7359999999999</v>
      </c>
      <c r="BY44" s="91">
        <f>'META  EM PEÇAS'!V40-('META  EM PEÇAS'!V40*0.05)</f>
        <v>1323.4829999999999</v>
      </c>
      <c r="BZ44" s="91">
        <f>'META  EM PEÇAS'!W40-('META  EM PEÇAS'!W40*0.05)</f>
        <v>1485.1634999999999</v>
      </c>
      <c r="CA44" s="91">
        <f>'META  EM PEÇAS'!X40-('META  EM PEÇAS'!X40*0.05)</f>
        <v>1788.204</v>
      </c>
      <c r="CB44" s="91">
        <f>'META  EM PEÇAS'!Y40-('META  EM PEÇAS'!Y40*0.05)</f>
        <v>2151.3224999999998</v>
      </c>
      <c r="CC44" s="91">
        <f>'META  EM PEÇAS'!Z40-('META  EM PEÇAS'!Z40*0.05)</f>
        <v>1438.338</v>
      </c>
      <c r="CD44" s="91">
        <f>'META  EM PEÇAS'!AA40-('META  EM PEÇAS'!AA40*0.05)</f>
        <v>1491.348</v>
      </c>
      <c r="CE44" s="91">
        <f>'META  EM PEÇAS'!AB40-('META  EM PEÇAS'!AB40*0.05)</f>
        <v>1618.5719999999999</v>
      </c>
      <c r="CF44" s="91">
        <f>'META  EM PEÇAS'!AC40-('META  EM PEÇAS'!AC40*0.05)</f>
        <v>2073.5745000000002</v>
      </c>
      <c r="CG44" s="91">
        <f>'META  EM PEÇAS'!AD40-('META  EM PEÇAS'!AD40*0.05)</f>
        <v>2921.7344999999996</v>
      </c>
      <c r="CH44" s="91">
        <f t="shared" si="82"/>
        <v>20633.165999999997</v>
      </c>
      <c r="CJ44" s="91">
        <v>1643.31</v>
      </c>
      <c r="CK44" s="91">
        <v>1270.3799999999999</v>
      </c>
      <c r="CL44" s="91">
        <v>1427.7359999999999</v>
      </c>
      <c r="CM44" s="91">
        <v>1323.4829999999999</v>
      </c>
      <c r="CN44" s="91">
        <v>1485.1634999999999</v>
      </c>
      <c r="CO44" s="91">
        <v>1788.204</v>
      </c>
      <c r="CP44" s="91">
        <v>2151.3224999999998</v>
      </c>
      <c r="CQ44" s="91">
        <v>1438.338</v>
      </c>
      <c r="CR44" s="91">
        <v>1491.348</v>
      </c>
      <c r="CS44" s="91">
        <v>1618.5719999999999</v>
      </c>
      <c r="CT44" s="91">
        <v>2073.5745000000002</v>
      </c>
      <c r="CU44" s="91">
        <v>2921.7344999999996</v>
      </c>
      <c r="CV44" s="91">
        <v>20633.165999999997</v>
      </c>
      <c r="CX44" s="91">
        <v>1643.31</v>
      </c>
      <c r="CY44" s="91">
        <v>1270.3799999999999</v>
      </c>
      <c r="CZ44" s="91">
        <v>1427.7359999999999</v>
      </c>
      <c r="DA44" s="91">
        <v>1323.4829999999999</v>
      </c>
      <c r="DB44" s="91">
        <v>1485.1634999999999</v>
      </c>
      <c r="DC44" s="91">
        <v>1788.204</v>
      </c>
      <c r="DD44" s="91">
        <v>2151.3224999999998</v>
      </c>
      <c r="DE44" s="91">
        <v>1438.338</v>
      </c>
      <c r="DF44" s="91">
        <v>1491.348</v>
      </c>
      <c r="DG44" s="91">
        <v>1618.5719999999999</v>
      </c>
      <c r="DH44" s="91">
        <v>2073.5745000000002</v>
      </c>
      <c r="DI44" s="91">
        <v>2921.7344999999996</v>
      </c>
      <c r="DJ44" s="91">
        <v>20633.165999999997</v>
      </c>
    </row>
    <row r="45" spans="1:114" ht="15" customHeight="1" outlineLevel="1">
      <c r="A45" s="94">
        <v>12</v>
      </c>
      <c r="B45" s="210" t="s">
        <v>67</v>
      </c>
      <c r="C45" s="211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>
        <f t="shared" si="77"/>
        <v>0</v>
      </c>
      <c r="Q45" s="90"/>
      <c r="R45" s="313">
        <v>0</v>
      </c>
      <c r="S45" s="91">
        <v>0</v>
      </c>
      <c r="T45" s="91">
        <v>0</v>
      </c>
      <c r="U45" s="91">
        <v>0</v>
      </c>
      <c r="V45" s="91">
        <v>4000</v>
      </c>
      <c r="W45" s="91">
        <v>0</v>
      </c>
      <c r="X45" s="91">
        <v>800</v>
      </c>
      <c r="Y45" s="91">
        <v>1000</v>
      </c>
      <c r="Z45" s="91">
        <v>1200</v>
      </c>
      <c r="AA45" s="91">
        <v>1200</v>
      </c>
      <c r="AB45" s="91">
        <v>1800</v>
      </c>
      <c r="AC45" s="91">
        <v>2300</v>
      </c>
      <c r="AD45" s="315">
        <f t="shared" si="78"/>
        <v>12300</v>
      </c>
      <c r="AE45" s="23"/>
      <c r="AF45" s="316">
        <v>1500</v>
      </c>
      <c r="AG45" s="91">
        <v>1200</v>
      </c>
      <c r="AH45" s="91">
        <f t="shared" si="85"/>
        <v>225</v>
      </c>
      <c r="AI45" s="91">
        <v>332</v>
      </c>
      <c r="AJ45" s="91">
        <v>945</v>
      </c>
      <c r="AK45" s="91">
        <v>960</v>
      </c>
      <c r="AL45" s="91">
        <v>1500</v>
      </c>
      <c r="AM45" s="91">
        <v>1200</v>
      </c>
      <c r="AN45" s="91">
        <v>1200</v>
      </c>
      <c r="AO45" s="91">
        <v>1200</v>
      </c>
      <c r="AP45" s="91">
        <v>1320</v>
      </c>
      <c r="AQ45" s="91">
        <v>1920</v>
      </c>
      <c r="AR45" s="92">
        <f t="shared" si="79"/>
        <v>13502</v>
      </c>
      <c r="AS45" s="23"/>
      <c r="AT45" s="91">
        <v>1254</v>
      </c>
      <c r="AU45" s="91">
        <v>1254</v>
      </c>
      <c r="AV45" s="91">
        <v>1254</v>
      </c>
      <c r="AW45" s="91">
        <v>1254</v>
      </c>
      <c r="AX45" s="317">
        <v>1236</v>
      </c>
      <c r="AY45" s="317">
        <v>1236</v>
      </c>
      <c r="AZ45" s="317">
        <v>0</v>
      </c>
      <c r="BA45" s="317">
        <v>0</v>
      </c>
      <c r="BB45" s="317">
        <v>0</v>
      </c>
      <c r="BC45" s="317">
        <v>0</v>
      </c>
      <c r="BD45" s="317">
        <v>0</v>
      </c>
      <c r="BE45" s="317">
        <v>0</v>
      </c>
      <c r="BF45" s="91">
        <f t="shared" si="80"/>
        <v>7488</v>
      </c>
      <c r="BG45" s="93">
        <f t="shared" si="81"/>
        <v>-0.44541549400088876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>
        <v>16899</v>
      </c>
      <c r="BU45" s="54"/>
      <c r="BV45" s="91">
        <v>2552.85</v>
      </c>
      <c r="BW45" s="91">
        <v>1973.4599999999998</v>
      </c>
      <c r="BX45" s="91">
        <f>'META  EM PEÇAS'!U34-('META  EM PEÇAS'!U34*0.05)</f>
        <v>2218.4684999999999</v>
      </c>
      <c r="BY45" s="91">
        <f>'META  EM PEÇAS'!V34-('META  EM PEÇAS'!V34*0.05)</f>
        <v>2056.788</v>
      </c>
      <c r="BZ45" s="91">
        <f>'META  EM PEÇAS'!W34-('META  EM PEÇAS'!W34*0.05)</f>
        <v>2307.7019999999998</v>
      </c>
      <c r="CA45" s="91">
        <f>'META  EM PEÇAS'!X34-('META  EM PEÇAS'!X34*0.05)</f>
        <v>2778.6075000000001</v>
      </c>
      <c r="CB45" s="91">
        <f>'META  EM PEÇAS'!Y34-('META  EM PEÇAS'!Y34*0.05)</f>
        <v>3342.2804999999998</v>
      </c>
      <c r="CC45" s="91">
        <f>'META  EM PEÇAS'!Z34-('META  EM PEÇAS'!Z34*0.05)</f>
        <v>2234.3714999999997</v>
      </c>
      <c r="CD45" s="91">
        <f>'META  EM PEÇAS'!AA34-('META  EM PEÇAS'!AA34*0.05)</f>
        <v>2317.4204999999997</v>
      </c>
      <c r="CE45" s="91">
        <f>'META  EM PEÇAS'!AB34-('META  EM PEÇAS'!AB34*0.05)</f>
        <v>2514.4409999999998</v>
      </c>
      <c r="CF45" s="91">
        <f>'META  EM PEÇAS'!AC34-('META  EM PEÇAS'!AC34*0.05)</f>
        <v>3221.241</v>
      </c>
      <c r="CG45" s="91">
        <f>'META  EM PEÇAS'!AD34-('META  EM PEÇAS'!AD34*0.05)</f>
        <v>4539.4229999999989</v>
      </c>
      <c r="CH45" s="91">
        <f t="shared" si="82"/>
        <v>32057.053499999998</v>
      </c>
      <c r="CJ45" s="91">
        <v>2552.85</v>
      </c>
      <c r="CK45" s="91">
        <v>1973.4599999999998</v>
      </c>
      <c r="CL45" s="91">
        <v>2218.4684999999999</v>
      </c>
      <c r="CM45" s="91">
        <v>2056.788</v>
      </c>
      <c r="CN45" s="91">
        <v>2307.7019999999998</v>
      </c>
      <c r="CO45" s="91">
        <v>2778.6075000000001</v>
      </c>
      <c r="CP45" s="91">
        <v>3342.2804999999998</v>
      </c>
      <c r="CQ45" s="91">
        <v>2234.3714999999997</v>
      </c>
      <c r="CR45" s="91">
        <v>2317.4204999999997</v>
      </c>
      <c r="CS45" s="91">
        <v>2514.4409999999998</v>
      </c>
      <c r="CT45" s="91">
        <v>3221.241</v>
      </c>
      <c r="CU45" s="91">
        <v>4539.4229999999989</v>
      </c>
      <c r="CV45" s="91">
        <v>32057.053499999998</v>
      </c>
      <c r="CX45" s="91">
        <v>2552.85</v>
      </c>
      <c r="CY45" s="91">
        <v>1973.4599999999998</v>
      </c>
      <c r="CZ45" s="91">
        <v>2218.4684999999999</v>
      </c>
      <c r="DA45" s="91">
        <v>2056.788</v>
      </c>
      <c r="DB45" s="91">
        <v>2307.7019999999998</v>
      </c>
      <c r="DC45" s="91">
        <v>2778.6075000000001</v>
      </c>
      <c r="DD45" s="91">
        <v>3342.2804999999998</v>
      </c>
      <c r="DE45" s="91">
        <v>2234.3714999999997</v>
      </c>
      <c r="DF45" s="91">
        <v>2317.4204999999997</v>
      </c>
      <c r="DG45" s="91">
        <v>2514.4409999999998</v>
      </c>
      <c r="DH45" s="91">
        <v>3221.241</v>
      </c>
      <c r="DI45" s="91">
        <v>4539.4229999999989</v>
      </c>
      <c r="DJ45" s="91">
        <v>32057.053499999998</v>
      </c>
    </row>
    <row r="46" spans="1:114" ht="15" customHeight="1" outlineLevel="1">
      <c r="A46" s="94">
        <v>13</v>
      </c>
      <c r="B46" s="210" t="s">
        <v>68</v>
      </c>
      <c r="C46" s="212"/>
      <c r="D46" s="313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314">
        <f t="shared" si="77"/>
        <v>0</v>
      </c>
      <c r="Q46" s="90"/>
      <c r="R46" s="313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2000</v>
      </c>
      <c r="Y46" s="91">
        <v>800</v>
      </c>
      <c r="Z46" s="91">
        <v>800</v>
      </c>
      <c r="AA46" s="91">
        <v>1200</v>
      </c>
      <c r="AB46" s="91">
        <v>1800</v>
      </c>
      <c r="AC46" s="91">
        <v>2300</v>
      </c>
      <c r="AD46" s="315">
        <f t="shared" si="78"/>
        <v>8900</v>
      </c>
      <c r="AE46" s="23"/>
      <c r="AF46" s="316">
        <v>1800</v>
      </c>
      <c r="AG46" s="91">
        <v>1200</v>
      </c>
      <c r="AH46" s="91">
        <f>1800*0.15</f>
        <v>270</v>
      </c>
      <c r="AI46" s="91">
        <v>896</v>
      </c>
      <c r="AJ46" s="91">
        <v>1339</v>
      </c>
      <c r="AK46" s="91">
        <v>1600</v>
      </c>
      <c r="AL46" s="91">
        <v>1800</v>
      </c>
      <c r="AM46" s="91">
        <v>2000</v>
      </c>
      <c r="AN46" s="91">
        <v>2000</v>
      </c>
      <c r="AO46" s="91">
        <v>2000</v>
      </c>
      <c r="AP46" s="91">
        <v>2200</v>
      </c>
      <c r="AQ46" s="91">
        <v>3200</v>
      </c>
      <c r="AR46" s="92">
        <f t="shared" si="79"/>
        <v>20305</v>
      </c>
      <c r="AS46" s="23"/>
      <c r="AT46" s="91">
        <v>1980</v>
      </c>
      <c r="AU46" s="91">
        <v>1980</v>
      </c>
      <c r="AV46" s="91">
        <v>1980</v>
      </c>
      <c r="AW46" s="91">
        <v>1980</v>
      </c>
      <c r="AX46" s="317">
        <v>1409</v>
      </c>
      <c r="AY46" s="317">
        <v>1409</v>
      </c>
      <c r="AZ46" s="317">
        <v>1345</v>
      </c>
      <c r="BA46" s="317">
        <v>1345</v>
      </c>
      <c r="BB46" s="317">
        <v>1409</v>
      </c>
      <c r="BC46" s="317">
        <v>1665</v>
      </c>
      <c r="BD46" s="317">
        <v>1793</v>
      </c>
      <c r="BE46" s="317">
        <v>2562</v>
      </c>
      <c r="BF46" s="91">
        <f t="shared" si="80"/>
        <v>20857</v>
      </c>
      <c r="BG46" s="93">
        <f t="shared" si="81"/>
        <v>2.7185422309775831E-2</v>
      </c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>
        <v>11555</v>
      </c>
      <c r="BU46" s="54"/>
      <c r="BV46" s="91">
        <v>1903.7099999999998</v>
      </c>
      <c r="BW46" s="91">
        <v>1471.26</v>
      </c>
      <c r="BX46" s="91">
        <f>'META  EM PEÇAS'!U35-('META  EM PEÇAS'!U35*0.05)</f>
        <v>1654.7954999999999</v>
      </c>
      <c r="BY46" s="91">
        <f>'META  EM PEÇAS'!V35-('META  EM PEÇAS'!V35*0.05)</f>
        <v>1533.7559999999999</v>
      </c>
      <c r="BZ46" s="91">
        <f>'META  EM PEÇAS'!W35-('META  EM PEÇAS'!W35*0.05)</f>
        <v>1721.058</v>
      </c>
      <c r="CA46" s="91">
        <f>'META  EM PEÇAS'!X35-('META  EM PEÇAS'!X35*0.05)</f>
        <v>2071.8074999999999</v>
      </c>
      <c r="CB46" s="91">
        <f>'META  EM PEÇAS'!Y35-('META  EM PEÇAS'!Y35*0.05)</f>
        <v>2492.3534999999997</v>
      </c>
      <c r="CC46" s="91">
        <f>'META  EM PEÇAS'!Z35-('META  EM PEÇAS'!Z35*0.05)</f>
        <v>1666.2809999999997</v>
      </c>
      <c r="CD46" s="91">
        <f>'META  EM PEÇAS'!AA35-('META  EM PEÇAS'!AA35*0.05)</f>
        <v>1728.126</v>
      </c>
      <c r="CE46" s="91">
        <f>'META  EM PEÇAS'!AB35-('META  EM PEÇAS'!AB35*0.05)</f>
        <v>1874.7869999999998</v>
      </c>
      <c r="CF46" s="91">
        <f>'META  EM PEÇAS'!AC35-('META  EM PEÇAS'!AC35*0.05)</f>
        <v>2402.2364999999995</v>
      </c>
      <c r="CG46" s="91">
        <f>'META  EM PEÇAS'!AD35-('META  EM PEÇAS'!AD35*0.05)</f>
        <v>3384.6884999999997</v>
      </c>
      <c r="CH46" s="91">
        <f t="shared" si="82"/>
        <v>23904.859499999995</v>
      </c>
      <c r="CJ46" s="91">
        <v>1903.7099999999998</v>
      </c>
      <c r="CK46" s="91">
        <v>1471.26</v>
      </c>
      <c r="CL46" s="91">
        <v>1654.7954999999999</v>
      </c>
      <c r="CM46" s="91">
        <v>1533.7559999999999</v>
      </c>
      <c r="CN46" s="91">
        <v>1721.058</v>
      </c>
      <c r="CO46" s="91">
        <v>2071.8074999999999</v>
      </c>
      <c r="CP46" s="91">
        <v>2492.3534999999997</v>
      </c>
      <c r="CQ46" s="91">
        <v>1666.2809999999997</v>
      </c>
      <c r="CR46" s="91">
        <v>1728.126</v>
      </c>
      <c r="CS46" s="91">
        <v>1874.7869999999998</v>
      </c>
      <c r="CT46" s="91">
        <v>2402.2364999999995</v>
      </c>
      <c r="CU46" s="91">
        <v>3384.6884999999997</v>
      </c>
      <c r="CV46" s="91">
        <v>23904.859499999995</v>
      </c>
      <c r="CX46" s="91">
        <v>1903.7099999999998</v>
      </c>
      <c r="CY46" s="91">
        <v>1471.26</v>
      </c>
      <c r="CZ46" s="91">
        <v>1654.7954999999999</v>
      </c>
      <c r="DA46" s="91">
        <v>1533.7559999999999</v>
      </c>
      <c r="DB46" s="91">
        <v>1721.058</v>
      </c>
      <c r="DC46" s="91">
        <v>2071.8074999999999</v>
      </c>
      <c r="DD46" s="91">
        <v>2492.3534999999997</v>
      </c>
      <c r="DE46" s="91">
        <v>1666.2809999999997</v>
      </c>
      <c r="DF46" s="91">
        <v>1728.126</v>
      </c>
      <c r="DG46" s="91">
        <v>1874.7869999999998</v>
      </c>
      <c r="DH46" s="91">
        <v>2402.2364999999995</v>
      </c>
      <c r="DI46" s="91">
        <v>3384.6884999999997</v>
      </c>
      <c r="DJ46" s="91">
        <v>23904.859499999995</v>
      </c>
    </row>
    <row r="47" spans="1:114" ht="15" customHeight="1" outlineLevel="1">
      <c r="A47" s="94">
        <v>14</v>
      </c>
      <c r="B47" s="210" t="s">
        <v>69</v>
      </c>
      <c r="C47" s="212"/>
      <c r="D47" s="313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314"/>
      <c r="Q47" s="90"/>
      <c r="R47" s="313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2000</v>
      </c>
      <c r="Z47" s="91">
        <v>800</v>
      </c>
      <c r="AA47" s="91">
        <v>800</v>
      </c>
      <c r="AB47" s="91">
        <v>1200</v>
      </c>
      <c r="AC47" s="91">
        <v>1800</v>
      </c>
      <c r="AD47" s="315">
        <f t="shared" si="78"/>
        <v>6600</v>
      </c>
      <c r="AE47" s="23"/>
      <c r="AF47" s="316">
        <v>1500</v>
      </c>
      <c r="AG47" s="91">
        <v>1200</v>
      </c>
      <c r="AH47" s="91">
        <f>1500*0.15</f>
        <v>225</v>
      </c>
      <c r="AI47" s="91">
        <v>374</v>
      </c>
      <c r="AJ47" s="91">
        <v>990</v>
      </c>
      <c r="AK47" s="91">
        <v>960</v>
      </c>
      <c r="AL47" s="91">
        <v>1800</v>
      </c>
      <c r="AM47" s="91">
        <v>1200</v>
      </c>
      <c r="AN47" s="91">
        <v>1200</v>
      </c>
      <c r="AO47" s="91">
        <v>1200</v>
      </c>
      <c r="AP47" s="91">
        <v>1320</v>
      </c>
      <c r="AQ47" s="91">
        <v>1920</v>
      </c>
      <c r="AR47" s="92">
        <f t="shared" si="79"/>
        <v>13889</v>
      </c>
      <c r="AS47" s="23"/>
      <c r="AT47" s="91">
        <v>1518</v>
      </c>
      <c r="AU47" s="91">
        <v>1518</v>
      </c>
      <c r="AV47" s="91">
        <v>1518</v>
      </c>
      <c r="AW47" s="91">
        <v>1518</v>
      </c>
      <c r="AX47" s="317">
        <v>1276</v>
      </c>
      <c r="AY47" s="317">
        <v>1276</v>
      </c>
      <c r="AZ47" s="317">
        <v>1218</v>
      </c>
      <c r="BA47" s="317">
        <v>1218</v>
      </c>
      <c r="BB47" s="317">
        <v>1276</v>
      </c>
      <c r="BC47" s="317">
        <v>1508</v>
      </c>
      <c r="BD47" s="317">
        <v>1624</v>
      </c>
      <c r="BE47" s="317">
        <v>2320</v>
      </c>
      <c r="BF47" s="91">
        <f t="shared" si="80"/>
        <v>17788</v>
      </c>
      <c r="BG47" s="93">
        <f t="shared" si="81"/>
        <v>0.2807257541939665</v>
      </c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>
        <v>19018</v>
      </c>
      <c r="BU47" s="54"/>
      <c r="BV47" s="91">
        <v>2737.9199999999996</v>
      </c>
      <c r="BW47" s="91">
        <v>2116.6799999999998</v>
      </c>
      <c r="BX47" s="91">
        <f>'META  EM PEÇAS'!U36-('META  EM PEÇAS'!U36*0.05)</f>
        <v>2379.2655</v>
      </c>
      <c r="BY47" s="91">
        <f>'META  EM PEÇAS'!V36-('META  EM PEÇAS'!V36*0.05)</f>
        <v>2205.2159999999999</v>
      </c>
      <c r="BZ47" s="91">
        <f>'META  EM PEÇAS'!W36-('META  EM PEÇAS'!W36*0.05)</f>
        <v>2474.6834999999996</v>
      </c>
      <c r="CA47" s="91">
        <f>'META  EM PEÇAS'!X36-('META  EM PEÇAS'!X36*0.05)</f>
        <v>2980.0454999999997</v>
      </c>
      <c r="CB47" s="91">
        <f>'META  EM PEÇAS'!Y36-('META  EM PEÇAS'!Y36*0.05)</f>
        <v>3584.3594999999996</v>
      </c>
      <c r="CC47" s="91">
        <f>'META  EM PEÇAS'!Z36-('META  EM PEÇAS'!Z36*0.05)</f>
        <v>2396.0519999999997</v>
      </c>
      <c r="CD47" s="91">
        <f>'META  EM PEÇAS'!AA36-('META  EM PEÇAS'!AA36*0.05)</f>
        <v>2485.2854999999995</v>
      </c>
      <c r="CE47" s="91">
        <f>'META  EM PEÇAS'!AB36-('META  EM PEÇAS'!AB36*0.05)</f>
        <v>2696.4419999999996</v>
      </c>
      <c r="CF47" s="91">
        <f>'META  EM PEÇAS'!AC36-('META  EM PEÇAS'!AC36*0.05)</f>
        <v>3454.4849999999997</v>
      </c>
      <c r="CG47" s="91">
        <f>'META  EM PEÇAS'!AD36-('META  EM PEÇAS'!AD36*0.05)</f>
        <v>4868.0849999999991</v>
      </c>
      <c r="CH47" s="91">
        <f t="shared" si="82"/>
        <v>34378.519499999995</v>
      </c>
      <c r="CJ47" s="91">
        <v>2737.9199999999996</v>
      </c>
      <c r="CK47" s="91">
        <v>2116.6799999999998</v>
      </c>
      <c r="CL47" s="91">
        <v>2379.2655</v>
      </c>
      <c r="CM47" s="91">
        <v>2205.2159999999999</v>
      </c>
      <c r="CN47" s="91">
        <v>2474.6834999999996</v>
      </c>
      <c r="CO47" s="91">
        <v>2980.0454999999997</v>
      </c>
      <c r="CP47" s="91">
        <v>3584.3594999999996</v>
      </c>
      <c r="CQ47" s="91">
        <v>2396.0519999999997</v>
      </c>
      <c r="CR47" s="91">
        <v>2485.2854999999995</v>
      </c>
      <c r="CS47" s="91">
        <v>2696.4419999999996</v>
      </c>
      <c r="CT47" s="91">
        <v>3454.4849999999997</v>
      </c>
      <c r="CU47" s="91">
        <v>4868.0849999999991</v>
      </c>
      <c r="CV47" s="91">
        <v>34378.519499999995</v>
      </c>
      <c r="CX47" s="91">
        <v>2737.9199999999996</v>
      </c>
      <c r="CY47" s="91">
        <v>2116.6799999999998</v>
      </c>
      <c r="CZ47" s="91">
        <v>2379.2655</v>
      </c>
      <c r="DA47" s="91">
        <v>2205.2159999999999</v>
      </c>
      <c r="DB47" s="91">
        <v>2474.6834999999996</v>
      </c>
      <c r="DC47" s="91">
        <v>2980.0454999999997</v>
      </c>
      <c r="DD47" s="91">
        <v>3584.3594999999996</v>
      </c>
      <c r="DE47" s="91">
        <v>2396.0519999999997</v>
      </c>
      <c r="DF47" s="91">
        <v>2485.2854999999995</v>
      </c>
      <c r="DG47" s="91">
        <v>2696.4419999999996</v>
      </c>
      <c r="DH47" s="91">
        <v>3454.4849999999997</v>
      </c>
      <c r="DI47" s="91">
        <v>4868.0849999999991</v>
      </c>
      <c r="DJ47" s="91">
        <v>34378.519499999995</v>
      </c>
    </row>
    <row r="48" spans="1:114" ht="15" customHeight="1" outlineLevel="1">
      <c r="A48" s="94">
        <v>15</v>
      </c>
      <c r="B48" s="210" t="s">
        <v>70</v>
      </c>
      <c r="C48" s="212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314"/>
      <c r="Q48" s="90"/>
      <c r="R48" s="313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91">
        <v>0</v>
      </c>
      <c r="Z48" s="91">
        <v>2000</v>
      </c>
      <c r="AA48" s="91">
        <v>800</v>
      </c>
      <c r="AB48" s="91">
        <v>800</v>
      </c>
      <c r="AC48" s="91">
        <v>1500</v>
      </c>
      <c r="AD48" s="315">
        <f t="shared" si="78"/>
        <v>5100</v>
      </c>
      <c r="AE48" s="23"/>
      <c r="AF48" s="316">
        <v>1800</v>
      </c>
      <c r="AG48" s="91">
        <v>1200</v>
      </c>
      <c r="AH48" s="91">
        <f>1800*0.4</f>
        <v>720</v>
      </c>
      <c r="AI48" s="91">
        <v>1147</v>
      </c>
      <c r="AJ48" s="91">
        <v>1155</v>
      </c>
      <c r="AK48" s="91">
        <v>1600</v>
      </c>
      <c r="AL48" s="91">
        <v>1800</v>
      </c>
      <c r="AM48" s="91">
        <v>2000</v>
      </c>
      <c r="AN48" s="91">
        <v>2000</v>
      </c>
      <c r="AO48" s="91">
        <v>2000</v>
      </c>
      <c r="AP48" s="91">
        <v>2200</v>
      </c>
      <c r="AQ48" s="91">
        <v>3200</v>
      </c>
      <c r="AR48" s="92">
        <f t="shared" si="79"/>
        <v>20822</v>
      </c>
      <c r="AS48" s="23"/>
      <c r="AT48" s="91">
        <v>1544</v>
      </c>
      <c r="AU48" s="91">
        <v>1544</v>
      </c>
      <c r="AV48" s="91">
        <v>1544</v>
      </c>
      <c r="AW48" s="91">
        <v>1544</v>
      </c>
      <c r="AX48" s="317">
        <v>862</v>
      </c>
      <c r="AY48" s="317">
        <v>862</v>
      </c>
      <c r="AZ48" s="317">
        <v>823</v>
      </c>
      <c r="BA48" s="317">
        <v>823</v>
      </c>
      <c r="BB48" s="317">
        <v>862</v>
      </c>
      <c r="BC48" s="317">
        <v>1019</v>
      </c>
      <c r="BD48" s="317">
        <v>1098</v>
      </c>
      <c r="BE48" s="317">
        <v>1568</v>
      </c>
      <c r="BF48" s="91">
        <f t="shared" si="80"/>
        <v>14093</v>
      </c>
      <c r="BG48" s="93">
        <f t="shared" si="81"/>
        <v>-0.32316780328498707</v>
      </c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>
        <v>21133</v>
      </c>
      <c r="BU48" s="54"/>
      <c r="BV48" s="91">
        <v>3593.52</v>
      </c>
      <c r="BW48" s="91">
        <v>2776.98</v>
      </c>
      <c r="BX48" s="91">
        <f>'META  EM PEÇAS'!U38-('META  EM PEÇAS'!U38*0.05)</f>
        <v>3122.2889999999998</v>
      </c>
      <c r="BY48" s="91">
        <f>'META  EM PEÇAS'!V38-('META  EM PEÇAS'!V38*0.05)</f>
        <v>2893.4625000000001</v>
      </c>
      <c r="BZ48" s="91">
        <f>'META  EM PEÇAS'!W38-('META  EM PEÇAS'!W38*0.05)</f>
        <v>3247.7459999999996</v>
      </c>
      <c r="CA48" s="91">
        <f>'META  EM PEÇAS'!X38-('META  EM PEÇAS'!X38*0.05)</f>
        <v>3910.3709999999992</v>
      </c>
      <c r="CB48" s="91">
        <f>'META  EM PEÇAS'!Y38-('META  EM PEÇAS'!Y38*0.05)</f>
        <v>4703.7539999999999</v>
      </c>
      <c r="CC48" s="91">
        <f>'META  EM PEÇAS'!Z38-('META  EM PEÇAS'!Z38*0.05)</f>
        <v>3144.3764999999999</v>
      </c>
      <c r="CD48" s="91">
        <f>'META  EM PEÇAS'!AA38-('META  EM PEÇAS'!AA38*0.05)</f>
        <v>3260.9984999999997</v>
      </c>
      <c r="CE48" s="91">
        <f>'META  EM PEÇAS'!AB38-('META  EM PEÇAS'!AB38*0.05)</f>
        <v>3539.3009999999999</v>
      </c>
      <c r="CF48" s="91">
        <f>'META  EM PEÇAS'!AC38-('META  EM PEÇAS'!AC38*0.05)</f>
        <v>4533.2384999999995</v>
      </c>
      <c r="CG48" s="91">
        <f>'META  EM PEÇAS'!AD38-('META  EM PEÇAS'!AD38*0.05)</f>
        <v>6387.7049999999999</v>
      </c>
      <c r="CH48" s="91">
        <f t="shared" si="82"/>
        <v>45113.741999999998</v>
      </c>
      <c r="CJ48" s="91">
        <v>3593.52</v>
      </c>
      <c r="CK48" s="91">
        <v>2776.98</v>
      </c>
      <c r="CL48" s="91">
        <v>3122.2889999999998</v>
      </c>
      <c r="CM48" s="91">
        <v>2893.4625000000001</v>
      </c>
      <c r="CN48" s="91">
        <v>3247.7459999999996</v>
      </c>
      <c r="CO48" s="91">
        <v>3910.3709999999992</v>
      </c>
      <c r="CP48" s="91">
        <v>4703.7539999999999</v>
      </c>
      <c r="CQ48" s="91">
        <v>3144.3764999999999</v>
      </c>
      <c r="CR48" s="91">
        <v>3260.9984999999997</v>
      </c>
      <c r="CS48" s="91">
        <v>3539.3009999999999</v>
      </c>
      <c r="CT48" s="91">
        <v>4533.2384999999995</v>
      </c>
      <c r="CU48" s="91">
        <v>6387.7049999999999</v>
      </c>
      <c r="CV48" s="91">
        <v>45113.741999999998</v>
      </c>
      <c r="CX48" s="91">
        <v>3593.52</v>
      </c>
      <c r="CY48" s="91">
        <v>2776.98</v>
      </c>
      <c r="CZ48" s="91">
        <v>3122.2889999999998</v>
      </c>
      <c r="DA48" s="91">
        <v>2893.4625000000001</v>
      </c>
      <c r="DB48" s="91">
        <v>3247.7459999999996</v>
      </c>
      <c r="DC48" s="91">
        <v>3910.3709999999992</v>
      </c>
      <c r="DD48" s="91">
        <v>4703.7539999999999</v>
      </c>
      <c r="DE48" s="91">
        <v>3144.3764999999999</v>
      </c>
      <c r="DF48" s="91">
        <v>3260.9984999999997</v>
      </c>
      <c r="DG48" s="91">
        <v>3539.3009999999999</v>
      </c>
      <c r="DH48" s="91">
        <v>4533.2384999999995</v>
      </c>
      <c r="DI48" s="91">
        <v>6387.7049999999999</v>
      </c>
      <c r="DJ48" s="91">
        <v>45113.741999999998</v>
      </c>
    </row>
    <row r="49" spans="1:114" ht="15" customHeight="1" outlineLevel="1">
      <c r="A49" s="94">
        <v>16</v>
      </c>
      <c r="B49" s="216" t="s">
        <v>71</v>
      </c>
      <c r="C49" s="212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/>
      <c r="Q49" s="90"/>
      <c r="R49" s="313"/>
      <c r="S49" s="91"/>
      <c r="T49" s="91"/>
      <c r="U49" s="91"/>
      <c r="V49" s="91"/>
      <c r="W49" s="91"/>
      <c r="X49" s="91"/>
      <c r="Y49" s="91"/>
      <c r="Z49" s="91"/>
      <c r="AA49" s="91">
        <v>800</v>
      </c>
      <c r="AB49" s="91">
        <v>800</v>
      </c>
      <c r="AC49" s="91">
        <v>1500</v>
      </c>
      <c r="AD49" s="315"/>
      <c r="AE49" s="23"/>
      <c r="AF49" s="316">
        <v>1500</v>
      </c>
      <c r="AG49" s="91">
        <v>1200</v>
      </c>
      <c r="AH49" s="91">
        <f>1500*0.15</f>
        <v>225</v>
      </c>
      <c r="AI49" s="91">
        <v>192</v>
      </c>
      <c r="AJ49" s="91">
        <v>663</v>
      </c>
      <c r="AK49" s="91">
        <v>800</v>
      </c>
      <c r="AL49" s="91">
        <v>1500</v>
      </c>
      <c r="AM49" s="91">
        <v>1000</v>
      </c>
      <c r="AN49" s="91">
        <v>1000</v>
      </c>
      <c r="AO49" s="91">
        <v>1000</v>
      </c>
      <c r="AP49" s="91">
        <v>1100</v>
      </c>
      <c r="AQ49" s="91">
        <v>1600</v>
      </c>
      <c r="AR49" s="92">
        <f t="shared" si="79"/>
        <v>11780</v>
      </c>
      <c r="AS49" s="23"/>
      <c r="AT49" s="91">
        <v>960</v>
      </c>
      <c r="AU49" s="91">
        <v>960</v>
      </c>
      <c r="AV49" s="91">
        <v>960</v>
      </c>
      <c r="AW49" s="91">
        <v>960</v>
      </c>
      <c r="AX49" s="317">
        <v>1414</v>
      </c>
      <c r="AY49" s="317">
        <v>1414</v>
      </c>
      <c r="AZ49" s="317">
        <v>1350</v>
      </c>
      <c r="BA49" s="317">
        <v>1350</v>
      </c>
      <c r="BB49" s="317">
        <v>1414</v>
      </c>
      <c r="BC49" s="317">
        <v>1671</v>
      </c>
      <c r="BD49" s="317">
        <v>1800</v>
      </c>
      <c r="BE49" s="317">
        <v>2571</v>
      </c>
      <c r="BF49" s="91">
        <f t="shared" si="80"/>
        <v>16824</v>
      </c>
      <c r="BG49" s="93">
        <f t="shared" si="81"/>
        <v>0.42818336162988113</v>
      </c>
      <c r="BH49" s="91">
        <v>900</v>
      </c>
      <c r="BI49" s="91">
        <v>643</v>
      </c>
      <c r="BJ49" s="91">
        <v>891</v>
      </c>
      <c r="BK49" s="91">
        <v>679</v>
      </c>
      <c r="BL49" s="91">
        <v>940</v>
      </c>
      <c r="BM49" s="91">
        <v>948</v>
      </c>
      <c r="BN49" s="91">
        <v>1124</v>
      </c>
      <c r="BO49" s="91">
        <v>913</v>
      </c>
      <c r="BP49" s="91">
        <v>911</v>
      </c>
      <c r="BQ49" s="91">
        <v>898</v>
      </c>
      <c r="BR49" s="91">
        <v>1465</v>
      </c>
      <c r="BS49" s="91">
        <v>1278</v>
      </c>
      <c r="BT49" s="91">
        <f>SUM(BH49:BS49)</f>
        <v>11590</v>
      </c>
      <c r="BU49" s="54"/>
      <c r="BV49" s="91">
        <f>'META  EM PEÇAS'!T47</f>
        <v>1749.7324726431702</v>
      </c>
      <c r="BW49" s="91">
        <f>'META  EM PEÇAS'!T48</f>
        <v>1701.1287928475265</v>
      </c>
      <c r="BX49" s="91">
        <f>'META  EM PEÇAS'!T49</f>
        <v>1846.9398322344578</v>
      </c>
      <c r="BY49" s="91">
        <f>'META  EM PEÇAS'!T50</f>
        <v>1701.1287928475265</v>
      </c>
      <c r="BZ49" s="91">
        <f>'META  EM PEÇAS'!T51</f>
        <v>1846.9398322344578</v>
      </c>
      <c r="CA49" s="91">
        <f>'META  EM PEÇAS'!T52</f>
        <v>1749.7324726431702</v>
      </c>
      <c r="CB49" s="91">
        <f>'META  EM PEÇAS'!T53</f>
        <v>2138.5619110083194</v>
      </c>
      <c r="CC49" s="91">
        <f>'META  EM PEÇAS'!T54</f>
        <v>1749.7324726431702</v>
      </c>
      <c r="CD49" s="91">
        <f>'META  EM PEÇAS'!T55</f>
        <v>1749.7324726431702</v>
      </c>
      <c r="CE49" s="91">
        <f>'META  EM PEÇAS'!T56</f>
        <v>1749.7324726431702</v>
      </c>
      <c r="CF49" s="91">
        <f>'META  EM PEÇAS'!T57</f>
        <v>2721.8060685560426</v>
      </c>
      <c r="CG49" s="91">
        <f>'META  EM PEÇAS'!T58</f>
        <v>1944.1471918257448</v>
      </c>
      <c r="CH49" s="91">
        <f t="shared" si="82"/>
        <v>22649.314784769926</v>
      </c>
      <c r="CJ49" s="91">
        <v>1749.7324726431702</v>
      </c>
      <c r="CK49" s="91">
        <v>1701.1287928475265</v>
      </c>
      <c r="CL49" s="91">
        <v>1846.9398322344578</v>
      </c>
      <c r="CM49" s="91">
        <v>1701.1287928475265</v>
      </c>
      <c r="CN49" s="91">
        <v>1846.9398322344578</v>
      </c>
      <c r="CO49" s="91">
        <v>1749.7324726431702</v>
      </c>
      <c r="CP49" s="91">
        <v>2138.5619110083194</v>
      </c>
      <c r="CQ49" s="91">
        <v>1749.7324726431702</v>
      </c>
      <c r="CR49" s="91">
        <v>1749.7324726431702</v>
      </c>
      <c r="CS49" s="91">
        <v>1749.7324726431702</v>
      </c>
      <c r="CT49" s="91">
        <v>2721.8060685560426</v>
      </c>
      <c r="CU49" s="91">
        <v>1944.1471918257448</v>
      </c>
      <c r="CV49" s="91">
        <v>22649.314784769926</v>
      </c>
      <c r="CX49" s="91">
        <v>1749.7324726431702</v>
      </c>
      <c r="CY49" s="91">
        <v>1701.1287928475265</v>
      </c>
      <c r="CZ49" s="91">
        <v>1846.9398322344578</v>
      </c>
      <c r="DA49" s="91">
        <v>1701.1287928475265</v>
      </c>
      <c r="DB49" s="91">
        <v>1846.9398322344578</v>
      </c>
      <c r="DC49" s="91">
        <v>1749.7324726431702</v>
      </c>
      <c r="DD49" s="91">
        <v>2138.5619110083194</v>
      </c>
      <c r="DE49" s="91">
        <v>1749.7324726431702</v>
      </c>
      <c r="DF49" s="91">
        <v>1749.7324726431702</v>
      </c>
      <c r="DG49" s="91">
        <v>1749.7324726431702</v>
      </c>
      <c r="DH49" s="91">
        <v>2721.8060685560426</v>
      </c>
      <c r="DI49" s="91">
        <v>1944.1471918257448</v>
      </c>
      <c r="DJ49" s="91">
        <v>22649.314784769926</v>
      </c>
    </row>
    <row r="50" spans="1:114" ht="15" customHeight="1" outlineLevel="1">
      <c r="A50" s="94"/>
      <c r="B50" s="210"/>
      <c r="C50" s="213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0</v>
      </c>
      <c r="AG50" s="91">
        <v>0</v>
      </c>
      <c r="AH50" s="91">
        <v>0</v>
      </c>
      <c r="AI50" s="91">
        <v>0</v>
      </c>
      <c r="AJ50" s="91">
        <v>0</v>
      </c>
      <c r="AK50" s="91">
        <v>400</v>
      </c>
      <c r="AL50" s="91">
        <v>500</v>
      </c>
      <c r="AM50" s="91">
        <v>500</v>
      </c>
      <c r="AN50" s="91">
        <v>600</v>
      </c>
      <c r="AO50" s="91">
        <v>600</v>
      </c>
      <c r="AP50" s="91">
        <v>660</v>
      </c>
      <c r="AQ50" s="91">
        <v>960</v>
      </c>
      <c r="AR50" s="92">
        <f t="shared" si="79"/>
        <v>4220</v>
      </c>
      <c r="AS50" s="23"/>
      <c r="AT50" s="91">
        <v>960</v>
      </c>
      <c r="AU50" s="91">
        <v>960</v>
      </c>
      <c r="AV50" s="91">
        <v>960</v>
      </c>
      <c r="AW50" s="91">
        <v>960</v>
      </c>
      <c r="AX50" s="317">
        <v>580</v>
      </c>
      <c r="AY50" s="317">
        <v>580</v>
      </c>
      <c r="AZ50" s="317">
        <v>554</v>
      </c>
      <c r="BA50" s="317">
        <v>554</v>
      </c>
      <c r="BB50" s="317">
        <v>580</v>
      </c>
      <c r="BC50" s="317">
        <v>686</v>
      </c>
      <c r="BD50" s="317">
        <v>739</v>
      </c>
      <c r="BE50" s="317">
        <v>1055</v>
      </c>
      <c r="BF50" s="91">
        <f t="shared" si="80"/>
        <v>9168</v>
      </c>
      <c r="BG50" s="93">
        <f t="shared" si="81"/>
        <v>1.172511848341232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54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J50" s="91"/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</row>
    <row r="51" spans="1:114" ht="15" customHeight="1" outlineLevel="1">
      <c r="A51" s="95"/>
      <c r="B51" s="216"/>
      <c r="C51" s="420"/>
      <c r="D51" s="421"/>
      <c r="E51" s="422"/>
      <c r="F51" s="422"/>
      <c r="G51" s="422"/>
      <c r="H51" s="422"/>
      <c r="I51" s="422"/>
      <c r="J51" s="422"/>
      <c r="K51" s="422"/>
      <c r="L51" s="422"/>
      <c r="M51" s="422"/>
      <c r="N51" s="422"/>
      <c r="O51" s="422"/>
      <c r="P51" s="423"/>
      <c r="Q51" s="424"/>
      <c r="R51" s="421"/>
      <c r="S51" s="425"/>
      <c r="T51" s="425"/>
      <c r="U51" s="425"/>
      <c r="V51" s="425"/>
      <c r="W51" s="425"/>
      <c r="X51" s="425"/>
      <c r="Y51" s="425"/>
      <c r="Z51" s="425"/>
      <c r="AA51" s="425"/>
      <c r="AB51" s="425"/>
      <c r="AC51" s="425"/>
      <c r="AD51" s="426"/>
      <c r="AE51" s="427"/>
      <c r="AF51" s="428">
        <v>0</v>
      </c>
      <c r="AG51" s="425">
        <v>0</v>
      </c>
      <c r="AH51" s="425">
        <v>0</v>
      </c>
      <c r="AI51" s="425">
        <v>0</v>
      </c>
      <c r="AJ51" s="425">
        <v>0</v>
      </c>
      <c r="AK51" s="425">
        <v>0</v>
      </c>
      <c r="AL51" s="425">
        <v>2500</v>
      </c>
      <c r="AM51" s="425">
        <v>2000</v>
      </c>
      <c r="AN51" s="425">
        <v>500</v>
      </c>
      <c r="AO51" s="425">
        <v>600</v>
      </c>
      <c r="AP51" s="425">
        <v>660</v>
      </c>
      <c r="AQ51" s="425">
        <v>960</v>
      </c>
      <c r="AR51" s="429">
        <f t="shared" si="79"/>
        <v>7220</v>
      </c>
      <c r="AS51" s="23"/>
      <c r="AT51" s="425">
        <v>1518</v>
      </c>
      <c r="AU51" s="425">
        <v>1518</v>
      </c>
      <c r="AV51" s="425">
        <v>1518</v>
      </c>
      <c r="AW51" s="425">
        <v>1518</v>
      </c>
      <c r="AX51" s="317">
        <v>1943</v>
      </c>
      <c r="AY51" s="317">
        <v>1943</v>
      </c>
      <c r="AZ51" s="317">
        <v>1854</v>
      </c>
      <c r="BA51" s="317">
        <v>1854</v>
      </c>
      <c r="BB51" s="317">
        <v>1943</v>
      </c>
      <c r="BC51" s="317">
        <v>2296</v>
      </c>
      <c r="BD51" s="317">
        <v>2472</v>
      </c>
      <c r="BE51" s="317">
        <v>3532</v>
      </c>
      <c r="BF51" s="425">
        <f t="shared" si="80"/>
        <v>23909</v>
      </c>
      <c r="BG51" s="93">
        <f t="shared" si="81"/>
        <v>2.3114958448753464</v>
      </c>
      <c r="BH51" s="425"/>
      <c r="BI51" s="425"/>
      <c r="BJ51" s="425"/>
      <c r="BK51" s="425"/>
      <c r="BL51" s="91"/>
      <c r="BM51" s="91"/>
      <c r="BN51" s="91"/>
      <c r="BO51" s="91"/>
      <c r="BP51" s="91"/>
      <c r="BQ51" s="91"/>
      <c r="BR51" s="91"/>
      <c r="BS51" s="91"/>
      <c r="BT51" s="91"/>
      <c r="BU51" s="54"/>
      <c r="BV51" s="425"/>
      <c r="BW51" s="425"/>
      <c r="BX51" s="425"/>
      <c r="BY51" s="425"/>
      <c r="BZ51" s="91"/>
      <c r="CA51" s="91"/>
      <c r="CB51" s="91"/>
      <c r="CC51" s="91"/>
      <c r="CD51" s="91"/>
      <c r="CE51" s="91"/>
      <c r="CF51" s="91"/>
      <c r="CG51" s="91"/>
      <c r="CH51" s="91"/>
      <c r="CJ51" s="425"/>
      <c r="CK51" s="425"/>
      <c r="CL51" s="425"/>
      <c r="CM51" s="425"/>
      <c r="CN51" s="91"/>
      <c r="CO51" s="91"/>
      <c r="CP51" s="91"/>
      <c r="CQ51" s="91"/>
      <c r="CR51" s="91"/>
      <c r="CS51" s="91"/>
      <c r="CT51" s="91"/>
      <c r="CU51" s="91"/>
      <c r="CV51" s="91"/>
      <c r="CX51" s="425"/>
      <c r="CY51" s="425"/>
      <c r="CZ51" s="425"/>
      <c r="DA51" s="425"/>
      <c r="DB51" s="91"/>
      <c r="DC51" s="91"/>
      <c r="DD51" s="91"/>
      <c r="DE51" s="91"/>
      <c r="DF51" s="91"/>
      <c r="DG51" s="91"/>
      <c r="DH51" s="91"/>
      <c r="DI51" s="91"/>
      <c r="DJ51" s="91"/>
    </row>
    <row r="52" spans="1:114" ht="15" customHeight="1" outlineLevel="1">
      <c r="A52" s="434"/>
      <c r="B52" s="1093"/>
      <c r="C52" s="1094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6"/>
      <c r="AF52" s="437">
        <v>0</v>
      </c>
      <c r="AG52" s="437">
        <v>0</v>
      </c>
      <c r="AH52" s="437">
        <v>0</v>
      </c>
      <c r="AI52" s="437">
        <v>0</v>
      </c>
      <c r="AJ52" s="437">
        <v>0</v>
      </c>
      <c r="AK52" s="437">
        <v>0</v>
      </c>
      <c r="AL52" s="437">
        <v>0</v>
      </c>
      <c r="AM52" s="437">
        <v>0</v>
      </c>
      <c r="AN52" s="437">
        <v>0</v>
      </c>
      <c r="AO52" s="437">
        <v>0</v>
      </c>
      <c r="AP52" s="437">
        <v>0</v>
      </c>
      <c r="AQ52" s="437">
        <v>0</v>
      </c>
      <c r="AR52" s="438">
        <f t="shared" si="79"/>
        <v>0</v>
      </c>
      <c r="AS52" s="322"/>
      <c r="AT52" s="437">
        <v>0</v>
      </c>
      <c r="AU52" s="437">
        <v>0</v>
      </c>
      <c r="AV52" s="437">
        <v>0</v>
      </c>
      <c r="AW52" s="437">
        <v>0</v>
      </c>
      <c r="AX52" s="439">
        <v>800</v>
      </c>
      <c r="AY52" s="317">
        <v>800</v>
      </c>
      <c r="AZ52" s="317">
        <v>800</v>
      </c>
      <c r="BA52" s="317">
        <v>1050</v>
      </c>
      <c r="BB52" s="317">
        <v>1100</v>
      </c>
      <c r="BC52" s="317">
        <v>1300</v>
      </c>
      <c r="BD52" s="317">
        <v>1400</v>
      </c>
      <c r="BE52" s="440">
        <v>2000</v>
      </c>
      <c r="BF52" s="437">
        <f t="shared" si="80"/>
        <v>9250</v>
      </c>
      <c r="BG52" s="325" t="e">
        <f t="shared" si="81"/>
        <v>#DIV/0!</v>
      </c>
      <c r="BH52" s="437"/>
      <c r="BI52" s="437"/>
      <c r="BJ52" s="437"/>
      <c r="BK52" s="437"/>
      <c r="BL52" s="439"/>
      <c r="BM52" s="317"/>
      <c r="BN52" s="317"/>
      <c r="BO52" s="317"/>
      <c r="BP52" s="317"/>
      <c r="BQ52" s="317"/>
      <c r="BR52" s="317"/>
      <c r="BS52" s="317"/>
      <c r="BT52" s="317"/>
      <c r="BU52" s="326"/>
      <c r="BV52" s="443"/>
      <c r="BW52" s="443"/>
      <c r="BX52" s="443"/>
      <c r="BY52" s="443"/>
      <c r="BZ52" s="444"/>
      <c r="CA52" s="317"/>
      <c r="CB52" s="317"/>
      <c r="CC52" s="317"/>
      <c r="CD52" s="317"/>
      <c r="CE52" s="317"/>
      <c r="CF52" s="317"/>
      <c r="CG52" s="317"/>
      <c r="CH52" s="317"/>
      <c r="CJ52" s="443"/>
      <c r="CK52" s="443"/>
      <c r="CL52" s="443"/>
      <c r="CM52" s="443"/>
      <c r="CN52" s="444"/>
      <c r="CO52" s="317"/>
      <c r="CP52" s="317"/>
      <c r="CQ52" s="317"/>
      <c r="CR52" s="317"/>
      <c r="CS52" s="317"/>
      <c r="CT52" s="317"/>
      <c r="CU52" s="317"/>
      <c r="CV52" s="317"/>
      <c r="CX52" s="443"/>
      <c r="CY52" s="443"/>
      <c r="CZ52" s="443"/>
      <c r="DA52" s="443"/>
      <c r="DB52" s="444"/>
      <c r="DC52" s="317"/>
      <c r="DD52" s="317"/>
      <c r="DE52" s="317"/>
      <c r="DF52" s="317"/>
      <c r="DG52" s="317"/>
      <c r="DH52" s="317"/>
      <c r="DI52" s="317"/>
      <c r="DJ52" s="317"/>
    </row>
    <row r="53" spans="1:114" ht="15" customHeight="1" outlineLevel="1">
      <c r="A53" s="430"/>
      <c r="B53" s="214"/>
      <c r="C53" s="431"/>
      <c r="D53" s="424"/>
      <c r="E53" s="424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32"/>
      <c r="T53" s="432"/>
      <c r="U53" s="432"/>
      <c r="V53" s="432"/>
      <c r="W53" s="432"/>
      <c r="X53" s="432"/>
      <c r="Y53" s="432"/>
      <c r="Z53" s="432"/>
      <c r="AA53" s="432"/>
      <c r="AB53" s="432"/>
      <c r="AC53" s="432"/>
      <c r="AD53" s="432"/>
      <c r="AE53" s="427"/>
      <c r="AF53" s="432"/>
      <c r="AG53" s="432"/>
      <c r="AH53" s="432"/>
      <c r="AI53" s="432"/>
      <c r="AJ53" s="432"/>
      <c r="AK53" s="432"/>
      <c r="AL53" s="432"/>
      <c r="AM53" s="432"/>
      <c r="AN53" s="432"/>
      <c r="AO53" s="432"/>
      <c r="AP53" s="432"/>
      <c r="AQ53" s="432"/>
      <c r="AR53" s="433"/>
      <c r="AS53" s="23"/>
      <c r="AT53" s="97"/>
      <c r="AU53" s="97"/>
      <c r="AV53" s="97"/>
      <c r="AW53" s="97"/>
      <c r="AX53" s="91"/>
      <c r="AY53" s="91"/>
      <c r="AZ53" s="91"/>
      <c r="BA53" s="91"/>
      <c r="BB53" s="91"/>
      <c r="BC53" s="91"/>
      <c r="BD53" s="91">
        <v>600</v>
      </c>
      <c r="BE53" s="315">
        <v>700</v>
      </c>
      <c r="BF53" s="437">
        <f t="shared" si="80"/>
        <v>1300</v>
      </c>
      <c r="BG53" s="93"/>
      <c r="BH53" s="442"/>
      <c r="BI53" s="442"/>
      <c r="BJ53" s="442"/>
      <c r="BK53" s="442"/>
      <c r="BL53" s="316"/>
      <c r="BM53" s="91"/>
      <c r="BN53" s="91"/>
      <c r="BO53" s="91"/>
      <c r="BP53" s="91"/>
      <c r="BQ53" s="91"/>
      <c r="BR53" s="91"/>
      <c r="BS53" s="91"/>
      <c r="BT53" s="91"/>
      <c r="BU53" s="54"/>
      <c r="BV53" s="442"/>
      <c r="BW53" s="442"/>
      <c r="BX53" s="442"/>
      <c r="BY53" s="442"/>
      <c r="BZ53" s="442"/>
      <c r="CA53" s="316"/>
      <c r="CB53" s="91">
        <v>60</v>
      </c>
      <c r="CC53" s="91"/>
      <c r="CD53" s="91"/>
      <c r="CE53" s="91"/>
      <c r="CF53" s="91"/>
      <c r="CG53" s="91"/>
      <c r="CH53" s="91"/>
      <c r="CJ53" s="708">
        <f>(CJ55-CJ54)/CJ54</f>
        <v>0.03</v>
      </c>
      <c r="CK53" s="708">
        <f t="shared" ref="CK53:CU53" si="86">(CK55-CK54)/CK54</f>
        <v>3.0000000000000079E-2</v>
      </c>
      <c r="CL53" s="708">
        <f t="shared" si="86"/>
        <v>3.0000000000000058E-2</v>
      </c>
      <c r="CM53" s="708">
        <f t="shared" si="86"/>
        <v>3.0000000000000034E-2</v>
      </c>
      <c r="CN53" s="708">
        <f t="shared" si="86"/>
        <v>3.000000000000011E-2</v>
      </c>
      <c r="CO53" s="708">
        <f t="shared" si="86"/>
        <v>3.000000000000012E-2</v>
      </c>
      <c r="CP53" s="708">
        <f t="shared" si="86"/>
        <v>3.0000000000000113E-2</v>
      </c>
      <c r="CQ53" s="708">
        <f t="shared" si="86"/>
        <v>3.0000000000000127E-2</v>
      </c>
      <c r="CR53" s="708">
        <f t="shared" si="86"/>
        <v>3.0000000000000068E-2</v>
      </c>
      <c r="CS53" s="708">
        <f t="shared" si="86"/>
        <v>2.9999999999999982E-2</v>
      </c>
      <c r="CT53" s="708">
        <f t="shared" si="86"/>
        <v>2.9999999999999961E-2</v>
      </c>
      <c r="CU53" s="708">
        <f t="shared" si="86"/>
        <v>0.03</v>
      </c>
      <c r="CV53" s="91"/>
      <c r="CX53" s="442"/>
      <c r="CY53" s="442"/>
      <c r="CZ53" s="442"/>
      <c r="DA53" s="442"/>
      <c r="DB53" s="442"/>
      <c r="DC53" s="316"/>
      <c r="DD53" s="91"/>
      <c r="DE53" s="91"/>
      <c r="DF53" s="91"/>
      <c r="DG53" s="91"/>
      <c r="DH53" s="91"/>
      <c r="DI53" s="91"/>
      <c r="DJ53" s="91"/>
    </row>
    <row r="54" spans="1:114" ht="15" customHeight="1" outlineLevel="1">
      <c r="A54" s="95"/>
      <c r="B54" s="216" t="s">
        <v>71</v>
      </c>
      <c r="C54" s="211"/>
      <c r="D54" s="313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314">
        <f t="shared" ref="P54:P55" si="87">SUM(D54:O54)</f>
        <v>0</v>
      </c>
      <c r="Q54" s="90"/>
      <c r="R54" s="313">
        <v>350</v>
      </c>
      <c r="S54" s="91">
        <v>350</v>
      </c>
      <c r="T54" s="91">
        <v>450</v>
      </c>
      <c r="U54" s="91">
        <v>800</v>
      </c>
      <c r="V54" s="91">
        <v>531</v>
      </c>
      <c r="W54" s="91">
        <v>750</v>
      </c>
      <c r="X54" s="91">
        <v>650</v>
      </c>
      <c r="Y54" s="91">
        <v>750</v>
      </c>
      <c r="Z54" s="91">
        <v>900</v>
      </c>
      <c r="AA54" s="91">
        <v>1000</v>
      </c>
      <c r="AB54" s="91">
        <v>1200</v>
      </c>
      <c r="AC54" s="91">
        <v>1500</v>
      </c>
      <c r="AD54" s="315">
        <f t="shared" ref="AD54:AD55" si="88">SUM(R54:AC54)</f>
        <v>9231</v>
      </c>
      <c r="AE54" s="23"/>
      <c r="AF54" s="316">
        <v>1500</v>
      </c>
      <c r="AG54" s="91">
        <v>800</v>
      </c>
      <c r="AH54" s="91">
        <v>800</v>
      </c>
      <c r="AI54" s="91">
        <v>1820</v>
      </c>
      <c r="AJ54" s="91">
        <v>1630</v>
      </c>
      <c r="AK54" s="91">
        <v>1360</v>
      </c>
      <c r="AL54" s="91">
        <v>1000</v>
      </c>
      <c r="AM54" s="91">
        <v>1700</v>
      </c>
      <c r="AN54" s="91">
        <v>1700</v>
      </c>
      <c r="AO54" s="91">
        <v>1700</v>
      </c>
      <c r="AP54" s="91">
        <v>1870</v>
      </c>
      <c r="AQ54" s="91">
        <v>2720</v>
      </c>
      <c r="AR54" s="92">
        <f t="shared" ref="AR54:AR55" si="89">SUM(AF54:AQ54)</f>
        <v>18600</v>
      </c>
      <c r="AS54" s="23"/>
      <c r="AT54" s="91">
        <v>2053</v>
      </c>
      <c r="AU54" s="91">
        <v>2053</v>
      </c>
      <c r="AV54" s="91">
        <v>2053</v>
      </c>
      <c r="AW54" s="91">
        <v>2053</v>
      </c>
      <c r="AX54" s="91">
        <v>2807</v>
      </c>
      <c r="AY54" s="91">
        <v>2807</v>
      </c>
      <c r="AZ54" s="91">
        <v>2680</v>
      </c>
      <c r="BA54" s="91">
        <v>2680</v>
      </c>
      <c r="BB54" s="91">
        <v>2807</v>
      </c>
      <c r="BC54" s="91">
        <v>3318</v>
      </c>
      <c r="BD54" s="91">
        <v>5870</v>
      </c>
      <c r="BE54" s="91">
        <v>5104</v>
      </c>
      <c r="BF54" s="441">
        <f t="shared" si="80"/>
        <v>36285</v>
      </c>
      <c r="BG54" s="93">
        <f>BF54/AR54-1</f>
        <v>0.95080645161290334</v>
      </c>
      <c r="BH54" s="441"/>
      <c r="BI54" s="441"/>
      <c r="BJ54" s="441"/>
      <c r="BK54" s="441"/>
      <c r="BL54" s="91"/>
      <c r="BM54" s="91"/>
      <c r="BN54" s="91"/>
      <c r="BO54" s="91"/>
      <c r="BP54" s="91"/>
      <c r="BQ54" s="91"/>
      <c r="BR54" s="91"/>
      <c r="BS54" s="91"/>
      <c r="BT54" s="91">
        <f>SUM(BH54:BS54)</f>
        <v>0</v>
      </c>
      <c r="BU54" s="54"/>
      <c r="BV54" s="441"/>
      <c r="BW54" s="441"/>
      <c r="BX54" s="441"/>
      <c r="BY54" s="441"/>
      <c r="BZ54" s="441"/>
      <c r="CA54" s="91"/>
      <c r="CB54" s="91"/>
      <c r="CC54" s="91"/>
      <c r="CD54" s="91"/>
      <c r="CE54" s="91"/>
      <c r="CF54" s="91"/>
      <c r="CG54" s="91"/>
      <c r="CH54" s="91"/>
      <c r="CJ54" s="441">
        <f>BV64</f>
        <v>38900</v>
      </c>
      <c r="CK54" s="441">
        <f t="shared" ref="CK54:CU54" si="90">BW64</f>
        <v>31376</v>
      </c>
      <c r="CL54" s="441">
        <f t="shared" si="90"/>
        <v>29886</v>
      </c>
      <c r="CM54" s="441">
        <f t="shared" si="90"/>
        <v>30671</v>
      </c>
      <c r="CN54" s="441">
        <f t="shared" si="90"/>
        <v>34553</v>
      </c>
      <c r="CO54" s="441">
        <f t="shared" si="90"/>
        <v>36515</v>
      </c>
      <c r="CP54" s="441">
        <f t="shared" si="90"/>
        <v>38915</v>
      </c>
      <c r="CQ54" s="441">
        <f t="shared" si="90"/>
        <v>34615</v>
      </c>
      <c r="CR54" s="441">
        <f t="shared" si="90"/>
        <v>29617</v>
      </c>
      <c r="CS54" s="441">
        <f t="shared" si="90"/>
        <v>34538</v>
      </c>
      <c r="CT54" s="441">
        <f t="shared" si="90"/>
        <v>45914</v>
      </c>
      <c r="CU54" s="441">
        <f t="shared" si="90"/>
        <v>60875</v>
      </c>
      <c r="CV54" s="91"/>
      <c r="CX54" s="441"/>
      <c r="CY54" s="441"/>
      <c r="CZ54" s="441"/>
      <c r="DA54" s="441"/>
      <c r="DB54" s="441"/>
      <c r="DC54" s="91"/>
      <c r="DD54" s="91"/>
      <c r="DE54" s="91"/>
      <c r="DF54" s="91"/>
      <c r="DG54" s="91"/>
      <c r="DH54" s="91"/>
      <c r="DI54" s="91"/>
      <c r="DJ54" s="91"/>
    </row>
    <row r="55" spans="1:114" ht="15.75">
      <c r="A55" s="55"/>
      <c r="B55" s="56" t="s">
        <v>72</v>
      </c>
      <c r="C55" s="280"/>
      <c r="D55" s="288">
        <f t="shared" ref="D55:O55" si="91">SUM(D34:D54)</f>
        <v>0</v>
      </c>
      <c r="E55" s="57">
        <f t="shared" si="91"/>
        <v>0</v>
      </c>
      <c r="F55" s="57">
        <f t="shared" si="91"/>
        <v>0</v>
      </c>
      <c r="G55" s="57">
        <f t="shared" si="91"/>
        <v>0</v>
      </c>
      <c r="H55" s="57">
        <f t="shared" si="91"/>
        <v>0</v>
      </c>
      <c r="I55" s="57">
        <f t="shared" si="91"/>
        <v>0</v>
      </c>
      <c r="J55" s="57">
        <f t="shared" si="91"/>
        <v>0</v>
      </c>
      <c r="K55" s="57">
        <f t="shared" si="91"/>
        <v>0</v>
      </c>
      <c r="L55" s="57">
        <f t="shared" si="91"/>
        <v>0</v>
      </c>
      <c r="M55" s="57">
        <f t="shared" si="91"/>
        <v>0</v>
      </c>
      <c r="N55" s="57">
        <f t="shared" si="91"/>
        <v>0</v>
      </c>
      <c r="O55" s="57">
        <f t="shared" si="91"/>
        <v>0</v>
      </c>
      <c r="P55" s="289">
        <f t="shared" si="87"/>
        <v>0</v>
      </c>
      <c r="Q55" s="39"/>
      <c r="R55" s="288">
        <f t="shared" ref="R55:AC55" si="92">SUM(R34:R54)</f>
        <v>20557.543859649122</v>
      </c>
      <c r="S55" s="58">
        <f t="shared" si="92"/>
        <v>20512.543859649122</v>
      </c>
      <c r="T55" s="58">
        <f t="shared" si="92"/>
        <v>13699.771929824561</v>
      </c>
      <c r="U55" s="58">
        <f t="shared" si="92"/>
        <v>912.5</v>
      </c>
      <c r="V55" s="58">
        <f t="shared" si="92"/>
        <v>16851</v>
      </c>
      <c r="W55" s="290">
        <f t="shared" si="92"/>
        <v>13700</v>
      </c>
      <c r="X55" s="290">
        <f t="shared" si="92"/>
        <v>26050</v>
      </c>
      <c r="Y55" s="290">
        <f t="shared" si="92"/>
        <v>27750</v>
      </c>
      <c r="Z55" s="290">
        <f t="shared" si="92"/>
        <v>31100</v>
      </c>
      <c r="AA55" s="290">
        <f t="shared" si="92"/>
        <v>32100</v>
      </c>
      <c r="AB55" s="290">
        <f t="shared" si="92"/>
        <v>37500</v>
      </c>
      <c r="AC55" s="290">
        <f t="shared" si="92"/>
        <v>45300</v>
      </c>
      <c r="AD55" s="291">
        <f t="shared" si="88"/>
        <v>286033.35964912281</v>
      </c>
      <c r="AE55" s="59"/>
      <c r="AF55" s="292">
        <f>SUM(AF34:AF54)</f>
        <v>38500</v>
      </c>
      <c r="AG55" s="58">
        <f t="shared" ref="AG55:AQ55" si="93">SUM(AG34:AG54)</f>
        <v>22400</v>
      </c>
      <c r="AH55" s="58">
        <f t="shared" si="93"/>
        <v>10671</v>
      </c>
      <c r="AI55" s="58">
        <f t="shared" si="93"/>
        <v>16097</v>
      </c>
      <c r="AJ55" s="58">
        <f t="shared" si="93"/>
        <v>30278</v>
      </c>
      <c r="AK55" s="58">
        <f t="shared" si="93"/>
        <v>28560</v>
      </c>
      <c r="AL55" s="58">
        <f t="shared" si="93"/>
        <v>41700</v>
      </c>
      <c r="AM55" s="58">
        <f t="shared" si="93"/>
        <v>38700</v>
      </c>
      <c r="AN55" s="58">
        <f t="shared" si="93"/>
        <v>37300</v>
      </c>
      <c r="AO55" s="58">
        <f t="shared" si="93"/>
        <v>37400</v>
      </c>
      <c r="AP55" s="58">
        <f t="shared" si="93"/>
        <v>40640</v>
      </c>
      <c r="AQ55" s="58">
        <f t="shared" si="93"/>
        <v>54440</v>
      </c>
      <c r="AR55" s="58">
        <f t="shared" si="89"/>
        <v>396686</v>
      </c>
      <c r="AS55" s="59"/>
      <c r="AT55" s="58">
        <f t="shared" ref="AT55:BE55" si="94">SUM(AT34:AT54)</f>
        <v>36153</v>
      </c>
      <c r="AU55" s="58">
        <f>SUM(AU34:AU54)</f>
        <v>35289</v>
      </c>
      <c r="AV55" s="58">
        <f t="shared" si="94"/>
        <v>35872</v>
      </c>
      <c r="AW55" s="58">
        <f t="shared" si="94"/>
        <v>38031</v>
      </c>
      <c r="AX55" s="58">
        <f t="shared" si="94"/>
        <v>33566</v>
      </c>
      <c r="AY55" s="58">
        <f t="shared" si="94"/>
        <v>33566</v>
      </c>
      <c r="AZ55" s="58">
        <f t="shared" si="94"/>
        <v>30896</v>
      </c>
      <c r="BA55" s="58">
        <f t="shared" si="94"/>
        <v>31146</v>
      </c>
      <c r="BB55" s="58">
        <f t="shared" si="94"/>
        <v>32630</v>
      </c>
      <c r="BC55" s="58">
        <f t="shared" si="94"/>
        <v>38562</v>
      </c>
      <c r="BD55" s="58">
        <f t="shared" si="94"/>
        <v>41345</v>
      </c>
      <c r="BE55" s="58">
        <f t="shared" si="94"/>
        <v>49263</v>
      </c>
      <c r="BF55" s="58">
        <f>SUM(AT55:BE55)</f>
        <v>436319</v>
      </c>
      <c r="BG55" s="59">
        <f>BF55-AR55</f>
        <v>39633</v>
      </c>
      <c r="BH55" s="58">
        <v>36153</v>
      </c>
      <c r="BI55" s="58">
        <v>35289</v>
      </c>
      <c r="BJ55" s="58">
        <v>35872</v>
      </c>
      <c r="BK55" s="58">
        <v>38031</v>
      </c>
      <c r="BL55" s="58">
        <v>38570</v>
      </c>
      <c r="BM55" s="58">
        <v>39227</v>
      </c>
      <c r="BN55" s="58">
        <v>41128</v>
      </c>
      <c r="BO55" s="58">
        <v>38191</v>
      </c>
      <c r="BP55" s="58">
        <v>38191</v>
      </c>
      <c r="BQ55" s="58">
        <v>40225</v>
      </c>
      <c r="BR55" s="58">
        <v>43272</v>
      </c>
      <c r="BS55" s="58">
        <v>60327</v>
      </c>
      <c r="BT55" s="58">
        <f t="shared" ref="BT55:BT59" si="95">SUM(BH55:BS55)</f>
        <v>484476</v>
      </c>
      <c r="BU55" s="60"/>
      <c r="BV55" s="58">
        <f>SUM(BV34:BV51)</f>
        <v>35797.912472643162</v>
      </c>
      <c r="BW55" s="58">
        <f t="shared" ref="BW55:CG55" si="96">SUM(BW34:BW51)</f>
        <v>27268.538792847521</v>
      </c>
      <c r="BX55" s="58">
        <f t="shared" si="96"/>
        <v>34357.668832234456</v>
      </c>
      <c r="BY55" s="58">
        <f t="shared" si="96"/>
        <v>29626.958292847525</v>
      </c>
      <c r="BZ55" s="58">
        <f t="shared" si="96"/>
        <v>34139.121332234456</v>
      </c>
      <c r="CA55" s="58">
        <f t="shared" si="96"/>
        <v>39503.881972643161</v>
      </c>
      <c r="CB55" s="58">
        <f t="shared" si="96"/>
        <v>45728.836911008315</v>
      </c>
      <c r="CC55" s="58">
        <f t="shared" si="96"/>
        <v>32260.226972643166</v>
      </c>
      <c r="CD55" s="58">
        <f t="shared" si="96"/>
        <v>33331.522972643164</v>
      </c>
      <c r="CE55" s="58">
        <f t="shared" si="96"/>
        <v>35213.881472643166</v>
      </c>
      <c r="CF55" s="58">
        <f t="shared" si="96"/>
        <v>46168.878068556034</v>
      </c>
      <c r="CG55" s="58">
        <f t="shared" si="96"/>
        <v>57905.502691825735</v>
      </c>
      <c r="CH55" s="58">
        <f>SUM(BV55:CG55)</f>
        <v>451302.93078476982</v>
      </c>
      <c r="CI55" s="395">
        <f>(CH55-BT64)/BT64</f>
        <v>5.1833718555945915E-2</v>
      </c>
      <c r="CJ55" s="58">
        <f>BV64*1.03</f>
        <v>40067</v>
      </c>
      <c r="CK55" s="58">
        <f t="shared" ref="CK55:CU55" si="97">BW64*1.03</f>
        <v>32317.280000000002</v>
      </c>
      <c r="CL55" s="58">
        <f t="shared" si="97"/>
        <v>30782.58</v>
      </c>
      <c r="CM55" s="58">
        <f t="shared" si="97"/>
        <v>31591.13</v>
      </c>
      <c r="CN55" s="58">
        <f t="shared" si="97"/>
        <v>35589.590000000004</v>
      </c>
      <c r="CO55" s="58">
        <f t="shared" si="97"/>
        <v>37610.450000000004</v>
      </c>
      <c r="CP55" s="58">
        <f t="shared" si="97"/>
        <v>40082.450000000004</v>
      </c>
      <c r="CQ55" s="58">
        <f t="shared" si="97"/>
        <v>35653.450000000004</v>
      </c>
      <c r="CR55" s="58">
        <f t="shared" si="97"/>
        <v>30505.510000000002</v>
      </c>
      <c r="CS55" s="58">
        <f t="shared" si="97"/>
        <v>35574.14</v>
      </c>
      <c r="CT55" s="58">
        <f t="shared" si="97"/>
        <v>47291.42</v>
      </c>
      <c r="CU55" s="58">
        <f t="shared" si="97"/>
        <v>62701.25</v>
      </c>
      <c r="CV55" s="58">
        <f>SUM(CJ55:CU55)</f>
        <v>459766.25</v>
      </c>
      <c r="CW55" s="395">
        <f>(CV55-CH64)/CH64</f>
        <v>0.03</v>
      </c>
      <c r="CX55" s="58">
        <v>35797.912472643162</v>
      </c>
      <c r="CY55" s="58">
        <v>27268.538792847521</v>
      </c>
      <c r="CZ55" s="58">
        <v>34357.668832234456</v>
      </c>
      <c r="DA55" s="58">
        <v>29626.958292847525</v>
      </c>
      <c r="DB55" s="58">
        <v>34139.121332234456</v>
      </c>
      <c r="DC55" s="58">
        <v>39503.881972643161</v>
      </c>
      <c r="DD55" s="58">
        <v>45728.836911008315</v>
      </c>
      <c r="DE55" s="58">
        <v>32260.226972643166</v>
      </c>
      <c r="DF55" s="58">
        <v>33331.522972643164</v>
      </c>
      <c r="DG55" s="58">
        <v>35213.881472643166</v>
      </c>
      <c r="DH55" s="58">
        <v>46168.878068556034</v>
      </c>
      <c r="DI55" s="58">
        <v>57905.502691825735</v>
      </c>
      <c r="DJ55" s="58">
        <v>451302.93078476982</v>
      </c>
    </row>
    <row r="56" spans="1:114">
      <c r="A56" s="99"/>
      <c r="B56" s="451" t="s">
        <v>73</v>
      </c>
      <c r="C56" s="328"/>
      <c r="D56" s="301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302"/>
      <c r="Q56" s="74"/>
      <c r="R56" s="301"/>
      <c r="S56" s="69"/>
      <c r="T56" s="69"/>
      <c r="U56" s="69"/>
      <c r="V56" s="303"/>
      <c r="W56" s="304"/>
      <c r="X56" s="304"/>
      <c r="Y56" s="304"/>
      <c r="Z56" s="304"/>
      <c r="AA56" s="304"/>
      <c r="AB56" s="304"/>
      <c r="AC56" s="75"/>
      <c r="AD56" s="76"/>
      <c r="AE56" s="77"/>
      <c r="AF56" s="305"/>
      <c r="AG56" s="69"/>
      <c r="AH56" s="69"/>
      <c r="AI56" s="69"/>
      <c r="AJ56" s="303"/>
      <c r="AK56" s="303"/>
      <c r="AL56" s="303"/>
      <c r="AM56" s="303"/>
      <c r="AN56" s="69"/>
      <c r="AO56" s="69"/>
      <c r="AP56" s="69"/>
      <c r="AQ56" s="69"/>
      <c r="AR56" s="306"/>
      <c r="AS56" s="77"/>
      <c r="AT56" s="69"/>
      <c r="AU56" s="69"/>
      <c r="AV56" s="69"/>
      <c r="AW56" s="69"/>
      <c r="AX56" s="69"/>
      <c r="AY56" s="69">
        <v>15000</v>
      </c>
      <c r="AZ56" s="69">
        <v>15000</v>
      </c>
      <c r="BA56" s="69">
        <f t="shared" ref="BA56:BB56" si="98">BA55*70%</f>
        <v>21802.199999999997</v>
      </c>
      <c r="BB56" s="69">
        <f t="shared" si="98"/>
        <v>22841</v>
      </c>
      <c r="BC56" s="69">
        <v>35000</v>
      </c>
      <c r="BD56" s="69">
        <v>35000</v>
      </c>
      <c r="BE56" s="69">
        <v>42000</v>
      </c>
      <c r="BF56" s="69">
        <f t="shared" si="80"/>
        <v>186643.20000000001</v>
      </c>
      <c r="BG56" s="77"/>
      <c r="BH56" s="69">
        <f t="shared" ref="BH56:BM56" si="99">BH55*0.8</f>
        <v>28922.400000000001</v>
      </c>
      <c r="BI56" s="69">
        <f t="shared" si="99"/>
        <v>28231.200000000001</v>
      </c>
      <c r="BJ56" s="69">
        <f t="shared" si="99"/>
        <v>28697.600000000002</v>
      </c>
      <c r="BK56" s="69">
        <f t="shared" si="99"/>
        <v>30424.800000000003</v>
      </c>
      <c r="BL56" s="69">
        <f t="shared" si="99"/>
        <v>30856</v>
      </c>
      <c r="BM56" s="69">
        <f t="shared" si="99"/>
        <v>31381.600000000002</v>
      </c>
      <c r="BN56" s="69">
        <f>BN55*0.85</f>
        <v>34958.799999999996</v>
      </c>
      <c r="BO56" s="69">
        <v>29000</v>
      </c>
      <c r="BP56" s="69">
        <v>40223</v>
      </c>
      <c r="BQ56" s="69">
        <v>36735</v>
      </c>
      <c r="BR56" s="69">
        <v>36933</v>
      </c>
      <c r="BS56" s="69">
        <v>52283</v>
      </c>
      <c r="BT56" s="69">
        <f t="shared" si="95"/>
        <v>408646.40000000002</v>
      </c>
      <c r="BU56" s="28"/>
      <c r="BV56" s="69">
        <v>32000</v>
      </c>
      <c r="BW56" s="69">
        <v>32000</v>
      </c>
      <c r="BX56" s="69">
        <v>37000</v>
      </c>
      <c r="BY56" s="69">
        <v>32000</v>
      </c>
      <c r="BZ56" s="69">
        <v>35000</v>
      </c>
      <c r="CA56" s="69">
        <v>35000</v>
      </c>
      <c r="CB56" s="69">
        <v>35000</v>
      </c>
      <c r="CC56" s="69">
        <f>CC55*1</f>
        <v>32260.226972643166</v>
      </c>
      <c r="CD56" s="69">
        <f>CD55*1</f>
        <v>33331.522972643164</v>
      </c>
      <c r="CE56" s="69">
        <f>CE55</f>
        <v>35213.881472643166</v>
      </c>
      <c r="CF56" s="69">
        <v>40000</v>
      </c>
      <c r="CG56" s="69">
        <v>60000</v>
      </c>
      <c r="CH56" s="69"/>
      <c r="CI56" s="395"/>
      <c r="CJ56" s="69">
        <v>32000</v>
      </c>
      <c r="CK56" s="69">
        <v>30000</v>
      </c>
      <c r="CL56" s="69">
        <v>31500</v>
      </c>
      <c r="CM56" s="69">
        <v>32000</v>
      </c>
      <c r="CN56" s="69">
        <v>35000</v>
      </c>
      <c r="CO56" s="69">
        <v>35000</v>
      </c>
      <c r="CP56" s="69">
        <v>36000</v>
      </c>
      <c r="CQ56" s="69">
        <v>35000</v>
      </c>
      <c r="CR56" s="69">
        <v>35000</v>
      </c>
      <c r="CS56" s="69">
        <v>40000</v>
      </c>
      <c r="CT56" s="69">
        <v>51000</v>
      </c>
      <c r="CU56" s="69">
        <v>60000</v>
      </c>
      <c r="CV56" s="69">
        <f>SUM(CJ56:CU56)</f>
        <v>452500</v>
      </c>
      <c r="CW56" s="395"/>
      <c r="CX56" s="69">
        <v>28638.329978114532</v>
      </c>
      <c r="CY56" s="69">
        <v>21814.831034278017</v>
      </c>
      <c r="CZ56" s="69">
        <v>27486.135065787566</v>
      </c>
      <c r="DA56" s="69">
        <v>23701.566634278021</v>
      </c>
      <c r="DB56" s="69">
        <v>27311.297065787567</v>
      </c>
      <c r="DC56" s="69">
        <v>31603.10557811453</v>
      </c>
      <c r="DD56" s="69">
        <v>36583.069528806656</v>
      </c>
      <c r="DE56" s="69">
        <v>25808.181578114534</v>
      </c>
      <c r="DF56" s="69">
        <v>26665.218378114532</v>
      </c>
      <c r="DG56" s="69">
        <v>28171.105178114536</v>
      </c>
      <c r="DH56" s="69">
        <v>36935.102454844826</v>
      </c>
      <c r="DI56" s="69">
        <v>46324.402153460593</v>
      </c>
      <c r="DJ56" s="69"/>
    </row>
    <row r="57" spans="1:114" ht="14.25" customHeight="1">
      <c r="A57" s="55" t="s">
        <v>74</v>
      </c>
      <c r="B57" s="56"/>
      <c r="C57" s="280"/>
      <c r="D57" s="28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289"/>
      <c r="Q57" s="39"/>
      <c r="R57" s="288"/>
      <c r="S57" s="58"/>
      <c r="T57" s="58"/>
      <c r="U57" s="58"/>
      <c r="V57" s="58"/>
      <c r="W57" s="290"/>
      <c r="X57" s="290"/>
      <c r="Y57" s="290"/>
      <c r="Z57" s="290"/>
      <c r="AA57" s="290"/>
      <c r="AB57" s="290"/>
      <c r="AC57" s="290"/>
      <c r="AD57" s="291"/>
      <c r="AE57" s="59"/>
      <c r="AF57" s="292"/>
      <c r="AG57" s="58"/>
      <c r="AH57" s="58"/>
      <c r="AI57" s="58"/>
      <c r="AJ57" s="58"/>
      <c r="AK57" s="58"/>
      <c r="AL57" s="58">
        <f>AL55/AVERAGE($AF$55:$AQ$55)</f>
        <v>1.2614511225503295</v>
      </c>
      <c r="AM57" s="58"/>
      <c r="AN57" s="58"/>
      <c r="AO57" s="58"/>
      <c r="AP57" s="58">
        <f t="shared" ref="AP57:AQ57" si="100">AP55/AVERAGE($AF$55:$AQ$55)</f>
        <v>1.2293854585238704</v>
      </c>
      <c r="AQ57" s="58">
        <f t="shared" si="100"/>
        <v>1.6468441033966412</v>
      </c>
      <c r="AR57" s="58"/>
      <c r="AS57" s="59"/>
      <c r="AT57" s="58">
        <v>109190</v>
      </c>
      <c r="AU57" s="58">
        <v>153667</v>
      </c>
      <c r="AV57" s="58">
        <v>178778</v>
      </c>
      <c r="AW57" s="58">
        <v>151970</v>
      </c>
      <c r="AX57" s="58">
        <v>142416</v>
      </c>
      <c r="AY57" s="58">
        <v>177335</v>
      </c>
      <c r="AZ57" s="58">
        <v>152230</v>
      </c>
      <c r="BA57" s="58">
        <v>245527</v>
      </c>
      <c r="BB57" s="58">
        <f>5261504/27</f>
        <v>194870.51851851851</v>
      </c>
      <c r="BC57" s="58">
        <f>5784000/27</f>
        <v>214222.22222222222</v>
      </c>
      <c r="BD57" s="58">
        <f>3224000/27</f>
        <v>119407.4074074074</v>
      </c>
      <c r="BE57" s="58">
        <f>909800/27</f>
        <v>33696.296296296299</v>
      </c>
      <c r="BF57" s="58">
        <f t="shared" si="80"/>
        <v>1873309.4444444445</v>
      </c>
      <c r="BG57" s="59"/>
      <c r="BH57" s="58">
        <v>156208</v>
      </c>
      <c r="BI57" s="58">
        <v>147340</v>
      </c>
      <c r="BJ57" s="58">
        <v>166759</v>
      </c>
      <c r="BK57" s="58">
        <v>152352</v>
      </c>
      <c r="BL57" s="58">
        <v>128446</v>
      </c>
      <c r="BM57" s="58">
        <v>126790</v>
      </c>
      <c r="BN57" s="58">
        <v>173761</v>
      </c>
      <c r="BO57" s="58">
        <f>144510.599073001+BO56</f>
        <v>173510.59907300101</v>
      </c>
      <c r="BP57" s="58">
        <f>162574.422556972+BP56</f>
        <v>202797.42255697199</v>
      </c>
      <c r="BQ57" s="58">
        <f>166187.186558517+BQ56</f>
        <v>202922.18655851699</v>
      </c>
      <c r="BR57" s="58">
        <f>BQ31+BR27*0.6</f>
        <v>232502.36</v>
      </c>
      <c r="BS57" s="58">
        <f>BR27*0.4+BS27*0.5</f>
        <v>116391.04000000001</v>
      </c>
      <c r="BT57" s="58">
        <f t="shared" si="95"/>
        <v>1979779.6081884899</v>
      </c>
      <c r="BU57" s="60"/>
      <c r="BV57" s="58">
        <f t="shared" ref="BV57:CC57" si="101">BV31+BV56</f>
        <v>162757.867486095</v>
      </c>
      <c r="BW57" s="58">
        <f t="shared" si="101"/>
        <v>157566.83045180296</v>
      </c>
      <c r="BX57" s="58">
        <f t="shared" si="101"/>
        <v>197961.53846153844</v>
      </c>
      <c r="BY57" s="58">
        <f t="shared" si="101"/>
        <v>160769.23076923078</v>
      </c>
      <c r="BZ57" s="58">
        <f t="shared" si="101"/>
        <v>153232.39341785663</v>
      </c>
      <c r="CA57" s="58">
        <f t="shared" si="101"/>
        <v>143192.12910096842</v>
      </c>
      <c r="CB57" s="58">
        <f t="shared" si="101"/>
        <v>178736.21444761599</v>
      </c>
      <c r="CC57" s="58">
        <f t="shared" si="101"/>
        <v>202914.10079748323</v>
      </c>
      <c r="CD57" s="58">
        <f>CD31+CD56</f>
        <v>214499.61628422557</v>
      </c>
      <c r="CE57" s="58">
        <f>CE31+CE56</f>
        <v>217682.99793575107</v>
      </c>
      <c r="CF57" s="58">
        <f>CF31+CF56</f>
        <v>173115.84223630186</v>
      </c>
      <c r="CG57" s="58">
        <f t="shared" ref="CG57" si="102">BS57</f>
        <v>116391.04000000001</v>
      </c>
      <c r="CH57" s="58"/>
      <c r="CJ57" s="58">
        <f>CJ31+CJ56</f>
        <v>184850.74</v>
      </c>
      <c r="CK57" s="58">
        <f t="shared" ref="CK57:CU57" si="103">CK31+CK56</f>
        <v>171882.50999999998</v>
      </c>
      <c r="CL57" s="58">
        <f t="shared" si="103"/>
        <v>191983.4</v>
      </c>
      <c r="CM57" s="58">
        <f t="shared" si="103"/>
        <v>165270.47999999998</v>
      </c>
      <c r="CN57" s="58">
        <f t="shared" si="103"/>
        <v>157242.75</v>
      </c>
      <c r="CO57" s="58">
        <f t="shared" si="103"/>
        <v>123621.68</v>
      </c>
      <c r="CP57" s="58">
        <f t="shared" si="103"/>
        <v>231213.55</v>
      </c>
      <c r="CQ57" s="58">
        <f t="shared" si="103"/>
        <v>211318.72999999998</v>
      </c>
      <c r="CR57" s="58">
        <f t="shared" si="103"/>
        <v>260760.84999999998</v>
      </c>
      <c r="CS57" s="58">
        <f t="shared" si="103"/>
        <v>236930.72</v>
      </c>
      <c r="CT57" s="58">
        <f t="shared" si="103"/>
        <v>174556.51</v>
      </c>
      <c r="CU57" s="58">
        <f t="shared" si="103"/>
        <v>107560.73</v>
      </c>
      <c r="CV57" s="58">
        <f>SUM(CJ57:CU57)</f>
        <v>2217192.65</v>
      </c>
      <c r="CX57" s="58">
        <v>98000</v>
      </c>
      <c r="CY57" s="58">
        <v>147381.66148608096</v>
      </c>
      <c r="CZ57" s="58">
        <v>188447.673527326</v>
      </c>
      <c r="DA57" s="58">
        <v>152352</v>
      </c>
      <c r="DB57" s="58">
        <v>128446</v>
      </c>
      <c r="DC57" s="58">
        <v>126790</v>
      </c>
      <c r="DD57" s="58">
        <v>173761</v>
      </c>
      <c r="DE57" s="58">
        <v>173510.59907300101</v>
      </c>
      <c r="DF57" s="58">
        <v>202797.42255697199</v>
      </c>
      <c r="DG57" s="58">
        <v>202922.18655851699</v>
      </c>
      <c r="DH57" s="58">
        <v>232502.36</v>
      </c>
      <c r="DI57" s="58">
        <v>116391.04000000001</v>
      </c>
      <c r="DJ57" s="58"/>
    </row>
    <row r="58" spans="1:114">
      <c r="A58" s="101" t="s">
        <v>75</v>
      </c>
      <c r="B58" s="102"/>
      <c r="C58" s="260"/>
      <c r="D58" s="277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262"/>
      <c r="Q58" s="15"/>
      <c r="R58" s="277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263"/>
      <c r="AE58" s="16"/>
      <c r="AF58" s="261">
        <v>133791</v>
      </c>
      <c r="AG58" s="14">
        <v>166459</v>
      </c>
      <c r="AH58" s="14">
        <v>149450</v>
      </c>
      <c r="AI58" s="14">
        <v>151073</v>
      </c>
      <c r="AJ58" s="14">
        <v>192944</v>
      </c>
      <c r="AK58" s="14">
        <v>166139</v>
      </c>
      <c r="AL58" s="14">
        <v>151874</v>
      </c>
      <c r="AM58" s="14">
        <v>157771</v>
      </c>
      <c r="AN58" s="14">
        <v>200312</v>
      </c>
      <c r="AO58" s="14">
        <v>202691</v>
      </c>
      <c r="AP58" s="14">
        <v>207768</v>
      </c>
      <c r="AQ58" s="14">
        <v>113286</v>
      </c>
      <c r="AR58" s="14">
        <f>SUM(AF58:AK58)</f>
        <v>959856</v>
      </c>
      <c r="AS58" s="17"/>
      <c r="AT58" s="14">
        <v>89680</v>
      </c>
      <c r="AU58" s="14">
        <v>128308</v>
      </c>
      <c r="AV58" s="14">
        <v>144871</v>
      </c>
      <c r="AW58" s="32">
        <v>161772</v>
      </c>
      <c r="AX58" s="32">
        <v>144516</v>
      </c>
      <c r="AY58" s="32">
        <v>103667</v>
      </c>
      <c r="AZ58" s="32">
        <v>141023</v>
      </c>
      <c r="BA58" s="32">
        <v>172093</v>
      </c>
      <c r="BB58" s="32">
        <f>166606+10000</f>
        <v>176606</v>
      </c>
      <c r="BC58" s="32">
        <v>181091</v>
      </c>
      <c r="BD58" s="32">
        <v>169802</v>
      </c>
      <c r="BE58" s="32">
        <v>120406</v>
      </c>
      <c r="BF58" s="32">
        <f t="shared" si="80"/>
        <v>1733835</v>
      </c>
      <c r="BG58" s="17">
        <f>BG55/AR55</f>
        <v>9.9910256474894502E-2</v>
      </c>
      <c r="BH58" s="14">
        <v>78906</v>
      </c>
      <c r="BI58" s="14">
        <v>119296</v>
      </c>
      <c r="BJ58" s="14">
        <v>165286</v>
      </c>
      <c r="BK58" s="14">
        <v>144532</v>
      </c>
      <c r="BL58" s="32">
        <v>157691</v>
      </c>
      <c r="BM58" s="32">
        <v>129096</v>
      </c>
      <c r="BN58" s="32">
        <v>125800</v>
      </c>
      <c r="BO58" s="32">
        <v>176354</v>
      </c>
      <c r="BP58" s="32">
        <v>173554</v>
      </c>
      <c r="BQ58" s="32">
        <v>185766</v>
      </c>
      <c r="BR58" s="32"/>
      <c r="BS58" s="32"/>
      <c r="BT58" s="32">
        <f t="shared" si="95"/>
        <v>1456281</v>
      </c>
      <c r="BU58" s="28"/>
      <c r="BV58" s="14"/>
      <c r="BW58" s="14"/>
      <c r="BX58" s="14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J58" s="14"/>
      <c r="CK58" s="14"/>
      <c r="CL58" s="14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X58" s="14"/>
      <c r="CY58" s="14"/>
      <c r="CZ58" s="14"/>
      <c r="DA58" s="32"/>
      <c r="DB58" s="32"/>
      <c r="DC58" s="32"/>
      <c r="DD58" s="32"/>
      <c r="DE58" s="32"/>
      <c r="DF58" s="32"/>
      <c r="DG58" s="32"/>
      <c r="DH58" s="32"/>
      <c r="DI58" s="32"/>
      <c r="DJ58" s="32"/>
    </row>
    <row r="59" spans="1:114" ht="15.75">
      <c r="A59" s="103"/>
      <c r="B59" s="329" t="s">
        <v>76</v>
      </c>
      <c r="C59" s="330"/>
      <c r="D59" s="331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332"/>
      <c r="Q59" s="105"/>
      <c r="R59" s="333"/>
      <c r="S59" s="333"/>
      <c r="T59" s="333"/>
      <c r="U59" s="333"/>
      <c r="V59" s="333"/>
      <c r="W59" s="333"/>
      <c r="X59" s="333"/>
      <c r="Y59" s="333"/>
      <c r="Z59" s="333"/>
      <c r="AA59" s="333"/>
      <c r="AB59" s="333"/>
      <c r="AC59" s="333"/>
      <c r="AD59" s="334"/>
      <c r="AE59" s="106"/>
      <c r="AF59" s="333">
        <f t="shared" ref="AF59:AQ59" si="104">AF58-AF26</f>
        <v>133789.5653258567</v>
      </c>
      <c r="AG59" s="333">
        <f t="shared" si="104"/>
        <v>166455.02546723894</v>
      </c>
      <c r="AH59" s="333">
        <f t="shared" si="104"/>
        <v>149445.54627453614</v>
      </c>
      <c r="AI59" s="333">
        <f t="shared" si="104"/>
        <v>151069.82181047046</v>
      </c>
      <c r="AJ59" s="333">
        <f t="shared" si="104"/>
        <v>192941.24487749056</v>
      </c>
      <c r="AK59" s="333">
        <f t="shared" si="104"/>
        <v>166135.77020296719</v>
      </c>
      <c r="AL59" s="333">
        <f t="shared" si="104"/>
        <v>151871.64243647002</v>
      </c>
      <c r="AM59" s="333">
        <f t="shared" si="104"/>
        <v>157768.8586839418</v>
      </c>
      <c r="AN59" s="333">
        <f t="shared" si="104"/>
        <v>200310.09576397031</v>
      </c>
      <c r="AO59" s="333">
        <f t="shared" si="104"/>
        <v>202687.83135883085</v>
      </c>
      <c r="AP59" s="333">
        <f t="shared" si="104"/>
        <v>207762.85122649223</v>
      </c>
      <c r="AQ59" s="333">
        <f t="shared" si="104"/>
        <v>113282.51926932538</v>
      </c>
      <c r="AR59" s="107">
        <f t="shared" ref="AR59:AR67" si="105">SUM(AF59:AQ59)</f>
        <v>1993520.772697591</v>
      </c>
      <c r="AS59" s="106"/>
      <c r="AT59" s="333">
        <f t="shared" ref="AT59:BE59" si="106">AT58-AT57</f>
        <v>-19510</v>
      </c>
      <c r="AU59" s="333">
        <f t="shared" si="106"/>
        <v>-25359</v>
      </c>
      <c r="AV59" s="333">
        <f t="shared" si="106"/>
        <v>-33907</v>
      </c>
      <c r="AW59" s="333">
        <f t="shared" si="106"/>
        <v>9802</v>
      </c>
      <c r="AX59" s="333">
        <f t="shared" si="106"/>
        <v>2100</v>
      </c>
      <c r="AY59" s="333">
        <f t="shared" si="106"/>
        <v>-73668</v>
      </c>
      <c r="AZ59" s="333">
        <f t="shared" si="106"/>
        <v>-11207</v>
      </c>
      <c r="BA59" s="333">
        <f t="shared" si="106"/>
        <v>-73434</v>
      </c>
      <c r="BB59" s="333">
        <f t="shared" si="106"/>
        <v>-18264.518518518511</v>
      </c>
      <c r="BC59" s="333">
        <f t="shared" si="106"/>
        <v>-33131.222222222219</v>
      </c>
      <c r="BD59" s="333">
        <f t="shared" si="106"/>
        <v>50394.592592592599</v>
      </c>
      <c r="BE59" s="333">
        <f t="shared" si="106"/>
        <v>86709.703703703708</v>
      </c>
      <c r="BF59" s="108">
        <f t="shared" si="80"/>
        <v>-139474.44444444444</v>
      </c>
      <c r="BG59" s="106"/>
      <c r="BH59" s="333">
        <f t="shared" ref="BH59:BQ59" si="107">BH58-BH57</f>
        <v>-77302</v>
      </c>
      <c r="BI59" s="333">
        <f t="shared" si="107"/>
        <v>-28044</v>
      </c>
      <c r="BJ59" s="333">
        <f t="shared" si="107"/>
        <v>-1473</v>
      </c>
      <c r="BK59" s="333">
        <f t="shared" si="107"/>
        <v>-7820</v>
      </c>
      <c r="BL59" s="333">
        <f t="shared" si="107"/>
        <v>29245</v>
      </c>
      <c r="BM59" s="333">
        <f t="shared" si="107"/>
        <v>2306</v>
      </c>
      <c r="BN59" s="333">
        <f t="shared" si="107"/>
        <v>-47961</v>
      </c>
      <c r="BO59" s="333">
        <f t="shared" si="107"/>
        <v>2843.4009269989911</v>
      </c>
      <c r="BP59" s="333">
        <f t="shared" si="107"/>
        <v>-29243.422556971986</v>
      </c>
      <c r="BQ59" s="333">
        <f t="shared" si="107"/>
        <v>-17156.186558516987</v>
      </c>
      <c r="BR59" s="108"/>
      <c r="BS59" s="108"/>
      <c r="BT59" s="108">
        <f t="shared" si="95"/>
        <v>-174605.20818848998</v>
      </c>
      <c r="BU59" s="28"/>
      <c r="BV59" s="333"/>
      <c r="BW59" s="333"/>
      <c r="BX59" s="333"/>
      <c r="BY59" s="333"/>
      <c r="BZ59" s="108"/>
      <c r="CA59" s="108"/>
      <c r="CB59" s="108"/>
      <c r="CC59" s="108"/>
      <c r="CD59" s="108"/>
      <c r="CE59" s="108"/>
      <c r="CF59" s="108"/>
      <c r="CG59" s="108"/>
      <c r="CH59" s="108"/>
      <c r="CJ59" s="333"/>
      <c r="CK59" s="333"/>
      <c r="CL59" s="333"/>
      <c r="CM59" s="333"/>
      <c r="CN59" s="108"/>
      <c r="CO59" s="108"/>
      <c r="CP59" s="108"/>
      <c r="CQ59" s="108"/>
      <c r="CR59" s="108"/>
      <c r="CS59" s="108"/>
      <c r="CT59" s="108"/>
      <c r="CU59" s="108"/>
      <c r="CV59" s="108"/>
      <c r="CX59" s="333"/>
      <c r="CY59" s="333"/>
      <c r="CZ59" s="333"/>
      <c r="DA59" s="333"/>
      <c r="DB59" s="108"/>
      <c r="DC59" s="108"/>
      <c r="DD59" s="108"/>
      <c r="DE59" s="108"/>
      <c r="DF59" s="108"/>
      <c r="DG59" s="108"/>
      <c r="DH59" s="108"/>
      <c r="DI59" s="108"/>
      <c r="DJ59" s="108"/>
    </row>
    <row r="60" spans="1:114" ht="15.75" customHeight="1">
      <c r="A60" s="94">
        <v>5</v>
      </c>
      <c r="B60" s="210" t="s">
        <v>77</v>
      </c>
      <c r="C60" s="335"/>
      <c r="D60" s="313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>
        <v>0</v>
      </c>
      <c r="P60" s="314">
        <f>SUM(D60:O60)</f>
        <v>0</v>
      </c>
      <c r="Q60" s="90"/>
      <c r="R60" s="313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315">
        <f>SUM(R60:AC60)</f>
        <v>0</v>
      </c>
      <c r="AE60" s="23"/>
      <c r="AF60" s="316">
        <v>0</v>
      </c>
      <c r="AG60" s="91">
        <v>0</v>
      </c>
      <c r="AH60" s="91">
        <v>0</v>
      </c>
      <c r="AI60" s="91">
        <v>0</v>
      </c>
      <c r="AJ60" s="91">
        <v>0</v>
      </c>
      <c r="AK60" s="91">
        <v>0</v>
      </c>
      <c r="AL60" s="91">
        <v>0</v>
      </c>
      <c r="AM60" s="91">
        <v>0</v>
      </c>
      <c r="AN60" s="91">
        <v>0</v>
      </c>
      <c r="AO60" s="91">
        <v>0</v>
      </c>
      <c r="AP60" s="91"/>
      <c r="AQ60" s="91">
        <v>8938</v>
      </c>
      <c r="AR60" s="92">
        <f t="shared" si="105"/>
        <v>8938</v>
      </c>
      <c r="AS60" s="23"/>
      <c r="AT60" s="91">
        <v>106642</v>
      </c>
      <c r="AU60" s="91">
        <v>90699</v>
      </c>
      <c r="AV60" s="91">
        <v>89681</v>
      </c>
      <c r="AW60" s="91">
        <v>58790</v>
      </c>
      <c r="AX60" s="91">
        <v>35520</v>
      </c>
      <c r="AY60" s="91">
        <v>61551</v>
      </c>
      <c r="AZ60" s="91">
        <v>71511</v>
      </c>
      <c r="BA60" s="91">
        <v>63617</v>
      </c>
      <c r="BB60" s="91">
        <v>66748</v>
      </c>
      <c r="BC60" s="91">
        <v>75532</v>
      </c>
      <c r="BD60" s="91">
        <v>37786</v>
      </c>
      <c r="BE60" s="91">
        <v>4503</v>
      </c>
      <c r="BF60" s="91">
        <f t="shared" si="80"/>
        <v>762580</v>
      </c>
      <c r="BG60" s="27"/>
      <c r="BH60" s="91">
        <v>69404</v>
      </c>
      <c r="BI60" s="91">
        <v>80412</v>
      </c>
      <c r="BJ60" s="91">
        <v>94386</v>
      </c>
      <c r="BK60" s="91">
        <v>78313</v>
      </c>
      <c r="BL60" s="91">
        <v>47034</v>
      </c>
      <c r="BM60" s="91">
        <v>50851</v>
      </c>
      <c r="BN60" s="91">
        <v>93202</v>
      </c>
      <c r="BO60" s="91">
        <v>100687</v>
      </c>
      <c r="BP60" s="91">
        <v>127995</v>
      </c>
      <c r="BQ60" s="91">
        <v>122686</v>
      </c>
      <c r="BR60" s="91"/>
      <c r="BS60" s="91"/>
      <c r="BT60" s="91"/>
      <c r="BU60" s="28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  <c r="CX60" s="91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</row>
    <row r="61" spans="1:114">
      <c r="A61" s="13" t="s">
        <v>78</v>
      </c>
      <c r="B61" s="259"/>
      <c r="C61" s="260"/>
      <c r="D61" s="277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262"/>
      <c r="Q61" s="15"/>
      <c r="R61" s="277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263"/>
      <c r="AE61" s="16"/>
      <c r="AF61" s="261">
        <f t="shared" ref="AF61:AQ61" si="108">AF62+AF64</f>
        <v>118364</v>
      </c>
      <c r="AG61" s="261">
        <f t="shared" si="108"/>
        <v>173742</v>
      </c>
      <c r="AH61" s="261">
        <f t="shared" si="108"/>
        <v>73470</v>
      </c>
      <c r="AI61" s="261">
        <f t="shared" si="108"/>
        <v>87377</v>
      </c>
      <c r="AJ61" s="261">
        <f t="shared" si="108"/>
        <v>119657</v>
      </c>
      <c r="AK61" s="261">
        <f t="shared" si="108"/>
        <v>154747</v>
      </c>
      <c r="AL61" s="261">
        <f t="shared" si="108"/>
        <v>138073</v>
      </c>
      <c r="AM61" s="261">
        <f t="shared" si="108"/>
        <v>180773</v>
      </c>
      <c r="AN61" s="261">
        <f t="shared" si="108"/>
        <v>194598</v>
      </c>
      <c r="AO61" s="261">
        <f t="shared" si="108"/>
        <v>242931</v>
      </c>
      <c r="AP61" s="261">
        <f t="shared" si="108"/>
        <v>107346</v>
      </c>
      <c r="AQ61" s="261">
        <f t="shared" si="108"/>
        <v>87384</v>
      </c>
      <c r="AR61" s="14">
        <f t="shared" si="105"/>
        <v>1678462</v>
      </c>
      <c r="AS61" s="17"/>
      <c r="AT61" s="261">
        <f t="shared" ref="AT61:BE61" si="109">AT62+AT64</f>
        <v>155346</v>
      </c>
      <c r="AU61" s="261">
        <f t="shared" si="109"/>
        <v>123370</v>
      </c>
      <c r="AV61" s="261">
        <f t="shared" si="109"/>
        <v>144065</v>
      </c>
      <c r="AW61" s="261">
        <f t="shared" si="109"/>
        <v>127865</v>
      </c>
      <c r="AX61" s="261">
        <f t="shared" si="109"/>
        <v>123461</v>
      </c>
      <c r="AY61" s="261">
        <f t="shared" si="109"/>
        <v>121196</v>
      </c>
      <c r="AZ61" s="261">
        <f t="shared" si="109"/>
        <v>168029</v>
      </c>
      <c r="BA61" s="261">
        <f t="shared" si="109"/>
        <v>164268</v>
      </c>
      <c r="BB61" s="261">
        <f t="shared" si="109"/>
        <v>185112</v>
      </c>
      <c r="BC61" s="261">
        <f t="shared" si="109"/>
        <v>147235</v>
      </c>
      <c r="BD61" s="261">
        <f t="shared" si="109"/>
        <v>135608</v>
      </c>
      <c r="BE61" s="261">
        <f t="shared" si="109"/>
        <v>90194</v>
      </c>
      <c r="BF61" s="32">
        <f t="shared" si="80"/>
        <v>1685749</v>
      </c>
      <c r="BG61" s="35">
        <f t="shared" ref="BG61:BG62" si="110">BF61/AR61-1</f>
        <v>4.3414745165515356E-3</v>
      </c>
      <c r="BH61" s="261">
        <f>BH62+BH64</f>
        <v>144332</v>
      </c>
      <c r="BI61" s="261">
        <f t="shared" ref="BI61:BQ61" si="111">BI62+BI64</f>
        <v>128781</v>
      </c>
      <c r="BJ61" s="261">
        <f t="shared" si="111"/>
        <v>193129</v>
      </c>
      <c r="BK61" s="261">
        <f t="shared" si="111"/>
        <v>106092</v>
      </c>
      <c r="BL61" s="261">
        <f t="shared" si="111"/>
        <v>132638</v>
      </c>
      <c r="BM61" s="261">
        <f t="shared" si="111"/>
        <v>139193</v>
      </c>
      <c r="BN61" s="261">
        <f t="shared" si="111"/>
        <v>173703</v>
      </c>
      <c r="BO61" s="261">
        <f t="shared" si="111"/>
        <v>186902</v>
      </c>
      <c r="BP61" s="261">
        <f t="shared" si="111"/>
        <v>200686</v>
      </c>
      <c r="BQ61" s="261">
        <f t="shared" si="111"/>
        <v>191324</v>
      </c>
      <c r="BR61" s="14"/>
      <c r="BS61" s="14"/>
      <c r="BT61" s="14">
        <f t="shared" ref="BT61:BT66" si="112">SUM(BH61:BS61)</f>
        <v>1596780</v>
      </c>
      <c r="BU61" s="18"/>
      <c r="BV61" s="261"/>
      <c r="BW61" s="261"/>
      <c r="BX61" s="261"/>
      <c r="BY61" s="261"/>
      <c r="BZ61" s="14"/>
      <c r="CA61" s="14"/>
      <c r="CB61" s="14"/>
      <c r="CC61" s="14"/>
      <c r="CD61" s="14"/>
      <c r="CE61" s="14"/>
      <c r="CF61" s="14"/>
      <c r="CG61" s="14"/>
      <c r="CH61" s="14"/>
      <c r="CJ61" s="261">
        <f>CJ62+CJ64</f>
        <v>204853</v>
      </c>
      <c r="CK61" s="261"/>
      <c r="CL61" s="261"/>
      <c r="CM61" s="261"/>
      <c r="CN61" s="14"/>
      <c r="CO61" s="14"/>
      <c r="CP61" s="14"/>
      <c r="CQ61" s="14"/>
      <c r="CR61" s="14"/>
      <c r="CS61" s="14"/>
      <c r="CT61" s="14"/>
      <c r="CU61" s="14"/>
      <c r="CV61" s="14"/>
      <c r="CX61" s="261"/>
      <c r="CY61" s="261"/>
      <c r="CZ61" s="261"/>
      <c r="DA61" s="261"/>
      <c r="DB61" s="14"/>
      <c r="DC61" s="14"/>
      <c r="DD61" s="14"/>
      <c r="DE61" s="14"/>
      <c r="DF61" s="14"/>
      <c r="DG61" s="14"/>
      <c r="DH61" s="14"/>
      <c r="DI61" s="14"/>
      <c r="DJ61" s="14"/>
    </row>
    <row r="62" spans="1:114" ht="15.75" customHeight="1">
      <c r="A62" s="210"/>
      <c r="B62" s="210" t="s">
        <v>79</v>
      </c>
      <c r="C62" s="316"/>
      <c r="D62" s="313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315"/>
      <c r="AE62" s="23"/>
      <c r="AF62" s="316">
        <v>92193</v>
      </c>
      <c r="AG62" s="91">
        <v>152006</v>
      </c>
      <c r="AH62" s="91">
        <v>62734</v>
      </c>
      <c r="AI62" s="91">
        <v>71526</v>
      </c>
      <c r="AJ62" s="91">
        <v>89409</v>
      </c>
      <c r="AK62" s="91">
        <v>120675</v>
      </c>
      <c r="AL62" s="91">
        <v>100592</v>
      </c>
      <c r="AM62" s="91">
        <v>148128</v>
      </c>
      <c r="AN62" s="91">
        <v>164346</v>
      </c>
      <c r="AO62" s="91">
        <v>203437</v>
      </c>
      <c r="AP62" s="91">
        <v>64957</v>
      </c>
      <c r="AQ62" s="91">
        <v>31837</v>
      </c>
      <c r="AR62" s="92">
        <f t="shared" si="105"/>
        <v>1301840</v>
      </c>
      <c r="AS62" s="23"/>
      <c r="AT62" s="91">
        <v>125048</v>
      </c>
      <c r="AU62" s="91">
        <v>96006</v>
      </c>
      <c r="AV62" s="91">
        <v>111470</v>
      </c>
      <c r="AW62" s="91">
        <v>99222</v>
      </c>
      <c r="AX62" s="91">
        <v>91253</v>
      </c>
      <c r="AY62" s="91">
        <v>90595</v>
      </c>
      <c r="AZ62" s="91">
        <v>129147</v>
      </c>
      <c r="BA62" s="91">
        <v>133525</v>
      </c>
      <c r="BB62" s="91">
        <v>159291</v>
      </c>
      <c r="BC62" s="91">
        <v>115573</v>
      </c>
      <c r="BD62" s="91">
        <v>98386</v>
      </c>
      <c r="BE62" s="91">
        <v>36527</v>
      </c>
      <c r="BF62" s="91">
        <f t="shared" si="80"/>
        <v>1286043</v>
      </c>
      <c r="BG62" s="93">
        <f t="shared" si="110"/>
        <v>-1.2134363669882631E-2</v>
      </c>
      <c r="BH62" s="91">
        <v>110235</v>
      </c>
      <c r="BI62" s="91">
        <v>103047</v>
      </c>
      <c r="BJ62" s="91">
        <v>158855</v>
      </c>
      <c r="BK62" s="91">
        <v>77254</v>
      </c>
      <c r="BL62" s="91">
        <v>99853</v>
      </c>
      <c r="BM62" s="91">
        <v>100723</v>
      </c>
      <c r="BN62" s="91">
        <v>125338</v>
      </c>
      <c r="BO62" s="91">
        <v>153622</v>
      </c>
      <c r="BP62" s="91">
        <v>166483</v>
      </c>
      <c r="BQ62" s="91">
        <v>156140</v>
      </c>
      <c r="BR62" s="91">
        <v>111391</v>
      </c>
      <c r="BS62" s="91">
        <v>26768</v>
      </c>
      <c r="BT62" s="91">
        <f t="shared" si="112"/>
        <v>1389709</v>
      </c>
      <c r="BU62" s="28"/>
      <c r="BV62" s="91">
        <v>128446</v>
      </c>
      <c r="BW62" s="91">
        <v>119229</v>
      </c>
      <c r="BX62" s="91">
        <v>134860</v>
      </c>
      <c r="BY62" s="91">
        <v>111992</v>
      </c>
      <c r="BZ62" s="91">
        <v>102725</v>
      </c>
      <c r="CA62" s="91">
        <v>74472</v>
      </c>
      <c r="CB62" s="91">
        <v>164045</v>
      </c>
      <c r="CC62" s="91">
        <v>148167</v>
      </c>
      <c r="CD62" s="91">
        <v>189715</v>
      </c>
      <c r="CE62" s="91">
        <v>165488</v>
      </c>
      <c r="CF62" s="91">
        <v>103829</v>
      </c>
      <c r="CG62" s="91">
        <v>39967</v>
      </c>
      <c r="CH62" s="91">
        <f t="shared" ref="CH62:CH65" si="113">SUM(BV62:CG62)</f>
        <v>1482935</v>
      </c>
      <c r="CJ62" s="91">
        <v>167136</v>
      </c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91"/>
      <c r="CV62" s="91"/>
      <c r="CX62" s="91">
        <v>54245</v>
      </c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</row>
    <row r="63" spans="1:114" ht="15.75">
      <c r="A63" s="103"/>
      <c r="B63" s="329" t="s">
        <v>80</v>
      </c>
      <c r="C63" s="330"/>
      <c r="D63" s="331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332"/>
      <c r="Q63" s="105"/>
      <c r="R63" s="333"/>
      <c r="S63" s="333"/>
      <c r="T63" s="333"/>
      <c r="U63" s="333"/>
      <c r="V63" s="333"/>
      <c r="W63" s="333"/>
      <c r="X63" s="333"/>
      <c r="Y63" s="333"/>
      <c r="Z63" s="333"/>
      <c r="AA63" s="333"/>
      <c r="AB63" s="333"/>
      <c r="AC63" s="333"/>
      <c r="AD63" s="334"/>
      <c r="AE63" s="106"/>
      <c r="AF63" s="333">
        <f t="shared" ref="AF63:AQ63" si="114">AF62-AF31</f>
        <v>2047</v>
      </c>
      <c r="AG63" s="333">
        <f t="shared" si="114"/>
        <v>-3571</v>
      </c>
      <c r="AH63" s="333">
        <f t="shared" si="114"/>
        <v>-219</v>
      </c>
      <c r="AI63" s="333">
        <f t="shared" si="114"/>
        <v>-1735</v>
      </c>
      <c r="AJ63" s="333">
        <f t="shared" si="114"/>
        <v>-2447</v>
      </c>
      <c r="AK63" s="333">
        <f t="shared" si="114"/>
        <v>675</v>
      </c>
      <c r="AL63" s="333">
        <f t="shared" si="114"/>
        <v>-9703</v>
      </c>
      <c r="AM63" s="333">
        <f t="shared" si="114"/>
        <v>-52075</v>
      </c>
      <c r="AN63" s="333">
        <f t="shared" si="114"/>
        <v>-59487.333333333343</v>
      </c>
      <c r="AO63" s="333">
        <f t="shared" si="114"/>
        <v>-15063</v>
      </c>
      <c r="AP63" s="333">
        <f t="shared" si="114"/>
        <v>-23043</v>
      </c>
      <c r="AQ63" s="333">
        <f t="shared" si="114"/>
        <v>-11563</v>
      </c>
      <c r="AR63" s="107">
        <f t="shared" si="105"/>
        <v>-176184.33333333334</v>
      </c>
      <c r="AS63" s="106"/>
      <c r="AT63" s="333">
        <f t="shared" ref="AT63:BE63" si="115">AT62-AT31</f>
        <v>8451.75</v>
      </c>
      <c r="AU63" s="333">
        <f t="shared" si="115"/>
        <v>-37227.103448275855</v>
      </c>
      <c r="AV63" s="333">
        <f t="shared" si="115"/>
        <v>-6779.1379310344782</v>
      </c>
      <c r="AW63" s="333">
        <f t="shared" si="115"/>
        <v>-22342.137931034478</v>
      </c>
      <c r="AX63" s="333">
        <f t="shared" si="115"/>
        <v>4719.0344827586232</v>
      </c>
      <c r="AY63" s="333">
        <f t="shared" si="115"/>
        <v>-14182.777777777781</v>
      </c>
      <c r="AZ63" s="333">
        <f t="shared" si="115"/>
        <v>-6630.777777777781</v>
      </c>
      <c r="BA63" s="333">
        <f t="shared" si="115"/>
        <v>-77771.296296296292</v>
      </c>
      <c r="BB63" s="333">
        <f t="shared" si="115"/>
        <v>-51486.777777777781</v>
      </c>
      <c r="BC63" s="333">
        <f t="shared" si="115"/>
        <v>-99233.290755657828</v>
      </c>
      <c r="BD63" s="333">
        <f t="shared" si="115"/>
        <v>5175.413118527038</v>
      </c>
      <c r="BE63" s="333">
        <f t="shared" si="115"/>
        <v>5840.3870349060235</v>
      </c>
      <c r="BF63" s="108">
        <f t="shared" si="80"/>
        <v>-291466.71505944064</v>
      </c>
      <c r="BG63" s="106"/>
      <c r="BH63" s="333">
        <f t="shared" ref="BH63:BQ63" si="116">BH62-BH28</f>
        <v>-6365</v>
      </c>
      <c r="BI63" s="333">
        <f t="shared" si="116"/>
        <v>-8486.3333333333285</v>
      </c>
      <c r="BJ63" s="333">
        <f t="shared" si="116"/>
        <v>23180.925925925927</v>
      </c>
      <c r="BK63" s="333">
        <f t="shared" si="116"/>
        <v>-44486.740740740745</v>
      </c>
      <c r="BL63" s="333">
        <f t="shared" si="116"/>
        <v>5926.148148148146</v>
      </c>
      <c r="BM63" s="333">
        <f t="shared" si="116"/>
        <v>10043.740740740745</v>
      </c>
      <c r="BN63" s="333">
        <f t="shared" si="116"/>
        <v>-4917.555555555562</v>
      </c>
      <c r="BO63" s="333">
        <f t="shared" si="116"/>
        <v>3071.6218888889125</v>
      </c>
      <c r="BP63" s="333">
        <f t="shared" si="116"/>
        <v>4652.2504629629548</v>
      </c>
      <c r="BQ63" s="333">
        <f t="shared" si="116"/>
        <v>29010</v>
      </c>
      <c r="BR63" s="108"/>
      <c r="BS63" s="108"/>
      <c r="BT63" s="108">
        <f t="shared" si="112"/>
        <v>11629.05753703705</v>
      </c>
      <c r="BU63" s="28"/>
      <c r="BV63" s="333">
        <v>124435</v>
      </c>
      <c r="BW63" s="333">
        <v>117564</v>
      </c>
      <c r="BX63" s="333">
        <v>133262</v>
      </c>
      <c r="BY63" s="333">
        <v>110312</v>
      </c>
      <c r="BZ63" s="108">
        <v>101441</v>
      </c>
      <c r="CA63" s="108">
        <v>67535</v>
      </c>
      <c r="CB63" s="108">
        <v>155594</v>
      </c>
      <c r="CC63" s="108"/>
      <c r="CD63" s="108"/>
      <c r="CE63" s="108"/>
      <c r="CF63" s="108"/>
      <c r="CG63" s="108"/>
      <c r="CH63" s="108">
        <f t="shared" si="113"/>
        <v>810143</v>
      </c>
      <c r="CJ63" s="333">
        <v>159683</v>
      </c>
      <c r="CK63" s="333">
        <v>182683</v>
      </c>
      <c r="CL63" s="333">
        <v>137562</v>
      </c>
      <c r="CM63" s="333"/>
      <c r="CN63" s="108"/>
      <c r="CO63" s="108"/>
      <c r="CP63" s="108"/>
      <c r="CQ63" s="108"/>
      <c r="CR63" s="108"/>
      <c r="CS63" s="108"/>
      <c r="CT63" s="108"/>
      <c r="CU63" s="108"/>
      <c r="CV63" s="108"/>
      <c r="CX63" s="333"/>
      <c r="CY63" s="333"/>
      <c r="CZ63" s="333"/>
      <c r="DA63" s="333"/>
      <c r="DB63" s="108"/>
      <c r="DC63" s="108"/>
      <c r="DD63" s="108"/>
      <c r="DE63" s="108"/>
      <c r="DF63" s="108"/>
      <c r="DG63" s="108"/>
      <c r="DH63" s="108"/>
      <c r="DI63" s="108"/>
      <c r="DJ63" s="108"/>
    </row>
    <row r="64" spans="1:114" ht="15.75" customHeight="1">
      <c r="A64" s="94"/>
      <c r="B64" s="336" t="s">
        <v>81</v>
      </c>
      <c r="C64" s="335"/>
      <c r="D64" s="313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314"/>
      <c r="Q64" s="90"/>
      <c r="R64" s="316"/>
      <c r="S64" s="31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5"/>
      <c r="AE64" s="23"/>
      <c r="AF64" s="316">
        <v>26171</v>
      </c>
      <c r="AG64" s="316">
        <v>21736</v>
      </c>
      <c r="AH64" s="316">
        <v>10736</v>
      </c>
      <c r="AI64" s="316">
        <v>15851</v>
      </c>
      <c r="AJ64" s="316">
        <v>30248</v>
      </c>
      <c r="AK64" s="316">
        <v>34072</v>
      </c>
      <c r="AL64" s="316">
        <v>37481</v>
      </c>
      <c r="AM64" s="91">
        <v>32645</v>
      </c>
      <c r="AN64" s="91">
        <v>30252</v>
      </c>
      <c r="AO64" s="91">
        <v>39494</v>
      </c>
      <c r="AP64" s="91">
        <v>42389</v>
      </c>
      <c r="AQ64" s="91">
        <v>55547</v>
      </c>
      <c r="AR64" s="92">
        <f t="shared" si="105"/>
        <v>376622</v>
      </c>
      <c r="AS64" s="23"/>
      <c r="AT64" s="91">
        <v>30298</v>
      </c>
      <c r="AU64" s="91">
        <v>27364</v>
      </c>
      <c r="AV64" s="91">
        <v>32595</v>
      </c>
      <c r="AW64" s="91">
        <v>28643</v>
      </c>
      <c r="AX64" s="91">
        <v>32208</v>
      </c>
      <c r="AY64" s="91">
        <v>30601</v>
      </c>
      <c r="AZ64" s="91">
        <v>38882</v>
      </c>
      <c r="BA64" s="91">
        <v>30743</v>
      </c>
      <c r="BB64" s="91">
        <f>24621+1200</f>
        <v>25821</v>
      </c>
      <c r="BC64" s="91">
        <v>31662</v>
      </c>
      <c r="BD64" s="91">
        <v>37222</v>
      </c>
      <c r="BE64" s="91">
        <v>53667</v>
      </c>
      <c r="BF64" s="91">
        <f t="shared" si="80"/>
        <v>399706</v>
      </c>
      <c r="BG64" s="93">
        <f>BF64/AR64-1</f>
        <v>6.1292224033646425E-2</v>
      </c>
      <c r="BH64" s="91">
        <v>34097</v>
      </c>
      <c r="BI64" s="91">
        <v>25734</v>
      </c>
      <c r="BJ64" s="91">
        <v>34274</v>
      </c>
      <c r="BK64" s="91">
        <v>28838</v>
      </c>
      <c r="BL64" s="91">
        <v>32785</v>
      </c>
      <c r="BM64" s="91">
        <v>38470</v>
      </c>
      <c r="BN64" s="91">
        <v>48365</v>
      </c>
      <c r="BO64" s="91">
        <v>33280</v>
      </c>
      <c r="BP64" s="91">
        <v>34203</v>
      </c>
      <c r="BQ64" s="91">
        <v>35184</v>
      </c>
      <c r="BR64" s="91">
        <v>34873</v>
      </c>
      <c r="BS64" s="91">
        <v>48960</v>
      </c>
      <c r="BT64" s="91">
        <f t="shared" si="112"/>
        <v>429063</v>
      </c>
      <c r="BU64" s="28"/>
      <c r="BV64" s="91">
        <v>38900</v>
      </c>
      <c r="BW64" s="91">
        <v>31376</v>
      </c>
      <c r="BX64" s="91">
        <v>29886</v>
      </c>
      <c r="BY64" s="91">
        <v>30671</v>
      </c>
      <c r="BZ64" s="91">
        <v>34553</v>
      </c>
      <c r="CA64" s="91">
        <v>36515</v>
      </c>
      <c r="CB64" s="91">
        <v>38915</v>
      </c>
      <c r="CC64" s="91">
        <v>34615</v>
      </c>
      <c r="CD64" s="91">
        <v>29617</v>
      </c>
      <c r="CE64" s="91">
        <v>34538</v>
      </c>
      <c r="CF64" s="91">
        <v>45914</v>
      </c>
      <c r="CG64" s="91">
        <v>60875</v>
      </c>
      <c r="CH64" s="91">
        <f t="shared" si="113"/>
        <v>446375</v>
      </c>
      <c r="CJ64" s="91">
        <v>37717</v>
      </c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X64" s="91">
        <v>22115</v>
      </c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</row>
    <row r="65" spans="1:114" ht="15.75">
      <c r="A65" s="103"/>
      <c r="B65" s="329" t="s">
        <v>82</v>
      </c>
      <c r="C65" s="330"/>
      <c r="D65" s="331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332"/>
      <c r="Q65" s="105"/>
      <c r="R65" s="333"/>
      <c r="S65" s="333"/>
      <c r="T65" s="333"/>
      <c r="U65" s="333"/>
      <c r="V65" s="333"/>
      <c r="W65" s="333"/>
      <c r="X65" s="333"/>
      <c r="Y65" s="333"/>
      <c r="Z65" s="333"/>
      <c r="AA65" s="333"/>
      <c r="AB65" s="333"/>
      <c r="AC65" s="333"/>
      <c r="AD65" s="334"/>
      <c r="AE65" s="106"/>
      <c r="AF65" s="333">
        <f t="shared" ref="AF65:AQ65" si="117">AF64-AF55</f>
        <v>-12329</v>
      </c>
      <c r="AG65" s="333">
        <f t="shared" si="117"/>
        <v>-664</v>
      </c>
      <c r="AH65" s="333">
        <f t="shared" si="117"/>
        <v>65</v>
      </c>
      <c r="AI65" s="333">
        <f t="shared" si="117"/>
        <v>-246</v>
      </c>
      <c r="AJ65" s="333">
        <f t="shared" si="117"/>
        <v>-30</v>
      </c>
      <c r="AK65" s="333">
        <f t="shared" si="117"/>
        <v>5512</v>
      </c>
      <c r="AL65" s="333">
        <f t="shared" si="117"/>
        <v>-4219</v>
      </c>
      <c r="AM65" s="333">
        <f t="shared" si="117"/>
        <v>-6055</v>
      </c>
      <c r="AN65" s="333">
        <f t="shared" si="117"/>
        <v>-7048</v>
      </c>
      <c r="AO65" s="333">
        <f t="shared" si="117"/>
        <v>2094</v>
      </c>
      <c r="AP65" s="333">
        <f t="shared" si="117"/>
        <v>1749</v>
      </c>
      <c r="AQ65" s="333">
        <f t="shared" si="117"/>
        <v>1107</v>
      </c>
      <c r="AR65" s="107">
        <f t="shared" si="105"/>
        <v>-20064</v>
      </c>
      <c r="AS65" s="106"/>
      <c r="AT65" s="333">
        <f t="shared" ref="AT65:BE65" si="118">AT64-AT55</f>
        <v>-5855</v>
      </c>
      <c r="AU65" s="333">
        <f t="shared" si="118"/>
        <v>-7925</v>
      </c>
      <c r="AV65" s="333">
        <f t="shared" si="118"/>
        <v>-3277</v>
      </c>
      <c r="AW65" s="333">
        <f t="shared" si="118"/>
        <v>-9388</v>
      </c>
      <c r="AX65" s="333">
        <f t="shared" si="118"/>
        <v>-1358</v>
      </c>
      <c r="AY65" s="333">
        <f t="shared" si="118"/>
        <v>-2965</v>
      </c>
      <c r="AZ65" s="333">
        <f t="shared" si="118"/>
        <v>7986</v>
      </c>
      <c r="BA65" s="333">
        <f t="shared" si="118"/>
        <v>-403</v>
      </c>
      <c r="BB65" s="333">
        <f t="shared" si="118"/>
        <v>-6809</v>
      </c>
      <c r="BC65" s="333">
        <f t="shared" si="118"/>
        <v>-6900</v>
      </c>
      <c r="BD65" s="333">
        <f t="shared" si="118"/>
        <v>-4123</v>
      </c>
      <c r="BE65" s="333">
        <f t="shared" si="118"/>
        <v>4404</v>
      </c>
      <c r="BF65" s="108">
        <f t="shared" si="80"/>
        <v>-36613</v>
      </c>
      <c r="BG65" s="106"/>
      <c r="BH65" s="333">
        <f t="shared" ref="BH65:BQ65" si="119">BH64-BH55</f>
        <v>-2056</v>
      </c>
      <c r="BI65" s="333">
        <f t="shared" si="119"/>
        <v>-9555</v>
      </c>
      <c r="BJ65" s="333">
        <f t="shared" si="119"/>
        <v>-1598</v>
      </c>
      <c r="BK65" s="333">
        <f t="shared" si="119"/>
        <v>-9193</v>
      </c>
      <c r="BL65" s="333">
        <f t="shared" si="119"/>
        <v>-5785</v>
      </c>
      <c r="BM65" s="333">
        <f t="shared" si="119"/>
        <v>-757</v>
      </c>
      <c r="BN65" s="333">
        <f t="shared" si="119"/>
        <v>7237</v>
      </c>
      <c r="BO65" s="333">
        <f t="shared" si="119"/>
        <v>-4911</v>
      </c>
      <c r="BP65" s="333">
        <f t="shared" si="119"/>
        <v>-3988</v>
      </c>
      <c r="BQ65" s="333">
        <f t="shared" si="119"/>
        <v>-5041</v>
      </c>
      <c r="BR65" s="108"/>
      <c r="BS65" s="108"/>
      <c r="BT65" s="108">
        <f t="shared" si="112"/>
        <v>-35647</v>
      </c>
      <c r="BU65" s="28"/>
      <c r="BV65" s="333">
        <v>27740</v>
      </c>
      <c r="BW65" s="333">
        <v>23272</v>
      </c>
      <c r="BX65" s="333">
        <v>24576</v>
      </c>
      <c r="BY65" s="108">
        <v>26006</v>
      </c>
      <c r="BZ65" s="108">
        <v>30640</v>
      </c>
      <c r="CA65" s="108">
        <v>30640</v>
      </c>
      <c r="CB65" s="108">
        <v>29618</v>
      </c>
      <c r="CC65" s="108">
        <v>29686</v>
      </c>
      <c r="CD65" s="108">
        <v>29993</v>
      </c>
      <c r="CE65" s="108">
        <v>31540</v>
      </c>
      <c r="CF65" s="108">
        <v>38086</v>
      </c>
      <c r="CG65" s="108">
        <v>54003</v>
      </c>
      <c r="CH65" s="108">
        <f t="shared" si="113"/>
        <v>375800</v>
      </c>
      <c r="CJ65" s="333">
        <f>BV65*1.03</f>
        <v>28572.2</v>
      </c>
      <c r="CK65" s="333">
        <f>BW65*1.03</f>
        <v>23970.16</v>
      </c>
      <c r="CL65" s="333">
        <f t="shared" ref="CL65:CU65" si="120">BX65*1.03</f>
        <v>25313.279999999999</v>
      </c>
      <c r="CM65" s="333">
        <f t="shared" si="120"/>
        <v>26786.18</v>
      </c>
      <c r="CN65" s="333">
        <f t="shared" si="120"/>
        <v>31559.200000000001</v>
      </c>
      <c r="CO65" s="333">
        <f t="shared" si="120"/>
        <v>31559.200000000001</v>
      </c>
      <c r="CP65" s="333">
        <f t="shared" si="120"/>
        <v>30506.54</v>
      </c>
      <c r="CQ65" s="333">
        <f t="shared" si="120"/>
        <v>30576.58</v>
      </c>
      <c r="CR65" s="333">
        <f t="shared" si="120"/>
        <v>30892.79</v>
      </c>
      <c r="CS65" s="333">
        <f t="shared" si="120"/>
        <v>32486.2</v>
      </c>
      <c r="CT65" s="333">
        <f t="shared" si="120"/>
        <v>39228.58</v>
      </c>
      <c r="CU65" s="333">
        <f t="shared" si="120"/>
        <v>55623.090000000004</v>
      </c>
      <c r="CV65" s="108">
        <f>SUM(CJ65:CU65)</f>
        <v>387074.00000000006</v>
      </c>
      <c r="CX65" s="333"/>
      <c r="CY65" s="333"/>
      <c r="CZ65" s="333"/>
      <c r="DA65" s="333"/>
      <c r="DB65" s="108"/>
      <c r="DC65" s="108"/>
      <c r="DD65" s="108"/>
      <c r="DE65" s="108"/>
      <c r="DF65" s="108"/>
      <c r="DG65" s="108"/>
      <c r="DH65" s="108"/>
      <c r="DI65" s="108"/>
      <c r="DJ65" s="108"/>
    </row>
    <row r="66" spans="1:114" ht="15.75">
      <c r="A66" s="103" t="s">
        <v>83</v>
      </c>
      <c r="B66" s="337" t="s">
        <v>84</v>
      </c>
      <c r="C66" s="330"/>
      <c r="D66" s="331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332"/>
      <c r="Q66" s="105"/>
      <c r="R66" s="333"/>
      <c r="S66" s="333"/>
      <c r="T66" s="333"/>
      <c r="U66" s="333"/>
      <c r="V66" s="333"/>
      <c r="W66" s="333"/>
      <c r="X66" s="333"/>
      <c r="Y66" s="333"/>
      <c r="Z66" s="333"/>
      <c r="AA66" s="333"/>
      <c r="AB66" s="333"/>
      <c r="AC66" s="333"/>
      <c r="AD66" s="334"/>
      <c r="AE66" s="106"/>
      <c r="AF66" s="333">
        <f>AF61-AF27</f>
        <v>-10282</v>
      </c>
      <c r="AG66" s="333">
        <f>AG61-AG27</f>
        <v>-4235</v>
      </c>
      <c r="AH66" s="333">
        <f>AH61-AH27</f>
        <v>-154</v>
      </c>
      <c r="AI66" s="333">
        <f>AI61-AI27</f>
        <v>-1981</v>
      </c>
      <c r="AJ66" s="333">
        <f>AJ61-AJ27</f>
        <v>-2477</v>
      </c>
      <c r="AK66" s="333">
        <f>AK61-AK27</f>
        <v>6187</v>
      </c>
      <c r="AL66" s="333">
        <f>AL61-AL27</f>
        <v>-13922</v>
      </c>
      <c r="AM66" s="333">
        <f>AM61-AM27</f>
        <v>-58130</v>
      </c>
      <c r="AN66" s="333">
        <f>AN61-AN27</f>
        <v>-66535.333333333343</v>
      </c>
      <c r="AO66" s="333">
        <f>AO61-AO27</f>
        <v>-12969</v>
      </c>
      <c r="AP66" s="333">
        <f>AP61-AP27</f>
        <v>-21294</v>
      </c>
      <c r="AQ66" s="333">
        <f>AQ61-AQ27</f>
        <v>-10456</v>
      </c>
      <c r="AR66" s="107">
        <f t="shared" si="105"/>
        <v>-196248.33333333334</v>
      </c>
      <c r="AS66" s="106"/>
      <c r="AT66" s="333">
        <f t="shared" ref="AT66:BE66" si="121">AT61-AT27</f>
        <v>2596.75</v>
      </c>
      <c r="AU66" s="333">
        <f t="shared" si="121"/>
        <v>-45152.103448275855</v>
      </c>
      <c r="AV66" s="333">
        <f t="shared" si="121"/>
        <v>-10056.137931034493</v>
      </c>
      <c r="AW66" s="333">
        <f t="shared" si="121"/>
        <v>-31730.137931034493</v>
      </c>
      <c r="AX66" s="333">
        <f t="shared" si="121"/>
        <v>3361.0344827586232</v>
      </c>
      <c r="AY66" s="333">
        <f t="shared" si="121"/>
        <v>-17147.777777777781</v>
      </c>
      <c r="AZ66" s="333">
        <f t="shared" si="121"/>
        <v>1355.222222222219</v>
      </c>
      <c r="BA66" s="333">
        <f t="shared" si="121"/>
        <v>-78174.296296296292</v>
      </c>
      <c r="BB66" s="333">
        <f t="shared" si="121"/>
        <v>-58295.777777777781</v>
      </c>
      <c r="BC66" s="333">
        <f t="shared" si="121"/>
        <v>-106133.29075565783</v>
      </c>
      <c r="BD66" s="333">
        <f t="shared" si="121"/>
        <v>1052.413118527038</v>
      </c>
      <c r="BE66" s="333">
        <f t="shared" si="121"/>
        <v>17507.387034906016</v>
      </c>
      <c r="BF66" s="108">
        <f t="shared" si="80"/>
        <v>-320816.71505944064</v>
      </c>
      <c r="BG66" s="106"/>
      <c r="BH66" s="333">
        <f t="shared" ref="BH66:BQ66" si="122">BH61-BH27</f>
        <v>-8421</v>
      </c>
      <c r="BI66" s="333">
        <f t="shared" si="122"/>
        <v>-18041.333333333314</v>
      </c>
      <c r="BJ66" s="333">
        <f t="shared" si="122"/>
        <v>21582.925925925927</v>
      </c>
      <c r="BK66" s="333">
        <f t="shared" si="122"/>
        <v>-53679.74074074073</v>
      </c>
      <c r="BL66" s="333">
        <f t="shared" si="122"/>
        <v>141.14814814814599</v>
      </c>
      <c r="BM66" s="333">
        <f t="shared" si="122"/>
        <v>9286.7407407407445</v>
      </c>
      <c r="BN66" s="333">
        <f t="shared" si="122"/>
        <v>2319.444444444438</v>
      </c>
      <c r="BO66" s="333">
        <f t="shared" si="122"/>
        <v>7351.6218888889125</v>
      </c>
      <c r="BP66" s="333">
        <f t="shared" si="122"/>
        <v>-1367.7495370370452</v>
      </c>
      <c r="BQ66" s="333">
        <f t="shared" si="122"/>
        <v>27459</v>
      </c>
      <c r="BR66" s="108"/>
      <c r="BS66" s="108"/>
      <c r="BT66" s="108">
        <f t="shared" si="112"/>
        <v>-13368.942462962921</v>
      </c>
      <c r="BU66" s="28"/>
      <c r="BV66" s="333"/>
      <c r="BW66" s="333"/>
      <c r="BX66" s="333"/>
      <c r="BY66" s="333"/>
      <c r="BZ66" s="108"/>
      <c r="CA66" s="108"/>
      <c r="CB66" s="108">
        <f>CB65+CB62</f>
        <v>193663</v>
      </c>
      <c r="CC66" s="108">
        <f t="shared" ref="CC66:CG66" si="123">CC65+CC62</f>
        <v>177853</v>
      </c>
      <c r="CD66" s="108">
        <f t="shared" si="123"/>
        <v>219708</v>
      </c>
      <c r="CE66" s="108">
        <f t="shared" si="123"/>
        <v>197028</v>
      </c>
      <c r="CF66" s="108">
        <f t="shared" si="123"/>
        <v>141915</v>
      </c>
      <c r="CG66" s="108">
        <f t="shared" si="123"/>
        <v>93970</v>
      </c>
      <c r="CH66" s="108"/>
      <c r="CJ66" s="333">
        <v>27785</v>
      </c>
      <c r="CK66" s="333">
        <v>23447</v>
      </c>
      <c r="CL66" s="333">
        <v>26944</v>
      </c>
      <c r="CM66" s="333"/>
      <c r="CN66" s="108"/>
      <c r="CO66" s="108"/>
      <c r="CP66" s="108"/>
      <c r="CQ66" s="108"/>
      <c r="CR66" s="108"/>
      <c r="CS66" s="108"/>
      <c r="CT66" s="108"/>
      <c r="CU66" s="108"/>
      <c r="CV66" s="108"/>
      <c r="CX66" s="333"/>
      <c r="CY66" s="333"/>
      <c r="CZ66" s="333"/>
      <c r="DA66" s="333"/>
      <c r="DB66" s="108"/>
      <c r="DC66" s="108"/>
      <c r="DD66" s="108"/>
      <c r="DE66" s="108"/>
      <c r="DF66" s="108"/>
      <c r="DG66" s="108"/>
      <c r="DH66" s="108"/>
      <c r="DI66" s="108"/>
      <c r="DJ66" s="108"/>
    </row>
    <row r="67" spans="1:114" ht="15.75">
      <c r="A67" s="103" t="s">
        <v>85</v>
      </c>
      <c r="B67" s="337"/>
      <c r="C67" s="330"/>
      <c r="D67" s="331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332"/>
      <c r="Q67" s="105"/>
      <c r="R67" s="333"/>
      <c r="S67" s="333"/>
      <c r="T67" s="333"/>
      <c r="U67" s="333"/>
      <c r="V67" s="333"/>
      <c r="W67" s="333"/>
      <c r="X67" s="333"/>
      <c r="Y67" s="333"/>
      <c r="Z67" s="333"/>
      <c r="AA67" s="333"/>
      <c r="AB67" s="333"/>
      <c r="AC67" s="333"/>
      <c r="AD67" s="334"/>
      <c r="AE67" s="106"/>
      <c r="AF67" s="333">
        <f>AF62-AF28</f>
        <v>92193</v>
      </c>
      <c r="AG67" s="333">
        <f>AG62-AG28</f>
        <v>152006</v>
      </c>
      <c r="AH67" s="333">
        <f>AH62-AH28</f>
        <v>62734</v>
      </c>
      <c r="AI67" s="333">
        <f>AI62-AI28</f>
        <v>71526</v>
      </c>
      <c r="AJ67" s="333">
        <f>AJ62-AJ28</f>
        <v>89409</v>
      </c>
      <c r="AK67" s="333">
        <f>AK62-AK28</f>
        <v>120675</v>
      </c>
      <c r="AL67" s="333">
        <f>AL62-AL28</f>
        <v>100592</v>
      </c>
      <c r="AM67" s="333">
        <f>AM62-AM28</f>
        <v>148128</v>
      </c>
      <c r="AN67" s="333">
        <f>AN62-AN28</f>
        <v>164346</v>
      </c>
      <c r="AO67" s="333">
        <f>AO62-AO28</f>
        <v>203437</v>
      </c>
      <c r="AP67" s="333">
        <f>AP62-AP28</f>
        <v>64957</v>
      </c>
      <c r="AQ67" s="333">
        <f>AQ62-AQ28</f>
        <v>31837</v>
      </c>
      <c r="AR67" s="107">
        <f t="shared" si="105"/>
        <v>1301840</v>
      </c>
      <c r="AS67" s="106"/>
      <c r="AT67" s="338">
        <f t="shared" ref="AT67:BE67" si="124">AT66/AT27</f>
        <v>1.7000083470131603E-2</v>
      </c>
      <c r="AU67" s="338">
        <f t="shared" si="124"/>
        <v>-0.26792985919579565</v>
      </c>
      <c r="AV67" s="338">
        <f t="shared" si="124"/>
        <v>-6.5248272015318062E-2</v>
      </c>
      <c r="AW67" s="338">
        <f t="shared" si="124"/>
        <v>-0.19881644480138216</v>
      </c>
      <c r="AX67" s="338">
        <f t="shared" si="124"/>
        <v>2.798530764170884E-2</v>
      </c>
      <c r="AY67" s="338">
        <f t="shared" si="124"/>
        <v>-0.12395048084722922</v>
      </c>
      <c r="AZ67" s="338">
        <f t="shared" si="124"/>
        <v>8.1309864112464342E-3</v>
      </c>
      <c r="BA67" s="338">
        <f t="shared" si="124"/>
        <v>-0.32244495902957893</v>
      </c>
      <c r="BB67" s="338">
        <f t="shared" si="124"/>
        <v>-0.23949841829212068</v>
      </c>
      <c r="BC67" s="338">
        <f t="shared" si="124"/>
        <v>-0.41888939787658819</v>
      </c>
      <c r="BD67" s="338">
        <f t="shared" si="124"/>
        <v>7.8214003811977375E-3</v>
      </c>
      <c r="BE67" s="338">
        <f t="shared" si="124"/>
        <v>0.24086123043473662</v>
      </c>
      <c r="BF67" s="109">
        <f>AVERAGE(AT67:BE67)</f>
        <v>-0.11124823530991597</v>
      </c>
      <c r="BG67" s="106"/>
      <c r="BH67" s="338">
        <f t="shared" ref="BH67:BQ67" si="125">BH66/BH27</f>
        <v>-5.512821352117471E-2</v>
      </c>
      <c r="BI67" s="338">
        <f t="shared" si="125"/>
        <v>-0.12287867195499311</v>
      </c>
      <c r="BJ67" s="338">
        <f t="shared" si="125"/>
        <v>0.12581416416796784</v>
      </c>
      <c r="BK67" s="338">
        <f t="shared" si="125"/>
        <v>-0.33597769224938256</v>
      </c>
      <c r="BL67" s="338">
        <f t="shared" si="125"/>
        <v>1.0652943536044719E-3</v>
      </c>
      <c r="BM67" s="338">
        <f t="shared" si="125"/>
        <v>7.1488016002422286E-2</v>
      </c>
      <c r="BN67" s="338">
        <f t="shared" si="125"/>
        <v>1.3533646427895287E-2</v>
      </c>
      <c r="BO67" s="338">
        <f t="shared" si="125"/>
        <v>4.0944619366602007E-2</v>
      </c>
      <c r="BP67" s="338">
        <f t="shared" si="125"/>
        <v>-6.7692361075750926E-3</v>
      </c>
      <c r="BQ67" s="338">
        <f t="shared" si="125"/>
        <v>0.16757086626186191</v>
      </c>
      <c r="BR67" s="109"/>
      <c r="BS67" s="109"/>
      <c r="BT67" s="338">
        <f>BT66/BT27</f>
        <v>-7.1185036907011742E-3</v>
      </c>
      <c r="BU67" s="54"/>
      <c r="BV67" s="338"/>
      <c r="BW67" s="338"/>
      <c r="BX67" s="338"/>
      <c r="BY67" s="338"/>
      <c r="BZ67" s="109"/>
      <c r="CA67" s="109"/>
      <c r="CB67" s="109"/>
      <c r="CC67" s="109"/>
      <c r="CD67" s="109"/>
      <c r="CE67" s="109"/>
      <c r="CF67" s="109"/>
      <c r="CG67" s="109"/>
      <c r="CH67" s="109"/>
      <c r="CJ67" s="338"/>
      <c r="CK67" s="338"/>
      <c r="CL67" s="338"/>
      <c r="CM67" s="338"/>
      <c r="CN67" s="109"/>
      <c r="CO67" s="109"/>
      <c r="CP67" s="109"/>
      <c r="CQ67" s="109"/>
      <c r="CR67" s="109"/>
      <c r="CS67" s="109"/>
      <c r="CT67" s="109"/>
      <c r="CU67" s="109"/>
      <c r="CV67" s="109"/>
      <c r="CX67" s="338"/>
      <c r="CY67" s="338"/>
      <c r="CZ67" s="338"/>
      <c r="DA67" s="338"/>
      <c r="DB67" s="109"/>
      <c r="DC67" s="109"/>
      <c r="DD67" s="109"/>
      <c r="DE67" s="109"/>
      <c r="DF67" s="109"/>
      <c r="DG67" s="109"/>
      <c r="DH67" s="109"/>
      <c r="DI67" s="109"/>
      <c r="DJ67" s="109"/>
    </row>
    <row r="68" spans="1:114" ht="14.25" customHeight="1">
      <c r="A68" s="55" t="s">
        <v>86</v>
      </c>
      <c r="B68" s="56"/>
      <c r="C68" s="280"/>
      <c r="D68" s="288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289"/>
      <c r="Q68" s="39"/>
      <c r="R68" s="288"/>
      <c r="S68" s="58"/>
      <c r="T68" s="58"/>
      <c r="U68" s="58"/>
      <c r="V68" s="58"/>
      <c r="W68" s="290"/>
      <c r="X68" s="290"/>
      <c r="Y68" s="290"/>
      <c r="Z68" s="290"/>
      <c r="AA68" s="290"/>
      <c r="AB68" s="290"/>
      <c r="AC68" s="290"/>
      <c r="AD68" s="291"/>
      <c r="AE68" s="59"/>
      <c r="AF68" s="292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9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9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60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</row>
    <row r="69" spans="1:114" ht="21" customHeight="1">
      <c r="A69" s="55"/>
      <c r="B69" s="56" t="s">
        <v>87</v>
      </c>
      <c r="C69" s="280"/>
      <c r="D69" s="288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289"/>
      <c r="Q69" s="39"/>
      <c r="R69" s="288"/>
      <c r="S69" s="58"/>
      <c r="T69" s="58"/>
      <c r="U69" s="58"/>
      <c r="V69" s="58"/>
      <c r="W69" s="290"/>
      <c r="X69" s="290"/>
      <c r="Y69" s="290"/>
      <c r="Z69" s="290"/>
      <c r="AA69" s="290"/>
      <c r="AB69" s="290"/>
      <c r="AC69" s="290"/>
      <c r="AD69" s="291"/>
      <c r="AE69" s="59"/>
      <c r="AF69" s="292"/>
      <c r="AG69" s="292"/>
      <c r="AH69" s="292"/>
      <c r="AI69" s="292"/>
      <c r="AJ69" s="292"/>
      <c r="AK69" s="292"/>
      <c r="AL69" s="292"/>
      <c r="AM69" s="292"/>
      <c r="AN69" s="292"/>
      <c r="AO69" s="292"/>
      <c r="AP69" s="292"/>
      <c r="AQ69" s="292"/>
      <c r="AR69" s="58"/>
      <c r="AS69" s="59"/>
      <c r="AT69" s="292"/>
      <c r="AU69" s="292"/>
      <c r="AV69" s="292"/>
      <c r="AW69" s="292"/>
      <c r="AX69" s="292"/>
      <c r="AY69" s="292"/>
      <c r="AZ69" s="292"/>
      <c r="BA69" s="292"/>
      <c r="BB69" s="292"/>
      <c r="BC69" s="292"/>
      <c r="BD69" s="292"/>
      <c r="BE69" s="292"/>
      <c r="BF69" s="58"/>
      <c r="BG69" s="59"/>
      <c r="BH69" s="292"/>
      <c r="BI69" s="292"/>
      <c r="BJ69" s="292"/>
      <c r="BK69" s="292"/>
      <c r="BL69" s="292"/>
      <c r="BM69" s="292"/>
      <c r="BN69" s="292"/>
      <c r="BO69" s="292"/>
      <c r="BP69" s="292"/>
      <c r="BQ69" s="292"/>
      <c r="BR69" s="292"/>
      <c r="BS69" s="292"/>
      <c r="BT69" s="292"/>
      <c r="BU69" s="60"/>
      <c r="BV69" s="400">
        <v>152642</v>
      </c>
      <c r="BW69" s="400">
        <v>141495</v>
      </c>
      <c r="BX69" s="400">
        <v>158268</v>
      </c>
      <c r="BY69" s="400">
        <v>135742</v>
      </c>
      <c r="BZ69" s="400">
        <v>130614</v>
      </c>
      <c r="CA69" s="400">
        <v>97296</v>
      </c>
      <c r="CB69" s="400">
        <v>180319</v>
      </c>
      <c r="CC69" s="400">
        <v>175137</v>
      </c>
      <c r="CD69" s="400">
        <v>216035</v>
      </c>
      <c r="CE69" s="400">
        <v>188049</v>
      </c>
      <c r="CF69" s="400">
        <v>139782</v>
      </c>
      <c r="CG69" s="400">
        <v>90604</v>
      </c>
      <c r="CH69" s="412">
        <f>SUM(BV69:CG69)</f>
        <v>1805983</v>
      </c>
      <c r="CJ69" s="400" t="s">
        <v>88</v>
      </c>
      <c r="CK69" s="400">
        <f t="shared" ref="CK69:CV69" si="126">BW69</f>
        <v>141495</v>
      </c>
      <c r="CL69" s="400">
        <f t="shared" si="126"/>
        <v>158268</v>
      </c>
      <c r="CM69" s="400">
        <f t="shared" si="126"/>
        <v>135742</v>
      </c>
      <c r="CN69" s="400">
        <f t="shared" si="126"/>
        <v>130614</v>
      </c>
      <c r="CO69" s="400">
        <f t="shared" si="126"/>
        <v>97296</v>
      </c>
      <c r="CP69" s="400">
        <f t="shared" si="126"/>
        <v>180319</v>
      </c>
      <c r="CQ69" s="400">
        <f t="shared" si="126"/>
        <v>175137</v>
      </c>
      <c r="CR69" s="400">
        <f t="shared" si="126"/>
        <v>216035</v>
      </c>
      <c r="CS69" s="400">
        <f>CS70</f>
        <v>229416.92</v>
      </c>
      <c r="CT69" s="400">
        <f t="shared" ref="CT69:CU69" si="127">CT70</f>
        <v>162785.09</v>
      </c>
      <c r="CU69" s="400">
        <f t="shared" si="127"/>
        <v>103183.82</v>
      </c>
      <c r="CV69" s="400">
        <f t="shared" si="126"/>
        <v>1805983</v>
      </c>
      <c r="CX69" s="400"/>
      <c r="CY69" s="400"/>
      <c r="CZ69" s="400"/>
      <c r="DA69" s="400"/>
      <c r="DB69" s="400"/>
      <c r="DC69" s="400"/>
      <c r="DD69" s="292"/>
      <c r="DE69" s="292"/>
      <c r="DF69" s="292"/>
      <c r="DG69" s="292"/>
      <c r="DH69" s="292"/>
      <c r="DI69" s="292"/>
      <c r="DJ69" s="292"/>
    </row>
    <row r="70" spans="1:114" s="414" customFormat="1" ht="22.5" customHeight="1">
      <c r="A70" s="401"/>
      <c r="B70" s="402" t="s">
        <v>89</v>
      </c>
      <c r="C70" s="403"/>
      <c r="D70" s="404"/>
      <c r="E70" s="405"/>
      <c r="F70" s="405"/>
      <c r="G70" s="405"/>
      <c r="H70" s="405"/>
      <c r="I70" s="405"/>
      <c r="J70" s="405"/>
      <c r="K70" s="405"/>
      <c r="L70" s="405"/>
      <c r="M70" s="405"/>
      <c r="N70" s="405"/>
      <c r="O70" s="405"/>
      <c r="P70" s="406"/>
      <c r="Q70" s="407"/>
      <c r="R70" s="404"/>
      <c r="S70" s="408"/>
      <c r="T70" s="408"/>
      <c r="U70" s="408"/>
      <c r="V70" s="408"/>
      <c r="W70" s="409"/>
      <c r="X70" s="409"/>
      <c r="Y70" s="409"/>
      <c r="Z70" s="409"/>
      <c r="AA70" s="409"/>
      <c r="AB70" s="409"/>
      <c r="AC70" s="409"/>
      <c r="AD70" s="410"/>
      <c r="AE70" s="411"/>
      <c r="AF70" s="412"/>
      <c r="AG70" s="412"/>
      <c r="AH70" s="412"/>
      <c r="AI70" s="412"/>
      <c r="AJ70" s="412"/>
      <c r="AK70" s="412"/>
      <c r="AL70" s="412"/>
      <c r="AM70" s="412"/>
      <c r="AN70" s="412"/>
      <c r="AO70" s="412"/>
      <c r="AP70" s="412"/>
      <c r="AQ70" s="412"/>
      <c r="AR70" s="408"/>
      <c r="AS70" s="411"/>
      <c r="AT70" s="412"/>
      <c r="AU70" s="412"/>
      <c r="AV70" s="412"/>
      <c r="AW70" s="412"/>
      <c r="AX70" s="412"/>
      <c r="AY70" s="412"/>
      <c r="AZ70" s="412"/>
      <c r="BA70" s="412"/>
      <c r="BB70" s="412"/>
      <c r="BC70" s="412"/>
      <c r="BD70" s="412"/>
      <c r="BE70" s="412"/>
      <c r="BF70" s="408"/>
      <c r="BG70" s="411"/>
      <c r="BH70" s="412"/>
      <c r="BI70" s="412"/>
      <c r="BJ70" s="412"/>
      <c r="BK70" s="412"/>
      <c r="BL70" s="412"/>
      <c r="BM70" s="412"/>
      <c r="BN70" s="412"/>
      <c r="BO70" s="412"/>
      <c r="BP70" s="412"/>
      <c r="BQ70" s="412"/>
      <c r="BR70" s="412"/>
      <c r="BS70" s="412"/>
      <c r="BT70" s="412"/>
      <c r="BU70" s="60"/>
      <c r="BV70" s="413">
        <f>BV27</f>
        <v>161157.867486095</v>
      </c>
      <c r="BW70" s="413">
        <f>BW27</f>
        <v>155966.83045180296</v>
      </c>
      <c r="BX70" s="413">
        <f t="shared" ref="BX70:CH70" si="128">BX27</f>
        <v>196111.53846153844</v>
      </c>
      <c r="BY70" s="413">
        <f t="shared" si="128"/>
        <v>159169.23076923078</v>
      </c>
      <c r="BZ70" s="413">
        <f t="shared" si="128"/>
        <v>151482.39341785663</v>
      </c>
      <c r="CA70" s="413">
        <f t="shared" si="128"/>
        <v>141442.12910096842</v>
      </c>
      <c r="CB70" s="413">
        <f t="shared" si="128"/>
        <v>176986.21444761599</v>
      </c>
      <c r="CC70" s="413">
        <f t="shared" si="128"/>
        <v>201301.08944885107</v>
      </c>
      <c r="CD70" s="413">
        <f t="shared" si="128"/>
        <v>212833.04013559342</v>
      </c>
      <c r="CE70" s="413">
        <f t="shared" si="128"/>
        <v>215922.30386211892</v>
      </c>
      <c r="CF70" s="413">
        <f t="shared" si="128"/>
        <v>171115.84223630186</v>
      </c>
      <c r="CG70" s="413">
        <f t="shared" si="128"/>
        <v>87483.816691710366</v>
      </c>
      <c r="CH70" s="412">
        <f>SUM(BV70:CG70)</f>
        <v>2030972.2965096838</v>
      </c>
      <c r="CI70"/>
      <c r="CJ70" s="413">
        <f>CJ27</f>
        <v>181422.94</v>
      </c>
      <c r="CK70" s="413">
        <f>CK27</f>
        <v>165852.66999999998</v>
      </c>
      <c r="CL70" s="413">
        <f t="shared" ref="CL70:CW70" si="129">CL27</f>
        <v>185796.68</v>
      </c>
      <c r="CM70" s="413">
        <f t="shared" si="129"/>
        <v>160056.65999999997</v>
      </c>
      <c r="CN70" s="413">
        <f t="shared" si="129"/>
        <v>153801.95000000001</v>
      </c>
      <c r="CO70" s="413">
        <f t="shared" si="129"/>
        <v>120180.87999999999</v>
      </c>
      <c r="CP70" s="413">
        <f t="shared" si="129"/>
        <v>225720.09</v>
      </c>
      <c r="CQ70" s="413">
        <f t="shared" si="129"/>
        <v>206895.31</v>
      </c>
      <c r="CR70" s="413">
        <f t="shared" si="129"/>
        <v>256653.63999999998</v>
      </c>
      <c r="CS70" s="413">
        <f t="shared" si="129"/>
        <v>229416.92</v>
      </c>
      <c r="CT70" s="413">
        <f t="shared" si="129"/>
        <v>162785.09</v>
      </c>
      <c r="CU70" s="413">
        <f t="shared" si="129"/>
        <v>103183.82</v>
      </c>
      <c r="CV70" s="412">
        <f>SUM(CJ70:CU70)</f>
        <v>2151766.65</v>
      </c>
      <c r="CW70"/>
      <c r="CX70" s="413">
        <f>CX27</f>
        <v>190494.087</v>
      </c>
      <c r="CY70" s="413">
        <f t="shared" ref="CY70:DJ70" si="130">CY27</f>
        <v>174145.30349999998</v>
      </c>
      <c r="CZ70" s="413">
        <f t="shared" si="130"/>
        <v>195086.514</v>
      </c>
      <c r="DA70" s="413">
        <f t="shared" si="130"/>
        <v>168059.49299999999</v>
      </c>
      <c r="DB70" s="413">
        <f t="shared" si="130"/>
        <v>161492.04750000002</v>
      </c>
      <c r="DC70" s="413">
        <f t="shared" si="130"/>
        <v>126189.924</v>
      </c>
      <c r="DD70" s="413">
        <f t="shared" si="130"/>
        <v>237006.09450000001</v>
      </c>
      <c r="DE70" s="413">
        <f t="shared" si="130"/>
        <v>217240.07550000001</v>
      </c>
      <c r="DF70" s="413">
        <f t="shared" si="130"/>
        <v>269486.32199999999</v>
      </c>
      <c r="DG70" s="413">
        <f t="shared" si="130"/>
        <v>240887.76600000003</v>
      </c>
      <c r="DH70" s="413">
        <f t="shared" si="130"/>
        <v>170924.34450000001</v>
      </c>
      <c r="DI70" s="413">
        <f t="shared" si="130"/>
        <v>108343.01100000001</v>
      </c>
      <c r="DJ70" s="412">
        <f>SUM(CX70:DI70)</f>
        <v>2259354.9824999999</v>
      </c>
    </row>
    <row r="71" spans="1:114" s="594" customFormat="1" ht="15.75" customHeight="1" outlineLevel="1">
      <c r="A71" s="719">
        <v>7</v>
      </c>
      <c r="B71" s="720" t="s">
        <v>90</v>
      </c>
      <c r="C71" s="721"/>
      <c r="D71" s="722">
        <v>98048</v>
      </c>
      <c r="E71" s="723">
        <v>128688</v>
      </c>
      <c r="F71" s="723">
        <v>124704</v>
      </c>
      <c r="G71" s="723">
        <v>157500</v>
      </c>
      <c r="H71" s="723">
        <v>182600</v>
      </c>
      <c r="I71" s="723">
        <v>157700</v>
      </c>
      <c r="J71" s="723">
        <v>181700</v>
      </c>
      <c r="K71" s="723">
        <v>165900</v>
      </c>
      <c r="L71" s="723">
        <v>174300</v>
      </c>
      <c r="M71" s="723">
        <v>215800</v>
      </c>
      <c r="N71" s="723">
        <v>180000</v>
      </c>
      <c r="O71" s="723">
        <v>112500</v>
      </c>
      <c r="P71" s="724">
        <f t="shared" ref="P71:P72" si="131">SUM(D71:O71)</f>
        <v>1879440</v>
      </c>
      <c r="Q71" s="725"/>
      <c r="R71" s="722">
        <v>158400</v>
      </c>
      <c r="S71" s="726">
        <v>161000</v>
      </c>
      <c r="T71" s="726">
        <v>117800</v>
      </c>
      <c r="U71" s="726">
        <v>2000</v>
      </c>
      <c r="V71" s="726">
        <v>53800</v>
      </c>
      <c r="W71" s="726">
        <v>190600</v>
      </c>
      <c r="X71" s="726">
        <v>187900</v>
      </c>
      <c r="Y71" s="726">
        <v>196800</v>
      </c>
      <c r="Z71" s="726">
        <v>192300</v>
      </c>
      <c r="AA71" s="726">
        <v>182300</v>
      </c>
      <c r="AB71" s="726">
        <v>175000</v>
      </c>
      <c r="AC71" s="726">
        <v>134100</v>
      </c>
      <c r="AD71" s="727">
        <f>SUM(R71:AC71)</f>
        <v>1752000</v>
      </c>
      <c r="AE71" s="728"/>
      <c r="AF71" s="729">
        <f t="shared" ref="AF71:AL71" si="132">SUM(AF72,AF74)</f>
        <v>161400</v>
      </c>
      <c r="AG71" s="729">
        <f t="shared" si="132"/>
        <v>166000</v>
      </c>
      <c r="AH71" s="729">
        <f t="shared" si="132"/>
        <v>150471</v>
      </c>
      <c r="AI71" s="729">
        <f t="shared" si="132"/>
        <v>149040</v>
      </c>
      <c r="AJ71" s="729">
        <f t="shared" si="132"/>
        <v>196360</v>
      </c>
      <c r="AK71" s="729">
        <f t="shared" si="132"/>
        <v>163300</v>
      </c>
      <c r="AL71" s="729">
        <f t="shared" si="132"/>
        <v>190000</v>
      </c>
      <c r="AM71" s="729">
        <f t="shared" ref="AM71:AQ71" si="133">SUM(AM72,AM74,AM75)</f>
        <v>167000</v>
      </c>
      <c r="AN71" s="729">
        <f t="shared" si="133"/>
        <v>170500</v>
      </c>
      <c r="AO71" s="729">
        <f t="shared" si="133"/>
        <v>140000</v>
      </c>
      <c r="AP71" s="729">
        <f t="shared" si="133"/>
        <v>130000</v>
      </c>
      <c r="AQ71" s="729">
        <f t="shared" si="133"/>
        <v>100000</v>
      </c>
      <c r="AR71" s="730">
        <f t="shared" ref="AR71:AR72" si="134">SUM(AF71:AQ71)</f>
        <v>1884071</v>
      </c>
      <c r="AS71" s="728"/>
      <c r="AT71" s="729">
        <f t="shared" ref="AT71:BC71" si="135">SUM(AT72,AT74,AT75)</f>
        <v>133000</v>
      </c>
      <c r="AU71" s="729">
        <f t="shared" si="135"/>
        <v>125180</v>
      </c>
      <c r="AV71" s="729">
        <f t="shared" si="135"/>
        <v>117228</v>
      </c>
      <c r="AW71" s="729">
        <f t="shared" si="135"/>
        <v>127500</v>
      </c>
      <c r="AX71" s="729">
        <f t="shared" si="135"/>
        <v>140000</v>
      </c>
      <c r="AY71" s="729">
        <f t="shared" si="135"/>
        <v>158342.99999899999</v>
      </c>
      <c r="AZ71" s="729">
        <f t="shared" si="135"/>
        <v>152409</v>
      </c>
      <c r="BA71" s="729">
        <f t="shared" si="135"/>
        <v>173520</v>
      </c>
      <c r="BB71" s="729">
        <f t="shared" si="135"/>
        <v>165000</v>
      </c>
      <c r="BC71" s="729">
        <f t="shared" si="135"/>
        <v>157500</v>
      </c>
      <c r="BD71" s="729">
        <v>129431</v>
      </c>
      <c r="BE71" s="729">
        <v>61700</v>
      </c>
      <c r="BF71" s="726">
        <f t="shared" ref="BF71:BF72" si="136">SUM(AT71:BE71)</f>
        <v>1640810.999999</v>
      </c>
      <c r="BG71" s="728">
        <f>BF71-AR71</f>
        <v>-243260.00000100001</v>
      </c>
      <c r="BH71" s="731">
        <f>SUM(BH72,BH74,BH75)</f>
        <v>139760</v>
      </c>
      <c r="BI71" s="731">
        <f t="shared" ref="BI71:BP71" si="137">SUM(BI72,BI74,BI75)</f>
        <v>116580</v>
      </c>
      <c r="BJ71" s="731">
        <f t="shared" si="137"/>
        <v>148340</v>
      </c>
      <c r="BK71" s="731">
        <f t="shared" si="137"/>
        <v>112360</v>
      </c>
      <c r="BL71" s="731">
        <f t="shared" si="137"/>
        <v>108660</v>
      </c>
      <c r="BM71" s="731">
        <f t="shared" si="137"/>
        <v>153416</v>
      </c>
      <c r="BN71" s="731">
        <f t="shared" si="137"/>
        <v>137676</v>
      </c>
      <c r="BO71" s="731">
        <f t="shared" si="137"/>
        <v>160654</v>
      </c>
      <c r="BP71" s="731">
        <f t="shared" si="137"/>
        <v>157000</v>
      </c>
      <c r="BQ71" s="731">
        <v>156725</v>
      </c>
      <c r="BR71" s="731">
        <v>182069</v>
      </c>
      <c r="BS71" s="731">
        <f>BS72+BS75</f>
        <v>156420</v>
      </c>
      <c r="BT71" s="731">
        <f t="shared" ref="BT71:BT72" si="138">SUM(BH71:BS71)</f>
        <v>1729660</v>
      </c>
      <c r="BU71" s="732"/>
      <c r="BV71" s="599">
        <f t="shared" ref="BV71:BX71" si="139">BV7*BV73</f>
        <v>133000</v>
      </c>
      <c r="BW71" s="599">
        <f t="shared" si="139"/>
        <v>133000</v>
      </c>
      <c r="BX71" s="599">
        <f t="shared" si="139"/>
        <v>147000</v>
      </c>
      <c r="BY71" s="599">
        <f>BY7*BY73</f>
        <v>172800</v>
      </c>
      <c r="BZ71" s="599">
        <f>BZ7*BZ73</f>
        <v>165600</v>
      </c>
      <c r="CA71" s="599">
        <f>CA7*CA73</f>
        <v>158400</v>
      </c>
      <c r="CB71" s="599">
        <f>CB7*CB73</f>
        <v>180000</v>
      </c>
      <c r="CC71" s="599">
        <f t="shared" ref="CC71:CG71" si="140">CC7*CC73</f>
        <v>172800</v>
      </c>
      <c r="CD71" s="599">
        <f t="shared" si="140"/>
        <v>172800</v>
      </c>
      <c r="CE71" s="599">
        <f>CE7*CE73</f>
        <v>172800</v>
      </c>
      <c r="CF71" s="599">
        <f t="shared" si="140"/>
        <v>167200</v>
      </c>
      <c r="CG71" s="599">
        <f t="shared" si="140"/>
        <v>98800</v>
      </c>
      <c r="CH71" s="599">
        <f t="shared" ref="CH71:CH74" si="141">SUM(BV71:CG71)</f>
        <v>1874200</v>
      </c>
      <c r="CI71" s="599"/>
      <c r="CJ71" s="599">
        <f>CJ7*CJ73</f>
        <v>165000</v>
      </c>
      <c r="CK71" s="599">
        <f t="shared" ref="CK71:CT71" si="142">CK7*CK73</f>
        <v>188600</v>
      </c>
      <c r="CL71" s="599">
        <f>CL7*CL73</f>
        <v>171000</v>
      </c>
      <c r="CM71" s="599">
        <f>CM7*CM73</f>
        <v>180000</v>
      </c>
      <c r="CN71" s="599">
        <f>CN7*CN73</f>
        <v>189000</v>
      </c>
      <c r="CO71" s="599">
        <f t="shared" si="142"/>
        <v>193500</v>
      </c>
      <c r="CP71" s="599">
        <f>CP7*CP73</f>
        <v>216000</v>
      </c>
      <c r="CQ71" s="599">
        <f t="shared" si="142"/>
        <v>207000</v>
      </c>
      <c r="CR71" s="599">
        <f t="shared" si="142"/>
        <v>197800</v>
      </c>
      <c r="CS71" s="599">
        <f t="shared" si="142"/>
        <v>216200</v>
      </c>
      <c r="CT71" s="599">
        <f t="shared" si="142"/>
        <v>174800</v>
      </c>
      <c r="CU71" s="599">
        <f>CU7*CU73</f>
        <v>119600</v>
      </c>
      <c r="CV71" s="731">
        <f>SUM(CJ71:CU71)</f>
        <v>2218500</v>
      </c>
      <c r="CW71" s="599"/>
      <c r="CX71" s="599">
        <f>CX7*CX73</f>
        <v>184000</v>
      </c>
      <c r="CY71" s="599">
        <f t="shared" ref="CY71:DI71" si="143">CY7*CY73</f>
        <v>138000</v>
      </c>
      <c r="CZ71" s="599">
        <f>CZ7*CZ73</f>
        <v>174800</v>
      </c>
      <c r="DA71" s="599">
        <f>DA7*DA73</f>
        <v>184000</v>
      </c>
      <c r="DB71" s="599">
        <f t="shared" ref="DB71:DJ71" si="144">DB7*DB73</f>
        <v>193200</v>
      </c>
      <c r="DC71" s="599">
        <f t="shared" si="144"/>
        <v>184000</v>
      </c>
      <c r="DD71" s="599">
        <f>DD7*DD73</f>
        <v>211600</v>
      </c>
      <c r="DE71" s="599">
        <f t="shared" ref="DE71:DJ71" si="145">DE7*DE73</f>
        <v>193200</v>
      </c>
      <c r="DF71" s="599">
        <f t="shared" si="145"/>
        <v>184000</v>
      </c>
      <c r="DG71" s="599">
        <f t="shared" si="145"/>
        <v>211600</v>
      </c>
      <c r="DH71" s="599">
        <f t="shared" si="145"/>
        <v>174800</v>
      </c>
      <c r="DI71" s="599">
        <f>DI7*DI73</f>
        <v>119600</v>
      </c>
      <c r="DJ71" s="731">
        <f>SUM(CX71:DI71)</f>
        <v>2152800</v>
      </c>
    </row>
    <row r="72" spans="1:114" ht="15.75" outlineLevel="1">
      <c r="A72" s="94"/>
      <c r="B72" s="210" t="s">
        <v>91</v>
      </c>
      <c r="C72" s="335"/>
      <c r="D72" s="313">
        <v>98048</v>
      </c>
      <c r="E72" s="89">
        <v>128688</v>
      </c>
      <c r="F72" s="89">
        <v>124704</v>
      </c>
      <c r="G72" s="89">
        <v>157500</v>
      </c>
      <c r="H72" s="89">
        <v>182600</v>
      </c>
      <c r="I72" s="89">
        <v>157700</v>
      </c>
      <c r="J72" s="89">
        <v>181700</v>
      </c>
      <c r="K72" s="89">
        <v>165900</v>
      </c>
      <c r="L72" s="89">
        <v>174300</v>
      </c>
      <c r="M72" s="89">
        <v>215800</v>
      </c>
      <c r="N72" s="89">
        <v>180000</v>
      </c>
      <c r="O72" s="89">
        <v>112500</v>
      </c>
      <c r="P72" s="314">
        <f t="shared" si="131"/>
        <v>1879440</v>
      </c>
      <c r="Q72" s="90"/>
      <c r="R72" s="313">
        <v>158400</v>
      </c>
      <c r="S72" s="91">
        <v>146000</v>
      </c>
      <c r="T72" s="91">
        <v>102200</v>
      </c>
      <c r="U72" s="91">
        <v>0</v>
      </c>
      <c r="V72" s="91">
        <v>43800</v>
      </c>
      <c r="W72" s="91">
        <v>160600</v>
      </c>
      <c r="X72" s="91">
        <v>167900</v>
      </c>
      <c r="Y72" s="91">
        <v>153300</v>
      </c>
      <c r="Z72" s="91">
        <v>153300</v>
      </c>
      <c r="AA72" s="91">
        <v>153300</v>
      </c>
      <c r="AB72" s="91">
        <v>146000</v>
      </c>
      <c r="AC72" s="91">
        <v>124100</v>
      </c>
      <c r="AD72" s="315"/>
      <c r="AE72" s="23"/>
      <c r="AF72" s="316">
        <v>131400</v>
      </c>
      <c r="AG72" s="91">
        <v>146000</v>
      </c>
      <c r="AH72" s="91">
        <v>125511</v>
      </c>
      <c r="AI72" s="91">
        <v>135000</v>
      </c>
      <c r="AJ72" s="91">
        <v>177320</v>
      </c>
      <c r="AK72" s="91">
        <v>151300</v>
      </c>
      <c r="AL72" s="91">
        <v>176000</v>
      </c>
      <c r="AM72" s="91">
        <f>AM73*AM7</f>
        <v>154000</v>
      </c>
      <c r="AN72" s="91">
        <f>AN73*AN7</f>
        <v>157500</v>
      </c>
      <c r="AO72" s="91">
        <f>AO73*AO7</f>
        <v>140000</v>
      </c>
      <c r="AP72" s="91">
        <f>AP73*AP7</f>
        <v>130000</v>
      </c>
      <c r="AQ72" s="91">
        <f>AQ73*AQ7+16000</f>
        <v>100000</v>
      </c>
      <c r="AR72" s="92">
        <f t="shared" si="134"/>
        <v>1724031</v>
      </c>
      <c r="AS72" s="23"/>
      <c r="AT72" s="91">
        <f>AT73*AT7</f>
        <v>133000</v>
      </c>
      <c r="AU72" s="91">
        <f>125180</f>
        <v>125180</v>
      </c>
      <c r="AV72" s="91">
        <f>AV73*AV7+7428</f>
        <v>117228</v>
      </c>
      <c r="AW72" s="91">
        <f>AW73*AW7</f>
        <v>123500</v>
      </c>
      <c r="AX72" s="91">
        <f>AX73*AX7</f>
        <v>132000</v>
      </c>
      <c r="AY72" s="91">
        <f>AY73*AY7</f>
        <v>153342.99999899999</v>
      </c>
      <c r="AZ72" s="91">
        <v>142409</v>
      </c>
      <c r="BA72" s="91">
        <v>163520</v>
      </c>
      <c r="BB72" s="91">
        <f>BB73*BB7</f>
        <v>165000</v>
      </c>
      <c r="BC72" s="91">
        <f>BC73*BC7</f>
        <v>157500</v>
      </c>
      <c r="BD72" s="316">
        <v>129431</v>
      </c>
      <c r="BE72" s="316">
        <v>61700</v>
      </c>
      <c r="BF72" s="91">
        <f t="shared" si="136"/>
        <v>1603810.999999</v>
      </c>
      <c r="BG72" s="27">
        <f>BF72+BF75-AR72-AR75</f>
        <v>-113040.00000100001</v>
      </c>
      <c r="BH72" s="91">
        <v>136760</v>
      </c>
      <c r="BI72" s="91">
        <v>116580</v>
      </c>
      <c r="BJ72" s="91">
        <v>148340</v>
      </c>
      <c r="BK72" s="91">
        <v>112360</v>
      </c>
      <c r="BL72" s="91">
        <v>108660</v>
      </c>
      <c r="BM72" s="91">
        <v>153416</v>
      </c>
      <c r="BN72" s="91">
        <v>137676</v>
      </c>
      <c r="BO72" s="91">
        <v>150654</v>
      </c>
      <c r="BP72" s="91">
        <f>7100*BP7</f>
        <v>142000</v>
      </c>
      <c r="BQ72" s="91">
        <f t="shared" ref="BQ72:BR72" si="146">BQ71-BQ75</f>
        <v>136725</v>
      </c>
      <c r="BR72" s="91">
        <f t="shared" si="146"/>
        <v>167069</v>
      </c>
      <c r="BS72" s="91">
        <v>124020</v>
      </c>
      <c r="BT72" s="91">
        <f t="shared" si="138"/>
        <v>1634260</v>
      </c>
      <c r="BU72" s="28"/>
      <c r="BV72" s="397">
        <f>BV73*BV74-24551</f>
        <v>108449</v>
      </c>
      <c r="BW72" s="397">
        <f>BW73*BW74</f>
        <v>133000</v>
      </c>
      <c r="BX72" s="397">
        <f t="shared" ref="BX72:CG72" si="147">BX73*BX74</f>
        <v>147000</v>
      </c>
      <c r="BY72" s="397">
        <f>BY73*BY74</f>
        <v>172800</v>
      </c>
      <c r="BZ72" s="397">
        <f>BZ73*BZ74</f>
        <v>165600</v>
      </c>
      <c r="CA72" s="397">
        <f>CA73*CA74</f>
        <v>158400</v>
      </c>
      <c r="CB72" s="397">
        <f>CB73*CB74</f>
        <v>180000</v>
      </c>
      <c r="CC72" s="397">
        <f t="shared" si="147"/>
        <v>172800</v>
      </c>
      <c r="CD72" s="397">
        <f t="shared" si="147"/>
        <v>172800</v>
      </c>
      <c r="CE72" s="397">
        <f t="shared" si="147"/>
        <v>172800</v>
      </c>
      <c r="CF72" s="397">
        <f t="shared" si="147"/>
        <v>167200</v>
      </c>
      <c r="CG72" s="397">
        <f t="shared" si="147"/>
        <v>98800</v>
      </c>
      <c r="CH72" s="91">
        <f t="shared" si="141"/>
        <v>1849649</v>
      </c>
      <c r="CI72" s="395">
        <f>(CH72-BT78)/BT78</f>
        <v>0.29391868731173409</v>
      </c>
      <c r="CJ72" s="397">
        <f>CJ71</f>
        <v>165000</v>
      </c>
      <c r="CK72" s="397">
        <f t="shared" ref="CK72:CO72" si="148">CK71</f>
        <v>188600</v>
      </c>
      <c r="CL72" s="397">
        <f t="shared" si="148"/>
        <v>171000</v>
      </c>
      <c r="CM72" s="397">
        <f t="shared" si="148"/>
        <v>180000</v>
      </c>
      <c r="CN72" s="397">
        <f t="shared" si="148"/>
        <v>189000</v>
      </c>
      <c r="CO72" s="397">
        <f t="shared" si="148"/>
        <v>193500</v>
      </c>
      <c r="CP72" s="397">
        <v>168760</v>
      </c>
      <c r="CQ72" s="397">
        <v>194340</v>
      </c>
      <c r="CR72" s="397">
        <v>208000</v>
      </c>
      <c r="CS72" s="397">
        <v>201780</v>
      </c>
      <c r="CT72" s="397">
        <v>154060</v>
      </c>
      <c r="CU72" s="397">
        <v>96720</v>
      </c>
      <c r="CV72" s="91">
        <v>1949109</v>
      </c>
      <c r="CW72" s="395">
        <f>(CV72-CH78)/CH78</f>
        <v>0.11040221771781523</v>
      </c>
      <c r="CX72" s="397">
        <f>CX71</f>
        <v>184000</v>
      </c>
      <c r="CY72" s="397">
        <f t="shared" ref="CY72:DC72" si="149">CY71</f>
        <v>138000</v>
      </c>
      <c r="CZ72" s="397">
        <f t="shared" si="149"/>
        <v>174800</v>
      </c>
      <c r="DA72" s="397">
        <f t="shared" si="149"/>
        <v>184000</v>
      </c>
      <c r="DB72" s="397">
        <f t="shared" si="149"/>
        <v>193200</v>
      </c>
      <c r="DC72" s="397">
        <f t="shared" si="149"/>
        <v>184000</v>
      </c>
      <c r="DD72" s="397">
        <v>168760</v>
      </c>
      <c r="DE72" s="397">
        <v>194340</v>
      </c>
      <c r="DF72" s="397">
        <v>208000</v>
      </c>
      <c r="DG72" s="397">
        <v>201780</v>
      </c>
      <c r="DH72" s="397">
        <v>154060</v>
      </c>
      <c r="DI72" s="397">
        <v>96720</v>
      </c>
      <c r="DJ72" s="91">
        <v>1949109</v>
      </c>
    </row>
    <row r="73" spans="1:114" ht="15.75" customHeight="1" outlineLevel="1">
      <c r="A73" s="94"/>
      <c r="B73" s="210" t="s">
        <v>92</v>
      </c>
      <c r="C73" s="335"/>
      <c r="D73" s="313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314"/>
      <c r="Q73" s="90"/>
      <c r="R73" s="316">
        <f t="shared" ref="R73:AC73" si="150">R72/R7</f>
        <v>7200</v>
      </c>
      <c r="S73" s="316">
        <f t="shared" si="150"/>
        <v>7300</v>
      </c>
      <c r="T73" s="316">
        <f t="shared" si="150"/>
        <v>7300</v>
      </c>
      <c r="U73" s="316">
        <f t="shared" si="150"/>
        <v>0</v>
      </c>
      <c r="V73" s="316">
        <f t="shared" si="150"/>
        <v>3650</v>
      </c>
      <c r="W73" s="316">
        <f t="shared" si="150"/>
        <v>7300</v>
      </c>
      <c r="X73" s="316">
        <f t="shared" si="150"/>
        <v>7300</v>
      </c>
      <c r="Y73" s="316">
        <f t="shared" si="150"/>
        <v>7300</v>
      </c>
      <c r="Z73" s="316">
        <f t="shared" si="150"/>
        <v>7300</v>
      </c>
      <c r="AA73" s="316">
        <f t="shared" si="150"/>
        <v>7300</v>
      </c>
      <c r="AB73" s="316">
        <f t="shared" si="150"/>
        <v>7300</v>
      </c>
      <c r="AC73" s="316">
        <f t="shared" si="150"/>
        <v>7300</v>
      </c>
      <c r="AD73" s="315"/>
      <c r="AE73" s="23"/>
      <c r="AF73" s="316">
        <f t="shared" ref="AF73:AL73" si="151">AF72/AF7</f>
        <v>7300</v>
      </c>
      <c r="AG73" s="316">
        <f t="shared" si="151"/>
        <v>7300</v>
      </c>
      <c r="AH73" s="316">
        <f t="shared" si="151"/>
        <v>6275.55</v>
      </c>
      <c r="AI73" s="316">
        <f t="shared" si="151"/>
        <v>6750</v>
      </c>
      <c r="AJ73" s="316">
        <f t="shared" si="151"/>
        <v>8060</v>
      </c>
      <c r="AK73" s="316">
        <f t="shared" si="151"/>
        <v>7565</v>
      </c>
      <c r="AL73" s="316">
        <f t="shared" si="151"/>
        <v>8000</v>
      </c>
      <c r="AM73" s="91">
        <v>7000</v>
      </c>
      <c r="AN73" s="91">
        <v>7500</v>
      </c>
      <c r="AO73" s="91">
        <v>7000</v>
      </c>
      <c r="AP73" s="91">
        <v>6500</v>
      </c>
      <c r="AQ73" s="91">
        <v>7000</v>
      </c>
      <c r="AR73" s="92">
        <f>AVERAGE(AF73:AQ73)</f>
        <v>7187.5458333333336</v>
      </c>
      <c r="AS73" s="23"/>
      <c r="AT73" s="91">
        <v>7000</v>
      </c>
      <c r="AU73" s="91">
        <f>AU72/AU7</f>
        <v>6588.4210526315792</v>
      </c>
      <c r="AV73" s="91">
        <v>6100</v>
      </c>
      <c r="AW73" s="91">
        <v>6500</v>
      </c>
      <c r="AX73" s="91">
        <v>6000</v>
      </c>
      <c r="AY73" s="91">
        <v>7302.0476189999999</v>
      </c>
      <c r="AZ73" s="91">
        <v>7000</v>
      </c>
      <c r="BA73" s="91">
        <f>BA72/BA7</f>
        <v>7432.727272727273</v>
      </c>
      <c r="BB73" s="91">
        <v>7500</v>
      </c>
      <c r="BC73" s="91">
        <v>7500</v>
      </c>
      <c r="BD73" s="91">
        <f>BD72/BD7</f>
        <v>6471.55</v>
      </c>
      <c r="BE73" s="91">
        <f>BE72/BE7</f>
        <v>6170</v>
      </c>
      <c r="BF73" s="91">
        <f>AVERAGE(AT73:BE73)</f>
        <v>6797.0621620299053</v>
      </c>
      <c r="BG73" s="27"/>
      <c r="BH73" s="91">
        <f t="shared" ref="BH73:BS73" si="152">BH72/BH7</f>
        <v>6838</v>
      </c>
      <c r="BI73" s="91">
        <f t="shared" si="152"/>
        <v>6857.6470588235297</v>
      </c>
      <c r="BJ73" s="91">
        <f t="shared" si="152"/>
        <v>6449.565217391304</v>
      </c>
      <c r="BK73" s="91">
        <f t="shared" si="152"/>
        <v>6242.2222222222226</v>
      </c>
      <c r="BL73" s="91">
        <f t="shared" si="152"/>
        <v>4939.090909090909</v>
      </c>
      <c r="BM73" s="91">
        <f t="shared" si="152"/>
        <v>6670.260869565217</v>
      </c>
      <c r="BN73" s="91">
        <f t="shared" si="152"/>
        <v>6556</v>
      </c>
      <c r="BO73" s="91">
        <f t="shared" si="152"/>
        <v>7174</v>
      </c>
      <c r="BP73" s="91">
        <f t="shared" si="152"/>
        <v>7100</v>
      </c>
      <c r="BQ73" s="91">
        <f t="shared" si="152"/>
        <v>6510.7142857142853</v>
      </c>
      <c r="BR73" s="91">
        <f t="shared" si="152"/>
        <v>8353.4500000000007</v>
      </c>
      <c r="BS73" s="91">
        <f t="shared" si="152"/>
        <v>8858.5714285714294</v>
      </c>
      <c r="BT73" s="91">
        <f>AVERAGE(BH73:BS73)</f>
        <v>6879.1268326149084</v>
      </c>
      <c r="BU73" s="28"/>
      <c r="BV73" s="91">
        <v>7000</v>
      </c>
      <c r="BW73" s="91">
        <v>7000</v>
      </c>
      <c r="BX73" s="91">
        <v>7000</v>
      </c>
      <c r="BY73" s="91">
        <v>7200</v>
      </c>
      <c r="BZ73" s="91">
        <v>7200</v>
      </c>
      <c r="CA73" s="91">
        <v>7200</v>
      </c>
      <c r="CB73" s="91">
        <v>7200</v>
      </c>
      <c r="CC73" s="91">
        <f t="shared" ref="CC73" si="153">CB73</f>
        <v>7200</v>
      </c>
      <c r="CD73" s="91">
        <v>7200</v>
      </c>
      <c r="CE73" s="91">
        <v>7200</v>
      </c>
      <c r="CF73" s="91">
        <v>7600</v>
      </c>
      <c r="CG73" s="91">
        <v>7600</v>
      </c>
      <c r="CH73" s="91"/>
      <c r="CI73" s="596"/>
      <c r="CJ73" s="91">
        <v>7500</v>
      </c>
      <c r="CK73" s="91">
        <v>8200</v>
      </c>
      <c r="CL73" s="91">
        <v>9000</v>
      </c>
      <c r="CM73" s="91">
        <v>9000</v>
      </c>
      <c r="CN73" s="91">
        <v>9000</v>
      </c>
      <c r="CO73" s="91">
        <v>9000</v>
      </c>
      <c r="CP73" s="91">
        <v>9000</v>
      </c>
      <c r="CQ73" s="91">
        <v>9200</v>
      </c>
      <c r="CR73" s="91">
        <f t="shared" ref="CR73:CU73" si="154">CQ73</f>
        <v>9200</v>
      </c>
      <c r="CS73" s="91">
        <f t="shared" si="154"/>
        <v>9200</v>
      </c>
      <c r="CT73" s="91">
        <f t="shared" si="154"/>
        <v>9200</v>
      </c>
      <c r="CU73" s="91">
        <f t="shared" si="154"/>
        <v>9200</v>
      </c>
      <c r="CV73" s="91"/>
      <c r="CW73" s="596"/>
      <c r="CX73" s="91">
        <f>CU73</f>
        <v>9200</v>
      </c>
      <c r="CY73" s="91">
        <f>CX73</f>
        <v>9200</v>
      </c>
      <c r="CZ73" s="91">
        <f t="shared" ref="CZ73:DI73" si="155">CY73</f>
        <v>9200</v>
      </c>
      <c r="DA73" s="91">
        <f t="shared" si="155"/>
        <v>9200</v>
      </c>
      <c r="DB73" s="91">
        <f t="shared" si="155"/>
        <v>9200</v>
      </c>
      <c r="DC73" s="91">
        <f t="shared" si="155"/>
        <v>9200</v>
      </c>
      <c r="DD73" s="91">
        <f t="shared" si="155"/>
        <v>9200</v>
      </c>
      <c r="DE73" s="91">
        <f t="shared" si="155"/>
        <v>9200</v>
      </c>
      <c r="DF73" s="91">
        <f t="shared" si="155"/>
        <v>9200</v>
      </c>
      <c r="DG73" s="91">
        <f t="shared" si="155"/>
        <v>9200</v>
      </c>
      <c r="DH73" s="91">
        <f t="shared" si="155"/>
        <v>9200</v>
      </c>
      <c r="DI73" s="91">
        <f t="shared" si="155"/>
        <v>9200</v>
      </c>
      <c r="DJ73" s="91"/>
    </row>
    <row r="74" spans="1:114" ht="15.75" customHeight="1" outlineLevel="1">
      <c r="A74" s="94"/>
      <c r="B74" s="210" t="s">
        <v>93</v>
      </c>
      <c r="C74" s="335"/>
      <c r="D74" s="313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314"/>
      <c r="Q74" s="90"/>
      <c r="R74" s="313"/>
      <c r="S74" s="91">
        <v>15000</v>
      </c>
      <c r="T74" s="91">
        <v>15600</v>
      </c>
      <c r="U74" s="91">
        <v>2000</v>
      </c>
      <c r="V74" s="91">
        <v>10000</v>
      </c>
      <c r="W74" s="91">
        <v>30000</v>
      </c>
      <c r="X74" s="91">
        <v>20000</v>
      </c>
      <c r="Y74" s="91">
        <v>30000</v>
      </c>
      <c r="Z74" s="91">
        <v>30000</v>
      </c>
      <c r="AA74" s="91">
        <v>20000</v>
      </c>
      <c r="AB74" s="91">
        <v>20000</v>
      </c>
      <c r="AC74" s="91">
        <v>10000</v>
      </c>
      <c r="AD74" s="315"/>
      <c r="AE74" s="23"/>
      <c r="AF74" s="316">
        <v>30000</v>
      </c>
      <c r="AG74" s="91">
        <v>20000</v>
      </c>
      <c r="AH74" s="91">
        <v>24960</v>
      </c>
      <c r="AI74" s="91">
        <v>14040</v>
      </c>
      <c r="AJ74" s="91">
        <v>19040</v>
      </c>
      <c r="AK74" s="91">
        <v>12000</v>
      </c>
      <c r="AL74" s="91">
        <v>14000</v>
      </c>
      <c r="AM74" s="91">
        <v>13000</v>
      </c>
      <c r="AN74" s="91">
        <v>13000</v>
      </c>
      <c r="AO74" s="91">
        <v>0</v>
      </c>
      <c r="AP74" s="91">
        <v>0</v>
      </c>
      <c r="AQ74" s="91">
        <v>0</v>
      </c>
      <c r="AR74" s="92">
        <f t="shared" ref="AR74:AR75" si="156">SUM(AF74:AQ74)</f>
        <v>160040</v>
      </c>
      <c r="AS74" s="23"/>
      <c r="AT74" s="91">
        <v>0</v>
      </c>
      <c r="AU74" s="91">
        <v>0</v>
      </c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>
        <f t="shared" ref="BF74:BF75" si="157">SUM(AT74:BE74)</f>
        <v>0</v>
      </c>
      <c r="BG74" s="27">
        <f>BF74-AR74</f>
        <v>-160040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>
        <f t="shared" ref="BT74" si="158">SUM(BH74:BS74)</f>
        <v>0</v>
      </c>
      <c r="BU74" s="28"/>
      <c r="BV74" s="399">
        <f t="shared" ref="BV74:BZ74" si="159">BV7</f>
        <v>19</v>
      </c>
      <c r="BW74" s="399">
        <f t="shared" si="159"/>
        <v>19</v>
      </c>
      <c r="BX74" s="399">
        <f t="shared" si="159"/>
        <v>21</v>
      </c>
      <c r="BY74" s="399">
        <f t="shared" si="159"/>
        <v>24</v>
      </c>
      <c r="BZ74" s="399">
        <f t="shared" si="159"/>
        <v>23</v>
      </c>
      <c r="CA74" s="399">
        <f>CA7</f>
        <v>22</v>
      </c>
      <c r="CB74" s="399">
        <f t="shared" ref="CB74:CG74" si="160">CB7</f>
        <v>25</v>
      </c>
      <c r="CC74" s="399">
        <f t="shared" si="160"/>
        <v>24</v>
      </c>
      <c r="CD74" s="399">
        <f t="shared" si="160"/>
        <v>24</v>
      </c>
      <c r="CE74" s="399">
        <f t="shared" si="160"/>
        <v>24</v>
      </c>
      <c r="CF74" s="399">
        <f t="shared" si="160"/>
        <v>22</v>
      </c>
      <c r="CG74" s="399">
        <f t="shared" si="160"/>
        <v>13</v>
      </c>
      <c r="CH74" s="91">
        <f t="shared" ref="CH74" si="161">SUM(BV74:CG74)</f>
        <v>260</v>
      </c>
      <c r="CJ74" s="597">
        <f>CJ7</f>
        <v>22</v>
      </c>
      <c r="CK74" s="597">
        <f t="shared" ref="CK74:CO74" si="162">CK7</f>
        <v>23</v>
      </c>
      <c r="CL74" s="597">
        <f t="shared" si="162"/>
        <v>19</v>
      </c>
      <c r="CM74" s="597">
        <f t="shared" si="162"/>
        <v>20</v>
      </c>
      <c r="CN74" s="597">
        <f t="shared" si="162"/>
        <v>21</v>
      </c>
      <c r="CO74" s="597">
        <f t="shared" si="162"/>
        <v>21.5</v>
      </c>
      <c r="CP74" s="91"/>
      <c r="CQ74" s="91"/>
      <c r="CR74" s="91"/>
      <c r="CS74" s="91"/>
      <c r="CT74" s="91"/>
      <c r="CU74" s="91"/>
      <c r="CV74" s="91">
        <v>131</v>
      </c>
      <c r="CX74" s="597">
        <f>CX7</f>
        <v>20</v>
      </c>
      <c r="CY74" s="597">
        <f t="shared" ref="CY74:DC74" si="163">CY7</f>
        <v>15</v>
      </c>
      <c r="CZ74" s="597">
        <f t="shared" si="163"/>
        <v>19</v>
      </c>
      <c r="DA74" s="597">
        <f t="shared" si="163"/>
        <v>20</v>
      </c>
      <c r="DB74" s="597">
        <f t="shared" si="163"/>
        <v>21</v>
      </c>
      <c r="DC74" s="597">
        <f t="shared" si="163"/>
        <v>20</v>
      </c>
      <c r="DD74" s="91"/>
      <c r="DE74" s="91"/>
      <c r="DF74" s="91"/>
      <c r="DG74" s="91"/>
      <c r="DH74" s="91"/>
      <c r="DI74" s="91"/>
      <c r="DJ74" s="91">
        <v>131</v>
      </c>
    </row>
    <row r="75" spans="1:114" ht="15.75" customHeight="1" outlineLevel="1">
      <c r="A75" s="94"/>
      <c r="B75" s="210" t="s">
        <v>94</v>
      </c>
      <c r="C75" s="335"/>
      <c r="D75" s="313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314"/>
      <c r="Q75" s="90"/>
      <c r="R75" s="313"/>
      <c r="S75" s="91"/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13500</v>
      </c>
      <c r="Z75" s="91">
        <v>9000</v>
      </c>
      <c r="AA75" s="91">
        <v>9000</v>
      </c>
      <c r="AB75" s="91">
        <v>9000</v>
      </c>
      <c r="AC75" s="91">
        <v>0</v>
      </c>
      <c r="AD75" s="315"/>
      <c r="AE75" s="23"/>
      <c r="AF75" s="91">
        <v>13500</v>
      </c>
      <c r="AG75" s="91">
        <v>13500</v>
      </c>
      <c r="AH75" s="91">
        <v>2820</v>
      </c>
      <c r="AI75" s="91">
        <v>0</v>
      </c>
      <c r="AJ75" s="91">
        <v>0</v>
      </c>
      <c r="AK75" s="91">
        <v>0</v>
      </c>
      <c r="AL75" s="91">
        <v>0</v>
      </c>
      <c r="AM75" s="91"/>
      <c r="AN75" s="91"/>
      <c r="AO75" s="91"/>
      <c r="AP75" s="91"/>
      <c r="AQ75" s="91"/>
      <c r="AR75" s="92">
        <f t="shared" si="156"/>
        <v>29820</v>
      </c>
      <c r="AS75" s="23"/>
      <c r="AT75" s="91"/>
      <c r="AU75" s="91"/>
      <c r="AV75" s="91"/>
      <c r="AW75" s="91">
        <v>4000</v>
      </c>
      <c r="AX75" s="91">
        <v>8000</v>
      </c>
      <c r="AY75" s="91">
        <v>5000</v>
      </c>
      <c r="AZ75" s="91">
        <v>10000</v>
      </c>
      <c r="BA75" s="91">
        <v>10000</v>
      </c>
      <c r="BB75" s="91">
        <v>0</v>
      </c>
      <c r="BC75" s="91">
        <v>0</v>
      </c>
      <c r="BD75" s="91">
        <v>0</v>
      </c>
      <c r="BE75" s="91"/>
      <c r="BF75" s="91">
        <f t="shared" si="157"/>
        <v>37000</v>
      </c>
      <c r="BG75" s="27"/>
      <c r="BH75" s="91">
        <v>3000</v>
      </c>
      <c r="BI75" s="91"/>
      <c r="BJ75" s="91"/>
      <c r="BK75" s="91"/>
      <c r="BL75" s="91"/>
      <c r="BM75" s="91"/>
      <c r="BN75" s="91"/>
      <c r="BO75" s="91">
        <v>10000</v>
      </c>
      <c r="BP75" s="91">
        <v>15000</v>
      </c>
      <c r="BQ75" s="91">
        <v>20000</v>
      </c>
      <c r="BR75" s="91">
        <v>15000</v>
      </c>
      <c r="BS75" s="91">
        <f>7200*9/2</f>
        <v>32400</v>
      </c>
      <c r="BT75" s="91">
        <f>SUM(BH75:BS75)</f>
        <v>95400</v>
      </c>
      <c r="BU75" s="28"/>
      <c r="BV75" s="91">
        <f>BV78-BV71</f>
        <v>21584</v>
      </c>
      <c r="BW75" s="91">
        <f t="shared" ref="BW75:CG75" si="164">BW78-BW71</f>
        <v>18963</v>
      </c>
      <c r="BX75" s="91">
        <f t="shared" si="164"/>
        <v>-2354</v>
      </c>
      <c r="BY75" s="91">
        <f t="shared" si="164"/>
        <v>5998</v>
      </c>
      <c r="BZ75" s="91">
        <f t="shared" si="164"/>
        <v>-13737</v>
      </c>
      <c r="CA75" s="91">
        <f t="shared" si="164"/>
        <v>-6090</v>
      </c>
      <c r="CB75" s="91">
        <f t="shared" si="164"/>
        <v>-2176</v>
      </c>
      <c r="CC75" s="91">
        <f t="shared" si="164"/>
        <v>-17344</v>
      </c>
      <c r="CD75" s="91">
        <f t="shared" si="164"/>
        <v>-13369</v>
      </c>
      <c r="CE75" s="91">
        <f t="shared" si="164"/>
        <v>793</v>
      </c>
      <c r="CF75" s="91">
        <f t="shared" si="164"/>
        <v>-12350</v>
      </c>
      <c r="CG75" s="91">
        <f t="shared" si="164"/>
        <v>-98800</v>
      </c>
      <c r="CH75" s="92">
        <f>SUM(CD75:CG75)</f>
        <v>-123726</v>
      </c>
      <c r="CJ75" s="91">
        <f>BV78</f>
        <v>154584</v>
      </c>
      <c r="CK75" s="91">
        <f t="shared" ref="CK75:CO75" si="165">BW78</f>
        <v>151963</v>
      </c>
      <c r="CL75" s="91">
        <f>BX78</f>
        <v>144646</v>
      </c>
      <c r="CM75" s="91">
        <f t="shared" si="165"/>
        <v>178798</v>
      </c>
      <c r="CN75" s="91">
        <f t="shared" si="165"/>
        <v>151863</v>
      </c>
      <c r="CO75" s="91">
        <f t="shared" si="165"/>
        <v>152310</v>
      </c>
      <c r="CP75" s="91"/>
      <c r="CQ75" s="91"/>
      <c r="CR75" s="91"/>
      <c r="CS75" s="91"/>
      <c r="CT75" s="91"/>
      <c r="CU75" s="91"/>
      <c r="CV75" s="91">
        <v>127800</v>
      </c>
      <c r="CX75" s="91">
        <f>CJ78</f>
        <v>0</v>
      </c>
      <c r="CY75" s="91">
        <f t="shared" ref="CY75:DC75" si="166">CK78</f>
        <v>0</v>
      </c>
      <c r="CZ75" s="91">
        <f t="shared" si="166"/>
        <v>175111</v>
      </c>
      <c r="DA75" s="91">
        <f t="shared" si="166"/>
        <v>0</v>
      </c>
      <c r="DB75" s="91">
        <f t="shared" si="166"/>
        <v>0</v>
      </c>
      <c r="DC75" s="91">
        <f t="shared" si="166"/>
        <v>0</v>
      </c>
      <c r="DD75" s="91"/>
      <c r="DE75" s="91"/>
      <c r="DF75" s="91"/>
      <c r="DG75" s="91"/>
      <c r="DH75" s="91"/>
      <c r="DI75" s="91"/>
      <c r="DJ75" s="91">
        <v>127800</v>
      </c>
    </row>
    <row r="76" spans="1:114" ht="15.75" customHeight="1" outlineLevel="1">
      <c r="A76" s="94"/>
      <c r="B76" s="210" t="s">
        <v>95</v>
      </c>
      <c r="C76" s="335"/>
      <c r="D76" s="313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314"/>
      <c r="Q76" s="90"/>
      <c r="R76" s="313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315"/>
      <c r="AE76" s="23"/>
      <c r="AF76" s="91"/>
      <c r="AG76" s="91"/>
      <c r="AH76" s="91"/>
      <c r="AI76" s="91"/>
      <c r="AJ76" s="91"/>
      <c r="AK76" s="91"/>
      <c r="AL76" s="91"/>
      <c r="AM76" s="91"/>
      <c r="AN76" s="91"/>
      <c r="AO76" s="91">
        <f t="shared" ref="AO76:AQ76" si="167">AO71*9.68</f>
        <v>1355200</v>
      </c>
      <c r="AP76" s="91">
        <f t="shared" si="167"/>
        <v>1258400</v>
      </c>
      <c r="AQ76" s="91">
        <f t="shared" si="167"/>
        <v>968000</v>
      </c>
      <c r="AR76" s="92"/>
      <c r="AS76" s="23"/>
      <c r="AT76" s="91">
        <f t="shared" ref="AT76:BF76" si="168">AT71*9.68</f>
        <v>1287440</v>
      </c>
      <c r="AU76" s="91">
        <f t="shared" si="168"/>
        <v>1211742.3999999999</v>
      </c>
      <c r="AV76" s="91">
        <f t="shared" si="168"/>
        <v>1134767.04</v>
      </c>
      <c r="AW76" s="91">
        <f t="shared" si="168"/>
        <v>1234200</v>
      </c>
      <c r="AX76" s="91">
        <f t="shared" si="168"/>
        <v>1355200</v>
      </c>
      <c r="AY76" s="91">
        <f t="shared" si="168"/>
        <v>1532760.2399903198</v>
      </c>
      <c r="AZ76" s="91">
        <f t="shared" si="168"/>
        <v>1475319.1199999999</v>
      </c>
      <c r="BA76" s="91">
        <f t="shared" si="168"/>
        <v>1679673.5999999999</v>
      </c>
      <c r="BB76" s="91">
        <f t="shared" si="168"/>
        <v>1597200</v>
      </c>
      <c r="BC76" s="91">
        <f t="shared" si="168"/>
        <v>1524600</v>
      </c>
      <c r="BD76" s="91">
        <f t="shared" si="168"/>
        <v>1252892.08</v>
      </c>
      <c r="BE76" s="91">
        <f t="shared" si="168"/>
        <v>597256</v>
      </c>
      <c r="BF76" s="91">
        <f t="shared" si="168"/>
        <v>15883050.47999032</v>
      </c>
      <c r="BG76" s="27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28"/>
      <c r="BV76" s="91"/>
      <c r="BW76" s="91"/>
      <c r="BX76" s="91"/>
      <c r="BY76" s="91"/>
      <c r="BZ76" s="91"/>
      <c r="CA76" s="91"/>
      <c r="CB76" s="91"/>
      <c r="CC76" s="91"/>
      <c r="CD76" s="91" t="s">
        <v>96</v>
      </c>
      <c r="CE76" s="91"/>
      <c r="CF76" s="601" t="s">
        <v>97</v>
      </c>
      <c r="CG76" s="91"/>
      <c r="CH76" s="91"/>
      <c r="CJ76" s="91"/>
      <c r="CK76" s="91"/>
      <c r="CL76" s="91"/>
      <c r="CM76" s="91">
        <v>61884.012959999985</v>
      </c>
      <c r="CN76" s="91">
        <f>CM76</f>
        <v>61884.012959999985</v>
      </c>
      <c r="CO76" s="91">
        <f t="shared" ref="CO76:CU76" si="169">CN76</f>
        <v>61884.012959999985</v>
      </c>
      <c r="CP76" s="91">
        <f t="shared" si="169"/>
        <v>61884.012959999985</v>
      </c>
      <c r="CQ76" s="91">
        <f t="shared" si="169"/>
        <v>61884.012959999985</v>
      </c>
      <c r="CR76" s="91">
        <f t="shared" si="169"/>
        <v>61884.012959999985</v>
      </c>
      <c r="CS76" s="91">
        <f t="shared" si="169"/>
        <v>61884.012959999985</v>
      </c>
      <c r="CT76" s="91">
        <f t="shared" si="169"/>
        <v>61884.012959999985</v>
      </c>
      <c r="CU76" s="91">
        <f t="shared" si="169"/>
        <v>61884.012959999985</v>
      </c>
      <c r="CV76" s="91"/>
      <c r="CX76" s="91"/>
      <c r="CY76" s="91"/>
      <c r="CZ76" s="91"/>
      <c r="DA76" s="91"/>
      <c r="DB76" s="91"/>
      <c r="DC76" s="91"/>
      <c r="DD76" s="91"/>
      <c r="DE76" s="91"/>
      <c r="DF76" s="91"/>
      <c r="DG76" s="91"/>
      <c r="DH76" s="91"/>
      <c r="DI76" s="91"/>
      <c r="DJ76" s="91"/>
    </row>
    <row r="77" spans="1:114" ht="15.75" customHeight="1" outlineLevel="1">
      <c r="A77" s="94"/>
      <c r="B77" s="210" t="s">
        <v>98</v>
      </c>
      <c r="C77" s="335"/>
      <c r="D77" s="313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314"/>
      <c r="Q77" s="90"/>
      <c r="R77" s="313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315"/>
      <c r="AE77" s="23"/>
      <c r="AF77" s="316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2"/>
      <c r="AS77" s="23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27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28"/>
      <c r="BV77" s="91"/>
      <c r="BW77" s="91"/>
      <c r="BX77" s="91"/>
      <c r="BY77" s="91"/>
      <c r="BZ77" s="91"/>
      <c r="CA77" s="91"/>
      <c r="CB77" s="91"/>
      <c r="CC77" s="91"/>
      <c r="CD77" s="91"/>
      <c r="CE77" s="91"/>
      <c r="CF77" s="601"/>
      <c r="CG77" s="91"/>
      <c r="CH77" s="91"/>
      <c r="CJ77" s="91"/>
      <c r="CK77" s="91"/>
      <c r="CL77" s="91"/>
      <c r="CM77" s="91">
        <f>CM76*CM7</f>
        <v>1237680.2591999997</v>
      </c>
      <c r="CN77" s="91">
        <f t="shared" ref="CN77:CU77" si="170">CN76*CN7</f>
        <v>1299564.2721599997</v>
      </c>
      <c r="CO77" s="91">
        <f t="shared" si="170"/>
        <v>1330506.2786399997</v>
      </c>
      <c r="CP77" s="91">
        <f t="shared" si="170"/>
        <v>1485216.3110399996</v>
      </c>
      <c r="CQ77" s="91">
        <f t="shared" si="170"/>
        <v>1392390.2915999996</v>
      </c>
      <c r="CR77" s="91">
        <f t="shared" si="170"/>
        <v>1330506.2786399997</v>
      </c>
      <c r="CS77" s="91">
        <f t="shared" si="170"/>
        <v>1454274.3045599996</v>
      </c>
      <c r="CT77" s="91">
        <f t="shared" si="170"/>
        <v>1175796.2462399998</v>
      </c>
      <c r="CU77" s="91">
        <f t="shared" si="170"/>
        <v>804492.16847999976</v>
      </c>
      <c r="CV77" s="91"/>
      <c r="CX77" s="91"/>
      <c r="CY77" s="91"/>
      <c r="CZ77" s="91"/>
      <c r="DA77" s="91"/>
      <c r="DB77" s="91"/>
      <c r="DC77" s="91"/>
      <c r="DD77" s="91"/>
      <c r="DE77" s="91"/>
      <c r="DF77" s="91"/>
      <c r="DG77" s="91"/>
      <c r="DH77" s="91"/>
      <c r="DI77" s="91"/>
      <c r="DJ77" s="91"/>
    </row>
    <row r="78" spans="1:114">
      <c r="A78" s="110" t="s">
        <v>99</v>
      </c>
      <c r="B78" s="340" t="s">
        <v>100</v>
      </c>
      <c r="C78" s="341"/>
      <c r="D78" s="342">
        <v>95972</v>
      </c>
      <c r="E78" s="111">
        <v>130805</v>
      </c>
      <c r="F78" s="111">
        <v>121914</v>
      </c>
      <c r="G78" s="111">
        <v>165455</v>
      </c>
      <c r="H78" s="111">
        <v>192013</v>
      </c>
      <c r="I78" s="111">
        <v>167281</v>
      </c>
      <c r="J78" s="111">
        <v>181409</v>
      </c>
      <c r="K78" s="111">
        <v>163138</v>
      </c>
      <c r="L78" s="111">
        <v>169051</v>
      </c>
      <c r="M78" s="111">
        <v>183254</v>
      </c>
      <c r="N78" s="111"/>
      <c r="O78" s="111"/>
      <c r="P78" s="343">
        <f>SUM(D78:O78)</f>
        <v>1570292</v>
      </c>
      <c r="Q78" s="84"/>
      <c r="R78" s="342">
        <v>149582</v>
      </c>
      <c r="S78" s="112">
        <v>152735</v>
      </c>
      <c r="T78" s="112">
        <v>107681</v>
      </c>
      <c r="U78" s="112">
        <v>2974</v>
      </c>
      <c r="V78" s="112">
        <v>32639</v>
      </c>
      <c r="W78" s="112">
        <v>153121</v>
      </c>
      <c r="X78" s="112">
        <v>198635</v>
      </c>
      <c r="Y78" s="112">
        <v>160489</v>
      </c>
      <c r="Z78" s="112">
        <v>160893</v>
      </c>
      <c r="AA78" s="112">
        <v>180999</v>
      </c>
      <c r="AB78" s="112">
        <v>167265</v>
      </c>
      <c r="AC78" s="112">
        <v>135424</v>
      </c>
      <c r="AD78" s="344">
        <f>SUM(R78:AC78)</f>
        <v>1602437</v>
      </c>
      <c r="AE78" s="113"/>
      <c r="AF78" s="345">
        <v>145616</v>
      </c>
      <c r="AG78" s="112">
        <v>168450</v>
      </c>
      <c r="AH78" s="112">
        <v>153291</v>
      </c>
      <c r="AI78" s="112">
        <v>149378</v>
      </c>
      <c r="AJ78" s="112">
        <v>196360</v>
      </c>
      <c r="AK78" s="112">
        <v>170558</v>
      </c>
      <c r="AL78" s="112">
        <v>171758</v>
      </c>
      <c r="AM78" s="112">
        <f t="shared" ref="AM78:AQ78" si="171">SUM(AM79:AM80)</f>
        <v>168974</v>
      </c>
      <c r="AN78" s="112">
        <f t="shared" si="171"/>
        <v>144792</v>
      </c>
      <c r="AO78" s="112">
        <f t="shared" si="171"/>
        <v>141375</v>
      </c>
      <c r="AP78" s="112">
        <f t="shared" si="171"/>
        <v>143221</v>
      </c>
      <c r="AQ78" s="112">
        <f t="shared" si="171"/>
        <v>85543</v>
      </c>
      <c r="AR78" s="112">
        <f t="shared" ref="AR78:AR82" si="172">SUM(AF78:AQ78)</f>
        <v>1839316</v>
      </c>
      <c r="AS78" s="23"/>
      <c r="AT78" s="112">
        <f t="shared" ref="AT78:BE78" si="173">SUM(AT79:AT80)</f>
        <v>120211</v>
      </c>
      <c r="AU78" s="112">
        <f t="shared" si="173"/>
        <v>120216</v>
      </c>
      <c r="AV78" s="112">
        <f t="shared" si="173"/>
        <v>101053</v>
      </c>
      <c r="AW78" s="112">
        <f t="shared" si="173"/>
        <v>137388</v>
      </c>
      <c r="AX78" s="112">
        <f t="shared" si="173"/>
        <v>137400</v>
      </c>
      <c r="AY78" s="112">
        <f t="shared" si="173"/>
        <v>135412</v>
      </c>
      <c r="AZ78" s="112">
        <f t="shared" si="173"/>
        <v>157032</v>
      </c>
      <c r="BA78" s="112">
        <f t="shared" si="173"/>
        <v>173287</v>
      </c>
      <c r="BB78" s="114">
        <f t="shared" si="173"/>
        <v>166815</v>
      </c>
      <c r="BC78" s="114">
        <f t="shared" si="173"/>
        <v>153816</v>
      </c>
      <c r="BD78" s="114">
        <f t="shared" si="173"/>
        <v>138051</v>
      </c>
      <c r="BE78" s="114">
        <f t="shared" si="173"/>
        <v>55950</v>
      </c>
      <c r="BF78" s="114">
        <f t="shared" ref="BF78:BF82" si="174">SUM(AT78:BE78)</f>
        <v>1596631</v>
      </c>
      <c r="BG78" s="93">
        <f>BF78/AR78-1</f>
        <v>-0.1319430701412917</v>
      </c>
      <c r="BH78" s="112">
        <f t="shared" ref="BH78:BQ78" si="175">SUM(BH79:BH80)</f>
        <v>138562</v>
      </c>
      <c r="BI78" s="112">
        <f t="shared" si="175"/>
        <v>109391</v>
      </c>
      <c r="BJ78" s="112">
        <f t="shared" si="175"/>
        <v>160056</v>
      </c>
      <c r="BK78" s="112">
        <f t="shared" si="175"/>
        <v>124826</v>
      </c>
      <c r="BL78" s="112">
        <f t="shared" si="175"/>
        <v>151185</v>
      </c>
      <c r="BM78" s="112">
        <f t="shared" si="175"/>
        <v>134688</v>
      </c>
      <c r="BN78" s="112">
        <f t="shared" si="175"/>
        <v>157005</v>
      </c>
      <c r="BO78" s="112">
        <f t="shared" si="175"/>
        <v>151231</v>
      </c>
      <c r="BP78" s="112">
        <f t="shared" si="175"/>
        <v>143335</v>
      </c>
      <c r="BQ78" s="112">
        <f t="shared" si="175"/>
        <v>159215</v>
      </c>
      <c r="BR78" s="112"/>
      <c r="BS78" s="112"/>
      <c r="BT78" s="112">
        <f t="shared" ref="BT78:BT82" si="176">SUM(BH78:BS78)</f>
        <v>1429494</v>
      </c>
      <c r="BU78" s="18"/>
      <c r="BV78" s="112">
        <v>154584</v>
      </c>
      <c r="BW78" s="112">
        <v>151963</v>
      </c>
      <c r="BX78" s="112">
        <v>144646</v>
      </c>
      <c r="BY78" s="112">
        <v>178798</v>
      </c>
      <c r="BZ78" s="112">
        <v>151863</v>
      </c>
      <c r="CA78" s="112">
        <v>152310</v>
      </c>
      <c r="CB78" s="112">
        <f>CB79+CB80</f>
        <v>177824</v>
      </c>
      <c r="CC78" s="112">
        <f t="shared" ref="CC78:CJ78" si="177">CC79+CC80</f>
        <v>155456</v>
      </c>
      <c r="CD78" s="112">
        <f t="shared" si="177"/>
        <v>159431</v>
      </c>
      <c r="CE78" s="112">
        <v>173593</v>
      </c>
      <c r="CF78" s="112">
        <v>154850</v>
      </c>
      <c r="CG78" s="112">
        <f t="shared" si="177"/>
        <v>0</v>
      </c>
      <c r="CH78" s="112">
        <f t="shared" ref="CH78" si="178">SUM(BV78:CG78)</f>
        <v>1755318</v>
      </c>
      <c r="CJ78" s="112"/>
      <c r="CK78" s="112"/>
      <c r="CL78" s="112">
        <v>175111</v>
      </c>
      <c r="CM78" s="112"/>
      <c r="CN78" s="112"/>
      <c r="CO78" s="112"/>
      <c r="CP78" s="112"/>
      <c r="CQ78" s="112"/>
      <c r="CR78" s="112"/>
      <c r="CS78" s="112"/>
      <c r="CT78" s="112"/>
      <c r="CU78" s="112"/>
      <c r="CV78" s="112"/>
      <c r="CX78" s="112"/>
      <c r="CY78" s="112"/>
      <c r="CZ78" s="112"/>
      <c r="DA78" s="112"/>
      <c r="DB78" s="112"/>
      <c r="DC78" s="112"/>
      <c r="DD78" s="112"/>
      <c r="DE78" s="112"/>
      <c r="DF78" s="112"/>
      <c r="DG78" s="112"/>
      <c r="DH78" s="112"/>
      <c r="DI78" s="112"/>
      <c r="DJ78" s="112"/>
    </row>
    <row r="79" spans="1:114" ht="15.75" customHeight="1">
      <c r="A79" s="115"/>
      <c r="B79" s="346" t="s">
        <v>101</v>
      </c>
      <c r="C79" s="347"/>
      <c r="D79" s="265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66"/>
      <c r="Q79" s="116"/>
      <c r="R79" s="265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67"/>
      <c r="AE79" s="23"/>
      <c r="AF79" s="348">
        <v>126362</v>
      </c>
      <c r="AG79" s="22">
        <v>153970</v>
      </c>
      <c r="AH79" s="22">
        <v>128331</v>
      </c>
      <c r="AI79" s="22">
        <v>135338</v>
      </c>
      <c r="AJ79" s="22">
        <v>177312</v>
      </c>
      <c r="AK79" s="22">
        <v>150818</v>
      </c>
      <c r="AL79" s="22">
        <v>158858</v>
      </c>
      <c r="AM79" s="22">
        <v>153933</v>
      </c>
      <c r="AN79" s="22">
        <v>134244</v>
      </c>
      <c r="AO79" s="22">
        <v>137435</v>
      </c>
      <c r="AP79" s="22">
        <v>143221</v>
      </c>
      <c r="AQ79" s="22">
        <v>85543</v>
      </c>
      <c r="AR79" s="117">
        <f t="shared" si="172"/>
        <v>1685365</v>
      </c>
      <c r="AS79" s="23"/>
      <c r="AT79" s="22">
        <v>120211</v>
      </c>
      <c r="AU79" s="22">
        <v>120216</v>
      </c>
      <c r="AV79" s="22">
        <v>101053</v>
      </c>
      <c r="AW79" s="22">
        <v>137388</v>
      </c>
      <c r="AX79" s="22">
        <v>137400</v>
      </c>
      <c r="AY79" s="22">
        <v>135412</v>
      </c>
      <c r="AZ79" s="22">
        <v>157032</v>
      </c>
      <c r="BA79" s="22">
        <v>172227</v>
      </c>
      <c r="BB79" s="22">
        <f>157995+8500</f>
        <v>166495</v>
      </c>
      <c r="BC79" s="22">
        <v>153816</v>
      </c>
      <c r="BD79" s="22">
        <v>138051</v>
      </c>
      <c r="BE79" s="22">
        <v>55950</v>
      </c>
      <c r="BF79" s="22">
        <f t="shared" si="174"/>
        <v>1595251</v>
      </c>
      <c r="BG79" s="27"/>
      <c r="BH79" s="22">
        <v>138562</v>
      </c>
      <c r="BI79" s="22">
        <v>109391</v>
      </c>
      <c r="BJ79" s="22">
        <v>160056</v>
      </c>
      <c r="BK79" s="22">
        <v>124826</v>
      </c>
      <c r="BL79" s="22">
        <v>151185</v>
      </c>
      <c r="BM79" s="22">
        <v>134688</v>
      </c>
      <c r="BN79" s="22">
        <v>157005</v>
      </c>
      <c r="BO79" s="22">
        <v>151231</v>
      </c>
      <c r="BP79" s="22">
        <v>143335</v>
      </c>
      <c r="BQ79" s="22">
        <v>159215</v>
      </c>
      <c r="BR79" s="22"/>
      <c r="BS79" s="22"/>
      <c r="BT79" s="22">
        <f t="shared" si="176"/>
        <v>1429494</v>
      </c>
      <c r="BU79" s="28"/>
      <c r="BV79" s="22">
        <v>154584</v>
      </c>
      <c r="BW79" s="22">
        <v>151963</v>
      </c>
      <c r="BX79" s="22">
        <v>144646</v>
      </c>
      <c r="BY79" s="22">
        <v>178798</v>
      </c>
      <c r="BZ79" s="22">
        <v>151863</v>
      </c>
      <c r="CA79" s="22">
        <v>152310</v>
      </c>
      <c r="CB79" s="22">
        <v>177824</v>
      </c>
      <c r="CC79" s="22">
        <v>155456</v>
      </c>
      <c r="CD79" s="22">
        <v>159431</v>
      </c>
      <c r="CE79" s="22"/>
      <c r="CF79" s="22"/>
      <c r="CG79" s="22"/>
      <c r="CH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</row>
    <row r="80" spans="1:114" ht="15.75" customHeight="1">
      <c r="A80" s="115"/>
      <c r="B80" s="346" t="s">
        <v>102</v>
      </c>
      <c r="C80" s="347"/>
      <c r="D80" s="265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66"/>
      <c r="Q80" s="116"/>
      <c r="R80" s="265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67"/>
      <c r="AE80" s="23"/>
      <c r="AF80" s="22">
        <f t="shared" ref="AF80:AL80" si="179">AF78-AF79</f>
        <v>19254</v>
      </c>
      <c r="AG80" s="22">
        <f t="shared" si="179"/>
        <v>14480</v>
      </c>
      <c r="AH80" s="22">
        <f t="shared" si="179"/>
        <v>24960</v>
      </c>
      <c r="AI80" s="22">
        <f t="shared" si="179"/>
        <v>14040</v>
      </c>
      <c r="AJ80" s="22">
        <f t="shared" si="179"/>
        <v>19048</v>
      </c>
      <c r="AK80" s="22">
        <f t="shared" si="179"/>
        <v>19740</v>
      </c>
      <c r="AL80" s="22">
        <f t="shared" si="179"/>
        <v>12900</v>
      </c>
      <c r="AM80" s="22">
        <v>15041</v>
      </c>
      <c r="AN80" s="22">
        <v>10548</v>
      </c>
      <c r="AO80" s="22">
        <v>3940</v>
      </c>
      <c r="AP80" s="22">
        <v>0</v>
      </c>
      <c r="AQ80" s="22">
        <v>0</v>
      </c>
      <c r="AR80" s="117">
        <f t="shared" si="172"/>
        <v>153951</v>
      </c>
      <c r="AS80" s="23"/>
      <c r="AT80" s="22">
        <v>0</v>
      </c>
      <c r="AU80" s="22">
        <v>0</v>
      </c>
      <c r="AV80" s="22">
        <v>0</v>
      </c>
      <c r="AW80" s="22">
        <v>0</v>
      </c>
      <c r="AX80" s="22">
        <v>0</v>
      </c>
      <c r="AY80" s="22">
        <v>0</v>
      </c>
      <c r="AZ80" s="22">
        <v>0</v>
      </c>
      <c r="BA80" s="22">
        <v>1060</v>
      </c>
      <c r="BB80" s="22">
        <v>320</v>
      </c>
      <c r="BC80" s="22">
        <v>0</v>
      </c>
      <c r="BD80" s="22">
        <v>0</v>
      </c>
      <c r="BE80" s="22"/>
      <c r="BF80" s="22">
        <f t="shared" si="174"/>
        <v>1380</v>
      </c>
      <c r="BG80" s="27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>
        <f t="shared" si="176"/>
        <v>0</v>
      </c>
      <c r="BU80" s="28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</row>
    <row r="81" spans="1:114" ht="15.75">
      <c r="A81" s="103" t="s">
        <v>103</v>
      </c>
      <c r="B81" s="337"/>
      <c r="C81" s="330"/>
      <c r="D81" s="331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332"/>
      <c r="Q81" s="105"/>
      <c r="R81" s="333"/>
      <c r="S81" s="333"/>
      <c r="T81" s="333"/>
      <c r="U81" s="333"/>
      <c r="V81" s="333"/>
      <c r="W81" s="333"/>
      <c r="X81" s="333"/>
      <c r="Y81" s="333"/>
      <c r="Z81" s="333"/>
      <c r="AA81" s="333"/>
      <c r="AB81" s="333"/>
      <c r="AC81" s="333"/>
      <c r="AD81" s="334"/>
      <c r="AE81" s="106"/>
      <c r="AF81" s="333">
        <f t="shared" ref="AF81:AQ81" si="180">AF78-AF71</f>
        <v>-15784</v>
      </c>
      <c r="AG81" s="333">
        <f t="shared" si="180"/>
        <v>2450</v>
      </c>
      <c r="AH81" s="333">
        <f t="shared" si="180"/>
        <v>2820</v>
      </c>
      <c r="AI81" s="333">
        <f t="shared" si="180"/>
        <v>338</v>
      </c>
      <c r="AJ81" s="333">
        <f t="shared" si="180"/>
        <v>0</v>
      </c>
      <c r="AK81" s="333">
        <f t="shared" si="180"/>
        <v>7258</v>
      </c>
      <c r="AL81" s="333">
        <f t="shared" si="180"/>
        <v>-18242</v>
      </c>
      <c r="AM81" s="333">
        <f t="shared" si="180"/>
        <v>1974</v>
      </c>
      <c r="AN81" s="333">
        <f t="shared" si="180"/>
        <v>-25708</v>
      </c>
      <c r="AO81" s="333">
        <f t="shared" si="180"/>
        <v>1375</v>
      </c>
      <c r="AP81" s="333">
        <f t="shared" si="180"/>
        <v>13221</v>
      </c>
      <c r="AQ81" s="333">
        <f t="shared" si="180"/>
        <v>-14457</v>
      </c>
      <c r="AR81" s="107">
        <f t="shared" si="172"/>
        <v>-44755</v>
      </c>
      <c r="AS81" s="106"/>
      <c r="AT81" s="333">
        <f t="shared" ref="AT81:BE81" si="181">AT78-AT71</f>
        <v>-12789</v>
      </c>
      <c r="AU81" s="333">
        <f t="shared" si="181"/>
        <v>-4964</v>
      </c>
      <c r="AV81" s="333">
        <f t="shared" si="181"/>
        <v>-16175</v>
      </c>
      <c r="AW81" s="333">
        <f t="shared" si="181"/>
        <v>9888</v>
      </c>
      <c r="AX81" s="333">
        <f t="shared" si="181"/>
        <v>-2600</v>
      </c>
      <c r="AY81" s="333">
        <f t="shared" si="181"/>
        <v>-22930.999998999992</v>
      </c>
      <c r="AZ81" s="333">
        <f t="shared" si="181"/>
        <v>4623</v>
      </c>
      <c r="BA81" s="333">
        <f t="shared" si="181"/>
        <v>-233</v>
      </c>
      <c r="BB81" s="333">
        <f t="shared" si="181"/>
        <v>1815</v>
      </c>
      <c r="BC81" s="333">
        <f t="shared" si="181"/>
        <v>-3684</v>
      </c>
      <c r="BD81" s="333">
        <f t="shared" si="181"/>
        <v>8620</v>
      </c>
      <c r="BE81" s="333">
        <f t="shared" si="181"/>
        <v>-5750</v>
      </c>
      <c r="BF81" s="108">
        <f t="shared" si="174"/>
        <v>-44179.999998999992</v>
      </c>
      <c r="BG81" s="106"/>
      <c r="BH81" s="333">
        <f t="shared" ref="BH81:BQ81" si="182">BH78-BH71</f>
        <v>-1198</v>
      </c>
      <c r="BI81" s="333">
        <f t="shared" si="182"/>
        <v>-7189</v>
      </c>
      <c r="BJ81" s="333">
        <f t="shared" si="182"/>
        <v>11716</v>
      </c>
      <c r="BK81" s="333">
        <f t="shared" si="182"/>
        <v>12466</v>
      </c>
      <c r="BL81" s="333">
        <f t="shared" si="182"/>
        <v>42525</v>
      </c>
      <c r="BM81" s="333">
        <f t="shared" si="182"/>
        <v>-18728</v>
      </c>
      <c r="BN81" s="333">
        <f t="shared" si="182"/>
        <v>19329</v>
      </c>
      <c r="BO81" s="333">
        <f t="shared" si="182"/>
        <v>-9423</v>
      </c>
      <c r="BP81" s="333">
        <f t="shared" si="182"/>
        <v>-13665</v>
      </c>
      <c r="BQ81" s="333">
        <f t="shared" si="182"/>
        <v>2490</v>
      </c>
      <c r="BR81" s="108"/>
      <c r="BS81" s="108"/>
      <c r="BT81" s="108">
        <f t="shared" si="176"/>
        <v>38323</v>
      </c>
      <c r="BU81" s="28"/>
      <c r="BV81" s="333"/>
      <c r="BW81" s="333"/>
      <c r="BX81" s="333"/>
      <c r="BY81" s="333">
        <f>BY78-BY71</f>
        <v>5998</v>
      </c>
      <c r="BZ81" s="333">
        <f t="shared" ref="BZ81:CG81" si="183">BZ78-BZ71</f>
        <v>-13737</v>
      </c>
      <c r="CA81" s="333">
        <f t="shared" si="183"/>
        <v>-6090</v>
      </c>
      <c r="CB81" s="333">
        <f t="shared" si="183"/>
        <v>-2176</v>
      </c>
      <c r="CC81" s="333">
        <f t="shared" si="183"/>
        <v>-17344</v>
      </c>
      <c r="CD81" s="333">
        <f t="shared" si="183"/>
        <v>-13369</v>
      </c>
      <c r="CE81" s="333">
        <f t="shared" si="183"/>
        <v>793</v>
      </c>
      <c r="CF81" s="333">
        <f t="shared" si="183"/>
        <v>-12350</v>
      </c>
      <c r="CG81" s="333">
        <f t="shared" si="183"/>
        <v>-98800</v>
      </c>
      <c r="CH81" s="333">
        <f>CH78-CH71</f>
        <v>-118882</v>
      </c>
      <c r="CJ81" s="333">
        <f t="shared" ref="CJ81:CV81" si="184">CJ78-CJ71</f>
        <v>-165000</v>
      </c>
      <c r="CK81" s="333">
        <f>CK78-CK71</f>
        <v>-188600</v>
      </c>
      <c r="CL81" s="333">
        <f t="shared" si="184"/>
        <v>4111</v>
      </c>
      <c r="CM81" s="333">
        <f t="shared" si="184"/>
        <v>-180000</v>
      </c>
      <c r="CN81" s="333">
        <f t="shared" si="184"/>
        <v>-189000</v>
      </c>
      <c r="CO81" s="333">
        <f t="shared" si="184"/>
        <v>-193500</v>
      </c>
      <c r="CP81" s="333">
        <f t="shared" si="184"/>
        <v>-216000</v>
      </c>
      <c r="CQ81" s="333">
        <f t="shared" si="184"/>
        <v>-207000</v>
      </c>
      <c r="CR81" s="333">
        <f t="shared" si="184"/>
        <v>-197800</v>
      </c>
      <c r="CS81" s="333">
        <f t="shared" si="184"/>
        <v>-216200</v>
      </c>
      <c r="CT81" s="333">
        <f t="shared" si="184"/>
        <v>-174800</v>
      </c>
      <c r="CU81" s="333">
        <f t="shared" si="184"/>
        <v>-119600</v>
      </c>
      <c r="CV81" s="333">
        <f t="shared" si="184"/>
        <v>-2218500</v>
      </c>
      <c r="CX81" s="333">
        <f t="shared" ref="CX81:DJ81" si="185">CX78-CX71</f>
        <v>-184000</v>
      </c>
      <c r="CY81" s="333">
        <f t="shared" si="185"/>
        <v>-138000</v>
      </c>
      <c r="CZ81" s="333">
        <f t="shared" si="185"/>
        <v>-174800</v>
      </c>
      <c r="DA81" s="333">
        <f t="shared" si="185"/>
        <v>-184000</v>
      </c>
      <c r="DB81" s="333">
        <f t="shared" si="185"/>
        <v>-193200</v>
      </c>
      <c r="DC81" s="333">
        <f t="shared" si="185"/>
        <v>-184000</v>
      </c>
      <c r="DD81" s="333">
        <f t="shared" si="185"/>
        <v>-211600</v>
      </c>
      <c r="DE81" s="333">
        <f t="shared" si="185"/>
        <v>-193200</v>
      </c>
      <c r="DF81" s="333">
        <f t="shared" si="185"/>
        <v>-184000</v>
      </c>
      <c r="DG81" s="333">
        <f t="shared" si="185"/>
        <v>-211600</v>
      </c>
      <c r="DH81" s="333">
        <f t="shared" si="185"/>
        <v>-174800</v>
      </c>
      <c r="DI81" s="333">
        <f t="shared" si="185"/>
        <v>-119600</v>
      </c>
      <c r="DJ81" s="333">
        <f t="shared" si="185"/>
        <v>-2152800</v>
      </c>
    </row>
    <row r="82" spans="1:114" ht="14.25" customHeight="1">
      <c r="A82" s="55" t="s">
        <v>104</v>
      </c>
      <c r="B82" s="56"/>
      <c r="C82" s="280"/>
      <c r="D82" s="288" t="e">
        <f t="shared" ref="D82:F82" si="186">#REF!-#REF!</f>
        <v>#REF!</v>
      </c>
      <c r="E82" s="57" t="e">
        <f t="shared" si="186"/>
        <v>#REF!</v>
      </c>
      <c r="F82" s="57" t="e">
        <f t="shared" si="186"/>
        <v>#REF!</v>
      </c>
      <c r="G82" s="57" t="e">
        <f t="shared" ref="G82:I82" si="187">G71-#REF!</f>
        <v>#REF!</v>
      </c>
      <c r="H82" s="57" t="e">
        <f t="shared" si="187"/>
        <v>#REF!</v>
      </c>
      <c r="I82" s="57" t="e">
        <f t="shared" si="187"/>
        <v>#REF!</v>
      </c>
      <c r="J82" s="57" t="e">
        <f t="shared" ref="J82:K82" si="188">#REF!-#REF!</f>
        <v>#REF!</v>
      </c>
      <c r="K82" s="57" t="e">
        <f t="shared" si="188"/>
        <v>#REF!</v>
      </c>
      <c r="L82" s="57">
        <f>L71-L27</f>
        <v>-24911</v>
      </c>
      <c r="M82" s="57">
        <f>M71-M27</f>
        <v>-13674</v>
      </c>
      <c r="N82" s="57">
        <f>N71-N27</f>
        <v>57632</v>
      </c>
      <c r="O82" s="57">
        <f>O71-O27</f>
        <v>74079</v>
      </c>
      <c r="P82" s="289" t="e">
        <f>SUM(D82:O82)</f>
        <v>#REF!</v>
      </c>
      <c r="Q82" s="39"/>
      <c r="R82" s="288">
        <f t="shared" ref="R82:AD82" si="189">R71-R27</f>
        <v>22222.660017050745</v>
      </c>
      <c r="S82" s="58">
        <f t="shared" si="189"/>
        <v>17159.673608830723</v>
      </c>
      <c r="T82" s="58">
        <f t="shared" si="189"/>
        <v>-24753.77192982455</v>
      </c>
      <c r="U82" s="58">
        <f t="shared" si="189"/>
        <v>-17814.899999999998</v>
      </c>
      <c r="V82" s="58">
        <f t="shared" si="189"/>
        <v>1715</v>
      </c>
      <c r="W82" s="290">
        <f t="shared" si="189"/>
        <v>120430.6180497602</v>
      </c>
      <c r="X82" s="290">
        <f t="shared" si="189"/>
        <v>43436.666666667006</v>
      </c>
      <c r="Y82" s="290">
        <f t="shared" si="189"/>
        <v>-29747.083333333314</v>
      </c>
      <c r="Z82" s="290">
        <f t="shared" si="189"/>
        <v>-80887.5</v>
      </c>
      <c r="AA82" s="290">
        <f t="shared" si="189"/>
        <v>10200</v>
      </c>
      <c r="AB82" s="290">
        <f t="shared" si="189"/>
        <v>137500</v>
      </c>
      <c r="AC82" s="290">
        <f t="shared" si="189"/>
        <v>134100</v>
      </c>
      <c r="AD82" s="291">
        <f t="shared" si="189"/>
        <v>333561.36307915067</v>
      </c>
      <c r="AE82" s="59"/>
      <c r="AF82" s="292">
        <f t="shared" ref="AF82:AQ82" si="190">AF71-AF27</f>
        <v>32754</v>
      </c>
      <c r="AG82" s="58">
        <f t="shared" si="190"/>
        <v>-11977</v>
      </c>
      <c r="AH82" s="58">
        <f t="shared" si="190"/>
        <v>76847</v>
      </c>
      <c r="AI82" s="58">
        <f t="shared" si="190"/>
        <v>59682</v>
      </c>
      <c r="AJ82" s="58">
        <f t="shared" si="190"/>
        <v>74226</v>
      </c>
      <c r="AK82" s="58">
        <f t="shared" si="190"/>
        <v>14740</v>
      </c>
      <c r="AL82" s="58">
        <f t="shared" si="190"/>
        <v>38005</v>
      </c>
      <c r="AM82" s="58">
        <f t="shared" si="190"/>
        <v>-71903</v>
      </c>
      <c r="AN82" s="58">
        <f t="shared" si="190"/>
        <v>-90633.333333333343</v>
      </c>
      <c r="AO82" s="58">
        <f t="shared" si="190"/>
        <v>-115900</v>
      </c>
      <c r="AP82" s="58">
        <f t="shared" si="190"/>
        <v>1360</v>
      </c>
      <c r="AQ82" s="58">
        <f t="shared" si="190"/>
        <v>2160</v>
      </c>
      <c r="AR82" s="58">
        <f t="shared" si="172"/>
        <v>9360.666666666657</v>
      </c>
      <c r="AS82" s="59"/>
      <c r="AT82" s="58">
        <f t="shared" ref="AT82:BE82" si="191">AT71-AT27</f>
        <v>-19749.25</v>
      </c>
      <c r="AU82" s="58">
        <f t="shared" si="191"/>
        <v>-43342.103448275855</v>
      </c>
      <c r="AV82" s="58">
        <f t="shared" si="191"/>
        <v>-36893.137931034493</v>
      </c>
      <c r="AW82" s="58">
        <f t="shared" si="191"/>
        <v>-32095.137931034493</v>
      </c>
      <c r="AX82" s="58">
        <f t="shared" si="191"/>
        <v>19900.034482758623</v>
      </c>
      <c r="AY82" s="58">
        <f t="shared" si="191"/>
        <v>19999.222221222211</v>
      </c>
      <c r="AZ82" s="58">
        <f t="shared" si="191"/>
        <v>-14264.777777777781</v>
      </c>
      <c r="BA82" s="58">
        <f t="shared" si="191"/>
        <v>-68922.296296296292</v>
      </c>
      <c r="BB82" s="58">
        <f t="shared" si="191"/>
        <v>-78407.777777777781</v>
      </c>
      <c r="BC82" s="58">
        <f t="shared" si="191"/>
        <v>-95868.290755657828</v>
      </c>
      <c r="BD82" s="58">
        <f t="shared" si="191"/>
        <v>-5124.586881472962</v>
      </c>
      <c r="BE82" s="58">
        <f t="shared" si="191"/>
        <v>-10986.612965093984</v>
      </c>
      <c r="BF82" s="58">
        <f t="shared" si="174"/>
        <v>-365754.71506044065</v>
      </c>
      <c r="BG82" s="59"/>
      <c r="BH82" s="58">
        <f t="shared" ref="BH82:BQ82" si="192">BH71-BH27</f>
        <v>-12993</v>
      </c>
      <c r="BI82" s="58">
        <f t="shared" si="192"/>
        <v>-30242.333333333314</v>
      </c>
      <c r="BJ82" s="58">
        <f t="shared" si="192"/>
        <v>-23206.074074074073</v>
      </c>
      <c r="BK82" s="58">
        <f t="shared" si="192"/>
        <v>-47411.74074074073</v>
      </c>
      <c r="BL82" s="58">
        <f t="shared" si="192"/>
        <v>-23836.851851851854</v>
      </c>
      <c r="BM82" s="58">
        <f t="shared" si="192"/>
        <v>23509.740740740745</v>
      </c>
      <c r="BN82" s="58">
        <f t="shared" si="192"/>
        <v>-33707.555555555562</v>
      </c>
      <c r="BO82" s="58">
        <f t="shared" si="192"/>
        <v>-18896.378111111087</v>
      </c>
      <c r="BP82" s="58">
        <f t="shared" si="192"/>
        <v>-45053.749537037045</v>
      </c>
      <c r="BQ82" s="58">
        <f t="shared" si="192"/>
        <v>-7140</v>
      </c>
      <c r="BR82" s="58"/>
      <c r="BS82" s="58"/>
      <c r="BT82" s="58">
        <f t="shared" si="176"/>
        <v>-218977.94246296291</v>
      </c>
      <c r="BU82" s="60"/>
      <c r="BV82" s="58"/>
      <c r="BW82" s="58"/>
      <c r="BX82" s="58"/>
      <c r="BY82" s="58">
        <f>BY71-BY27</f>
        <v>13630.76923076922</v>
      </c>
      <c r="BZ82" s="58">
        <f t="shared" ref="BZ82:CG82" si="193">BZ71-BZ27</f>
        <v>14117.606582143373</v>
      </c>
      <c r="CA82" s="58">
        <f t="shared" si="193"/>
        <v>16957.870899031579</v>
      </c>
      <c r="CB82" s="58">
        <f t="shared" si="193"/>
        <v>3013.7855523840117</v>
      </c>
      <c r="CC82" s="58">
        <f t="shared" si="193"/>
        <v>-28501.089448851068</v>
      </c>
      <c r="CD82" s="58">
        <f t="shared" si="193"/>
        <v>-40033.040135593415</v>
      </c>
      <c r="CE82" s="58">
        <f t="shared" si="193"/>
        <v>-43122.303862118919</v>
      </c>
      <c r="CF82" s="58">
        <f t="shared" si="193"/>
        <v>-3915.8422363018617</v>
      </c>
      <c r="CG82" s="58">
        <f t="shared" si="193"/>
        <v>11316.183308289634</v>
      </c>
      <c r="CH82" s="58">
        <f>CH78-CH69</f>
        <v>-50665</v>
      </c>
      <c r="CJ82" s="58">
        <f t="shared" ref="CJ82:CV82" si="194">CJ71-CJ27</f>
        <v>-16422.940000000002</v>
      </c>
      <c r="CK82" s="58">
        <f t="shared" si="194"/>
        <v>22747.330000000016</v>
      </c>
      <c r="CL82" s="58">
        <f t="shared" si="194"/>
        <v>-14796.679999999993</v>
      </c>
      <c r="CM82" s="58">
        <f t="shared" si="194"/>
        <v>19943.340000000026</v>
      </c>
      <c r="CN82" s="58">
        <f t="shared" si="194"/>
        <v>35198.049999999988</v>
      </c>
      <c r="CO82" s="58">
        <f t="shared" si="194"/>
        <v>73319.12000000001</v>
      </c>
      <c r="CP82" s="58">
        <f t="shared" si="194"/>
        <v>-9720.0899999999965</v>
      </c>
      <c r="CQ82" s="58">
        <f t="shared" si="194"/>
        <v>104.69000000000233</v>
      </c>
      <c r="CR82" s="58">
        <f t="shared" si="194"/>
        <v>-58853.639999999985</v>
      </c>
      <c r="CS82" s="58">
        <f t="shared" si="194"/>
        <v>-13216.920000000013</v>
      </c>
      <c r="CT82" s="58">
        <f t="shared" si="194"/>
        <v>12014.910000000003</v>
      </c>
      <c r="CU82" s="58">
        <f t="shared" si="194"/>
        <v>16416.179999999993</v>
      </c>
      <c r="CV82" s="58">
        <f t="shared" si="194"/>
        <v>66733.350000000093</v>
      </c>
      <c r="CX82" s="58">
        <f t="shared" ref="CX82:DJ82" si="195">CX71-CX27</f>
        <v>-6494.0869999999995</v>
      </c>
      <c r="CY82" s="58">
        <f t="shared" si="195"/>
        <v>-36145.30349999998</v>
      </c>
      <c r="CZ82" s="58">
        <f t="shared" si="195"/>
        <v>-20286.513999999996</v>
      </c>
      <c r="DA82" s="58">
        <f t="shared" si="195"/>
        <v>15940.507000000012</v>
      </c>
      <c r="DB82" s="58">
        <f t="shared" si="195"/>
        <v>31707.952499999985</v>
      </c>
      <c r="DC82" s="58">
        <f t="shared" si="195"/>
        <v>57810.076000000001</v>
      </c>
      <c r="DD82" s="58">
        <f t="shared" si="195"/>
        <v>-25406.094500000007</v>
      </c>
      <c r="DE82" s="58">
        <f t="shared" si="195"/>
        <v>-24040.075500000006</v>
      </c>
      <c r="DF82" s="58">
        <f t="shared" si="195"/>
        <v>-85486.321999999986</v>
      </c>
      <c r="DG82" s="58">
        <f t="shared" si="195"/>
        <v>-29287.766000000032</v>
      </c>
      <c r="DH82" s="58">
        <f t="shared" si="195"/>
        <v>3875.6554999999935</v>
      </c>
      <c r="DI82" s="58">
        <f t="shared" si="195"/>
        <v>11256.988999999987</v>
      </c>
      <c r="DJ82" s="58">
        <f t="shared" si="195"/>
        <v>195702.825940924</v>
      </c>
    </row>
    <row r="83" spans="1:114" ht="15" customHeight="1">
      <c r="BZ83" s="598"/>
      <c r="CA83" s="598">
        <f>BZ83+CA82</f>
        <v>16957.870899031579</v>
      </c>
      <c r="CB83" s="598">
        <f t="shared" ref="CB83:CG83" si="196">CA83+CB82</f>
        <v>19971.656451415591</v>
      </c>
      <c r="CC83" s="598">
        <f t="shared" si="196"/>
        <v>-8529.4329974354769</v>
      </c>
      <c r="CD83" s="598">
        <f t="shared" si="196"/>
        <v>-48562.473133028892</v>
      </c>
      <c r="CE83" s="598">
        <f t="shared" si="196"/>
        <v>-91684.776995147811</v>
      </c>
      <c r="CF83" s="598">
        <f t="shared" si="196"/>
        <v>-95600.619231449673</v>
      </c>
      <c r="CG83" s="598">
        <f t="shared" si="196"/>
        <v>-84284.435923160039</v>
      </c>
    </row>
  </sheetData>
  <mergeCells count="26">
    <mergeCell ref="B39:C39"/>
    <mergeCell ref="CX1:DI1"/>
    <mergeCell ref="D2:P2"/>
    <mergeCell ref="R2:AD2"/>
    <mergeCell ref="AF2:AR2"/>
    <mergeCell ref="AT2:BF2"/>
    <mergeCell ref="BH2:BS2"/>
    <mergeCell ref="BV2:CG2"/>
    <mergeCell ref="CJ2:CU2"/>
    <mergeCell ref="CX2:DI2"/>
    <mergeCell ref="R1:AD1"/>
    <mergeCell ref="AF1:AR1"/>
    <mergeCell ref="AT1:BF1"/>
    <mergeCell ref="BH1:BS1"/>
    <mergeCell ref="BV1:CG1"/>
    <mergeCell ref="CJ1:CU1"/>
    <mergeCell ref="B34:C34"/>
    <mergeCell ref="B35:C35"/>
    <mergeCell ref="B36:C36"/>
    <mergeCell ref="B37:C37"/>
    <mergeCell ref="B38:C38"/>
    <mergeCell ref="B40:C40"/>
    <mergeCell ref="B41:C41"/>
    <mergeCell ref="B42:C42"/>
    <mergeCell ref="B43:C43"/>
    <mergeCell ref="B52:C52"/>
  </mergeCells>
  <pageMargins left="0.25" right="0.25" top="0.75" bottom="0.75" header="0" footer="0"/>
  <pageSetup paperSize="9" scale="55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3912-8396-46EC-96C7-3E88ED078050}">
  <sheetPr>
    <tabColor rgb="FFFF0000"/>
  </sheetPr>
  <dimension ref="A1:DJ83"/>
  <sheetViews>
    <sheetView showGridLines="0" zoomScale="80" zoomScaleNormal="80" workbookViewId="0">
      <pane xSplit="3" ySplit="9" topLeftCell="BU10" activePane="bottomRight" state="frozen"/>
      <selection pane="bottomRight"/>
      <selection pane="bottomLeft" activeCell="A6" sqref="A6"/>
      <selection pane="topRight" activeCell="D1" sqref="D1"/>
    </sheetView>
  </sheetViews>
  <sheetFormatPr defaultColWidth="14.42578125" defaultRowHeight="15" customHeight="1" outlineLevelRow="1" outlineLevelCol="1"/>
  <cols>
    <col min="1" max="1" width="16.85546875" customWidth="1"/>
    <col min="2" max="2" width="17.85546875" customWidth="1"/>
    <col min="3" max="3" width="20.14062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3.140625" customWidth="1" collapsed="1"/>
    <col min="74" max="84" width="13.140625" hidden="1" customWidth="1" outlineLevel="1"/>
    <col min="85" max="85" width="12.140625" hidden="1" customWidth="1" outlineLevel="1"/>
    <col min="86" max="86" width="16.42578125" hidden="1" customWidth="1" outlineLevel="1"/>
    <col min="87" max="87" width="11.5703125" hidden="1" customWidth="1" outlineLevel="1"/>
    <col min="88" max="88" width="9.140625" collapsed="1"/>
    <col min="89" max="94" width="9.140625"/>
    <col min="95" max="95" width="12.28515625" customWidth="1"/>
    <col min="96" max="96" width="12.28515625" bestFit="1" customWidth="1"/>
    <col min="97" max="97" width="13.28515625" customWidth="1"/>
    <col min="98" max="99" width="9.140625"/>
    <col min="100" max="100" width="16.85546875" customWidth="1"/>
  </cols>
  <sheetData>
    <row r="1" spans="1:114" ht="12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s="699" t="s">
        <v>1</v>
      </c>
      <c r="CJ1" s="1089" t="s">
        <v>2</v>
      </c>
      <c r="CK1" s="1090"/>
      <c r="CL1" s="1090"/>
      <c r="CM1" s="1090"/>
      <c r="CN1" s="1090"/>
      <c r="CO1" s="1090"/>
      <c r="CP1" s="1090"/>
      <c r="CQ1" s="1090"/>
      <c r="CR1" s="1090"/>
      <c r="CS1" s="1090"/>
      <c r="CT1" s="1090"/>
      <c r="CU1" s="1091"/>
      <c r="CX1" s="1081" t="s">
        <v>0</v>
      </c>
      <c r="CY1" s="1113"/>
      <c r="CZ1" s="1113"/>
      <c r="DA1" s="1113"/>
      <c r="DB1" s="1113"/>
      <c r="DC1" s="1113"/>
      <c r="DD1" s="1113"/>
      <c r="DE1" s="1113"/>
      <c r="DF1" s="1113"/>
      <c r="DG1" s="1113"/>
      <c r="DH1" s="1113"/>
      <c r="DI1" s="1114"/>
    </row>
    <row r="2" spans="1:114" ht="15" customHeight="1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H2" s="700" t="s">
        <v>3</v>
      </c>
      <c r="CJ2" s="1085" t="s">
        <v>4</v>
      </c>
      <c r="CK2" s="1086"/>
      <c r="CL2" s="1086"/>
      <c r="CM2" s="1086"/>
      <c r="CN2" s="1086"/>
      <c r="CO2" s="1086"/>
      <c r="CP2" s="1086"/>
      <c r="CQ2" s="1086"/>
      <c r="CR2" s="1086"/>
      <c r="CS2" s="1086"/>
      <c r="CT2" s="1086"/>
      <c r="CU2" s="1087"/>
      <c r="CX2" s="1077">
        <v>2026</v>
      </c>
      <c r="CY2" s="1115"/>
      <c r="CZ2" s="1115"/>
      <c r="DA2" s="1115"/>
      <c r="DB2" s="1115"/>
      <c r="DC2" s="1115"/>
      <c r="DD2" s="1115"/>
      <c r="DE2" s="1115"/>
      <c r="DF2" s="1115"/>
      <c r="DG2" s="1115"/>
      <c r="DH2" s="1115"/>
      <c r="DI2" s="1116"/>
    </row>
    <row r="3" spans="1:114" ht="15.75">
      <c r="A3" s="703" t="s">
        <v>5</v>
      </c>
      <c r="B3" s="4"/>
      <c r="C3" s="4" t="str">
        <f>A3</f>
        <v>Dias Uteis Produção</v>
      </c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H3" t="s">
        <v>6</v>
      </c>
      <c r="CJ3" s="253">
        <v>23</v>
      </c>
      <c r="CK3" s="566">
        <v>20</v>
      </c>
      <c r="CL3" s="566">
        <v>21</v>
      </c>
      <c r="CM3" s="252">
        <v>22</v>
      </c>
      <c r="CN3" s="248">
        <v>22</v>
      </c>
      <c r="CO3" s="248">
        <v>21</v>
      </c>
      <c r="CP3" s="248">
        <v>23</v>
      </c>
      <c r="CQ3" s="248">
        <v>21</v>
      </c>
      <c r="CR3" s="248">
        <v>21</v>
      </c>
      <c r="CS3" s="248">
        <v>23</v>
      </c>
      <c r="CT3" s="248">
        <v>20</v>
      </c>
      <c r="CU3" s="248">
        <v>13</v>
      </c>
      <c r="CX3" s="253">
        <v>23</v>
      </c>
      <c r="CY3" s="566">
        <v>20</v>
      </c>
      <c r="CZ3" s="566">
        <v>21</v>
      </c>
      <c r="DA3" s="252">
        <v>22</v>
      </c>
      <c r="DB3" s="248">
        <v>22</v>
      </c>
      <c r="DC3" s="248">
        <v>21</v>
      </c>
      <c r="DD3" s="248">
        <v>23</v>
      </c>
      <c r="DE3" s="248">
        <v>21</v>
      </c>
      <c r="DF3" s="248">
        <v>21</v>
      </c>
      <c r="DG3" s="248">
        <v>23</v>
      </c>
      <c r="DH3" s="248">
        <v>20</v>
      </c>
      <c r="DI3" s="248">
        <v>13</v>
      </c>
    </row>
    <row r="4" spans="1:114" ht="15.75">
      <c r="A4" s="703" t="s">
        <v>7</v>
      </c>
      <c r="B4" s="4"/>
      <c r="C4" s="4" t="str">
        <f t="shared" ref="C4:C7" si="0">A4</f>
        <v>(-) FÉRIAS</v>
      </c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H4" t="s">
        <v>8</v>
      </c>
      <c r="CJ4" s="253">
        <v>3</v>
      </c>
      <c r="CK4" s="566"/>
      <c r="CL4" s="566">
        <v>1.5</v>
      </c>
      <c r="CM4" s="252"/>
      <c r="CN4" s="248"/>
      <c r="CO4" s="248"/>
      <c r="CP4" s="248"/>
      <c r="CQ4" s="248"/>
      <c r="CR4" s="248"/>
      <c r="CS4" s="248"/>
      <c r="CT4" s="248"/>
      <c r="CU4" s="248"/>
      <c r="CX4" s="253">
        <v>3</v>
      </c>
      <c r="CY4" s="566">
        <v>5</v>
      </c>
      <c r="CZ4" s="566"/>
      <c r="DA4" s="252"/>
      <c r="DB4" s="248"/>
      <c r="DC4" s="248"/>
      <c r="DD4" s="248"/>
      <c r="DE4" s="248"/>
      <c r="DF4" s="248"/>
      <c r="DG4" s="248"/>
      <c r="DH4" s="248"/>
      <c r="DI4" s="248"/>
    </row>
    <row r="5" spans="1:114" ht="15.75">
      <c r="A5" s="703" t="s">
        <v>9</v>
      </c>
      <c r="B5" s="4"/>
      <c r="C5" s="4" t="str">
        <f t="shared" si="0"/>
        <v>(+) SABADO</v>
      </c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H5" t="s">
        <v>10</v>
      </c>
      <c r="CJ5" s="701">
        <v>2</v>
      </c>
      <c r="CK5" s="701">
        <v>3</v>
      </c>
      <c r="CL5" s="701">
        <v>1.5</v>
      </c>
      <c r="CM5" s="733">
        <v>0</v>
      </c>
      <c r="CN5" s="733">
        <v>0</v>
      </c>
      <c r="CO5" s="733">
        <v>1.5</v>
      </c>
      <c r="CP5" s="679">
        <v>1</v>
      </c>
      <c r="CQ5" s="679">
        <v>1.5</v>
      </c>
      <c r="CR5" s="679">
        <v>1.5</v>
      </c>
      <c r="CS5" s="679">
        <v>1.5</v>
      </c>
      <c r="CT5" s="679">
        <v>0</v>
      </c>
      <c r="CU5" s="643"/>
      <c r="CX5" s="644"/>
      <c r="CY5" s="679"/>
      <c r="CZ5" s="679"/>
      <c r="DA5" s="679">
        <v>0</v>
      </c>
      <c r="DB5" s="679">
        <v>0</v>
      </c>
      <c r="DC5" s="679">
        <v>0</v>
      </c>
      <c r="DD5" s="679">
        <v>0</v>
      </c>
      <c r="DE5" s="679">
        <v>0</v>
      </c>
      <c r="DF5" s="679">
        <v>0</v>
      </c>
      <c r="DG5" s="643">
        <v>1</v>
      </c>
      <c r="DH5" s="643">
        <v>0</v>
      </c>
      <c r="DI5" s="643"/>
    </row>
    <row r="6" spans="1:114" ht="15.75">
      <c r="A6" s="703" t="s">
        <v>11</v>
      </c>
      <c r="B6" s="4"/>
      <c r="C6" s="4" t="str">
        <f t="shared" si="0"/>
        <v>(-)FERIADO</v>
      </c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 t="s">
        <v>12</v>
      </c>
      <c r="CJ6" s="644"/>
      <c r="CK6" s="679"/>
      <c r="CL6" s="679">
        <v>2</v>
      </c>
      <c r="CM6" s="679">
        <v>2</v>
      </c>
      <c r="CN6" s="679">
        <v>1</v>
      </c>
      <c r="CO6" s="679">
        <v>1</v>
      </c>
      <c r="CP6" s="679"/>
      <c r="CQ6" s="679"/>
      <c r="CR6" s="679">
        <v>1</v>
      </c>
      <c r="CS6" s="643">
        <v>1</v>
      </c>
      <c r="CT6" s="643">
        <v>1</v>
      </c>
      <c r="CU6" s="643"/>
      <c r="CX6" s="644"/>
      <c r="CY6" s="679"/>
      <c r="CZ6" s="679">
        <v>2</v>
      </c>
      <c r="DA6" s="679">
        <v>2</v>
      </c>
      <c r="DB6" s="679">
        <v>1</v>
      </c>
      <c r="DC6" s="679">
        <v>1</v>
      </c>
      <c r="DD6" s="679"/>
      <c r="DE6" s="679"/>
      <c r="DF6" s="679">
        <v>1</v>
      </c>
      <c r="DG6" s="643">
        <v>1</v>
      </c>
      <c r="DH6" s="643">
        <v>1</v>
      </c>
      <c r="DI6" s="643"/>
    </row>
    <row r="7" spans="1:114">
      <c r="A7" s="704" t="s">
        <v>13</v>
      </c>
      <c r="B7" s="3"/>
      <c r="C7" s="3" t="str">
        <f t="shared" si="0"/>
        <v>Dias Trabalhados</v>
      </c>
      <c r="D7" s="252">
        <v>16</v>
      </c>
      <c r="E7" s="252">
        <v>21</v>
      </c>
      <c r="F7" s="252">
        <v>18</v>
      </c>
      <c r="G7" s="252">
        <v>21</v>
      </c>
      <c r="H7" s="252">
        <v>22</v>
      </c>
      <c r="I7" s="252">
        <v>19</v>
      </c>
      <c r="J7" s="252">
        <v>23</v>
      </c>
      <c r="K7" s="252">
        <v>21</v>
      </c>
      <c r="L7" s="252">
        <v>21</v>
      </c>
      <c r="M7" s="252">
        <v>26</v>
      </c>
      <c r="N7" s="252">
        <v>24</v>
      </c>
      <c r="O7" s="252">
        <v>15</v>
      </c>
      <c r="P7" s="4"/>
      <c r="Q7" s="247"/>
      <c r="R7" s="252">
        <v>22</v>
      </c>
      <c r="S7" s="252">
        <v>20</v>
      </c>
      <c r="T7" s="252">
        <v>14</v>
      </c>
      <c r="U7" s="252">
        <v>1</v>
      </c>
      <c r="V7" s="252">
        <v>12</v>
      </c>
      <c r="W7" s="252">
        <v>22</v>
      </c>
      <c r="X7" s="252">
        <v>23</v>
      </c>
      <c r="Y7" s="252">
        <v>21</v>
      </c>
      <c r="Z7" s="252">
        <v>21</v>
      </c>
      <c r="AA7" s="252">
        <v>21</v>
      </c>
      <c r="AB7" s="252">
        <v>20</v>
      </c>
      <c r="AC7" s="252">
        <v>17</v>
      </c>
      <c r="AD7" s="2"/>
      <c r="AE7" s="253"/>
      <c r="AF7" s="254">
        <v>18</v>
      </c>
      <c r="AG7" s="252">
        <v>20</v>
      </c>
      <c r="AH7" s="248">
        <v>20</v>
      </c>
      <c r="AI7" s="248">
        <v>20</v>
      </c>
      <c r="AJ7" s="252">
        <v>22</v>
      </c>
      <c r="AK7" s="252">
        <v>20</v>
      </c>
      <c r="AL7" s="252">
        <v>22</v>
      </c>
      <c r="AM7" s="252">
        <v>22</v>
      </c>
      <c r="AN7" s="252">
        <v>21</v>
      </c>
      <c r="AO7" s="252">
        <v>20</v>
      </c>
      <c r="AP7" s="252">
        <v>20</v>
      </c>
      <c r="AQ7" s="248">
        <v>12</v>
      </c>
      <c r="AR7" s="2"/>
      <c r="AS7" s="124"/>
      <c r="AT7" s="253">
        <v>19</v>
      </c>
      <c r="AU7" s="248">
        <v>19</v>
      </c>
      <c r="AV7" s="248">
        <v>18</v>
      </c>
      <c r="AW7" s="248">
        <v>19</v>
      </c>
      <c r="AX7" s="248">
        <v>22</v>
      </c>
      <c r="AY7" s="248">
        <v>21</v>
      </c>
      <c r="AZ7" s="248">
        <v>21</v>
      </c>
      <c r="BA7" s="248">
        <v>22</v>
      </c>
      <c r="BB7" s="248">
        <v>22</v>
      </c>
      <c r="BC7" s="248">
        <v>21</v>
      </c>
      <c r="BD7" s="248">
        <v>20</v>
      </c>
      <c r="BE7" s="248">
        <v>10</v>
      </c>
      <c r="BF7" s="2"/>
      <c r="BG7" s="125"/>
      <c r="BH7" s="253">
        <v>20</v>
      </c>
      <c r="BI7" s="248">
        <v>17</v>
      </c>
      <c r="BJ7" s="248">
        <v>23</v>
      </c>
      <c r="BK7" s="248">
        <v>18</v>
      </c>
      <c r="BL7" s="248">
        <v>22</v>
      </c>
      <c r="BM7" s="248">
        <v>23</v>
      </c>
      <c r="BN7" s="248">
        <v>21</v>
      </c>
      <c r="BO7" s="248">
        <v>21</v>
      </c>
      <c r="BP7" s="248">
        <v>20</v>
      </c>
      <c r="BQ7" s="248">
        <v>21</v>
      </c>
      <c r="BR7" s="248">
        <v>20</v>
      </c>
      <c r="BS7" s="248">
        <v>14</v>
      </c>
      <c r="BT7" s="253">
        <v>20</v>
      </c>
      <c r="BU7" s="252"/>
      <c r="BV7" s="253">
        <v>19</v>
      </c>
      <c r="BW7" s="248">
        <v>19</v>
      </c>
      <c r="BX7" s="566">
        <v>21</v>
      </c>
      <c r="BY7" s="566">
        <f>22+2</f>
        <v>24</v>
      </c>
      <c r="BZ7" s="248">
        <f>21+2</f>
        <v>23</v>
      </c>
      <c r="CA7" s="567">
        <f>20+2</f>
        <v>22</v>
      </c>
      <c r="CB7" s="567">
        <f>23+2</f>
        <v>25</v>
      </c>
      <c r="CC7" s="252">
        <f>21+3</f>
        <v>24</v>
      </c>
      <c r="CD7" s="252">
        <f>21+3</f>
        <v>24</v>
      </c>
      <c r="CE7" s="248">
        <f>23+1</f>
        <v>24</v>
      </c>
      <c r="CF7" s="248">
        <f>19+3</f>
        <v>22</v>
      </c>
      <c r="CG7" s="248">
        <f>12+1</f>
        <v>13</v>
      </c>
      <c r="CH7" s="248"/>
      <c r="CJ7" s="253">
        <f>CJ3+CJ5-CJ6-CJ4</f>
        <v>22</v>
      </c>
      <c r="CK7" s="253">
        <f>CK3+CK5-CK6-CK4</f>
        <v>23</v>
      </c>
      <c r="CL7" s="253">
        <v>19</v>
      </c>
      <c r="CM7" s="734">
        <f t="shared" ref="CM7:CQ7" si="1">CM3+CM5-CM6-CM4</f>
        <v>20</v>
      </c>
      <c r="CN7" s="734">
        <f>CN3+CN5-CN6-CN4</f>
        <v>21</v>
      </c>
      <c r="CO7" s="734">
        <f t="shared" si="1"/>
        <v>21.5</v>
      </c>
      <c r="CP7" s="734">
        <f t="shared" ref="CP7:CU7" si="2">CP3+CP5-CP6</f>
        <v>24</v>
      </c>
      <c r="CQ7" s="734">
        <f>CQ3+CQ5-CQ6</f>
        <v>22.5</v>
      </c>
      <c r="CR7" s="734">
        <f t="shared" si="2"/>
        <v>21.5</v>
      </c>
      <c r="CS7" s="734">
        <f>CS3+CS5-CS6</f>
        <v>23.5</v>
      </c>
      <c r="CT7" s="734">
        <f>CT3+CT5-CT6</f>
        <v>19</v>
      </c>
      <c r="CU7" s="734">
        <f t="shared" si="2"/>
        <v>13</v>
      </c>
      <c r="CV7" s="248"/>
      <c r="CX7" s="253">
        <f>CX3+CX5-CX6-CX4</f>
        <v>20</v>
      </c>
      <c r="CY7" s="253">
        <f t="shared" ref="CY7:DC7" si="3">CY3+CY5-CY6-CY4</f>
        <v>15</v>
      </c>
      <c r="CZ7" s="253">
        <f t="shared" si="3"/>
        <v>19</v>
      </c>
      <c r="DA7" s="253">
        <f t="shared" si="3"/>
        <v>20</v>
      </c>
      <c r="DB7" s="253">
        <f t="shared" si="3"/>
        <v>21</v>
      </c>
      <c r="DC7" s="253">
        <f t="shared" si="3"/>
        <v>20</v>
      </c>
      <c r="DD7" s="253">
        <f t="shared" ref="DD7:DI7" si="4">DD3+DD5-DD6</f>
        <v>23</v>
      </c>
      <c r="DE7" s="253">
        <f>DE3+DE5-DE6</f>
        <v>21</v>
      </c>
      <c r="DF7" s="253">
        <f t="shared" ref="DF7:DJ7" si="5">DF3+DF5-DF6</f>
        <v>20</v>
      </c>
      <c r="DG7" s="253">
        <f>DG3+DG5-DG6</f>
        <v>23</v>
      </c>
      <c r="DH7" s="253">
        <f>DH3+DH5-DH6</f>
        <v>19</v>
      </c>
      <c r="DI7" s="253">
        <f t="shared" ref="DI7:DJ7" si="6">DI3+DI5-DI6</f>
        <v>13</v>
      </c>
      <c r="DJ7" s="248"/>
    </row>
    <row r="8" spans="1:114" ht="18" customHeight="1">
      <c r="A8" s="8"/>
      <c r="B8" s="255"/>
      <c r="C8" s="256"/>
      <c r="D8" s="257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258" t="s">
        <v>26</v>
      </c>
      <c r="Q8" s="10"/>
      <c r="R8" s="257" t="s">
        <v>14</v>
      </c>
      <c r="S8" s="9" t="s">
        <v>15</v>
      </c>
      <c r="T8" s="9" t="s">
        <v>16</v>
      </c>
      <c r="U8" s="9" t="s">
        <v>17</v>
      </c>
      <c r="V8" s="9" t="s">
        <v>18</v>
      </c>
      <c r="W8" s="9" t="s">
        <v>19</v>
      </c>
      <c r="X8" s="9" t="s">
        <v>20</v>
      </c>
      <c r="Y8" s="9" t="s">
        <v>21</v>
      </c>
      <c r="Z8" s="9" t="s">
        <v>22</v>
      </c>
      <c r="AA8" s="9" t="s">
        <v>23</v>
      </c>
      <c r="AB8" s="9" t="s">
        <v>24</v>
      </c>
      <c r="AC8" s="9" t="s">
        <v>25</v>
      </c>
      <c r="AD8" s="258" t="s">
        <v>26</v>
      </c>
      <c r="AE8" s="11"/>
      <c r="AF8" s="257" t="s">
        <v>14</v>
      </c>
      <c r="AG8" s="9" t="s">
        <v>15</v>
      </c>
      <c r="AH8" s="9" t="s">
        <v>16</v>
      </c>
      <c r="AI8" s="9" t="s">
        <v>17</v>
      </c>
      <c r="AJ8" s="9" t="s">
        <v>18</v>
      </c>
      <c r="AK8" s="9" t="s">
        <v>19</v>
      </c>
      <c r="AL8" s="9" t="s">
        <v>20</v>
      </c>
      <c r="AM8" s="9" t="s">
        <v>21</v>
      </c>
      <c r="AN8" s="9" t="s">
        <v>22</v>
      </c>
      <c r="AO8" s="9" t="s">
        <v>23</v>
      </c>
      <c r="AP8" s="9" t="s">
        <v>24</v>
      </c>
      <c r="AQ8" s="9" t="s">
        <v>25</v>
      </c>
      <c r="AR8" s="9" t="s">
        <v>26</v>
      </c>
      <c r="AS8" s="11"/>
      <c r="AT8" s="9" t="s">
        <v>14</v>
      </c>
      <c r="AU8" s="9" t="s">
        <v>15</v>
      </c>
      <c r="AV8" s="9" t="s">
        <v>16</v>
      </c>
      <c r="AW8" s="9" t="s">
        <v>17</v>
      </c>
      <c r="AX8" s="9" t="s">
        <v>18</v>
      </c>
      <c r="AY8" s="9" t="s">
        <v>19</v>
      </c>
      <c r="AZ8" s="9" t="s">
        <v>20</v>
      </c>
      <c r="BA8" s="9" t="s">
        <v>21</v>
      </c>
      <c r="BB8" s="9" t="s">
        <v>22</v>
      </c>
      <c r="BC8" s="9" t="s">
        <v>23</v>
      </c>
      <c r="BD8" s="9" t="s">
        <v>24</v>
      </c>
      <c r="BE8" s="9" t="s">
        <v>25</v>
      </c>
      <c r="BF8" s="9" t="s">
        <v>26</v>
      </c>
      <c r="BG8" s="10"/>
      <c r="BH8" s="9" t="s">
        <v>14</v>
      </c>
      <c r="BI8" s="9" t="s">
        <v>15</v>
      </c>
      <c r="BJ8" s="9" t="s">
        <v>16</v>
      </c>
      <c r="BK8" s="9" t="s">
        <v>17</v>
      </c>
      <c r="BL8" s="9" t="s">
        <v>18</v>
      </c>
      <c r="BM8" s="9" t="s">
        <v>19</v>
      </c>
      <c r="BN8" s="9" t="s">
        <v>20</v>
      </c>
      <c r="BO8" s="9" t="s">
        <v>21</v>
      </c>
      <c r="BP8" s="9" t="s">
        <v>22</v>
      </c>
      <c r="BQ8" s="9" t="s">
        <v>23</v>
      </c>
      <c r="BR8" s="9" t="s">
        <v>24</v>
      </c>
      <c r="BS8" s="9" t="s">
        <v>25</v>
      </c>
      <c r="BT8" s="9" t="s">
        <v>26</v>
      </c>
      <c r="BU8" s="12"/>
      <c r="BV8" s="9" t="s">
        <v>14</v>
      </c>
      <c r="BW8" s="9" t="s">
        <v>15</v>
      </c>
      <c r="BX8" s="9" t="s">
        <v>16</v>
      </c>
      <c r="BY8" s="9" t="s">
        <v>17</v>
      </c>
      <c r="BZ8" s="9" t="s">
        <v>18</v>
      </c>
      <c r="CA8" s="9" t="s">
        <v>19</v>
      </c>
      <c r="CB8" s="9" t="s">
        <v>20</v>
      </c>
      <c r="CC8" s="9" t="s">
        <v>21</v>
      </c>
      <c r="CD8" s="9" t="s">
        <v>22</v>
      </c>
      <c r="CE8" s="9" t="s">
        <v>23</v>
      </c>
      <c r="CF8" s="9" t="s">
        <v>24</v>
      </c>
      <c r="CG8" s="9" t="s">
        <v>25</v>
      </c>
      <c r="CH8" s="9" t="s">
        <v>26</v>
      </c>
      <c r="CJ8" s="9" t="s">
        <v>14</v>
      </c>
      <c r="CK8" s="9" t="s">
        <v>15</v>
      </c>
      <c r="CL8" s="9" t="s">
        <v>16</v>
      </c>
      <c r="CM8" s="9" t="s">
        <v>17</v>
      </c>
      <c r="CN8" s="9" t="s">
        <v>18</v>
      </c>
      <c r="CO8" s="9" t="s">
        <v>19</v>
      </c>
      <c r="CP8" s="9" t="s">
        <v>20</v>
      </c>
      <c r="CQ8" s="9" t="s">
        <v>21</v>
      </c>
      <c r="CR8" s="9" t="s">
        <v>22</v>
      </c>
      <c r="CS8" s="9" t="s">
        <v>23</v>
      </c>
      <c r="CT8" s="9" t="s">
        <v>24</v>
      </c>
      <c r="CU8" s="9" t="s">
        <v>25</v>
      </c>
      <c r="CV8" s="9" t="s">
        <v>26</v>
      </c>
      <c r="CX8" s="9" t="s">
        <v>14</v>
      </c>
      <c r="CY8" s="9" t="s">
        <v>15</v>
      </c>
      <c r="CZ8" s="9" t="s">
        <v>16</v>
      </c>
      <c r="DA8" s="9" t="s">
        <v>17</v>
      </c>
      <c r="DB8" s="9" t="s">
        <v>18</v>
      </c>
      <c r="DC8" s="9" t="s">
        <v>19</v>
      </c>
      <c r="DD8" s="9" t="s">
        <v>20</v>
      </c>
      <c r="DE8" s="9" t="s">
        <v>21</v>
      </c>
      <c r="DF8" s="9" t="s">
        <v>22</v>
      </c>
      <c r="DG8" s="9" t="s">
        <v>23</v>
      </c>
      <c r="DH8" s="9" t="s">
        <v>24</v>
      </c>
      <c r="DI8" s="9" t="s">
        <v>25</v>
      </c>
      <c r="DJ8" s="9" t="s">
        <v>26</v>
      </c>
    </row>
    <row r="9" spans="1:114" ht="10.5" hidden="1" customHeight="1">
      <c r="A9" s="13"/>
      <c r="B9" s="259"/>
      <c r="C9" s="260"/>
      <c r="D9" s="26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62"/>
      <c r="Q9" s="15"/>
      <c r="R9" s="261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263"/>
      <c r="AE9" s="16"/>
      <c r="AF9" s="261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7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7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8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682" t="s">
        <v>27</v>
      </c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682" t="s">
        <v>27</v>
      </c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</row>
    <row r="10" spans="1:114" ht="30.75">
      <c r="A10" s="13" t="s">
        <v>28</v>
      </c>
      <c r="B10" s="706" t="s">
        <v>29</v>
      </c>
      <c r="C10" s="260"/>
      <c r="D10" s="261">
        <f t="shared" ref="D10:O10" si="7">SUM(D15:D17)</f>
        <v>304786</v>
      </c>
      <c r="E10" s="14">
        <f t="shared" si="7"/>
        <v>311986</v>
      </c>
      <c r="F10" s="14">
        <f t="shared" si="7"/>
        <v>328231</v>
      </c>
      <c r="G10" s="14">
        <f t="shared" si="7"/>
        <v>317873</v>
      </c>
      <c r="H10" s="14">
        <f t="shared" si="7"/>
        <v>347196</v>
      </c>
      <c r="I10" s="14">
        <f t="shared" si="7"/>
        <v>402253</v>
      </c>
      <c r="J10" s="14">
        <f t="shared" si="7"/>
        <v>454488</v>
      </c>
      <c r="K10" s="14">
        <f t="shared" si="7"/>
        <v>447182</v>
      </c>
      <c r="L10" s="14">
        <f t="shared" si="7"/>
        <v>416931</v>
      </c>
      <c r="M10" s="14">
        <f t="shared" si="7"/>
        <v>304402</v>
      </c>
      <c r="N10" s="14">
        <f t="shared" si="7"/>
        <v>0</v>
      </c>
      <c r="O10" s="14">
        <f t="shared" si="7"/>
        <v>188264</v>
      </c>
      <c r="P10" s="262"/>
      <c r="Q10" s="15"/>
      <c r="R10" s="14">
        <f t="shared" ref="R10:AC10" si="8">SUM(R15:R17)</f>
        <v>283359</v>
      </c>
      <c r="S10" s="14">
        <f t="shared" si="8"/>
        <v>342718</v>
      </c>
      <c r="T10" s="14">
        <f t="shared" si="8"/>
        <v>313212</v>
      </c>
      <c r="U10" s="14">
        <f t="shared" si="8"/>
        <v>298093</v>
      </c>
      <c r="V10" s="14">
        <f t="shared" si="8"/>
        <v>206617</v>
      </c>
      <c r="W10" s="14">
        <f t="shared" si="8"/>
        <v>235875</v>
      </c>
      <c r="X10" s="14">
        <f t="shared" si="8"/>
        <v>360135</v>
      </c>
      <c r="Y10" s="14">
        <f t="shared" si="8"/>
        <v>361665</v>
      </c>
      <c r="Z10" s="14">
        <f t="shared" si="8"/>
        <v>353400</v>
      </c>
      <c r="AA10" s="14">
        <f t="shared" si="8"/>
        <v>272097</v>
      </c>
      <c r="AB10" s="14">
        <f t="shared" si="8"/>
        <v>170626</v>
      </c>
      <c r="AC10" s="14">
        <f t="shared" si="8"/>
        <v>197551</v>
      </c>
      <c r="AD10" s="263"/>
      <c r="AE10" s="16"/>
      <c r="AF10" s="14">
        <f t="shared" ref="AF10:AQ10" si="9">SUM(AF15:AF19)</f>
        <v>255339</v>
      </c>
      <c r="AG10" s="14">
        <f t="shared" si="9"/>
        <v>292621</v>
      </c>
      <c r="AH10" s="14">
        <f t="shared" si="9"/>
        <v>397976</v>
      </c>
      <c r="AI10" s="14">
        <f t="shared" si="9"/>
        <v>388165</v>
      </c>
      <c r="AJ10" s="14">
        <f t="shared" si="9"/>
        <v>409301</v>
      </c>
      <c r="AK10" s="14">
        <f t="shared" si="9"/>
        <v>490913</v>
      </c>
      <c r="AL10" s="14">
        <f t="shared" si="9"/>
        <v>563229</v>
      </c>
      <c r="AM10" s="14">
        <f t="shared" si="9"/>
        <v>559169</v>
      </c>
      <c r="AN10" s="14">
        <f t="shared" si="9"/>
        <v>487294</v>
      </c>
      <c r="AO10" s="14">
        <f t="shared" si="9"/>
        <v>407614</v>
      </c>
      <c r="AP10" s="14">
        <f t="shared" si="9"/>
        <v>503756</v>
      </c>
      <c r="AQ10" s="14">
        <f t="shared" si="9"/>
        <v>531679</v>
      </c>
      <c r="AR10" s="14">
        <f t="shared" ref="AR10:AR25" si="10">AQ10</f>
        <v>531679</v>
      </c>
      <c r="AS10" s="17"/>
      <c r="AT10" s="14">
        <f t="shared" ref="AT10:BE10" si="11">SUM(AT15:AT19)</f>
        <v>471378</v>
      </c>
      <c r="AU10" s="14">
        <f t="shared" si="11"/>
        <v>473307</v>
      </c>
      <c r="AV10" s="14">
        <f t="shared" si="11"/>
        <v>412518</v>
      </c>
      <c r="AW10" s="14">
        <f t="shared" si="11"/>
        <v>398039</v>
      </c>
      <c r="AX10" s="14">
        <f t="shared" si="11"/>
        <v>417827</v>
      </c>
      <c r="AY10" s="14">
        <f t="shared" si="11"/>
        <v>507968</v>
      </c>
      <c r="AZ10" s="14">
        <f t="shared" si="11"/>
        <v>477530</v>
      </c>
      <c r="BA10" s="14">
        <f t="shared" si="11"/>
        <v>520708</v>
      </c>
      <c r="BB10" s="14">
        <f t="shared" si="11"/>
        <v>505851</v>
      </c>
      <c r="BC10" s="14">
        <f t="shared" si="11"/>
        <v>454245</v>
      </c>
      <c r="BD10" s="14">
        <f t="shared" si="11"/>
        <v>405700</v>
      </c>
      <c r="BE10" s="14">
        <f t="shared" si="11"/>
        <v>356505</v>
      </c>
      <c r="BF10" s="14">
        <f t="shared" ref="BF10:BF22" si="12">BE10</f>
        <v>356505</v>
      </c>
      <c r="BG10" s="17"/>
      <c r="BH10" s="14">
        <f t="shared" ref="BH10:BQ10" si="13">SUM(BH15:BH19)</f>
        <v>357143</v>
      </c>
      <c r="BI10" s="14">
        <f t="shared" si="13"/>
        <v>355011</v>
      </c>
      <c r="BJ10" s="14">
        <f t="shared" si="13"/>
        <v>344281</v>
      </c>
      <c r="BK10" s="14">
        <f t="shared" si="13"/>
        <v>389628</v>
      </c>
      <c r="BL10" s="14">
        <f t="shared" si="13"/>
        <v>324889</v>
      </c>
      <c r="BM10" s="14">
        <f t="shared" si="13"/>
        <v>352666</v>
      </c>
      <c r="BN10" s="14">
        <f t="shared" si="13"/>
        <v>418721</v>
      </c>
      <c r="BO10" s="14">
        <f t="shared" si="13"/>
        <v>356602</v>
      </c>
      <c r="BP10" s="14">
        <f t="shared" si="13"/>
        <v>326706</v>
      </c>
      <c r="BQ10" s="14">
        <f t="shared" si="13"/>
        <v>304987</v>
      </c>
      <c r="BR10" s="14">
        <f>SUM(BR15:BR19)</f>
        <v>228035</v>
      </c>
      <c r="BS10" s="14">
        <f>BS15+BS16+BS19</f>
        <v>201165</v>
      </c>
      <c r="BT10" s="14">
        <f>BS10</f>
        <v>201165</v>
      </c>
      <c r="BU10" s="18"/>
      <c r="BV10" s="14">
        <f>BV11+BV16+BV19</f>
        <v>247713</v>
      </c>
      <c r="BW10" s="14">
        <f t="shared" ref="BW10:CF10" si="14">BW11+BW16+BW19</f>
        <v>278707</v>
      </c>
      <c r="BX10" s="14">
        <f t="shared" si="14"/>
        <v>281829</v>
      </c>
      <c r="BY10" s="14">
        <f t="shared" si="14"/>
        <v>317753</v>
      </c>
      <c r="BZ10" s="14">
        <f t="shared" si="14"/>
        <v>270339</v>
      </c>
      <c r="CA10" s="14">
        <f t="shared" si="14"/>
        <v>310383</v>
      </c>
      <c r="CB10" s="14">
        <f t="shared" si="14"/>
        <v>328365</v>
      </c>
      <c r="CC10" s="14">
        <f t="shared" si="14"/>
        <v>333476</v>
      </c>
      <c r="CD10" s="14">
        <f>CD11+CD16+CD19</f>
        <v>306264</v>
      </c>
      <c r="CE10" s="14">
        <f t="shared" si="14"/>
        <v>270370</v>
      </c>
      <c r="CF10" s="14">
        <f t="shared" si="14"/>
        <v>194014</v>
      </c>
      <c r="CG10" s="14">
        <f>CG11+CG16+CG19</f>
        <v>182266</v>
      </c>
      <c r="CH10" s="14">
        <f t="shared" ref="CH10" si="15">CH15+CH16+CH19</f>
        <v>161447</v>
      </c>
      <c r="CJ10" s="14">
        <f>CH10+CJ71-CJ27</f>
        <v>145024.06</v>
      </c>
      <c r="CK10" s="14">
        <f>CJ10+CK71-CK27</f>
        <v>167771.39000000001</v>
      </c>
      <c r="CL10" s="14">
        <f>CK10+CL71-CL27</f>
        <v>152974.71000000002</v>
      </c>
      <c r="CM10" s="14">
        <f>CL10+CM71-CM27</f>
        <v>172918.05000000005</v>
      </c>
      <c r="CN10" s="14">
        <f>CM10+CN71-CN27</f>
        <v>208116.10000000003</v>
      </c>
      <c r="CO10" s="14">
        <f t="shared" ref="CO10:CU10" si="16">CN10+CO71-CO27</f>
        <v>281435.22000000003</v>
      </c>
      <c r="CP10" s="14">
        <f t="shared" si="16"/>
        <v>271715.13</v>
      </c>
      <c r="CQ10" s="14">
        <f>CP10+CQ71-CQ27</f>
        <v>271819.82</v>
      </c>
      <c r="CR10" s="14">
        <f t="shared" si="16"/>
        <v>212966.18000000002</v>
      </c>
      <c r="CS10" s="14">
        <f t="shared" si="16"/>
        <v>199749.26000000004</v>
      </c>
      <c r="CT10" s="14">
        <f t="shared" si="16"/>
        <v>211764.17</v>
      </c>
      <c r="CU10" s="14">
        <f t="shared" si="16"/>
        <v>228180.35000000003</v>
      </c>
      <c r="CV10" s="14">
        <v>116080.10690622788</v>
      </c>
      <c r="CX10" s="14">
        <f>CV10+CX71-CX27</f>
        <v>109586.01990622788</v>
      </c>
      <c r="CY10" s="14">
        <f>CX10+CY71-CY27</f>
        <v>73440.716406227904</v>
      </c>
      <c r="CZ10" s="14">
        <f>CY10+CZ71-CZ27</f>
        <v>53154.202406227909</v>
      </c>
      <c r="DA10" s="14">
        <f>CZ10+DA71-DA27</f>
        <v>69094.709406227921</v>
      </c>
      <c r="DB10" s="14">
        <f>DA10+DB71-DB27</f>
        <v>100802.66190622791</v>
      </c>
      <c r="DC10" s="14">
        <f t="shared" ref="DC10:DI10" si="17">DB10+DC71-DC27</f>
        <v>158612.73790622794</v>
      </c>
      <c r="DD10" s="14">
        <f t="shared" si="17"/>
        <v>133206.64340622793</v>
      </c>
      <c r="DE10" s="14">
        <f t="shared" si="17"/>
        <v>109166.56790622792</v>
      </c>
      <c r="DF10" s="14">
        <f t="shared" si="17"/>
        <v>23680.245906227909</v>
      </c>
      <c r="DG10" s="14">
        <f t="shared" si="17"/>
        <v>-5607.5200937721238</v>
      </c>
      <c r="DH10" s="14">
        <f t="shared" si="17"/>
        <v>-1731.8645937721303</v>
      </c>
      <c r="DI10" s="14">
        <f t="shared" si="17"/>
        <v>9525.1244062278565</v>
      </c>
      <c r="DJ10" s="14">
        <v>116080.10690622788</v>
      </c>
    </row>
    <row r="11" spans="1:114">
      <c r="A11" s="19">
        <v>0</v>
      </c>
      <c r="B11" s="158" t="s">
        <v>30</v>
      </c>
      <c r="C11" s="264"/>
      <c r="D11" s="265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66"/>
      <c r="Q11" s="21"/>
      <c r="R11" s="265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67"/>
      <c r="AE11" s="23"/>
      <c r="AF11" s="22"/>
      <c r="AG11" s="22"/>
      <c r="AH11" s="22"/>
      <c r="AI11" s="22"/>
      <c r="AJ11" s="24"/>
      <c r="AK11" s="22"/>
      <c r="AL11" s="22"/>
      <c r="AM11" s="22"/>
      <c r="AN11" s="22"/>
      <c r="AO11" s="22"/>
      <c r="AP11" s="25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6"/>
      <c r="BC11" s="22"/>
      <c r="BD11" s="22"/>
      <c r="BE11" s="22"/>
      <c r="BF11" s="22"/>
      <c r="BG11" s="27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8"/>
      <c r="BV11" s="22">
        <v>204006</v>
      </c>
      <c r="BW11" s="22">
        <v>241182</v>
      </c>
      <c r="BX11" s="22">
        <v>245950</v>
      </c>
      <c r="BY11" s="22">
        <v>281974</v>
      </c>
      <c r="BZ11" s="22">
        <v>202865</v>
      </c>
      <c r="CA11" s="22">
        <v>240895</v>
      </c>
      <c r="CB11" s="22">
        <v>273565</v>
      </c>
      <c r="CC11" s="22">
        <v>288981</v>
      </c>
      <c r="CD11" s="22">
        <v>273990</v>
      </c>
      <c r="CE11" s="22">
        <v>237556</v>
      </c>
      <c r="CF11" s="22">
        <v>168313</v>
      </c>
      <c r="CG11" s="22">
        <v>150819</v>
      </c>
      <c r="CH11" s="22">
        <f>CG11</f>
        <v>150819</v>
      </c>
      <c r="CJ11" s="22">
        <v>205037</v>
      </c>
      <c r="CK11" s="22">
        <v>230430</v>
      </c>
      <c r="CL11" s="22">
        <v>234343</v>
      </c>
      <c r="CM11" s="22">
        <v>262404</v>
      </c>
      <c r="CN11" s="22"/>
      <c r="CO11" s="22"/>
      <c r="CP11" s="22"/>
      <c r="CQ11" s="22"/>
      <c r="CR11" s="22"/>
      <c r="CS11" s="22"/>
      <c r="CT11" s="22"/>
      <c r="CU11" s="22"/>
      <c r="CV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</row>
    <row r="12" spans="1:114">
      <c r="A12" s="19">
        <v>0</v>
      </c>
      <c r="B12" s="158" t="s">
        <v>31</v>
      </c>
      <c r="C12" s="264"/>
      <c r="D12" s="265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66"/>
      <c r="Q12" s="21"/>
      <c r="R12" s="265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67"/>
      <c r="AE12" s="23"/>
      <c r="AF12" s="22"/>
      <c r="AG12" s="22"/>
      <c r="AH12" s="22"/>
      <c r="AI12" s="22"/>
      <c r="AJ12" s="24"/>
      <c r="AK12" s="22"/>
      <c r="AL12" s="22"/>
      <c r="AM12" s="22"/>
      <c r="AN12" s="22"/>
      <c r="AO12" s="22"/>
      <c r="AP12" s="25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6"/>
      <c r="BC12" s="22"/>
      <c r="BD12" s="22"/>
      <c r="BE12" s="22"/>
      <c r="BF12" s="22"/>
      <c r="BG12" s="27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8"/>
      <c r="BV12" s="22">
        <v>80956</v>
      </c>
      <c r="BW12" s="22">
        <v>110544</v>
      </c>
      <c r="BX12" s="22">
        <v>134506</v>
      </c>
      <c r="BY12" s="22">
        <v>127959</v>
      </c>
      <c r="BZ12" s="22">
        <v>66136</v>
      </c>
      <c r="CA12" s="22">
        <v>72582</v>
      </c>
      <c r="CB12" s="22">
        <v>94286</v>
      </c>
      <c r="CC12" s="22">
        <v>133081</v>
      </c>
      <c r="CD12" s="22">
        <v>148174</v>
      </c>
      <c r="CE12" s="22">
        <v>154201</v>
      </c>
      <c r="CF12" s="22">
        <v>97365</v>
      </c>
      <c r="CG12" s="22">
        <v>30184</v>
      </c>
      <c r="CH12" s="22"/>
      <c r="CJ12" s="22">
        <v>132209</v>
      </c>
      <c r="CK12" s="22">
        <v>180000</v>
      </c>
      <c r="CL12" s="22">
        <v>177643</v>
      </c>
      <c r="CM12" s="22">
        <v>148159</v>
      </c>
      <c r="CN12" s="22"/>
      <c r="CO12" s="22"/>
      <c r="CP12" s="22"/>
      <c r="CQ12" s="22"/>
      <c r="CR12" s="22"/>
      <c r="CS12" s="22"/>
      <c r="CT12" s="22"/>
      <c r="CU12" s="22"/>
      <c r="CV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</row>
    <row r="13" spans="1:114">
      <c r="A13" s="19">
        <v>0</v>
      </c>
      <c r="B13" s="158" t="s">
        <v>32</v>
      </c>
      <c r="C13" s="264"/>
      <c r="D13" s="26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66"/>
      <c r="Q13" s="21"/>
      <c r="R13" s="265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67"/>
      <c r="AE13" s="23"/>
      <c r="AF13" s="22"/>
      <c r="AG13" s="22"/>
      <c r="AH13" s="22"/>
      <c r="AI13" s="22"/>
      <c r="AJ13" s="24"/>
      <c r="AK13" s="22"/>
      <c r="AL13" s="22"/>
      <c r="AM13" s="22"/>
      <c r="AN13" s="22"/>
      <c r="AO13" s="22"/>
      <c r="AP13" s="25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6"/>
      <c r="BC13" s="22"/>
      <c r="BD13" s="22"/>
      <c r="BE13" s="22"/>
      <c r="BF13" s="22"/>
      <c r="BG13" s="27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8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J13" s="22">
        <v>150321</v>
      </c>
      <c r="CK13" s="22">
        <v>133602</v>
      </c>
      <c r="CL13" s="22">
        <v>135672</v>
      </c>
      <c r="CM13" s="22">
        <v>127653</v>
      </c>
      <c r="CN13" s="22"/>
      <c r="CO13" s="22"/>
      <c r="CP13" s="22"/>
      <c r="CQ13" s="22"/>
      <c r="CR13" s="22"/>
      <c r="CS13" s="22"/>
      <c r="CT13" s="22"/>
      <c r="CU13" s="22"/>
      <c r="CV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</row>
    <row r="14" spans="1:114">
      <c r="A14" s="19">
        <v>0</v>
      </c>
      <c r="B14" s="717" t="s">
        <v>33</v>
      </c>
      <c r="C14" s="264"/>
      <c r="D14" s="26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66"/>
      <c r="Q14" s="21"/>
      <c r="R14" s="265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67"/>
      <c r="AE14" s="23"/>
      <c r="AF14" s="22"/>
      <c r="AG14" s="22"/>
      <c r="AH14" s="22"/>
      <c r="AI14" s="22"/>
      <c r="AJ14" s="24"/>
      <c r="AK14" s="22"/>
      <c r="AL14" s="22"/>
      <c r="AM14" s="22"/>
      <c r="AN14" s="22"/>
      <c r="AO14" s="22"/>
      <c r="AP14" s="25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6"/>
      <c r="BC14" s="22"/>
      <c r="BD14" s="22"/>
      <c r="BE14" s="22"/>
      <c r="BF14" s="22"/>
      <c r="BG14" s="27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8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J14" s="718">
        <v>36757</v>
      </c>
      <c r="CK14" s="718">
        <v>55826</v>
      </c>
      <c r="CL14" s="718">
        <v>60438</v>
      </c>
      <c r="CM14" s="718">
        <v>50114</v>
      </c>
      <c r="CN14" s="22"/>
      <c r="CO14" s="22"/>
      <c r="CP14" s="22"/>
      <c r="CQ14" s="22"/>
      <c r="CR14" s="22"/>
      <c r="CS14" s="22"/>
      <c r="CT14" s="22"/>
      <c r="CU14" s="22"/>
      <c r="CV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</row>
    <row r="15" spans="1:114" s="698" customFormat="1" ht="15.75">
      <c r="A15" s="683">
        <v>1</v>
      </c>
      <c r="B15" s="684" t="s">
        <v>34</v>
      </c>
      <c r="C15" s="685"/>
      <c r="D15" s="686">
        <v>197000</v>
      </c>
      <c r="E15" s="687">
        <v>223027</v>
      </c>
      <c r="F15" s="687">
        <v>230513</v>
      </c>
      <c r="G15" s="687">
        <v>231174</v>
      </c>
      <c r="H15" s="687">
        <v>255028</v>
      </c>
      <c r="I15" s="687">
        <f>316386+3241</f>
        <v>319627</v>
      </c>
      <c r="J15" s="687">
        <v>377712</v>
      </c>
      <c r="K15" s="687">
        <v>382411</v>
      </c>
      <c r="L15" s="687">
        <v>394107</v>
      </c>
      <c r="M15" s="687">
        <v>267954</v>
      </c>
      <c r="N15" s="687"/>
      <c r="O15" s="687">
        <v>143875</v>
      </c>
      <c r="P15" s="688"/>
      <c r="Q15" s="689"/>
      <c r="R15" s="686">
        <v>208084</v>
      </c>
      <c r="S15" s="690">
        <v>268431</v>
      </c>
      <c r="T15" s="690">
        <v>250616</v>
      </c>
      <c r="U15" s="690">
        <v>237088</v>
      </c>
      <c r="V15" s="690">
        <v>147777</v>
      </c>
      <c r="W15" s="690">
        <v>215818</v>
      </c>
      <c r="X15" s="690">
        <v>273510</v>
      </c>
      <c r="Y15" s="690">
        <v>299059</v>
      </c>
      <c r="Z15" s="690">
        <v>304980</v>
      </c>
      <c r="AA15" s="690">
        <v>231197</v>
      </c>
      <c r="AB15" s="690">
        <v>143086</v>
      </c>
      <c r="AC15" s="690">
        <v>172491</v>
      </c>
      <c r="AD15" s="691"/>
      <c r="AE15" s="692"/>
      <c r="AF15" s="690">
        <v>198695</v>
      </c>
      <c r="AG15" s="690">
        <v>234210</v>
      </c>
      <c r="AH15" s="690">
        <v>327560</v>
      </c>
      <c r="AI15" s="690">
        <v>332523</v>
      </c>
      <c r="AJ15" s="693">
        <v>356667</v>
      </c>
      <c r="AK15" s="690">
        <v>384165</v>
      </c>
      <c r="AL15" s="690">
        <v>317268</v>
      </c>
      <c r="AM15" s="690">
        <v>370708</v>
      </c>
      <c r="AN15" s="690">
        <v>354503</v>
      </c>
      <c r="AO15" s="690">
        <v>314605</v>
      </c>
      <c r="AP15" s="694">
        <v>90490</v>
      </c>
      <c r="AQ15" s="690">
        <v>58348</v>
      </c>
      <c r="AR15" s="690">
        <f t="shared" si="10"/>
        <v>58348</v>
      </c>
      <c r="AS15" s="692"/>
      <c r="AT15" s="690">
        <v>158701</v>
      </c>
      <c r="AU15" s="690">
        <v>115369</v>
      </c>
      <c r="AV15" s="690">
        <v>142379</v>
      </c>
      <c r="AW15" s="690">
        <v>118765</v>
      </c>
      <c r="AX15" s="690">
        <v>113246</v>
      </c>
      <c r="AY15" s="690">
        <v>106776</v>
      </c>
      <c r="AZ15" s="690">
        <v>175234</v>
      </c>
      <c r="BA15" s="690">
        <v>151553</v>
      </c>
      <c r="BB15" s="695">
        <v>167082</v>
      </c>
      <c r="BC15" s="690">
        <v>150959</v>
      </c>
      <c r="BD15" s="690">
        <v>119787</v>
      </c>
      <c r="BE15" s="690">
        <v>65426</v>
      </c>
      <c r="BF15" s="690">
        <f t="shared" si="12"/>
        <v>65426</v>
      </c>
      <c r="BG15" s="696"/>
      <c r="BH15" s="690">
        <v>166918</v>
      </c>
      <c r="BI15" s="690">
        <v>167160</v>
      </c>
      <c r="BJ15" s="690">
        <v>204571</v>
      </c>
      <c r="BK15" s="690">
        <v>153197</v>
      </c>
      <c r="BL15" s="690">
        <v>196798</v>
      </c>
      <c r="BM15" s="690">
        <v>145596</v>
      </c>
      <c r="BN15" s="690">
        <v>166021</v>
      </c>
      <c r="BO15" s="690">
        <v>211305</v>
      </c>
      <c r="BP15" s="690">
        <v>201071</v>
      </c>
      <c r="BQ15" s="690">
        <v>177743</v>
      </c>
      <c r="BR15" s="690">
        <v>144020</v>
      </c>
      <c r="BS15" s="690">
        <v>154347</v>
      </c>
      <c r="BT15" s="690">
        <f>BS15</f>
        <v>154347</v>
      </c>
      <c r="BU15" s="697"/>
      <c r="BV15" s="690">
        <v>151471</v>
      </c>
      <c r="BW15" s="690">
        <v>155653</v>
      </c>
      <c r="BX15" s="690">
        <v>151611</v>
      </c>
      <c r="BY15" s="690">
        <v>177044</v>
      </c>
      <c r="BZ15" s="690">
        <v>170481</v>
      </c>
      <c r="CA15" s="690">
        <v>221665</v>
      </c>
      <c r="CB15" s="690">
        <v>218105</v>
      </c>
      <c r="CC15" s="690">
        <v>188153</v>
      </c>
      <c r="CD15" s="690">
        <v>147751</v>
      </c>
      <c r="CE15" s="690">
        <v>112996</v>
      </c>
      <c r="CF15" s="690">
        <v>135968</v>
      </c>
      <c r="CG15" s="690">
        <v>130000</v>
      </c>
      <c r="CH15" s="690">
        <f t="shared" ref="CH15:CH25" si="18">CG15</f>
        <v>130000</v>
      </c>
      <c r="CI15" s="707">
        <v>114000</v>
      </c>
      <c r="CJ15" s="690">
        <v>109585</v>
      </c>
      <c r="CK15" s="690">
        <v>103815</v>
      </c>
      <c r="CL15" s="690">
        <v>117138</v>
      </c>
      <c r="CM15" s="690">
        <f>CL15+CM71-CM27</f>
        <v>137081.34000000003</v>
      </c>
      <c r="CN15" s="690">
        <f t="shared" ref="CN15:CU15" si="19">CM15+CN71-CN27</f>
        <v>172279.39</v>
      </c>
      <c r="CO15" s="690">
        <f t="shared" si="19"/>
        <v>245598.51</v>
      </c>
      <c r="CP15" s="690">
        <f t="shared" si="19"/>
        <v>235878.42</v>
      </c>
      <c r="CQ15" s="690">
        <f t="shared" si="19"/>
        <v>235983.11000000004</v>
      </c>
      <c r="CR15" s="690">
        <f t="shared" si="19"/>
        <v>177129.47000000006</v>
      </c>
      <c r="CS15" s="690">
        <f t="shared" si="19"/>
        <v>163912.55000000008</v>
      </c>
      <c r="CT15" s="690">
        <f t="shared" si="19"/>
        <v>175927.46000000005</v>
      </c>
      <c r="CU15" s="690">
        <f t="shared" si="19"/>
        <v>192343.64000000007</v>
      </c>
      <c r="CV15" s="690"/>
      <c r="CX15" s="690">
        <f>CU15+CX71-CX27</f>
        <v>185849.55300000007</v>
      </c>
      <c r="CY15" s="690">
        <f>CX15+CY71-CY27</f>
        <v>149704.24950000009</v>
      </c>
      <c r="CZ15" s="690">
        <f t="shared" ref="CZ15:DI15" si="20">CY15+CZ71-CZ27</f>
        <v>129417.7355000001</v>
      </c>
      <c r="DA15" s="690">
        <f t="shared" si="20"/>
        <v>145358.24250000008</v>
      </c>
      <c r="DB15" s="690">
        <f t="shared" si="20"/>
        <v>177066.19500000004</v>
      </c>
      <c r="DC15" s="690">
        <f t="shared" si="20"/>
        <v>234876.27100000007</v>
      </c>
      <c r="DD15" s="690">
        <f t="shared" si="20"/>
        <v>209470.17650000006</v>
      </c>
      <c r="DE15" s="690">
        <f t="shared" si="20"/>
        <v>185430.10100000005</v>
      </c>
      <c r="DF15" s="690">
        <f t="shared" si="20"/>
        <v>99943.779000000039</v>
      </c>
      <c r="DG15" s="690">
        <f t="shared" si="20"/>
        <v>70656.013000000006</v>
      </c>
      <c r="DH15" s="690">
        <f t="shared" si="20"/>
        <v>74531.6685</v>
      </c>
      <c r="DI15" s="690">
        <f t="shared" si="20"/>
        <v>85788.657499999987</v>
      </c>
      <c r="DJ15" s="690">
        <v>0</v>
      </c>
    </row>
    <row r="16" spans="1:114">
      <c r="A16" s="19">
        <v>2</v>
      </c>
      <c r="B16" s="702" t="s">
        <v>35</v>
      </c>
      <c r="C16" s="264"/>
      <c r="D16" s="265">
        <v>73670</v>
      </c>
      <c r="E16" s="20">
        <v>59682</v>
      </c>
      <c r="F16" s="20">
        <v>54710</v>
      </c>
      <c r="G16" s="20">
        <v>56175</v>
      </c>
      <c r="H16" s="20">
        <v>58933</v>
      </c>
      <c r="I16" s="20">
        <v>42784</v>
      </c>
      <c r="J16" s="20">
        <v>35755</v>
      </c>
      <c r="K16" s="20">
        <v>33547</v>
      </c>
      <c r="L16" s="20">
        <v>22824</v>
      </c>
      <c r="M16" s="20">
        <v>26162</v>
      </c>
      <c r="N16" s="20"/>
      <c r="O16" s="20">
        <v>44389</v>
      </c>
      <c r="P16" s="266"/>
      <c r="Q16" s="21"/>
      <c r="R16" s="265">
        <v>39759</v>
      </c>
      <c r="S16" s="22">
        <v>38325</v>
      </c>
      <c r="T16" s="22">
        <v>26634</v>
      </c>
      <c r="U16" s="22">
        <f>14430+2754+7859</f>
        <v>25043</v>
      </c>
      <c r="V16" s="22">
        <v>23840</v>
      </c>
      <c r="W16" s="22">
        <v>20057</v>
      </c>
      <c r="X16" s="22">
        <v>80502</v>
      </c>
      <c r="Y16" s="22">
        <v>56483</v>
      </c>
      <c r="Z16" s="22">
        <v>44233</v>
      </c>
      <c r="AA16" s="22">
        <v>38155</v>
      </c>
      <c r="AB16" s="22">
        <v>27540</v>
      </c>
      <c r="AC16" s="22">
        <v>25060</v>
      </c>
      <c r="AD16" s="267"/>
      <c r="AE16" s="23"/>
      <c r="AF16" s="22">
        <v>21326</v>
      </c>
      <c r="AG16" s="22">
        <v>17804</v>
      </c>
      <c r="AH16" s="22">
        <v>27157</v>
      </c>
      <c r="AI16" s="22">
        <v>19677</v>
      </c>
      <c r="AJ16" s="22">
        <v>18817</v>
      </c>
      <c r="AK16" s="22">
        <v>25034</v>
      </c>
      <c r="AL16" s="22">
        <v>28090</v>
      </c>
      <c r="AM16" s="22">
        <v>25660</v>
      </c>
      <c r="AN16" s="22">
        <v>33752</v>
      </c>
      <c r="AO16" s="22">
        <v>24699</v>
      </c>
      <c r="AP16" s="25">
        <v>19340</v>
      </c>
      <c r="AQ16" s="22">
        <v>29842</v>
      </c>
      <c r="AR16" s="22">
        <f t="shared" si="10"/>
        <v>29842</v>
      </c>
      <c r="AS16" s="23"/>
      <c r="AT16" s="22">
        <v>46493</v>
      </c>
      <c r="AU16" s="22">
        <v>37125</v>
      </c>
      <c r="AV16" s="22">
        <v>38574</v>
      </c>
      <c r="AW16" s="22">
        <v>43626</v>
      </c>
      <c r="AX16" s="22">
        <v>39641</v>
      </c>
      <c r="AY16" s="22">
        <v>55553</v>
      </c>
      <c r="AZ16" s="22">
        <v>48023</v>
      </c>
      <c r="BA16" s="22">
        <v>55043</v>
      </c>
      <c r="BB16" s="26">
        <v>50383</v>
      </c>
      <c r="BC16" s="22">
        <v>54355</v>
      </c>
      <c r="BD16" s="22">
        <v>82473</v>
      </c>
      <c r="BE16" s="22">
        <v>65398</v>
      </c>
      <c r="BF16" s="22">
        <f t="shared" si="12"/>
        <v>65398</v>
      </c>
      <c r="BG16" s="27"/>
      <c r="BH16" s="22">
        <v>68747</v>
      </c>
      <c r="BI16" s="22">
        <v>62843</v>
      </c>
      <c r="BJ16" s="22">
        <v>62154</v>
      </c>
      <c r="BK16" s="22">
        <v>49337</v>
      </c>
      <c r="BL16" s="22">
        <v>27730</v>
      </c>
      <c r="BM16" s="22">
        <v>42459</v>
      </c>
      <c r="BN16" s="22">
        <v>44049</v>
      </c>
      <c r="BO16" s="22">
        <v>29196</v>
      </c>
      <c r="BP16" s="22">
        <v>36882</v>
      </c>
      <c r="BQ16" s="22">
        <v>35965</v>
      </c>
      <c r="BR16" s="22">
        <v>31343</v>
      </c>
      <c r="BS16" s="22">
        <v>23087</v>
      </c>
      <c r="BT16" s="22">
        <f t="shared" ref="BT16:BT25" si="21">BS16</f>
        <v>23087</v>
      </c>
      <c r="BU16" s="28"/>
      <c r="BV16" s="22">
        <v>15202</v>
      </c>
      <c r="BW16" s="22">
        <v>12471</v>
      </c>
      <c r="BX16" s="22">
        <v>11483</v>
      </c>
      <c r="BY16" s="22">
        <v>14071</v>
      </c>
      <c r="BZ16" s="22">
        <v>49617</v>
      </c>
      <c r="CA16" s="22">
        <v>36385</v>
      </c>
      <c r="CB16" s="22">
        <v>25473</v>
      </c>
      <c r="CC16" s="22">
        <v>16933</v>
      </c>
      <c r="CD16" s="22">
        <v>12684</v>
      </c>
      <c r="CE16" s="22">
        <v>21084</v>
      </c>
      <c r="CF16" s="22">
        <v>15172</v>
      </c>
      <c r="CG16" s="22">
        <v>11469</v>
      </c>
      <c r="CH16" s="22">
        <f>CG16</f>
        <v>11469</v>
      </c>
      <c r="CI16">
        <f>7500*5</f>
        <v>37500</v>
      </c>
      <c r="CJ16" s="22">
        <v>9465</v>
      </c>
      <c r="CK16" s="22">
        <v>13722</v>
      </c>
      <c r="CL16" s="22">
        <v>10771</v>
      </c>
      <c r="CM16" s="22">
        <v>8991</v>
      </c>
      <c r="CN16" s="22"/>
      <c r="CO16" s="22"/>
      <c r="CP16" s="22"/>
      <c r="CQ16" s="22"/>
      <c r="CR16" s="22"/>
      <c r="CS16" s="22"/>
      <c r="CT16" s="22"/>
      <c r="CU16" s="22"/>
      <c r="CV16" s="22">
        <v>0</v>
      </c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>
        <v>0</v>
      </c>
    </row>
    <row r="17" spans="1:114">
      <c r="A17" s="19">
        <v>3</v>
      </c>
      <c r="B17" s="702" t="s">
        <v>36</v>
      </c>
      <c r="C17" s="264"/>
      <c r="D17" s="268">
        <v>34116</v>
      </c>
      <c r="E17" s="269">
        <v>29277</v>
      </c>
      <c r="F17" s="269">
        <v>43008</v>
      </c>
      <c r="G17" s="269">
        <v>30524</v>
      </c>
      <c r="H17" s="269">
        <v>33235</v>
      </c>
      <c r="I17" s="269">
        <v>39842</v>
      </c>
      <c r="J17" s="269">
        <v>41021</v>
      </c>
      <c r="K17" s="269">
        <v>31224</v>
      </c>
      <c r="L17" s="269"/>
      <c r="M17" s="269">
        <v>10286</v>
      </c>
      <c r="N17" s="269"/>
      <c r="O17" s="269"/>
      <c r="P17" s="266"/>
      <c r="Q17" s="21"/>
      <c r="R17" s="268">
        <v>35516</v>
      </c>
      <c r="S17" s="270">
        <v>35962</v>
      </c>
      <c r="T17" s="270">
        <v>35962</v>
      </c>
      <c r="U17" s="270">
        <v>35962</v>
      </c>
      <c r="V17" s="270">
        <v>35000</v>
      </c>
      <c r="W17" s="270"/>
      <c r="X17" s="270">
        <v>6123</v>
      </c>
      <c r="Y17" s="270">
        <v>6123</v>
      </c>
      <c r="Z17" s="270">
        <v>4187</v>
      </c>
      <c r="AA17" s="270">
        <v>2745</v>
      </c>
      <c r="AB17" s="270"/>
      <c r="AC17" s="270"/>
      <c r="AD17" s="267"/>
      <c r="AE17" s="23"/>
      <c r="AF17" s="270">
        <v>8366</v>
      </c>
      <c r="AG17" s="270">
        <v>11534</v>
      </c>
      <c r="AH17" s="270">
        <v>11507</v>
      </c>
      <c r="AI17" s="270">
        <v>9148</v>
      </c>
      <c r="AJ17" s="22">
        <v>8524</v>
      </c>
      <c r="AK17" s="270">
        <v>25290</v>
      </c>
      <c r="AL17" s="270">
        <v>91080</v>
      </c>
      <c r="AM17" s="270">
        <v>66830</v>
      </c>
      <c r="AN17" s="270">
        <v>36866</v>
      </c>
      <c r="AO17" s="270">
        <v>16173</v>
      </c>
      <c r="AP17" s="271">
        <v>178274</v>
      </c>
      <c r="AQ17" s="270">
        <v>210665</v>
      </c>
      <c r="AR17" s="22">
        <f t="shared" si="10"/>
        <v>210665</v>
      </c>
      <c r="AS17" s="23"/>
      <c r="AT17" s="270">
        <v>121075</v>
      </c>
      <c r="AU17" s="270">
        <v>149376</v>
      </c>
      <c r="AV17" s="270">
        <v>104538</v>
      </c>
      <c r="AW17" s="270">
        <v>105262</v>
      </c>
      <c r="AX17" s="270">
        <v>121073</v>
      </c>
      <c r="AY17" s="270">
        <v>163931</v>
      </c>
      <c r="AZ17" s="270">
        <v>109964</v>
      </c>
      <c r="BA17" s="270">
        <v>148266</v>
      </c>
      <c r="BB17" s="26">
        <v>130697</v>
      </c>
      <c r="BC17" s="270">
        <v>113779</v>
      </c>
      <c r="BD17" s="270">
        <v>91119</v>
      </c>
      <c r="BE17" s="270">
        <v>103286</v>
      </c>
      <c r="BF17" s="22">
        <f t="shared" si="12"/>
        <v>103286</v>
      </c>
      <c r="BG17" s="27"/>
      <c r="BH17" s="270">
        <v>49631</v>
      </c>
      <c r="BI17" s="270">
        <v>52953</v>
      </c>
      <c r="BJ17" s="270">
        <v>28440</v>
      </c>
      <c r="BK17" s="270">
        <v>83601</v>
      </c>
      <c r="BL17" s="22">
        <v>25812</v>
      </c>
      <c r="BM17" s="22">
        <v>59545</v>
      </c>
      <c r="BN17" s="22">
        <v>83435</v>
      </c>
      <c r="BO17" s="22">
        <v>34041</v>
      </c>
      <c r="BP17" s="22">
        <v>22399</v>
      </c>
      <c r="BQ17" s="22">
        <v>24887</v>
      </c>
      <c r="BR17" s="22">
        <v>12183</v>
      </c>
      <c r="BS17" s="22">
        <v>12183</v>
      </c>
      <c r="BT17" s="22">
        <f t="shared" si="21"/>
        <v>12183</v>
      </c>
      <c r="BU17" s="28"/>
      <c r="BV17" s="270">
        <v>5216</v>
      </c>
      <c r="BW17" s="270"/>
      <c r="BX17" s="270">
        <v>65273</v>
      </c>
      <c r="BY17" s="270">
        <v>70182</v>
      </c>
      <c r="BZ17" s="22">
        <v>57659</v>
      </c>
      <c r="CA17" s="22">
        <v>71669</v>
      </c>
      <c r="CB17" s="22">
        <v>73078</v>
      </c>
      <c r="CC17" s="22">
        <v>85302</v>
      </c>
      <c r="CD17" s="22">
        <v>25343</v>
      </c>
      <c r="CE17" s="22">
        <v>19030</v>
      </c>
      <c r="CF17" s="22">
        <v>19422</v>
      </c>
      <c r="CG17" s="22">
        <v>25927</v>
      </c>
      <c r="CH17" s="22">
        <f>CG17</f>
        <v>25927</v>
      </c>
      <c r="CI17">
        <v>29000</v>
      </c>
      <c r="CJ17" s="270">
        <v>21580</v>
      </c>
      <c r="CK17" s="270">
        <v>18052</v>
      </c>
      <c r="CL17" s="270">
        <v>30722</v>
      </c>
      <c r="CM17" s="270">
        <v>55095</v>
      </c>
      <c r="CN17" s="22"/>
      <c r="CO17" s="22"/>
      <c r="CP17" s="22"/>
      <c r="CQ17" s="22"/>
      <c r="CR17" s="22"/>
      <c r="CS17" s="22"/>
      <c r="CT17" s="22"/>
      <c r="CU17" s="22"/>
      <c r="CV17" s="22">
        <v>0</v>
      </c>
      <c r="CX17" s="270"/>
      <c r="CY17" s="270"/>
      <c r="CZ17" s="270"/>
      <c r="DA17" s="270"/>
      <c r="DB17" s="22"/>
      <c r="DC17" s="22"/>
      <c r="DD17" s="22"/>
      <c r="DE17" s="22"/>
      <c r="DF17" s="22"/>
      <c r="DG17" s="22"/>
      <c r="DH17" s="22"/>
      <c r="DI17" s="22"/>
      <c r="DJ17" s="22">
        <v>0</v>
      </c>
    </row>
    <row r="18" spans="1:114">
      <c r="A18" s="19">
        <v>4</v>
      </c>
      <c r="B18" s="702" t="s">
        <v>37</v>
      </c>
      <c r="C18" s="264"/>
      <c r="D18" s="268">
        <v>34116</v>
      </c>
      <c r="E18" s="269">
        <v>29277</v>
      </c>
      <c r="F18" s="269">
        <v>43008</v>
      </c>
      <c r="G18" s="269">
        <v>30524</v>
      </c>
      <c r="H18" s="269">
        <v>33235</v>
      </c>
      <c r="I18" s="269">
        <v>39842</v>
      </c>
      <c r="J18" s="269">
        <v>41021</v>
      </c>
      <c r="K18" s="269">
        <v>31224</v>
      </c>
      <c r="L18" s="269"/>
      <c r="M18" s="269">
        <v>10286</v>
      </c>
      <c r="N18" s="269"/>
      <c r="O18" s="269"/>
      <c r="P18" s="266"/>
      <c r="Q18" s="21"/>
      <c r="R18" s="268">
        <v>35516</v>
      </c>
      <c r="S18" s="270">
        <v>35962</v>
      </c>
      <c r="T18" s="270">
        <v>35962</v>
      </c>
      <c r="U18" s="270">
        <v>35962</v>
      </c>
      <c r="V18" s="270">
        <v>35000</v>
      </c>
      <c r="W18" s="270"/>
      <c r="X18" s="270">
        <v>6123</v>
      </c>
      <c r="Y18" s="270">
        <v>6123</v>
      </c>
      <c r="Z18" s="270">
        <v>4187</v>
      </c>
      <c r="AA18" s="270">
        <v>2745</v>
      </c>
      <c r="AB18" s="270"/>
      <c r="AC18" s="270"/>
      <c r="AD18" s="267"/>
      <c r="AE18" s="23"/>
      <c r="AF18" s="270">
        <v>8366</v>
      </c>
      <c r="AG18" s="270">
        <v>11534</v>
      </c>
      <c r="AH18" s="270">
        <v>11507</v>
      </c>
      <c r="AI18" s="270">
        <v>9148</v>
      </c>
      <c r="AJ18" s="22">
        <v>8524</v>
      </c>
      <c r="AK18" s="270">
        <v>25290</v>
      </c>
      <c r="AL18" s="270">
        <v>91080</v>
      </c>
      <c r="AM18" s="270">
        <v>66830</v>
      </c>
      <c r="AN18" s="270">
        <v>36866</v>
      </c>
      <c r="AO18" s="270">
        <v>16173</v>
      </c>
      <c r="AP18" s="271">
        <v>178274</v>
      </c>
      <c r="AQ18" s="270">
        <v>210665</v>
      </c>
      <c r="AR18" s="22">
        <f t="shared" si="10"/>
        <v>210665</v>
      </c>
      <c r="AS18" s="23"/>
      <c r="AT18" s="270">
        <v>121075</v>
      </c>
      <c r="AU18" s="270">
        <v>149376</v>
      </c>
      <c r="AV18" s="270">
        <v>104538</v>
      </c>
      <c r="AW18" s="270">
        <v>105262</v>
      </c>
      <c r="AX18" s="270">
        <v>121073</v>
      </c>
      <c r="AY18" s="270">
        <v>163931</v>
      </c>
      <c r="AZ18" s="270">
        <v>109964</v>
      </c>
      <c r="BA18" s="270">
        <v>148266</v>
      </c>
      <c r="BB18" s="26">
        <v>130697</v>
      </c>
      <c r="BC18" s="270">
        <v>113779</v>
      </c>
      <c r="BD18" s="270">
        <v>91119</v>
      </c>
      <c r="BE18" s="270">
        <v>103286</v>
      </c>
      <c r="BF18" s="22">
        <f t="shared" si="12"/>
        <v>103286</v>
      </c>
      <c r="BG18" s="27"/>
      <c r="BH18" s="270">
        <v>49631</v>
      </c>
      <c r="BI18" s="270">
        <v>52953</v>
      </c>
      <c r="BJ18" s="270">
        <v>28440</v>
      </c>
      <c r="BK18" s="270">
        <v>83601</v>
      </c>
      <c r="BL18" s="22">
        <v>25812</v>
      </c>
      <c r="BM18" s="22">
        <v>59545</v>
      </c>
      <c r="BN18" s="22">
        <v>83435</v>
      </c>
      <c r="BO18" s="22">
        <v>34041</v>
      </c>
      <c r="BP18" s="22">
        <v>22399</v>
      </c>
      <c r="BQ18" s="22">
        <v>24887</v>
      </c>
      <c r="BR18" s="22">
        <v>12183</v>
      </c>
      <c r="BS18" s="22">
        <v>12183</v>
      </c>
      <c r="BT18" s="22">
        <f t="shared" si="21"/>
        <v>12183</v>
      </c>
      <c r="BU18" s="28"/>
      <c r="BV18" s="270"/>
      <c r="BW18" s="270"/>
      <c r="BX18" s="270"/>
      <c r="BY18" s="270"/>
      <c r="BZ18" s="22"/>
      <c r="CA18" s="22"/>
      <c r="CB18" s="22"/>
      <c r="CC18" s="22"/>
      <c r="CD18" s="22">
        <v>6361</v>
      </c>
      <c r="CE18" s="22">
        <v>7759</v>
      </c>
      <c r="CF18" s="22">
        <v>6573</v>
      </c>
      <c r="CG18" s="22">
        <v>9541</v>
      </c>
      <c r="CH18" s="22">
        <f t="shared" si="18"/>
        <v>9541</v>
      </c>
      <c r="CI18">
        <f>CI15+CI16-CI17</f>
        <v>122500</v>
      </c>
      <c r="CJ18" s="270">
        <v>9582</v>
      </c>
      <c r="CK18" s="270">
        <v>7266</v>
      </c>
      <c r="CL18" s="270">
        <v>11364</v>
      </c>
      <c r="CM18" s="270">
        <v>15500</v>
      </c>
      <c r="CN18" s="22"/>
      <c r="CO18" s="22"/>
      <c r="CP18" s="22"/>
      <c r="CQ18" s="22"/>
      <c r="CR18" s="22"/>
      <c r="CS18" s="22"/>
      <c r="CT18" s="22"/>
      <c r="CU18" s="22"/>
      <c r="CV18" s="22">
        <v>0</v>
      </c>
      <c r="CX18" s="270"/>
      <c r="CY18" s="270"/>
      <c r="CZ18" s="270"/>
      <c r="DA18" s="270"/>
      <c r="DB18" s="22"/>
      <c r="DC18" s="22"/>
      <c r="DD18" s="22"/>
      <c r="DE18" s="22"/>
      <c r="DF18" s="22"/>
      <c r="DG18" s="22"/>
      <c r="DH18" s="22"/>
      <c r="DI18" s="22"/>
      <c r="DJ18" s="22">
        <v>0</v>
      </c>
    </row>
    <row r="19" spans="1:114">
      <c r="A19" s="19">
        <v>1</v>
      </c>
      <c r="B19" s="158" t="s">
        <v>38</v>
      </c>
      <c r="C19" s="159"/>
      <c r="D19" s="265">
        <v>6409</v>
      </c>
      <c r="E19" s="20">
        <v>6860</v>
      </c>
      <c r="F19" s="20">
        <v>4970</v>
      </c>
      <c r="G19" s="20">
        <v>31203</v>
      </c>
      <c r="H19" s="20">
        <v>31499</v>
      </c>
      <c r="I19" s="20">
        <v>25903</v>
      </c>
      <c r="J19" s="20">
        <v>18606</v>
      </c>
      <c r="K19" s="20">
        <v>16014</v>
      </c>
      <c r="L19" s="20">
        <v>13416</v>
      </c>
      <c r="M19" s="20">
        <v>40079</v>
      </c>
      <c r="N19" s="20"/>
      <c r="O19" s="20">
        <v>0</v>
      </c>
      <c r="P19" s="266"/>
      <c r="Q19" s="21"/>
      <c r="R19" s="265">
        <v>3376</v>
      </c>
      <c r="S19" s="22">
        <v>11736</v>
      </c>
      <c r="T19" s="22">
        <v>22454</v>
      </c>
      <c r="U19" s="22">
        <v>21384</v>
      </c>
      <c r="V19" s="22">
        <v>66870</v>
      </c>
      <c r="W19" s="22">
        <v>73769</v>
      </c>
      <c r="X19" s="22">
        <v>13944</v>
      </c>
      <c r="Y19" s="22">
        <v>32750</v>
      </c>
      <c r="Z19" s="22">
        <v>18536</v>
      </c>
      <c r="AA19" s="22">
        <v>40211</v>
      </c>
      <c r="AB19" s="22">
        <v>44457</v>
      </c>
      <c r="AC19" s="22">
        <v>24504</v>
      </c>
      <c r="AD19" s="267"/>
      <c r="AE19" s="23"/>
      <c r="AF19" s="22">
        <v>18586</v>
      </c>
      <c r="AG19" s="22">
        <v>17539</v>
      </c>
      <c r="AH19" s="22">
        <v>20245</v>
      </c>
      <c r="AI19" s="22">
        <v>17669</v>
      </c>
      <c r="AJ19" s="22">
        <v>16769</v>
      </c>
      <c r="AK19" s="22">
        <v>31134</v>
      </c>
      <c r="AL19" s="22">
        <v>35711</v>
      </c>
      <c r="AM19" s="22">
        <v>29141</v>
      </c>
      <c r="AN19" s="22">
        <v>25307</v>
      </c>
      <c r="AO19" s="22">
        <v>35964</v>
      </c>
      <c r="AP19" s="25">
        <v>37378</v>
      </c>
      <c r="AQ19" s="22">
        <v>22159</v>
      </c>
      <c r="AR19" s="22">
        <f t="shared" si="10"/>
        <v>22159</v>
      </c>
      <c r="AS19" s="23"/>
      <c r="AT19" s="22">
        <v>24034</v>
      </c>
      <c r="AU19" s="270">
        <v>22061</v>
      </c>
      <c r="AV19" s="22">
        <v>22489</v>
      </c>
      <c r="AW19" s="22">
        <v>25124</v>
      </c>
      <c r="AX19" s="22">
        <v>22794</v>
      </c>
      <c r="AY19" s="22">
        <v>17777</v>
      </c>
      <c r="AZ19" s="22">
        <v>34345</v>
      </c>
      <c r="BA19" s="22">
        <v>17580</v>
      </c>
      <c r="BB19" s="26">
        <v>26992</v>
      </c>
      <c r="BC19" s="22">
        <v>21373</v>
      </c>
      <c r="BD19" s="22">
        <v>21202</v>
      </c>
      <c r="BE19" s="22">
        <v>19109</v>
      </c>
      <c r="BF19" s="22">
        <f t="shared" si="12"/>
        <v>19109</v>
      </c>
      <c r="BG19" s="27"/>
      <c r="BH19" s="22">
        <v>22216</v>
      </c>
      <c r="BI19" s="270">
        <v>19102</v>
      </c>
      <c r="BJ19" s="22">
        <v>20676</v>
      </c>
      <c r="BK19" s="22">
        <v>19892</v>
      </c>
      <c r="BL19" s="22">
        <v>48737</v>
      </c>
      <c r="BM19" s="22">
        <v>45521</v>
      </c>
      <c r="BN19" s="22">
        <v>41781</v>
      </c>
      <c r="BO19" s="22">
        <v>48019</v>
      </c>
      <c r="BP19" s="22">
        <v>43955</v>
      </c>
      <c r="BQ19" s="22">
        <v>41505</v>
      </c>
      <c r="BR19" s="22">
        <v>28306</v>
      </c>
      <c r="BS19" s="22">
        <v>23731</v>
      </c>
      <c r="BT19" s="22">
        <f t="shared" si="21"/>
        <v>23731</v>
      </c>
      <c r="BU19" s="28"/>
      <c r="BV19" s="22">
        <v>28505</v>
      </c>
      <c r="BW19" s="270">
        <v>25054</v>
      </c>
      <c r="BX19" s="22">
        <v>24396</v>
      </c>
      <c r="BY19" s="22">
        <v>21708</v>
      </c>
      <c r="BZ19" s="22">
        <v>17857</v>
      </c>
      <c r="CA19" s="22">
        <v>33103</v>
      </c>
      <c r="CB19" s="22">
        <v>29327</v>
      </c>
      <c r="CC19" s="22">
        <v>27562</v>
      </c>
      <c r="CD19" s="22">
        <v>19590</v>
      </c>
      <c r="CE19" s="22">
        <v>11730</v>
      </c>
      <c r="CF19" s="22">
        <v>10529</v>
      </c>
      <c r="CG19" s="22">
        <v>19978</v>
      </c>
      <c r="CH19" s="22">
        <f t="shared" si="18"/>
        <v>19978</v>
      </c>
      <c r="CJ19" s="22">
        <v>18456</v>
      </c>
      <c r="CK19" s="270">
        <v>15409</v>
      </c>
      <c r="CL19" s="22">
        <v>18755</v>
      </c>
      <c r="CM19" s="22">
        <v>15700</v>
      </c>
      <c r="CN19" s="22"/>
      <c r="CO19" s="22"/>
      <c r="CP19" s="22"/>
      <c r="CQ19" s="22"/>
      <c r="CR19" s="22"/>
      <c r="CS19" s="22"/>
      <c r="CT19" s="22"/>
      <c r="CU19" s="22"/>
      <c r="CV19" s="22">
        <v>0</v>
      </c>
      <c r="CX19" s="22"/>
      <c r="CY19" s="270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>
        <v>0</v>
      </c>
    </row>
    <row r="20" spans="1:114">
      <c r="A20" s="19">
        <v>0</v>
      </c>
      <c r="B20" s="158" t="s">
        <v>39</v>
      </c>
      <c r="C20" s="159"/>
      <c r="D20" s="265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66"/>
      <c r="Q20" s="21"/>
      <c r="R20" s="265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67"/>
      <c r="AE20" s="23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5"/>
      <c r="AQ20" s="22"/>
      <c r="AR20" s="22"/>
      <c r="AS20" s="23"/>
      <c r="AT20" s="22"/>
      <c r="AU20" s="270"/>
      <c r="AV20" s="22"/>
      <c r="AW20" s="22"/>
      <c r="AX20" s="22"/>
      <c r="AY20" s="22"/>
      <c r="AZ20" s="22"/>
      <c r="BA20" s="22"/>
      <c r="BB20" s="26"/>
      <c r="BC20" s="22"/>
      <c r="BD20" s="22"/>
      <c r="BE20" s="22"/>
      <c r="BF20" s="22"/>
      <c r="BG20" s="27"/>
      <c r="BH20" s="22"/>
      <c r="BI20" s="270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8"/>
      <c r="BV20" s="22"/>
      <c r="BW20" s="270"/>
      <c r="BX20" s="22"/>
      <c r="BY20" s="22"/>
      <c r="BZ20" s="22"/>
      <c r="CA20" s="22"/>
      <c r="CB20" s="22"/>
      <c r="CC20" s="22"/>
      <c r="CD20" s="22"/>
      <c r="CE20" s="22">
        <v>34501</v>
      </c>
      <c r="CF20" s="22">
        <v>18809</v>
      </c>
      <c r="CG20" s="22">
        <v>12618</v>
      </c>
      <c r="CH20" s="22"/>
      <c r="CJ20" s="22">
        <v>11940</v>
      </c>
      <c r="CK20" s="270">
        <v>19956</v>
      </c>
      <c r="CL20" s="22">
        <v>15650</v>
      </c>
      <c r="CM20" s="22">
        <v>11745</v>
      </c>
      <c r="CN20" s="22"/>
      <c r="CO20" s="22"/>
      <c r="CP20" s="22"/>
      <c r="CQ20" s="22"/>
      <c r="CR20" s="22"/>
      <c r="CS20" s="22"/>
      <c r="CT20" s="22"/>
      <c r="CU20" s="22"/>
      <c r="CV20" s="22"/>
      <c r="CX20" s="22"/>
      <c r="CY20" s="270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</row>
    <row r="21" spans="1:114">
      <c r="A21" s="19">
        <v>0</v>
      </c>
      <c r="B21" s="158" t="s">
        <v>40</v>
      </c>
      <c r="C21" s="159"/>
      <c r="D21" s="265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66"/>
      <c r="Q21" s="21"/>
      <c r="R21" s="265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67"/>
      <c r="AE21" s="23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5"/>
      <c r="AQ21" s="22"/>
      <c r="AR21" s="22"/>
      <c r="AS21" s="23"/>
      <c r="AT21" s="22"/>
      <c r="AU21" s="270"/>
      <c r="AV21" s="22"/>
      <c r="AW21" s="22"/>
      <c r="AX21" s="22"/>
      <c r="AY21" s="22"/>
      <c r="AZ21" s="22"/>
      <c r="BA21" s="22"/>
      <c r="BB21" s="26"/>
      <c r="BC21" s="22"/>
      <c r="BD21" s="22"/>
      <c r="BE21" s="22"/>
      <c r="BF21" s="22"/>
      <c r="BG21" s="27"/>
      <c r="BH21" s="22"/>
      <c r="BI21" s="270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8"/>
      <c r="BV21" s="22"/>
      <c r="BW21" s="270"/>
      <c r="BX21" s="22"/>
      <c r="BY21" s="22"/>
      <c r="BZ21" s="22"/>
      <c r="CA21" s="22"/>
      <c r="CB21" s="22"/>
      <c r="CC21" s="22"/>
      <c r="CD21" s="22"/>
      <c r="CE21" s="22">
        <v>12837</v>
      </c>
      <c r="CF21" s="22">
        <v>11839</v>
      </c>
      <c r="CG21" s="22">
        <v>20519</v>
      </c>
      <c r="CH21" s="22"/>
      <c r="CJ21" s="22">
        <v>17816</v>
      </c>
      <c r="CK21" s="270">
        <v>17432</v>
      </c>
      <c r="CL21" s="22">
        <v>21670</v>
      </c>
      <c r="CM21" s="22">
        <v>19814</v>
      </c>
      <c r="CN21" s="22"/>
      <c r="CO21" s="22"/>
      <c r="CP21" s="22"/>
      <c r="CQ21" s="22"/>
      <c r="CR21" s="22"/>
      <c r="CS21" s="22"/>
      <c r="CT21" s="22"/>
      <c r="CU21" s="22"/>
      <c r="CV21" s="22"/>
      <c r="CX21" s="22"/>
      <c r="CY21" s="270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</row>
    <row r="22" spans="1:114">
      <c r="A22" s="29"/>
      <c r="B22" s="272" t="s">
        <v>41</v>
      </c>
      <c r="C22" s="273"/>
      <c r="D22" s="274">
        <f t="shared" ref="D22:O22" si="22">D10-D17</f>
        <v>270670</v>
      </c>
      <c r="E22" s="30">
        <f t="shared" si="22"/>
        <v>282709</v>
      </c>
      <c r="F22" s="30">
        <f t="shared" si="22"/>
        <v>285223</v>
      </c>
      <c r="G22" s="30">
        <f t="shared" si="22"/>
        <v>287349</v>
      </c>
      <c r="H22" s="30">
        <f t="shared" si="22"/>
        <v>313961</v>
      </c>
      <c r="I22" s="30">
        <f t="shared" si="22"/>
        <v>362411</v>
      </c>
      <c r="J22" s="30">
        <f t="shared" si="22"/>
        <v>413467</v>
      </c>
      <c r="K22" s="30">
        <f t="shared" si="22"/>
        <v>415958</v>
      </c>
      <c r="L22" s="30">
        <f t="shared" si="22"/>
        <v>416931</v>
      </c>
      <c r="M22" s="30">
        <f t="shared" si="22"/>
        <v>294116</v>
      </c>
      <c r="N22" s="30">
        <f t="shared" si="22"/>
        <v>0</v>
      </c>
      <c r="O22" s="30">
        <f t="shared" si="22"/>
        <v>188264</v>
      </c>
      <c r="P22" s="275"/>
      <c r="Q22" s="31"/>
      <c r="R22" s="274">
        <f t="shared" ref="R22:AB22" si="23">R10-R17</f>
        <v>247843</v>
      </c>
      <c r="S22" s="32">
        <f t="shared" si="23"/>
        <v>306756</v>
      </c>
      <c r="T22" s="32">
        <f t="shared" si="23"/>
        <v>277250</v>
      </c>
      <c r="U22" s="32">
        <f t="shared" si="23"/>
        <v>262131</v>
      </c>
      <c r="V22" s="32">
        <f t="shared" si="23"/>
        <v>171617</v>
      </c>
      <c r="W22" s="32">
        <f t="shared" si="23"/>
        <v>235875</v>
      </c>
      <c r="X22" s="32">
        <f t="shared" si="23"/>
        <v>354012</v>
      </c>
      <c r="Y22" s="32">
        <f t="shared" si="23"/>
        <v>355542</v>
      </c>
      <c r="Z22" s="32">
        <f t="shared" si="23"/>
        <v>349213</v>
      </c>
      <c r="AA22" s="32">
        <f t="shared" si="23"/>
        <v>269352</v>
      </c>
      <c r="AB22" s="32">
        <f t="shared" si="23"/>
        <v>170626</v>
      </c>
      <c r="AC22" s="32"/>
      <c r="AD22" s="276"/>
      <c r="AE22" s="17"/>
      <c r="AF22" s="32">
        <f t="shared" ref="AF22:AQ22" si="24">AF10-AF17</f>
        <v>246973</v>
      </c>
      <c r="AG22" s="32">
        <f t="shared" si="24"/>
        <v>281087</v>
      </c>
      <c r="AH22" s="32">
        <f t="shared" si="24"/>
        <v>386469</v>
      </c>
      <c r="AI22" s="32">
        <f t="shared" si="24"/>
        <v>379017</v>
      </c>
      <c r="AJ22" s="32">
        <f t="shared" si="24"/>
        <v>400777</v>
      </c>
      <c r="AK22" s="32">
        <f t="shared" si="24"/>
        <v>465623</v>
      </c>
      <c r="AL22" s="32">
        <f t="shared" si="24"/>
        <v>472149</v>
      </c>
      <c r="AM22" s="32">
        <f t="shared" si="24"/>
        <v>492339</v>
      </c>
      <c r="AN22" s="32">
        <f t="shared" si="24"/>
        <v>450428</v>
      </c>
      <c r="AO22" s="32">
        <f t="shared" si="24"/>
        <v>391441</v>
      </c>
      <c r="AP22" s="32">
        <f t="shared" si="24"/>
        <v>325482</v>
      </c>
      <c r="AQ22" s="32">
        <f t="shared" si="24"/>
        <v>321014</v>
      </c>
      <c r="AR22" s="32">
        <f t="shared" si="10"/>
        <v>321014</v>
      </c>
      <c r="AS22" s="17"/>
      <c r="AT22" s="32">
        <f t="shared" ref="AT22:BE22" si="25">AT10-AT17</f>
        <v>350303</v>
      </c>
      <c r="AU22" s="32">
        <f t="shared" si="25"/>
        <v>323931</v>
      </c>
      <c r="AV22" s="32">
        <f t="shared" si="25"/>
        <v>307980</v>
      </c>
      <c r="AW22" s="32">
        <f t="shared" si="25"/>
        <v>292777</v>
      </c>
      <c r="AX22" s="32">
        <f t="shared" si="25"/>
        <v>296754</v>
      </c>
      <c r="AY22" s="32">
        <f t="shared" si="25"/>
        <v>344037</v>
      </c>
      <c r="AZ22" s="32">
        <f t="shared" si="25"/>
        <v>367566</v>
      </c>
      <c r="BA22" s="32">
        <f t="shared" si="25"/>
        <v>372442</v>
      </c>
      <c r="BB22" s="32">
        <f t="shared" si="25"/>
        <v>375154</v>
      </c>
      <c r="BC22" s="32">
        <f t="shared" si="25"/>
        <v>340466</v>
      </c>
      <c r="BD22" s="32">
        <f t="shared" si="25"/>
        <v>314581</v>
      </c>
      <c r="BE22" s="32">
        <f t="shared" si="25"/>
        <v>253219</v>
      </c>
      <c r="BF22" s="32">
        <f t="shared" si="12"/>
        <v>253219</v>
      </c>
      <c r="BG22" s="17"/>
      <c r="BH22" s="32">
        <f t="shared" ref="BH22:BQ22" si="26">BH10-BH17</f>
        <v>307512</v>
      </c>
      <c r="BI22" s="32">
        <f t="shared" si="26"/>
        <v>302058</v>
      </c>
      <c r="BJ22" s="32">
        <f t="shared" si="26"/>
        <v>315841</v>
      </c>
      <c r="BK22" s="32">
        <f t="shared" si="26"/>
        <v>306027</v>
      </c>
      <c r="BL22" s="32">
        <f t="shared" si="26"/>
        <v>299077</v>
      </c>
      <c r="BM22" s="32">
        <f t="shared" si="26"/>
        <v>293121</v>
      </c>
      <c r="BN22" s="32">
        <f t="shared" si="26"/>
        <v>335286</v>
      </c>
      <c r="BO22" s="32">
        <f t="shared" si="26"/>
        <v>322561</v>
      </c>
      <c r="BP22" s="32">
        <f t="shared" si="26"/>
        <v>304307</v>
      </c>
      <c r="BQ22" s="32">
        <f t="shared" si="26"/>
        <v>280100</v>
      </c>
      <c r="BR22" s="32">
        <f>BR10-BR17</f>
        <v>215852</v>
      </c>
      <c r="BS22" s="32">
        <f>BS10-BS17</f>
        <v>188982</v>
      </c>
      <c r="BT22" s="32">
        <f>BS22</f>
        <v>188982</v>
      </c>
      <c r="BU22" s="28"/>
      <c r="BV22" s="32">
        <f t="shared" ref="BV22:CC22" si="27">BV15-BV17-BV18</f>
        <v>146255</v>
      </c>
      <c r="BW22" s="32">
        <f t="shared" si="27"/>
        <v>155653</v>
      </c>
      <c r="BX22" s="32">
        <f t="shared" si="27"/>
        <v>86338</v>
      </c>
      <c r="BY22" s="32">
        <f t="shared" si="27"/>
        <v>106862</v>
      </c>
      <c r="BZ22" s="32">
        <f t="shared" si="27"/>
        <v>112822</v>
      </c>
      <c r="CA22" s="32">
        <f t="shared" si="27"/>
        <v>149996</v>
      </c>
      <c r="CB22" s="32">
        <f t="shared" si="27"/>
        <v>145027</v>
      </c>
      <c r="CC22" s="32">
        <f t="shared" si="27"/>
        <v>102851</v>
      </c>
      <c r="CD22" s="32">
        <f>CD15-CD17-CD18</f>
        <v>116047</v>
      </c>
      <c r="CE22" s="32">
        <f>CE15-CE17-CE18</f>
        <v>86207</v>
      </c>
      <c r="CF22" s="32">
        <f>CF15-CF17-CF18</f>
        <v>109973</v>
      </c>
      <c r="CG22" s="32">
        <f>CG15-CG17-CG18</f>
        <v>94532</v>
      </c>
      <c r="CH22" s="32">
        <f t="shared" ref="CH22" si="28">CH15-CH17-CH18</f>
        <v>94532</v>
      </c>
      <c r="CJ22" s="32">
        <f t="shared" ref="CJ22:CU22" si="29">CJ15-CJ17-CJ18</f>
        <v>78423</v>
      </c>
      <c r="CK22" s="32">
        <f t="shared" si="29"/>
        <v>78497</v>
      </c>
      <c r="CL22" s="32">
        <f t="shared" si="29"/>
        <v>75052</v>
      </c>
      <c r="CM22" s="32">
        <f t="shared" si="29"/>
        <v>66486.340000000026</v>
      </c>
      <c r="CN22" s="32">
        <f t="shared" si="29"/>
        <v>172279.39</v>
      </c>
      <c r="CO22" s="32">
        <f t="shared" si="29"/>
        <v>245598.51</v>
      </c>
      <c r="CP22" s="32">
        <f t="shared" si="29"/>
        <v>235878.42</v>
      </c>
      <c r="CQ22" s="32">
        <f t="shared" si="29"/>
        <v>235983.11000000004</v>
      </c>
      <c r="CR22" s="32">
        <f t="shared" si="29"/>
        <v>177129.47000000006</v>
      </c>
      <c r="CS22" s="32">
        <f t="shared" si="29"/>
        <v>163912.55000000008</v>
      </c>
      <c r="CT22" s="32">
        <f t="shared" si="29"/>
        <v>175927.46000000005</v>
      </c>
      <c r="CU22" s="32">
        <f t="shared" si="29"/>
        <v>192343.64000000007</v>
      </c>
      <c r="CV22" s="32">
        <v>116080.10690622788</v>
      </c>
      <c r="CX22" s="32">
        <v>242497</v>
      </c>
      <c r="CY22" s="32">
        <v>234422.08006563294</v>
      </c>
      <c r="CZ22" s="32">
        <v>194348.7132915963</v>
      </c>
      <c r="DA22" s="32">
        <v>223062.99421980139</v>
      </c>
      <c r="DB22" s="32">
        <v>228884.86858944659</v>
      </c>
      <c r="DC22" s="32">
        <v>240669.78918926936</v>
      </c>
      <c r="DD22" s="32">
        <v>234679.65868928705</v>
      </c>
      <c r="DE22" s="32">
        <v>197008.01236523816</v>
      </c>
      <c r="DF22" s="32">
        <v>148007.96159444697</v>
      </c>
      <c r="DG22" s="32">
        <v>111276.29521213027</v>
      </c>
      <c r="DH22" s="32">
        <v>93072.105643725808</v>
      </c>
      <c r="DI22" s="32">
        <v>116080.10690622788</v>
      </c>
      <c r="DJ22" s="32">
        <v>116080.10690622788</v>
      </c>
    </row>
    <row r="23" spans="1:114">
      <c r="A23" s="13" t="s">
        <v>42</v>
      </c>
      <c r="B23" s="259"/>
      <c r="C23" s="260" t="s">
        <v>43</v>
      </c>
      <c r="D23" s="277">
        <f>D15-D17</f>
        <v>162884</v>
      </c>
      <c r="E23" s="33">
        <f t="shared" ref="E23:O23" si="30">E15+E19-E17-E60</f>
        <v>200610</v>
      </c>
      <c r="F23" s="33">
        <f t="shared" si="30"/>
        <v>192475</v>
      </c>
      <c r="G23" s="33">
        <f t="shared" si="30"/>
        <v>231853</v>
      </c>
      <c r="H23" s="33">
        <f t="shared" si="30"/>
        <v>253292</v>
      </c>
      <c r="I23" s="33">
        <f t="shared" si="30"/>
        <v>305688</v>
      </c>
      <c r="J23" s="33">
        <f t="shared" si="30"/>
        <v>355297</v>
      </c>
      <c r="K23" s="33">
        <f t="shared" si="30"/>
        <v>367201</v>
      </c>
      <c r="L23" s="33">
        <f t="shared" si="30"/>
        <v>407523</v>
      </c>
      <c r="M23" s="33">
        <f t="shared" si="30"/>
        <v>297747</v>
      </c>
      <c r="N23" s="33">
        <f t="shared" si="30"/>
        <v>0</v>
      </c>
      <c r="O23" s="33">
        <f t="shared" si="30"/>
        <v>143875</v>
      </c>
      <c r="P23" s="262">
        <f>J23</f>
        <v>355297</v>
      </c>
      <c r="Q23" s="15"/>
      <c r="R23" s="277">
        <f>R15-R17</f>
        <v>172568</v>
      </c>
      <c r="S23" s="14">
        <f t="shared" ref="S23:AC23" si="31">S15+S19-S17-S60</f>
        <v>244205</v>
      </c>
      <c r="T23" s="14">
        <f t="shared" si="31"/>
        <v>237108</v>
      </c>
      <c r="U23" s="14">
        <f t="shared" si="31"/>
        <v>222510</v>
      </c>
      <c r="V23" s="14">
        <f t="shared" si="31"/>
        <v>179647</v>
      </c>
      <c r="W23" s="14">
        <f t="shared" si="31"/>
        <v>289587</v>
      </c>
      <c r="X23" s="14">
        <f t="shared" si="31"/>
        <v>281331</v>
      </c>
      <c r="Y23" s="14">
        <f t="shared" si="31"/>
        <v>325686</v>
      </c>
      <c r="Z23" s="14">
        <f t="shared" si="31"/>
        <v>319329</v>
      </c>
      <c r="AA23" s="14">
        <f t="shared" si="31"/>
        <v>268663</v>
      </c>
      <c r="AB23" s="14">
        <f t="shared" si="31"/>
        <v>187543</v>
      </c>
      <c r="AC23" s="14">
        <f t="shared" si="31"/>
        <v>196995</v>
      </c>
      <c r="AD23" s="263">
        <f>X23</f>
        <v>281331</v>
      </c>
      <c r="AE23" s="16"/>
      <c r="AF23" s="14">
        <f t="shared" ref="AF23:AQ23" si="32">AF15+AF17+AF16</f>
        <v>228387</v>
      </c>
      <c r="AG23" s="14">
        <f t="shared" si="32"/>
        <v>263548</v>
      </c>
      <c r="AH23" s="14">
        <f t="shared" si="32"/>
        <v>366224</v>
      </c>
      <c r="AI23" s="14">
        <f t="shared" si="32"/>
        <v>361348</v>
      </c>
      <c r="AJ23" s="14">
        <f t="shared" si="32"/>
        <v>384008</v>
      </c>
      <c r="AK23" s="14">
        <f t="shared" si="32"/>
        <v>434489</v>
      </c>
      <c r="AL23" s="14">
        <f t="shared" si="32"/>
        <v>436438</v>
      </c>
      <c r="AM23" s="14">
        <f t="shared" si="32"/>
        <v>463198</v>
      </c>
      <c r="AN23" s="14">
        <f t="shared" si="32"/>
        <v>425121</v>
      </c>
      <c r="AO23" s="14">
        <f t="shared" si="32"/>
        <v>355477</v>
      </c>
      <c r="AP23" s="14">
        <f t="shared" si="32"/>
        <v>288104</v>
      </c>
      <c r="AQ23" s="14">
        <f t="shared" si="32"/>
        <v>298855</v>
      </c>
      <c r="AR23" s="14">
        <f t="shared" si="10"/>
        <v>298855</v>
      </c>
      <c r="AS23" s="17"/>
      <c r="AT23" s="14">
        <f t="shared" ref="AT23:BE23" si="33">AT15+AT17+AT16</f>
        <v>326269</v>
      </c>
      <c r="AU23" s="14">
        <f t="shared" si="33"/>
        <v>301870</v>
      </c>
      <c r="AV23" s="14">
        <f t="shared" si="33"/>
        <v>285491</v>
      </c>
      <c r="AW23" s="14">
        <f t="shared" si="33"/>
        <v>267653</v>
      </c>
      <c r="AX23" s="14">
        <f t="shared" si="33"/>
        <v>273960</v>
      </c>
      <c r="AY23" s="14">
        <f t="shared" si="33"/>
        <v>326260</v>
      </c>
      <c r="AZ23" s="14">
        <f t="shared" si="33"/>
        <v>333221</v>
      </c>
      <c r="BA23" s="14">
        <f t="shared" si="33"/>
        <v>354862</v>
      </c>
      <c r="BB23" s="14">
        <f t="shared" si="33"/>
        <v>348162</v>
      </c>
      <c r="BC23" s="14">
        <f t="shared" si="33"/>
        <v>319093</v>
      </c>
      <c r="BD23" s="14">
        <f t="shared" si="33"/>
        <v>293379</v>
      </c>
      <c r="BE23" s="14">
        <f t="shared" si="33"/>
        <v>234110</v>
      </c>
      <c r="BF23" s="32">
        <f t="shared" ref="BF23:BF24" si="34">SUM(AT23:BE23)</f>
        <v>3664330</v>
      </c>
      <c r="BG23" s="17"/>
      <c r="BH23" s="14">
        <f t="shared" ref="BH23:BS23" si="35">BH15+BH17+BH16</f>
        <v>285296</v>
      </c>
      <c r="BI23" s="14">
        <f t="shared" si="35"/>
        <v>282956</v>
      </c>
      <c r="BJ23" s="14">
        <f t="shared" si="35"/>
        <v>295165</v>
      </c>
      <c r="BK23" s="14">
        <f t="shared" si="35"/>
        <v>286135</v>
      </c>
      <c r="BL23" s="14">
        <f t="shared" si="35"/>
        <v>250340</v>
      </c>
      <c r="BM23" s="14">
        <f t="shared" si="35"/>
        <v>247600</v>
      </c>
      <c r="BN23" s="14">
        <f t="shared" si="35"/>
        <v>293505</v>
      </c>
      <c r="BO23" s="14">
        <f t="shared" si="35"/>
        <v>274542</v>
      </c>
      <c r="BP23" s="14">
        <f t="shared" si="35"/>
        <v>260352</v>
      </c>
      <c r="BQ23" s="14">
        <f>BQ15+BQ17+BQ16</f>
        <v>238595</v>
      </c>
      <c r="BR23" s="14">
        <f t="shared" si="35"/>
        <v>187546</v>
      </c>
      <c r="BS23" s="14">
        <f t="shared" si="35"/>
        <v>189617</v>
      </c>
      <c r="BT23" s="14">
        <f t="shared" si="21"/>
        <v>189617</v>
      </c>
      <c r="BU23" s="18"/>
      <c r="BV23" s="14">
        <f>BV15+BV17+BV16</f>
        <v>171889</v>
      </c>
      <c r="BW23" s="14">
        <f>BW15+BW19+BW16</f>
        <v>193178</v>
      </c>
      <c r="BX23" s="14">
        <f>BX15+BX17+BX16</f>
        <v>228367</v>
      </c>
      <c r="BY23" s="14">
        <f>BY15+BY17+BY16</f>
        <v>261297</v>
      </c>
      <c r="BZ23" s="14">
        <f>BZ15+BZ17+BZ16</f>
        <v>277757</v>
      </c>
      <c r="CA23" s="14">
        <f>CA15+CA17+CA16</f>
        <v>329719</v>
      </c>
      <c r="CB23" s="14">
        <f>CB15+CB17+CB16</f>
        <v>316656</v>
      </c>
      <c r="CC23" s="14">
        <f>CC15+CC17+CC16</f>
        <v>290388</v>
      </c>
      <c r="CD23" s="14">
        <f>CD15+CD17+CD16</f>
        <v>185778</v>
      </c>
      <c r="CE23" s="14">
        <f>CE15+CE17+CE16</f>
        <v>153110</v>
      </c>
      <c r="CF23" s="14">
        <f>CF15+CF17+CF16</f>
        <v>170562</v>
      </c>
      <c r="CG23" s="14">
        <f>CG15+CG17+CG16</f>
        <v>167396</v>
      </c>
      <c r="CH23" s="14">
        <f t="shared" si="18"/>
        <v>167396</v>
      </c>
      <c r="CJ23" s="14">
        <v>224424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X23" s="14">
        <v>224424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</row>
    <row r="24" spans="1:114">
      <c r="A24" s="34" t="s">
        <v>44</v>
      </c>
      <c r="B24" s="278"/>
      <c r="C24" s="445" t="s">
        <v>45</v>
      </c>
      <c r="D24" s="277">
        <f t="shared" ref="D24:O24" si="36">D10-D19-D17</f>
        <v>264261</v>
      </c>
      <c r="E24" s="33">
        <f t="shared" si="36"/>
        <v>275849</v>
      </c>
      <c r="F24" s="33">
        <f t="shared" si="36"/>
        <v>280253</v>
      </c>
      <c r="G24" s="33">
        <f t="shared" si="36"/>
        <v>256146</v>
      </c>
      <c r="H24" s="33">
        <f t="shared" si="36"/>
        <v>282462</v>
      </c>
      <c r="I24" s="33">
        <f t="shared" si="36"/>
        <v>336508</v>
      </c>
      <c r="J24" s="33">
        <f t="shared" si="36"/>
        <v>394861</v>
      </c>
      <c r="K24" s="33">
        <f t="shared" si="36"/>
        <v>399944</v>
      </c>
      <c r="L24" s="33">
        <f t="shared" si="36"/>
        <v>403515</v>
      </c>
      <c r="M24" s="33">
        <f t="shared" si="36"/>
        <v>254037</v>
      </c>
      <c r="N24" s="33">
        <f t="shared" si="36"/>
        <v>0</v>
      </c>
      <c r="O24" s="33">
        <f t="shared" si="36"/>
        <v>188264</v>
      </c>
      <c r="P24" s="262">
        <f t="shared" ref="P24:P25" si="37">O24</f>
        <v>188264</v>
      </c>
      <c r="Q24" s="15"/>
      <c r="R24" s="277">
        <f t="shared" ref="R24:AC24" si="38">R10-R19-R17</f>
        <v>244467</v>
      </c>
      <c r="S24" s="14">
        <f t="shared" si="38"/>
        <v>295020</v>
      </c>
      <c r="T24" s="14">
        <f t="shared" si="38"/>
        <v>254796</v>
      </c>
      <c r="U24" s="14">
        <f t="shared" si="38"/>
        <v>240747</v>
      </c>
      <c r="V24" s="14">
        <f t="shared" si="38"/>
        <v>104747</v>
      </c>
      <c r="W24" s="14">
        <f t="shared" si="38"/>
        <v>162106</v>
      </c>
      <c r="X24" s="14">
        <f t="shared" si="38"/>
        <v>340068</v>
      </c>
      <c r="Y24" s="14">
        <f t="shared" si="38"/>
        <v>322792</v>
      </c>
      <c r="Z24" s="14">
        <f t="shared" si="38"/>
        <v>330677</v>
      </c>
      <c r="AA24" s="14">
        <f t="shared" si="38"/>
        <v>229141</v>
      </c>
      <c r="AB24" s="14">
        <f t="shared" si="38"/>
        <v>126169</v>
      </c>
      <c r="AC24" s="14">
        <f t="shared" si="38"/>
        <v>173047</v>
      </c>
      <c r="AD24" s="263">
        <f t="shared" ref="AD24:AD25" si="39">AC24</f>
        <v>173047</v>
      </c>
      <c r="AE24" s="16"/>
      <c r="AF24" s="261">
        <f t="shared" ref="AF24:AQ24" si="40">AF23-AF17</f>
        <v>220021</v>
      </c>
      <c r="AG24" s="261">
        <f t="shared" si="40"/>
        <v>252014</v>
      </c>
      <c r="AH24" s="261">
        <f t="shared" si="40"/>
        <v>354717</v>
      </c>
      <c r="AI24" s="261">
        <f t="shared" si="40"/>
        <v>352200</v>
      </c>
      <c r="AJ24" s="261">
        <f t="shared" si="40"/>
        <v>375484</v>
      </c>
      <c r="AK24" s="261">
        <f t="shared" si="40"/>
        <v>409199</v>
      </c>
      <c r="AL24" s="261">
        <f t="shared" si="40"/>
        <v>345358</v>
      </c>
      <c r="AM24" s="261">
        <f t="shared" si="40"/>
        <v>396368</v>
      </c>
      <c r="AN24" s="261">
        <f t="shared" si="40"/>
        <v>388255</v>
      </c>
      <c r="AO24" s="261">
        <f t="shared" si="40"/>
        <v>339304</v>
      </c>
      <c r="AP24" s="261">
        <f t="shared" si="40"/>
        <v>109830</v>
      </c>
      <c r="AQ24" s="261">
        <f t="shared" si="40"/>
        <v>88190</v>
      </c>
      <c r="AR24" s="14">
        <f t="shared" si="10"/>
        <v>88190</v>
      </c>
      <c r="AS24" s="17"/>
      <c r="AT24" s="261">
        <f t="shared" ref="AT24:BE24" si="41">AT23-AT17</f>
        <v>205194</v>
      </c>
      <c r="AU24" s="261">
        <f t="shared" si="41"/>
        <v>152494</v>
      </c>
      <c r="AV24" s="261">
        <f t="shared" si="41"/>
        <v>180953</v>
      </c>
      <c r="AW24" s="261">
        <f t="shared" si="41"/>
        <v>162391</v>
      </c>
      <c r="AX24" s="261">
        <f t="shared" si="41"/>
        <v>152887</v>
      </c>
      <c r="AY24" s="261">
        <f t="shared" si="41"/>
        <v>162329</v>
      </c>
      <c r="AZ24" s="261">
        <f t="shared" si="41"/>
        <v>223257</v>
      </c>
      <c r="BA24" s="261">
        <f t="shared" si="41"/>
        <v>206596</v>
      </c>
      <c r="BB24" s="261">
        <f t="shared" si="41"/>
        <v>217465</v>
      </c>
      <c r="BC24" s="261">
        <f t="shared" si="41"/>
        <v>205314</v>
      </c>
      <c r="BD24" s="261">
        <f t="shared" si="41"/>
        <v>202260</v>
      </c>
      <c r="BE24" s="261">
        <f t="shared" si="41"/>
        <v>130824</v>
      </c>
      <c r="BF24" s="32">
        <f t="shared" si="34"/>
        <v>2201964</v>
      </c>
      <c r="BG24" s="35">
        <f>SUM(AT27:AY27)/SUM(AF61:AK61)-1</f>
        <v>0.2283258050797119</v>
      </c>
      <c r="BH24" s="416">
        <f t="shared" ref="BH24:BS24" si="42">BH23-BH17</f>
        <v>235665</v>
      </c>
      <c r="BI24" s="416">
        <f t="shared" si="42"/>
        <v>230003</v>
      </c>
      <c r="BJ24" s="416">
        <f t="shared" si="42"/>
        <v>266725</v>
      </c>
      <c r="BK24" s="416">
        <f t="shared" si="42"/>
        <v>202534</v>
      </c>
      <c r="BL24" s="417">
        <f t="shared" si="42"/>
        <v>224528</v>
      </c>
      <c r="BM24" s="417">
        <f t="shared" si="42"/>
        <v>188055</v>
      </c>
      <c r="BN24" s="417">
        <f t="shared" si="42"/>
        <v>210070</v>
      </c>
      <c r="BO24" s="417">
        <f t="shared" si="42"/>
        <v>240501</v>
      </c>
      <c r="BP24" s="417">
        <f t="shared" si="42"/>
        <v>237953</v>
      </c>
      <c r="BQ24" s="417">
        <f t="shared" si="42"/>
        <v>213708</v>
      </c>
      <c r="BR24" s="417">
        <f t="shared" si="42"/>
        <v>175363</v>
      </c>
      <c r="BS24" s="417">
        <f t="shared" si="42"/>
        <v>177434</v>
      </c>
      <c r="BT24" s="417">
        <f t="shared" si="21"/>
        <v>177434</v>
      </c>
      <c r="BU24" s="18"/>
      <c r="BV24" s="261">
        <f>BV23-BV17</f>
        <v>166673</v>
      </c>
      <c r="BW24" s="261">
        <f>BW23-BW17</f>
        <v>193178</v>
      </c>
      <c r="BX24" s="261">
        <f>BX23-BX17</f>
        <v>163094</v>
      </c>
      <c r="BY24" s="416">
        <f>BY23-BY17</f>
        <v>191115</v>
      </c>
      <c r="BZ24" s="417">
        <f>BZ23-BZ17</f>
        <v>220098</v>
      </c>
      <c r="CA24" s="417">
        <f>CA23-CA17</f>
        <v>258050</v>
      </c>
      <c r="CB24" s="417">
        <f>CB23-CB17</f>
        <v>243578</v>
      </c>
      <c r="CC24" s="417">
        <f>CC23-CC17</f>
        <v>205086</v>
      </c>
      <c r="CD24" s="417">
        <f>CD23-CD17</f>
        <v>160435</v>
      </c>
      <c r="CE24" s="417">
        <f>CE23-CE17</f>
        <v>134080</v>
      </c>
      <c r="CF24" s="417">
        <f>CF23-CF17</f>
        <v>151140</v>
      </c>
      <c r="CG24" s="417">
        <f>CG23-CG17</f>
        <v>141469</v>
      </c>
      <c r="CH24" s="417">
        <f t="shared" si="18"/>
        <v>141469</v>
      </c>
      <c r="CJ24" s="261">
        <v>219208</v>
      </c>
      <c r="CK24" s="261">
        <v>0</v>
      </c>
      <c r="CL24" s="261">
        <v>0</v>
      </c>
      <c r="CM24" s="416">
        <v>0</v>
      </c>
      <c r="CN24" s="417">
        <v>0</v>
      </c>
      <c r="CO24" s="417">
        <v>0</v>
      </c>
      <c r="CP24" s="417">
        <v>0</v>
      </c>
      <c r="CQ24" s="417">
        <v>0</v>
      </c>
      <c r="CR24" s="417">
        <v>0</v>
      </c>
      <c r="CS24" s="417">
        <v>0</v>
      </c>
      <c r="CT24" s="417">
        <v>0</v>
      </c>
      <c r="CU24" s="417">
        <v>0</v>
      </c>
      <c r="CV24" s="417">
        <v>0</v>
      </c>
      <c r="CX24" s="261">
        <v>219208</v>
      </c>
      <c r="CY24" s="261">
        <v>0</v>
      </c>
      <c r="CZ24" s="261">
        <v>0</v>
      </c>
      <c r="DA24" s="416">
        <v>0</v>
      </c>
      <c r="DB24" s="417">
        <v>0</v>
      </c>
      <c r="DC24" s="417">
        <v>0</v>
      </c>
      <c r="DD24" s="417">
        <v>0</v>
      </c>
      <c r="DE24" s="417">
        <v>0</v>
      </c>
      <c r="DF24" s="417">
        <v>0</v>
      </c>
      <c r="DG24" s="417">
        <v>0</v>
      </c>
      <c r="DH24" s="417">
        <v>0</v>
      </c>
      <c r="DI24" s="417">
        <v>0</v>
      </c>
      <c r="DJ24" s="417">
        <v>0</v>
      </c>
    </row>
    <row r="25" spans="1:114" ht="15.75">
      <c r="A25" s="447" t="s">
        <v>46</v>
      </c>
      <c r="B25" s="448"/>
      <c r="C25" s="449" t="s">
        <v>47</v>
      </c>
      <c r="D25" s="281">
        <f t="shared" ref="D25:O25" si="43">D10</f>
        <v>304786</v>
      </c>
      <c r="E25" s="37">
        <f t="shared" si="43"/>
        <v>311986</v>
      </c>
      <c r="F25" s="37">
        <f t="shared" si="43"/>
        <v>328231</v>
      </c>
      <c r="G25" s="37">
        <f t="shared" si="43"/>
        <v>317873</v>
      </c>
      <c r="H25" s="37">
        <f t="shared" si="43"/>
        <v>347196</v>
      </c>
      <c r="I25" s="37">
        <f t="shared" si="43"/>
        <v>402253</v>
      </c>
      <c r="J25" s="37">
        <f t="shared" si="43"/>
        <v>454488</v>
      </c>
      <c r="K25" s="37">
        <f t="shared" si="43"/>
        <v>447182</v>
      </c>
      <c r="L25" s="37">
        <f t="shared" si="43"/>
        <v>416931</v>
      </c>
      <c r="M25" s="37">
        <f t="shared" si="43"/>
        <v>304402</v>
      </c>
      <c r="N25" s="37">
        <f t="shared" si="43"/>
        <v>0</v>
      </c>
      <c r="O25" s="37">
        <f t="shared" si="43"/>
        <v>188264</v>
      </c>
      <c r="P25" s="38">
        <f t="shared" si="37"/>
        <v>188264</v>
      </c>
      <c r="Q25" s="39"/>
      <c r="R25" s="40">
        <f t="shared" ref="R25:AC25" si="44">R10</f>
        <v>283359</v>
      </c>
      <c r="S25" s="41">
        <f t="shared" si="44"/>
        <v>342718</v>
      </c>
      <c r="T25" s="41">
        <f t="shared" si="44"/>
        <v>313212</v>
      </c>
      <c r="U25" s="41">
        <f t="shared" si="44"/>
        <v>298093</v>
      </c>
      <c r="V25" s="41">
        <f t="shared" si="44"/>
        <v>206617</v>
      </c>
      <c r="W25" s="41">
        <f t="shared" si="44"/>
        <v>235875</v>
      </c>
      <c r="X25" s="41">
        <f t="shared" si="44"/>
        <v>360135</v>
      </c>
      <c r="Y25" s="41">
        <f t="shared" si="44"/>
        <v>361665</v>
      </c>
      <c r="Z25" s="41">
        <f t="shared" si="44"/>
        <v>353400</v>
      </c>
      <c r="AA25" s="41">
        <f t="shared" si="44"/>
        <v>272097</v>
      </c>
      <c r="AB25" s="41">
        <f t="shared" si="44"/>
        <v>170626</v>
      </c>
      <c r="AC25" s="41">
        <f t="shared" si="44"/>
        <v>197551</v>
      </c>
      <c r="AD25" s="229">
        <f t="shared" si="39"/>
        <v>197551</v>
      </c>
      <c r="AE25" s="42"/>
      <c r="AF25" s="41">
        <f>AF10-AF60</f>
        <v>255339</v>
      </c>
      <c r="AG25" s="41">
        <f t="shared" ref="AG25:AQ25" si="45">AG10-AG60</f>
        <v>292621</v>
      </c>
      <c r="AH25" s="41">
        <f t="shared" si="45"/>
        <v>397976</v>
      </c>
      <c r="AI25" s="41">
        <f t="shared" si="45"/>
        <v>388165</v>
      </c>
      <c r="AJ25" s="41">
        <f t="shared" si="45"/>
        <v>409301</v>
      </c>
      <c r="AK25" s="41">
        <f t="shared" si="45"/>
        <v>490913</v>
      </c>
      <c r="AL25" s="41">
        <f t="shared" si="45"/>
        <v>563229</v>
      </c>
      <c r="AM25" s="41">
        <f t="shared" si="45"/>
        <v>559169</v>
      </c>
      <c r="AN25" s="41">
        <f t="shared" si="45"/>
        <v>487294</v>
      </c>
      <c r="AO25" s="41">
        <f t="shared" si="45"/>
        <v>407614</v>
      </c>
      <c r="AP25" s="41">
        <f t="shared" si="45"/>
        <v>503756</v>
      </c>
      <c r="AQ25" s="41">
        <f t="shared" si="45"/>
        <v>522741</v>
      </c>
      <c r="AR25" s="41">
        <f t="shared" si="10"/>
        <v>522741</v>
      </c>
      <c r="AS25" s="42"/>
      <c r="AT25" s="41">
        <f t="shared" ref="AT25:BB25" si="46">AT10-AT60</f>
        <v>364736</v>
      </c>
      <c r="AU25" s="41">
        <f t="shared" si="46"/>
        <v>382608</v>
      </c>
      <c r="AV25" s="41">
        <f t="shared" si="46"/>
        <v>322837</v>
      </c>
      <c r="AW25" s="41">
        <f t="shared" si="46"/>
        <v>339249</v>
      </c>
      <c r="AX25" s="41">
        <f t="shared" si="46"/>
        <v>382307</v>
      </c>
      <c r="AY25" s="41">
        <f t="shared" si="46"/>
        <v>446417</v>
      </c>
      <c r="AZ25" s="41">
        <f t="shared" si="46"/>
        <v>406019</v>
      </c>
      <c r="BA25" s="41">
        <f t="shared" si="46"/>
        <v>457091</v>
      </c>
      <c r="BB25" s="41">
        <f t="shared" si="46"/>
        <v>439103</v>
      </c>
      <c r="BC25" s="41">
        <f>BB25-BC27+BC71-BC60</f>
        <v>267702.70924434217</v>
      </c>
      <c r="BD25" s="41">
        <f>BC25-BD27+BD71-BD60</f>
        <v>224792.12236286921</v>
      </c>
      <c r="BE25" s="41">
        <f>BD25-BE27+BE71-BE60</f>
        <v>209302.50939777523</v>
      </c>
      <c r="BF25" s="41">
        <f>BE25</f>
        <v>209302.50939777523</v>
      </c>
      <c r="BG25" s="43">
        <f>BG27/AR27</f>
        <v>7.0333736034655189E-2</v>
      </c>
      <c r="BH25" s="41">
        <f t="shared" ref="BH25:BS25" si="47">BH10-BH60</f>
        <v>287739</v>
      </c>
      <c r="BI25" s="41">
        <f t="shared" si="47"/>
        <v>274599</v>
      </c>
      <c r="BJ25" s="41">
        <f t="shared" si="47"/>
        <v>249895</v>
      </c>
      <c r="BK25" s="41">
        <f t="shared" si="47"/>
        <v>311315</v>
      </c>
      <c r="BL25" s="41">
        <f t="shared" si="47"/>
        <v>277855</v>
      </c>
      <c r="BM25" s="41">
        <f t="shared" si="47"/>
        <v>301815</v>
      </c>
      <c r="BN25" s="41">
        <f t="shared" si="47"/>
        <v>325519</v>
      </c>
      <c r="BO25" s="41">
        <f t="shared" si="47"/>
        <v>255915</v>
      </c>
      <c r="BP25" s="41">
        <f t="shared" si="47"/>
        <v>198711</v>
      </c>
      <c r="BQ25" s="41">
        <f t="shared" si="47"/>
        <v>182301</v>
      </c>
      <c r="BR25" s="41">
        <f t="shared" si="47"/>
        <v>228035</v>
      </c>
      <c r="BS25" s="41">
        <f t="shared" si="47"/>
        <v>201165</v>
      </c>
      <c r="BT25" s="41">
        <f t="shared" si="21"/>
        <v>201165</v>
      </c>
      <c r="BU25" s="45"/>
      <c r="BV25" s="41">
        <f>BV10-BV60</f>
        <v>247713</v>
      </c>
      <c r="BW25" s="41">
        <f>BW10-BW60</f>
        <v>278707</v>
      </c>
      <c r="BX25" s="41">
        <f>BX10-BX60</f>
        <v>281829</v>
      </c>
      <c r="BY25" s="41">
        <f>BY10-BY60</f>
        <v>317753</v>
      </c>
      <c r="BZ25" s="41">
        <f>BZ10-BZ60</f>
        <v>270339</v>
      </c>
      <c r="CA25" s="41">
        <f>CA10-CA60</f>
        <v>310383</v>
      </c>
      <c r="CB25" s="41">
        <f>CB10-CB60</f>
        <v>328365</v>
      </c>
      <c r="CC25" s="41">
        <f>CC10-CC60</f>
        <v>333476</v>
      </c>
      <c r="CD25" s="41">
        <f>CD10-CD60</f>
        <v>306264</v>
      </c>
      <c r="CE25" s="41">
        <f>CE10-CE60</f>
        <v>270370</v>
      </c>
      <c r="CF25" s="41">
        <f>CF10-CF60</f>
        <v>194014</v>
      </c>
      <c r="CG25" s="41">
        <f>CG10-CG60</f>
        <v>182266</v>
      </c>
      <c r="CH25" s="41">
        <f t="shared" si="18"/>
        <v>182266</v>
      </c>
      <c r="CJ25" s="41">
        <v>247713</v>
      </c>
      <c r="CK25" s="41">
        <v>234422.08006563294</v>
      </c>
      <c r="CL25" s="41">
        <v>194348.7132915963</v>
      </c>
      <c r="CM25" s="41">
        <v>223062.99421980139</v>
      </c>
      <c r="CN25" s="41">
        <v>228884.86858944659</v>
      </c>
      <c r="CO25" s="41">
        <v>240669.78918926936</v>
      </c>
      <c r="CP25" s="41">
        <v>234679.65868928705</v>
      </c>
      <c r="CQ25" s="41">
        <v>197008.01236523816</v>
      </c>
      <c r="CR25" s="41">
        <v>148007.96159444697</v>
      </c>
      <c r="CS25" s="41">
        <v>111276.29521213027</v>
      </c>
      <c r="CT25" s="41">
        <v>93072.105643725808</v>
      </c>
      <c r="CU25" s="41">
        <v>116080.10690622788</v>
      </c>
      <c r="CV25" s="41">
        <v>116080.10690622788</v>
      </c>
      <c r="CW25" s="598">
        <f>CV27-459000</f>
        <v>1692766.65</v>
      </c>
      <c r="CX25" s="41">
        <v>247713</v>
      </c>
      <c r="CY25" s="41">
        <v>234422.08006563294</v>
      </c>
      <c r="CZ25" s="41">
        <v>194348.7132915963</v>
      </c>
      <c r="DA25" s="41">
        <v>223062.99421980139</v>
      </c>
      <c r="DB25" s="41">
        <v>228884.86858944659</v>
      </c>
      <c r="DC25" s="41">
        <v>240669.78918926936</v>
      </c>
      <c r="DD25" s="41">
        <v>234679.65868928705</v>
      </c>
      <c r="DE25" s="41">
        <v>197008.01236523816</v>
      </c>
      <c r="DF25" s="41">
        <v>148007.96159444697</v>
      </c>
      <c r="DG25" s="41">
        <v>111276.29521213027</v>
      </c>
      <c r="DH25" s="41">
        <v>93072.105643725808</v>
      </c>
      <c r="DI25" s="41">
        <v>116080.10690622788</v>
      </c>
      <c r="DJ25" s="41">
        <v>116080.10690622788</v>
      </c>
    </row>
    <row r="26" spans="1:114">
      <c r="A26" s="46"/>
      <c r="B26" s="47" t="s">
        <v>48</v>
      </c>
      <c r="C26" s="446"/>
      <c r="D26" s="283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284"/>
      <c r="Q26" s="49"/>
      <c r="R26" s="283"/>
      <c r="S26" s="50"/>
      <c r="T26" s="50"/>
      <c r="U26" s="50"/>
      <c r="V26" s="51"/>
      <c r="W26" s="51"/>
      <c r="X26" s="51"/>
      <c r="Y26" s="51"/>
      <c r="Z26" s="51"/>
      <c r="AA26" s="51"/>
      <c r="AB26" s="51"/>
      <c r="AC26" s="50"/>
      <c r="AD26" s="285"/>
      <c r="AE26" s="23"/>
      <c r="AF26" s="286">
        <f t="shared" ref="AF26:AP26" si="48">AF10/AG27</f>
        <v>1.4346741432881778</v>
      </c>
      <c r="AG26" s="286">
        <f t="shared" si="48"/>
        <v>3.9745327610561771</v>
      </c>
      <c r="AH26" s="286">
        <f t="shared" si="48"/>
        <v>4.4537254638644557</v>
      </c>
      <c r="AI26" s="286">
        <f t="shared" si="48"/>
        <v>3.1781895295331357</v>
      </c>
      <c r="AJ26" s="286">
        <f t="shared" si="48"/>
        <v>2.7551225094238019</v>
      </c>
      <c r="AK26" s="286">
        <f t="shared" si="48"/>
        <v>3.2297970327971317</v>
      </c>
      <c r="AL26" s="286">
        <f t="shared" si="48"/>
        <v>2.3575635299682296</v>
      </c>
      <c r="AM26" s="286">
        <f t="shared" si="48"/>
        <v>2.1413160582078121</v>
      </c>
      <c r="AN26" s="286">
        <f t="shared" si="48"/>
        <v>1.9042360296991012</v>
      </c>
      <c r="AO26" s="286">
        <f t="shared" si="48"/>
        <v>3.1686411691542289</v>
      </c>
      <c r="AP26" s="286">
        <f t="shared" si="48"/>
        <v>5.1487735077677845</v>
      </c>
      <c r="AQ26" s="286">
        <f>AQ10/AT27</f>
        <v>3.4807306746186968</v>
      </c>
      <c r="AR26" s="287">
        <f>AQ26</f>
        <v>3.4807306746186968</v>
      </c>
      <c r="AS26" s="23"/>
      <c r="AT26" s="286">
        <f>AT10/AU27</f>
        <v>2.7971286279646934</v>
      </c>
      <c r="AU26" s="286">
        <f>AU10/AV27</f>
        <v>3.0710063937614676</v>
      </c>
      <c r="AV26" s="286">
        <f>AV10/AW27</f>
        <v>2.5847779910329129</v>
      </c>
      <c r="AW26" s="286">
        <f>AW10/AX27</f>
        <v>3.3142307600651066</v>
      </c>
      <c r="AX26" s="286">
        <f>AX10/AY27</f>
        <v>3.0202081128011216</v>
      </c>
      <c r="AY26" s="286">
        <f t="shared" ref="AY26:BD26" si="49">AY10/(AZ57+AZ56)</f>
        <v>3.0375411110446691</v>
      </c>
      <c r="AZ26" s="286">
        <f t="shared" si="49"/>
        <v>1.7862994390436959</v>
      </c>
      <c r="BA26" s="286">
        <f t="shared" si="49"/>
        <v>2.3917338115287117</v>
      </c>
      <c r="BB26" s="286">
        <f t="shared" si="49"/>
        <v>2.0297186803388318</v>
      </c>
      <c r="BC26" s="286">
        <f t="shared" si="49"/>
        <v>2.9418601583113455</v>
      </c>
      <c r="BD26" s="286">
        <f t="shared" si="49"/>
        <v>5.3595753009100697</v>
      </c>
      <c r="BE26" s="286">
        <f>BE10/BH27</f>
        <v>2.3338657833234047</v>
      </c>
      <c r="BF26" s="52"/>
      <c r="BG26" s="27"/>
      <c r="BH26" s="418">
        <f t="shared" ref="BH26:BN26" si="50">BH10/BI27</f>
        <v>2.4324841588586663</v>
      </c>
      <c r="BI26" s="418">
        <f t="shared" si="50"/>
        <v>2.0694790126570033</v>
      </c>
      <c r="BJ26" s="418">
        <f t="shared" si="50"/>
        <v>2.1548303749075362</v>
      </c>
      <c r="BK26" s="418">
        <f t="shared" si="50"/>
        <v>2.940658548141605</v>
      </c>
      <c r="BL26" s="418">
        <f t="shared" si="50"/>
        <v>2.5009495450993295</v>
      </c>
      <c r="BM26" s="418">
        <f t="shared" si="50"/>
        <v>2.0577586855214944</v>
      </c>
      <c r="BN26" s="418">
        <f t="shared" si="50"/>
        <v>2.3320530115558045</v>
      </c>
      <c r="BO26" s="419"/>
      <c r="BP26" s="419"/>
      <c r="BQ26" s="419"/>
      <c r="BR26" s="419"/>
      <c r="BS26" s="419"/>
      <c r="BT26" s="419"/>
      <c r="BU26" s="54"/>
      <c r="BV26" s="286">
        <v>0</v>
      </c>
      <c r="BW26" s="286">
        <v>0</v>
      </c>
      <c r="BX26" s="286">
        <v>0</v>
      </c>
      <c r="BY26" s="418">
        <v>0</v>
      </c>
      <c r="BZ26" s="418">
        <v>0</v>
      </c>
      <c r="CA26" s="418">
        <v>0</v>
      </c>
      <c r="CB26" s="418">
        <v>0</v>
      </c>
      <c r="CC26" s="418">
        <v>0</v>
      </c>
      <c r="CD26" s="418">
        <v>0</v>
      </c>
      <c r="CE26" s="418">
        <v>0</v>
      </c>
      <c r="CF26" s="418">
        <v>0</v>
      </c>
      <c r="CG26" s="419"/>
      <c r="CH26" s="419"/>
      <c r="CJ26" s="286">
        <v>0</v>
      </c>
      <c r="CK26" s="286">
        <v>0</v>
      </c>
      <c r="CL26" s="286">
        <v>0</v>
      </c>
      <c r="CM26" s="418">
        <v>0</v>
      </c>
      <c r="CN26" s="418">
        <v>0</v>
      </c>
      <c r="CO26" s="418">
        <v>0</v>
      </c>
      <c r="CP26" s="418">
        <v>0</v>
      </c>
      <c r="CQ26" s="418">
        <v>0</v>
      </c>
      <c r="CR26" s="418">
        <v>0</v>
      </c>
      <c r="CS26" s="418">
        <v>0</v>
      </c>
      <c r="CT26" s="418">
        <v>0</v>
      </c>
      <c r="CU26" s="419"/>
      <c r="CV26" s="419"/>
      <c r="CX26" s="286">
        <v>0</v>
      </c>
      <c r="CY26" s="286">
        <v>0</v>
      </c>
      <c r="CZ26" s="286">
        <v>0</v>
      </c>
      <c r="DA26" s="418">
        <v>0</v>
      </c>
      <c r="DB26" s="418">
        <v>0</v>
      </c>
      <c r="DC26" s="418">
        <v>0</v>
      </c>
      <c r="DD26" s="418">
        <v>0</v>
      </c>
      <c r="DE26" s="418">
        <v>0</v>
      </c>
      <c r="DF26" s="418">
        <v>0</v>
      </c>
      <c r="DG26" s="418">
        <v>0</v>
      </c>
      <c r="DH26" s="418">
        <v>0</v>
      </c>
      <c r="DI26" s="419"/>
      <c r="DJ26" s="419"/>
    </row>
    <row r="27" spans="1:114" ht="18.75">
      <c r="A27" s="55">
        <v>6</v>
      </c>
      <c r="B27" s="56" t="s">
        <v>49</v>
      </c>
      <c r="C27" s="280"/>
      <c r="D27" s="288">
        <f t="shared" ref="D27:P27" si="51">SUM(D31:D54)</f>
        <v>82250</v>
      </c>
      <c r="E27" s="57">
        <f t="shared" si="51"/>
        <v>117000</v>
      </c>
      <c r="F27" s="57">
        <f t="shared" si="51"/>
        <v>121750</v>
      </c>
      <c r="G27" s="57">
        <f t="shared" si="51"/>
        <v>150000</v>
      </c>
      <c r="H27" s="57">
        <f t="shared" si="51"/>
        <v>99500</v>
      </c>
      <c r="I27" s="57">
        <f t="shared" si="51"/>
        <v>102000</v>
      </c>
      <c r="J27" s="57">
        <f t="shared" si="51"/>
        <v>177632</v>
      </c>
      <c r="K27" s="57">
        <f t="shared" si="51"/>
        <v>178158</v>
      </c>
      <c r="L27" s="57">
        <f t="shared" si="51"/>
        <v>199211</v>
      </c>
      <c r="M27" s="57">
        <f t="shared" si="51"/>
        <v>229474</v>
      </c>
      <c r="N27" s="57">
        <f t="shared" si="51"/>
        <v>122368</v>
      </c>
      <c r="O27" s="57">
        <f t="shared" si="51"/>
        <v>38421</v>
      </c>
      <c r="P27" s="289">
        <f t="shared" si="51"/>
        <v>1617764</v>
      </c>
      <c r="Q27" s="39"/>
      <c r="R27" s="288">
        <f t="shared" ref="R27:AC27" si="52">R31+R55</f>
        <v>136177.33998294926</v>
      </c>
      <c r="S27" s="58">
        <f t="shared" si="52"/>
        <v>143840.32639116928</v>
      </c>
      <c r="T27" s="58">
        <f t="shared" si="52"/>
        <v>142553.77192982455</v>
      </c>
      <c r="U27" s="58">
        <f t="shared" si="52"/>
        <v>19814.899999999998</v>
      </c>
      <c r="V27" s="58">
        <f t="shared" si="52"/>
        <v>52085</v>
      </c>
      <c r="W27" s="290">
        <f t="shared" si="52"/>
        <v>70169.381950239796</v>
      </c>
      <c r="X27" s="290">
        <f t="shared" si="52"/>
        <v>144463.33333333299</v>
      </c>
      <c r="Y27" s="290">
        <f t="shared" si="52"/>
        <v>226547.08333333331</v>
      </c>
      <c r="Z27" s="290">
        <f t="shared" si="52"/>
        <v>273187.5</v>
      </c>
      <c r="AA27" s="290">
        <f t="shared" si="52"/>
        <v>172100</v>
      </c>
      <c r="AB27" s="290">
        <f t="shared" si="52"/>
        <v>37500</v>
      </c>
      <c r="AC27" s="290">
        <f t="shared" si="52"/>
        <v>0</v>
      </c>
      <c r="AD27" s="291">
        <f>SUM(R27:AC27)</f>
        <v>1418438.6369208493</v>
      </c>
      <c r="AE27" s="59"/>
      <c r="AF27" s="292">
        <f>AF31+AF55</f>
        <v>128646</v>
      </c>
      <c r="AG27" s="58">
        <f t="shared" ref="AG27:AQ27" si="53">AG31+AG55</f>
        <v>177977</v>
      </c>
      <c r="AH27" s="58">
        <f t="shared" si="53"/>
        <v>73624</v>
      </c>
      <c r="AI27" s="58">
        <f t="shared" si="53"/>
        <v>89358</v>
      </c>
      <c r="AJ27" s="58">
        <f t="shared" si="53"/>
        <v>122134</v>
      </c>
      <c r="AK27" s="58">
        <f t="shared" si="53"/>
        <v>148560</v>
      </c>
      <c r="AL27" s="58">
        <f t="shared" si="53"/>
        <v>151995</v>
      </c>
      <c r="AM27" s="58">
        <f t="shared" si="53"/>
        <v>238903</v>
      </c>
      <c r="AN27" s="58">
        <f t="shared" si="53"/>
        <v>261133.33333333334</v>
      </c>
      <c r="AO27" s="58">
        <f t="shared" si="53"/>
        <v>255900</v>
      </c>
      <c r="AP27" s="58">
        <f t="shared" si="53"/>
        <v>128640</v>
      </c>
      <c r="AQ27" s="58">
        <f t="shared" si="53"/>
        <v>97840</v>
      </c>
      <c r="AR27" s="58">
        <f>SUM(AF27:AQ27)</f>
        <v>1874710.3333333333</v>
      </c>
      <c r="AS27" s="59"/>
      <c r="AT27" s="58">
        <f t="shared" ref="AT27:BD27" si="54">AT31+AT55</f>
        <v>152749.25</v>
      </c>
      <c r="AU27" s="58">
        <f t="shared" si="54"/>
        <v>168522.10344827586</v>
      </c>
      <c r="AV27" s="58">
        <f t="shared" si="54"/>
        <v>154121.13793103449</v>
      </c>
      <c r="AW27" s="58">
        <f t="shared" si="54"/>
        <v>159595.13793103449</v>
      </c>
      <c r="AX27" s="58">
        <f t="shared" si="54"/>
        <v>120099.96551724138</v>
      </c>
      <c r="AY27" s="58">
        <f t="shared" si="54"/>
        <v>138343.77777777778</v>
      </c>
      <c r="AZ27" s="58">
        <f t="shared" si="54"/>
        <v>166673.77777777778</v>
      </c>
      <c r="BA27" s="58">
        <f t="shared" si="54"/>
        <v>242442.29629629629</v>
      </c>
      <c r="BB27" s="58">
        <f t="shared" si="54"/>
        <v>243407.77777777778</v>
      </c>
      <c r="BC27" s="58">
        <f t="shared" si="54"/>
        <v>253368.29075565783</v>
      </c>
      <c r="BD27" s="58">
        <f t="shared" si="54"/>
        <v>134555.58688147296</v>
      </c>
      <c r="BE27" s="58">
        <f>BE31+BE56</f>
        <v>72686.612965093984</v>
      </c>
      <c r="BF27" s="58">
        <f t="shared" ref="BF27:BF29" si="55">SUM(AT27:BE27)</f>
        <v>2006565.7150594404</v>
      </c>
      <c r="BG27" s="59">
        <f>BF27-AR27</f>
        <v>131855.38172610709</v>
      </c>
      <c r="BH27" s="58">
        <f>BH28+BH55</f>
        <v>152753</v>
      </c>
      <c r="BI27" s="58">
        <f t="shared" ref="BI27:BN27" si="56">BI28+BI55</f>
        <v>146822.33333333331</v>
      </c>
      <c r="BJ27" s="58">
        <f t="shared" si="56"/>
        <v>171546.07407407407</v>
      </c>
      <c r="BK27" s="58">
        <f t="shared" si="56"/>
        <v>159771.74074074073</v>
      </c>
      <c r="BL27" s="58">
        <f t="shared" si="56"/>
        <v>132496.85185185185</v>
      </c>
      <c r="BM27" s="58">
        <f t="shared" si="56"/>
        <v>129906.25925925926</v>
      </c>
      <c r="BN27" s="58">
        <f t="shared" si="56"/>
        <v>171383.55555555556</v>
      </c>
      <c r="BO27" s="58">
        <f>BO28+BO56</f>
        <v>179550.37811111109</v>
      </c>
      <c r="BP27" s="58">
        <f>BP28+BP56</f>
        <v>202053.74953703705</v>
      </c>
      <c r="BQ27" s="58">
        <f>BQ28+BQ56</f>
        <v>163865</v>
      </c>
      <c r="BR27" s="58">
        <f>BR28+BR56</f>
        <v>175620.6</v>
      </c>
      <c r="BS27" s="58">
        <v>92285.6</v>
      </c>
      <c r="BT27" s="58">
        <f t="shared" ref="BT27:BT29" si="57">SUM(BH27:BS27)</f>
        <v>1878055.142462963</v>
      </c>
      <c r="BU27" s="60"/>
      <c r="BV27" s="58">
        <f>BV31+(BV56)*$CI$27</f>
        <v>161157.867486095</v>
      </c>
      <c r="BW27" s="58">
        <f t="shared" ref="BW27:CG27" si="58">BW31+(BW56)*$CI$27</f>
        <v>155966.83045180296</v>
      </c>
      <c r="BX27" s="58">
        <f>BX31+(BX56)*$CI$27</f>
        <v>196111.53846153844</v>
      </c>
      <c r="BY27" s="58">
        <f t="shared" si="58"/>
        <v>159169.23076923078</v>
      </c>
      <c r="BZ27" s="58">
        <f>BZ31+(BZ56)*$CI$27</f>
        <v>151482.39341785663</v>
      </c>
      <c r="CA27" s="58">
        <f t="shared" si="58"/>
        <v>141442.12910096842</v>
      </c>
      <c r="CB27" s="58">
        <f>CB31+(CB56)*$CI$27</f>
        <v>176986.21444761599</v>
      </c>
      <c r="CC27" s="58">
        <f t="shared" si="58"/>
        <v>201301.08944885107</v>
      </c>
      <c r="CD27" s="58">
        <f t="shared" si="58"/>
        <v>212833.04013559342</v>
      </c>
      <c r="CE27" s="58">
        <f t="shared" si="58"/>
        <v>215922.30386211892</v>
      </c>
      <c r="CF27" s="58">
        <f>CF31+(CF56)*$CI$27</f>
        <v>171115.84223630186</v>
      </c>
      <c r="CG27" s="58">
        <f t="shared" si="58"/>
        <v>87483.816691710366</v>
      </c>
      <c r="CH27" s="58">
        <f t="shared" ref="CH27:CH28" si="59">SUM(BV27:CG27)</f>
        <v>2030972.2965096838</v>
      </c>
      <c r="CI27" s="594">
        <v>0.95</v>
      </c>
      <c r="CJ27" s="705">
        <f>CJ31+CJ65</f>
        <v>181422.94</v>
      </c>
      <c r="CK27" s="705">
        <f>CK31+CK65</f>
        <v>165852.66999999998</v>
      </c>
      <c r="CL27" s="705">
        <f t="shared" ref="CL27:CV27" si="60">CL31+CL65</f>
        <v>185796.68</v>
      </c>
      <c r="CM27" s="705">
        <f>CM31+CM65</f>
        <v>160056.65999999997</v>
      </c>
      <c r="CN27" s="705">
        <f>CN31+CN65</f>
        <v>153801.95000000001</v>
      </c>
      <c r="CO27" s="705">
        <f t="shared" si="60"/>
        <v>120180.87999999999</v>
      </c>
      <c r="CP27" s="705">
        <f>CP31+CP65</f>
        <v>225720.09</v>
      </c>
      <c r="CQ27" s="705">
        <f t="shared" si="60"/>
        <v>206895.31</v>
      </c>
      <c r="CR27" s="705">
        <f t="shared" si="60"/>
        <v>256653.63999999998</v>
      </c>
      <c r="CS27" s="705">
        <f t="shared" si="60"/>
        <v>229416.92</v>
      </c>
      <c r="CT27" s="705">
        <f t="shared" si="60"/>
        <v>162785.09</v>
      </c>
      <c r="CU27" s="705">
        <f t="shared" si="60"/>
        <v>103183.82</v>
      </c>
      <c r="CV27" s="705">
        <f>SUM(CJ27:CU27)</f>
        <v>2151766.65</v>
      </c>
      <c r="CW27" s="594" t="s">
        <v>50</v>
      </c>
      <c r="CX27" s="58">
        <f>CJ27*1.05</f>
        <v>190494.087</v>
      </c>
      <c r="CY27" s="58">
        <f t="shared" ref="CY27:DI27" si="61">CK27*1.05</f>
        <v>174145.30349999998</v>
      </c>
      <c r="CZ27" s="58">
        <f t="shared" si="61"/>
        <v>195086.514</v>
      </c>
      <c r="DA27" s="58">
        <f t="shared" si="61"/>
        <v>168059.49299999999</v>
      </c>
      <c r="DB27" s="58">
        <f t="shared" si="61"/>
        <v>161492.04750000002</v>
      </c>
      <c r="DC27" s="58">
        <f t="shared" si="61"/>
        <v>126189.924</v>
      </c>
      <c r="DD27" s="58">
        <f t="shared" si="61"/>
        <v>237006.09450000001</v>
      </c>
      <c r="DE27" s="58">
        <f t="shared" si="61"/>
        <v>217240.07550000001</v>
      </c>
      <c r="DF27" s="58">
        <f t="shared" si="61"/>
        <v>269486.32199999999</v>
      </c>
      <c r="DG27" s="58">
        <f t="shared" si="61"/>
        <v>240887.76600000003</v>
      </c>
      <c r="DH27" s="58">
        <f t="shared" si="61"/>
        <v>170924.34450000001</v>
      </c>
      <c r="DI27" s="58">
        <f t="shared" si="61"/>
        <v>108343.01100000001</v>
      </c>
      <c r="DJ27" s="58">
        <v>1957097.174059076</v>
      </c>
    </row>
    <row r="28" spans="1:114">
      <c r="A28" s="61"/>
      <c r="B28" s="62" t="s">
        <v>51</v>
      </c>
      <c r="C28" s="293"/>
      <c r="D28" s="294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295"/>
      <c r="Q28" s="64"/>
      <c r="R28" s="294"/>
      <c r="S28" s="65"/>
      <c r="T28" s="65"/>
      <c r="U28" s="65"/>
      <c r="V28" s="296"/>
      <c r="W28" s="297"/>
      <c r="X28" s="297"/>
      <c r="Y28" s="297"/>
      <c r="Z28" s="297"/>
      <c r="AA28" s="297"/>
      <c r="AB28" s="297"/>
      <c r="AC28" s="66"/>
      <c r="AD28" s="67"/>
      <c r="AE28" s="68"/>
      <c r="AF28" s="298"/>
      <c r="AG28" s="65"/>
      <c r="AH28" s="65"/>
      <c r="AI28" s="65"/>
      <c r="AJ28" s="296"/>
      <c r="AK28" s="296"/>
      <c r="AL28" s="296"/>
      <c r="AM28" s="296"/>
      <c r="AN28" s="65"/>
      <c r="AO28" s="65"/>
      <c r="AP28" s="65"/>
      <c r="AQ28" s="65"/>
      <c r="AR28" s="299"/>
      <c r="AS28" s="68"/>
      <c r="AT28" s="65"/>
      <c r="AU28" s="65"/>
      <c r="AV28" s="65"/>
      <c r="AW28" s="65"/>
      <c r="AX28" s="65"/>
      <c r="AY28" s="69">
        <f t="shared" ref="AY28:BA28" si="62">AY31+AY56</f>
        <v>119777.77777777778</v>
      </c>
      <c r="AZ28" s="69">
        <f t="shared" si="62"/>
        <v>150777.77777777778</v>
      </c>
      <c r="BA28" s="69">
        <f t="shared" si="62"/>
        <v>233098.4962962963</v>
      </c>
      <c r="BB28" s="69">
        <f>BB29/BB30</f>
        <v>210777.77777777778</v>
      </c>
      <c r="BC28" s="69">
        <f>BC31+BC56</f>
        <v>249806.29075565783</v>
      </c>
      <c r="BD28" s="69">
        <f t="shared" ref="BD28:BE28" si="63">BD31+BD56*0.85</f>
        <v>122960.58688147296</v>
      </c>
      <c r="BE28" s="69">
        <f t="shared" si="63"/>
        <v>66386.612965093984</v>
      </c>
      <c r="BF28" s="69">
        <f t="shared" si="55"/>
        <v>1153585.3202318544</v>
      </c>
      <c r="BG28" s="68"/>
      <c r="BH28" s="69">
        <f>BH29/BH30-0.1*BH29/BH30</f>
        <v>116600</v>
      </c>
      <c r="BI28" s="69">
        <f t="shared" ref="BI28" si="64">BI29/BI30-0.1*BI29/BI30</f>
        <v>111533.33333333333</v>
      </c>
      <c r="BJ28" s="69">
        <f t="shared" ref="BJ28:BP28" si="65">BJ29/BJ30-0.05*BJ29/BJ30</f>
        <v>135674.07407407407</v>
      </c>
      <c r="BK28" s="69">
        <f t="shared" si="65"/>
        <v>121740.74074074074</v>
      </c>
      <c r="BL28" s="69">
        <f t="shared" si="65"/>
        <v>93926.851851851854</v>
      </c>
      <c r="BM28" s="69">
        <f t="shared" si="65"/>
        <v>90679.259259259255</v>
      </c>
      <c r="BN28" s="69">
        <f t="shared" si="65"/>
        <v>130255.55555555556</v>
      </c>
      <c r="BO28" s="69">
        <f t="shared" si="65"/>
        <v>150550.37811111109</v>
      </c>
      <c r="BP28" s="69">
        <f t="shared" si="65"/>
        <v>161830.74953703705</v>
      </c>
      <c r="BQ28" s="69">
        <v>127130</v>
      </c>
      <c r="BR28" s="69">
        <v>138687.6</v>
      </c>
      <c r="BS28" s="69">
        <v>43639.199999999997</v>
      </c>
      <c r="BT28" s="69">
        <f t="shared" si="57"/>
        <v>1422247.7424629631</v>
      </c>
      <c r="BU28" s="54"/>
      <c r="BV28" s="69">
        <f>BV31+BV55</f>
        <v>166555.77995873816</v>
      </c>
      <c r="BW28" s="69">
        <f>BW31+BW55</f>
        <v>152835.36924465047</v>
      </c>
      <c r="BX28" s="69">
        <f t="shared" ref="BX28:CG28" si="66">BX31+BX55</f>
        <v>195319.2072937729</v>
      </c>
      <c r="BY28" s="69">
        <f t="shared" si="66"/>
        <v>158396.18906207831</v>
      </c>
      <c r="BZ28" s="69">
        <f t="shared" si="66"/>
        <v>152371.51475009107</v>
      </c>
      <c r="CA28" s="69">
        <f t="shared" si="66"/>
        <v>147696.01107361159</v>
      </c>
      <c r="CB28" s="69">
        <f t="shared" si="66"/>
        <v>189465.0513586243</v>
      </c>
      <c r="CC28" s="69">
        <f t="shared" si="66"/>
        <v>202914.10079748323</v>
      </c>
      <c r="CD28" s="69">
        <f t="shared" si="66"/>
        <v>214499.61628422557</v>
      </c>
      <c r="CE28" s="69">
        <f t="shared" si="66"/>
        <v>217682.99793575107</v>
      </c>
      <c r="CF28" s="69">
        <f t="shared" si="66"/>
        <v>179284.72030485788</v>
      </c>
      <c r="CG28" s="69">
        <f t="shared" si="66"/>
        <v>88389.319383536102</v>
      </c>
      <c r="CH28" s="69">
        <f t="shared" si="59"/>
        <v>2065409.8774474205</v>
      </c>
      <c r="CI28" s="395">
        <f>(CH28-BT62)/BT62</f>
        <v>0.48621753003500767</v>
      </c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395">
        <f>(CV28-CH62)/CH62</f>
        <v>-1</v>
      </c>
      <c r="CX28" s="69">
        <v>166555.77995873816</v>
      </c>
      <c r="CY28" s="69">
        <v>152835.36924465047</v>
      </c>
      <c r="CZ28" s="69">
        <v>195319.2072937729</v>
      </c>
      <c r="DA28" s="69">
        <v>158396.18906207831</v>
      </c>
      <c r="DB28" s="69">
        <v>152371.51475009107</v>
      </c>
      <c r="DC28" s="69">
        <v>147696.01107361159</v>
      </c>
      <c r="DD28" s="69">
        <v>189465.0513586243</v>
      </c>
      <c r="DE28" s="69">
        <v>202914.10079748323</v>
      </c>
      <c r="DF28" s="69">
        <v>214499.61628422557</v>
      </c>
      <c r="DG28" s="69">
        <v>217682.99793575107</v>
      </c>
      <c r="DH28" s="69">
        <v>179284.72030485788</v>
      </c>
      <c r="DI28" s="69">
        <v>88389.319383536102</v>
      </c>
      <c r="DJ28" s="69">
        <v>2065409.8774474205</v>
      </c>
    </row>
    <row r="29" spans="1:114">
      <c r="A29" s="61"/>
      <c r="B29" s="62" t="s">
        <v>52</v>
      </c>
      <c r="C29" s="293"/>
      <c r="D29" s="294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295"/>
      <c r="Q29" s="64"/>
      <c r="R29" s="294"/>
      <c r="S29" s="65"/>
      <c r="T29" s="65"/>
      <c r="U29" s="65"/>
      <c r="V29" s="296"/>
      <c r="W29" s="297"/>
      <c r="X29" s="297"/>
      <c r="Y29" s="297"/>
      <c r="Z29" s="297"/>
      <c r="AA29" s="297"/>
      <c r="AB29" s="297"/>
      <c r="AC29" s="66"/>
      <c r="AD29" s="67"/>
      <c r="AE29" s="68"/>
      <c r="AF29" s="298"/>
      <c r="AG29" s="65"/>
      <c r="AH29" s="65" t="s">
        <v>53</v>
      </c>
      <c r="AI29" s="65"/>
      <c r="AJ29" s="296"/>
      <c r="AK29" s="296"/>
      <c r="AL29" s="296"/>
      <c r="AM29" s="296"/>
      <c r="AN29" s="65">
        <v>6715000</v>
      </c>
      <c r="AO29" s="65">
        <v>6555000</v>
      </c>
      <c r="AP29" s="65">
        <v>2640000</v>
      </c>
      <c r="AQ29" s="65">
        <v>1302000</v>
      </c>
      <c r="AR29" s="299"/>
      <c r="AS29" s="68"/>
      <c r="AT29" s="65">
        <v>3264695</v>
      </c>
      <c r="AU29" s="65">
        <v>3863760</v>
      </c>
      <c r="AV29" s="65">
        <v>3429225</v>
      </c>
      <c r="AW29" s="65">
        <v>3525360</v>
      </c>
      <c r="AX29" s="65">
        <v>2509485</v>
      </c>
      <c r="AY29" s="65">
        <v>2829000</v>
      </c>
      <c r="AZ29" s="65">
        <v>3666000</v>
      </c>
      <c r="BA29" s="65">
        <v>5705000</v>
      </c>
      <c r="BB29" s="65">
        <v>5691000</v>
      </c>
      <c r="BC29" s="65">
        <v>5600000</v>
      </c>
      <c r="BD29" s="65">
        <v>2430000</v>
      </c>
      <c r="BE29" s="65">
        <v>800000</v>
      </c>
      <c r="BF29" s="69">
        <f t="shared" si="55"/>
        <v>43313525</v>
      </c>
      <c r="BG29" s="68"/>
      <c r="BH29" s="70">
        <v>3498000</v>
      </c>
      <c r="BI29" s="70">
        <v>3346000</v>
      </c>
      <c r="BJ29" s="70">
        <v>3856000</v>
      </c>
      <c r="BK29" s="70">
        <v>3460000</v>
      </c>
      <c r="BL29" s="70">
        <v>2669500</v>
      </c>
      <c r="BM29" s="70">
        <v>2577200</v>
      </c>
      <c r="BN29" s="70">
        <v>3702000</v>
      </c>
      <c r="BO29" s="70">
        <v>4278800.22</v>
      </c>
      <c r="BP29" s="70">
        <v>4599400.25</v>
      </c>
      <c r="BQ29" s="70">
        <f>BQ28*BQ30</f>
        <v>3432510</v>
      </c>
      <c r="BR29" s="70">
        <v>2954493.21</v>
      </c>
      <c r="BS29" s="70">
        <v>984831.07</v>
      </c>
      <c r="BT29" s="65">
        <f t="shared" si="57"/>
        <v>39358734.75</v>
      </c>
      <c r="BU29" s="54"/>
      <c r="BV29" s="70">
        <f>BV30*BV31</f>
        <v>3399704.5546384701</v>
      </c>
      <c r="BW29" s="70">
        <f t="shared" ref="BW29:CG29" si="67">BW30*BW31</f>
        <v>3264737.5917468769</v>
      </c>
      <c r="BX29" s="70">
        <f t="shared" si="67"/>
        <v>4184999.9999999995</v>
      </c>
      <c r="BY29" s="70">
        <f t="shared" si="67"/>
        <v>3348000.0000000005</v>
      </c>
      <c r="BZ29" s="70">
        <f t="shared" si="67"/>
        <v>3074042.2288642721</v>
      </c>
      <c r="CA29" s="70">
        <f t="shared" si="67"/>
        <v>2812995.3566251793</v>
      </c>
      <c r="CB29" s="70">
        <f t="shared" si="67"/>
        <v>3737141.5756380158</v>
      </c>
      <c r="CC29" s="70">
        <f t="shared" si="67"/>
        <v>4437000.7194458414</v>
      </c>
      <c r="CD29" s="70">
        <f t="shared" si="67"/>
        <v>4710370.4261011425</v>
      </c>
      <c r="CE29" s="70">
        <f t="shared" si="67"/>
        <v>4744197.0280408058</v>
      </c>
      <c r="CF29" s="70">
        <f t="shared" si="67"/>
        <v>3461011.8981438484</v>
      </c>
      <c r="CG29" s="70">
        <f t="shared" si="67"/>
        <v>792579.23398446955</v>
      </c>
      <c r="CH29" s="65">
        <f>SUM(BV29:CG29)</f>
        <v>41966780.613228925</v>
      </c>
      <c r="CJ29" s="70">
        <f>CJ30*CJ31</f>
        <v>4023031.4767999998</v>
      </c>
      <c r="CK29" s="70">
        <f t="shared" ref="CK29:CU29" si="68">CK30*CK31</f>
        <v>3734347.6631999994</v>
      </c>
      <c r="CL29" s="70">
        <f t="shared" si="68"/>
        <v>4223923.0879999995</v>
      </c>
      <c r="CM29" s="70">
        <f t="shared" si="68"/>
        <v>3507679.0335999997</v>
      </c>
      <c r="CN29" s="70">
        <f t="shared" si="68"/>
        <v>3217429.18</v>
      </c>
      <c r="CO29" s="70">
        <f t="shared" si="68"/>
        <v>2332522.6176</v>
      </c>
      <c r="CP29" s="70">
        <f t="shared" si="68"/>
        <v>5138020.6359999999</v>
      </c>
      <c r="CQ29" s="70">
        <f t="shared" si="68"/>
        <v>4640708.9735999992</v>
      </c>
      <c r="CR29" s="70">
        <f t="shared" si="68"/>
        <v>5942025.5719999997</v>
      </c>
      <c r="CS29" s="70">
        <f t="shared" si="68"/>
        <v>5183216.5504000001</v>
      </c>
      <c r="CT29" s="70">
        <f t="shared" si="68"/>
        <v>3252007.3432</v>
      </c>
      <c r="CU29" s="70">
        <f>CU30*CU31</f>
        <v>1251798.4135999999</v>
      </c>
      <c r="CV29" s="70">
        <f>CV30*CV31</f>
        <v>46446710.548</v>
      </c>
      <c r="CX29" s="70">
        <v>3399704.5546384701</v>
      </c>
      <c r="CY29" s="70">
        <v>3264737.5917468769</v>
      </c>
      <c r="CZ29" s="70">
        <v>4184999.9999999995</v>
      </c>
      <c r="DA29" s="70">
        <v>3348000.0000000005</v>
      </c>
      <c r="DB29" s="70">
        <v>3074042.2288642721</v>
      </c>
      <c r="DC29" s="70">
        <v>2812995.3566251793</v>
      </c>
      <c r="DD29" s="70">
        <v>3737141.5756380158</v>
      </c>
      <c r="DE29" s="70">
        <v>4437000.7194458414</v>
      </c>
      <c r="DF29" s="70">
        <v>4710370.4261011425</v>
      </c>
      <c r="DG29" s="70">
        <v>4744197.0280408058</v>
      </c>
      <c r="DH29" s="70">
        <v>3461011.8981438484</v>
      </c>
      <c r="DI29" s="70">
        <v>792579.23398446955</v>
      </c>
      <c r="DJ29" s="65">
        <v>41966780.613228925</v>
      </c>
    </row>
    <row r="30" spans="1:114">
      <c r="A30" s="71"/>
      <c r="B30" s="72" t="s">
        <v>54</v>
      </c>
      <c r="C30" s="300"/>
      <c r="D30" s="301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302"/>
      <c r="Q30" s="74"/>
      <c r="R30" s="301"/>
      <c r="S30" s="69"/>
      <c r="T30" s="69"/>
      <c r="U30" s="69"/>
      <c r="V30" s="303"/>
      <c r="W30" s="304"/>
      <c r="X30" s="304"/>
      <c r="Y30" s="304"/>
      <c r="Z30" s="304"/>
      <c r="AA30" s="304"/>
      <c r="AB30" s="304"/>
      <c r="AC30" s="75"/>
      <c r="AD30" s="76"/>
      <c r="AE30" s="77"/>
      <c r="AF30" s="305"/>
      <c r="AG30" s="69"/>
      <c r="AH30" s="69"/>
      <c r="AI30" s="69"/>
      <c r="AJ30" s="303"/>
      <c r="AK30" s="303"/>
      <c r="AL30" s="303"/>
      <c r="AM30" s="303"/>
      <c r="AN30" s="69">
        <f t="shared" ref="AN30:AQ30" si="69">30</f>
        <v>30</v>
      </c>
      <c r="AO30" s="69">
        <f t="shared" si="69"/>
        <v>30</v>
      </c>
      <c r="AP30" s="69">
        <f t="shared" si="69"/>
        <v>30</v>
      </c>
      <c r="AQ30" s="69">
        <f t="shared" si="69"/>
        <v>30</v>
      </c>
      <c r="AR30" s="306"/>
      <c r="AS30" s="77"/>
      <c r="AT30" s="69">
        <v>28</v>
      </c>
      <c r="AU30" s="69">
        <v>29</v>
      </c>
      <c r="AV30" s="69">
        <v>29</v>
      </c>
      <c r="AW30" s="69">
        <v>29</v>
      </c>
      <c r="AX30" s="69">
        <v>29</v>
      </c>
      <c r="AY30" s="69">
        <v>27</v>
      </c>
      <c r="AZ30" s="69">
        <v>27</v>
      </c>
      <c r="BA30" s="69">
        <v>27</v>
      </c>
      <c r="BB30" s="69">
        <v>27</v>
      </c>
      <c r="BC30" s="69">
        <v>26.07</v>
      </c>
      <c r="BD30" s="69">
        <v>26.07</v>
      </c>
      <c r="BE30" s="69">
        <v>26.07</v>
      </c>
      <c r="BF30" s="305"/>
      <c r="BG30" s="78"/>
      <c r="BH30" s="69">
        <v>27</v>
      </c>
      <c r="BI30" s="69">
        <v>27</v>
      </c>
      <c r="BJ30" s="69">
        <v>27</v>
      </c>
      <c r="BK30" s="69">
        <v>27</v>
      </c>
      <c r="BL30" s="69">
        <v>27</v>
      </c>
      <c r="BM30" s="69">
        <v>27</v>
      </c>
      <c r="BN30" s="69">
        <v>27</v>
      </c>
      <c r="BO30" s="69">
        <v>27</v>
      </c>
      <c r="BP30" s="69">
        <v>27</v>
      </c>
      <c r="BQ30" s="69">
        <v>27</v>
      </c>
      <c r="BR30" s="69">
        <v>27</v>
      </c>
      <c r="BS30" s="69">
        <v>27</v>
      </c>
      <c r="BT30" s="69"/>
      <c r="BU30" s="54"/>
      <c r="BV30" s="69">
        <v>26</v>
      </c>
      <c r="BW30" s="69">
        <v>26</v>
      </c>
      <c r="BX30" s="69">
        <v>26</v>
      </c>
      <c r="BY30" s="69">
        <v>26</v>
      </c>
      <c r="BZ30" s="69">
        <v>26</v>
      </c>
      <c r="CA30" s="69">
        <v>26</v>
      </c>
      <c r="CB30" s="69">
        <v>26</v>
      </c>
      <c r="CC30" s="69">
        <v>26</v>
      </c>
      <c r="CD30" s="69">
        <v>26</v>
      </c>
      <c r="CE30" s="69">
        <v>26</v>
      </c>
      <c r="CF30" s="69">
        <v>26</v>
      </c>
      <c r="CG30" s="69">
        <v>26</v>
      </c>
      <c r="CH30" s="69"/>
      <c r="CJ30" s="69">
        <v>26.32</v>
      </c>
      <c r="CK30" s="69">
        <f>CJ30</f>
        <v>26.32</v>
      </c>
      <c r="CL30" s="69">
        <f t="shared" ref="CL30:CV30" si="70">CK30</f>
        <v>26.32</v>
      </c>
      <c r="CM30" s="69">
        <f t="shared" si="70"/>
        <v>26.32</v>
      </c>
      <c r="CN30" s="69">
        <f t="shared" si="70"/>
        <v>26.32</v>
      </c>
      <c r="CO30" s="69">
        <f t="shared" si="70"/>
        <v>26.32</v>
      </c>
      <c r="CP30" s="69">
        <f t="shared" si="70"/>
        <v>26.32</v>
      </c>
      <c r="CQ30" s="69">
        <f t="shared" si="70"/>
        <v>26.32</v>
      </c>
      <c r="CR30" s="69">
        <f t="shared" si="70"/>
        <v>26.32</v>
      </c>
      <c r="CS30" s="69">
        <f t="shared" si="70"/>
        <v>26.32</v>
      </c>
      <c r="CT30" s="69">
        <f t="shared" si="70"/>
        <v>26.32</v>
      </c>
      <c r="CU30" s="69">
        <f t="shared" si="70"/>
        <v>26.32</v>
      </c>
      <c r="CV30" s="69">
        <f t="shared" si="70"/>
        <v>26.32</v>
      </c>
      <c r="CX30" s="69">
        <v>26</v>
      </c>
      <c r="CY30" s="69">
        <v>26</v>
      </c>
      <c r="CZ30" s="69">
        <v>26</v>
      </c>
      <c r="DA30" s="69">
        <v>26</v>
      </c>
      <c r="DB30" s="69">
        <v>26</v>
      </c>
      <c r="DC30" s="69">
        <v>26</v>
      </c>
      <c r="DD30" s="69">
        <v>26</v>
      </c>
      <c r="DE30" s="69">
        <v>26</v>
      </c>
      <c r="DF30" s="69">
        <v>26</v>
      </c>
      <c r="DG30" s="69">
        <v>26</v>
      </c>
      <c r="DH30" s="69">
        <v>26</v>
      </c>
      <c r="DI30" s="69">
        <v>26</v>
      </c>
      <c r="DJ30" s="69"/>
    </row>
    <row r="31" spans="1:114" ht="15.75">
      <c r="A31" s="79"/>
      <c r="B31" s="80" t="s">
        <v>55</v>
      </c>
      <c r="C31" s="81"/>
      <c r="D31" s="288">
        <v>82250</v>
      </c>
      <c r="E31" s="57">
        <v>117000</v>
      </c>
      <c r="F31" s="57">
        <v>121750</v>
      </c>
      <c r="G31" s="57">
        <v>150000</v>
      </c>
      <c r="H31" s="57">
        <v>99500</v>
      </c>
      <c r="I31" s="57">
        <v>102000</v>
      </c>
      <c r="J31" s="57">
        <v>177632</v>
      </c>
      <c r="K31" s="57">
        <v>178158</v>
      </c>
      <c r="L31" s="57">
        <v>199211</v>
      </c>
      <c r="M31" s="57">
        <v>229474</v>
      </c>
      <c r="N31" s="57">
        <v>122368</v>
      </c>
      <c r="O31" s="57">
        <v>38421</v>
      </c>
      <c r="P31" s="289">
        <f>SUM(D31:O31)</f>
        <v>1617764</v>
      </c>
      <c r="Q31" s="39"/>
      <c r="R31" s="288">
        <v>115619.79612330014</v>
      </c>
      <c r="S31" s="58">
        <v>123327.78253152016</v>
      </c>
      <c r="T31" s="58">
        <v>128854</v>
      </c>
      <c r="U31" s="58">
        <f>126016*0.15</f>
        <v>18902.399999999998</v>
      </c>
      <c r="V31" s="58">
        <v>35234</v>
      </c>
      <c r="W31" s="290">
        <v>56469.381950239796</v>
      </c>
      <c r="X31" s="290">
        <v>118413.33333333299</v>
      </c>
      <c r="Y31" s="290">
        <v>198797.08333333331</v>
      </c>
      <c r="Z31" s="290">
        <v>242087.5</v>
      </c>
      <c r="AA31" s="290">
        <v>140000</v>
      </c>
      <c r="AB31" s="290">
        <v>0</v>
      </c>
      <c r="AC31" s="290">
        <v>-45300</v>
      </c>
      <c r="AD31" s="291">
        <f>SUM(R31:AC31)</f>
        <v>1132405.2772717264</v>
      </c>
      <c r="AE31" s="59"/>
      <c r="AF31" s="292">
        <v>90146</v>
      </c>
      <c r="AG31" s="58">
        <v>155577</v>
      </c>
      <c r="AH31" s="58">
        <v>62953</v>
      </c>
      <c r="AI31" s="58">
        <v>73261</v>
      </c>
      <c r="AJ31" s="58">
        <v>91856</v>
      </c>
      <c r="AK31" s="58">
        <v>120000</v>
      </c>
      <c r="AL31" s="58">
        <v>110295</v>
      </c>
      <c r="AM31" s="58">
        <v>200203</v>
      </c>
      <c r="AN31" s="58">
        <f t="shared" ref="AN31:AQ31" si="71">AN29/AN30</f>
        <v>223833.33333333334</v>
      </c>
      <c r="AO31" s="58">
        <f t="shared" si="71"/>
        <v>218500</v>
      </c>
      <c r="AP31" s="58">
        <f t="shared" si="71"/>
        <v>88000</v>
      </c>
      <c r="AQ31" s="58">
        <f t="shared" si="71"/>
        <v>43400</v>
      </c>
      <c r="AR31" s="58">
        <f>SUM(AF31:AQ31)</f>
        <v>1478024.3333333333</v>
      </c>
      <c r="AS31" s="59"/>
      <c r="AT31" s="58">
        <f t="shared" ref="AT31:BE31" si="72">AT29/AT30</f>
        <v>116596.25</v>
      </c>
      <c r="AU31" s="58">
        <f t="shared" si="72"/>
        <v>133233.10344827586</v>
      </c>
      <c r="AV31" s="58">
        <f t="shared" si="72"/>
        <v>118249.13793103448</v>
      </c>
      <c r="AW31" s="58">
        <f t="shared" si="72"/>
        <v>121564.13793103448</v>
      </c>
      <c r="AX31" s="58">
        <f t="shared" si="72"/>
        <v>86533.965517241377</v>
      </c>
      <c r="AY31" s="58">
        <f t="shared" si="72"/>
        <v>104777.77777777778</v>
      </c>
      <c r="AZ31" s="58">
        <f t="shared" si="72"/>
        <v>135777.77777777778</v>
      </c>
      <c r="BA31" s="58">
        <f t="shared" si="72"/>
        <v>211296.29629629629</v>
      </c>
      <c r="BB31" s="58">
        <f t="shared" si="72"/>
        <v>210777.77777777778</v>
      </c>
      <c r="BC31" s="58">
        <f t="shared" si="72"/>
        <v>214806.29075565783</v>
      </c>
      <c r="BD31" s="58">
        <f t="shared" si="72"/>
        <v>93210.586881472962</v>
      </c>
      <c r="BE31" s="58">
        <f t="shared" si="72"/>
        <v>30686.612965093977</v>
      </c>
      <c r="BF31" s="58">
        <f>SUM(AT31:BE31)</f>
        <v>1577509.7150594404</v>
      </c>
      <c r="BG31" s="59">
        <f>BF31-AR31</f>
        <v>99485.381726107094</v>
      </c>
      <c r="BH31" s="58">
        <f>BH28</f>
        <v>116600</v>
      </c>
      <c r="BI31" s="58">
        <f t="shared" ref="BI31:BT31" si="73">BI28</f>
        <v>111533.33333333333</v>
      </c>
      <c r="BJ31" s="58">
        <f t="shared" si="73"/>
        <v>135674.07407407407</v>
      </c>
      <c r="BK31" s="58">
        <f t="shared" si="73"/>
        <v>121740.74074074074</v>
      </c>
      <c r="BL31" s="58">
        <f t="shared" si="73"/>
        <v>93926.851851851854</v>
      </c>
      <c r="BM31" s="58">
        <f t="shared" si="73"/>
        <v>90679.259259259255</v>
      </c>
      <c r="BN31" s="58">
        <f t="shared" si="73"/>
        <v>130255.55555555556</v>
      </c>
      <c r="BO31" s="58">
        <f t="shared" si="73"/>
        <v>150550.37811111109</v>
      </c>
      <c r="BP31" s="58">
        <f t="shared" si="73"/>
        <v>161830.74953703705</v>
      </c>
      <c r="BQ31" s="58">
        <f t="shared" si="73"/>
        <v>127130</v>
      </c>
      <c r="BR31" s="58">
        <f>BR28</f>
        <v>138687.6</v>
      </c>
      <c r="BS31" s="58">
        <f t="shared" si="73"/>
        <v>43639.199999999997</v>
      </c>
      <c r="BT31" s="58">
        <f t="shared" si="73"/>
        <v>1422247.7424629631</v>
      </c>
      <c r="BU31" s="60"/>
      <c r="BV31" s="58">
        <f>'META  EM PEÇAS'!S73</f>
        <v>130757.867486095</v>
      </c>
      <c r="BW31" s="58">
        <f>'META  EM PEÇAS'!T73</f>
        <v>125566.83045180296</v>
      </c>
      <c r="BX31" s="58">
        <f>'META  EM PEÇAS'!U73</f>
        <v>160961.53846153844</v>
      </c>
      <c r="BY31" s="58">
        <f>'META  EM PEÇAS'!V73</f>
        <v>128769.23076923078</v>
      </c>
      <c r="BZ31" s="58">
        <f>'META  EM PEÇAS'!W73</f>
        <v>118232.39341785663</v>
      </c>
      <c r="CA31" s="58">
        <f>'META  EM PEÇAS'!X73</f>
        <v>108192.12910096844</v>
      </c>
      <c r="CB31" s="58">
        <f>'META  EM PEÇAS'!Y73</f>
        <v>143736.21444761599</v>
      </c>
      <c r="CC31" s="58">
        <f>'META  EM PEÇAS'!Z73</f>
        <v>170653.87382484006</v>
      </c>
      <c r="CD31" s="58">
        <f>'META  EM PEÇAS'!AA73</f>
        <v>181168.0933115824</v>
      </c>
      <c r="CE31" s="58">
        <f>'META  EM PEÇAS'!AB73</f>
        <v>182469.1164631079</v>
      </c>
      <c r="CF31" s="58">
        <f>'META  EM PEÇAS'!AC73</f>
        <v>133115.84223630186</v>
      </c>
      <c r="CG31" s="58">
        <f>'META  EM PEÇAS'!AD73</f>
        <v>30483.816691710366</v>
      </c>
      <c r="CH31" s="58">
        <v>45</v>
      </c>
      <c r="CI31">
        <f>CH31*26</f>
        <v>1170</v>
      </c>
      <c r="CJ31" s="58">
        <f>BV62*1.19</f>
        <v>152850.74</v>
      </c>
      <c r="CK31" s="58">
        <f t="shared" ref="CK31:CT31" si="74">BW62*1.19</f>
        <v>141882.50999999998</v>
      </c>
      <c r="CL31" s="58">
        <f>BX62*1.19</f>
        <v>160483.4</v>
      </c>
      <c r="CM31" s="58">
        <f t="shared" si="74"/>
        <v>133270.47999999998</v>
      </c>
      <c r="CN31" s="58">
        <f t="shared" si="74"/>
        <v>122242.75</v>
      </c>
      <c r="CO31" s="58">
        <f t="shared" si="74"/>
        <v>88621.68</v>
      </c>
      <c r="CP31" s="58">
        <f>CB62*1.19</f>
        <v>195213.55</v>
      </c>
      <c r="CQ31" s="58">
        <f t="shared" si="74"/>
        <v>176318.72999999998</v>
      </c>
      <c r="CR31" s="58">
        <f t="shared" si="74"/>
        <v>225760.84999999998</v>
      </c>
      <c r="CS31" s="58">
        <f t="shared" si="74"/>
        <v>196930.72</v>
      </c>
      <c r="CT31" s="58">
        <f t="shared" si="74"/>
        <v>123556.51</v>
      </c>
      <c r="CU31" s="58">
        <f>CG62*1.19</f>
        <v>47560.729999999996</v>
      </c>
      <c r="CV31" s="58">
        <f>SUM(CJ31:CU31)</f>
        <v>1764692.65</v>
      </c>
      <c r="CW31">
        <f>CV31*26</f>
        <v>45882008.899999999</v>
      </c>
      <c r="CX31" s="58">
        <v>130757.867486095</v>
      </c>
      <c r="CY31" s="58">
        <v>125566.83045180296</v>
      </c>
      <c r="CZ31" s="58">
        <v>160961.53846153844</v>
      </c>
      <c r="DA31" s="58">
        <v>128769.23076923078</v>
      </c>
      <c r="DB31" s="58">
        <v>118232.39341785663</v>
      </c>
      <c r="DC31" s="58">
        <v>108192.12910096844</v>
      </c>
      <c r="DD31" s="58">
        <v>143736.21444761599</v>
      </c>
      <c r="DE31" s="58">
        <v>170653.87382484006</v>
      </c>
      <c r="DF31" s="58">
        <v>181168.0933115824</v>
      </c>
      <c r="DG31" s="58">
        <v>182469.1164631079</v>
      </c>
      <c r="DH31" s="58">
        <v>133115.84223630186</v>
      </c>
      <c r="DI31" s="58">
        <v>30483.816691710366</v>
      </c>
      <c r="DJ31" s="58">
        <v>1614106.9466626509</v>
      </c>
    </row>
    <row r="32" spans="1:114">
      <c r="A32" s="307"/>
      <c r="B32" s="82"/>
      <c r="C32" s="308"/>
      <c r="D32" s="309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310"/>
      <c r="Q32" s="84"/>
      <c r="R32" s="309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311"/>
      <c r="AE32" s="23"/>
      <c r="AF32" s="312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6"/>
      <c r="AS32" s="23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2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54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J32" s="87">
        <f>BV62</f>
        <v>128446</v>
      </c>
      <c r="CK32" s="87">
        <f t="shared" ref="CK32:CU32" si="75">BW62</f>
        <v>119229</v>
      </c>
      <c r="CL32" s="87">
        <f t="shared" si="75"/>
        <v>134860</v>
      </c>
      <c r="CM32" s="87">
        <f t="shared" si="75"/>
        <v>111992</v>
      </c>
      <c r="CN32" s="87">
        <f t="shared" si="75"/>
        <v>102725</v>
      </c>
      <c r="CO32" s="87">
        <f t="shared" si="75"/>
        <v>74472</v>
      </c>
      <c r="CP32" s="87">
        <f t="shared" si="75"/>
        <v>164045</v>
      </c>
      <c r="CQ32" s="87">
        <f t="shared" si="75"/>
        <v>148167</v>
      </c>
      <c r="CR32" s="87">
        <f t="shared" si="75"/>
        <v>189715</v>
      </c>
      <c r="CS32" s="87">
        <f t="shared" si="75"/>
        <v>165488</v>
      </c>
      <c r="CT32" s="87">
        <f t="shared" si="75"/>
        <v>103829</v>
      </c>
      <c r="CU32" s="87">
        <f t="shared" si="75"/>
        <v>39967</v>
      </c>
      <c r="CV32" s="87">
        <f>SUM(CJ32:CU32)</f>
        <v>1482935</v>
      </c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</row>
    <row r="33" spans="1:114">
      <c r="A33" s="709"/>
      <c r="B33" s="710"/>
      <c r="C33" s="710"/>
      <c r="D33" s="309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310"/>
      <c r="Q33" s="84"/>
      <c r="R33" s="309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311"/>
      <c r="AE33" s="23"/>
      <c r="AF33" s="312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6"/>
      <c r="AS33" s="23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2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54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J33" s="711">
        <f>(CJ31-CJ32)/CJ32</f>
        <v>0.18999999999999992</v>
      </c>
      <c r="CK33" s="711">
        <f t="shared" ref="CK33:CU33" si="76">(CK31-CK32)/CK32</f>
        <v>0.18999999999999984</v>
      </c>
      <c r="CL33" s="711">
        <f t="shared" si="76"/>
        <v>0.18999999999999995</v>
      </c>
      <c r="CM33" s="711">
        <f t="shared" si="76"/>
        <v>0.18999999999999984</v>
      </c>
      <c r="CN33" s="711">
        <f t="shared" si="76"/>
        <v>0.19</v>
      </c>
      <c r="CO33" s="711">
        <f t="shared" si="76"/>
        <v>0.18999999999999992</v>
      </c>
      <c r="CP33" s="711">
        <f t="shared" si="76"/>
        <v>0.18999999999999992</v>
      </c>
      <c r="CQ33" s="711">
        <f t="shared" si="76"/>
        <v>0.18999999999999986</v>
      </c>
      <c r="CR33" s="711">
        <f t="shared" si="76"/>
        <v>0.18999999999999986</v>
      </c>
      <c r="CS33" s="711">
        <f t="shared" si="76"/>
        <v>0.19</v>
      </c>
      <c r="CT33" s="711">
        <f t="shared" si="76"/>
        <v>0.18999999999999995</v>
      </c>
      <c r="CU33" s="711">
        <f t="shared" si="76"/>
        <v>0.18999999999999989</v>
      </c>
      <c r="CV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</row>
    <row r="34" spans="1:114" ht="15" customHeight="1" outlineLevel="1">
      <c r="A34" s="88">
        <v>1</v>
      </c>
      <c r="B34" s="1095" t="s">
        <v>56</v>
      </c>
      <c r="C34" s="1117"/>
      <c r="D34" s="313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ref="P34:P46" si="77">SUM(D34:O34)</f>
        <v>0</v>
      </c>
      <c r="Q34" s="90"/>
      <c r="R34" s="313">
        <v>7017.5438596491231</v>
      </c>
      <c r="S34" s="91">
        <v>7017.5438596491231</v>
      </c>
      <c r="T34" s="91">
        <f>7017.54385964912/2</f>
        <v>3508.7719298245602</v>
      </c>
      <c r="U34" s="91">
        <f>96*U7</f>
        <v>96</v>
      </c>
      <c r="V34" s="91">
        <v>3000</v>
      </c>
      <c r="W34" s="91">
        <v>7200</v>
      </c>
      <c r="X34" s="91">
        <v>8500</v>
      </c>
      <c r="Y34" s="91">
        <v>8500</v>
      </c>
      <c r="Z34" s="91">
        <v>8500</v>
      </c>
      <c r="AA34" s="91">
        <v>9000</v>
      </c>
      <c r="AB34" s="91">
        <v>9500</v>
      </c>
      <c r="AC34" s="91">
        <v>8500</v>
      </c>
      <c r="AD34" s="315">
        <f t="shared" ref="AD34:AD48" si="78">SUM(R34:AC34)</f>
        <v>80339.859649122809</v>
      </c>
      <c r="AE34" s="23"/>
      <c r="AF34" s="316">
        <v>8000</v>
      </c>
      <c r="AG34" s="91">
        <v>4000</v>
      </c>
      <c r="AH34" s="91">
        <v>5673</v>
      </c>
      <c r="AI34" s="91">
        <v>4500</v>
      </c>
      <c r="AJ34" s="91">
        <v>7892</v>
      </c>
      <c r="AK34" s="91">
        <v>6400</v>
      </c>
      <c r="AL34" s="91">
        <v>8000</v>
      </c>
      <c r="AM34" s="91">
        <v>8000</v>
      </c>
      <c r="AN34" s="91">
        <v>8000</v>
      </c>
      <c r="AO34" s="91">
        <v>8000</v>
      </c>
      <c r="AP34" s="91">
        <v>8800</v>
      </c>
      <c r="AQ34" s="91">
        <v>6400</v>
      </c>
      <c r="AR34" s="92">
        <f t="shared" ref="AR34:AR52" si="79">SUM(AF34:AQ34)</f>
        <v>83665</v>
      </c>
      <c r="AS34" s="23"/>
      <c r="AT34" s="91">
        <v>4861</v>
      </c>
      <c r="AU34" s="91">
        <v>5809</v>
      </c>
      <c r="AV34" s="91">
        <v>5072</v>
      </c>
      <c r="AW34" s="91">
        <v>4725</v>
      </c>
      <c r="AX34" s="317">
        <v>5832</v>
      </c>
      <c r="AY34" s="317">
        <v>5832</v>
      </c>
      <c r="AZ34" s="317">
        <v>5567</v>
      </c>
      <c r="BA34" s="317">
        <v>5567</v>
      </c>
      <c r="BB34" s="317">
        <v>5832</v>
      </c>
      <c r="BC34" s="317">
        <v>6892</v>
      </c>
      <c r="BD34" s="317">
        <v>7422</v>
      </c>
      <c r="BE34" s="317">
        <v>4241</v>
      </c>
      <c r="BF34" s="91">
        <f t="shared" ref="BF34:BF66" si="80">SUM(AT34:BE34)</f>
        <v>67652</v>
      </c>
      <c r="BG34" s="93">
        <f t="shared" ref="BG34:BG52" si="81">BF34/AR34-1</f>
        <v>-0.19139425088149165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>
        <v>36051</v>
      </c>
      <c r="BU34" s="54"/>
      <c r="BV34" s="91">
        <v>4782.99</v>
      </c>
      <c r="BW34" s="91">
        <v>2945.31</v>
      </c>
      <c r="BX34" s="91">
        <f>'META  EM PEÇAS'!U26-('META  EM PEÇAS'!U26*0.05)</f>
        <v>7080.3689999999997</v>
      </c>
      <c r="BY34" s="91">
        <f>'META  EM PEÇAS'!V26-('META  EM PEÇAS'!V26*0.05)</f>
        <v>4355.6549999999997</v>
      </c>
      <c r="BZ34" s="91">
        <f>'META  EM PEÇAS'!W26-('META  EM PEÇAS'!W26*0.05)</f>
        <v>5839.9349999999995</v>
      </c>
      <c r="CA34" s="91">
        <f>'META  EM PEÇAS'!X26-('META  EM PEÇAS'!X26*0.05)</f>
        <v>5900.8964999999989</v>
      </c>
      <c r="CB34" s="91">
        <f>'META  EM PEÇAS'!Y26-('META  EM PEÇAS'!Y26*0.05)</f>
        <v>5279.7959999999994</v>
      </c>
      <c r="CC34" s="91">
        <f>'META  EM PEÇAS'!Z26-('META  EM PEÇAS'!Z26*0.05)</f>
        <v>4897.2404999999999</v>
      </c>
      <c r="CD34" s="91">
        <f>'META  EM PEÇAS'!AA26-('META  EM PEÇAS'!AA26*0.05)</f>
        <v>5018.28</v>
      </c>
      <c r="CE34" s="91">
        <f>'META  EM PEÇAS'!AB26-('META  EM PEÇAS'!AB26*0.05)</f>
        <v>4641.0254999999997</v>
      </c>
      <c r="CF34" s="91">
        <f>'META  EM PEÇAS'!AC26-('META  EM PEÇAS'!AC26*0.05)</f>
        <v>6521.1134999999995</v>
      </c>
      <c r="CG34" s="91">
        <f>'META  EM PEÇAS'!AD26-('META  EM PEÇAS'!AD26*0.05)</f>
        <v>3929.8079999999995</v>
      </c>
      <c r="CH34" s="91">
        <v>4136.6400000000003</v>
      </c>
      <c r="CJ34" s="91">
        <v>4782.99</v>
      </c>
      <c r="CK34" s="91">
        <v>2945.31</v>
      </c>
      <c r="CL34" s="91">
        <v>7080.3689999999997</v>
      </c>
      <c r="CM34" s="91">
        <v>4355.6549999999997</v>
      </c>
      <c r="CN34" s="91">
        <v>5839.9349999999995</v>
      </c>
      <c r="CO34" s="91">
        <v>5900.8964999999989</v>
      </c>
      <c r="CP34" s="91">
        <v>5279.7959999999994</v>
      </c>
      <c r="CQ34" s="91">
        <v>4897.2404999999999</v>
      </c>
      <c r="CR34" s="91">
        <v>5018.28</v>
      </c>
      <c r="CS34" s="91">
        <v>4641.0254999999997</v>
      </c>
      <c r="CT34" s="91">
        <v>6521.1134999999995</v>
      </c>
      <c r="CU34" s="91">
        <v>3929.8079999999995</v>
      </c>
      <c r="CV34" s="91">
        <v>4136.6400000000003</v>
      </c>
      <c r="CX34" s="91">
        <v>4782.99</v>
      </c>
      <c r="CY34" s="91">
        <v>2945.31</v>
      </c>
      <c r="CZ34" s="91">
        <v>7080.3689999999997</v>
      </c>
      <c r="DA34" s="91">
        <v>4355.6549999999997</v>
      </c>
      <c r="DB34" s="91">
        <v>5839.9349999999995</v>
      </c>
      <c r="DC34" s="91">
        <v>5900.8964999999989</v>
      </c>
      <c r="DD34" s="91">
        <v>5279.7959999999994</v>
      </c>
      <c r="DE34" s="91">
        <v>4897.2404999999999</v>
      </c>
      <c r="DF34" s="91">
        <v>5018.28</v>
      </c>
      <c r="DG34" s="91">
        <v>4641.0254999999997</v>
      </c>
      <c r="DH34" s="91">
        <v>6521.1134999999995</v>
      </c>
      <c r="DI34" s="91">
        <v>3929.8079999999995</v>
      </c>
      <c r="DJ34" s="91">
        <v>4136.6400000000003</v>
      </c>
    </row>
    <row r="35" spans="1:114" ht="15" customHeight="1" outlineLevel="1">
      <c r="A35" s="94">
        <v>2</v>
      </c>
      <c r="B35" s="1092" t="s">
        <v>57</v>
      </c>
      <c r="C35" s="1118"/>
      <c r="D35" s="313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>
        <f t="shared" si="77"/>
        <v>0</v>
      </c>
      <c r="Q35" s="90"/>
      <c r="R35" s="313">
        <v>2909</v>
      </c>
      <c r="S35" s="91">
        <v>2545</v>
      </c>
      <c r="T35" s="91">
        <f>2727/1.2</f>
        <v>2272.5</v>
      </c>
      <c r="U35" s="91">
        <f>2*U7</f>
        <v>2</v>
      </c>
      <c r="V35" s="91">
        <v>500</v>
      </c>
      <c r="W35" s="91">
        <v>1300</v>
      </c>
      <c r="X35" s="91">
        <v>3200</v>
      </c>
      <c r="Y35" s="91">
        <v>3200</v>
      </c>
      <c r="Z35" s="91">
        <v>3600</v>
      </c>
      <c r="AA35" s="91">
        <v>3600</v>
      </c>
      <c r="AB35" s="91">
        <v>3600</v>
      </c>
      <c r="AC35" s="91">
        <v>4500</v>
      </c>
      <c r="AD35" s="315">
        <f t="shared" si="78"/>
        <v>31228.5</v>
      </c>
      <c r="AE35" s="23"/>
      <c r="AF35" s="316">
        <v>4000</v>
      </c>
      <c r="AG35" s="91">
        <v>1500</v>
      </c>
      <c r="AH35" s="91">
        <v>189</v>
      </c>
      <c r="AI35" s="91">
        <v>1842</v>
      </c>
      <c r="AJ35" s="91">
        <v>3764</v>
      </c>
      <c r="AK35" s="91">
        <v>3200</v>
      </c>
      <c r="AL35" s="91">
        <v>6000</v>
      </c>
      <c r="AM35" s="91">
        <v>5000</v>
      </c>
      <c r="AN35" s="91">
        <v>5000</v>
      </c>
      <c r="AO35" s="91">
        <v>5000</v>
      </c>
      <c r="AP35" s="91">
        <v>5000</v>
      </c>
      <c r="AQ35" s="91">
        <v>9000</v>
      </c>
      <c r="AR35" s="92">
        <f t="shared" si="79"/>
        <v>49495</v>
      </c>
      <c r="AS35" s="23"/>
      <c r="AT35" s="91">
        <v>5468</v>
      </c>
      <c r="AU35" s="91">
        <v>5468</v>
      </c>
      <c r="AV35" s="91">
        <v>6249</v>
      </c>
      <c r="AW35" s="91">
        <v>6249</v>
      </c>
      <c r="AX35" s="317">
        <v>3923</v>
      </c>
      <c r="AY35" s="317">
        <v>3923</v>
      </c>
      <c r="AZ35" s="317">
        <v>3745</v>
      </c>
      <c r="BA35" s="317">
        <v>3745</v>
      </c>
      <c r="BB35" s="317">
        <v>3923</v>
      </c>
      <c r="BC35" s="317">
        <v>4636</v>
      </c>
      <c r="BD35" s="317">
        <v>4993</v>
      </c>
      <c r="BE35" s="317">
        <v>7133</v>
      </c>
      <c r="BF35" s="91">
        <f t="shared" si="80"/>
        <v>59455</v>
      </c>
      <c r="BG35" s="93">
        <f t="shared" si="81"/>
        <v>0.20123244772199222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>
        <v>40562</v>
      </c>
      <c r="BU35" s="54"/>
      <c r="BV35" s="91">
        <v>4442.6099999999997</v>
      </c>
      <c r="BW35" s="91">
        <v>3433.56</v>
      </c>
      <c r="BX35" s="91">
        <f>'META  EM PEÇAS'!U27-('META  EM PEÇAS'!U27*0.05)</f>
        <v>3860.0114999999996</v>
      </c>
      <c r="BY35" s="91">
        <f>'META  EM PEÇAS'!V27-('META  EM PEÇAS'!V27*0.05)</f>
        <v>3578.1749999999997</v>
      </c>
      <c r="BZ35" s="91">
        <f>'META  EM PEÇAS'!W27-('META  EM PEÇAS'!W27*0.05)</f>
        <v>4015.5074999999997</v>
      </c>
      <c r="CA35" s="91">
        <f>'META  EM PEÇAS'!X27-('META  EM PEÇAS'!X27*0.05)</f>
        <v>4835.3954999999996</v>
      </c>
      <c r="CB35" s="91">
        <f>'META  EM PEÇAS'!Y27-('META  EM PEÇAS'!Y27*0.05)</f>
        <v>5815.1969999999992</v>
      </c>
      <c r="CC35" s="91">
        <f>'META  EM PEÇAS'!Z27-('META  EM PEÇAS'!Z27*0.05)</f>
        <v>3888.2835</v>
      </c>
      <c r="CD35" s="91">
        <f>'META  EM PEÇAS'!AA27-('META  EM PEÇAS'!AA27*0.05)</f>
        <v>4032.2939999999994</v>
      </c>
      <c r="CE35" s="91">
        <f>'META  EM PEÇAS'!AB27-('META  EM PEÇAS'!AB27*0.05)</f>
        <v>4375.0919999999996</v>
      </c>
      <c r="CF35" s="91">
        <f>'META  EM PEÇAS'!AC27-('META  EM PEÇAS'!AC27*0.05)</f>
        <v>5604.9239999999991</v>
      </c>
      <c r="CG35" s="91">
        <f>'META  EM PEÇAS'!AD27-('META  EM PEÇAS'!AD27*0.05)</f>
        <v>7897.606499999999</v>
      </c>
      <c r="CH35" s="91">
        <f>SUM(BV35:CG35)</f>
        <v>55778.656499999997</v>
      </c>
      <c r="CJ35" s="91">
        <v>4442.6099999999997</v>
      </c>
      <c r="CK35" s="91">
        <v>3433.56</v>
      </c>
      <c r="CL35" s="91">
        <v>3860.0114999999996</v>
      </c>
      <c r="CM35" s="91">
        <v>3578.1749999999997</v>
      </c>
      <c r="CN35" s="91">
        <v>4015.5074999999997</v>
      </c>
      <c r="CO35" s="91">
        <v>4835.3954999999996</v>
      </c>
      <c r="CP35" s="91">
        <v>5815.1969999999992</v>
      </c>
      <c r="CQ35" s="91">
        <v>3888.2835</v>
      </c>
      <c r="CR35" s="91">
        <v>4032.2939999999994</v>
      </c>
      <c r="CS35" s="91">
        <v>4375.0919999999996</v>
      </c>
      <c r="CT35" s="91">
        <v>5604.9239999999991</v>
      </c>
      <c r="CU35" s="91">
        <v>7897.606499999999</v>
      </c>
      <c r="CV35" s="91">
        <v>55778.656499999997</v>
      </c>
      <c r="CX35" s="91">
        <v>4442.6099999999997</v>
      </c>
      <c r="CY35" s="91">
        <v>3433.56</v>
      </c>
      <c r="CZ35" s="91">
        <v>3860.0114999999996</v>
      </c>
      <c r="DA35" s="91">
        <v>3578.1749999999997</v>
      </c>
      <c r="DB35" s="91">
        <v>4015.5074999999997</v>
      </c>
      <c r="DC35" s="91">
        <v>4835.3954999999996</v>
      </c>
      <c r="DD35" s="91">
        <v>5815.1969999999992</v>
      </c>
      <c r="DE35" s="91">
        <v>3888.2835</v>
      </c>
      <c r="DF35" s="91">
        <v>4032.2939999999994</v>
      </c>
      <c r="DG35" s="91">
        <v>4375.0919999999996</v>
      </c>
      <c r="DH35" s="91">
        <v>5604.9239999999991</v>
      </c>
      <c r="DI35" s="91">
        <v>7897.606499999999</v>
      </c>
      <c r="DJ35" s="91">
        <v>55778.656499999997</v>
      </c>
    </row>
    <row r="36" spans="1:114" ht="15" customHeight="1" outlineLevel="1">
      <c r="A36" s="94">
        <v>3</v>
      </c>
      <c r="B36" s="1092" t="s">
        <v>58</v>
      </c>
      <c r="C36" s="1118"/>
      <c r="D36" s="313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>
        <f t="shared" si="77"/>
        <v>0</v>
      </c>
      <c r="Q36" s="90"/>
      <c r="R36" s="313">
        <v>746</v>
      </c>
      <c r="S36" s="91">
        <v>653</v>
      </c>
      <c r="T36" s="91">
        <v>700</v>
      </c>
      <c r="U36" s="91">
        <v>0</v>
      </c>
      <c r="V36" s="91">
        <v>200</v>
      </c>
      <c r="W36" s="91">
        <v>400</v>
      </c>
      <c r="X36" s="91">
        <v>900</v>
      </c>
      <c r="Y36" s="91">
        <v>900</v>
      </c>
      <c r="Z36" s="91">
        <v>900</v>
      </c>
      <c r="AA36" s="91">
        <v>900</v>
      </c>
      <c r="AB36" s="91">
        <v>900</v>
      </c>
      <c r="AC36" s="91">
        <v>1200</v>
      </c>
      <c r="AD36" s="315">
        <f t="shared" si="78"/>
        <v>8399</v>
      </c>
      <c r="AE36" s="23"/>
      <c r="AF36" s="316">
        <v>1800</v>
      </c>
      <c r="AG36" s="91">
        <v>1200</v>
      </c>
      <c r="AH36" s="91">
        <v>230</v>
      </c>
      <c r="AI36" s="91">
        <v>472</v>
      </c>
      <c r="AJ36" s="91">
        <v>1495</v>
      </c>
      <c r="AK36" s="91">
        <v>1200</v>
      </c>
      <c r="AL36" s="91">
        <v>1500</v>
      </c>
      <c r="AM36" s="91">
        <v>1500</v>
      </c>
      <c r="AN36" s="91">
        <v>1500</v>
      </c>
      <c r="AO36" s="91">
        <v>1500</v>
      </c>
      <c r="AP36" s="91">
        <v>1650</v>
      </c>
      <c r="AQ36" s="91">
        <v>2400</v>
      </c>
      <c r="AR36" s="92">
        <f t="shared" si="79"/>
        <v>16447</v>
      </c>
      <c r="AS36" s="23"/>
      <c r="AT36" s="91">
        <v>2438</v>
      </c>
      <c r="AU36" s="91">
        <v>1501</v>
      </c>
      <c r="AV36" s="91">
        <v>1566</v>
      </c>
      <c r="AW36" s="91">
        <v>2127</v>
      </c>
      <c r="AX36" s="317">
        <v>1928</v>
      </c>
      <c r="AY36" s="317">
        <v>1928</v>
      </c>
      <c r="AZ36" s="317">
        <v>1840</v>
      </c>
      <c r="BA36" s="317">
        <v>1840</v>
      </c>
      <c r="BB36" s="317">
        <v>1928</v>
      </c>
      <c r="BC36" s="317">
        <v>2278</v>
      </c>
      <c r="BD36" s="317">
        <v>2454</v>
      </c>
      <c r="BE36" s="317">
        <v>3505</v>
      </c>
      <c r="BF36" s="91">
        <f t="shared" si="80"/>
        <v>25333</v>
      </c>
      <c r="BG36" s="93">
        <f t="shared" si="81"/>
        <v>0.54028090229221126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>
        <v>7784</v>
      </c>
      <c r="BU36" s="54"/>
      <c r="BV36" s="91">
        <v>450.99999999999989</v>
      </c>
      <c r="BW36" s="91">
        <v>348.59999999999991</v>
      </c>
      <c r="BX36" s="91">
        <f>'META  EM PEÇAS'!U28-('META  EM PEÇAS'!U28*0.05)</f>
        <v>391.96999999999991</v>
      </c>
      <c r="BY36" s="91">
        <f>'META  EM PEÇAS'!V28-('META  EM PEÇAS'!V28*0.05)</f>
        <v>363.27999999999992</v>
      </c>
      <c r="BZ36" s="91">
        <f>'META  EM PEÇAS'!W28-('META  EM PEÇAS'!W28*0.05)</f>
        <v>407.5499999999999</v>
      </c>
      <c r="CA36" s="91">
        <f>'META  EM PEÇAS'!X28-('META  EM PEÇAS'!X28*0.05)</f>
        <v>490.76999999999992</v>
      </c>
      <c r="CB36" s="91">
        <f>'META  EM PEÇAS'!Y28-('META  EM PEÇAS'!Y28*0.05)</f>
        <v>590.32999999999993</v>
      </c>
      <c r="CC36" s="91">
        <f>'META  EM PEÇAS'!Z28-('META  EM PEÇAS'!Z28*0.05)</f>
        <v>394.62999999999994</v>
      </c>
      <c r="CD36" s="91">
        <f>'META  EM PEÇAS'!AA28-('META  EM PEÇAS'!AA28*0.05)</f>
        <v>409.25999999999988</v>
      </c>
      <c r="CE36" s="91">
        <f>'META  EM PEÇAS'!AB28-('META  EM PEÇAS'!AB28*0.05)</f>
        <v>444.21999999999991</v>
      </c>
      <c r="CF36" s="91">
        <f>'META  EM PEÇAS'!AC28-('META  EM PEÇAS'!AC28*0.05)</f>
        <v>569.04999999999984</v>
      </c>
      <c r="CG36" s="91">
        <f>'META  EM PEÇAS'!AD28-('META  EM PEÇAS'!AD28*0.05)</f>
        <v>801.79999999999973</v>
      </c>
      <c r="CH36" s="91">
        <f t="shared" ref="CH36:CH49" si="82">SUM(BV36:CG36)</f>
        <v>5662.4599999999991</v>
      </c>
      <c r="CJ36" s="91">
        <v>450.99999999999989</v>
      </c>
      <c r="CK36" s="91">
        <v>348.59999999999991</v>
      </c>
      <c r="CL36" s="91">
        <v>391.96999999999991</v>
      </c>
      <c r="CM36" s="91">
        <v>363.27999999999992</v>
      </c>
      <c r="CN36" s="91">
        <v>407.5499999999999</v>
      </c>
      <c r="CO36" s="91">
        <v>490.76999999999992</v>
      </c>
      <c r="CP36" s="91">
        <v>590.32999999999993</v>
      </c>
      <c r="CQ36" s="91">
        <v>394.62999999999994</v>
      </c>
      <c r="CR36" s="91">
        <v>409.25999999999988</v>
      </c>
      <c r="CS36" s="91">
        <v>444.21999999999991</v>
      </c>
      <c r="CT36" s="91">
        <v>569.04999999999984</v>
      </c>
      <c r="CU36" s="91">
        <v>801.79999999999973</v>
      </c>
      <c r="CV36" s="91">
        <v>5662.4599999999991</v>
      </c>
      <c r="CX36" s="91">
        <v>450.99999999999989</v>
      </c>
      <c r="CY36" s="91">
        <v>348.59999999999991</v>
      </c>
      <c r="CZ36" s="91">
        <v>391.96999999999991</v>
      </c>
      <c r="DA36" s="91">
        <v>363.27999999999992</v>
      </c>
      <c r="DB36" s="91">
        <v>407.5499999999999</v>
      </c>
      <c r="DC36" s="91">
        <v>490.76999999999992</v>
      </c>
      <c r="DD36" s="91">
        <v>590.32999999999993</v>
      </c>
      <c r="DE36" s="91">
        <v>394.62999999999994</v>
      </c>
      <c r="DF36" s="91">
        <v>409.25999999999988</v>
      </c>
      <c r="DG36" s="91">
        <v>444.21999999999991</v>
      </c>
      <c r="DH36" s="91">
        <v>569.04999999999984</v>
      </c>
      <c r="DI36" s="91">
        <v>801.79999999999973</v>
      </c>
      <c r="DJ36" s="91">
        <v>5662.4599999999991</v>
      </c>
    </row>
    <row r="37" spans="1:114" ht="15" customHeight="1" outlineLevel="1">
      <c r="A37" s="94">
        <v>4</v>
      </c>
      <c r="B37" s="1092" t="s">
        <v>59</v>
      </c>
      <c r="C37" s="1118"/>
      <c r="D37" s="313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>
        <f t="shared" si="77"/>
        <v>0</v>
      </c>
      <c r="Q37" s="90"/>
      <c r="R37" s="313">
        <v>1455</v>
      </c>
      <c r="S37" s="91">
        <f>2036</f>
        <v>2036</v>
      </c>
      <c r="T37" s="91">
        <f>2182/2</f>
        <v>1091</v>
      </c>
      <c r="U37" s="91">
        <v>0</v>
      </c>
      <c r="V37" s="91">
        <v>200</v>
      </c>
      <c r="W37" s="91">
        <v>900</v>
      </c>
      <c r="X37" s="91">
        <v>1600</v>
      </c>
      <c r="Y37" s="91">
        <v>1600</v>
      </c>
      <c r="Z37" s="91">
        <v>1600</v>
      </c>
      <c r="AA37" s="91">
        <v>1600</v>
      </c>
      <c r="AB37" s="91">
        <v>2200</v>
      </c>
      <c r="AC37" s="91">
        <v>2500</v>
      </c>
      <c r="AD37" s="315">
        <f t="shared" si="78"/>
        <v>16782</v>
      </c>
      <c r="AE37" s="23"/>
      <c r="AF37" s="316">
        <v>2200</v>
      </c>
      <c r="AG37" s="91">
        <v>1500</v>
      </c>
      <c r="AH37" s="91">
        <v>121</v>
      </c>
      <c r="AI37" s="91">
        <v>565</v>
      </c>
      <c r="AJ37" s="91">
        <v>1514</v>
      </c>
      <c r="AK37" s="91">
        <v>1760</v>
      </c>
      <c r="AL37" s="91">
        <v>1800</v>
      </c>
      <c r="AM37" s="91">
        <v>2200</v>
      </c>
      <c r="AN37" s="91">
        <v>2200</v>
      </c>
      <c r="AO37" s="91">
        <v>2200</v>
      </c>
      <c r="AP37" s="91">
        <v>2420</v>
      </c>
      <c r="AQ37" s="91">
        <v>3520</v>
      </c>
      <c r="AR37" s="92">
        <f t="shared" si="79"/>
        <v>22000</v>
      </c>
      <c r="AS37" s="23"/>
      <c r="AT37" s="91">
        <v>1529</v>
      </c>
      <c r="AU37" s="91">
        <v>1516</v>
      </c>
      <c r="AV37" s="91">
        <v>1586</v>
      </c>
      <c r="AW37" s="91">
        <v>1979</v>
      </c>
      <c r="AX37" s="317">
        <v>1283</v>
      </c>
      <c r="AY37" s="317">
        <v>1283</v>
      </c>
      <c r="AZ37" s="317">
        <v>1224</v>
      </c>
      <c r="BA37" s="317">
        <v>1224</v>
      </c>
      <c r="BB37" s="317">
        <v>1283</v>
      </c>
      <c r="BC37" s="317">
        <v>1516</v>
      </c>
      <c r="BD37" s="317">
        <v>1632</v>
      </c>
      <c r="BE37" s="317">
        <v>2332</v>
      </c>
      <c r="BF37" s="91">
        <f t="shared" si="80"/>
        <v>18387</v>
      </c>
      <c r="BG37" s="93">
        <f t="shared" si="81"/>
        <v>-0.16422727272727278</v>
      </c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>
        <v>9018</v>
      </c>
      <c r="BU37" s="54"/>
      <c r="BV37" s="91">
        <v>1143.8999999999999</v>
      </c>
      <c r="BW37" s="91">
        <v>884.43</v>
      </c>
      <c r="BX37" s="91">
        <f>'META  EM PEÇAS'!U29-('META  EM PEÇAS'!U29*0.05)</f>
        <v>993.9375</v>
      </c>
      <c r="BY37" s="91">
        <f>'META  EM PEÇAS'!V29-('META  EM PEÇAS'!V29*0.05)</f>
        <v>921.49049999999988</v>
      </c>
      <c r="BZ37" s="91">
        <f>'META  EM PEÇAS'!W29-('META  EM PEÇAS'!W29*0.05)</f>
        <v>1033.6949999999999</v>
      </c>
      <c r="CA37" s="91">
        <f>'META  EM PEÇAS'!X29-('META  EM PEÇAS'!X29*0.05)</f>
        <v>1244.8515</v>
      </c>
      <c r="CB37" s="91">
        <f>'META  EM PEÇAS'!Y29-('META  EM PEÇAS'!Y29*0.05)</f>
        <v>1497.5324999999998</v>
      </c>
      <c r="CC37" s="91">
        <f>'META  EM PEÇAS'!Z29-('META  EM PEÇAS'!Z29*0.05)</f>
        <v>1001.0054999999999</v>
      </c>
      <c r="CD37" s="91">
        <f>'META  EM PEÇAS'!AA29-('META  EM PEÇAS'!AA29*0.05)</f>
        <v>1038.1125</v>
      </c>
      <c r="CE37" s="91">
        <f>'META  EM PEÇAS'!AB29-('META  EM PEÇAS'!AB29*0.05)</f>
        <v>1126.4625000000001</v>
      </c>
      <c r="CF37" s="91">
        <f>'META  EM PEÇAS'!AC29-('META  EM PEÇAS'!AC29*0.05)</f>
        <v>1443.6389999999999</v>
      </c>
      <c r="CG37" s="91">
        <f>'META  EM PEÇAS'!AD29-('META  EM PEÇAS'!AD29*0.05)</f>
        <v>2033.8169999999998</v>
      </c>
      <c r="CH37" s="91">
        <f t="shared" si="82"/>
        <v>14362.873499999996</v>
      </c>
      <c r="CJ37" s="91">
        <v>1143.8999999999999</v>
      </c>
      <c r="CK37" s="91">
        <v>884.43</v>
      </c>
      <c r="CL37" s="91">
        <v>993.9375</v>
      </c>
      <c r="CM37" s="91">
        <v>921.49049999999988</v>
      </c>
      <c r="CN37" s="91">
        <v>1033.6949999999999</v>
      </c>
      <c r="CO37" s="91">
        <v>1244.8515</v>
      </c>
      <c r="CP37" s="91">
        <v>1497.5324999999998</v>
      </c>
      <c r="CQ37" s="91">
        <v>1001.0054999999999</v>
      </c>
      <c r="CR37" s="91">
        <v>1038.1125</v>
      </c>
      <c r="CS37" s="91">
        <v>1126.4625000000001</v>
      </c>
      <c r="CT37" s="91">
        <v>1443.6389999999999</v>
      </c>
      <c r="CU37" s="91">
        <v>2033.8169999999998</v>
      </c>
      <c r="CV37" s="91">
        <v>14362.873499999996</v>
      </c>
      <c r="CX37" s="91">
        <v>1143.8999999999999</v>
      </c>
      <c r="CY37" s="91">
        <v>884.43</v>
      </c>
      <c r="CZ37" s="91">
        <v>993.9375</v>
      </c>
      <c r="DA37" s="91">
        <v>921.49049999999988</v>
      </c>
      <c r="DB37" s="91">
        <v>1033.6949999999999</v>
      </c>
      <c r="DC37" s="91">
        <v>1244.8515</v>
      </c>
      <c r="DD37" s="91">
        <v>1497.5324999999998</v>
      </c>
      <c r="DE37" s="91">
        <v>1001.0054999999999</v>
      </c>
      <c r="DF37" s="91">
        <v>1038.1125</v>
      </c>
      <c r="DG37" s="91">
        <v>1126.4625000000001</v>
      </c>
      <c r="DH37" s="91">
        <v>1443.6389999999999</v>
      </c>
      <c r="DI37" s="91">
        <v>2033.8169999999998</v>
      </c>
      <c r="DJ37" s="91">
        <v>14362.873499999996</v>
      </c>
    </row>
    <row r="38" spans="1:114" ht="15" customHeight="1" outlineLevel="1">
      <c r="A38" s="94">
        <v>5</v>
      </c>
      <c r="B38" s="1092" t="s">
        <v>60</v>
      </c>
      <c r="C38" s="1118"/>
      <c r="D38" s="313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>
        <f t="shared" si="77"/>
        <v>0</v>
      </c>
      <c r="Q38" s="90"/>
      <c r="R38" s="313">
        <v>1353</v>
      </c>
      <c r="S38" s="91">
        <v>1184</v>
      </c>
      <c r="T38" s="91">
        <v>1268</v>
      </c>
      <c r="U38" s="91">
        <f t="shared" ref="U38:V38" si="83">10*U7</f>
        <v>10</v>
      </c>
      <c r="V38" s="91">
        <f t="shared" si="83"/>
        <v>120</v>
      </c>
      <c r="W38" s="91">
        <v>600</v>
      </c>
      <c r="X38" s="91">
        <v>1600</v>
      </c>
      <c r="Y38" s="91">
        <v>1600</v>
      </c>
      <c r="Z38" s="91">
        <v>1600</v>
      </c>
      <c r="AA38" s="91">
        <v>1600</v>
      </c>
      <c r="AB38" s="91">
        <v>1600</v>
      </c>
      <c r="AC38" s="91">
        <v>2200</v>
      </c>
      <c r="AD38" s="315">
        <f t="shared" si="78"/>
        <v>14735</v>
      </c>
      <c r="AE38" s="23"/>
      <c r="AF38" s="316">
        <v>1800</v>
      </c>
      <c r="AG38" s="91">
        <v>1200</v>
      </c>
      <c r="AH38" s="91">
        <v>181</v>
      </c>
      <c r="AI38" s="91">
        <v>628</v>
      </c>
      <c r="AJ38" s="91">
        <v>1169</v>
      </c>
      <c r="AK38" s="91">
        <v>960</v>
      </c>
      <c r="AL38" s="91">
        <v>1500</v>
      </c>
      <c r="AM38" s="91">
        <v>1200</v>
      </c>
      <c r="AN38" s="91">
        <v>1200</v>
      </c>
      <c r="AO38" s="91">
        <v>1200</v>
      </c>
      <c r="AP38" s="91">
        <v>1320</v>
      </c>
      <c r="AQ38" s="91">
        <v>1920</v>
      </c>
      <c r="AR38" s="92">
        <f t="shared" si="79"/>
        <v>14278</v>
      </c>
      <c r="AS38" s="23"/>
      <c r="AT38" s="91">
        <v>1496</v>
      </c>
      <c r="AU38" s="91">
        <v>1200</v>
      </c>
      <c r="AV38" s="91">
        <v>1227</v>
      </c>
      <c r="AW38" s="91">
        <v>1655</v>
      </c>
      <c r="AX38" s="317">
        <v>1141</v>
      </c>
      <c r="AY38" s="317">
        <v>1141</v>
      </c>
      <c r="AZ38" s="317">
        <v>1089</v>
      </c>
      <c r="BA38" s="317">
        <v>1089</v>
      </c>
      <c r="BB38" s="317">
        <v>1141</v>
      </c>
      <c r="BC38" s="317">
        <v>1349</v>
      </c>
      <c r="BD38" s="317">
        <v>1453</v>
      </c>
      <c r="BE38" s="317">
        <v>2075</v>
      </c>
      <c r="BF38" s="91">
        <f t="shared" si="80"/>
        <v>16056</v>
      </c>
      <c r="BG38" s="93">
        <f t="shared" si="81"/>
        <v>0.1245272447121446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>
        <v>10591</v>
      </c>
      <c r="BU38" s="54"/>
      <c r="BV38" s="91">
        <v>1474.9799999999998</v>
      </c>
      <c r="BW38" s="91">
        <v>1140.1799999999998</v>
      </c>
      <c r="BX38" s="91">
        <f>'META  EM PEÇAS'!U30-('META  EM PEÇAS'!U30*0.05)</f>
        <v>1281.9584999999997</v>
      </c>
      <c r="BY38" s="91">
        <f>'META  EM PEÇAS'!V30-('META  EM PEÇAS'!V30*0.05)</f>
        <v>1188.3074999999999</v>
      </c>
      <c r="BZ38" s="91">
        <f>'META  EM PEÇAS'!W30-('META  EM PEÇAS'!W30*0.05)</f>
        <v>1333.2014999999999</v>
      </c>
      <c r="CA38" s="91">
        <f>'META  EM PEÇAS'!X30-('META  EM PEÇAS'!X30*0.05)</f>
        <v>1606.2029999999997</v>
      </c>
      <c r="CB38" s="91">
        <f>'META  EM PEÇAS'!Y30-('META  EM PEÇAS'!Y30*0.05)</f>
        <v>1931.3309999999997</v>
      </c>
      <c r="CC38" s="91">
        <f>'META  EM PEÇAS'!Z30-('META  EM PEÇAS'!Z30*0.05)</f>
        <v>1291.6769999999999</v>
      </c>
      <c r="CD38" s="91">
        <f>'META  EM PEÇAS'!AA30-('META  EM PEÇAS'!AA30*0.05)</f>
        <v>1339.386</v>
      </c>
      <c r="CE38" s="91">
        <f>'META  EM PEÇAS'!AB30-('META  EM PEÇAS'!AB30*0.05)</f>
        <v>1453.3574999999998</v>
      </c>
      <c r="CF38" s="91">
        <f>'META  EM PEÇAS'!AC30-('META  EM PEÇAS'!AC30*0.05)</f>
        <v>1861.5344999999998</v>
      </c>
      <c r="CG38" s="91">
        <f>'META  EM PEÇAS'!AD30-('META  EM PEÇAS'!AD30*0.05)</f>
        <v>2623.1114999999995</v>
      </c>
      <c r="CH38" s="91">
        <f t="shared" si="82"/>
        <v>18525.227999999999</v>
      </c>
      <c r="CI38" s="450"/>
      <c r="CJ38" s="91">
        <v>1474.9799999999998</v>
      </c>
      <c r="CK38" s="91">
        <v>1140.1799999999998</v>
      </c>
      <c r="CL38" s="91">
        <v>1281.9584999999997</v>
      </c>
      <c r="CM38" s="91">
        <v>1188.3074999999999</v>
      </c>
      <c r="CN38" s="91">
        <v>1333.2014999999999</v>
      </c>
      <c r="CO38" s="91">
        <v>1606.2029999999997</v>
      </c>
      <c r="CP38" s="91">
        <v>1931.3309999999997</v>
      </c>
      <c r="CQ38" s="91">
        <v>1291.6769999999999</v>
      </c>
      <c r="CR38" s="91">
        <v>1339.386</v>
      </c>
      <c r="CS38" s="91">
        <v>1453.3574999999998</v>
      </c>
      <c r="CT38" s="91">
        <v>1861.5344999999998</v>
      </c>
      <c r="CU38" s="91">
        <v>2623.1114999999995</v>
      </c>
      <c r="CV38" s="91">
        <v>18525.227999999999</v>
      </c>
      <c r="CW38" s="450"/>
      <c r="CX38" s="91">
        <v>1474.9799999999998</v>
      </c>
      <c r="CY38" s="91">
        <v>1140.1799999999998</v>
      </c>
      <c r="CZ38" s="91">
        <v>1281.9584999999997</v>
      </c>
      <c r="DA38" s="91">
        <v>1188.3074999999999</v>
      </c>
      <c r="DB38" s="91">
        <v>1333.2014999999999</v>
      </c>
      <c r="DC38" s="91">
        <v>1606.2029999999997</v>
      </c>
      <c r="DD38" s="91">
        <v>1931.3309999999997</v>
      </c>
      <c r="DE38" s="91">
        <v>1291.6769999999999</v>
      </c>
      <c r="DF38" s="91">
        <v>1339.386</v>
      </c>
      <c r="DG38" s="91">
        <v>1453.3574999999998</v>
      </c>
      <c r="DH38" s="91">
        <v>1861.5344999999998</v>
      </c>
      <c r="DI38" s="91">
        <v>2623.1114999999995</v>
      </c>
      <c r="DJ38" s="91">
        <v>18525.227999999999</v>
      </c>
    </row>
    <row r="39" spans="1:114" ht="15" customHeight="1" outlineLevel="1">
      <c r="A39" s="94">
        <v>6</v>
      </c>
      <c r="B39" s="1092" t="s">
        <v>61</v>
      </c>
      <c r="C39" s="1118"/>
      <c r="D39" s="313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314">
        <f t="shared" si="77"/>
        <v>0</v>
      </c>
      <c r="Q39" s="90"/>
      <c r="R39" s="313">
        <v>1455</v>
      </c>
      <c r="S39" s="91">
        <v>1273</v>
      </c>
      <c r="T39" s="91">
        <v>1364</v>
      </c>
      <c r="U39" s="91">
        <v>0</v>
      </c>
      <c r="V39" s="91">
        <v>200</v>
      </c>
      <c r="W39" s="91">
        <v>800</v>
      </c>
      <c r="X39" s="91">
        <v>1600</v>
      </c>
      <c r="Y39" s="91">
        <v>1600</v>
      </c>
      <c r="Z39" s="91">
        <v>1600</v>
      </c>
      <c r="AA39" s="91">
        <v>1600</v>
      </c>
      <c r="AB39" s="91">
        <v>1800</v>
      </c>
      <c r="AC39" s="91">
        <v>2400</v>
      </c>
      <c r="AD39" s="315">
        <f t="shared" si="78"/>
        <v>15692</v>
      </c>
      <c r="AE39" s="23"/>
      <c r="AF39" s="316">
        <v>1500</v>
      </c>
      <c r="AG39" s="91">
        <v>1200</v>
      </c>
      <c r="AH39" s="91">
        <v>127</v>
      </c>
      <c r="AI39" s="91">
        <v>426</v>
      </c>
      <c r="AJ39" s="91">
        <v>1063</v>
      </c>
      <c r="AK39" s="91">
        <v>960</v>
      </c>
      <c r="AL39" s="91">
        <v>1500</v>
      </c>
      <c r="AM39" s="91">
        <v>1200</v>
      </c>
      <c r="AN39" s="91">
        <v>1200</v>
      </c>
      <c r="AO39" s="91">
        <v>1200</v>
      </c>
      <c r="AP39" s="91">
        <v>1320</v>
      </c>
      <c r="AQ39" s="91">
        <v>1920</v>
      </c>
      <c r="AR39" s="92">
        <f t="shared" si="79"/>
        <v>13616</v>
      </c>
      <c r="AS39" s="23"/>
      <c r="AT39" s="91">
        <v>1222</v>
      </c>
      <c r="AU39" s="91">
        <v>1200</v>
      </c>
      <c r="AV39" s="91">
        <v>1117</v>
      </c>
      <c r="AW39" s="91">
        <v>1463</v>
      </c>
      <c r="AX39" s="317">
        <v>1087</v>
      </c>
      <c r="AY39" s="317">
        <v>1087</v>
      </c>
      <c r="AZ39" s="317">
        <v>1038</v>
      </c>
      <c r="BA39" s="317">
        <v>1038</v>
      </c>
      <c r="BB39" s="317">
        <v>1087</v>
      </c>
      <c r="BC39" s="317">
        <v>1285</v>
      </c>
      <c r="BD39" s="317">
        <v>1384</v>
      </c>
      <c r="BE39" s="317">
        <v>1977</v>
      </c>
      <c r="BF39" s="91">
        <f t="shared" si="80"/>
        <v>14985</v>
      </c>
      <c r="BG39" s="93">
        <f t="shared" si="81"/>
        <v>0.10054347826086962</v>
      </c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>
        <v>10087</v>
      </c>
      <c r="BU39" s="54"/>
      <c r="BV39" s="91">
        <v>1214.58</v>
      </c>
      <c r="BW39" s="91">
        <v>939.3</v>
      </c>
      <c r="BX39" s="91">
        <f>'META  EM PEÇAS'!U31-('META  EM PEÇAS'!U31*0.05)</f>
        <v>1055.7824999999998</v>
      </c>
      <c r="BY39" s="91">
        <f>'META  EM PEÇAS'!V31-('META  EM PEÇAS'!V31*0.05)</f>
        <v>978.03449999999998</v>
      </c>
      <c r="BZ39" s="91">
        <f>'META  EM PEÇAS'!W31-('META  EM PEÇAS'!W31*0.05)</f>
        <v>1098.1904999999999</v>
      </c>
      <c r="CA39" s="91">
        <f>'META  EM PEÇAS'!X31-('META  EM PEÇAS'!X31*0.05)</f>
        <v>1322.5994999999998</v>
      </c>
      <c r="CB39" s="91">
        <f>'META  EM PEÇAS'!Y31-('META  EM PEÇAS'!Y31*0.05)</f>
        <v>1590.3</v>
      </c>
      <c r="CC39" s="91">
        <f>'META  EM PEÇAS'!Z31-('META  EM PEÇAS'!Z31*0.05)</f>
        <v>1062.8505</v>
      </c>
      <c r="CD39" s="91">
        <f>'META  EM PEÇAS'!AA31-('META  EM PEÇAS'!AA31*0.05)</f>
        <v>1102.6079999999999</v>
      </c>
      <c r="CE39" s="91">
        <f>'META  EM PEÇAS'!AB31-('META  EM PEÇAS'!AB31*0.05)</f>
        <v>1196.259</v>
      </c>
      <c r="CF39" s="91">
        <f>'META  EM PEÇAS'!AC31-('META  EM PEÇAS'!AC31*0.05)</f>
        <v>1532.8724999999999</v>
      </c>
      <c r="CG39" s="91">
        <f>'META  EM PEÇAS'!AD31-('META  EM PEÇAS'!AD31*0.05)</f>
        <v>2160.1574999999998</v>
      </c>
      <c r="CH39" s="91">
        <f t="shared" si="82"/>
        <v>15253.534499999998</v>
      </c>
      <c r="CJ39" s="91">
        <v>1214.58</v>
      </c>
      <c r="CK39" s="91">
        <v>939.3</v>
      </c>
      <c r="CL39" s="91">
        <v>1055.7824999999998</v>
      </c>
      <c r="CM39" s="91">
        <v>978.03449999999998</v>
      </c>
      <c r="CN39" s="91">
        <v>1098.1904999999999</v>
      </c>
      <c r="CO39" s="91">
        <v>1322.5994999999998</v>
      </c>
      <c r="CP39" s="91">
        <v>1590.3</v>
      </c>
      <c r="CQ39" s="91">
        <v>1062.8505</v>
      </c>
      <c r="CR39" s="91">
        <v>1102.6079999999999</v>
      </c>
      <c r="CS39" s="91">
        <v>1196.259</v>
      </c>
      <c r="CT39" s="91">
        <v>1532.8724999999999</v>
      </c>
      <c r="CU39" s="91">
        <v>2160.1574999999998</v>
      </c>
      <c r="CV39" s="91">
        <v>15253.534499999998</v>
      </c>
      <c r="CX39" s="91">
        <v>1214.58</v>
      </c>
      <c r="CY39" s="91">
        <v>939.3</v>
      </c>
      <c r="CZ39" s="91">
        <v>1055.7824999999998</v>
      </c>
      <c r="DA39" s="91">
        <v>978.03449999999998</v>
      </c>
      <c r="DB39" s="91">
        <v>1098.1904999999999</v>
      </c>
      <c r="DC39" s="91">
        <v>1322.5994999999998</v>
      </c>
      <c r="DD39" s="91">
        <v>1590.3</v>
      </c>
      <c r="DE39" s="91">
        <v>1062.8505</v>
      </c>
      <c r="DF39" s="91">
        <v>1102.6079999999999</v>
      </c>
      <c r="DG39" s="91">
        <v>1196.259</v>
      </c>
      <c r="DH39" s="91">
        <v>1532.8724999999999</v>
      </c>
      <c r="DI39" s="91">
        <v>2160.1574999999998</v>
      </c>
      <c r="DJ39" s="91">
        <v>15253.534499999998</v>
      </c>
    </row>
    <row r="40" spans="1:114" ht="15" customHeight="1" outlineLevel="1">
      <c r="A40" s="94">
        <v>7</v>
      </c>
      <c r="B40" s="1092" t="s">
        <v>62</v>
      </c>
      <c r="C40" s="1118"/>
      <c r="D40" s="313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314">
        <f t="shared" si="77"/>
        <v>0</v>
      </c>
      <c r="Q40" s="90"/>
      <c r="R40" s="313">
        <v>2000</v>
      </c>
      <c r="S40" s="91">
        <f>2182</f>
        <v>2182</v>
      </c>
      <c r="T40" s="91">
        <f>2455/2</f>
        <v>1227.5</v>
      </c>
      <c r="U40" s="91">
        <f>4*U7</f>
        <v>4</v>
      </c>
      <c r="V40" s="91">
        <v>200</v>
      </c>
      <c r="W40" s="91">
        <v>700</v>
      </c>
      <c r="X40" s="91">
        <v>1600</v>
      </c>
      <c r="Y40" s="91">
        <v>1600</v>
      </c>
      <c r="Z40" s="91">
        <v>1600</v>
      </c>
      <c r="AA40" s="91">
        <v>1600</v>
      </c>
      <c r="AB40" s="91">
        <v>2500</v>
      </c>
      <c r="AC40" s="91">
        <v>3200</v>
      </c>
      <c r="AD40" s="315">
        <f t="shared" si="78"/>
        <v>18413.5</v>
      </c>
      <c r="AE40" s="23"/>
      <c r="AF40" s="316">
        <v>2600</v>
      </c>
      <c r="AG40" s="91">
        <v>1000</v>
      </c>
      <c r="AH40" s="91">
        <v>195</v>
      </c>
      <c r="AI40" s="91">
        <v>844</v>
      </c>
      <c r="AJ40" s="91">
        <v>1973</v>
      </c>
      <c r="AK40" s="91">
        <v>1840</v>
      </c>
      <c r="AL40" s="91">
        <v>2000</v>
      </c>
      <c r="AM40" s="91">
        <v>2300</v>
      </c>
      <c r="AN40" s="91">
        <v>2300</v>
      </c>
      <c r="AO40" s="91">
        <v>2300</v>
      </c>
      <c r="AP40" s="91">
        <v>2530</v>
      </c>
      <c r="AQ40" s="91">
        <v>3680</v>
      </c>
      <c r="AR40" s="92">
        <f t="shared" si="79"/>
        <v>23562</v>
      </c>
      <c r="AS40" s="23"/>
      <c r="AT40" s="91">
        <v>1888</v>
      </c>
      <c r="AU40" s="91">
        <v>1414</v>
      </c>
      <c r="AV40" s="91">
        <v>2073</v>
      </c>
      <c r="AW40" s="91">
        <v>2338</v>
      </c>
      <c r="AX40" s="317">
        <v>1857</v>
      </c>
      <c r="AY40" s="317">
        <v>1857</v>
      </c>
      <c r="AZ40" s="317">
        <v>1772</v>
      </c>
      <c r="BA40" s="317">
        <v>1772</v>
      </c>
      <c r="BB40" s="317">
        <v>1857</v>
      </c>
      <c r="BC40" s="317">
        <v>2194</v>
      </c>
      <c r="BD40" s="317">
        <v>2363</v>
      </c>
      <c r="BE40" s="317">
        <v>3376</v>
      </c>
      <c r="BF40" s="91">
        <f t="shared" si="80"/>
        <v>24761</v>
      </c>
      <c r="BG40" s="93">
        <f t="shared" si="81"/>
        <v>5.0887021475256811E-2</v>
      </c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>
        <v>22941</v>
      </c>
      <c r="BU40" s="54"/>
      <c r="BV40" s="91">
        <v>3211.29</v>
      </c>
      <c r="BW40" s="91">
        <v>2482.1699999999996</v>
      </c>
      <c r="BX40" s="91">
        <f>'META  EM PEÇAS'!U32-('META  EM PEÇAS'!U32*0.05)</f>
        <v>2790.0929999999998</v>
      </c>
      <c r="BY40" s="91">
        <f>'META  EM PEÇAS'!V32-('META  EM PEÇAS'!V32*0.05)</f>
        <v>2586.0044999999996</v>
      </c>
      <c r="BZ40" s="91">
        <f>'META  EM PEÇAS'!W32-('META  EM PEÇAS'!W32*0.05)</f>
        <v>2902.2974999999997</v>
      </c>
      <c r="CA40" s="91">
        <f>'META  EM PEÇAS'!X32-('META  EM PEÇAS'!X32*0.05)</f>
        <v>3495.1259999999997</v>
      </c>
      <c r="CB40" s="91">
        <f>'META  EM PEÇAS'!Y32-('META  EM PEÇAS'!Y32*0.05)</f>
        <v>4203.6929999999993</v>
      </c>
      <c r="CC40" s="91">
        <f>'META  EM PEÇAS'!Z32-('META  EM PEÇAS'!Z32*0.05)</f>
        <v>2810.4135000000001</v>
      </c>
      <c r="CD40" s="91">
        <f>'META  EM PEÇAS'!AA32-('META  EM PEÇAS'!AA32*0.05)</f>
        <v>2914.6664999999998</v>
      </c>
      <c r="CE40" s="91">
        <f>'META  EM PEÇAS'!AB32-('META  EM PEÇAS'!AB32*0.05)</f>
        <v>3162.93</v>
      </c>
      <c r="CF40" s="91">
        <f>'META  EM PEÇAS'!AC32-('META  EM PEÇAS'!AC32*0.05)</f>
        <v>4051.7309999999998</v>
      </c>
      <c r="CG40" s="91">
        <f>'META  EM PEÇAS'!AD32-('META  EM PEÇAS'!AD32*0.05)</f>
        <v>5709.1769999999997</v>
      </c>
      <c r="CH40" s="91">
        <f t="shared" si="82"/>
        <v>40319.59199999999</v>
      </c>
      <c r="CJ40" s="91">
        <v>3211.29</v>
      </c>
      <c r="CK40" s="91">
        <v>2482.1699999999996</v>
      </c>
      <c r="CL40" s="91">
        <v>2790.0929999999998</v>
      </c>
      <c r="CM40" s="91">
        <v>2586.0044999999996</v>
      </c>
      <c r="CN40" s="91">
        <v>2902.2974999999997</v>
      </c>
      <c r="CO40" s="91">
        <v>3495.1259999999997</v>
      </c>
      <c r="CP40" s="91">
        <v>4203.6929999999993</v>
      </c>
      <c r="CQ40" s="91">
        <v>2810.4135000000001</v>
      </c>
      <c r="CR40" s="91">
        <v>2914.6664999999998</v>
      </c>
      <c r="CS40" s="91">
        <v>3162.93</v>
      </c>
      <c r="CT40" s="91">
        <v>4051.7309999999998</v>
      </c>
      <c r="CU40" s="91">
        <v>5709.1769999999997</v>
      </c>
      <c r="CV40" s="91">
        <v>40319.59199999999</v>
      </c>
      <c r="CX40" s="91">
        <v>3211.29</v>
      </c>
      <c r="CY40" s="91">
        <v>2482.1699999999996</v>
      </c>
      <c r="CZ40" s="91">
        <v>2790.0929999999998</v>
      </c>
      <c r="DA40" s="91">
        <v>2586.0044999999996</v>
      </c>
      <c r="DB40" s="91">
        <v>2902.2974999999997</v>
      </c>
      <c r="DC40" s="91">
        <v>3495.1259999999997</v>
      </c>
      <c r="DD40" s="91">
        <v>4203.6929999999993</v>
      </c>
      <c r="DE40" s="91">
        <v>2810.4135000000001</v>
      </c>
      <c r="DF40" s="91">
        <v>2914.6664999999998</v>
      </c>
      <c r="DG40" s="91">
        <v>3162.93</v>
      </c>
      <c r="DH40" s="91">
        <v>4051.7309999999998</v>
      </c>
      <c r="DI40" s="91">
        <v>5709.1769999999997</v>
      </c>
      <c r="DJ40" s="91">
        <v>40319.59199999999</v>
      </c>
    </row>
    <row r="41" spans="1:114" ht="15" customHeight="1" outlineLevel="1">
      <c r="A41" s="94">
        <v>9</v>
      </c>
      <c r="B41" s="1092" t="s">
        <v>63</v>
      </c>
      <c r="C41" s="1118"/>
      <c r="D41" s="313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314">
        <f t="shared" si="77"/>
        <v>0</v>
      </c>
      <c r="Q41" s="90"/>
      <c r="R41" s="313">
        <v>1636</v>
      </c>
      <c r="S41" s="91">
        <v>1636</v>
      </c>
      <c r="T41" s="91">
        <f t="shared" ref="T41:T42" si="84">1818/2</f>
        <v>909</v>
      </c>
      <c r="U41" s="91">
        <v>0</v>
      </c>
      <c r="V41" s="91">
        <v>200</v>
      </c>
      <c r="W41" s="91">
        <v>300</v>
      </c>
      <c r="X41" s="91">
        <v>1000</v>
      </c>
      <c r="Y41" s="91">
        <v>1200</v>
      </c>
      <c r="Z41" s="91">
        <v>1600</v>
      </c>
      <c r="AA41" s="91">
        <v>1600</v>
      </c>
      <c r="AB41" s="91">
        <v>1800</v>
      </c>
      <c r="AC41" s="91">
        <v>2300</v>
      </c>
      <c r="AD41" s="315">
        <f t="shared" si="78"/>
        <v>14181</v>
      </c>
      <c r="AE41" s="23"/>
      <c r="AF41" s="316">
        <v>1500</v>
      </c>
      <c r="AG41" s="91">
        <v>1000</v>
      </c>
      <c r="AH41" s="91">
        <v>126</v>
      </c>
      <c r="AI41" s="91">
        <v>387</v>
      </c>
      <c r="AJ41" s="91">
        <v>895</v>
      </c>
      <c r="AK41" s="91">
        <v>800</v>
      </c>
      <c r="AL41" s="91">
        <v>1500</v>
      </c>
      <c r="AM41" s="91">
        <v>1000</v>
      </c>
      <c r="AN41" s="91">
        <v>1000</v>
      </c>
      <c r="AO41" s="91">
        <v>1000</v>
      </c>
      <c r="AP41" s="91">
        <v>1100</v>
      </c>
      <c r="AQ41" s="91">
        <v>1600</v>
      </c>
      <c r="AR41" s="92">
        <f t="shared" si="79"/>
        <v>11908</v>
      </c>
      <c r="AS41" s="23"/>
      <c r="AT41" s="91">
        <v>1182</v>
      </c>
      <c r="AU41" s="91">
        <v>1200</v>
      </c>
      <c r="AV41" s="91">
        <v>932</v>
      </c>
      <c r="AW41" s="91">
        <v>1020</v>
      </c>
      <c r="AX41" s="317">
        <v>0</v>
      </c>
      <c r="AY41" s="317">
        <v>0</v>
      </c>
      <c r="AZ41" s="317">
        <v>0</v>
      </c>
      <c r="BA41" s="317">
        <v>0</v>
      </c>
      <c r="BB41" s="317">
        <v>0</v>
      </c>
      <c r="BC41" s="317">
        <v>0</v>
      </c>
      <c r="BD41" s="317">
        <v>0</v>
      </c>
      <c r="BE41" s="317">
        <v>0</v>
      </c>
      <c r="BF41" s="91">
        <f t="shared" si="80"/>
        <v>4334</v>
      </c>
      <c r="BG41" s="93">
        <f t="shared" si="81"/>
        <v>-0.63604299630500505</v>
      </c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>
        <v>7070</v>
      </c>
      <c r="BU41" s="54"/>
      <c r="BV41" s="91">
        <v>928.14</v>
      </c>
      <c r="BW41" s="91">
        <v>717.95999999999992</v>
      </c>
      <c r="BX41" s="91">
        <f>'META  EM PEÇAS'!U37-('META  EM PEÇAS'!U37*0.05)</f>
        <v>806.63549999999987</v>
      </c>
      <c r="BY41" s="91">
        <f>'META  EM PEÇAS'!V37-('META  EM PEÇAS'!V37*0.05)</f>
        <v>747.44100000000003</v>
      </c>
      <c r="BZ41" s="91">
        <f>'META  EM PEÇAS'!W37-('META  EM PEÇAS'!W37*0.05)</f>
        <v>839.32499999999993</v>
      </c>
      <c r="CA41" s="91">
        <f>'META  EM PEÇAS'!X37-('META  EM PEÇAS'!X37*0.05)</f>
        <v>1010.7239999999998</v>
      </c>
      <c r="CB41" s="91">
        <f>'META  EM PEÇAS'!Y37-('META  EM PEÇAS'!Y37*0.05)</f>
        <v>1214.8125</v>
      </c>
      <c r="CC41" s="91">
        <f>'META  EM PEÇAS'!Z37-('META  EM PEÇAS'!Z37*0.05)</f>
        <v>812.81999999999994</v>
      </c>
      <c r="CD41" s="91">
        <f>'META  EM PEÇAS'!AA37-('META  EM PEÇAS'!AA37*0.05)</f>
        <v>842.85899999999992</v>
      </c>
      <c r="CE41" s="91">
        <f>'META  EM PEÇAS'!AB37-('META  EM PEÇAS'!AB37*0.05)</f>
        <v>914.4224999999999</v>
      </c>
      <c r="CF41" s="91">
        <f>'META  EM PEÇAS'!AC37-('META  EM PEÇAS'!AC37*0.05)</f>
        <v>1171.5209999999997</v>
      </c>
      <c r="CG41" s="91">
        <f>'META  EM PEÇAS'!AD37-('META  EM PEÇAS'!AD37*0.05)</f>
        <v>1650.3779999999997</v>
      </c>
      <c r="CH41" s="91">
        <f t="shared" si="82"/>
        <v>11657.038499999999</v>
      </c>
      <c r="CJ41" s="91">
        <v>928.14</v>
      </c>
      <c r="CK41" s="91">
        <v>717.95999999999992</v>
      </c>
      <c r="CL41" s="91">
        <v>806.63549999999987</v>
      </c>
      <c r="CM41" s="91">
        <v>747.44100000000003</v>
      </c>
      <c r="CN41" s="91">
        <v>839.32499999999993</v>
      </c>
      <c r="CO41" s="91">
        <v>1010.7239999999998</v>
      </c>
      <c r="CP41" s="91">
        <v>1214.8125</v>
      </c>
      <c r="CQ41" s="91">
        <v>812.81999999999994</v>
      </c>
      <c r="CR41" s="91">
        <v>842.85899999999992</v>
      </c>
      <c r="CS41" s="91">
        <v>914.4224999999999</v>
      </c>
      <c r="CT41" s="91">
        <v>1171.5209999999997</v>
      </c>
      <c r="CU41" s="91">
        <v>1650.3779999999997</v>
      </c>
      <c r="CV41" s="91">
        <v>11657.038499999999</v>
      </c>
      <c r="CX41" s="91">
        <v>928.14</v>
      </c>
      <c r="CY41" s="91">
        <v>717.95999999999992</v>
      </c>
      <c r="CZ41" s="91">
        <v>806.63549999999987</v>
      </c>
      <c r="DA41" s="91">
        <v>747.44100000000003</v>
      </c>
      <c r="DB41" s="91">
        <v>839.32499999999993</v>
      </c>
      <c r="DC41" s="91">
        <v>1010.7239999999998</v>
      </c>
      <c r="DD41" s="91">
        <v>1214.8125</v>
      </c>
      <c r="DE41" s="91">
        <v>812.81999999999994</v>
      </c>
      <c r="DF41" s="91">
        <v>842.85899999999992</v>
      </c>
      <c r="DG41" s="91">
        <v>914.4224999999999</v>
      </c>
      <c r="DH41" s="91">
        <v>1171.5209999999997</v>
      </c>
      <c r="DI41" s="91">
        <v>1650.3779999999997</v>
      </c>
      <c r="DJ41" s="91">
        <v>11657.038499999999</v>
      </c>
    </row>
    <row r="42" spans="1:114" ht="15" customHeight="1" outlineLevel="1">
      <c r="A42" s="94">
        <v>10</v>
      </c>
      <c r="B42" s="1092" t="s">
        <v>64</v>
      </c>
      <c r="C42" s="1118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si="77"/>
        <v>0</v>
      </c>
      <c r="Q42" s="90"/>
      <c r="R42" s="313">
        <v>1636</v>
      </c>
      <c r="S42" s="91">
        <v>1636</v>
      </c>
      <c r="T42" s="91">
        <f t="shared" si="84"/>
        <v>909</v>
      </c>
      <c r="U42" s="91">
        <f>0.5*U7</f>
        <v>0.5</v>
      </c>
      <c r="V42" s="91">
        <v>200</v>
      </c>
      <c r="W42" s="91">
        <v>300</v>
      </c>
      <c r="X42" s="91">
        <v>1000</v>
      </c>
      <c r="Y42" s="91">
        <v>1200</v>
      </c>
      <c r="Z42" s="91">
        <v>1600</v>
      </c>
      <c r="AA42" s="91">
        <v>1600</v>
      </c>
      <c r="AB42" s="91">
        <v>1800</v>
      </c>
      <c r="AC42" s="91">
        <v>2300</v>
      </c>
      <c r="AD42" s="315">
        <f t="shared" si="78"/>
        <v>14181.5</v>
      </c>
      <c r="AE42" s="23"/>
      <c r="AF42" s="316">
        <v>1500</v>
      </c>
      <c r="AG42" s="91">
        <v>1000</v>
      </c>
      <c r="AH42" s="91">
        <v>764</v>
      </c>
      <c r="AI42" s="91">
        <v>561</v>
      </c>
      <c r="AJ42" s="91">
        <v>1353</v>
      </c>
      <c r="AK42" s="91">
        <v>960</v>
      </c>
      <c r="AL42" s="91">
        <v>1500</v>
      </c>
      <c r="AM42" s="91">
        <v>1200</v>
      </c>
      <c r="AN42" s="91">
        <v>1200</v>
      </c>
      <c r="AO42" s="91">
        <v>1200</v>
      </c>
      <c r="AP42" s="91">
        <v>1320</v>
      </c>
      <c r="AQ42" s="91">
        <v>1920</v>
      </c>
      <c r="AR42" s="92">
        <f t="shared" si="79"/>
        <v>14478</v>
      </c>
      <c r="AS42" s="23"/>
      <c r="AT42" s="91">
        <v>1285</v>
      </c>
      <c r="AU42" s="91">
        <v>957</v>
      </c>
      <c r="AV42" s="91">
        <v>1426</v>
      </c>
      <c r="AW42" s="91">
        <v>1595</v>
      </c>
      <c r="AX42" s="317">
        <v>1767</v>
      </c>
      <c r="AY42" s="317">
        <v>1767</v>
      </c>
      <c r="AZ42" s="317">
        <v>1686</v>
      </c>
      <c r="BA42" s="317">
        <v>1686</v>
      </c>
      <c r="BB42" s="317">
        <v>1767</v>
      </c>
      <c r="BC42" s="317">
        <v>2088</v>
      </c>
      <c r="BD42" s="317">
        <v>2248</v>
      </c>
      <c r="BE42" s="317">
        <v>3212</v>
      </c>
      <c r="BF42" s="91">
        <f t="shared" si="80"/>
        <v>21484</v>
      </c>
      <c r="BG42" s="93">
        <f t="shared" si="81"/>
        <v>0.48390661693604087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16952</v>
      </c>
      <c r="BU42" s="54"/>
      <c r="BV42" s="91">
        <v>2631.8999999999996</v>
      </c>
      <c r="BW42" s="91">
        <v>2034.84</v>
      </c>
      <c r="BX42" s="91">
        <f>'META  EM PEÇAS'!U33-('META  EM PEÇAS'!U33*0.05)</f>
        <v>2287.3815</v>
      </c>
      <c r="BY42" s="91">
        <f>'META  EM PEÇAS'!V33-('META  EM PEÇAS'!V33*0.05)</f>
        <v>2119.5164999999997</v>
      </c>
      <c r="BZ42" s="91">
        <f>'META  EM PEÇAS'!W33-('META  EM PEÇAS'!W33*0.05)</f>
        <v>2379.2655</v>
      </c>
      <c r="CA42" s="91">
        <f>'META  EM PEÇAS'!X33-('META  EM PEÇAS'!X33*0.05)</f>
        <v>2865.1904999999997</v>
      </c>
      <c r="CB42" s="91">
        <f>'META  EM PEÇAS'!Y33-('META  EM PEÇAS'!Y33*0.05)</f>
        <v>3445.6499999999996</v>
      </c>
      <c r="CC42" s="91">
        <f>'META  EM PEÇAS'!Z33-('META  EM PEÇAS'!Z33*0.05)</f>
        <v>2303.2844999999998</v>
      </c>
      <c r="CD42" s="91">
        <f>'META  EM PEÇAS'!AA33-('META  EM PEÇAS'!AA33*0.05)</f>
        <v>2388.9839999999999</v>
      </c>
      <c r="CE42" s="91">
        <f>'META  EM PEÇAS'!AB33-('META  EM PEÇAS'!AB33*0.05)</f>
        <v>2592.1889999999999</v>
      </c>
      <c r="CF42" s="91">
        <f>'META  EM PEÇAS'!AC33-('META  EM PEÇAS'!AC33*0.05)</f>
        <v>3321.0765000000001</v>
      </c>
      <c r="CG42" s="91">
        <f>'META  EM PEÇAS'!AD33-('META  EM PEÇAS'!AD33*0.05)</f>
        <v>4679.8995000000004</v>
      </c>
      <c r="CH42" s="91">
        <f t="shared" si="82"/>
        <v>33049.177499999998</v>
      </c>
      <c r="CJ42" s="91">
        <v>2631.8999999999996</v>
      </c>
      <c r="CK42" s="91">
        <v>2034.84</v>
      </c>
      <c r="CL42" s="91">
        <v>2287.3815</v>
      </c>
      <c r="CM42" s="91">
        <v>2119.5164999999997</v>
      </c>
      <c r="CN42" s="91">
        <v>2379.2655</v>
      </c>
      <c r="CO42" s="91">
        <v>2865.1904999999997</v>
      </c>
      <c r="CP42" s="91">
        <v>3445.6499999999996</v>
      </c>
      <c r="CQ42" s="91">
        <v>2303.2844999999998</v>
      </c>
      <c r="CR42" s="91">
        <v>2388.9839999999999</v>
      </c>
      <c r="CS42" s="91">
        <v>2592.1889999999999</v>
      </c>
      <c r="CT42" s="91">
        <v>3321.0765000000001</v>
      </c>
      <c r="CU42" s="91">
        <v>4679.8995000000004</v>
      </c>
      <c r="CV42" s="91">
        <v>33049.177499999998</v>
      </c>
      <c r="CX42" s="91">
        <v>2631.8999999999996</v>
      </c>
      <c r="CY42" s="91">
        <v>2034.84</v>
      </c>
      <c r="CZ42" s="91">
        <v>2287.3815</v>
      </c>
      <c r="DA42" s="91">
        <v>2119.5164999999997</v>
      </c>
      <c r="DB42" s="91">
        <v>2379.2655</v>
      </c>
      <c r="DC42" s="91">
        <v>2865.1904999999997</v>
      </c>
      <c r="DD42" s="91">
        <v>3445.6499999999996</v>
      </c>
      <c r="DE42" s="91">
        <v>2303.2844999999998</v>
      </c>
      <c r="DF42" s="91">
        <v>2388.9839999999999</v>
      </c>
      <c r="DG42" s="91">
        <v>2592.1889999999999</v>
      </c>
      <c r="DH42" s="91">
        <v>3321.0765000000001</v>
      </c>
      <c r="DI42" s="91">
        <v>4679.8995000000004</v>
      </c>
      <c r="DJ42" s="91">
        <v>33049.177499999998</v>
      </c>
    </row>
    <row r="43" spans="1:114" ht="15" customHeight="1" outlineLevel="1">
      <c r="A43" s="94">
        <v>10</v>
      </c>
      <c r="B43" s="1092" t="s">
        <v>65</v>
      </c>
      <c r="C43" s="1118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>
        <f t="shared" si="77"/>
        <v>0</v>
      </c>
      <c r="Q43" s="90"/>
      <c r="R43" s="313">
        <v>0</v>
      </c>
      <c r="S43" s="91">
        <v>0</v>
      </c>
      <c r="T43" s="91">
        <v>0</v>
      </c>
      <c r="U43" s="91">
        <v>0</v>
      </c>
      <c r="V43" s="91">
        <v>3500</v>
      </c>
      <c r="W43" s="91">
        <v>350</v>
      </c>
      <c r="X43" s="91">
        <v>800</v>
      </c>
      <c r="Y43" s="91">
        <v>1000</v>
      </c>
      <c r="Z43" s="91">
        <v>1600</v>
      </c>
      <c r="AA43" s="91">
        <v>2000</v>
      </c>
      <c r="AB43" s="91">
        <v>2400</v>
      </c>
      <c r="AC43" s="91">
        <v>3000</v>
      </c>
      <c r="AD43" s="315">
        <f t="shared" si="78"/>
        <v>14650</v>
      </c>
      <c r="AE43" s="23"/>
      <c r="AF43" s="316">
        <v>2500</v>
      </c>
      <c r="AG43" s="91">
        <v>1000</v>
      </c>
      <c r="AH43" s="91">
        <f>2500*0.15</f>
        <v>375</v>
      </c>
      <c r="AI43" s="91">
        <v>787</v>
      </c>
      <c r="AJ43" s="91">
        <v>1569</v>
      </c>
      <c r="AK43" s="91">
        <v>2000</v>
      </c>
      <c r="AL43" s="91">
        <v>2500</v>
      </c>
      <c r="AM43" s="91">
        <v>2500</v>
      </c>
      <c r="AN43" s="91">
        <v>2500</v>
      </c>
      <c r="AO43" s="91">
        <v>2500</v>
      </c>
      <c r="AP43" s="91">
        <v>2750</v>
      </c>
      <c r="AQ43" s="91">
        <v>4000</v>
      </c>
      <c r="AR43" s="92">
        <f t="shared" si="79"/>
        <v>24981</v>
      </c>
      <c r="AS43" s="23"/>
      <c r="AT43" s="91">
        <v>1806</v>
      </c>
      <c r="AU43" s="91">
        <v>2046</v>
      </c>
      <c r="AV43" s="91">
        <v>1646</v>
      </c>
      <c r="AW43" s="91">
        <v>1902</v>
      </c>
      <c r="AX43" s="317">
        <v>1545</v>
      </c>
      <c r="AY43" s="317">
        <v>1545</v>
      </c>
      <c r="AZ43" s="317">
        <v>1475</v>
      </c>
      <c r="BA43" s="317">
        <v>1475</v>
      </c>
      <c r="BB43" s="317">
        <v>1545</v>
      </c>
      <c r="BC43" s="317">
        <v>1826</v>
      </c>
      <c r="BD43" s="317">
        <v>0</v>
      </c>
      <c r="BE43" s="317">
        <v>0</v>
      </c>
      <c r="BF43" s="91">
        <f t="shared" si="80"/>
        <v>16811</v>
      </c>
      <c r="BG43" s="93">
        <f t="shared" si="81"/>
        <v>-0.32704855690324641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10230</v>
      </c>
      <c r="BU43" s="54"/>
      <c r="BV43" s="91">
        <v>1335.48</v>
      </c>
      <c r="BW43" s="91">
        <v>1032.3</v>
      </c>
      <c r="BX43" s="91">
        <f>'META  EM PEÇAS'!U39-('META  EM PEÇAS'!U39*0.05)</f>
        <v>1160.0355</v>
      </c>
      <c r="BY43" s="91">
        <f>'META  EM PEÇAS'!V39-('META  EM PEÇAS'!V39*0.05)</f>
        <v>1075.2194999999999</v>
      </c>
      <c r="BZ43" s="91">
        <f>'META  EM PEÇAS'!W39-('META  EM PEÇAS'!W39*0.05)</f>
        <v>1206.8609999999999</v>
      </c>
      <c r="CA43" s="91">
        <f>'META  EM PEÇAS'!X39-('META  EM PEÇAS'!X39*0.05)</f>
        <v>1453.3574999999998</v>
      </c>
      <c r="CB43" s="91">
        <f>'META  EM PEÇAS'!Y39-('META  EM PEÇAS'!Y39*0.05)</f>
        <v>1747.5629999999999</v>
      </c>
      <c r="CC43" s="91">
        <f>'META  EM PEÇAS'!Z39-('META  EM PEÇAS'!Z39*0.05)</f>
        <v>1168.8705</v>
      </c>
      <c r="CD43" s="91">
        <f>'META  EM PEÇAS'!AA39-('META  EM PEÇAS'!AA39*0.05)</f>
        <v>1212.1619999999998</v>
      </c>
      <c r="CE43" s="91">
        <f>'META  EM PEÇAS'!AB39-('META  EM PEÇAS'!AB39*0.05)</f>
        <v>1314.6479999999999</v>
      </c>
      <c r="CF43" s="91">
        <f>'META  EM PEÇAS'!AC39-('META  EM PEÇAS'!AC39*0.05)</f>
        <v>1684.8344999999999</v>
      </c>
      <c r="CG43" s="91">
        <f>'META  EM PEÇAS'!AD39-('META  EM PEÇAS'!AD39*0.05)</f>
        <v>2373.9645</v>
      </c>
      <c r="CH43" s="91">
        <f t="shared" si="82"/>
        <v>16765.295999999995</v>
      </c>
      <c r="CJ43" s="91">
        <v>1335.48</v>
      </c>
      <c r="CK43" s="91">
        <v>1032.3</v>
      </c>
      <c r="CL43" s="91">
        <v>1160.0355</v>
      </c>
      <c r="CM43" s="91">
        <v>1075.2194999999999</v>
      </c>
      <c r="CN43" s="91">
        <v>1206.8609999999999</v>
      </c>
      <c r="CO43" s="91">
        <v>1453.3574999999998</v>
      </c>
      <c r="CP43" s="91">
        <v>1747.5629999999999</v>
      </c>
      <c r="CQ43" s="91">
        <v>1168.8705</v>
      </c>
      <c r="CR43" s="91">
        <v>1212.1619999999998</v>
      </c>
      <c r="CS43" s="91">
        <v>1314.6479999999999</v>
      </c>
      <c r="CT43" s="91">
        <v>1684.8344999999999</v>
      </c>
      <c r="CU43" s="91">
        <v>2373.9645</v>
      </c>
      <c r="CV43" s="91">
        <v>16765.295999999995</v>
      </c>
      <c r="CX43" s="91">
        <v>1335.48</v>
      </c>
      <c r="CY43" s="91">
        <v>1032.3</v>
      </c>
      <c r="CZ43" s="91">
        <v>1160.0355</v>
      </c>
      <c r="DA43" s="91">
        <v>1075.2194999999999</v>
      </c>
      <c r="DB43" s="91">
        <v>1206.8609999999999</v>
      </c>
      <c r="DC43" s="91">
        <v>1453.3574999999998</v>
      </c>
      <c r="DD43" s="91">
        <v>1747.5629999999999</v>
      </c>
      <c r="DE43" s="91">
        <v>1168.8705</v>
      </c>
      <c r="DF43" s="91">
        <v>1212.1619999999998</v>
      </c>
      <c r="DG43" s="91">
        <v>1314.6479999999999</v>
      </c>
      <c r="DH43" s="91">
        <v>1684.8344999999999</v>
      </c>
      <c r="DI43" s="91">
        <v>2373.9645</v>
      </c>
      <c r="DJ43" s="91">
        <v>16765.295999999995</v>
      </c>
    </row>
    <row r="44" spans="1:114" ht="15" customHeight="1" outlineLevel="1">
      <c r="A44" s="94">
        <v>11</v>
      </c>
      <c r="B44" s="210" t="s">
        <v>66</v>
      </c>
      <c r="C44" s="211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>
        <f t="shared" si="77"/>
        <v>0</v>
      </c>
      <c r="Q44" s="90"/>
      <c r="R44" s="313">
        <v>0</v>
      </c>
      <c r="S44" s="91">
        <v>0</v>
      </c>
      <c r="T44" s="91">
        <v>0</v>
      </c>
      <c r="U44" s="91">
        <v>0</v>
      </c>
      <c r="V44" s="91">
        <v>4000</v>
      </c>
      <c r="W44" s="91">
        <v>100</v>
      </c>
      <c r="X44" s="91">
        <v>800</v>
      </c>
      <c r="Y44" s="91">
        <v>800</v>
      </c>
      <c r="Z44" s="91">
        <v>1200</v>
      </c>
      <c r="AA44" s="91">
        <v>1200</v>
      </c>
      <c r="AB44" s="91">
        <v>1800</v>
      </c>
      <c r="AC44" s="91">
        <v>2300</v>
      </c>
      <c r="AD44" s="315">
        <f t="shared" si="78"/>
        <v>12200</v>
      </c>
      <c r="AE44" s="23"/>
      <c r="AF44" s="316">
        <v>1500</v>
      </c>
      <c r="AG44" s="91">
        <v>1000</v>
      </c>
      <c r="AH44" s="91">
        <f t="shared" ref="AH44:AH45" si="85">1500*0.15</f>
        <v>225</v>
      </c>
      <c r="AI44" s="91">
        <v>324</v>
      </c>
      <c r="AJ44" s="91">
        <v>869</v>
      </c>
      <c r="AK44" s="91">
        <v>800</v>
      </c>
      <c r="AL44" s="91">
        <v>1500</v>
      </c>
      <c r="AM44" s="91">
        <v>1000</v>
      </c>
      <c r="AN44" s="91">
        <v>1000</v>
      </c>
      <c r="AO44" s="91">
        <v>1000</v>
      </c>
      <c r="AP44" s="91">
        <v>1100</v>
      </c>
      <c r="AQ44" s="91">
        <v>1600</v>
      </c>
      <c r="AR44" s="92">
        <f t="shared" si="79"/>
        <v>11918</v>
      </c>
      <c r="AS44" s="23"/>
      <c r="AT44" s="91">
        <v>1191</v>
      </c>
      <c r="AU44" s="91">
        <v>1191</v>
      </c>
      <c r="AV44" s="91">
        <v>1191</v>
      </c>
      <c r="AW44" s="91">
        <v>1191</v>
      </c>
      <c r="AX44" s="317">
        <v>876</v>
      </c>
      <c r="AY44" s="317">
        <v>876</v>
      </c>
      <c r="AZ44" s="317">
        <v>836</v>
      </c>
      <c r="BA44" s="317">
        <v>836</v>
      </c>
      <c r="BB44" s="317">
        <v>876</v>
      </c>
      <c r="BC44" s="317">
        <v>1035</v>
      </c>
      <c r="BD44" s="317">
        <v>0</v>
      </c>
      <c r="BE44" s="317">
        <v>0</v>
      </c>
      <c r="BF44" s="91">
        <f t="shared" si="80"/>
        <v>10099</v>
      </c>
      <c r="BG44" s="93">
        <f t="shared" si="81"/>
        <v>-0.15262627957711028</v>
      </c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>
        <v>7342</v>
      </c>
      <c r="BU44" s="54"/>
      <c r="BV44" s="91">
        <v>1643.31</v>
      </c>
      <c r="BW44" s="91">
        <v>1270.3799999999999</v>
      </c>
      <c r="BX44" s="91">
        <f>'META  EM PEÇAS'!U40-('META  EM PEÇAS'!U40*0.05)</f>
        <v>1427.7359999999999</v>
      </c>
      <c r="BY44" s="91">
        <f>'META  EM PEÇAS'!V40-('META  EM PEÇAS'!V40*0.05)</f>
        <v>1323.4829999999999</v>
      </c>
      <c r="BZ44" s="91">
        <f>'META  EM PEÇAS'!W40-('META  EM PEÇAS'!W40*0.05)</f>
        <v>1485.1634999999999</v>
      </c>
      <c r="CA44" s="91">
        <f>'META  EM PEÇAS'!X40-('META  EM PEÇAS'!X40*0.05)</f>
        <v>1788.204</v>
      </c>
      <c r="CB44" s="91">
        <f>'META  EM PEÇAS'!Y40-('META  EM PEÇAS'!Y40*0.05)</f>
        <v>2151.3224999999998</v>
      </c>
      <c r="CC44" s="91">
        <f>'META  EM PEÇAS'!Z40-('META  EM PEÇAS'!Z40*0.05)</f>
        <v>1438.338</v>
      </c>
      <c r="CD44" s="91">
        <f>'META  EM PEÇAS'!AA40-('META  EM PEÇAS'!AA40*0.05)</f>
        <v>1491.348</v>
      </c>
      <c r="CE44" s="91">
        <f>'META  EM PEÇAS'!AB40-('META  EM PEÇAS'!AB40*0.05)</f>
        <v>1618.5719999999999</v>
      </c>
      <c r="CF44" s="91">
        <f>'META  EM PEÇAS'!AC40-('META  EM PEÇAS'!AC40*0.05)</f>
        <v>2073.5745000000002</v>
      </c>
      <c r="CG44" s="91">
        <f>'META  EM PEÇAS'!AD40-('META  EM PEÇAS'!AD40*0.05)</f>
        <v>2921.7344999999996</v>
      </c>
      <c r="CH44" s="91">
        <f t="shared" si="82"/>
        <v>20633.165999999997</v>
      </c>
      <c r="CJ44" s="91">
        <v>1643.31</v>
      </c>
      <c r="CK44" s="91">
        <v>1270.3799999999999</v>
      </c>
      <c r="CL44" s="91">
        <v>1427.7359999999999</v>
      </c>
      <c r="CM44" s="91">
        <v>1323.4829999999999</v>
      </c>
      <c r="CN44" s="91">
        <v>1485.1634999999999</v>
      </c>
      <c r="CO44" s="91">
        <v>1788.204</v>
      </c>
      <c r="CP44" s="91">
        <v>2151.3224999999998</v>
      </c>
      <c r="CQ44" s="91">
        <v>1438.338</v>
      </c>
      <c r="CR44" s="91">
        <v>1491.348</v>
      </c>
      <c r="CS44" s="91">
        <v>1618.5719999999999</v>
      </c>
      <c r="CT44" s="91">
        <v>2073.5745000000002</v>
      </c>
      <c r="CU44" s="91">
        <v>2921.7344999999996</v>
      </c>
      <c r="CV44" s="91">
        <v>20633.165999999997</v>
      </c>
      <c r="CX44" s="91">
        <v>1643.31</v>
      </c>
      <c r="CY44" s="91">
        <v>1270.3799999999999</v>
      </c>
      <c r="CZ44" s="91">
        <v>1427.7359999999999</v>
      </c>
      <c r="DA44" s="91">
        <v>1323.4829999999999</v>
      </c>
      <c r="DB44" s="91">
        <v>1485.1634999999999</v>
      </c>
      <c r="DC44" s="91">
        <v>1788.204</v>
      </c>
      <c r="DD44" s="91">
        <v>2151.3224999999998</v>
      </c>
      <c r="DE44" s="91">
        <v>1438.338</v>
      </c>
      <c r="DF44" s="91">
        <v>1491.348</v>
      </c>
      <c r="DG44" s="91">
        <v>1618.5719999999999</v>
      </c>
      <c r="DH44" s="91">
        <v>2073.5745000000002</v>
      </c>
      <c r="DI44" s="91">
        <v>2921.7344999999996</v>
      </c>
      <c r="DJ44" s="91">
        <v>20633.165999999997</v>
      </c>
    </row>
    <row r="45" spans="1:114" ht="15" customHeight="1" outlineLevel="1">
      <c r="A45" s="94">
        <v>12</v>
      </c>
      <c r="B45" s="210" t="s">
        <v>67</v>
      </c>
      <c r="C45" s="211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>
        <f t="shared" si="77"/>
        <v>0</v>
      </c>
      <c r="Q45" s="90"/>
      <c r="R45" s="313">
        <v>0</v>
      </c>
      <c r="S45" s="91">
        <v>0</v>
      </c>
      <c r="T45" s="91">
        <v>0</v>
      </c>
      <c r="U45" s="91">
        <v>0</v>
      </c>
      <c r="V45" s="91">
        <v>4000</v>
      </c>
      <c r="W45" s="91">
        <v>0</v>
      </c>
      <c r="X45" s="91">
        <v>800</v>
      </c>
      <c r="Y45" s="91">
        <v>1000</v>
      </c>
      <c r="Z45" s="91">
        <v>1200</v>
      </c>
      <c r="AA45" s="91">
        <v>1200</v>
      </c>
      <c r="AB45" s="91">
        <v>1800</v>
      </c>
      <c r="AC45" s="91">
        <v>2300</v>
      </c>
      <c r="AD45" s="315">
        <f t="shared" si="78"/>
        <v>12300</v>
      </c>
      <c r="AE45" s="23"/>
      <c r="AF45" s="316">
        <v>1500</v>
      </c>
      <c r="AG45" s="91">
        <v>1200</v>
      </c>
      <c r="AH45" s="91">
        <f t="shared" si="85"/>
        <v>225</v>
      </c>
      <c r="AI45" s="91">
        <v>332</v>
      </c>
      <c r="AJ45" s="91">
        <v>945</v>
      </c>
      <c r="AK45" s="91">
        <v>960</v>
      </c>
      <c r="AL45" s="91">
        <v>1500</v>
      </c>
      <c r="AM45" s="91">
        <v>1200</v>
      </c>
      <c r="AN45" s="91">
        <v>1200</v>
      </c>
      <c r="AO45" s="91">
        <v>1200</v>
      </c>
      <c r="AP45" s="91">
        <v>1320</v>
      </c>
      <c r="AQ45" s="91">
        <v>1920</v>
      </c>
      <c r="AR45" s="92">
        <f t="shared" si="79"/>
        <v>13502</v>
      </c>
      <c r="AS45" s="23"/>
      <c r="AT45" s="91">
        <v>1254</v>
      </c>
      <c r="AU45" s="91">
        <v>1254</v>
      </c>
      <c r="AV45" s="91">
        <v>1254</v>
      </c>
      <c r="AW45" s="91">
        <v>1254</v>
      </c>
      <c r="AX45" s="317">
        <v>1236</v>
      </c>
      <c r="AY45" s="317">
        <v>1236</v>
      </c>
      <c r="AZ45" s="317">
        <v>0</v>
      </c>
      <c r="BA45" s="317">
        <v>0</v>
      </c>
      <c r="BB45" s="317">
        <v>0</v>
      </c>
      <c r="BC45" s="317">
        <v>0</v>
      </c>
      <c r="BD45" s="317">
        <v>0</v>
      </c>
      <c r="BE45" s="317">
        <v>0</v>
      </c>
      <c r="BF45" s="91">
        <f t="shared" si="80"/>
        <v>7488</v>
      </c>
      <c r="BG45" s="93">
        <f t="shared" si="81"/>
        <v>-0.44541549400088876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>
        <v>16899</v>
      </c>
      <c r="BU45" s="54"/>
      <c r="BV45" s="91">
        <v>2552.85</v>
      </c>
      <c r="BW45" s="91">
        <v>1973.4599999999998</v>
      </c>
      <c r="BX45" s="91">
        <f>'META  EM PEÇAS'!U34-('META  EM PEÇAS'!U34*0.05)</f>
        <v>2218.4684999999999</v>
      </c>
      <c r="BY45" s="91">
        <f>'META  EM PEÇAS'!V34-('META  EM PEÇAS'!V34*0.05)</f>
        <v>2056.788</v>
      </c>
      <c r="BZ45" s="91">
        <f>'META  EM PEÇAS'!W34-('META  EM PEÇAS'!W34*0.05)</f>
        <v>2307.7019999999998</v>
      </c>
      <c r="CA45" s="91">
        <f>'META  EM PEÇAS'!X34-('META  EM PEÇAS'!X34*0.05)</f>
        <v>2778.6075000000001</v>
      </c>
      <c r="CB45" s="91">
        <f>'META  EM PEÇAS'!Y34-('META  EM PEÇAS'!Y34*0.05)</f>
        <v>3342.2804999999998</v>
      </c>
      <c r="CC45" s="91">
        <f>'META  EM PEÇAS'!Z34-('META  EM PEÇAS'!Z34*0.05)</f>
        <v>2234.3714999999997</v>
      </c>
      <c r="CD45" s="91">
        <f>'META  EM PEÇAS'!AA34-('META  EM PEÇAS'!AA34*0.05)</f>
        <v>2317.4204999999997</v>
      </c>
      <c r="CE45" s="91">
        <f>'META  EM PEÇAS'!AB34-('META  EM PEÇAS'!AB34*0.05)</f>
        <v>2514.4409999999998</v>
      </c>
      <c r="CF45" s="91">
        <f>'META  EM PEÇAS'!AC34-('META  EM PEÇAS'!AC34*0.05)</f>
        <v>3221.241</v>
      </c>
      <c r="CG45" s="91">
        <f>'META  EM PEÇAS'!AD34-('META  EM PEÇAS'!AD34*0.05)</f>
        <v>4539.4229999999989</v>
      </c>
      <c r="CH45" s="91">
        <f t="shared" si="82"/>
        <v>32057.053499999998</v>
      </c>
      <c r="CJ45" s="91">
        <v>2552.85</v>
      </c>
      <c r="CK45" s="91">
        <v>1973.4599999999998</v>
      </c>
      <c r="CL45" s="91">
        <v>2218.4684999999999</v>
      </c>
      <c r="CM45" s="91">
        <v>2056.788</v>
      </c>
      <c r="CN45" s="91">
        <v>2307.7019999999998</v>
      </c>
      <c r="CO45" s="91">
        <v>2778.6075000000001</v>
      </c>
      <c r="CP45" s="91">
        <v>3342.2804999999998</v>
      </c>
      <c r="CQ45" s="91">
        <v>2234.3714999999997</v>
      </c>
      <c r="CR45" s="91">
        <v>2317.4204999999997</v>
      </c>
      <c r="CS45" s="91">
        <v>2514.4409999999998</v>
      </c>
      <c r="CT45" s="91">
        <v>3221.241</v>
      </c>
      <c r="CU45" s="91">
        <v>4539.4229999999989</v>
      </c>
      <c r="CV45" s="91">
        <v>32057.053499999998</v>
      </c>
      <c r="CX45" s="91">
        <v>2552.85</v>
      </c>
      <c r="CY45" s="91">
        <v>1973.4599999999998</v>
      </c>
      <c r="CZ45" s="91">
        <v>2218.4684999999999</v>
      </c>
      <c r="DA45" s="91">
        <v>2056.788</v>
      </c>
      <c r="DB45" s="91">
        <v>2307.7019999999998</v>
      </c>
      <c r="DC45" s="91">
        <v>2778.6075000000001</v>
      </c>
      <c r="DD45" s="91">
        <v>3342.2804999999998</v>
      </c>
      <c r="DE45" s="91">
        <v>2234.3714999999997</v>
      </c>
      <c r="DF45" s="91">
        <v>2317.4204999999997</v>
      </c>
      <c r="DG45" s="91">
        <v>2514.4409999999998</v>
      </c>
      <c r="DH45" s="91">
        <v>3221.241</v>
      </c>
      <c r="DI45" s="91">
        <v>4539.4229999999989</v>
      </c>
      <c r="DJ45" s="91">
        <v>32057.053499999998</v>
      </c>
    </row>
    <row r="46" spans="1:114" ht="15" customHeight="1" outlineLevel="1">
      <c r="A46" s="94">
        <v>13</v>
      </c>
      <c r="B46" s="210" t="s">
        <v>68</v>
      </c>
      <c r="C46" s="212"/>
      <c r="D46" s="313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314">
        <f t="shared" si="77"/>
        <v>0</v>
      </c>
      <c r="Q46" s="90"/>
      <c r="R46" s="313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2000</v>
      </c>
      <c r="Y46" s="91">
        <v>800</v>
      </c>
      <c r="Z46" s="91">
        <v>800</v>
      </c>
      <c r="AA46" s="91">
        <v>1200</v>
      </c>
      <c r="AB46" s="91">
        <v>1800</v>
      </c>
      <c r="AC46" s="91">
        <v>2300</v>
      </c>
      <c r="AD46" s="315">
        <f t="shared" si="78"/>
        <v>8900</v>
      </c>
      <c r="AE46" s="23"/>
      <c r="AF46" s="316">
        <v>1800</v>
      </c>
      <c r="AG46" s="91">
        <v>1200</v>
      </c>
      <c r="AH46" s="91">
        <f>1800*0.15</f>
        <v>270</v>
      </c>
      <c r="AI46" s="91">
        <v>896</v>
      </c>
      <c r="AJ46" s="91">
        <v>1339</v>
      </c>
      <c r="AK46" s="91">
        <v>1600</v>
      </c>
      <c r="AL46" s="91">
        <v>1800</v>
      </c>
      <c r="AM46" s="91">
        <v>2000</v>
      </c>
      <c r="AN46" s="91">
        <v>2000</v>
      </c>
      <c r="AO46" s="91">
        <v>2000</v>
      </c>
      <c r="AP46" s="91">
        <v>2200</v>
      </c>
      <c r="AQ46" s="91">
        <v>3200</v>
      </c>
      <c r="AR46" s="92">
        <f t="shared" si="79"/>
        <v>20305</v>
      </c>
      <c r="AS46" s="23"/>
      <c r="AT46" s="91">
        <v>1980</v>
      </c>
      <c r="AU46" s="91">
        <v>1980</v>
      </c>
      <c r="AV46" s="91">
        <v>1980</v>
      </c>
      <c r="AW46" s="91">
        <v>1980</v>
      </c>
      <c r="AX46" s="317">
        <v>1409</v>
      </c>
      <c r="AY46" s="317">
        <v>1409</v>
      </c>
      <c r="AZ46" s="317">
        <v>1345</v>
      </c>
      <c r="BA46" s="317">
        <v>1345</v>
      </c>
      <c r="BB46" s="317">
        <v>1409</v>
      </c>
      <c r="BC46" s="317">
        <v>1665</v>
      </c>
      <c r="BD46" s="317">
        <v>1793</v>
      </c>
      <c r="BE46" s="317">
        <v>2562</v>
      </c>
      <c r="BF46" s="91">
        <f t="shared" si="80"/>
        <v>20857</v>
      </c>
      <c r="BG46" s="93">
        <f t="shared" si="81"/>
        <v>2.7185422309775831E-2</v>
      </c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>
        <v>11555</v>
      </c>
      <c r="BU46" s="54"/>
      <c r="BV46" s="91">
        <v>1903.7099999999998</v>
      </c>
      <c r="BW46" s="91">
        <v>1471.26</v>
      </c>
      <c r="BX46" s="91">
        <f>'META  EM PEÇAS'!U35-('META  EM PEÇAS'!U35*0.05)</f>
        <v>1654.7954999999999</v>
      </c>
      <c r="BY46" s="91">
        <f>'META  EM PEÇAS'!V35-('META  EM PEÇAS'!V35*0.05)</f>
        <v>1533.7559999999999</v>
      </c>
      <c r="BZ46" s="91">
        <f>'META  EM PEÇAS'!W35-('META  EM PEÇAS'!W35*0.05)</f>
        <v>1721.058</v>
      </c>
      <c r="CA46" s="91">
        <f>'META  EM PEÇAS'!X35-('META  EM PEÇAS'!X35*0.05)</f>
        <v>2071.8074999999999</v>
      </c>
      <c r="CB46" s="91">
        <f>'META  EM PEÇAS'!Y35-('META  EM PEÇAS'!Y35*0.05)</f>
        <v>2492.3534999999997</v>
      </c>
      <c r="CC46" s="91">
        <f>'META  EM PEÇAS'!Z35-('META  EM PEÇAS'!Z35*0.05)</f>
        <v>1666.2809999999997</v>
      </c>
      <c r="CD46" s="91">
        <f>'META  EM PEÇAS'!AA35-('META  EM PEÇAS'!AA35*0.05)</f>
        <v>1728.126</v>
      </c>
      <c r="CE46" s="91">
        <f>'META  EM PEÇAS'!AB35-('META  EM PEÇAS'!AB35*0.05)</f>
        <v>1874.7869999999998</v>
      </c>
      <c r="CF46" s="91">
        <f>'META  EM PEÇAS'!AC35-('META  EM PEÇAS'!AC35*0.05)</f>
        <v>2402.2364999999995</v>
      </c>
      <c r="CG46" s="91">
        <f>'META  EM PEÇAS'!AD35-('META  EM PEÇAS'!AD35*0.05)</f>
        <v>3384.6884999999997</v>
      </c>
      <c r="CH46" s="91">
        <f t="shared" si="82"/>
        <v>23904.859499999995</v>
      </c>
      <c r="CJ46" s="91">
        <v>1903.7099999999998</v>
      </c>
      <c r="CK46" s="91">
        <v>1471.26</v>
      </c>
      <c r="CL46" s="91">
        <v>1654.7954999999999</v>
      </c>
      <c r="CM46" s="91">
        <v>1533.7559999999999</v>
      </c>
      <c r="CN46" s="91">
        <v>1721.058</v>
      </c>
      <c r="CO46" s="91">
        <v>2071.8074999999999</v>
      </c>
      <c r="CP46" s="91">
        <v>2492.3534999999997</v>
      </c>
      <c r="CQ46" s="91">
        <v>1666.2809999999997</v>
      </c>
      <c r="CR46" s="91">
        <v>1728.126</v>
      </c>
      <c r="CS46" s="91">
        <v>1874.7869999999998</v>
      </c>
      <c r="CT46" s="91">
        <v>2402.2364999999995</v>
      </c>
      <c r="CU46" s="91">
        <v>3384.6884999999997</v>
      </c>
      <c r="CV46" s="91">
        <v>23904.859499999995</v>
      </c>
      <c r="CX46" s="91">
        <v>1903.7099999999998</v>
      </c>
      <c r="CY46" s="91">
        <v>1471.26</v>
      </c>
      <c r="CZ46" s="91">
        <v>1654.7954999999999</v>
      </c>
      <c r="DA46" s="91">
        <v>1533.7559999999999</v>
      </c>
      <c r="DB46" s="91">
        <v>1721.058</v>
      </c>
      <c r="DC46" s="91">
        <v>2071.8074999999999</v>
      </c>
      <c r="DD46" s="91">
        <v>2492.3534999999997</v>
      </c>
      <c r="DE46" s="91">
        <v>1666.2809999999997</v>
      </c>
      <c r="DF46" s="91">
        <v>1728.126</v>
      </c>
      <c r="DG46" s="91">
        <v>1874.7869999999998</v>
      </c>
      <c r="DH46" s="91">
        <v>2402.2364999999995</v>
      </c>
      <c r="DI46" s="91">
        <v>3384.6884999999997</v>
      </c>
      <c r="DJ46" s="91">
        <v>23904.859499999995</v>
      </c>
    </row>
    <row r="47" spans="1:114" ht="15" customHeight="1" outlineLevel="1">
      <c r="A47" s="94">
        <v>14</v>
      </c>
      <c r="B47" s="210" t="s">
        <v>69</v>
      </c>
      <c r="C47" s="212"/>
      <c r="D47" s="313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314"/>
      <c r="Q47" s="90"/>
      <c r="R47" s="313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2000</v>
      </c>
      <c r="Z47" s="91">
        <v>800</v>
      </c>
      <c r="AA47" s="91">
        <v>800</v>
      </c>
      <c r="AB47" s="91">
        <v>1200</v>
      </c>
      <c r="AC47" s="91">
        <v>1800</v>
      </c>
      <c r="AD47" s="315">
        <f t="shared" si="78"/>
        <v>6600</v>
      </c>
      <c r="AE47" s="23"/>
      <c r="AF47" s="316">
        <v>1500</v>
      </c>
      <c r="AG47" s="91">
        <v>1200</v>
      </c>
      <c r="AH47" s="91">
        <f>1500*0.15</f>
        <v>225</v>
      </c>
      <c r="AI47" s="91">
        <v>374</v>
      </c>
      <c r="AJ47" s="91">
        <v>990</v>
      </c>
      <c r="AK47" s="91">
        <v>960</v>
      </c>
      <c r="AL47" s="91">
        <v>1800</v>
      </c>
      <c r="AM47" s="91">
        <v>1200</v>
      </c>
      <c r="AN47" s="91">
        <v>1200</v>
      </c>
      <c r="AO47" s="91">
        <v>1200</v>
      </c>
      <c r="AP47" s="91">
        <v>1320</v>
      </c>
      <c r="AQ47" s="91">
        <v>1920</v>
      </c>
      <c r="AR47" s="92">
        <f t="shared" si="79"/>
        <v>13889</v>
      </c>
      <c r="AS47" s="23"/>
      <c r="AT47" s="91">
        <v>1518</v>
      </c>
      <c r="AU47" s="91">
        <v>1518</v>
      </c>
      <c r="AV47" s="91">
        <v>1518</v>
      </c>
      <c r="AW47" s="91">
        <v>1518</v>
      </c>
      <c r="AX47" s="317">
        <v>1276</v>
      </c>
      <c r="AY47" s="317">
        <v>1276</v>
      </c>
      <c r="AZ47" s="317">
        <v>1218</v>
      </c>
      <c r="BA47" s="317">
        <v>1218</v>
      </c>
      <c r="BB47" s="317">
        <v>1276</v>
      </c>
      <c r="BC47" s="317">
        <v>1508</v>
      </c>
      <c r="BD47" s="317">
        <v>1624</v>
      </c>
      <c r="BE47" s="317">
        <v>2320</v>
      </c>
      <c r="BF47" s="91">
        <f t="shared" si="80"/>
        <v>17788</v>
      </c>
      <c r="BG47" s="93">
        <f t="shared" si="81"/>
        <v>0.2807257541939665</v>
      </c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>
        <v>19018</v>
      </c>
      <c r="BU47" s="54"/>
      <c r="BV47" s="91">
        <v>2737.9199999999996</v>
      </c>
      <c r="BW47" s="91">
        <v>2116.6799999999998</v>
      </c>
      <c r="BX47" s="91">
        <f>'META  EM PEÇAS'!U36-('META  EM PEÇAS'!U36*0.05)</f>
        <v>2379.2655</v>
      </c>
      <c r="BY47" s="91">
        <f>'META  EM PEÇAS'!V36-('META  EM PEÇAS'!V36*0.05)</f>
        <v>2205.2159999999999</v>
      </c>
      <c r="BZ47" s="91">
        <f>'META  EM PEÇAS'!W36-('META  EM PEÇAS'!W36*0.05)</f>
        <v>2474.6834999999996</v>
      </c>
      <c r="CA47" s="91">
        <f>'META  EM PEÇAS'!X36-('META  EM PEÇAS'!X36*0.05)</f>
        <v>2980.0454999999997</v>
      </c>
      <c r="CB47" s="91">
        <f>'META  EM PEÇAS'!Y36-('META  EM PEÇAS'!Y36*0.05)</f>
        <v>3584.3594999999996</v>
      </c>
      <c r="CC47" s="91">
        <f>'META  EM PEÇAS'!Z36-('META  EM PEÇAS'!Z36*0.05)</f>
        <v>2396.0519999999997</v>
      </c>
      <c r="CD47" s="91">
        <f>'META  EM PEÇAS'!AA36-('META  EM PEÇAS'!AA36*0.05)</f>
        <v>2485.2854999999995</v>
      </c>
      <c r="CE47" s="91">
        <f>'META  EM PEÇAS'!AB36-('META  EM PEÇAS'!AB36*0.05)</f>
        <v>2696.4419999999996</v>
      </c>
      <c r="CF47" s="91">
        <f>'META  EM PEÇAS'!AC36-('META  EM PEÇAS'!AC36*0.05)</f>
        <v>3454.4849999999997</v>
      </c>
      <c r="CG47" s="91">
        <f>'META  EM PEÇAS'!AD36-('META  EM PEÇAS'!AD36*0.05)</f>
        <v>4868.0849999999991</v>
      </c>
      <c r="CH47" s="91">
        <f t="shared" si="82"/>
        <v>34378.519499999995</v>
      </c>
      <c r="CJ47" s="91">
        <v>2737.9199999999996</v>
      </c>
      <c r="CK47" s="91">
        <v>2116.6799999999998</v>
      </c>
      <c r="CL47" s="91">
        <v>2379.2655</v>
      </c>
      <c r="CM47" s="91">
        <v>2205.2159999999999</v>
      </c>
      <c r="CN47" s="91">
        <v>2474.6834999999996</v>
      </c>
      <c r="CO47" s="91">
        <v>2980.0454999999997</v>
      </c>
      <c r="CP47" s="91">
        <v>3584.3594999999996</v>
      </c>
      <c r="CQ47" s="91">
        <v>2396.0519999999997</v>
      </c>
      <c r="CR47" s="91">
        <v>2485.2854999999995</v>
      </c>
      <c r="CS47" s="91">
        <v>2696.4419999999996</v>
      </c>
      <c r="CT47" s="91">
        <v>3454.4849999999997</v>
      </c>
      <c r="CU47" s="91">
        <v>4868.0849999999991</v>
      </c>
      <c r="CV47" s="91">
        <v>34378.519499999995</v>
      </c>
      <c r="CX47" s="91">
        <v>2737.9199999999996</v>
      </c>
      <c r="CY47" s="91">
        <v>2116.6799999999998</v>
      </c>
      <c r="CZ47" s="91">
        <v>2379.2655</v>
      </c>
      <c r="DA47" s="91">
        <v>2205.2159999999999</v>
      </c>
      <c r="DB47" s="91">
        <v>2474.6834999999996</v>
      </c>
      <c r="DC47" s="91">
        <v>2980.0454999999997</v>
      </c>
      <c r="DD47" s="91">
        <v>3584.3594999999996</v>
      </c>
      <c r="DE47" s="91">
        <v>2396.0519999999997</v>
      </c>
      <c r="DF47" s="91">
        <v>2485.2854999999995</v>
      </c>
      <c r="DG47" s="91">
        <v>2696.4419999999996</v>
      </c>
      <c r="DH47" s="91">
        <v>3454.4849999999997</v>
      </c>
      <c r="DI47" s="91">
        <v>4868.0849999999991</v>
      </c>
      <c r="DJ47" s="91">
        <v>34378.519499999995</v>
      </c>
    </row>
    <row r="48" spans="1:114" ht="15" customHeight="1" outlineLevel="1">
      <c r="A48" s="94">
        <v>15</v>
      </c>
      <c r="B48" s="210" t="s">
        <v>70</v>
      </c>
      <c r="C48" s="212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314"/>
      <c r="Q48" s="90"/>
      <c r="R48" s="313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91">
        <v>0</v>
      </c>
      <c r="Z48" s="91">
        <v>2000</v>
      </c>
      <c r="AA48" s="91">
        <v>800</v>
      </c>
      <c r="AB48" s="91">
        <v>800</v>
      </c>
      <c r="AC48" s="91">
        <v>1500</v>
      </c>
      <c r="AD48" s="315">
        <f t="shared" si="78"/>
        <v>5100</v>
      </c>
      <c r="AE48" s="23"/>
      <c r="AF48" s="316">
        <v>1800</v>
      </c>
      <c r="AG48" s="91">
        <v>1200</v>
      </c>
      <c r="AH48" s="91">
        <f>1800*0.4</f>
        <v>720</v>
      </c>
      <c r="AI48" s="91">
        <v>1147</v>
      </c>
      <c r="AJ48" s="91">
        <v>1155</v>
      </c>
      <c r="AK48" s="91">
        <v>1600</v>
      </c>
      <c r="AL48" s="91">
        <v>1800</v>
      </c>
      <c r="AM48" s="91">
        <v>2000</v>
      </c>
      <c r="AN48" s="91">
        <v>2000</v>
      </c>
      <c r="AO48" s="91">
        <v>2000</v>
      </c>
      <c r="AP48" s="91">
        <v>2200</v>
      </c>
      <c r="AQ48" s="91">
        <v>3200</v>
      </c>
      <c r="AR48" s="92">
        <f t="shared" si="79"/>
        <v>20822</v>
      </c>
      <c r="AS48" s="23"/>
      <c r="AT48" s="91">
        <v>1544</v>
      </c>
      <c r="AU48" s="91">
        <v>1544</v>
      </c>
      <c r="AV48" s="91">
        <v>1544</v>
      </c>
      <c r="AW48" s="91">
        <v>1544</v>
      </c>
      <c r="AX48" s="317">
        <v>862</v>
      </c>
      <c r="AY48" s="317">
        <v>862</v>
      </c>
      <c r="AZ48" s="317">
        <v>823</v>
      </c>
      <c r="BA48" s="317">
        <v>823</v>
      </c>
      <c r="BB48" s="317">
        <v>862</v>
      </c>
      <c r="BC48" s="317">
        <v>1019</v>
      </c>
      <c r="BD48" s="317">
        <v>1098</v>
      </c>
      <c r="BE48" s="317">
        <v>1568</v>
      </c>
      <c r="BF48" s="91">
        <f t="shared" si="80"/>
        <v>14093</v>
      </c>
      <c r="BG48" s="93">
        <f t="shared" si="81"/>
        <v>-0.32316780328498707</v>
      </c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>
        <v>21133</v>
      </c>
      <c r="BU48" s="54"/>
      <c r="BV48" s="91">
        <v>3593.52</v>
      </c>
      <c r="BW48" s="91">
        <v>2776.98</v>
      </c>
      <c r="BX48" s="91">
        <f>'META  EM PEÇAS'!U38-('META  EM PEÇAS'!U38*0.05)</f>
        <v>3122.2889999999998</v>
      </c>
      <c r="BY48" s="91">
        <f>'META  EM PEÇAS'!V38-('META  EM PEÇAS'!V38*0.05)</f>
        <v>2893.4625000000001</v>
      </c>
      <c r="BZ48" s="91">
        <f>'META  EM PEÇAS'!W38-('META  EM PEÇAS'!W38*0.05)</f>
        <v>3247.7459999999996</v>
      </c>
      <c r="CA48" s="91">
        <f>'META  EM PEÇAS'!X38-('META  EM PEÇAS'!X38*0.05)</f>
        <v>3910.3709999999992</v>
      </c>
      <c r="CB48" s="91">
        <f>'META  EM PEÇAS'!Y38-('META  EM PEÇAS'!Y38*0.05)</f>
        <v>4703.7539999999999</v>
      </c>
      <c r="CC48" s="91">
        <f>'META  EM PEÇAS'!Z38-('META  EM PEÇAS'!Z38*0.05)</f>
        <v>3144.3764999999999</v>
      </c>
      <c r="CD48" s="91">
        <f>'META  EM PEÇAS'!AA38-('META  EM PEÇAS'!AA38*0.05)</f>
        <v>3260.9984999999997</v>
      </c>
      <c r="CE48" s="91">
        <f>'META  EM PEÇAS'!AB38-('META  EM PEÇAS'!AB38*0.05)</f>
        <v>3539.3009999999999</v>
      </c>
      <c r="CF48" s="91">
        <f>'META  EM PEÇAS'!AC38-('META  EM PEÇAS'!AC38*0.05)</f>
        <v>4533.2384999999995</v>
      </c>
      <c r="CG48" s="91">
        <f>'META  EM PEÇAS'!AD38-('META  EM PEÇAS'!AD38*0.05)</f>
        <v>6387.7049999999999</v>
      </c>
      <c r="CH48" s="91">
        <f t="shared" si="82"/>
        <v>45113.741999999998</v>
      </c>
      <c r="CJ48" s="91">
        <v>3593.52</v>
      </c>
      <c r="CK48" s="91">
        <v>2776.98</v>
      </c>
      <c r="CL48" s="91">
        <v>3122.2889999999998</v>
      </c>
      <c r="CM48" s="91">
        <v>2893.4625000000001</v>
      </c>
      <c r="CN48" s="91">
        <v>3247.7459999999996</v>
      </c>
      <c r="CO48" s="91">
        <v>3910.3709999999992</v>
      </c>
      <c r="CP48" s="91">
        <v>4703.7539999999999</v>
      </c>
      <c r="CQ48" s="91">
        <v>3144.3764999999999</v>
      </c>
      <c r="CR48" s="91">
        <v>3260.9984999999997</v>
      </c>
      <c r="CS48" s="91">
        <v>3539.3009999999999</v>
      </c>
      <c r="CT48" s="91">
        <v>4533.2384999999995</v>
      </c>
      <c r="CU48" s="91">
        <v>6387.7049999999999</v>
      </c>
      <c r="CV48" s="91">
        <v>45113.741999999998</v>
      </c>
      <c r="CX48" s="91">
        <v>3593.52</v>
      </c>
      <c r="CY48" s="91">
        <v>2776.98</v>
      </c>
      <c r="CZ48" s="91">
        <v>3122.2889999999998</v>
      </c>
      <c r="DA48" s="91">
        <v>2893.4625000000001</v>
      </c>
      <c r="DB48" s="91">
        <v>3247.7459999999996</v>
      </c>
      <c r="DC48" s="91">
        <v>3910.3709999999992</v>
      </c>
      <c r="DD48" s="91">
        <v>4703.7539999999999</v>
      </c>
      <c r="DE48" s="91">
        <v>3144.3764999999999</v>
      </c>
      <c r="DF48" s="91">
        <v>3260.9984999999997</v>
      </c>
      <c r="DG48" s="91">
        <v>3539.3009999999999</v>
      </c>
      <c r="DH48" s="91">
        <v>4533.2384999999995</v>
      </c>
      <c r="DI48" s="91">
        <v>6387.7049999999999</v>
      </c>
      <c r="DJ48" s="91">
        <v>45113.741999999998</v>
      </c>
    </row>
    <row r="49" spans="1:114" ht="15" customHeight="1" outlineLevel="1">
      <c r="A49" s="94">
        <v>16</v>
      </c>
      <c r="B49" s="216" t="s">
        <v>71</v>
      </c>
      <c r="C49" s="212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/>
      <c r="Q49" s="90"/>
      <c r="R49" s="313"/>
      <c r="S49" s="91"/>
      <c r="T49" s="91"/>
      <c r="U49" s="91"/>
      <c r="V49" s="91"/>
      <c r="W49" s="91"/>
      <c r="X49" s="91"/>
      <c r="Y49" s="91"/>
      <c r="Z49" s="91"/>
      <c r="AA49" s="91">
        <v>800</v>
      </c>
      <c r="AB49" s="91">
        <v>800</v>
      </c>
      <c r="AC49" s="91">
        <v>1500</v>
      </c>
      <c r="AD49" s="315"/>
      <c r="AE49" s="23"/>
      <c r="AF49" s="316">
        <v>1500</v>
      </c>
      <c r="AG49" s="91">
        <v>1200</v>
      </c>
      <c r="AH49" s="91">
        <f>1500*0.15</f>
        <v>225</v>
      </c>
      <c r="AI49" s="91">
        <v>192</v>
      </c>
      <c r="AJ49" s="91">
        <v>663</v>
      </c>
      <c r="AK49" s="91">
        <v>800</v>
      </c>
      <c r="AL49" s="91">
        <v>1500</v>
      </c>
      <c r="AM49" s="91">
        <v>1000</v>
      </c>
      <c r="AN49" s="91">
        <v>1000</v>
      </c>
      <c r="AO49" s="91">
        <v>1000</v>
      </c>
      <c r="AP49" s="91">
        <v>1100</v>
      </c>
      <c r="AQ49" s="91">
        <v>1600</v>
      </c>
      <c r="AR49" s="92">
        <f t="shared" si="79"/>
        <v>11780</v>
      </c>
      <c r="AS49" s="23"/>
      <c r="AT49" s="91">
        <v>960</v>
      </c>
      <c r="AU49" s="91">
        <v>960</v>
      </c>
      <c r="AV49" s="91">
        <v>960</v>
      </c>
      <c r="AW49" s="91">
        <v>960</v>
      </c>
      <c r="AX49" s="317">
        <v>1414</v>
      </c>
      <c r="AY49" s="317">
        <v>1414</v>
      </c>
      <c r="AZ49" s="317">
        <v>1350</v>
      </c>
      <c r="BA49" s="317">
        <v>1350</v>
      </c>
      <c r="BB49" s="317">
        <v>1414</v>
      </c>
      <c r="BC49" s="317">
        <v>1671</v>
      </c>
      <c r="BD49" s="317">
        <v>1800</v>
      </c>
      <c r="BE49" s="317">
        <v>2571</v>
      </c>
      <c r="BF49" s="91">
        <f t="shared" si="80"/>
        <v>16824</v>
      </c>
      <c r="BG49" s="93">
        <f t="shared" si="81"/>
        <v>0.42818336162988113</v>
      </c>
      <c r="BH49" s="91">
        <v>900</v>
      </c>
      <c r="BI49" s="91">
        <v>643</v>
      </c>
      <c r="BJ49" s="91">
        <v>891</v>
      </c>
      <c r="BK49" s="91">
        <v>679</v>
      </c>
      <c r="BL49" s="91">
        <v>940</v>
      </c>
      <c r="BM49" s="91">
        <v>948</v>
      </c>
      <c r="BN49" s="91">
        <v>1124</v>
      </c>
      <c r="BO49" s="91">
        <v>913</v>
      </c>
      <c r="BP49" s="91">
        <v>911</v>
      </c>
      <c r="BQ49" s="91">
        <v>898</v>
      </c>
      <c r="BR49" s="91">
        <v>1465</v>
      </c>
      <c r="BS49" s="91">
        <v>1278</v>
      </c>
      <c r="BT49" s="91">
        <f>SUM(BH49:BS49)</f>
        <v>11590</v>
      </c>
      <c r="BU49" s="54"/>
      <c r="BV49" s="91">
        <f>'META  EM PEÇAS'!T47</f>
        <v>1749.7324726431702</v>
      </c>
      <c r="BW49" s="91">
        <f>'META  EM PEÇAS'!T48</f>
        <v>1701.1287928475265</v>
      </c>
      <c r="BX49" s="91">
        <f>'META  EM PEÇAS'!T49</f>
        <v>1846.9398322344578</v>
      </c>
      <c r="BY49" s="91">
        <f>'META  EM PEÇAS'!T50</f>
        <v>1701.1287928475265</v>
      </c>
      <c r="BZ49" s="91">
        <f>'META  EM PEÇAS'!T51</f>
        <v>1846.9398322344578</v>
      </c>
      <c r="CA49" s="91">
        <f>'META  EM PEÇAS'!T52</f>
        <v>1749.7324726431702</v>
      </c>
      <c r="CB49" s="91">
        <f>'META  EM PEÇAS'!T53</f>
        <v>2138.5619110083194</v>
      </c>
      <c r="CC49" s="91">
        <f>'META  EM PEÇAS'!T54</f>
        <v>1749.7324726431702</v>
      </c>
      <c r="CD49" s="91">
        <f>'META  EM PEÇAS'!T55</f>
        <v>1749.7324726431702</v>
      </c>
      <c r="CE49" s="91">
        <f>'META  EM PEÇAS'!T56</f>
        <v>1749.7324726431702</v>
      </c>
      <c r="CF49" s="91">
        <f>'META  EM PEÇAS'!T57</f>
        <v>2721.8060685560426</v>
      </c>
      <c r="CG49" s="91">
        <f>'META  EM PEÇAS'!T58</f>
        <v>1944.1471918257448</v>
      </c>
      <c r="CH49" s="91">
        <f t="shared" si="82"/>
        <v>22649.314784769926</v>
      </c>
      <c r="CJ49" s="91">
        <v>1749.7324726431702</v>
      </c>
      <c r="CK49" s="91">
        <v>1701.1287928475265</v>
      </c>
      <c r="CL49" s="91">
        <v>1846.9398322344578</v>
      </c>
      <c r="CM49" s="91">
        <v>1701.1287928475265</v>
      </c>
      <c r="CN49" s="91">
        <v>1846.9398322344578</v>
      </c>
      <c r="CO49" s="91">
        <v>1749.7324726431702</v>
      </c>
      <c r="CP49" s="91">
        <v>2138.5619110083194</v>
      </c>
      <c r="CQ49" s="91">
        <v>1749.7324726431702</v>
      </c>
      <c r="CR49" s="91">
        <v>1749.7324726431702</v>
      </c>
      <c r="CS49" s="91">
        <v>1749.7324726431702</v>
      </c>
      <c r="CT49" s="91">
        <v>2721.8060685560426</v>
      </c>
      <c r="CU49" s="91">
        <v>1944.1471918257448</v>
      </c>
      <c r="CV49" s="91">
        <v>22649.314784769926</v>
      </c>
      <c r="CX49" s="91">
        <v>1749.7324726431702</v>
      </c>
      <c r="CY49" s="91">
        <v>1701.1287928475265</v>
      </c>
      <c r="CZ49" s="91">
        <v>1846.9398322344578</v>
      </c>
      <c r="DA49" s="91">
        <v>1701.1287928475265</v>
      </c>
      <c r="DB49" s="91">
        <v>1846.9398322344578</v>
      </c>
      <c r="DC49" s="91">
        <v>1749.7324726431702</v>
      </c>
      <c r="DD49" s="91">
        <v>2138.5619110083194</v>
      </c>
      <c r="DE49" s="91">
        <v>1749.7324726431702</v>
      </c>
      <c r="DF49" s="91">
        <v>1749.7324726431702</v>
      </c>
      <c r="DG49" s="91">
        <v>1749.7324726431702</v>
      </c>
      <c r="DH49" s="91">
        <v>2721.8060685560426</v>
      </c>
      <c r="DI49" s="91">
        <v>1944.1471918257448</v>
      </c>
      <c r="DJ49" s="91">
        <v>22649.314784769926</v>
      </c>
    </row>
    <row r="50" spans="1:114" ht="15" customHeight="1" outlineLevel="1">
      <c r="A50" s="94"/>
      <c r="B50" s="210"/>
      <c r="C50" s="213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0</v>
      </c>
      <c r="AG50" s="91">
        <v>0</v>
      </c>
      <c r="AH50" s="91">
        <v>0</v>
      </c>
      <c r="AI50" s="91">
        <v>0</v>
      </c>
      <c r="AJ50" s="91">
        <v>0</v>
      </c>
      <c r="AK50" s="91">
        <v>400</v>
      </c>
      <c r="AL50" s="91">
        <v>500</v>
      </c>
      <c r="AM50" s="91">
        <v>500</v>
      </c>
      <c r="AN50" s="91">
        <v>600</v>
      </c>
      <c r="AO50" s="91">
        <v>600</v>
      </c>
      <c r="AP50" s="91">
        <v>660</v>
      </c>
      <c r="AQ50" s="91">
        <v>960</v>
      </c>
      <c r="AR50" s="92">
        <f t="shared" si="79"/>
        <v>4220</v>
      </c>
      <c r="AS50" s="23"/>
      <c r="AT50" s="91">
        <v>960</v>
      </c>
      <c r="AU50" s="91">
        <v>960</v>
      </c>
      <c r="AV50" s="91">
        <v>960</v>
      </c>
      <c r="AW50" s="91">
        <v>960</v>
      </c>
      <c r="AX50" s="317">
        <v>580</v>
      </c>
      <c r="AY50" s="317">
        <v>580</v>
      </c>
      <c r="AZ50" s="317">
        <v>554</v>
      </c>
      <c r="BA50" s="317">
        <v>554</v>
      </c>
      <c r="BB50" s="317">
        <v>580</v>
      </c>
      <c r="BC50" s="317">
        <v>686</v>
      </c>
      <c r="BD50" s="317">
        <v>739</v>
      </c>
      <c r="BE50" s="317">
        <v>1055</v>
      </c>
      <c r="BF50" s="91">
        <f t="shared" si="80"/>
        <v>9168</v>
      </c>
      <c r="BG50" s="93">
        <f t="shared" si="81"/>
        <v>1.172511848341232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54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J50" s="91"/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</row>
    <row r="51" spans="1:114" ht="15" customHeight="1" outlineLevel="1">
      <c r="A51" s="95"/>
      <c r="B51" s="216"/>
      <c r="C51" s="420"/>
      <c r="D51" s="421"/>
      <c r="E51" s="422"/>
      <c r="F51" s="422"/>
      <c r="G51" s="422"/>
      <c r="H51" s="422"/>
      <c r="I51" s="422"/>
      <c r="J51" s="422"/>
      <c r="K51" s="422"/>
      <c r="L51" s="422"/>
      <c r="M51" s="422"/>
      <c r="N51" s="422"/>
      <c r="O51" s="422"/>
      <c r="P51" s="423"/>
      <c r="Q51" s="424"/>
      <c r="R51" s="421"/>
      <c r="S51" s="425"/>
      <c r="T51" s="425"/>
      <c r="U51" s="425"/>
      <c r="V51" s="425"/>
      <c r="W51" s="425"/>
      <c r="X51" s="425"/>
      <c r="Y51" s="425"/>
      <c r="Z51" s="425"/>
      <c r="AA51" s="425"/>
      <c r="AB51" s="425"/>
      <c r="AC51" s="425"/>
      <c r="AD51" s="426"/>
      <c r="AE51" s="427"/>
      <c r="AF51" s="428">
        <v>0</v>
      </c>
      <c r="AG51" s="425">
        <v>0</v>
      </c>
      <c r="AH51" s="425">
        <v>0</v>
      </c>
      <c r="AI51" s="425">
        <v>0</v>
      </c>
      <c r="AJ51" s="425">
        <v>0</v>
      </c>
      <c r="AK51" s="425">
        <v>0</v>
      </c>
      <c r="AL51" s="425">
        <v>2500</v>
      </c>
      <c r="AM51" s="425">
        <v>2000</v>
      </c>
      <c r="AN51" s="425">
        <v>500</v>
      </c>
      <c r="AO51" s="425">
        <v>600</v>
      </c>
      <c r="AP51" s="425">
        <v>660</v>
      </c>
      <c r="AQ51" s="425">
        <v>960</v>
      </c>
      <c r="AR51" s="429">
        <f t="shared" si="79"/>
        <v>7220</v>
      </c>
      <c r="AS51" s="23"/>
      <c r="AT51" s="425">
        <v>1518</v>
      </c>
      <c r="AU51" s="425">
        <v>1518</v>
      </c>
      <c r="AV51" s="425">
        <v>1518</v>
      </c>
      <c r="AW51" s="425">
        <v>1518</v>
      </c>
      <c r="AX51" s="317">
        <v>1943</v>
      </c>
      <c r="AY51" s="317">
        <v>1943</v>
      </c>
      <c r="AZ51" s="317">
        <v>1854</v>
      </c>
      <c r="BA51" s="317">
        <v>1854</v>
      </c>
      <c r="BB51" s="317">
        <v>1943</v>
      </c>
      <c r="BC51" s="317">
        <v>2296</v>
      </c>
      <c r="BD51" s="317">
        <v>2472</v>
      </c>
      <c r="BE51" s="317">
        <v>3532</v>
      </c>
      <c r="BF51" s="425">
        <f t="shared" si="80"/>
        <v>23909</v>
      </c>
      <c r="BG51" s="93">
        <f t="shared" si="81"/>
        <v>2.3114958448753464</v>
      </c>
      <c r="BH51" s="425"/>
      <c r="BI51" s="425"/>
      <c r="BJ51" s="425"/>
      <c r="BK51" s="425"/>
      <c r="BL51" s="91"/>
      <c r="BM51" s="91"/>
      <c r="BN51" s="91"/>
      <c r="BO51" s="91"/>
      <c r="BP51" s="91"/>
      <c r="BQ51" s="91"/>
      <c r="BR51" s="91"/>
      <c r="BS51" s="91"/>
      <c r="BT51" s="91"/>
      <c r="BU51" s="54"/>
      <c r="BV51" s="425"/>
      <c r="BW51" s="425"/>
      <c r="BX51" s="425"/>
      <c r="BY51" s="425"/>
      <c r="BZ51" s="91"/>
      <c r="CA51" s="91"/>
      <c r="CB51" s="91"/>
      <c r="CC51" s="91"/>
      <c r="CD51" s="91"/>
      <c r="CE51" s="91"/>
      <c r="CF51" s="91"/>
      <c r="CG51" s="91"/>
      <c r="CH51" s="91"/>
      <c r="CJ51" s="425"/>
      <c r="CK51" s="425"/>
      <c r="CL51" s="425"/>
      <c r="CM51" s="425"/>
      <c r="CN51" s="91"/>
      <c r="CO51" s="91"/>
      <c r="CP51" s="91"/>
      <c r="CQ51" s="91"/>
      <c r="CR51" s="91"/>
      <c r="CS51" s="91"/>
      <c r="CT51" s="91"/>
      <c r="CU51" s="91"/>
      <c r="CV51" s="91"/>
      <c r="CX51" s="425"/>
      <c r="CY51" s="425"/>
      <c r="CZ51" s="425"/>
      <c r="DA51" s="425"/>
      <c r="DB51" s="91"/>
      <c r="DC51" s="91"/>
      <c r="DD51" s="91"/>
      <c r="DE51" s="91"/>
      <c r="DF51" s="91"/>
      <c r="DG51" s="91"/>
      <c r="DH51" s="91"/>
      <c r="DI51" s="91"/>
      <c r="DJ51" s="91"/>
    </row>
    <row r="52" spans="1:114" ht="15" customHeight="1" outlineLevel="1">
      <c r="A52" s="434"/>
      <c r="B52" s="1093"/>
      <c r="C52" s="1094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6"/>
      <c r="AF52" s="437">
        <v>0</v>
      </c>
      <c r="AG52" s="437">
        <v>0</v>
      </c>
      <c r="AH52" s="437">
        <v>0</v>
      </c>
      <c r="AI52" s="437">
        <v>0</v>
      </c>
      <c r="AJ52" s="437">
        <v>0</v>
      </c>
      <c r="AK52" s="437">
        <v>0</v>
      </c>
      <c r="AL52" s="437">
        <v>0</v>
      </c>
      <c r="AM52" s="437">
        <v>0</v>
      </c>
      <c r="AN52" s="437">
        <v>0</v>
      </c>
      <c r="AO52" s="437">
        <v>0</v>
      </c>
      <c r="AP52" s="437">
        <v>0</v>
      </c>
      <c r="AQ52" s="437">
        <v>0</v>
      </c>
      <c r="AR52" s="438">
        <f t="shared" si="79"/>
        <v>0</v>
      </c>
      <c r="AS52" s="322"/>
      <c r="AT52" s="437">
        <v>0</v>
      </c>
      <c r="AU52" s="437">
        <v>0</v>
      </c>
      <c r="AV52" s="437">
        <v>0</v>
      </c>
      <c r="AW52" s="437">
        <v>0</v>
      </c>
      <c r="AX52" s="439">
        <v>800</v>
      </c>
      <c r="AY52" s="317">
        <v>800</v>
      </c>
      <c r="AZ52" s="317">
        <v>800</v>
      </c>
      <c r="BA52" s="317">
        <v>1050</v>
      </c>
      <c r="BB52" s="317">
        <v>1100</v>
      </c>
      <c r="BC52" s="317">
        <v>1300</v>
      </c>
      <c r="BD52" s="317">
        <v>1400</v>
      </c>
      <c r="BE52" s="440">
        <v>2000</v>
      </c>
      <c r="BF52" s="437">
        <f t="shared" si="80"/>
        <v>9250</v>
      </c>
      <c r="BG52" s="325" t="e">
        <f t="shared" si="81"/>
        <v>#DIV/0!</v>
      </c>
      <c r="BH52" s="437"/>
      <c r="BI52" s="437"/>
      <c r="BJ52" s="437"/>
      <c r="BK52" s="437"/>
      <c r="BL52" s="439"/>
      <c r="BM52" s="317"/>
      <c r="BN52" s="317"/>
      <c r="BO52" s="317"/>
      <c r="BP52" s="317"/>
      <c r="BQ52" s="317"/>
      <c r="BR52" s="317"/>
      <c r="BS52" s="317"/>
      <c r="BT52" s="317"/>
      <c r="BU52" s="326"/>
      <c r="BV52" s="443"/>
      <c r="BW52" s="443"/>
      <c r="BX52" s="443"/>
      <c r="BY52" s="443"/>
      <c r="BZ52" s="444"/>
      <c r="CA52" s="317"/>
      <c r="CB52" s="317"/>
      <c r="CC52" s="317"/>
      <c r="CD52" s="317"/>
      <c r="CE52" s="317"/>
      <c r="CF52" s="317"/>
      <c r="CG52" s="317"/>
      <c r="CH52" s="317"/>
      <c r="CJ52" s="443"/>
      <c r="CK52" s="443"/>
      <c r="CL52" s="443"/>
      <c r="CM52" s="443"/>
      <c r="CN52" s="444"/>
      <c r="CO52" s="317"/>
      <c r="CP52" s="317"/>
      <c r="CQ52" s="317"/>
      <c r="CR52" s="317"/>
      <c r="CS52" s="317"/>
      <c r="CT52" s="317"/>
      <c r="CU52" s="317"/>
      <c r="CV52" s="317"/>
      <c r="CX52" s="443"/>
      <c r="CY52" s="443"/>
      <c r="CZ52" s="443"/>
      <c r="DA52" s="443"/>
      <c r="DB52" s="444"/>
      <c r="DC52" s="317"/>
      <c r="DD52" s="317"/>
      <c r="DE52" s="317"/>
      <c r="DF52" s="317"/>
      <c r="DG52" s="317"/>
      <c r="DH52" s="317"/>
      <c r="DI52" s="317"/>
      <c r="DJ52" s="317"/>
    </row>
    <row r="53" spans="1:114" ht="15" customHeight="1" outlineLevel="1">
      <c r="A53" s="430"/>
      <c r="B53" s="214"/>
      <c r="C53" s="431"/>
      <c r="D53" s="424"/>
      <c r="E53" s="424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32"/>
      <c r="T53" s="432"/>
      <c r="U53" s="432"/>
      <c r="V53" s="432"/>
      <c r="W53" s="432"/>
      <c r="X53" s="432"/>
      <c r="Y53" s="432"/>
      <c r="Z53" s="432"/>
      <c r="AA53" s="432"/>
      <c r="AB53" s="432"/>
      <c r="AC53" s="432"/>
      <c r="AD53" s="432"/>
      <c r="AE53" s="427"/>
      <c r="AF53" s="432"/>
      <c r="AG53" s="432"/>
      <c r="AH53" s="432"/>
      <c r="AI53" s="432"/>
      <c r="AJ53" s="432"/>
      <c r="AK53" s="432"/>
      <c r="AL53" s="432"/>
      <c r="AM53" s="432"/>
      <c r="AN53" s="432"/>
      <c r="AO53" s="432"/>
      <c r="AP53" s="432"/>
      <c r="AQ53" s="432"/>
      <c r="AR53" s="433"/>
      <c r="AS53" s="23"/>
      <c r="AT53" s="97"/>
      <c r="AU53" s="97"/>
      <c r="AV53" s="97"/>
      <c r="AW53" s="97"/>
      <c r="AX53" s="91"/>
      <c r="AY53" s="91"/>
      <c r="AZ53" s="91"/>
      <c r="BA53" s="91"/>
      <c r="BB53" s="91"/>
      <c r="BC53" s="91"/>
      <c r="BD53" s="91">
        <v>600</v>
      </c>
      <c r="BE53" s="315">
        <v>700</v>
      </c>
      <c r="BF53" s="437">
        <f t="shared" si="80"/>
        <v>1300</v>
      </c>
      <c r="BG53" s="93"/>
      <c r="BH53" s="442"/>
      <c r="BI53" s="442"/>
      <c r="BJ53" s="442"/>
      <c r="BK53" s="442"/>
      <c r="BL53" s="316"/>
      <c r="BM53" s="91"/>
      <c r="BN53" s="91"/>
      <c r="BO53" s="91"/>
      <c r="BP53" s="91"/>
      <c r="BQ53" s="91"/>
      <c r="BR53" s="91"/>
      <c r="BS53" s="91"/>
      <c r="BT53" s="91"/>
      <c r="BU53" s="54"/>
      <c r="BV53" s="442"/>
      <c r="BW53" s="442"/>
      <c r="BX53" s="442"/>
      <c r="BY53" s="442"/>
      <c r="BZ53" s="442"/>
      <c r="CA53" s="316"/>
      <c r="CB53" s="91">
        <v>60</v>
      </c>
      <c r="CC53" s="91"/>
      <c r="CD53" s="91"/>
      <c r="CE53" s="91"/>
      <c r="CF53" s="91"/>
      <c r="CG53" s="91"/>
      <c r="CH53" s="91"/>
      <c r="CJ53" s="708">
        <f>(CJ55-CJ54)/CJ54</f>
        <v>0.03</v>
      </c>
      <c r="CK53" s="708">
        <f t="shared" ref="CK53:CU53" si="86">(CK55-CK54)/CK54</f>
        <v>3.0000000000000079E-2</v>
      </c>
      <c r="CL53" s="708">
        <f t="shared" si="86"/>
        <v>3.0000000000000058E-2</v>
      </c>
      <c r="CM53" s="708">
        <f t="shared" si="86"/>
        <v>3.0000000000000034E-2</v>
      </c>
      <c r="CN53" s="708">
        <f t="shared" si="86"/>
        <v>3.000000000000011E-2</v>
      </c>
      <c r="CO53" s="708">
        <f t="shared" si="86"/>
        <v>3.000000000000012E-2</v>
      </c>
      <c r="CP53" s="708">
        <f t="shared" si="86"/>
        <v>3.0000000000000113E-2</v>
      </c>
      <c r="CQ53" s="708">
        <f t="shared" si="86"/>
        <v>3.0000000000000127E-2</v>
      </c>
      <c r="CR53" s="708">
        <f t="shared" si="86"/>
        <v>3.0000000000000068E-2</v>
      </c>
      <c r="CS53" s="708">
        <f t="shared" si="86"/>
        <v>2.9999999999999982E-2</v>
      </c>
      <c r="CT53" s="708">
        <f t="shared" si="86"/>
        <v>2.9999999999999961E-2</v>
      </c>
      <c r="CU53" s="708">
        <f t="shared" si="86"/>
        <v>0.03</v>
      </c>
      <c r="CV53" s="91"/>
      <c r="CX53" s="442"/>
      <c r="CY53" s="442"/>
      <c r="CZ53" s="442"/>
      <c r="DA53" s="442"/>
      <c r="DB53" s="442"/>
      <c r="DC53" s="316"/>
      <c r="DD53" s="91"/>
      <c r="DE53" s="91"/>
      <c r="DF53" s="91"/>
      <c r="DG53" s="91"/>
      <c r="DH53" s="91"/>
      <c r="DI53" s="91"/>
      <c r="DJ53" s="91"/>
    </row>
    <row r="54" spans="1:114" ht="15" customHeight="1" outlineLevel="1">
      <c r="A54" s="95"/>
      <c r="B54" s="216" t="s">
        <v>71</v>
      </c>
      <c r="C54" s="211"/>
      <c r="D54" s="313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314">
        <f t="shared" ref="P54:P55" si="87">SUM(D54:O54)</f>
        <v>0</v>
      </c>
      <c r="Q54" s="90"/>
      <c r="R54" s="313">
        <v>350</v>
      </c>
      <c r="S54" s="91">
        <v>350</v>
      </c>
      <c r="T54" s="91">
        <v>450</v>
      </c>
      <c r="U54" s="91">
        <v>800</v>
      </c>
      <c r="V54" s="91">
        <v>531</v>
      </c>
      <c r="W54" s="91">
        <v>750</v>
      </c>
      <c r="X54" s="91">
        <v>650</v>
      </c>
      <c r="Y54" s="91">
        <v>750</v>
      </c>
      <c r="Z54" s="91">
        <v>900</v>
      </c>
      <c r="AA54" s="91">
        <v>1000</v>
      </c>
      <c r="AB54" s="91">
        <v>1200</v>
      </c>
      <c r="AC54" s="91">
        <v>1500</v>
      </c>
      <c r="AD54" s="315">
        <f t="shared" ref="AD54:AD55" si="88">SUM(R54:AC54)</f>
        <v>9231</v>
      </c>
      <c r="AE54" s="23"/>
      <c r="AF54" s="316">
        <v>1500</v>
      </c>
      <c r="AG54" s="91">
        <v>800</v>
      </c>
      <c r="AH54" s="91">
        <v>800</v>
      </c>
      <c r="AI54" s="91">
        <v>1820</v>
      </c>
      <c r="AJ54" s="91">
        <v>1630</v>
      </c>
      <c r="AK54" s="91">
        <v>1360</v>
      </c>
      <c r="AL54" s="91">
        <v>1000</v>
      </c>
      <c r="AM54" s="91">
        <v>1700</v>
      </c>
      <c r="AN54" s="91">
        <v>1700</v>
      </c>
      <c r="AO54" s="91">
        <v>1700</v>
      </c>
      <c r="AP54" s="91">
        <v>1870</v>
      </c>
      <c r="AQ54" s="91">
        <v>2720</v>
      </c>
      <c r="AR54" s="92">
        <f t="shared" ref="AR54:AR55" si="89">SUM(AF54:AQ54)</f>
        <v>18600</v>
      </c>
      <c r="AS54" s="23"/>
      <c r="AT54" s="91">
        <v>2053</v>
      </c>
      <c r="AU54" s="91">
        <v>2053</v>
      </c>
      <c r="AV54" s="91">
        <v>2053</v>
      </c>
      <c r="AW54" s="91">
        <v>2053</v>
      </c>
      <c r="AX54" s="91">
        <v>2807</v>
      </c>
      <c r="AY54" s="91">
        <v>2807</v>
      </c>
      <c r="AZ54" s="91">
        <v>2680</v>
      </c>
      <c r="BA54" s="91">
        <v>2680</v>
      </c>
      <c r="BB54" s="91">
        <v>2807</v>
      </c>
      <c r="BC54" s="91">
        <v>3318</v>
      </c>
      <c r="BD54" s="91">
        <v>5870</v>
      </c>
      <c r="BE54" s="91">
        <v>5104</v>
      </c>
      <c r="BF54" s="441">
        <f t="shared" si="80"/>
        <v>36285</v>
      </c>
      <c r="BG54" s="93">
        <f>BF54/AR54-1</f>
        <v>0.95080645161290334</v>
      </c>
      <c r="BH54" s="441"/>
      <c r="BI54" s="441"/>
      <c r="BJ54" s="441"/>
      <c r="BK54" s="441"/>
      <c r="BL54" s="91"/>
      <c r="BM54" s="91"/>
      <c r="BN54" s="91"/>
      <c r="BO54" s="91"/>
      <c r="BP54" s="91"/>
      <c r="BQ54" s="91"/>
      <c r="BR54" s="91"/>
      <c r="BS54" s="91"/>
      <c r="BT54" s="91">
        <f>SUM(BH54:BS54)</f>
        <v>0</v>
      </c>
      <c r="BU54" s="54"/>
      <c r="BV54" s="441"/>
      <c r="BW54" s="441"/>
      <c r="BX54" s="441"/>
      <c r="BY54" s="441"/>
      <c r="BZ54" s="441"/>
      <c r="CA54" s="91"/>
      <c r="CB54" s="91"/>
      <c r="CC54" s="91"/>
      <c r="CD54" s="91"/>
      <c r="CE54" s="91"/>
      <c r="CF54" s="91"/>
      <c r="CG54" s="91"/>
      <c r="CH54" s="91"/>
      <c r="CJ54" s="441">
        <f>BV64</f>
        <v>38900</v>
      </c>
      <c r="CK54" s="441">
        <f t="shared" ref="CK54:CU54" si="90">BW64</f>
        <v>31376</v>
      </c>
      <c r="CL54" s="441">
        <f t="shared" si="90"/>
        <v>29886</v>
      </c>
      <c r="CM54" s="441">
        <f t="shared" si="90"/>
        <v>30671</v>
      </c>
      <c r="CN54" s="441">
        <f t="shared" si="90"/>
        <v>34553</v>
      </c>
      <c r="CO54" s="441">
        <f t="shared" si="90"/>
        <v>36515</v>
      </c>
      <c r="CP54" s="441">
        <f t="shared" si="90"/>
        <v>38915</v>
      </c>
      <c r="CQ54" s="441">
        <f t="shared" si="90"/>
        <v>34615</v>
      </c>
      <c r="CR54" s="441">
        <f t="shared" si="90"/>
        <v>29617</v>
      </c>
      <c r="CS54" s="441">
        <f t="shared" si="90"/>
        <v>34538</v>
      </c>
      <c r="CT54" s="441">
        <f t="shared" si="90"/>
        <v>45914</v>
      </c>
      <c r="CU54" s="441">
        <f t="shared" si="90"/>
        <v>60875</v>
      </c>
      <c r="CV54" s="91"/>
      <c r="CX54" s="441"/>
      <c r="CY54" s="441"/>
      <c r="CZ54" s="441"/>
      <c r="DA54" s="441"/>
      <c r="DB54" s="441"/>
      <c r="DC54" s="91"/>
      <c r="DD54" s="91"/>
      <c r="DE54" s="91"/>
      <c r="DF54" s="91"/>
      <c r="DG54" s="91"/>
      <c r="DH54" s="91"/>
      <c r="DI54" s="91"/>
      <c r="DJ54" s="91"/>
    </row>
    <row r="55" spans="1:114" ht="15.75">
      <c r="A55" s="55"/>
      <c r="B55" s="56" t="s">
        <v>72</v>
      </c>
      <c r="C55" s="280"/>
      <c r="D55" s="288">
        <f t="shared" ref="D55:O55" si="91">SUM(D34:D54)</f>
        <v>0</v>
      </c>
      <c r="E55" s="57">
        <f t="shared" si="91"/>
        <v>0</v>
      </c>
      <c r="F55" s="57">
        <f t="shared" si="91"/>
        <v>0</v>
      </c>
      <c r="G55" s="57">
        <f t="shared" si="91"/>
        <v>0</v>
      </c>
      <c r="H55" s="57">
        <f t="shared" si="91"/>
        <v>0</v>
      </c>
      <c r="I55" s="57">
        <f t="shared" si="91"/>
        <v>0</v>
      </c>
      <c r="J55" s="57">
        <f t="shared" si="91"/>
        <v>0</v>
      </c>
      <c r="K55" s="57">
        <f t="shared" si="91"/>
        <v>0</v>
      </c>
      <c r="L55" s="57">
        <f t="shared" si="91"/>
        <v>0</v>
      </c>
      <c r="M55" s="57">
        <f t="shared" si="91"/>
        <v>0</v>
      </c>
      <c r="N55" s="57">
        <f t="shared" si="91"/>
        <v>0</v>
      </c>
      <c r="O55" s="57">
        <f t="shared" si="91"/>
        <v>0</v>
      </c>
      <c r="P55" s="289">
        <f t="shared" si="87"/>
        <v>0</v>
      </c>
      <c r="Q55" s="39"/>
      <c r="R55" s="288">
        <f t="shared" ref="R55:AC55" si="92">SUM(R34:R54)</f>
        <v>20557.543859649122</v>
      </c>
      <c r="S55" s="58">
        <f t="shared" si="92"/>
        <v>20512.543859649122</v>
      </c>
      <c r="T55" s="58">
        <f t="shared" si="92"/>
        <v>13699.771929824561</v>
      </c>
      <c r="U55" s="58">
        <f t="shared" si="92"/>
        <v>912.5</v>
      </c>
      <c r="V55" s="58">
        <f t="shared" si="92"/>
        <v>16851</v>
      </c>
      <c r="W55" s="290">
        <f t="shared" si="92"/>
        <v>13700</v>
      </c>
      <c r="X55" s="290">
        <f t="shared" si="92"/>
        <v>26050</v>
      </c>
      <c r="Y55" s="290">
        <f t="shared" si="92"/>
        <v>27750</v>
      </c>
      <c r="Z55" s="290">
        <f t="shared" si="92"/>
        <v>31100</v>
      </c>
      <c r="AA55" s="290">
        <f t="shared" si="92"/>
        <v>32100</v>
      </c>
      <c r="AB55" s="290">
        <f t="shared" si="92"/>
        <v>37500</v>
      </c>
      <c r="AC55" s="290">
        <f t="shared" si="92"/>
        <v>45300</v>
      </c>
      <c r="AD55" s="291">
        <f t="shared" si="88"/>
        <v>286033.35964912281</v>
      </c>
      <c r="AE55" s="59"/>
      <c r="AF55" s="292">
        <f>SUM(AF34:AF54)</f>
        <v>38500</v>
      </c>
      <c r="AG55" s="58">
        <f t="shared" ref="AG55:AQ55" si="93">SUM(AG34:AG54)</f>
        <v>22400</v>
      </c>
      <c r="AH55" s="58">
        <f t="shared" si="93"/>
        <v>10671</v>
      </c>
      <c r="AI55" s="58">
        <f t="shared" si="93"/>
        <v>16097</v>
      </c>
      <c r="AJ55" s="58">
        <f t="shared" si="93"/>
        <v>30278</v>
      </c>
      <c r="AK55" s="58">
        <f t="shared" si="93"/>
        <v>28560</v>
      </c>
      <c r="AL55" s="58">
        <f t="shared" si="93"/>
        <v>41700</v>
      </c>
      <c r="AM55" s="58">
        <f t="shared" si="93"/>
        <v>38700</v>
      </c>
      <c r="AN55" s="58">
        <f t="shared" si="93"/>
        <v>37300</v>
      </c>
      <c r="AO55" s="58">
        <f t="shared" si="93"/>
        <v>37400</v>
      </c>
      <c r="AP55" s="58">
        <f t="shared" si="93"/>
        <v>40640</v>
      </c>
      <c r="AQ55" s="58">
        <f t="shared" si="93"/>
        <v>54440</v>
      </c>
      <c r="AR55" s="58">
        <f t="shared" si="89"/>
        <v>396686</v>
      </c>
      <c r="AS55" s="59"/>
      <c r="AT55" s="58">
        <f t="shared" ref="AT55:BE55" si="94">SUM(AT34:AT54)</f>
        <v>36153</v>
      </c>
      <c r="AU55" s="58">
        <f>SUM(AU34:AU54)</f>
        <v>35289</v>
      </c>
      <c r="AV55" s="58">
        <f t="shared" si="94"/>
        <v>35872</v>
      </c>
      <c r="AW55" s="58">
        <f t="shared" si="94"/>
        <v>38031</v>
      </c>
      <c r="AX55" s="58">
        <f t="shared" si="94"/>
        <v>33566</v>
      </c>
      <c r="AY55" s="58">
        <f t="shared" si="94"/>
        <v>33566</v>
      </c>
      <c r="AZ55" s="58">
        <f t="shared" si="94"/>
        <v>30896</v>
      </c>
      <c r="BA55" s="58">
        <f t="shared" si="94"/>
        <v>31146</v>
      </c>
      <c r="BB55" s="58">
        <f t="shared" si="94"/>
        <v>32630</v>
      </c>
      <c r="BC55" s="58">
        <f t="shared" si="94"/>
        <v>38562</v>
      </c>
      <c r="BD55" s="58">
        <f t="shared" si="94"/>
        <v>41345</v>
      </c>
      <c r="BE55" s="58">
        <f t="shared" si="94"/>
        <v>49263</v>
      </c>
      <c r="BF55" s="58">
        <f>SUM(AT55:BE55)</f>
        <v>436319</v>
      </c>
      <c r="BG55" s="59">
        <f>BF55-AR55</f>
        <v>39633</v>
      </c>
      <c r="BH55" s="58">
        <v>36153</v>
      </c>
      <c r="BI55" s="58">
        <v>35289</v>
      </c>
      <c r="BJ55" s="58">
        <v>35872</v>
      </c>
      <c r="BK55" s="58">
        <v>38031</v>
      </c>
      <c r="BL55" s="58">
        <v>38570</v>
      </c>
      <c r="BM55" s="58">
        <v>39227</v>
      </c>
      <c r="BN55" s="58">
        <v>41128</v>
      </c>
      <c r="BO55" s="58">
        <v>38191</v>
      </c>
      <c r="BP55" s="58">
        <v>38191</v>
      </c>
      <c r="BQ55" s="58">
        <v>40225</v>
      </c>
      <c r="BR55" s="58">
        <v>43272</v>
      </c>
      <c r="BS55" s="58">
        <v>60327</v>
      </c>
      <c r="BT55" s="58">
        <f t="shared" ref="BT55:BT59" si="95">SUM(BH55:BS55)</f>
        <v>484476</v>
      </c>
      <c r="BU55" s="60"/>
      <c r="BV55" s="58">
        <f>SUM(BV34:BV51)</f>
        <v>35797.912472643162</v>
      </c>
      <c r="BW55" s="58">
        <f t="shared" ref="BW55:CG55" si="96">SUM(BW34:BW51)</f>
        <v>27268.538792847521</v>
      </c>
      <c r="BX55" s="58">
        <f t="shared" si="96"/>
        <v>34357.668832234456</v>
      </c>
      <c r="BY55" s="58">
        <f t="shared" si="96"/>
        <v>29626.958292847525</v>
      </c>
      <c r="BZ55" s="58">
        <f t="shared" si="96"/>
        <v>34139.121332234456</v>
      </c>
      <c r="CA55" s="58">
        <f t="shared" si="96"/>
        <v>39503.881972643161</v>
      </c>
      <c r="CB55" s="58">
        <f t="shared" si="96"/>
        <v>45728.836911008315</v>
      </c>
      <c r="CC55" s="58">
        <f t="shared" si="96"/>
        <v>32260.226972643166</v>
      </c>
      <c r="CD55" s="58">
        <f t="shared" si="96"/>
        <v>33331.522972643164</v>
      </c>
      <c r="CE55" s="58">
        <f t="shared" si="96"/>
        <v>35213.881472643166</v>
      </c>
      <c r="CF55" s="58">
        <f t="shared" si="96"/>
        <v>46168.878068556034</v>
      </c>
      <c r="CG55" s="58">
        <f t="shared" si="96"/>
        <v>57905.502691825735</v>
      </c>
      <c r="CH55" s="58">
        <f>SUM(BV55:CG55)</f>
        <v>451302.93078476982</v>
      </c>
      <c r="CI55" s="395">
        <f>(CH55-BT64)/BT64</f>
        <v>5.1833718555945915E-2</v>
      </c>
      <c r="CJ55" s="58">
        <f>BV64*1.03</f>
        <v>40067</v>
      </c>
      <c r="CK55" s="58">
        <f t="shared" ref="CK55:CU55" si="97">BW64*1.03</f>
        <v>32317.280000000002</v>
      </c>
      <c r="CL55" s="58">
        <f t="shared" si="97"/>
        <v>30782.58</v>
      </c>
      <c r="CM55" s="58">
        <f t="shared" si="97"/>
        <v>31591.13</v>
      </c>
      <c r="CN55" s="58">
        <f t="shared" si="97"/>
        <v>35589.590000000004</v>
      </c>
      <c r="CO55" s="58">
        <f t="shared" si="97"/>
        <v>37610.450000000004</v>
      </c>
      <c r="CP55" s="58">
        <f t="shared" si="97"/>
        <v>40082.450000000004</v>
      </c>
      <c r="CQ55" s="58">
        <f t="shared" si="97"/>
        <v>35653.450000000004</v>
      </c>
      <c r="CR55" s="58">
        <f t="shared" si="97"/>
        <v>30505.510000000002</v>
      </c>
      <c r="CS55" s="58">
        <f t="shared" si="97"/>
        <v>35574.14</v>
      </c>
      <c r="CT55" s="58">
        <f t="shared" si="97"/>
        <v>47291.42</v>
      </c>
      <c r="CU55" s="58">
        <f t="shared" si="97"/>
        <v>62701.25</v>
      </c>
      <c r="CV55" s="58">
        <f>SUM(CJ55:CU55)</f>
        <v>459766.25</v>
      </c>
      <c r="CW55" s="395">
        <f>(CV55-CH64)/CH64</f>
        <v>0.03</v>
      </c>
      <c r="CX55" s="58">
        <v>35797.912472643162</v>
      </c>
      <c r="CY55" s="58">
        <v>27268.538792847521</v>
      </c>
      <c r="CZ55" s="58">
        <v>34357.668832234456</v>
      </c>
      <c r="DA55" s="58">
        <v>29626.958292847525</v>
      </c>
      <c r="DB55" s="58">
        <v>34139.121332234456</v>
      </c>
      <c r="DC55" s="58">
        <v>39503.881972643161</v>
      </c>
      <c r="DD55" s="58">
        <v>45728.836911008315</v>
      </c>
      <c r="DE55" s="58">
        <v>32260.226972643166</v>
      </c>
      <c r="DF55" s="58">
        <v>33331.522972643164</v>
      </c>
      <c r="DG55" s="58">
        <v>35213.881472643166</v>
      </c>
      <c r="DH55" s="58">
        <v>46168.878068556034</v>
      </c>
      <c r="DI55" s="58">
        <v>57905.502691825735</v>
      </c>
      <c r="DJ55" s="58">
        <v>451302.93078476982</v>
      </c>
    </row>
    <row r="56" spans="1:114">
      <c r="A56" s="99"/>
      <c r="B56" s="451" t="s">
        <v>73</v>
      </c>
      <c r="C56" s="328"/>
      <c r="D56" s="301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302"/>
      <c r="Q56" s="74"/>
      <c r="R56" s="301"/>
      <c r="S56" s="69"/>
      <c r="T56" s="69"/>
      <c r="U56" s="69"/>
      <c r="V56" s="303"/>
      <c r="W56" s="304"/>
      <c r="X56" s="304"/>
      <c r="Y56" s="304"/>
      <c r="Z56" s="304"/>
      <c r="AA56" s="304"/>
      <c r="AB56" s="304"/>
      <c r="AC56" s="75"/>
      <c r="AD56" s="76"/>
      <c r="AE56" s="77"/>
      <c r="AF56" s="305"/>
      <c r="AG56" s="69"/>
      <c r="AH56" s="69"/>
      <c r="AI56" s="69"/>
      <c r="AJ56" s="303"/>
      <c r="AK56" s="303"/>
      <c r="AL56" s="303"/>
      <c r="AM56" s="303"/>
      <c r="AN56" s="69"/>
      <c r="AO56" s="69"/>
      <c r="AP56" s="69"/>
      <c r="AQ56" s="69"/>
      <c r="AR56" s="306"/>
      <c r="AS56" s="77"/>
      <c r="AT56" s="69"/>
      <c r="AU56" s="69"/>
      <c r="AV56" s="69"/>
      <c r="AW56" s="69"/>
      <c r="AX56" s="69"/>
      <c r="AY56" s="69">
        <v>15000</v>
      </c>
      <c r="AZ56" s="69">
        <v>15000</v>
      </c>
      <c r="BA56" s="69">
        <f t="shared" ref="BA56:BB56" si="98">BA55*70%</f>
        <v>21802.199999999997</v>
      </c>
      <c r="BB56" s="69">
        <f t="shared" si="98"/>
        <v>22841</v>
      </c>
      <c r="BC56" s="69">
        <v>35000</v>
      </c>
      <c r="BD56" s="69">
        <v>35000</v>
      </c>
      <c r="BE56" s="69">
        <v>42000</v>
      </c>
      <c r="BF56" s="69">
        <f t="shared" si="80"/>
        <v>186643.20000000001</v>
      </c>
      <c r="BG56" s="77"/>
      <c r="BH56" s="69">
        <f t="shared" ref="BH56:BM56" si="99">BH55*0.8</f>
        <v>28922.400000000001</v>
      </c>
      <c r="BI56" s="69">
        <f t="shared" si="99"/>
        <v>28231.200000000001</v>
      </c>
      <c r="BJ56" s="69">
        <f t="shared" si="99"/>
        <v>28697.600000000002</v>
      </c>
      <c r="BK56" s="69">
        <f t="shared" si="99"/>
        <v>30424.800000000003</v>
      </c>
      <c r="BL56" s="69">
        <f t="shared" si="99"/>
        <v>30856</v>
      </c>
      <c r="BM56" s="69">
        <f t="shared" si="99"/>
        <v>31381.600000000002</v>
      </c>
      <c r="BN56" s="69">
        <f>BN55*0.85</f>
        <v>34958.799999999996</v>
      </c>
      <c r="BO56" s="69">
        <v>29000</v>
      </c>
      <c r="BP56" s="69">
        <v>40223</v>
      </c>
      <c r="BQ56" s="69">
        <v>36735</v>
      </c>
      <c r="BR56" s="69">
        <v>36933</v>
      </c>
      <c r="BS56" s="69">
        <v>52283</v>
      </c>
      <c r="BT56" s="69">
        <f t="shared" si="95"/>
        <v>408646.40000000002</v>
      </c>
      <c r="BU56" s="28"/>
      <c r="BV56" s="69">
        <v>32000</v>
      </c>
      <c r="BW56" s="69">
        <v>32000</v>
      </c>
      <c r="BX56" s="69">
        <v>37000</v>
      </c>
      <c r="BY56" s="69">
        <v>32000</v>
      </c>
      <c r="BZ56" s="69">
        <v>35000</v>
      </c>
      <c r="CA56" s="69">
        <v>35000</v>
      </c>
      <c r="CB56" s="69">
        <v>35000</v>
      </c>
      <c r="CC56" s="69">
        <f>CC55*1</f>
        <v>32260.226972643166</v>
      </c>
      <c r="CD56" s="69">
        <f>CD55*1</f>
        <v>33331.522972643164</v>
      </c>
      <c r="CE56" s="69">
        <f>CE55</f>
        <v>35213.881472643166</v>
      </c>
      <c r="CF56" s="69">
        <v>40000</v>
      </c>
      <c r="CG56" s="69">
        <v>60000</v>
      </c>
      <c r="CH56" s="69"/>
      <c r="CI56" s="395"/>
      <c r="CJ56" s="69">
        <v>32000</v>
      </c>
      <c r="CK56" s="69">
        <v>30000</v>
      </c>
      <c r="CL56" s="69">
        <v>31500</v>
      </c>
      <c r="CM56" s="69">
        <v>32000</v>
      </c>
      <c r="CN56" s="69">
        <v>35000</v>
      </c>
      <c r="CO56" s="69">
        <v>35000</v>
      </c>
      <c r="CP56" s="69">
        <v>36000</v>
      </c>
      <c r="CQ56" s="69">
        <v>35000</v>
      </c>
      <c r="CR56" s="69">
        <v>35000</v>
      </c>
      <c r="CS56" s="69">
        <v>40000</v>
      </c>
      <c r="CT56" s="69">
        <v>51000</v>
      </c>
      <c r="CU56" s="69">
        <v>60000</v>
      </c>
      <c r="CV56" s="69">
        <f>SUM(CJ56:CU56)</f>
        <v>452500</v>
      </c>
      <c r="CW56" s="395"/>
      <c r="CX56" s="69">
        <v>28638.329978114532</v>
      </c>
      <c r="CY56" s="69">
        <v>21814.831034278017</v>
      </c>
      <c r="CZ56" s="69">
        <v>27486.135065787566</v>
      </c>
      <c r="DA56" s="69">
        <v>23701.566634278021</v>
      </c>
      <c r="DB56" s="69">
        <v>27311.297065787567</v>
      </c>
      <c r="DC56" s="69">
        <v>31603.10557811453</v>
      </c>
      <c r="DD56" s="69">
        <v>36583.069528806656</v>
      </c>
      <c r="DE56" s="69">
        <v>25808.181578114534</v>
      </c>
      <c r="DF56" s="69">
        <v>26665.218378114532</v>
      </c>
      <c r="DG56" s="69">
        <v>28171.105178114536</v>
      </c>
      <c r="DH56" s="69">
        <v>36935.102454844826</v>
      </c>
      <c r="DI56" s="69">
        <v>46324.402153460593</v>
      </c>
      <c r="DJ56" s="69"/>
    </row>
    <row r="57" spans="1:114" ht="14.25" customHeight="1">
      <c r="A57" s="55" t="s">
        <v>74</v>
      </c>
      <c r="B57" s="56"/>
      <c r="C57" s="280"/>
      <c r="D57" s="28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289"/>
      <c r="Q57" s="39"/>
      <c r="R57" s="288"/>
      <c r="S57" s="58"/>
      <c r="T57" s="58"/>
      <c r="U57" s="58"/>
      <c r="V57" s="58"/>
      <c r="W57" s="290"/>
      <c r="X57" s="290"/>
      <c r="Y57" s="290"/>
      <c r="Z57" s="290"/>
      <c r="AA57" s="290"/>
      <c r="AB57" s="290"/>
      <c r="AC57" s="290"/>
      <c r="AD57" s="291"/>
      <c r="AE57" s="59"/>
      <c r="AF57" s="292"/>
      <c r="AG57" s="58"/>
      <c r="AH57" s="58"/>
      <c r="AI57" s="58"/>
      <c r="AJ57" s="58"/>
      <c r="AK57" s="58"/>
      <c r="AL57" s="58">
        <f>AL55/AVERAGE($AF$55:$AQ$55)</f>
        <v>1.2614511225503295</v>
      </c>
      <c r="AM57" s="58"/>
      <c r="AN57" s="58"/>
      <c r="AO57" s="58"/>
      <c r="AP57" s="58">
        <f t="shared" ref="AP57:AQ57" si="100">AP55/AVERAGE($AF$55:$AQ$55)</f>
        <v>1.2293854585238704</v>
      </c>
      <c r="AQ57" s="58">
        <f t="shared" si="100"/>
        <v>1.6468441033966412</v>
      </c>
      <c r="AR57" s="58"/>
      <c r="AS57" s="59"/>
      <c r="AT57" s="58">
        <v>109190</v>
      </c>
      <c r="AU57" s="58">
        <v>153667</v>
      </c>
      <c r="AV57" s="58">
        <v>178778</v>
      </c>
      <c r="AW57" s="58">
        <v>151970</v>
      </c>
      <c r="AX57" s="58">
        <v>142416</v>
      </c>
      <c r="AY57" s="58">
        <v>177335</v>
      </c>
      <c r="AZ57" s="58">
        <v>152230</v>
      </c>
      <c r="BA57" s="58">
        <v>245527</v>
      </c>
      <c r="BB57" s="58">
        <f>5261504/27</f>
        <v>194870.51851851851</v>
      </c>
      <c r="BC57" s="58">
        <f>5784000/27</f>
        <v>214222.22222222222</v>
      </c>
      <c r="BD57" s="58">
        <f>3224000/27</f>
        <v>119407.4074074074</v>
      </c>
      <c r="BE57" s="58">
        <f>909800/27</f>
        <v>33696.296296296299</v>
      </c>
      <c r="BF57" s="58">
        <f t="shared" si="80"/>
        <v>1873309.4444444445</v>
      </c>
      <c r="BG57" s="59"/>
      <c r="BH57" s="58">
        <v>156208</v>
      </c>
      <c r="BI57" s="58">
        <v>147340</v>
      </c>
      <c r="BJ57" s="58">
        <v>166759</v>
      </c>
      <c r="BK57" s="58">
        <v>152352</v>
      </c>
      <c r="BL57" s="58">
        <v>128446</v>
      </c>
      <c r="BM57" s="58">
        <v>126790</v>
      </c>
      <c r="BN57" s="58">
        <v>173761</v>
      </c>
      <c r="BO57" s="58">
        <f>144510.599073001+BO56</f>
        <v>173510.59907300101</v>
      </c>
      <c r="BP57" s="58">
        <f>162574.422556972+BP56</f>
        <v>202797.42255697199</v>
      </c>
      <c r="BQ57" s="58">
        <f>166187.186558517+BQ56</f>
        <v>202922.18655851699</v>
      </c>
      <c r="BR57" s="58">
        <f>BQ31+BR27*0.6</f>
        <v>232502.36</v>
      </c>
      <c r="BS57" s="58">
        <f>BR27*0.4+BS27*0.5</f>
        <v>116391.04000000001</v>
      </c>
      <c r="BT57" s="58">
        <f t="shared" si="95"/>
        <v>1979779.6081884899</v>
      </c>
      <c r="BU57" s="60"/>
      <c r="BV57" s="58">
        <f t="shared" ref="BV57:CC57" si="101">BV31+BV56</f>
        <v>162757.867486095</v>
      </c>
      <c r="BW57" s="58">
        <f t="shared" si="101"/>
        <v>157566.83045180296</v>
      </c>
      <c r="BX57" s="58">
        <f t="shared" si="101"/>
        <v>197961.53846153844</v>
      </c>
      <c r="BY57" s="58">
        <f t="shared" si="101"/>
        <v>160769.23076923078</v>
      </c>
      <c r="BZ57" s="58">
        <f t="shared" si="101"/>
        <v>153232.39341785663</v>
      </c>
      <c r="CA57" s="58">
        <f t="shared" si="101"/>
        <v>143192.12910096842</v>
      </c>
      <c r="CB57" s="58">
        <f t="shared" si="101"/>
        <v>178736.21444761599</v>
      </c>
      <c r="CC57" s="58">
        <f t="shared" si="101"/>
        <v>202914.10079748323</v>
      </c>
      <c r="CD57" s="58">
        <f>CD31+CD56</f>
        <v>214499.61628422557</v>
      </c>
      <c r="CE57" s="58">
        <f>CE31+CE56</f>
        <v>217682.99793575107</v>
      </c>
      <c r="CF57" s="58">
        <f>CF31+CF56</f>
        <v>173115.84223630186</v>
      </c>
      <c r="CG57" s="58">
        <f t="shared" ref="CG57" si="102">BS57</f>
        <v>116391.04000000001</v>
      </c>
      <c r="CH57" s="58"/>
      <c r="CJ57" s="58">
        <f>CJ31+CJ56</f>
        <v>184850.74</v>
      </c>
      <c r="CK57" s="58">
        <f t="shared" ref="CK57:CU57" si="103">CK31+CK56</f>
        <v>171882.50999999998</v>
      </c>
      <c r="CL57" s="58">
        <f t="shared" si="103"/>
        <v>191983.4</v>
      </c>
      <c r="CM57" s="58">
        <f t="shared" si="103"/>
        <v>165270.47999999998</v>
      </c>
      <c r="CN57" s="58">
        <f t="shared" si="103"/>
        <v>157242.75</v>
      </c>
      <c r="CO57" s="58">
        <f t="shared" si="103"/>
        <v>123621.68</v>
      </c>
      <c r="CP57" s="58">
        <f t="shared" si="103"/>
        <v>231213.55</v>
      </c>
      <c r="CQ57" s="58">
        <f t="shared" si="103"/>
        <v>211318.72999999998</v>
      </c>
      <c r="CR57" s="58">
        <f t="shared" si="103"/>
        <v>260760.84999999998</v>
      </c>
      <c r="CS57" s="58">
        <f t="shared" si="103"/>
        <v>236930.72</v>
      </c>
      <c r="CT57" s="58">
        <f t="shared" si="103"/>
        <v>174556.51</v>
      </c>
      <c r="CU57" s="58">
        <f t="shared" si="103"/>
        <v>107560.73</v>
      </c>
      <c r="CV57" s="58">
        <f>SUM(CJ57:CU57)</f>
        <v>2217192.65</v>
      </c>
      <c r="CX57" s="58">
        <v>98000</v>
      </c>
      <c r="CY57" s="58">
        <v>147381.66148608096</v>
      </c>
      <c r="CZ57" s="58">
        <v>188447.673527326</v>
      </c>
      <c r="DA57" s="58">
        <v>152352</v>
      </c>
      <c r="DB57" s="58">
        <v>128446</v>
      </c>
      <c r="DC57" s="58">
        <v>126790</v>
      </c>
      <c r="DD57" s="58">
        <v>173761</v>
      </c>
      <c r="DE57" s="58">
        <v>173510.59907300101</v>
      </c>
      <c r="DF57" s="58">
        <v>202797.42255697199</v>
      </c>
      <c r="DG57" s="58">
        <v>202922.18655851699</v>
      </c>
      <c r="DH57" s="58">
        <v>232502.36</v>
      </c>
      <c r="DI57" s="58">
        <v>116391.04000000001</v>
      </c>
      <c r="DJ57" s="58"/>
    </row>
    <row r="58" spans="1:114">
      <c r="A58" s="101" t="s">
        <v>75</v>
      </c>
      <c r="B58" s="102"/>
      <c r="C58" s="260"/>
      <c r="D58" s="277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262"/>
      <c r="Q58" s="15"/>
      <c r="R58" s="277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263"/>
      <c r="AE58" s="16"/>
      <c r="AF58" s="261">
        <v>133791</v>
      </c>
      <c r="AG58" s="14">
        <v>166459</v>
      </c>
      <c r="AH58" s="14">
        <v>149450</v>
      </c>
      <c r="AI58" s="14">
        <v>151073</v>
      </c>
      <c r="AJ58" s="14">
        <v>192944</v>
      </c>
      <c r="AK58" s="14">
        <v>166139</v>
      </c>
      <c r="AL58" s="14">
        <v>151874</v>
      </c>
      <c r="AM58" s="14">
        <v>157771</v>
      </c>
      <c r="AN58" s="14">
        <v>200312</v>
      </c>
      <c r="AO58" s="14">
        <v>202691</v>
      </c>
      <c r="AP58" s="14">
        <v>207768</v>
      </c>
      <c r="AQ58" s="14">
        <v>113286</v>
      </c>
      <c r="AR58" s="14">
        <f>SUM(AF58:AK58)</f>
        <v>959856</v>
      </c>
      <c r="AS58" s="17"/>
      <c r="AT58" s="14">
        <v>89680</v>
      </c>
      <c r="AU58" s="14">
        <v>128308</v>
      </c>
      <c r="AV58" s="14">
        <v>144871</v>
      </c>
      <c r="AW58" s="32">
        <v>161772</v>
      </c>
      <c r="AX58" s="32">
        <v>144516</v>
      </c>
      <c r="AY58" s="32">
        <v>103667</v>
      </c>
      <c r="AZ58" s="32">
        <v>141023</v>
      </c>
      <c r="BA58" s="32">
        <v>172093</v>
      </c>
      <c r="BB58" s="32">
        <f>166606+10000</f>
        <v>176606</v>
      </c>
      <c r="BC58" s="32">
        <v>181091</v>
      </c>
      <c r="BD58" s="32">
        <v>169802</v>
      </c>
      <c r="BE58" s="32">
        <v>120406</v>
      </c>
      <c r="BF58" s="32">
        <f t="shared" si="80"/>
        <v>1733835</v>
      </c>
      <c r="BG58" s="17">
        <f>BG55/AR55</f>
        <v>9.9910256474894502E-2</v>
      </c>
      <c r="BH58" s="14">
        <v>78906</v>
      </c>
      <c r="BI58" s="14">
        <v>119296</v>
      </c>
      <c r="BJ58" s="14">
        <v>165286</v>
      </c>
      <c r="BK58" s="14">
        <v>144532</v>
      </c>
      <c r="BL58" s="32">
        <v>157691</v>
      </c>
      <c r="BM58" s="32">
        <v>129096</v>
      </c>
      <c r="BN58" s="32">
        <v>125800</v>
      </c>
      <c r="BO58" s="32">
        <v>176354</v>
      </c>
      <c r="BP58" s="32">
        <v>173554</v>
      </c>
      <c r="BQ58" s="32">
        <v>185766</v>
      </c>
      <c r="BR58" s="32"/>
      <c r="BS58" s="32"/>
      <c r="BT58" s="32">
        <f t="shared" si="95"/>
        <v>1456281</v>
      </c>
      <c r="BU58" s="28"/>
      <c r="BV58" s="14"/>
      <c r="BW58" s="14"/>
      <c r="BX58" s="14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J58" s="14"/>
      <c r="CK58" s="14"/>
      <c r="CL58" s="14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X58" s="14"/>
      <c r="CY58" s="14"/>
      <c r="CZ58" s="14"/>
      <c r="DA58" s="32"/>
      <c r="DB58" s="32"/>
      <c r="DC58" s="32"/>
      <c r="DD58" s="32"/>
      <c r="DE58" s="32"/>
      <c r="DF58" s="32"/>
      <c r="DG58" s="32"/>
      <c r="DH58" s="32"/>
      <c r="DI58" s="32"/>
      <c r="DJ58" s="32"/>
    </row>
    <row r="59" spans="1:114" ht="15.75">
      <c r="A59" s="103"/>
      <c r="B59" s="329" t="s">
        <v>76</v>
      </c>
      <c r="C59" s="330"/>
      <c r="D59" s="331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332"/>
      <c r="Q59" s="105"/>
      <c r="R59" s="333"/>
      <c r="S59" s="333"/>
      <c r="T59" s="333"/>
      <c r="U59" s="333"/>
      <c r="V59" s="333"/>
      <c r="W59" s="333"/>
      <c r="X59" s="333"/>
      <c r="Y59" s="333"/>
      <c r="Z59" s="333"/>
      <c r="AA59" s="333"/>
      <c r="AB59" s="333"/>
      <c r="AC59" s="333"/>
      <c r="AD59" s="334"/>
      <c r="AE59" s="106"/>
      <c r="AF59" s="333">
        <f t="shared" ref="AF59:AQ59" si="104">AF58-AF26</f>
        <v>133789.5653258567</v>
      </c>
      <c r="AG59" s="333">
        <f t="shared" si="104"/>
        <v>166455.02546723894</v>
      </c>
      <c r="AH59" s="333">
        <f t="shared" si="104"/>
        <v>149445.54627453614</v>
      </c>
      <c r="AI59" s="333">
        <f t="shared" si="104"/>
        <v>151069.82181047046</v>
      </c>
      <c r="AJ59" s="333">
        <f t="shared" si="104"/>
        <v>192941.24487749056</v>
      </c>
      <c r="AK59" s="333">
        <f t="shared" si="104"/>
        <v>166135.77020296719</v>
      </c>
      <c r="AL59" s="333">
        <f t="shared" si="104"/>
        <v>151871.64243647002</v>
      </c>
      <c r="AM59" s="333">
        <f t="shared" si="104"/>
        <v>157768.8586839418</v>
      </c>
      <c r="AN59" s="333">
        <f t="shared" si="104"/>
        <v>200310.09576397031</v>
      </c>
      <c r="AO59" s="333">
        <f t="shared" si="104"/>
        <v>202687.83135883085</v>
      </c>
      <c r="AP59" s="333">
        <f t="shared" si="104"/>
        <v>207762.85122649223</v>
      </c>
      <c r="AQ59" s="333">
        <f t="shared" si="104"/>
        <v>113282.51926932538</v>
      </c>
      <c r="AR59" s="107">
        <f t="shared" ref="AR59:AR67" si="105">SUM(AF59:AQ59)</f>
        <v>1993520.772697591</v>
      </c>
      <c r="AS59" s="106"/>
      <c r="AT59" s="333">
        <f t="shared" ref="AT59:BE59" si="106">AT58-AT57</f>
        <v>-19510</v>
      </c>
      <c r="AU59" s="333">
        <f t="shared" si="106"/>
        <v>-25359</v>
      </c>
      <c r="AV59" s="333">
        <f t="shared" si="106"/>
        <v>-33907</v>
      </c>
      <c r="AW59" s="333">
        <f t="shared" si="106"/>
        <v>9802</v>
      </c>
      <c r="AX59" s="333">
        <f t="shared" si="106"/>
        <v>2100</v>
      </c>
      <c r="AY59" s="333">
        <f t="shared" si="106"/>
        <v>-73668</v>
      </c>
      <c r="AZ59" s="333">
        <f t="shared" si="106"/>
        <v>-11207</v>
      </c>
      <c r="BA59" s="333">
        <f t="shared" si="106"/>
        <v>-73434</v>
      </c>
      <c r="BB59" s="333">
        <f t="shared" si="106"/>
        <v>-18264.518518518511</v>
      </c>
      <c r="BC59" s="333">
        <f t="shared" si="106"/>
        <v>-33131.222222222219</v>
      </c>
      <c r="BD59" s="333">
        <f t="shared" si="106"/>
        <v>50394.592592592599</v>
      </c>
      <c r="BE59" s="333">
        <f t="shared" si="106"/>
        <v>86709.703703703708</v>
      </c>
      <c r="BF59" s="108">
        <f t="shared" si="80"/>
        <v>-139474.44444444444</v>
      </c>
      <c r="BG59" s="106"/>
      <c r="BH59" s="333">
        <f t="shared" ref="BH59:BQ59" si="107">BH58-BH57</f>
        <v>-77302</v>
      </c>
      <c r="BI59" s="333">
        <f t="shared" si="107"/>
        <v>-28044</v>
      </c>
      <c r="BJ59" s="333">
        <f t="shared" si="107"/>
        <v>-1473</v>
      </c>
      <c r="BK59" s="333">
        <f t="shared" si="107"/>
        <v>-7820</v>
      </c>
      <c r="BL59" s="333">
        <f t="shared" si="107"/>
        <v>29245</v>
      </c>
      <c r="BM59" s="333">
        <f t="shared" si="107"/>
        <v>2306</v>
      </c>
      <c r="BN59" s="333">
        <f t="shared" si="107"/>
        <v>-47961</v>
      </c>
      <c r="BO59" s="333">
        <f t="shared" si="107"/>
        <v>2843.4009269989911</v>
      </c>
      <c r="BP59" s="333">
        <f t="shared" si="107"/>
        <v>-29243.422556971986</v>
      </c>
      <c r="BQ59" s="333">
        <f t="shared" si="107"/>
        <v>-17156.186558516987</v>
      </c>
      <c r="BR59" s="108"/>
      <c r="BS59" s="108"/>
      <c r="BT59" s="108">
        <f t="shared" si="95"/>
        <v>-174605.20818848998</v>
      </c>
      <c r="BU59" s="28"/>
      <c r="BV59" s="333"/>
      <c r="BW59" s="333"/>
      <c r="BX59" s="333"/>
      <c r="BY59" s="333"/>
      <c r="BZ59" s="108"/>
      <c r="CA59" s="108"/>
      <c r="CB59" s="108"/>
      <c r="CC59" s="108"/>
      <c r="CD59" s="108"/>
      <c r="CE59" s="108"/>
      <c r="CF59" s="108"/>
      <c r="CG59" s="108"/>
      <c r="CH59" s="108"/>
      <c r="CJ59" s="333"/>
      <c r="CK59" s="333"/>
      <c r="CL59" s="333"/>
      <c r="CM59" s="333"/>
      <c r="CN59" s="108"/>
      <c r="CO59" s="108"/>
      <c r="CP59" s="108"/>
      <c r="CQ59" s="108"/>
      <c r="CR59" s="108"/>
      <c r="CS59" s="108"/>
      <c r="CT59" s="108"/>
      <c r="CU59" s="108"/>
      <c r="CV59" s="108"/>
      <c r="CX59" s="333"/>
      <c r="CY59" s="333"/>
      <c r="CZ59" s="333"/>
      <c r="DA59" s="333"/>
      <c r="DB59" s="108"/>
      <c r="DC59" s="108"/>
      <c r="DD59" s="108"/>
      <c r="DE59" s="108"/>
      <c r="DF59" s="108"/>
      <c r="DG59" s="108"/>
      <c r="DH59" s="108"/>
      <c r="DI59" s="108"/>
      <c r="DJ59" s="108"/>
    </row>
    <row r="60" spans="1:114" ht="15.75" customHeight="1">
      <c r="A60" s="94">
        <v>5</v>
      </c>
      <c r="B60" s="210" t="s">
        <v>77</v>
      </c>
      <c r="C60" s="335"/>
      <c r="D60" s="313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>
        <v>0</v>
      </c>
      <c r="P60" s="314">
        <f>SUM(D60:O60)</f>
        <v>0</v>
      </c>
      <c r="Q60" s="90"/>
      <c r="R60" s="313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315">
        <f>SUM(R60:AC60)</f>
        <v>0</v>
      </c>
      <c r="AE60" s="23"/>
      <c r="AF60" s="316">
        <v>0</v>
      </c>
      <c r="AG60" s="91">
        <v>0</v>
      </c>
      <c r="AH60" s="91">
        <v>0</v>
      </c>
      <c r="AI60" s="91">
        <v>0</v>
      </c>
      <c r="AJ60" s="91">
        <v>0</v>
      </c>
      <c r="AK60" s="91">
        <v>0</v>
      </c>
      <c r="AL60" s="91">
        <v>0</v>
      </c>
      <c r="AM60" s="91">
        <v>0</v>
      </c>
      <c r="AN60" s="91">
        <v>0</v>
      </c>
      <c r="AO60" s="91">
        <v>0</v>
      </c>
      <c r="AP60" s="91"/>
      <c r="AQ60" s="91">
        <v>8938</v>
      </c>
      <c r="AR60" s="92">
        <f t="shared" si="105"/>
        <v>8938</v>
      </c>
      <c r="AS60" s="23"/>
      <c r="AT60" s="91">
        <v>106642</v>
      </c>
      <c r="AU60" s="91">
        <v>90699</v>
      </c>
      <c r="AV60" s="91">
        <v>89681</v>
      </c>
      <c r="AW60" s="91">
        <v>58790</v>
      </c>
      <c r="AX60" s="91">
        <v>35520</v>
      </c>
      <c r="AY60" s="91">
        <v>61551</v>
      </c>
      <c r="AZ60" s="91">
        <v>71511</v>
      </c>
      <c r="BA60" s="91">
        <v>63617</v>
      </c>
      <c r="BB60" s="91">
        <v>66748</v>
      </c>
      <c r="BC60" s="91">
        <v>75532</v>
      </c>
      <c r="BD60" s="91">
        <v>37786</v>
      </c>
      <c r="BE60" s="91">
        <v>4503</v>
      </c>
      <c r="BF60" s="91">
        <f t="shared" si="80"/>
        <v>762580</v>
      </c>
      <c r="BG60" s="27"/>
      <c r="BH60" s="91">
        <v>69404</v>
      </c>
      <c r="BI60" s="91">
        <v>80412</v>
      </c>
      <c r="BJ60" s="91">
        <v>94386</v>
      </c>
      <c r="BK60" s="91">
        <v>78313</v>
      </c>
      <c r="BL60" s="91">
        <v>47034</v>
      </c>
      <c r="BM60" s="91">
        <v>50851</v>
      </c>
      <c r="BN60" s="91">
        <v>93202</v>
      </c>
      <c r="BO60" s="91">
        <v>100687</v>
      </c>
      <c r="BP60" s="91">
        <v>127995</v>
      </c>
      <c r="BQ60" s="91">
        <v>122686</v>
      </c>
      <c r="BR60" s="91"/>
      <c r="BS60" s="91"/>
      <c r="BT60" s="91"/>
      <c r="BU60" s="28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  <c r="CX60" s="91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</row>
    <row r="61" spans="1:114">
      <c r="A61" s="13" t="s">
        <v>78</v>
      </c>
      <c r="B61" s="259"/>
      <c r="C61" s="260"/>
      <c r="D61" s="277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262"/>
      <c r="Q61" s="15"/>
      <c r="R61" s="277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263"/>
      <c r="AE61" s="16"/>
      <c r="AF61" s="261">
        <f t="shared" ref="AF61:AQ61" si="108">AF62+AF64</f>
        <v>118364</v>
      </c>
      <c r="AG61" s="261">
        <f t="shared" si="108"/>
        <v>173742</v>
      </c>
      <c r="AH61" s="261">
        <f t="shared" si="108"/>
        <v>73470</v>
      </c>
      <c r="AI61" s="261">
        <f t="shared" si="108"/>
        <v>87377</v>
      </c>
      <c r="AJ61" s="261">
        <f t="shared" si="108"/>
        <v>119657</v>
      </c>
      <c r="AK61" s="261">
        <f t="shared" si="108"/>
        <v>154747</v>
      </c>
      <c r="AL61" s="261">
        <f t="shared" si="108"/>
        <v>138073</v>
      </c>
      <c r="AM61" s="261">
        <f t="shared" si="108"/>
        <v>180773</v>
      </c>
      <c r="AN61" s="261">
        <f t="shared" si="108"/>
        <v>194598</v>
      </c>
      <c r="AO61" s="261">
        <f t="shared" si="108"/>
        <v>242931</v>
      </c>
      <c r="AP61" s="261">
        <f t="shared" si="108"/>
        <v>107346</v>
      </c>
      <c r="AQ61" s="261">
        <f t="shared" si="108"/>
        <v>87384</v>
      </c>
      <c r="AR61" s="14">
        <f t="shared" si="105"/>
        <v>1678462</v>
      </c>
      <c r="AS61" s="17"/>
      <c r="AT61" s="261">
        <f t="shared" ref="AT61:BE61" si="109">AT62+AT64</f>
        <v>155346</v>
      </c>
      <c r="AU61" s="261">
        <f t="shared" si="109"/>
        <v>123370</v>
      </c>
      <c r="AV61" s="261">
        <f t="shared" si="109"/>
        <v>144065</v>
      </c>
      <c r="AW61" s="261">
        <f t="shared" si="109"/>
        <v>127865</v>
      </c>
      <c r="AX61" s="261">
        <f t="shared" si="109"/>
        <v>123461</v>
      </c>
      <c r="AY61" s="261">
        <f t="shared" si="109"/>
        <v>121196</v>
      </c>
      <c r="AZ61" s="261">
        <f t="shared" si="109"/>
        <v>168029</v>
      </c>
      <c r="BA61" s="261">
        <f t="shared" si="109"/>
        <v>164268</v>
      </c>
      <c r="BB61" s="261">
        <f t="shared" si="109"/>
        <v>185112</v>
      </c>
      <c r="BC61" s="261">
        <f t="shared" si="109"/>
        <v>147235</v>
      </c>
      <c r="BD61" s="261">
        <f t="shared" si="109"/>
        <v>135608</v>
      </c>
      <c r="BE61" s="261">
        <f t="shared" si="109"/>
        <v>90194</v>
      </c>
      <c r="BF61" s="32">
        <f t="shared" si="80"/>
        <v>1685749</v>
      </c>
      <c r="BG61" s="35">
        <f t="shared" ref="BG61:BG62" si="110">BF61/AR61-1</f>
        <v>4.3414745165515356E-3</v>
      </c>
      <c r="BH61" s="261">
        <f>BH62+BH64</f>
        <v>144332</v>
      </c>
      <c r="BI61" s="261">
        <f t="shared" ref="BI61:BQ61" si="111">BI62+BI64</f>
        <v>128781</v>
      </c>
      <c r="BJ61" s="261">
        <f t="shared" si="111"/>
        <v>193129</v>
      </c>
      <c r="BK61" s="261">
        <f t="shared" si="111"/>
        <v>106092</v>
      </c>
      <c r="BL61" s="261">
        <f t="shared" si="111"/>
        <v>132638</v>
      </c>
      <c r="BM61" s="261">
        <f t="shared" si="111"/>
        <v>139193</v>
      </c>
      <c r="BN61" s="261">
        <f t="shared" si="111"/>
        <v>173703</v>
      </c>
      <c r="BO61" s="261">
        <f t="shared" si="111"/>
        <v>186902</v>
      </c>
      <c r="BP61" s="261">
        <f t="shared" si="111"/>
        <v>200686</v>
      </c>
      <c r="BQ61" s="261">
        <f t="shared" si="111"/>
        <v>191324</v>
      </c>
      <c r="BR61" s="14"/>
      <c r="BS61" s="14"/>
      <c r="BT61" s="14">
        <f t="shared" ref="BT61:BT66" si="112">SUM(BH61:BS61)</f>
        <v>1596780</v>
      </c>
      <c r="BU61" s="18"/>
      <c r="BV61" s="261"/>
      <c r="BW61" s="261"/>
      <c r="BX61" s="261"/>
      <c r="BY61" s="261"/>
      <c r="BZ61" s="14"/>
      <c r="CA61" s="14"/>
      <c r="CB61" s="14"/>
      <c r="CC61" s="14"/>
      <c r="CD61" s="14"/>
      <c r="CE61" s="14"/>
      <c r="CF61" s="14"/>
      <c r="CG61" s="14"/>
      <c r="CH61" s="14"/>
      <c r="CJ61" s="261">
        <f>CJ62+CJ64</f>
        <v>204853</v>
      </c>
      <c r="CK61" s="261"/>
      <c r="CL61" s="261"/>
      <c r="CM61" s="261"/>
      <c r="CN61" s="14"/>
      <c r="CO61" s="14"/>
      <c r="CP61" s="14"/>
      <c r="CQ61" s="14"/>
      <c r="CR61" s="14"/>
      <c r="CS61" s="14"/>
      <c r="CT61" s="14"/>
      <c r="CU61" s="14"/>
      <c r="CV61" s="14"/>
      <c r="CX61" s="261"/>
      <c r="CY61" s="261"/>
      <c r="CZ61" s="261"/>
      <c r="DA61" s="261"/>
      <c r="DB61" s="14"/>
      <c r="DC61" s="14"/>
      <c r="DD61" s="14"/>
      <c r="DE61" s="14"/>
      <c r="DF61" s="14"/>
      <c r="DG61" s="14"/>
      <c r="DH61" s="14"/>
      <c r="DI61" s="14"/>
      <c r="DJ61" s="14"/>
    </row>
    <row r="62" spans="1:114" ht="15.75" customHeight="1">
      <c r="A62" s="210"/>
      <c r="B62" s="210" t="s">
        <v>79</v>
      </c>
      <c r="C62" s="316"/>
      <c r="D62" s="313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315"/>
      <c r="AE62" s="23"/>
      <c r="AF62" s="316">
        <v>92193</v>
      </c>
      <c r="AG62" s="91">
        <v>152006</v>
      </c>
      <c r="AH62" s="91">
        <v>62734</v>
      </c>
      <c r="AI62" s="91">
        <v>71526</v>
      </c>
      <c r="AJ62" s="91">
        <v>89409</v>
      </c>
      <c r="AK62" s="91">
        <v>120675</v>
      </c>
      <c r="AL62" s="91">
        <v>100592</v>
      </c>
      <c r="AM62" s="91">
        <v>148128</v>
      </c>
      <c r="AN62" s="91">
        <v>164346</v>
      </c>
      <c r="AO62" s="91">
        <v>203437</v>
      </c>
      <c r="AP62" s="91">
        <v>64957</v>
      </c>
      <c r="AQ62" s="91">
        <v>31837</v>
      </c>
      <c r="AR62" s="92">
        <f t="shared" si="105"/>
        <v>1301840</v>
      </c>
      <c r="AS62" s="23"/>
      <c r="AT62" s="91">
        <v>125048</v>
      </c>
      <c r="AU62" s="91">
        <v>96006</v>
      </c>
      <c r="AV62" s="91">
        <v>111470</v>
      </c>
      <c r="AW62" s="91">
        <v>99222</v>
      </c>
      <c r="AX62" s="91">
        <v>91253</v>
      </c>
      <c r="AY62" s="91">
        <v>90595</v>
      </c>
      <c r="AZ62" s="91">
        <v>129147</v>
      </c>
      <c r="BA62" s="91">
        <v>133525</v>
      </c>
      <c r="BB62" s="91">
        <v>159291</v>
      </c>
      <c r="BC62" s="91">
        <v>115573</v>
      </c>
      <c r="BD62" s="91">
        <v>98386</v>
      </c>
      <c r="BE62" s="91">
        <v>36527</v>
      </c>
      <c r="BF62" s="91">
        <f t="shared" si="80"/>
        <v>1286043</v>
      </c>
      <c r="BG62" s="93">
        <f t="shared" si="110"/>
        <v>-1.2134363669882631E-2</v>
      </c>
      <c r="BH62" s="91">
        <v>110235</v>
      </c>
      <c r="BI62" s="91">
        <v>103047</v>
      </c>
      <c r="BJ62" s="91">
        <v>158855</v>
      </c>
      <c r="BK62" s="91">
        <v>77254</v>
      </c>
      <c r="BL62" s="91">
        <v>99853</v>
      </c>
      <c r="BM62" s="91">
        <v>100723</v>
      </c>
      <c r="BN62" s="91">
        <v>125338</v>
      </c>
      <c r="BO62" s="91">
        <v>153622</v>
      </c>
      <c r="BP62" s="91">
        <v>166483</v>
      </c>
      <c r="BQ62" s="91">
        <v>156140</v>
      </c>
      <c r="BR62" s="91">
        <v>111391</v>
      </c>
      <c r="BS62" s="91">
        <v>26768</v>
      </c>
      <c r="BT62" s="91">
        <f t="shared" si="112"/>
        <v>1389709</v>
      </c>
      <c r="BU62" s="28"/>
      <c r="BV62" s="91">
        <v>128446</v>
      </c>
      <c r="BW62" s="91">
        <v>119229</v>
      </c>
      <c r="BX62" s="91">
        <v>134860</v>
      </c>
      <c r="BY62" s="91">
        <v>111992</v>
      </c>
      <c r="BZ62" s="91">
        <v>102725</v>
      </c>
      <c r="CA62" s="91">
        <v>74472</v>
      </c>
      <c r="CB62" s="91">
        <v>164045</v>
      </c>
      <c r="CC62" s="91">
        <v>148167</v>
      </c>
      <c r="CD62" s="91">
        <v>189715</v>
      </c>
      <c r="CE62" s="91">
        <v>165488</v>
      </c>
      <c r="CF62" s="91">
        <v>103829</v>
      </c>
      <c r="CG62" s="91">
        <v>39967</v>
      </c>
      <c r="CH62" s="91">
        <f t="shared" ref="CH62:CH65" si="113">SUM(BV62:CG62)</f>
        <v>1482935</v>
      </c>
      <c r="CJ62" s="91">
        <v>167136</v>
      </c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91"/>
      <c r="CV62" s="91"/>
      <c r="CX62" s="91">
        <v>54245</v>
      </c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</row>
    <row r="63" spans="1:114" ht="15.75">
      <c r="A63" s="103"/>
      <c r="B63" s="329" t="s">
        <v>80</v>
      </c>
      <c r="C63" s="330"/>
      <c r="D63" s="331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332"/>
      <c r="Q63" s="105"/>
      <c r="R63" s="333"/>
      <c r="S63" s="333"/>
      <c r="T63" s="333"/>
      <c r="U63" s="333"/>
      <c r="V63" s="333"/>
      <c r="W63" s="333"/>
      <c r="X63" s="333"/>
      <c r="Y63" s="333"/>
      <c r="Z63" s="333"/>
      <c r="AA63" s="333"/>
      <c r="AB63" s="333"/>
      <c r="AC63" s="333"/>
      <c r="AD63" s="334"/>
      <c r="AE63" s="106"/>
      <c r="AF63" s="333">
        <f t="shared" ref="AF63:AQ63" si="114">AF62-AF31</f>
        <v>2047</v>
      </c>
      <c r="AG63" s="333">
        <f t="shared" si="114"/>
        <v>-3571</v>
      </c>
      <c r="AH63" s="333">
        <f t="shared" si="114"/>
        <v>-219</v>
      </c>
      <c r="AI63" s="333">
        <f t="shared" si="114"/>
        <v>-1735</v>
      </c>
      <c r="AJ63" s="333">
        <f t="shared" si="114"/>
        <v>-2447</v>
      </c>
      <c r="AK63" s="333">
        <f t="shared" si="114"/>
        <v>675</v>
      </c>
      <c r="AL63" s="333">
        <f t="shared" si="114"/>
        <v>-9703</v>
      </c>
      <c r="AM63" s="333">
        <f t="shared" si="114"/>
        <v>-52075</v>
      </c>
      <c r="AN63" s="333">
        <f t="shared" si="114"/>
        <v>-59487.333333333343</v>
      </c>
      <c r="AO63" s="333">
        <f t="shared" si="114"/>
        <v>-15063</v>
      </c>
      <c r="AP63" s="333">
        <f t="shared" si="114"/>
        <v>-23043</v>
      </c>
      <c r="AQ63" s="333">
        <f t="shared" si="114"/>
        <v>-11563</v>
      </c>
      <c r="AR63" s="107">
        <f t="shared" si="105"/>
        <v>-176184.33333333334</v>
      </c>
      <c r="AS63" s="106"/>
      <c r="AT63" s="333">
        <f t="shared" ref="AT63:BE63" si="115">AT62-AT31</f>
        <v>8451.75</v>
      </c>
      <c r="AU63" s="333">
        <f t="shared" si="115"/>
        <v>-37227.103448275855</v>
      </c>
      <c r="AV63" s="333">
        <f t="shared" si="115"/>
        <v>-6779.1379310344782</v>
      </c>
      <c r="AW63" s="333">
        <f t="shared" si="115"/>
        <v>-22342.137931034478</v>
      </c>
      <c r="AX63" s="333">
        <f t="shared" si="115"/>
        <v>4719.0344827586232</v>
      </c>
      <c r="AY63" s="333">
        <f t="shared" si="115"/>
        <v>-14182.777777777781</v>
      </c>
      <c r="AZ63" s="333">
        <f t="shared" si="115"/>
        <v>-6630.777777777781</v>
      </c>
      <c r="BA63" s="333">
        <f t="shared" si="115"/>
        <v>-77771.296296296292</v>
      </c>
      <c r="BB63" s="333">
        <f t="shared" si="115"/>
        <v>-51486.777777777781</v>
      </c>
      <c r="BC63" s="333">
        <f t="shared" si="115"/>
        <v>-99233.290755657828</v>
      </c>
      <c r="BD63" s="333">
        <f t="shared" si="115"/>
        <v>5175.413118527038</v>
      </c>
      <c r="BE63" s="333">
        <f t="shared" si="115"/>
        <v>5840.3870349060235</v>
      </c>
      <c r="BF63" s="108">
        <f t="shared" si="80"/>
        <v>-291466.71505944064</v>
      </c>
      <c r="BG63" s="106"/>
      <c r="BH63" s="333">
        <f t="shared" ref="BH63:BQ63" si="116">BH62-BH28</f>
        <v>-6365</v>
      </c>
      <c r="BI63" s="333">
        <f t="shared" si="116"/>
        <v>-8486.3333333333285</v>
      </c>
      <c r="BJ63" s="333">
        <f t="shared" si="116"/>
        <v>23180.925925925927</v>
      </c>
      <c r="BK63" s="333">
        <f t="shared" si="116"/>
        <v>-44486.740740740745</v>
      </c>
      <c r="BL63" s="333">
        <f t="shared" si="116"/>
        <v>5926.148148148146</v>
      </c>
      <c r="BM63" s="333">
        <f t="shared" si="116"/>
        <v>10043.740740740745</v>
      </c>
      <c r="BN63" s="333">
        <f t="shared" si="116"/>
        <v>-4917.555555555562</v>
      </c>
      <c r="BO63" s="333">
        <f t="shared" si="116"/>
        <v>3071.6218888889125</v>
      </c>
      <c r="BP63" s="333">
        <f t="shared" si="116"/>
        <v>4652.2504629629548</v>
      </c>
      <c r="BQ63" s="333">
        <f t="shared" si="116"/>
        <v>29010</v>
      </c>
      <c r="BR63" s="108"/>
      <c r="BS63" s="108"/>
      <c r="BT63" s="108">
        <f t="shared" si="112"/>
        <v>11629.05753703705</v>
      </c>
      <c r="BU63" s="28"/>
      <c r="BV63" s="333">
        <v>124435</v>
      </c>
      <c r="BW63" s="333">
        <v>117564</v>
      </c>
      <c r="BX63" s="333">
        <v>133262</v>
      </c>
      <c r="BY63" s="333">
        <v>110312</v>
      </c>
      <c r="BZ63" s="108">
        <v>101441</v>
      </c>
      <c r="CA63" s="108">
        <v>67535</v>
      </c>
      <c r="CB63" s="108">
        <v>155594</v>
      </c>
      <c r="CC63" s="108"/>
      <c r="CD63" s="108"/>
      <c r="CE63" s="108"/>
      <c r="CF63" s="108"/>
      <c r="CG63" s="108"/>
      <c r="CH63" s="108">
        <f t="shared" si="113"/>
        <v>810143</v>
      </c>
      <c r="CJ63" s="333">
        <v>159683</v>
      </c>
      <c r="CK63" s="333">
        <v>182683</v>
      </c>
      <c r="CL63" s="333">
        <v>137562</v>
      </c>
      <c r="CM63" s="333"/>
      <c r="CN63" s="108"/>
      <c r="CO63" s="108"/>
      <c r="CP63" s="108"/>
      <c r="CQ63" s="108"/>
      <c r="CR63" s="108"/>
      <c r="CS63" s="108"/>
      <c r="CT63" s="108"/>
      <c r="CU63" s="108"/>
      <c r="CV63" s="108"/>
      <c r="CX63" s="333"/>
      <c r="CY63" s="333"/>
      <c r="CZ63" s="333"/>
      <c r="DA63" s="333"/>
      <c r="DB63" s="108"/>
      <c r="DC63" s="108"/>
      <c r="DD63" s="108"/>
      <c r="DE63" s="108"/>
      <c r="DF63" s="108"/>
      <c r="DG63" s="108"/>
      <c r="DH63" s="108"/>
      <c r="DI63" s="108"/>
      <c r="DJ63" s="108"/>
    </row>
    <row r="64" spans="1:114" ht="15.75" customHeight="1">
      <c r="A64" s="94"/>
      <c r="B64" s="336" t="s">
        <v>81</v>
      </c>
      <c r="C64" s="335"/>
      <c r="D64" s="313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314"/>
      <c r="Q64" s="90"/>
      <c r="R64" s="316"/>
      <c r="S64" s="31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5"/>
      <c r="AE64" s="23"/>
      <c r="AF64" s="316">
        <v>26171</v>
      </c>
      <c r="AG64" s="316">
        <v>21736</v>
      </c>
      <c r="AH64" s="316">
        <v>10736</v>
      </c>
      <c r="AI64" s="316">
        <v>15851</v>
      </c>
      <c r="AJ64" s="316">
        <v>30248</v>
      </c>
      <c r="AK64" s="316">
        <v>34072</v>
      </c>
      <c r="AL64" s="316">
        <v>37481</v>
      </c>
      <c r="AM64" s="91">
        <v>32645</v>
      </c>
      <c r="AN64" s="91">
        <v>30252</v>
      </c>
      <c r="AO64" s="91">
        <v>39494</v>
      </c>
      <c r="AP64" s="91">
        <v>42389</v>
      </c>
      <c r="AQ64" s="91">
        <v>55547</v>
      </c>
      <c r="AR64" s="92">
        <f t="shared" si="105"/>
        <v>376622</v>
      </c>
      <c r="AS64" s="23"/>
      <c r="AT64" s="91">
        <v>30298</v>
      </c>
      <c r="AU64" s="91">
        <v>27364</v>
      </c>
      <c r="AV64" s="91">
        <v>32595</v>
      </c>
      <c r="AW64" s="91">
        <v>28643</v>
      </c>
      <c r="AX64" s="91">
        <v>32208</v>
      </c>
      <c r="AY64" s="91">
        <v>30601</v>
      </c>
      <c r="AZ64" s="91">
        <v>38882</v>
      </c>
      <c r="BA64" s="91">
        <v>30743</v>
      </c>
      <c r="BB64" s="91">
        <f>24621+1200</f>
        <v>25821</v>
      </c>
      <c r="BC64" s="91">
        <v>31662</v>
      </c>
      <c r="BD64" s="91">
        <v>37222</v>
      </c>
      <c r="BE64" s="91">
        <v>53667</v>
      </c>
      <c r="BF64" s="91">
        <f t="shared" si="80"/>
        <v>399706</v>
      </c>
      <c r="BG64" s="93">
        <f>BF64/AR64-1</f>
        <v>6.1292224033646425E-2</v>
      </c>
      <c r="BH64" s="91">
        <v>34097</v>
      </c>
      <c r="BI64" s="91">
        <v>25734</v>
      </c>
      <c r="BJ64" s="91">
        <v>34274</v>
      </c>
      <c r="BK64" s="91">
        <v>28838</v>
      </c>
      <c r="BL64" s="91">
        <v>32785</v>
      </c>
      <c r="BM64" s="91">
        <v>38470</v>
      </c>
      <c r="BN64" s="91">
        <v>48365</v>
      </c>
      <c r="BO64" s="91">
        <v>33280</v>
      </c>
      <c r="BP64" s="91">
        <v>34203</v>
      </c>
      <c r="BQ64" s="91">
        <v>35184</v>
      </c>
      <c r="BR64" s="91">
        <v>34873</v>
      </c>
      <c r="BS64" s="91">
        <v>48960</v>
      </c>
      <c r="BT64" s="91">
        <f t="shared" si="112"/>
        <v>429063</v>
      </c>
      <c r="BU64" s="28"/>
      <c r="BV64" s="91">
        <v>38900</v>
      </c>
      <c r="BW64" s="91">
        <v>31376</v>
      </c>
      <c r="BX64" s="91">
        <v>29886</v>
      </c>
      <c r="BY64" s="91">
        <v>30671</v>
      </c>
      <c r="BZ64" s="91">
        <v>34553</v>
      </c>
      <c r="CA64" s="91">
        <v>36515</v>
      </c>
      <c r="CB64" s="91">
        <v>38915</v>
      </c>
      <c r="CC64" s="91">
        <v>34615</v>
      </c>
      <c r="CD64" s="91">
        <v>29617</v>
      </c>
      <c r="CE64" s="91">
        <v>34538</v>
      </c>
      <c r="CF64" s="91">
        <v>45914</v>
      </c>
      <c r="CG64" s="91">
        <v>60875</v>
      </c>
      <c r="CH64" s="91">
        <f t="shared" si="113"/>
        <v>446375</v>
      </c>
      <c r="CJ64" s="91">
        <v>37717</v>
      </c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X64" s="91">
        <v>22115</v>
      </c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</row>
    <row r="65" spans="1:114" ht="15.75">
      <c r="A65" s="103"/>
      <c r="B65" s="329" t="s">
        <v>82</v>
      </c>
      <c r="C65" s="330"/>
      <c r="D65" s="331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332"/>
      <c r="Q65" s="105"/>
      <c r="R65" s="333"/>
      <c r="S65" s="333"/>
      <c r="T65" s="333"/>
      <c r="U65" s="333"/>
      <c r="V65" s="333"/>
      <c r="W65" s="333"/>
      <c r="X65" s="333"/>
      <c r="Y65" s="333"/>
      <c r="Z65" s="333"/>
      <c r="AA65" s="333"/>
      <c r="AB65" s="333"/>
      <c r="AC65" s="333"/>
      <c r="AD65" s="334"/>
      <c r="AE65" s="106"/>
      <c r="AF65" s="333">
        <f t="shared" ref="AF65:AQ65" si="117">AF64-AF55</f>
        <v>-12329</v>
      </c>
      <c r="AG65" s="333">
        <f t="shared" si="117"/>
        <v>-664</v>
      </c>
      <c r="AH65" s="333">
        <f t="shared" si="117"/>
        <v>65</v>
      </c>
      <c r="AI65" s="333">
        <f t="shared" si="117"/>
        <v>-246</v>
      </c>
      <c r="AJ65" s="333">
        <f t="shared" si="117"/>
        <v>-30</v>
      </c>
      <c r="AK65" s="333">
        <f t="shared" si="117"/>
        <v>5512</v>
      </c>
      <c r="AL65" s="333">
        <f t="shared" si="117"/>
        <v>-4219</v>
      </c>
      <c r="AM65" s="333">
        <f t="shared" si="117"/>
        <v>-6055</v>
      </c>
      <c r="AN65" s="333">
        <f t="shared" si="117"/>
        <v>-7048</v>
      </c>
      <c r="AO65" s="333">
        <f t="shared" si="117"/>
        <v>2094</v>
      </c>
      <c r="AP65" s="333">
        <f t="shared" si="117"/>
        <v>1749</v>
      </c>
      <c r="AQ65" s="333">
        <f t="shared" si="117"/>
        <v>1107</v>
      </c>
      <c r="AR65" s="107">
        <f t="shared" si="105"/>
        <v>-20064</v>
      </c>
      <c r="AS65" s="106"/>
      <c r="AT65" s="333">
        <f t="shared" ref="AT65:BE65" si="118">AT64-AT55</f>
        <v>-5855</v>
      </c>
      <c r="AU65" s="333">
        <f t="shared" si="118"/>
        <v>-7925</v>
      </c>
      <c r="AV65" s="333">
        <f t="shared" si="118"/>
        <v>-3277</v>
      </c>
      <c r="AW65" s="333">
        <f t="shared" si="118"/>
        <v>-9388</v>
      </c>
      <c r="AX65" s="333">
        <f t="shared" si="118"/>
        <v>-1358</v>
      </c>
      <c r="AY65" s="333">
        <f t="shared" si="118"/>
        <v>-2965</v>
      </c>
      <c r="AZ65" s="333">
        <f t="shared" si="118"/>
        <v>7986</v>
      </c>
      <c r="BA65" s="333">
        <f t="shared" si="118"/>
        <v>-403</v>
      </c>
      <c r="BB65" s="333">
        <f t="shared" si="118"/>
        <v>-6809</v>
      </c>
      <c r="BC65" s="333">
        <f t="shared" si="118"/>
        <v>-6900</v>
      </c>
      <c r="BD65" s="333">
        <f t="shared" si="118"/>
        <v>-4123</v>
      </c>
      <c r="BE65" s="333">
        <f t="shared" si="118"/>
        <v>4404</v>
      </c>
      <c r="BF65" s="108">
        <f t="shared" si="80"/>
        <v>-36613</v>
      </c>
      <c r="BG65" s="106"/>
      <c r="BH65" s="333">
        <f t="shared" ref="BH65:BQ65" si="119">BH64-BH55</f>
        <v>-2056</v>
      </c>
      <c r="BI65" s="333">
        <f t="shared" si="119"/>
        <v>-9555</v>
      </c>
      <c r="BJ65" s="333">
        <f t="shared" si="119"/>
        <v>-1598</v>
      </c>
      <c r="BK65" s="333">
        <f t="shared" si="119"/>
        <v>-9193</v>
      </c>
      <c r="BL65" s="333">
        <f t="shared" si="119"/>
        <v>-5785</v>
      </c>
      <c r="BM65" s="333">
        <f t="shared" si="119"/>
        <v>-757</v>
      </c>
      <c r="BN65" s="333">
        <f t="shared" si="119"/>
        <v>7237</v>
      </c>
      <c r="BO65" s="333">
        <f t="shared" si="119"/>
        <v>-4911</v>
      </c>
      <c r="BP65" s="333">
        <f t="shared" si="119"/>
        <v>-3988</v>
      </c>
      <c r="BQ65" s="333">
        <f t="shared" si="119"/>
        <v>-5041</v>
      </c>
      <c r="BR65" s="108"/>
      <c r="BS65" s="108"/>
      <c r="BT65" s="108">
        <f t="shared" si="112"/>
        <v>-35647</v>
      </c>
      <c r="BU65" s="28"/>
      <c r="BV65" s="333">
        <v>27740</v>
      </c>
      <c r="BW65" s="333">
        <v>23272</v>
      </c>
      <c r="BX65" s="333">
        <v>24576</v>
      </c>
      <c r="BY65" s="108">
        <v>26006</v>
      </c>
      <c r="BZ65" s="108">
        <v>30640</v>
      </c>
      <c r="CA65" s="108">
        <v>30640</v>
      </c>
      <c r="CB65" s="108">
        <v>29618</v>
      </c>
      <c r="CC65" s="108">
        <v>29686</v>
      </c>
      <c r="CD65" s="108">
        <v>29993</v>
      </c>
      <c r="CE65" s="108">
        <v>31540</v>
      </c>
      <c r="CF65" s="108">
        <v>38086</v>
      </c>
      <c r="CG65" s="108">
        <v>54003</v>
      </c>
      <c r="CH65" s="108">
        <f t="shared" si="113"/>
        <v>375800</v>
      </c>
      <c r="CJ65" s="333">
        <f>BV65*1.03</f>
        <v>28572.2</v>
      </c>
      <c r="CK65" s="333">
        <f>BW65*1.03</f>
        <v>23970.16</v>
      </c>
      <c r="CL65" s="333">
        <f t="shared" ref="CL65:CU65" si="120">BX65*1.03</f>
        <v>25313.279999999999</v>
      </c>
      <c r="CM65" s="333">
        <f t="shared" si="120"/>
        <v>26786.18</v>
      </c>
      <c r="CN65" s="333">
        <f t="shared" si="120"/>
        <v>31559.200000000001</v>
      </c>
      <c r="CO65" s="333">
        <f t="shared" si="120"/>
        <v>31559.200000000001</v>
      </c>
      <c r="CP65" s="333">
        <f t="shared" si="120"/>
        <v>30506.54</v>
      </c>
      <c r="CQ65" s="333">
        <f t="shared" si="120"/>
        <v>30576.58</v>
      </c>
      <c r="CR65" s="333">
        <f t="shared" si="120"/>
        <v>30892.79</v>
      </c>
      <c r="CS65" s="333">
        <f t="shared" si="120"/>
        <v>32486.2</v>
      </c>
      <c r="CT65" s="333">
        <f t="shared" si="120"/>
        <v>39228.58</v>
      </c>
      <c r="CU65" s="333">
        <f t="shared" si="120"/>
        <v>55623.090000000004</v>
      </c>
      <c r="CV65" s="108">
        <f>SUM(CJ65:CU65)</f>
        <v>387074.00000000006</v>
      </c>
      <c r="CX65" s="333"/>
      <c r="CY65" s="333"/>
      <c r="CZ65" s="333"/>
      <c r="DA65" s="333"/>
      <c r="DB65" s="108"/>
      <c r="DC65" s="108"/>
      <c r="DD65" s="108"/>
      <c r="DE65" s="108"/>
      <c r="DF65" s="108"/>
      <c r="DG65" s="108"/>
      <c r="DH65" s="108"/>
      <c r="DI65" s="108"/>
      <c r="DJ65" s="108"/>
    </row>
    <row r="66" spans="1:114" ht="15.75">
      <c r="A66" s="103" t="s">
        <v>83</v>
      </c>
      <c r="B66" s="337" t="s">
        <v>84</v>
      </c>
      <c r="C66" s="330"/>
      <c r="D66" s="331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332"/>
      <c r="Q66" s="105"/>
      <c r="R66" s="333"/>
      <c r="S66" s="333"/>
      <c r="T66" s="333"/>
      <c r="U66" s="333"/>
      <c r="V66" s="333"/>
      <c r="W66" s="333"/>
      <c r="X66" s="333"/>
      <c r="Y66" s="333"/>
      <c r="Z66" s="333"/>
      <c r="AA66" s="333"/>
      <c r="AB66" s="333"/>
      <c r="AC66" s="333"/>
      <c r="AD66" s="334"/>
      <c r="AE66" s="106"/>
      <c r="AF66" s="333">
        <f>AF61-AF27</f>
        <v>-10282</v>
      </c>
      <c r="AG66" s="333">
        <f>AG61-AG27</f>
        <v>-4235</v>
      </c>
      <c r="AH66" s="333">
        <f>AH61-AH27</f>
        <v>-154</v>
      </c>
      <c r="AI66" s="333">
        <f>AI61-AI27</f>
        <v>-1981</v>
      </c>
      <c r="AJ66" s="333">
        <f>AJ61-AJ27</f>
        <v>-2477</v>
      </c>
      <c r="AK66" s="333">
        <f>AK61-AK27</f>
        <v>6187</v>
      </c>
      <c r="AL66" s="333">
        <f>AL61-AL27</f>
        <v>-13922</v>
      </c>
      <c r="AM66" s="333">
        <f>AM61-AM27</f>
        <v>-58130</v>
      </c>
      <c r="AN66" s="333">
        <f>AN61-AN27</f>
        <v>-66535.333333333343</v>
      </c>
      <c r="AO66" s="333">
        <f>AO61-AO27</f>
        <v>-12969</v>
      </c>
      <c r="AP66" s="333">
        <f>AP61-AP27</f>
        <v>-21294</v>
      </c>
      <c r="AQ66" s="333">
        <f>AQ61-AQ27</f>
        <v>-10456</v>
      </c>
      <c r="AR66" s="107">
        <f t="shared" si="105"/>
        <v>-196248.33333333334</v>
      </c>
      <c r="AS66" s="106"/>
      <c r="AT66" s="333">
        <f t="shared" ref="AT66:BE66" si="121">AT61-AT27</f>
        <v>2596.75</v>
      </c>
      <c r="AU66" s="333">
        <f t="shared" si="121"/>
        <v>-45152.103448275855</v>
      </c>
      <c r="AV66" s="333">
        <f t="shared" si="121"/>
        <v>-10056.137931034493</v>
      </c>
      <c r="AW66" s="333">
        <f t="shared" si="121"/>
        <v>-31730.137931034493</v>
      </c>
      <c r="AX66" s="333">
        <f t="shared" si="121"/>
        <v>3361.0344827586232</v>
      </c>
      <c r="AY66" s="333">
        <f t="shared" si="121"/>
        <v>-17147.777777777781</v>
      </c>
      <c r="AZ66" s="333">
        <f t="shared" si="121"/>
        <v>1355.222222222219</v>
      </c>
      <c r="BA66" s="333">
        <f t="shared" si="121"/>
        <v>-78174.296296296292</v>
      </c>
      <c r="BB66" s="333">
        <f t="shared" si="121"/>
        <v>-58295.777777777781</v>
      </c>
      <c r="BC66" s="333">
        <f t="shared" si="121"/>
        <v>-106133.29075565783</v>
      </c>
      <c r="BD66" s="333">
        <f t="shared" si="121"/>
        <v>1052.413118527038</v>
      </c>
      <c r="BE66" s="333">
        <f t="shared" si="121"/>
        <v>17507.387034906016</v>
      </c>
      <c r="BF66" s="108">
        <f t="shared" si="80"/>
        <v>-320816.71505944064</v>
      </c>
      <c r="BG66" s="106"/>
      <c r="BH66" s="333">
        <f t="shared" ref="BH66:BQ66" si="122">BH61-BH27</f>
        <v>-8421</v>
      </c>
      <c r="BI66" s="333">
        <f t="shared" si="122"/>
        <v>-18041.333333333314</v>
      </c>
      <c r="BJ66" s="333">
        <f t="shared" si="122"/>
        <v>21582.925925925927</v>
      </c>
      <c r="BK66" s="333">
        <f t="shared" si="122"/>
        <v>-53679.74074074073</v>
      </c>
      <c r="BL66" s="333">
        <f t="shared" si="122"/>
        <v>141.14814814814599</v>
      </c>
      <c r="BM66" s="333">
        <f t="shared" si="122"/>
        <v>9286.7407407407445</v>
      </c>
      <c r="BN66" s="333">
        <f t="shared" si="122"/>
        <v>2319.444444444438</v>
      </c>
      <c r="BO66" s="333">
        <f t="shared" si="122"/>
        <v>7351.6218888889125</v>
      </c>
      <c r="BP66" s="333">
        <f t="shared" si="122"/>
        <v>-1367.7495370370452</v>
      </c>
      <c r="BQ66" s="333">
        <f t="shared" si="122"/>
        <v>27459</v>
      </c>
      <c r="BR66" s="108"/>
      <c r="BS66" s="108"/>
      <c r="BT66" s="108">
        <f t="shared" si="112"/>
        <v>-13368.942462962921</v>
      </c>
      <c r="BU66" s="28"/>
      <c r="BV66" s="333"/>
      <c r="BW66" s="333"/>
      <c r="BX66" s="333"/>
      <c r="BY66" s="333"/>
      <c r="BZ66" s="108"/>
      <c r="CA66" s="108"/>
      <c r="CB66" s="108">
        <f>CB65+CB62</f>
        <v>193663</v>
      </c>
      <c r="CC66" s="108">
        <f t="shared" ref="CC66:CG66" si="123">CC65+CC62</f>
        <v>177853</v>
      </c>
      <c r="CD66" s="108">
        <f t="shared" si="123"/>
        <v>219708</v>
      </c>
      <c r="CE66" s="108">
        <f t="shared" si="123"/>
        <v>197028</v>
      </c>
      <c r="CF66" s="108">
        <f t="shared" si="123"/>
        <v>141915</v>
      </c>
      <c r="CG66" s="108">
        <f t="shared" si="123"/>
        <v>93970</v>
      </c>
      <c r="CH66" s="108"/>
      <c r="CJ66" s="333">
        <v>27785</v>
      </c>
      <c r="CK66" s="333">
        <v>23447</v>
      </c>
      <c r="CL66" s="333">
        <v>26944</v>
      </c>
      <c r="CM66" s="333"/>
      <c r="CN66" s="108"/>
      <c r="CO66" s="108"/>
      <c r="CP66" s="108"/>
      <c r="CQ66" s="108"/>
      <c r="CR66" s="108"/>
      <c r="CS66" s="108"/>
      <c r="CT66" s="108"/>
      <c r="CU66" s="108"/>
      <c r="CV66" s="108"/>
      <c r="CX66" s="333"/>
      <c r="CY66" s="333"/>
      <c r="CZ66" s="333"/>
      <c r="DA66" s="333"/>
      <c r="DB66" s="108"/>
      <c r="DC66" s="108"/>
      <c r="DD66" s="108"/>
      <c r="DE66" s="108"/>
      <c r="DF66" s="108"/>
      <c r="DG66" s="108"/>
      <c r="DH66" s="108"/>
      <c r="DI66" s="108"/>
      <c r="DJ66" s="108"/>
    </row>
    <row r="67" spans="1:114" ht="15.75">
      <c r="A67" s="103" t="s">
        <v>85</v>
      </c>
      <c r="B67" s="337"/>
      <c r="C67" s="330"/>
      <c r="D67" s="331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332"/>
      <c r="Q67" s="105"/>
      <c r="R67" s="333"/>
      <c r="S67" s="333"/>
      <c r="T67" s="333"/>
      <c r="U67" s="333"/>
      <c r="V67" s="333"/>
      <c r="W67" s="333"/>
      <c r="X67" s="333"/>
      <c r="Y67" s="333"/>
      <c r="Z67" s="333"/>
      <c r="AA67" s="333"/>
      <c r="AB67" s="333"/>
      <c r="AC67" s="333"/>
      <c r="AD67" s="334"/>
      <c r="AE67" s="106"/>
      <c r="AF67" s="333">
        <f>AF62-AF28</f>
        <v>92193</v>
      </c>
      <c r="AG67" s="333">
        <f>AG62-AG28</f>
        <v>152006</v>
      </c>
      <c r="AH67" s="333">
        <f>AH62-AH28</f>
        <v>62734</v>
      </c>
      <c r="AI67" s="333">
        <f>AI62-AI28</f>
        <v>71526</v>
      </c>
      <c r="AJ67" s="333">
        <f>AJ62-AJ28</f>
        <v>89409</v>
      </c>
      <c r="AK67" s="333">
        <f>AK62-AK28</f>
        <v>120675</v>
      </c>
      <c r="AL67" s="333">
        <f>AL62-AL28</f>
        <v>100592</v>
      </c>
      <c r="AM67" s="333">
        <f>AM62-AM28</f>
        <v>148128</v>
      </c>
      <c r="AN67" s="333">
        <f>AN62-AN28</f>
        <v>164346</v>
      </c>
      <c r="AO67" s="333">
        <f>AO62-AO28</f>
        <v>203437</v>
      </c>
      <c r="AP67" s="333">
        <f>AP62-AP28</f>
        <v>64957</v>
      </c>
      <c r="AQ67" s="333">
        <f>AQ62-AQ28</f>
        <v>31837</v>
      </c>
      <c r="AR67" s="107">
        <f t="shared" si="105"/>
        <v>1301840</v>
      </c>
      <c r="AS67" s="106"/>
      <c r="AT67" s="338">
        <f t="shared" ref="AT67:BE67" si="124">AT66/AT27</f>
        <v>1.7000083470131603E-2</v>
      </c>
      <c r="AU67" s="338">
        <f t="shared" si="124"/>
        <v>-0.26792985919579565</v>
      </c>
      <c r="AV67" s="338">
        <f t="shared" si="124"/>
        <v>-6.5248272015318062E-2</v>
      </c>
      <c r="AW67" s="338">
        <f t="shared" si="124"/>
        <v>-0.19881644480138216</v>
      </c>
      <c r="AX67" s="338">
        <f t="shared" si="124"/>
        <v>2.798530764170884E-2</v>
      </c>
      <c r="AY67" s="338">
        <f t="shared" si="124"/>
        <v>-0.12395048084722922</v>
      </c>
      <c r="AZ67" s="338">
        <f t="shared" si="124"/>
        <v>8.1309864112464342E-3</v>
      </c>
      <c r="BA67" s="338">
        <f t="shared" si="124"/>
        <v>-0.32244495902957893</v>
      </c>
      <c r="BB67" s="338">
        <f t="shared" si="124"/>
        <v>-0.23949841829212068</v>
      </c>
      <c r="BC67" s="338">
        <f t="shared" si="124"/>
        <v>-0.41888939787658819</v>
      </c>
      <c r="BD67" s="338">
        <f t="shared" si="124"/>
        <v>7.8214003811977375E-3</v>
      </c>
      <c r="BE67" s="338">
        <f t="shared" si="124"/>
        <v>0.24086123043473662</v>
      </c>
      <c r="BF67" s="109">
        <f>AVERAGE(AT67:BE67)</f>
        <v>-0.11124823530991597</v>
      </c>
      <c r="BG67" s="106"/>
      <c r="BH67" s="338">
        <f t="shared" ref="BH67:BQ67" si="125">BH66/BH27</f>
        <v>-5.512821352117471E-2</v>
      </c>
      <c r="BI67" s="338">
        <f t="shared" si="125"/>
        <v>-0.12287867195499311</v>
      </c>
      <c r="BJ67" s="338">
        <f t="shared" si="125"/>
        <v>0.12581416416796784</v>
      </c>
      <c r="BK67" s="338">
        <f t="shared" si="125"/>
        <v>-0.33597769224938256</v>
      </c>
      <c r="BL67" s="338">
        <f t="shared" si="125"/>
        <v>1.0652943536044719E-3</v>
      </c>
      <c r="BM67" s="338">
        <f t="shared" si="125"/>
        <v>7.1488016002422286E-2</v>
      </c>
      <c r="BN67" s="338">
        <f t="shared" si="125"/>
        <v>1.3533646427895287E-2</v>
      </c>
      <c r="BO67" s="338">
        <f t="shared" si="125"/>
        <v>4.0944619366602007E-2</v>
      </c>
      <c r="BP67" s="338">
        <f t="shared" si="125"/>
        <v>-6.7692361075750926E-3</v>
      </c>
      <c r="BQ67" s="338">
        <f t="shared" si="125"/>
        <v>0.16757086626186191</v>
      </c>
      <c r="BR67" s="109"/>
      <c r="BS67" s="109"/>
      <c r="BT67" s="338">
        <f>BT66/BT27</f>
        <v>-7.1185036907011742E-3</v>
      </c>
      <c r="BU67" s="54"/>
      <c r="BV67" s="338"/>
      <c r="BW67" s="338"/>
      <c r="BX67" s="338"/>
      <c r="BY67" s="338"/>
      <c r="BZ67" s="109"/>
      <c r="CA67" s="109"/>
      <c r="CB67" s="109"/>
      <c r="CC67" s="109"/>
      <c r="CD67" s="109"/>
      <c r="CE67" s="109"/>
      <c r="CF67" s="109"/>
      <c r="CG67" s="109"/>
      <c r="CH67" s="109"/>
      <c r="CJ67" s="338"/>
      <c r="CK67" s="338"/>
      <c r="CL67" s="338"/>
      <c r="CM67" s="338"/>
      <c r="CN67" s="109"/>
      <c r="CO67" s="109"/>
      <c r="CP67" s="109"/>
      <c r="CQ67" s="109"/>
      <c r="CR67" s="109"/>
      <c r="CS67" s="109"/>
      <c r="CT67" s="109"/>
      <c r="CU67" s="109"/>
      <c r="CV67" s="109"/>
      <c r="CX67" s="338"/>
      <c r="CY67" s="338"/>
      <c r="CZ67" s="338"/>
      <c r="DA67" s="338"/>
      <c r="DB67" s="109"/>
      <c r="DC67" s="109"/>
      <c r="DD67" s="109"/>
      <c r="DE67" s="109"/>
      <c r="DF67" s="109"/>
      <c r="DG67" s="109"/>
      <c r="DH67" s="109"/>
      <c r="DI67" s="109"/>
      <c r="DJ67" s="109"/>
    </row>
    <row r="68" spans="1:114" ht="14.25" customHeight="1">
      <c r="A68" s="55" t="s">
        <v>86</v>
      </c>
      <c r="B68" s="56"/>
      <c r="C68" s="280"/>
      <c r="D68" s="288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289"/>
      <c r="Q68" s="39"/>
      <c r="R68" s="288"/>
      <c r="S68" s="58"/>
      <c r="T68" s="58"/>
      <c r="U68" s="58"/>
      <c r="V68" s="58"/>
      <c r="W68" s="290"/>
      <c r="X68" s="290"/>
      <c r="Y68" s="290"/>
      <c r="Z68" s="290"/>
      <c r="AA68" s="290"/>
      <c r="AB68" s="290"/>
      <c r="AC68" s="290"/>
      <c r="AD68" s="291"/>
      <c r="AE68" s="59"/>
      <c r="AF68" s="292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9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9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60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</row>
    <row r="69" spans="1:114" ht="21" customHeight="1">
      <c r="A69" s="55"/>
      <c r="B69" s="56" t="s">
        <v>87</v>
      </c>
      <c r="C69" s="280"/>
      <c r="D69" s="288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289"/>
      <c r="Q69" s="39"/>
      <c r="R69" s="288"/>
      <c r="S69" s="58"/>
      <c r="T69" s="58"/>
      <c r="U69" s="58"/>
      <c r="V69" s="58"/>
      <c r="W69" s="290"/>
      <c r="X69" s="290"/>
      <c r="Y69" s="290"/>
      <c r="Z69" s="290"/>
      <c r="AA69" s="290"/>
      <c r="AB69" s="290"/>
      <c r="AC69" s="290"/>
      <c r="AD69" s="291"/>
      <c r="AE69" s="59"/>
      <c r="AF69" s="292"/>
      <c r="AG69" s="292"/>
      <c r="AH69" s="292"/>
      <c r="AI69" s="292"/>
      <c r="AJ69" s="292"/>
      <c r="AK69" s="292"/>
      <c r="AL69" s="292"/>
      <c r="AM69" s="292"/>
      <c r="AN69" s="292"/>
      <c r="AO69" s="292"/>
      <c r="AP69" s="292"/>
      <c r="AQ69" s="292"/>
      <c r="AR69" s="58"/>
      <c r="AS69" s="59"/>
      <c r="AT69" s="292"/>
      <c r="AU69" s="292"/>
      <c r="AV69" s="292"/>
      <c r="AW69" s="292"/>
      <c r="AX69" s="292"/>
      <c r="AY69" s="292"/>
      <c r="AZ69" s="292"/>
      <c r="BA69" s="292"/>
      <c r="BB69" s="292"/>
      <c r="BC69" s="292"/>
      <c r="BD69" s="292"/>
      <c r="BE69" s="292"/>
      <c r="BF69" s="58"/>
      <c r="BG69" s="59"/>
      <c r="BH69" s="292"/>
      <c r="BI69" s="292"/>
      <c r="BJ69" s="292"/>
      <c r="BK69" s="292"/>
      <c r="BL69" s="292"/>
      <c r="BM69" s="292"/>
      <c r="BN69" s="292"/>
      <c r="BO69" s="292"/>
      <c r="BP69" s="292"/>
      <c r="BQ69" s="292"/>
      <c r="BR69" s="292"/>
      <c r="BS69" s="292"/>
      <c r="BT69" s="292"/>
      <c r="BU69" s="60"/>
      <c r="BV69" s="400">
        <v>152642</v>
      </c>
      <c r="BW69" s="400">
        <v>141495</v>
      </c>
      <c r="BX69" s="400">
        <v>158268</v>
      </c>
      <c r="BY69" s="400">
        <v>135742</v>
      </c>
      <c r="BZ69" s="400">
        <v>130614</v>
      </c>
      <c r="CA69" s="400">
        <v>97296</v>
      </c>
      <c r="CB69" s="400">
        <v>180319</v>
      </c>
      <c r="CC69" s="400">
        <v>175137</v>
      </c>
      <c r="CD69" s="400">
        <v>216035</v>
      </c>
      <c r="CE69" s="400">
        <v>188049</v>
      </c>
      <c r="CF69" s="400">
        <v>139782</v>
      </c>
      <c r="CG69" s="400">
        <v>90604</v>
      </c>
      <c r="CH69" s="412">
        <f>SUM(BV69:CG69)</f>
        <v>1805983</v>
      </c>
      <c r="CJ69" s="400" t="s">
        <v>88</v>
      </c>
      <c r="CK69" s="400">
        <f t="shared" ref="CK69:CV69" si="126">BW69</f>
        <v>141495</v>
      </c>
      <c r="CL69" s="400">
        <f t="shared" si="126"/>
        <v>158268</v>
      </c>
      <c r="CM69" s="400">
        <f t="shared" si="126"/>
        <v>135742</v>
      </c>
      <c r="CN69" s="400">
        <f t="shared" si="126"/>
        <v>130614</v>
      </c>
      <c r="CO69" s="400">
        <f t="shared" si="126"/>
        <v>97296</v>
      </c>
      <c r="CP69" s="400">
        <f t="shared" si="126"/>
        <v>180319</v>
      </c>
      <c r="CQ69" s="400">
        <f t="shared" si="126"/>
        <v>175137</v>
      </c>
      <c r="CR69" s="400">
        <f t="shared" si="126"/>
        <v>216035</v>
      </c>
      <c r="CS69" s="400">
        <f>CS70</f>
        <v>229416.92</v>
      </c>
      <c r="CT69" s="400">
        <f t="shared" ref="CT69:CU69" si="127">CT70</f>
        <v>162785.09</v>
      </c>
      <c r="CU69" s="400">
        <f t="shared" si="127"/>
        <v>103183.82</v>
      </c>
      <c r="CV69" s="400">
        <f t="shared" si="126"/>
        <v>1805983</v>
      </c>
      <c r="CX69" s="400"/>
      <c r="CY69" s="400"/>
      <c r="CZ69" s="400"/>
      <c r="DA69" s="400"/>
      <c r="DB69" s="400"/>
      <c r="DC69" s="400"/>
      <c r="DD69" s="292"/>
      <c r="DE69" s="292"/>
      <c r="DF69" s="292"/>
      <c r="DG69" s="292"/>
      <c r="DH69" s="292"/>
      <c r="DI69" s="292"/>
      <c r="DJ69" s="292"/>
    </row>
    <row r="70" spans="1:114" s="414" customFormat="1" ht="22.5" customHeight="1">
      <c r="A70" s="401"/>
      <c r="B70" s="402" t="s">
        <v>89</v>
      </c>
      <c r="C70" s="403"/>
      <c r="D70" s="404"/>
      <c r="E70" s="405"/>
      <c r="F70" s="405"/>
      <c r="G70" s="405"/>
      <c r="H70" s="405"/>
      <c r="I70" s="405"/>
      <c r="J70" s="405"/>
      <c r="K70" s="405"/>
      <c r="L70" s="405"/>
      <c r="M70" s="405"/>
      <c r="N70" s="405"/>
      <c r="O70" s="405"/>
      <c r="P70" s="406"/>
      <c r="Q70" s="407"/>
      <c r="R70" s="404"/>
      <c r="S70" s="408"/>
      <c r="T70" s="408"/>
      <c r="U70" s="408"/>
      <c r="V70" s="408"/>
      <c r="W70" s="409"/>
      <c r="X70" s="409"/>
      <c r="Y70" s="409"/>
      <c r="Z70" s="409"/>
      <c r="AA70" s="409"/>
      <c r="AB70" s="409"/>
      <c r="AC70" s="409"/>
      <c r="AD70" s="410"/>
      <c r="AE70" s="411"/>
      <c r="AF70" s="412"/>
      <c r="AG70" s="412"/>
      <c r="AH70" s="412"/>
      <c r="AI70" s="412"/>
      <c r="AJ70" s="412"/>
      <c r="AK70" s="412"/>
      <c r="AL70" s="412"/>
      <c r="AM70" s="412"/>
      <c r="AN70" s="412"/>
      <c r="AO70" s="412"/>
      <c r="AP70" s="412"/>
      <c r="AQ70" s="412"/>
      <c r="AR70" s="408"/>
      <c r="AS70" s="411"/>
      <c r="AT70" s="412"/>
      <c r="AU70" s="412"/>
      <c r="AV70" s="412"/>
      <c r="AW70" s="412"/>
      <c r="AX70" s="412"/>
      <c r="AY70" s="412"/>
      <c r="AZ70" s="412"/>
      <c r="BA70" s="412"/>
      <c r="BB70" s="412"/>
      <c r="BC70" s="412"/>
      <c r="BD70" s="412"/>
      <c r="BE70" s="412"/>
      <c r="BF70" s="408"/>
      <c r="BG70" s="411"/>
      <c r="BH70" s="412"/>
      <c r="BI70" s="412"/>
      <c r="BJ70" s="412"/>
      <c r="BK70" s="412"/>
      <c r="BL70" s="412"/>
      <c r="BM70" s="412"/>
      <c r="BN70" s="412"/>
      <c r="BO70" s="412"/>
      <c r="BP70" s="412"/>
      <c r="BQ70" s="412"/>
      <c r="BR70" s="412"/>
      <c r="BS70" s="412"/>
      <c r="BT70" s="412"/>
      <c r="BU70" s="60"/>
      <c r="BV70" s="413">
        <f>BV27</f>
        <v>161157.867486095</v>
      </c>
      <c r="BW70" s="413">
        <f>BW27</f>
        <v>155966.83045180296</v>
      </c>
      <c r="BX70" s="413">
        <f t="shared" ref="BX70:CH70" si="128">BX27</f>
        <v>196111.53846153844</v>
      </c>
      <c r="BY70" s="413">
        <f t="shared" si="128"/>
        <v>159169.23076923078</v>
      </c>
      <c r="BZ70" s="413">
        <f t="shared" si="128"/>
        <v>151482.39341785663</v>
      </c>
      <c r="CA70" s="413">
        <f t="shared" si="128"/>
        <v>141442.12910096842</v>
      </c>
      <c r="CB70" s="413">
        <f t="shared" si="128"/>
        <v>176986.21444761599</v>
      </c>
      <c r="CC70" s="413">
        <f t="shared" si="128"/>
        <v>201301.08944885107</v>
      </c>
      <c r="CD70" s="413">
        <f t="shared" si="128"/>
        <v>212833.04013559342</v>
      </c>
      <c r="CE70" s="413">
        <f t="shared" si="128"/>
        <v>215922.30386211892</v>
      </c>
      <c r="CF70" s="413">
        <f t="shared" si="128"/>
        <v>171115.84223630186</v>
      </c>
      <c r="CG70" s="413">
        <f t="shared" si="128"/>
        <v>87483.816691710366</v>
      </c>
      <c r="CH70" s="412">
        <f>SUM(BV70:CG70)</f>
        <v>2030972.2965096838</v>
      </c>
      <c r="CI70"/>
      <c r="CJ70" s="413">
        <f>CJ27</f>
        <v>181422.94</v>
      </c>
      <c r="CK70" s="413">
        <f>CK27</f>
        <v>165852.66999999998</v>
      </c>
      <c r="CL70" s="413">
        <f t="shared" ref="CL70:CW70" si="129">CL27</f>
        <v>185796.68</v>
      </c>
      <c r="CM70" s="413">
        <f t="shared" si="129"/>
        <v>160056.65999999997</v>
      </c>
      <c r="CN70" s="413">
        <f t="shared" si="129"/>
        <v>153801.95000000001</v>
      </c>
      <c r="CO70" s="413">
        <f t="shared" si="129"/>
        <v>120180.87999999999</v>
      </c>
      <c r="CP70" s="413">
        <f t="shared" si="129"/>
        <v>225720.09</v>
      </c>
      <c r="CQ70" s="413">
        <f t="shared" si="129"/>
        <v>206895.31</v>
      </c>
      <c r="CR70" s="413">
        <f t="shared" si="129"/>
        <v>256653.63999999998</v>
      </c>
      <c r="CS70" s="413">
        <f t="shared" si="129"/>
        <v>229416.92</v>
      </c>
      <c r="CT70" s="413">
        <f t="shared" si="129"/>
        <v>162785.09</v>
      </c>
      <c r="CU70" s="413">
        <f t="shared" si="129"/>
        <v>103183.82</v>
      </c>
      <c r="CV70" s="412">
        <f>SUM(CJ70:CU70)</f>
        <v>2151766.65</v>
      </c>
      <c r="CW70"/>
      <c r="CX70" s="413">
        <f>CX27</f>
        <v>190494.087</v>
      </c>
      <c r="CY70" s="413">
        <f t="shared" ref="CY70:DJ70" si="130">CY27</f>
        <v>174145.30349999998</v>
      </c>
      <c r="CZ70" s="413">
        <f t="shared" si="130"/>
        <v>195086.514</v>
      </c>
      <c r="DA70" s="413">
        <f t="shared" si="130"/>
        <v>168059.49299999999</v>
      </c>
      <c r="DB70" s="413">
        <f t="shared" si="130"/>
        <v>161492.04750000002</v>
      </c>
      <c r="DC70" s="413">
        <f t="shared" si="130"/>
        <v>126189.924</v>
      </c>
      <c r="DD70" s="413">
        <f t="shared" si="130"/>
        <v>237006.09450000001</v>
      </c>
      <c r="DE70" s="413">
        <f t="shared" si="130"/>
        <v>217240.07550000001</v>
      </c>
      <c r="DF70" s="413">
        <f t="shared" si="130"/>
        <v>269486.32199999999</v>
      </c>
      <c r="DG70" s="413">
        <f t="shared" si="130"/>
        <v>240887.76600000003</v>
      </c>
      <c r="DH70" s="413">
        <f t="shared" si="130"/>
        <v>170924.34450000001</v>
      </c>
      <c r="DI70" s="413">
        <f t="shared" si="130"/>
        <v>108343.01100000001</v>
      </c>
      <c r="DJ70" s="412">
        <f>SUM(CX70:DI70)</f>
        <v>2259354.9824999999</v>
      </c>
    </row>
    <row r="71" spans="1:114" s="594" customFormat="1" ht="15.75" customHeight="1" outlineLevel="1">
      <c r="A71" s="719">
        <v>7</v>
      </c>
      <c r="B71" s="720" t="s">
        <v>90</v>
      </c>
      <c r="C71" s="721"/>
      <c r="D71" s="722">
        <v>98048</v>
      </c>
      <c r="E71" s="723">
        <v>128688</v>
      </c>
      <c r="F71" s="723">
        <v>124704</v>
      </c>
      <c r="G71" s="723">
        <v>157500</v>
      </c>
      <c r="H71" s="723">
        <v>182600</v>
      </c>
      <c r="I71" s="723">
        <v>157700</v>
      </c>
      <c r="J71" s="723">
        <v>181700</v>
      </c>
      <c r="K71" s="723">
        <v>165900</v>
      </c>
      <c r="L71" s="723">
        <v>174300</v>
      </c>
      <c r="M71" s="723">
        <v>215800</v>
      </c>
      <c r="N71" s="723">
        <v>180000</v>
      </c>
      <c r="O71" s="723">
        <v>112500</v>
      </c>
      <c r="P71" s="724">
        <f t="shared" ref="P71:P72" si="131">SUM(D71:O71)</f>
        <v>1879440</v>
      </c>
      <c r="Q71" s="725"/>
      <c r="R71" s="722">
        <v>158400</v>
      </c>
      <c r="S71" s="726">
        <v>161000</v>
      </c>
      <c r="T71" s="726">
        <v>117800</v>
      </c>
      <c r="U71" s="726">
        <v>2000</v>
      </c>
      <c r="V71" s="726">
        <v>53800</v>
      </c>
      <c r="W71" s="726">
        <v>190600</v>
      </c>
      <c r="X71" s="726">
        <v>187900</v>
      </c>
      <c r="Y71" s="726">
        <v>196800</v>
      </c>
      <c r="Z71" s="726">
        <v>192300</v>
      </c>
      <c r="AA71" s="726">
        <v>182300</v>
      </c>
      <c r="AB71" s="726">
        <v>175000</v>
      </c>
      <c r="AC71" s="726">
        <v>134100</v>
      </c>
      <c r="AD71" s="727">
        <f>SUM(R71:AC71)</f>
        <v>1752000</v>
      </c>
      <c r="AE71" s="728"/>
      <c r="AF71" s="729">
        <f t="shared" ref="AF71:AL71" si="132">SUM(AF72,AF74)</f>
        <v>161400</v>
      </c>
      <c r="AG71" s="729">
        <f t="shared" si="132"/>
        <v>166000</v>
      </c>
      <c r="AH71" s="729">
        <f t="shared" si="132"/>
        <v>150471</v>
      </c>
      <c r="AI71" s="729">
        <f t="shared" si="132"/>
        <v>149040</v>
      </c>
      <c r="AJ71" s="729">
        <f t="shared" si="132"/>
        <v>196360</v>
      </c>
      <c r="AK71" s="729">
        <f t="shared" si="132"/>
        <v>163300</v>
      </c>
      <c r="AL71" s="729">
        <f t="shared" si="132"/>
        <v>190000</v>
      </c>
      <c r="AM71" s="729">
        <f t="shared" ref="AM71:AQ71" si="133">SUM(AM72,AM74,AM75)</f>
        <v>167000</v>
      </c>
      <c r="AN71" s="729">
        <f t="shared" si="133"/>
        <v>170500</v>
      </c>
      <c r="AO71" s="729">
        <f t="shared" si="133"/>
        <v>140000</v>
      </c>
      <c r="AP71" s="729">
        <f t="shared" si="133"/>
        <v>130000</v>
      </c>
      <c r="AQ71" s="729">
        <f t="shared" si="133"/>
        <v>100000</v>
      </c>
      <c r="AR71" s="730">
        <f t="shared" ref="AR71:AR72" si="134">SUM(AF71:AQ71)</f>
        <v>1884071</v>
      </c>
      <c r="AS71" s="728"/>
      <c r="AT71" s="729">
        <f t="shared" ref="AT71:BC71" si="135">SUM(AT72,AT74,AT75)</f>
        <v>133000</v>
      </c>
      <c r="AU71" s="729">
        <f t="shared" si="135"/>
        <v>125180</v>
      </c>
      <c r="AV71" s="729">
        <f t="shared" si="135"/>
        <v>117228</v>
      </c>
      <c r="AW71" s="729">
        <f t="shared" si="135"/>
        <v>127500</v>
      </c>
      <c r="AX71" s="729">
        <f t="shared" si="135"/>
        <v>140000</v>
      </c>
      <c r="AY71" s="729">
        <f t="shared" si="135"/>
        <v>158342.99999899999</v>
      </c>
      <c r="AZ71" s="729">
        <f t="shared" si="135"/>
        <v>152409</v>
      </c>
      <c r="BA71" s="729">
        <f t="shared" si="135"/>
        <v>173520</v>
      </c>
      <c r="BB71" s="729">
        <f t="shared" si="135"/>
        <v>165000</v>
      </c>
      <c r="BC71" s="729">
        <f t="shared" si="135"/>
        <v>157500</v>
      </c>
      <c r="BD71" s="729">
        <v>129431</v>
      </c>
      <c r="BE71" s="729">
        <v>61700</v>
      </c>
      <c r="BF71" s="726">
        <f t="shared" ref="BF71:BF72" si="136">SUM(AT71:BE71)</f>
        <v>1640810.999999</v>
      </c>
      <c r="BG71" s="728">
        <f>BF71-AR71</f>
        <v>-243260.00000100001</v>
      </c>
      <c r="BH71" s="731">
        <f>SUM(BH72,BH74,BH75)</f>
        <v>139760</v>
      </c>
      <c r="BI71" s="731">
        <f t="shared" ref="BI71:BP71" si="137">SUM(BI72,BI74,BI75)</f>
        <v>116580</v>
      </c>
      <c r="BJ71" s="731">
        <f t="shared" si="137"/>
        <v>148340</v>
      </c>
      <c r="BK71" s="731">
        <f t="shared" si="137"/>
        <v>112360</v>
      </c>
      <c r="BL71" s="731">
        <f t="shared" si="137"/>
        <v>108660</v>
      </c>
      <c r="BM71" s="731">
        <f t="shared" si="137"/>
        <v>153416</v>
      </c>
      <c r="BN71" s="731">
        <f t="shared" si="137"/>
        <v>137676</v>
      </c>
      <c r="BO71" s="731">
        <f t="shared" si="137"/>
        <v>160654</v>
      </c>
      <c r="BP71" s="731">
        <f t="shared" si="137"/>
        <v>157000</v>
      </c>
      <c r="BQ71" s="731">
        <v>156725</v>
      </c>
      <c r="BR71" s="731">
        <v>182069</v>
      </c>
      <c r="BS71" s="731">
        <f>BS72+BS75</f>
        <v>156420</v>
      </c>
      <c r="BT71" s="731">
        <f t="shared" ref="BT71:BT72" si="138">SUM(BH71:BS71)</f>
        <v>1729660</v>
      </c>
      <c r="BU71" s="732"/>
      <c r="BV71" s="599">
        <f t="shared" ref="BV71:BX71" si="139">BV7*BV73</f>
        <v>133000</v>
      </c>
      <c r="BW71" s="599">
        <f t="shared" si="139"/>
        <v>133000</v>
      </c>
      <c r="BX71" s="599">
        <f t="shared" si="139"/>
        <v>147000</v>
      </c>
      <c r="BY71" s="599">
        <f>BY7*BY73</f>
        <v>172800</v>
      </c>
      <c r="BZ71" s="599">
        <f>BZ7*BZ73</f>
        <v>165600</v>
      </c>
      <c r="CA71" s="599">
        <f>CA7*CA73</f>
        <v>158400</v>
      </c>
      <c r="CB71" s="599">
        <f>CB7*CB73</f>
        <v>180000</v>
      </c>
      <c r="CC71" s="599">
        <f t="shared" ref="CC71:CG71" si="140">CC7*CC73</f>
        <v>172800</v>
      </c>
      <c r="CD71" s="599">
        <f t="shared" si="140"/>
        <v>172800</v>
      </c>
      <c r="CE71" s="599">
        <f>CE7*CE73</f>
        <v>172800</v>
      </c>
      <c r="CF71" s="599">
        <f t="shared" si="140"/>
        <v>167200</v>
      </c>
      <c r="CG71" s="599">
        <f t="shared" si="140"/>
        <v>98800</v>
      </c>
      <c r="CH71" s="599">
        <f t="shared" ref="CH71:CH74" si="141">SUM(BV71:CG71)</f>
        <v>1874200</v>
      </c>
      <c r="CI71" s="599"/>
      <c r="CJ71" s="599">
        <f>CJ7*CJ73</f>
        <v>165000</v>
      </c>
      <c r="CK71" s="599">
        <f t="shared" ref="CK71:CT71" si="142">CK7*CK73</f>
        <v>188600</v>
      </c>
      <c r="CL71" s="599">
        <f>CL7*CL73</f>
        <v>171000</v>
      </c>
      <c r="CM71" s="599">
        <f>CM7*CM73</f>
        <v>180000</v>
      </c>
      <c r="CN71" s="599">
        <f>CN7*CN73</f>
        <v>189000</v>
      </c>
      <c r="CO71" s="599">
        <f t="shared" si="142"/>
        <v>193500</v>
      </c>
      <c r="CP71" s="599">
        <f>CP7*CP73</f>
        <v>216000</v>
      </c>
      <c r="CQ71" s="599">
        <f t="shared" si="142"/>
        <v>207000</v>
      </c>
      <c r="CR71" s="599">
        <f t="shared" si="142"/>
        <v>197800</v>
      </c>
      <c r="CS71" s="599">
        <f t="shared" si="142"/>
        <v>216200</v>
      </c>
      <c r="CT71" s="599">
        <f t="shared" si="142"/>
        <v>174800</v>
      </c>
      <c r="CU71" s="599">
        <f>CU7*CU73</f>
        <v>119600</v>
      </c>
      <c r="CV71" s="731">
        <f>SUM(CJ71:CU71)</f>
        <v>2218500</v>
      </c>
      <c r="CW71" s="599"/>
      <c r="CX71" s="599">
        <f>CX7*CX73</f>
        <v>184000</v>
      </c>
      <c r="CY71" s="599">
        <f t="shared" ref="CY71:DI71" si="143">CY7*CY73</f>
        <v>138000</v>
      </c>
      <c r="CZ71" s="599">
        <f>CZ7*CZ73</f>
        <v>174800</v>
      </c>
      <c r="DA71" s="599">
        <f>DA7*DA73</f>
        <v>184000</v>
      </c>
      <c r="DB71" s="599">
        <f t="shared" ref="DB71:DJ71" si="144">DB7*DB73</f>
        <v>193200</v>
      </c>
      <c r="DC71" s="599">
        <f t="shared" si="144"/>
        <v>184000</v>
      </c>
      <c r="DD71" s="599">
        <f>DD7*DD73</f>
        <v>211600</v>
      </c>
      <c r="DE71" s="599">
        <f t="shared" ref="DE71:DJ71" si="145">DE7*DE73</f>
        <v>193200</v>
      </c>
      <c r="DF71" s="599">
        <f t="shared" si="145"/>
        <v>184000</v>
      </c>
      <c r="DG71" s="599">
        <f t="shared" si="145"/>
        <v>211600</v>
      </c>
      <c r="DH71" s="599">
        <f t="shared" si="145"/>
        <v>174800</v>
      </c>
      <c r="DI71" s="599">
        <f>DI7*DI73</f>
        <v>119600</v>
      </c>
      <c r="DJ71" s="731">
        <f>SUM(CX71:DI71)</f>
        <v>2152800</v>
      </c>
    </row>
    <row r="72" spans="1:114" ht="15.75" outlineLevel="1">
      <c r="A72" s="94"/>
      <c r="B72" s="210" t="s">
        <v>91</v>
      </c>
      <c r="C72" s="335"/>
      <c r="D72" s="313">
        <v>98048</v>
      </c>
      <c r="E72" s="89">
        <v>128688</v>
      </c>
      <c r="F72" s="89">
        <v>124704</v>
      </c>
      <c r="G72" s="89">
        <v>157500</v>
      </c>
      <c r="H72" s="89">
        <v>182600</v>
      </c>
      <c r="I72" s="89">
        <v>157700</v>
      </c>
      <c r="J72" s="89">
        <v>181700</v>
      </c>
      <c r="K72" s="89">
        <v>165900</v>
      </c>
      <c r="L72" s="89">
        <v>174300</v>
      </c>
      <c r="M72" s="89">
        <v>215800</v>
      </c>
      <c r="N72" s="89">
        <v>180000</v>
      </c>
      <c r="O72" s="89">
        <v>112500</v>
      </c>
      <c r="P72" s="314">
        <f t="shared" si="131"/>
        <v>1879440</v>
      </c>
      <c r="Q72" s="90"/>
      <c r="R72" s="313">
        <v>158400</v>
      </c>
      <c r="S72" s="91">
        <v>146000</v>
      </c>
      <c r="T72" s="91">
        <v>102200</v>
      </c>
      <c r="U72" s="91">
        <v>0</v>
      </c>
      <c r="V72" s="91">
        <v>43800</v>
      </c>
      <c r="W72" s="91">
        <v>160600</v>
      </c>
      <c r="X72" s="91">
        <v>167900</v>
      </c>
      <c r="Y72" s="91">
        <v>153300</v>
      </c>
      <c r="Z72" s="91">
        <v>153300</v>
      </c>
      <c r="AA72" s="91">
        <v>153300</v>
      </c>
      <c r="AB72" s="91">
        <v>146000</v>
      </c>
      <c r="AC72" s="91">
        <v>124100</v>
      </c>
      <c r="AD72" s="315"/>
      <c r="AE72" s="23"/>
      <c r="AF72" s="316">
        <v>131400</v>
      </c>
      <c r="AG72" s="91">
        <v>146000</v>
      </c>
      <c r="AH72" s="91">
        <v>125511</v>
      </c>
      <c r="AI72" s="91">
        <v>135000</v>
      </c>
      <c r="AJ72" s="91">
        <v>177320</v>
      </c>
      <c r="AK72" s="91">
        <v>151300</v>
      </c>
      <c r="AL72" s="91">
        <v>176000</v>
      </c>
      <c r="AM72" s="91">
        <f>AM73*AM7</f>
        <v>154000</v>
      </c>
      <c r="AN72" s="91">
        <f>AN73*AN7</f>
        <v>157500</v>
      </c>
      <c r="AO72" s="91">
        <f>AO73*AO7</f>
        <v>140000</v>
      </c>
      <c r="AP72" s="91">
        <f>AP73*AP7</f>
        <v>130000</v>
      </c>
      <c r="AQ72" s="91">
        <f>AQ73*AQ7+16000</f>
        <v>100000</v>
      </c>
      <c r="AR72" s="92">
        <f t="shared" si="134"/>
        <v>1724031</v>
      </c>
      <c r="AS72" s="23"/>
      <c r="AT72" s="91">
        <f>AT73*AT7</f>
        <v>133000</v>
      </c>
      <c r="AU72" s="91">
        <f>125180</f>
        <v>125180</v>
      </c>
      <c r="AV72" s="91">
        <f>AV73*AV7+7428</f>
        <v>117228</v>
      </c>
      <c r="AW72" s="91">
        <f>AW73*AW7</f>
        <v>123500</v>
      </c>
      <c r="AX72" s="91">
        <f>AX73*AX7</f>
        <v>132000</v>
      </c>
      <c r="AY72" s="91">
        <f>AY73*AY7</f>
        <v>153342.99999899999</v>
      </c>
      <c r="AZ72" s="91">
        <v>142409</v>
      </c>
      <c r="BA72" s="91">
        <v>163520</v>
      </c>
      <c r="BB72" s="91">
        <f>BB73*BB7</f>
        <v>165000</v>
      </c>
      <c r="BC72" s="91">
        <f>BC73*BC7</f>
        <v>157500</v>
      </c>
      <c r="BD72" s="316">
        <v>129431</v>
      </c>
      <c r="BE72" s="316">
        <v>61700</v>
      </c>
      <c r="BF72" s="91">
        <f t="shared" si="136"/>
        <v>1603810.999999</v>
      </c>
      <c r="BG72" s="27">
        <f>BF72+BF75-AR72-AR75</f>
        <v>-113040.00000100001</v>
      </c>
      <c r="BH72" s="91">
        <v>136760</v>
      </c>
      <c r="BI72" s="91">
        <v>116580</v>
      </c>
      <c r="BJ72" s="91">
        <v>148340</v>
      </c>
      <c r="BK72" s="91">
        <v>112360</v>
      </c>
      <c r="BL72" s="91">
        <v>108660</v>
      </c>
      <c r="BM72" s="91">
        <v>153416</v>
      </c>
      <c r="BN72" s="91">
        <v>137676</v>
      </c>
      <c r="BO72" s="91">
        <v>150654</v>
      </c>
      <c r="BP72" s="91">
        <f>7100*BP7</f>
        <v>142000</v>
      </c>
      <c r="BQ72" s="91">
        <f t="shared" ref="BQ72:BR72" si="146">BQ71-BQ75</f>
        <v>136725</v>
      </c>
      <c r="BR72" s="91">
        <f t="shared" si="146"/>
        <v>167069</v>
      </c>
      <c r="BS72" s="91">
        <v>124020</v>
      </c>
      <c r="BT72" s="91">
        <f t="shared" si="138"/>
        <v>1634260</v>
      </c>
      <c r="BU72" s="28"/>
      <c r="BV72" s="397">
        <f>BV73*BV74-24551</f>
        <v>108449</v>
      </c>
      <c r="BW72" s="397">
        <f>BW73*BW74</f>
        <v>133000</v>
      </c>
      <c r="BX72" s="397">
        <f t="shared" ref="BX72:CG72" si="147">BX73*BX74</f>
        <v>147000</v>
      </c>
      <c r="BY72" s="397">
        <f>BY73*BY74</f>
        <v>172800</v>
      </c>
      <c r="BZ72" s="397">
        <f>BZ73*BZ74</f>
        <v>165600</v>
      </c>
      <c r="CA72" s="397">
        <f>CA73*CA74</f>
        <v>158400</v>
      </c>
      <c r="CB72" s="397">
        <f>CB73*CB74</f>
        <v>180000</v>
      </c>
      <c r="CC72" s="397">
        <f t="shared" si="147"/>
        <v>172800</v>
      </c>
      <c r="CD72" s="397">
        <f t="shared" si="147"/>
        <v>172800</v>
      </c>
      <c r="CE72" s="397">
        <f t="shared" si="147"/>
        <v>172800</v>
      </c>
      <c r="CF72" s="397">
        <f t="shared" si="147"/>
        <v>167200</v>
      </c>
      <c r="CG72" s="397">
        <f t="shared" si="147"/>
        <v>98800</v>
      </c>
      <c r="CH72" s="91">
        <f t="shared" si="141"/>
        <v>1849649</v>
      </c>
      <c r="CI72" s="395">
        <f>(CH72-BT78)/BT78</f>
        <v>0.29391868731173409</v>
      </c>
      <c r="CJ72" s="397">
        <f>CJ71</f>
        <v>165000</v>
      </c>
      <c r="CK72" s="397">
        <f t="shared" ref="CK72:CO72" si="148">CK71</f>
        <v>188600</v>
      </c>
      <c r="CL72" s="397">
        <f t="shared" si="148"/>
        <v>171000</v>
      </c>
      <c r="CM72" s="397">
        <f t="shared" si="148"/>
        <v>180000</v>
      </c>
      <c r="CN72" s="397">
        <f t="shared" si="148"/>
        <v>189000</v>
      </c>
      <c r="CO72" s="397">
        <f t="shared" si="148"/>
        <v>193500</v>
      </c>
      <c r="CP72" s="397">
        <v>168760</v>
      </c>
      <c r="CQ72" s="397">
        <v>194340</v>
      </c>
      <c r="CR72" s="397">
        <v>208000</v>
      </c>
      <c r="CS72" s="397">
        <v>201780</v>
      </c>
      <c r="CT72" s="397">
        <v>154060</v>
      </c>
      <c r="CU72" s="397">
        <v>96720</v>
      </c>
      <c r="CV72" s="91">
        <v>1949109</v>
      </c>
      <c r="CW72" s="395">
        <f>(CV72-CH78)/CH78</f>
        <v>0.11040221771781523</v>
      </c>
      <c r="CX72" s="397">
        <f>CX71</f>
        <v>184000</v>
      </c>
      <c r="CY72" s="397">
        <f t="shared" ref="CY72:DC72" si="149">CY71</f>
        <v>138000</v>
      </c>
      <c r="CZ72" s="397">
        <f t="shared" si="149"/>
        <v>174800</v>
      </c>
      <c r="DA72" s="397">
        <f t="shared" si="149"/>
        <v>184000</v>
      </c>
      <c r="DB72" s="397">
        <f t="shared" si="149"/>
        <v>193200</v>
      </c>
      <c r="DC72" s="397">
        <f t="shared" si="149"/>
        <v>184000</v>
      </c>
      <c r="DD72" s="397">
        <v>168760</v>
      </c>
      <c r="DE72" s="397">
        <v>194340</v>
      </c>
      <c r="DF72" s="397">
        <v>208000</v>
      </c>
      <c r="DG72" s="397">
        <v>201780</v>
      </c>
      <c r="DH72" s="397">
        <v>154060</v>
      </c>
      <c r="DI72" s="397">
        <v>96720</v>
      </c>
      <c r="DJ72" s="91">
        <v>1949109</v>
      </c>
    </row>
    <row r="73" spans="1:114" ht="15.75" customHeight="1" outlineLevel="1">
      <c r="A73" s="94"/>
      <c r="B73" s="210" t="s">
        <v>92</v>
      </c>
      <c r="C73" s="335"/>
      <c r="D73" s="313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314"/>
      <c r="Q73" s="90"/>
      <c r="R73" s="316">
        <f t="shared" ref="R73:AC73" si="150">R72/R7</f>
        <v>7200</v>
      </c>
      <c r="S73" s="316">
        <f t="shared" si="150"/>
        <v>7300</v>
      </c>
      <c r="T73" s="316">
        <f t="shared" si="150"/>
        <v>7300</v>
      </c>
      <c r="U73" s="316">
        <f t="shared" si="150"/>
        <v>0</v>
      </c>
      <c r="V73" s="316">
        <f t="shared" si="150"/>
        <v>3650</v>
      </c>
      <c r="W73" s="316">
        <f t="shared" si="150"/>
        <v>7300</v>
      </c>
      <c r="X73" s="316">
        <f t="shared" si="150"/>
        <v>7300</v>
      </c>
      <c r="Y73" s="316">
        <f t="shared" si="150"/>
        <v>7300</v>
      </c>
      <c r="Z73" s="316">
        <f t="shared" si="150"/>
        <v>7300</v>
      </c>
      <c r="AA73" s="316">
        <f t="shared" si="150"/>
        <v>7300</v>
      </c>
      <c r="AB73" s="316">
        <f t="shared" si="150"/>
        <v>7300</v>
      </c>
      <c r="AC73" s="316">
        <f t="shared" si="150"/>
        <v>7300</v>
      </c>
      <c r="AD73" s="315"/>
      <c r="AE73" s="23"/>
      <c r="AF73" s="316">
        <f t="shared" ref="AF73:AL73" si="151">AF72/AF7</f>
        <v>7300</v>
      </c>
      <c r="AG73" s="316">
        <f t="shared" si="151"/>
        <v>7300</v>
      </c>
      <c r="AH73" s="316">
        <f t="shared" si="151"/>
        <v>6275.55</v>
      </c>
      <c r="AI73" s="316">
        <f t="shared" si="151"/>
        <v>6750</v>
      </c>
      <c r="AJ73" s="316">
        <f t="shared" si="151"/>
        <v>8060</v>
      </c>
      <c r="AK73" s="316">
        <f t="shared" si="151"/>
        <v>7565</v>
      </c>
      <c r="AL73" s="316">
        <f t="shared" si="151"/>
        <v>8000</v>
      </c>
      <c r="AM73" s="91">
        <v>7000</v>
      </c>
      <c r="AN73" s="91">
        <v>7500</v>
      </c>
      <c r="AO73" s="91">
        <v>7000</v>
      </c>
      <c r="AP73" s="91">
        <v>6500</v>
      </c>
      <c r="AQ73" s="91">
        <v>7000</v>
      </c>
      <c r="AR73" s="92">
        <f>AVERAGE(AF73:AQ73)</f>
        <v>7187.5458333333336</v>
      </c>
      <c r="AS73" s="23"/>
      <c r="AT73" s="91">
        <v>7000</v>
      </c>
      <c r="AU73" s="91">
        <f>AU72/AU7</f>
        <v>6588.4210526315792</v>
      </c>
      <c r="AV73" s="91">
        <v>6100</v>
      </c>
      <c r="AW73" s="91">
        <v>6500</v>
      </c>
      <c r="AX73" s="91">
        <v>6000</v>
      </c>
      <c r="AY73" s="91">
        <v>7302.0476189999999</v>
      </c>
      <c r="AZ73" s="91">
        <v>7000</v>
      </c>
      <c r="BA73" s="91">
        <f>BA72/BA7</f>
        <v>7432.727272727273</v>
      </c>
      <c r="BB73" s="91">
        <v>7500</v>
      </c>
      <c r="BC73" s="91">
        <v>7500</v>
      </c>
      <c r="BD73" s="91">
        <f>BD72/BD7</f>
        <v>6471.55</v>
      </c>
      <c r="BE73" s="91">
        <f>BE72/BE7</f>
        <v>6170</v>
      </c>
      <c r="BF73" s="91">
        <f>AVERAGE(AT73:BE73)</f>
        <v>6797.0621620299053</v>
      </c>
      <c r="BG73" s="27"/>
      <c r="BH73" s="91">
        <f t="shared" ref="BH73:BS73" si="152">BH72/BH7</f>
        <v>6838</v>
      </c>
      <c r="BI73" s="91">
        <f t="shared" si="152"/>
        <v>6857.6470588235297</v>
      </c>
      <c r="BJ73" s="91">
        <f t="shared" si="152"/>
        <v>6449.565217391304</v>
      </c>
      <c r="BK73" s="91">
        <f t="shared" si="152"/>
        <v>6242.2222222222226</v>
      </c>
      <c r="BL73" s="91">
        <f t="shared" si="152"/>
        <v>4939.090909090909</v>
      </c>
      <c r="BM73" s="91">
        <f t="shared" si="152"/>
        <v>6670.260869565217</v>
      </c>
      <c r="BN73" s="91">
        <f t="shared" si="152"/>
        <v>6556</v>
      </c>
      <c r="BO73" s="91">
        <f t="shared" si="152"/>
        <v>7174</v>
      </c>
      <c r="BP73" s="91">
        <f t="shared" si="152"/>
        <v>7100</v>
      </c>
      <c r="BQ73" s="91">
        <f t="shared" si="152"/>
        <v>6510.7142857142853</v>
      </c>
      <c r="BR73" s="91">
        <f t="shared" si="152"/>
        <v>8353.4500000000007</v>
      </c>
      <c r="BS73" s="91">
        <f t="shared" si="152"/>
        <v>8858.5714285714294</v>
      </c>
      <c r="BT73" s="91">
        <f>AVERAGE(BH73:BS73)</f>
        <v>6879.1268326149084</v>
      </c>
      <c r="BU73" s="28"/>
      <c r="BV73" s="91">
        <v>7000</v>
      </c>
      <c r="BW73" s="91">
        <v>7000</v>
      </c>
      <c r="BX73" s="91">
        <v>7000</v>
      </c>
      <c r="BY73" s="91">
        <v>7200</v>
      </c>
      <c r="BZ73" s="91">
        <v>7200</v>
      </c>
      <c r="CA73" s="91">
        <v>7200</v>
      </c>
      <c r="CB73" s="91">
        <v>7200</v>
      </c>
      <c r="CC73" s="91">
        <f t="shared" ref="CC73" si="153">CB73</f>
        <v>7200</v>
      </c>
      <c r="CD73" s="91">
        <v>7200</v>
      </c>
      <c r="CE73" s="91">
        <v>7200</v>
      </c>
      <c r="CF73" s="91">
        <v>7600</v>
      </c>
      <c r="CG73" s="91">
        <v>7600</v>
      </c>
      <c r="CH73" s="91"/>
      <c r="CI73" s="596"/>
      <c r="CJ73" s="91">
        <v>7500</v>
      </c>
      <c r="CK73" s="91">
        <v>8200</v>
      </c>
      <c r="CL73" s="91">
        <v>9000</v>
      </c>
      <c r="CM73" s="91">
        <v>9000</v>
      </c>
      <c r="CN73" s="91">
        <v>9000</v>
      </c>
      <c r="CO73" s="91">
        <v>9000</v>
      </c>
      <c r="CP73" s="91">
        <v>9000</v>
      </c>
      <c r="CQ73" s="91">
        <v>9200</v>
      </c>
      <c r="CR73" s="91">
        <f t="shared" ref="CR73:CU73" si="154">CQ73</f>
        <v>9200</v>
      </c>
      <c r="CS73" s="91">
        <f t="shared" si="154"/>
        <v>9200</v>
      </c>
      <c r="CT73" s="91">
        <f t="shared" si="154"/>
        <v>9200</v>
      </c>
      <c r="CU73" s="91">
        <f t="shared" si="154"/>
        <v>9200</v>
      </c>
      <c r="CV73" s="91"/>
      <c r="CW73" s="596"/>
      <c r="CX73" s="91">
        <f>CU73</f>
        <v>9200</v>
      </c>
      <c r="CY73" s="91">
        <f>CX73</f>
        <v>9200</v>
      </c>
      <c r="CZ73" s="91">
        <f t="shared" ref="CZ73:DI73" si="155">CY73</f>
        <v>9200</v>
      </c>
      <c r="DA73" s="91">
        <f t="shared" si="155"/>
        <v>9200</v>
      </c>
      <c r="DB73" s="91">
        <f t="shared" si="155"/>
        <v>9200</v>
      </c>
      <c r="DC73" s="91">
        <f t="shared" si="155"/>
        <v>9200</v>
      </c>
      <c r="DD73" s="91">
        <f t="shared" si="155"/>
        <v>9200</v>
      </c>
      <c r="DE73" s="91">
        <f t="shared" si="155"/>
        <v>9200</v>
      </c>
      <c r="DF73" s="91">
        <f t="shared" si="155"/>
        <v>9200</v>
      </c>
      <c r="DG73" s="91">
        <f t="shared" si="155"/>
        <v>9200</v>
      </c>
      <c r="DH73" s="91">
        <f t="shared" si="155"/>
        <v>9200</v>
      </c>
      <c r="DI73" s="91">
        <f t="shared" si="155"/>
        <v>9200</v>
      </c>
      <c r="DJ73" s="91"/>
    </row>
    <row r="74" spans="1:114" ht="15.75" customHeight="1" outlineLevel="1">
      <c r="A74" s="94"/>
      <c r="B74" s="210" t="s">
        <v>93</v>
      </c>
      <c r="C74" s="335"/>
      <c r="D74" s="313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314"/>
      <c r="Q74" s="90"/>
      <c r="R74" s="313"/>
      <c r="S74" s="91">
        <v>15000</v>
      </c>
      <c r="T74" s="91">
        <v>15600</v>
      </c>
      <c r="U74" s="91">
        <v>2000</v>
      </c>
      <c r="V74" s="91">
        <v>10000</v>
      </c>
      <c r="W74" s="91">
        <v>30000</v>
      </c>
      <c r="X74" s="91">
        <v>20000</v>
      </c>
      <c r="Y74" s="91">
        <v>30000</v>
      </c>
      <c r="Z74" s="91">
        <v>30000</v>
      </c>
      <c r="AA74" s="91">
        <v>20000</v>
      </c>
      <c r="AB74" s="91">
        <v>20000</v>
      </c>
      <c r="AC74" s="91">
        <v>10000</v>
      </c>
      <c r="AD74" s="315"/>
      <c r="AE74" s="23"/>
      <c r="AF74" s="316">
        <v>30000</v>
      </c>
      <c r="AG74" s="91">
        <v>20000</v>
      </c>
      <c r="AH74" s="91">
        <v>24960</v>
      </c>
      <c r="AI74" s="91">
        <v>14040</v>
      </c>
      <c r="AJ74" s="91">
        <v>19040</v>
      </c>
      <c r="AK74" s="91">
        <v>12000</v>
      </c>
      <c r="AL74" s="91">
        <v>14000</v>
      </c>
      <c r="AM74" s="91">
        <v>13000</v>
      </c>
      <c r="AN74" s="91">
        <v>13000</v>
      </c>
      <c r="AO74" s="91">
        <v>0</v>
      </c>
      <c r="AP74" s="91">
        <v>0</v>
      </c>
      <c r="AQ74" s="91">
        <v>0</v>
      </c>
      <c r="AR74" s="92">
        <f t="shared" ref="AR74:AR75" si="156">SUM(AF74:AQ74)</f>
        <v>160040</v>
      </c>
      <c r="AS74" s="23"/>
      <c r="AT74" s="91">
        <v>0</v>
      </c>
      <c r="AU74" s="91">
        <v>0</v>
      </c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>
        <f t="shared" ref="BF74:BF75" si="157">SUM(AT74:BE74)</f>
        <v>0</v>
      </c>
      <c r="BG74" s="27">
        <f>BF74-AR74</f>
        <v>-160040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>
        <f t="shared" ref="BT74" si="158">SUM(BH74:BS74)</f>
        <v>0</v>
      </c>
      <c r="BU74" s="28"/>
      <c r="BV74" s="399">
        <f t="shared" ref="BV74:BZ74" si="159">BV7</f>
        <v>19</v>
      </c>
      <c r="BW74" s="399">
        <f t="shared" si="159"/>
        <v>19</v>
      </c>
      <c r="BX74" s="399">
        <f t="shared" si="159"/>
        <v>21</v>
      </c>
      <c r="BY74" s="399">
        <f t="shared" si="159"/>
        <v>24</v>
      </c>
      <c r="BZ74" s="399">
        <f t="shared" si="159"/>
        <v>23</v>
      </c>
      <c r="CA74" s="399">
        <f>CA7</f>
        <v>22</v>
      </c>
      <c r="CB74" s="399">
        <f t="shared" ref="CB74:CG74" si="160">CB7</f>
        <v>25</v>
      </c>
      <c r="CC74" s="399">
        <f t="shared" si="160"/>
        <v>24</v>
      </c>
      <c r="CD74" s="399">
        <f t="shared" si="160"/>
        <v>24</v>
      </c>
      <c r="CE74" s="399">
        <f t="shared" si="160"/>
        <v>24</v>
      </c>
      <c r="CF74" s="399">
        <f t="shared" si="160"/>
        <v>22</v>
      </c>
      <c r="CG74" s="399">
        <f t="shared" si="160"/>
        <v>13</v>
      </c>
      <c r="CH74" s="91">
        <f t="shared" ref="CH74" si="161">SUM(BV74:CG74)</f>
        <v>260</v>
      </c>
      <c r="CJ74" s="597">
        <f>CJ7</f>
        <v>22</v>
      </c>
      <c r="CK74" s="597">
        <f t="shared" ref="CK74:CO74" si="162">CK7</f>
        <v>23</v>
      </c>
      <c r="CL74" s="597">
        <f t="shared" si="162"/>
        <v>19</v>
      </c>
      <c r="CM74" s="597">
        <f t="shared" si="162"/>
        <v>20</v>
      </c>
      <c r="CN74" s="597">
        <f t="shared" si="162"/>
        <v>21</v>
      </c>
      <c r="CO74" s="597">
        <f t="shared" si="162"/>
        <v>21.5</v>
      </c>
      <c r="CP74" s="91"/>
      <c r="CQ74" s="91"/>
      <c r="CR74" s="91"/>
      <c r="CS74" s="91"/>
      <c r="CT74" s="91"/>
      <c r="CU74" s="91"/>
      <c r="CV74" s="91">
        <v>131</v>
      </c>
      <c r="CX74" s="597">
        <f>CX7</f>
        <v>20</v>
      </c>
      <c r="CY74" s="597">
        <f t="shared" ref="CY74:DC74" si="163">CY7</f>
        <v>15</v>
      </c>
      <c r="CZ74" s="597">
        <f t="shared" si="163"/>
        <v>19</v>
      </c>
      <c r="DA74" s="597">
        <f t="shared" si="163"/>
        <v>20</v>
      </c>
      <c r="DB74" s="597">
        <f t="shared" si="163"/>
        <v>21</v>
      </c>
      <c r="DC74" s="597">
        <f t="shared" si="163"/>
        <v>20</v>
      </c>
      <c r="DD74" s="91"/>
      <c r="DE74" s="91"/>
      <c r="DF74" s="91"/>
      <c r="DG74" s="91"/>
      <c r="DH74" s="91"/>
      <c r="DI74" s="91"/>
      <c r="DJ74" s="91">
        <v>131</v>
      </c>
    </row>
    <row r="75" spans="1:114" ht="15.75" customHeight="1" outlineLevel="1">
      <c r="A75" s="94"/>
      <c r="B75" s="210" t="s">
        <v>94</v>
      </c>
      <c r="C75" s="335"/>
      <c r="D75" s="313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314"/>
      <c r="Q75" s="90"/>
      <c r="R75" s="313"/>
      <c r="S75" s="91"/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13500</v>
      </c>
      <c r="Z75" s="91">
        <v>9000</v>
      </c>
      <c r="AA75" s="91">
        <v>9000</v>
      </c>
      <c r="AB75" s="91">
        <v>9000</v>
      </c>
      <c r="AC75" s="91">
        <v>0</v>
      </c>
      <c r="AD75" s="315"/>
      <c r="AE75" s="23"/>
      <c r="AF75" s="91">
        <v>13500</v>
      </c>
      <c r="AG75" s="91">
        <v>13500</v>
      </c>
      <c r="AH75" s="91">
        <v>2820</v>
      </c>
      <c r="AI75" s="91">
        <v>0</v>
      </c>
      <c r="AJ75" s="91">
        <v>0</v>
      </c>
      <c r="AK75" s="91">
        <v>0</v>
      </c>
      <c r="AL75" s="91">
        <v>0</v>
      </c>
      <c r="AM75" s="91"/>
      <c r="AN75" s="91"/>
      <c r="AO75" s="91"/>
      <c r="AP75" s="91"/>
      <c r="AQ75" s="91"/>
      <c r="AR75" s="92">
        <f t="shared" si="156"/>
        <v>29820</v>
      </c>
      <c r="AS75" s="23"/>
      <c r="AT75" s="91"/>
      <c r="AU75" s="91"/>
      <c r="AV75" s="91"/>
      <c r="AW75" s="91">
        <v>4000</v>
      </c>
      <c r="AX75" s="91">
        <v>8000</v>
      </c>
      <c r="AY75" s="91">
        <v>5000</v>
      </c>
      <c r="AZ75" s="91">
        <v>10000</v>
      </c>
      <c r="BA75" s="91">
        <v>10000</v>
      </c>
      <c r="BB75" s="91">
        <v>0</v>
      </c>
      <c r="BC75" s="91">
        <v>0</v>
      </c>
      <c r="BD75" s="91">
        <v>0</v>
      </c>
      <c r="BE75" s="91"/>
      <c r="BF75" s="91">
        <f t="shared" si="157"/>
        <v>37000</v>
      </c>
      <c r="BG75" s="27"/>
      <c r="BH75" s="91">
        <v>3000</v>
      </c>
      <c r="BI75" s="91"/>
      <c r="BJ75" s="91"/>
      <c r="BK75" s="91"/>
      <c r="BL75" s="91"/>
      <c r="BM75" s="91"/>
      <c r="BN75" s="91"/>
      <c r="BO75" s="91">
        <v>10000</v>
      </c>
      <c r="BP75" s="91">
        <v>15000</v>
      </c>
      <c r="BQ75" s="91">
        <v>20000</v>
      </c>
      <c r="BR75" s="91">
        <v>15000</v>
      </c>
      <c r="BS75" s="91">
        <f>7200*9/2</f>
        <v>32400</v>
      </c>
      <c r="BT75" s="91">
        <f>SUM(BH75:BS75)</f>
        <v>95400</v>
      </c>
      <c r="BU75" s="28"/>
      <c r="BV75" s="91">
        <f>BV78-BV71</f>
        <v>21584</v>
      </c>
      <c r="BW75" s="91">
        <f t="shared" ref="BW75:CG75" si="164">BW78-BW71</f>
        <v>18963</v>
      </c>
      <c r="BX75" s="91">
        <f t="shared" si="164"/>
        <v>-2354</v>
      </c>
      <c r="BY75" s="91">
        <f t="shared" si="164"/>
        <v>5998</v>
      </c>
      <c r="BZ75" s="91">
        <f t="shared" si="164"/>
        <v>-13737</v>
      </c>
      <c r="CA75" s="91">
        <f t="shared" si="164"/>
        <v>-6090</v>
      </c>
      <c r="CB75" s="91">
        <f t="shared" si="164"/>
        <v>-2176</v>
      </c>
      <c r="CC75" s="91">
        <f t="shared" si="164"/>
        <v>-17344</v>
      </c>
      <c r="CD75" s="91">
        <f t="shared" si="164"/>
        <v>-13369</v>
      </c>
      <c r="CE75" s="91">
        <f t="shared" si="164"/>
        <v>793</v>
      </c>
      <c r="CF75" s="91">
        <f t="shared" si="164"/>
        <v>-12350</v>
      </c>
      <c r="CG75" s="91">
        <f t="shared" si="164"/>
        <v>-98800</v>
      </c>
      <c r="CH75" s="92">
        <f>SUM(CD75:CG75)</f>
        <v>-123726</v>
      </c>
      <c r="CJ75" s="91">
        <f>BV78</f>
        <v>154584</v>
      </c>
      <c r="CK75" s="91">
        <f t="shared" ref="CK75:CO75" si="165">BW78</f>
        <v>151963</v>
      </c>
      <c r="CL75" s="91">
        <f>BX78</f>
        <v>144646</v>
      </c>
      <c r="CM75" s="91">
        <f t="shared" si="165"/>
        <v>178798</v>
      </c>
      <c r="CN75" s="91">
        <f t="shared" si="165"/>
        <v>151863</v>
      </c>
      <c r="CO75" s="91">
        <f t="shared" si="165"/>
        <v>152310</v>
      </c>
      <c r="CP75" s="91"/>
      <c r="CQ75" s="91"/>
      <c r="CR75" s="91"/>
      <c r="CS75" s="91"/>
      <c r="CT75" s="91"/>
      <c r="CU75" s="91"/>
      <c r="CV75" s="91">
        <v>127800</v>
      </c>
      <c r="CX75" s="91">
        <f>CJ78</f>
        <v>0</v>
      </c>
      <c r="CY75" s="91">
        <f t="shared" ref="CY75:DC75" si="166">CK78</f>
        <v>0</v>
      </c>
      <c r="CZ75" s="91">
        <f t="shared" si="166"/>
        <v>175111</v>
      </c>
      <c r="DA75" s="91">
        <f t="shared" si="166"/>
        <v>0</v>
      </c>
      <c r="DB75" s="91">
        <f t="shared" si="166"/>
        <v>0</v>
      </c>
      <c r="DC75" s="91">
        <f t="shared" si="166"/>
        <v>0</v>
      </c>
      <c r="DD75" s="91"/>
      <c r="DE75" s="91"/>
      <c r="DF75" s="91"/>
      <c r="DG75" s="91"/>
      <c r="DH75" s="91"/>
      <c r="DI75" s="91"/>
      <c r="DJ75" s="91">
        <v>127800</v>
      </c>
    </row>
    <row r="76" spans="1:114" ht="15.75" customHeight="1" outlineLevel="1">
      <c r="A76" s="94"/>
      <c r="B76" s="210" t="s">
        <v>95</v>
      </c>
      <c r="C76" s="335"/>
      <c r="D76" s="313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314"/>
      <c r="Q76" s="90"/>
      <c r="R76" s="313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315"/>
      <c r="AE76" s="23"/>
      <c r="AF76" s="91"/>
      <c r="AG76" s="91"/>
      <c r="AH76" s="91"/>
      <c r="AI76" s="91"/>
      <c r="AJ76" s="91"/>
      <c r="AK76" s="91"/>
      <c r="AL76" s="91"/>
      <c r="AM76" s="91"/>
      <c r="AN76" s="91"/>
      <c r="AO76" s="91">
        <f t="shared" ref="AO76:AQ76" si="167">AO71*9.68</f>
        <v>1355200</v>
      </c>
      <c r="AP76" s="91">
        <f t="shared" si="167"/>
        <v>1258400</v>
      </c>
      <c r="AQ76" s="91">
        <f t="shared" si="167"/>
        <v>968000</v>
      </c>
      <c r="AR76" s="92"/>
      <c r="AS76" s="23"/>
      <c r="AT76" s="91">
        <f t="shared" ref="AT76:BF76" si="168">AT71*9.68</f>
        <v>1287440</v>
      </c>
      <c r="AU76" s="91">
        <f t="shared" si="168"/>
        <v>1211742.3999999999</v>
      </c>
      <c r="AV76" s="91">
        <f t="shared" si="168"/>
        <v>1134767.04</v>
      </c>
      <c r="AW76" s="91">
        <f t="shared" si="168"/>
        <v>1234200</v>
      </c>
      <c r="AX76" s="91">
        <f t="shared" si="168"/>
        <v>1355200</v>
      </c>
      <c r="AY76" s="91">
        <f t="shared" si="168"/>
        <v>1532760.2399903198</v>
      </c>
      <c r="AZ76" s="91">
        <f t="shared" si="168"/>
        <v>1475319.1199999999</v>
      </c>
      <c r="BA76" s="91">
        <f t="shared" si="168"/>
        <v>1679673.5999999999</v>
      </c>
      <c r="BB76" s="91">
        <f t="shared" si="168"/>
        <v>1597200</v>
      </c>
      <c r="BC76" s="91">
        <f t="shared" si="168"/>
        <v>1524600</v>
      </c>
      <c r="BD76" s="91">
        <f t="shared" si="168"/>
        <v>1252892.08</v>
      </c>
      <c r="BE76" s="91">
        <f t="shared" si="168"/>
        <v>597256</v>
      </c>
      <c r="BF76" s="91">
        <f t="shared" si="168"/>
        <v>15883050.47999032</v>
      </c>
      <c r="BG76" s="27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28"/>
      <c r="BV76" s="91"/>
      <c r="BW76" s="91"/>
      <c r="BX76" s="91"/>
      <c r="BY76" s="91"/>
      <c r="BZ76" s="91"/>
      <c r="CA76" s="91"/>
      <c r="CB76" s="91"/>
      <c r="CC76" s="91"/>
      <c r="CD76" s="91" t="s">
        <v>96</v>
      </c>
      <c r="CE76" s="91"/>
      <c r="CF76" s="601" t="s">
        <v>97</v>
      </c>
      <c r="CG76" s="91"/>
      <c r="CH76" s="91"/>
      <c r="CJ76" s="91"/>
      <c r="CK76" s="91"/>
      <c r="CL76" s="91"/>
      <c r="CM76" s="91">
        <v>61884.012959999985</v>
      </c>
      <c r="CN76" s="91">
        <f>CM76</f>
        <v>61884.012959999985</v>
      </c>
      <c r="CO76" s="91">
        <f t="shared" ref="CO76:CU76" si="169">CN76</f>
        <v>61884.012959999985</v>
      </c>
      <c r="CP76" s="91">
        <f t="shared" si="169"/>
        <v>61884.012959999985</v>
      </c>
      <c r="CQ76" s="91">
        <f t="shared" si="169"/>
        <v>61884.012959999985</v>
      </c>
      <c r="CR76" s="91">
        <f t="shared" si="169"/>
        <v>61884.012959999985</v>
      </c>
      <c r="CS76" s="91">
        <f t="shared" si="169"/>
        <v>61884.012959999985</v>
      </c>
      <c r="CT76" s="91">
        <f t="shared" si="169"/>
        <v>61884.012959999985</v>
      </c>
      <c r="CU76" s="91">
        <f t="shared" si="169"/>
        <v>61884.012959999985</v>
      </c>
      <c r="CV76" s="91"/>
      <c r="CX76" s="91"/>
      <c r="CY76" s="91"/>
      <c r="CZ76" s="91"/>
      <c r="DA76" s="91"/>
      <c r="DB76" s="91"/>
      <c r="DC76" s="91"/>
      <c r="DD76" s="91"/>
      <c r="DE76" s="91"/>
      <c r="DF76" s="91"/>
      <c r="DG76" s="91"/>
      <c r="DH76" s="91"/>
      <c r="DI76" s="91"/>
      <c r="DJ76" s="91"/>
    </row>
    <row r="77" spans="1:114" ht="15.75" customHeight="1" outlineLevel="1">
      <c r="A77" s="94"/>
      <c r="B77" s="210" t="s">
        <v>98</v>
      </c>
      <c r="C77" s="335"/>
      <c r="D77" s="313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314"/>
      <c r="Q77" s="90"/>
      <c r="R77" s="313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315"/>
      <c r="AE77" s="23"/>
      <c r="AF77" s="316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2"/>
      <c r="AS77" s="23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27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28"/>
      <c r="BV77" s="91"/>
      <c r="BW77" s="91"/>
      <c r="BX77" s="91"/>
      <c r="BY77" s="91"/>
      <c r="BZ77" s="91"/>
      <c r="CA77" s="91"/>
      <c r="CB77" s="91"/>
      <c r="CC77" s="91"/>
      <c r="CD77" s="91"/>
      <c r="CE77" s="91"/>
      <c r="CF77" s="601"/>
      <c r="CG77" s="91"/>
      <c r="CH77" s="91"/>
      <c r="CJ77" s="91"/>
      <c r="CK77" s="91"/>
      <c r="CL77" s="91"/>
      <c r="CM77" s="91">
        <f>CM76*CM7</f>
        <v>1237680.2591999997</v>
      </c>
      <c r="CN77" s="91">
        <f t="shared" ref="CN77:CU77" si="170">CN76*CN7</f>
        <v>1299564.2721599997</v>
      </c>
      <c r="CO77" s="91">
        <f t="shared" si="170"/>
        <v>1330506.2786399997</v>
      </c>
      <c r="CP77" s="91">
        <f t="shared" si="170"/>
        <v>1485216.3110399996</v>
      </c>
      <c r="CQ77" s="91">
        <f t="shared" si="170"/>
        <v>1392390.2915999996</v>
      </c>
      <c r="CR77" s="91">
        <f t="shared" si="170"/>
        <v>1330506.2786399997</v>
      </c>
      <c r="CS77" s="91">
        <f t="shared" si="170"/>
        <v>1454274.3045599996</v>
      </c>
      <c r="CT77" s="91">
        <f t="shared" si="170"/>
        <v>1175796.2462399998</v>
      </c>
      <c r="CU77" s="91">
        <f t="shared" si="170"/>
        <v>804492.16847999976</v>
      </c>
      <c r="CV77" s="91"/>
      <c r="CX77" s="91"/>
      <c r="CY77" s="91"/>
      <c r="CZ77" s="91"/>
      <c r="DA77" s="91"/>
      <c r="DB77" s="91"/>
      <c r="DC77" s="91"/>
      <c r="DD77" s="91"/>
      <c r="DE77" s="91"/>
      <c r="DF77" s="91"/>
      <c r="DG77" s="91"/>
      <c r="DH77" s="91"/>
      <c r="DI77" s="91"/>
      <c r="DJ77" s="91"/>
    </row>
    <row r="78" spans="1:114">
      <c r="A78" s="110" t="s">
        <v>99</v>
      </c>
      <c r="B78" s="340" t="s">
        <v>100</v>
      </c>
      <c r="C78" s="341"/>
      <c r="D78" s="342">
        <v>95972</v>
      </c>
      <c r="E78" s="111">
        <v>130805</v>
      </c>
      <c r="F78" s="111">
        <v>121914</v>
      </c>
      <c r="G78" s="111">
        <v>165455</v>
      </c>
      <c r="H78" s="111">
        <v>192013</v>
      </c>
      <c r="I78" s="111">
        <v>167281</v>
      </c>
      <c r="J78" s="111">
        <v>181409</v>
      </c>
      <c r="K78" s="111">
        <v>163138</v>
      </c>
      <c r="L78" s="111">
        <v>169051</v>
      </c>
      <c r="M78" s="111">
        <v>183254</v>
      </c>
      <c r="N78" s="111"/>
      <c r="O78" s="111"/>
      <c r="P78" s="343">
        <f>SUM(D78:O78)</f>
        <v>1570292</v>
      </c>
      <c r="Q78" s="84"/>
      <c r="R78" s="342">
        <v>149582</v>
      </c>
      <c r="S78" s="112">
        <v>152735</v>
      </c>
      <c r="T78" s="112">
        <v>107681</v>
      </c>
      <c r="U78" s="112">
        <v>2974</v>
      </c>
      <c r="V78" s="112">
        <v>32639</v>
      </c>
      <c r="W78" s="112">
        <v>153121</v>
      </c>
      <c r="X78" s="112">
        <v>198635</v>
      </c>
      <c r="Y78" s="112">
        <v>160489</v>
      </c>
      <c r="Z78" s="112">
        <v>160893</v>
      </c>
      <c r="AA78" s="112">
        <v>180999</v>
      </c>
      <c r="AB78" s="112">
        <v>167265</v>
      </c>
      <c r="AC78" s="112">
        <v>135424</v>
      </c>
      <c r="AD78" s="344">
        <f>SUM(R78:AC78)</f>
        <v>1602437</v>
      </c>
      <c r="AE78" s="113"/>
      <c r="AF78" s="345">
        <v>145616</v>
      </c>
      <c r="AG78" s="112">
        <v>168450</v>
      </c>
      <c r="AH78" s="112">
        <v>153291</v>
      </c>
      <c r="AI78" s="112">
        <v>149378</v>
      </c>
      <c r="AJ78" s="112">
        <v>196360</v>
      </c>
      <c r="AK78" s="112">
        <v>170558</v>
      </c>
      <c r="AL78" s="112">
        <v>171758</v>
      </c>
      <c r="AM78" s="112">
        <f t="shared" ref="AM78:AQ78" si="171">SUM(AM79:AM80)</f>
        <v>168974</v>
      </c>
      <c r="AN78" s="112">
        <f t="shared" si="171"/>
        <v>144792</v>
      </c>
      <c r="AO78" s="112">
        <f t="shared" si="171"/>
        <v>141375</v>
      </c>
      <c r="AP78" s="112">
        <f t="shared" si="171"/>
        <v>143221</v>
      </c>
      <c r="AQ78" s="112">
        <f t="shared" si="171"/>
        <v>85543</v>
      </c>
      <c r="AR78" s="112">
        <f t="shared" ref="AR78:AR82" si="172">SUM(AF78:AQ78)</f>
        <v>1839316</v>
      </c>
      <c r="AS78" s="23"/>
      <c r="AT78" s="112">
        <f t="shared" ref="AT78:BE78" si="173">SUM(AT79:AT80)</f>
        <v>120211</v>
      </c>
      <c r="AU78" s="112">
        <f t="shared" si="173"/>
        <v>120216</v>
      </c>
      <c r="AV78" s="112">
        <f t="shared" si="173"/>
        <v>101053</v>
      </c>
      <c r="AW78" s="112">
        <f t="shared" si="173"/>
        <v>137388</v>
      </c>
      <c r="AX78" s="112">
        <f t="shared" si="173"/>
        <v>137400</v>
      </c>
      <c r="AY78" s="112">
        <f t="shared" si="173"/>
        <v>135412</v>
      </c>
      <c r="AZ78" s="112">
        <f t="shared" si="173"/>
        <v>157032</v>
      </c>
      <c r="BA78" s="112">
        <f t="shared" si="173"/>
        <v>173287</v>
      </c>
      <c r="BB78" s="114">
        <f t="shared" si="173"/>
        <v>166815</v>
      </c>
      <c r="BC78" s="114">
        <f t="shared" si="173"/>
        <v>153816</v>
      </c>
      <c r="BD78" s="114">
        <f t="shared" si="173"/>
        <v>138051</v>
      </c>
      <c r="BE78" s="114">
        <f t="shared" si="173"/>
        <v>55950</v>
      </c>
      <c r="BF78" s="114">
        <f t="shared" ref="BF78:BF82" si="174">SUM(AT78:BE78)</f>
        <v>1596631</v>
      </c>
      <c r="BG78" s="93">
        <f>BF78/AR78-1</f>
        <v>-0.1319430701412917</v>
      </c>
      <c r="BH78" s="112">
        <f t="shared" ref="BH78:BQ78" si="175">SUM(BH79:BH80)</f>
        <v>138562</v>
      </c>
      <c r="BI78" s="112">
        <f t="shared" si="175"/>
        <v>109391</v>
      </c>
      <c r="BJ78" s="112">
        <f t="shared" si="175"/>
        <v>160056</v>
      </c>
      <c r="BK78" s="112">
        <f t="shared" si="175"/>
        <v>124826</v>
      </c>
      <c r="BL78" s="112">
        <f t="shared" si="175"/>
        <v>151185</v>
      </c>
      <c r="BM78" s="112">
        <f t="shared" si="175"/>
        <v>134688</v>
      </c>
      <c r="BN78" s="112">
        <f t="shared" si="175"/>
        <v>157005</v>
      </c>
      <c r="BO78" s="112">
        <f t="shared" si="175"/>
        <v>151231</v>
      </c>
      <c r="BP78" s="112">
        <f t="shared" si="175"/>
        <v>143335</v>
      </c>
      <c r="BQ78" s="112">
        <f t="shared" si="175"/>
        <v>159215</v>
      </c>
      <c r="BR78" s="112"/>
      <c r="BS78" s="112"/>
      <c r="BT78" s="112">
        <f t="shared" ref="BT78:BT82" si="176">SUM(BH78:BS78)</f>
        <v>1429494</v>
      </c>
      <c r="BU78" s="18"/>
      <c r="BV78" s="112">
        <v>154584</v>
      </c>
      <c r="BW78" s="112">
        <v>151963</v>
      </c>
      <c r="BX78" s="112">
        <v>144646</v>
      </c>
      <c r="BY78" s="112">
        <v>178798</v>
      </c>
      <c r="BZ78" s="112">
        <v>151863</v>
      </c>
      <c r="CA78" s="112">
        <v>152310</v>
      </c>
      <c r="CB78" s="112">
        <f>CB79+CB80</f>
        <v>177824</v>
      </c>
      <c r="CC78" s="112">
        <f t="shared" ref="CC78:CJ78" si="177">CC79+CC80</f>
        <v>155456</v>
      </c>
      <c r="CD78" s="112">
        <f t="shared" si="177"/>
        <v>159431</v>
      </c>
      <c r="CE78" s="112">
        <v>173593</v>
      </c>
      <c r="CF78" s="112">
        <v>154850</v>
      </c>
      <c r="CG78" s="112">
        <f t="shared" si="177"/>
        <v>0</v>
      </c>
      <c r="CH78" s="112">
        <f t="shared" ref="CH78" si="178">SUM(BV78:CG78)</f>
        <v>1755318</v>
      </c>
      <c r="CJ78" s="112"/>
      <c r="CK78" s="112"/>
      <c r="CL78" s="112">
        <v>175111</v>
      </c>
      <c r="CM78" s="112"/>
      <c r="CN78" s="112"/>
      <c r="CO78" s="112"/>
      <c r="CP78" s="112"/>
      <c r="CQ78" s="112"/>
      <c r="CR78" s="112"/>
      <c r="CS78" s="112"/>
      <c r="CT78" s="112"/>
      <c r="CU78" s="112"/>
      <c r="CV78" s="112"/>
      <c r="CX78" s="112"/>
      <c r="CY78" s="112"/>
      <c r="CZ78" s="112"/>
      <c r="DA78" s="112"/>
      <c r="DB78" s="112"/>
      <c r="DC78" s="112"/>
      <c r="DD78" s="112"/>
      <c r="DE78" s="112"/>
      <c r="DF78" s="112"/>
      <c r="DG78" s="112"/>
      <c r="DH78" s="112"/>
      <c r="DI78" s="112"/>
      <c r="DJ78" s="112"/>
    </row>
    <row r="79" spans="1:114" ht="15.75" customHeight="1">
      <c r="A79" s="115"/>
      <c r="B79" s="346" t="s">
        <v>101</v>
      </c>
      <c r="C79" s="347"/>
      <c r="D79" s="265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66"/>
      <c r="Q79" s="116"/>
      <c r="R79" s="265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67"/>
      <c r="AE79" s="23"/>
      <c r="AF79" s="348">
        <v>126362</v>
      </c>
      <c r="AG79" s="22">
        <v>153970</v>
      </c>
      <c r="AH79" s="22">
        <v>128331</v>
      </c>
      <c r="AI79" s="22">
        <v>135338</v>
      </c>
      <c r="AJ79" s="22">
        <v>177312</v>
      </c>
      <c r="AK79" s="22">
        <v>150818</v>
      </c>
      <c r="AL79" s="22">
        <v>158858</v>
      </c>
      <c r="AM79" s="22">
        <v>153933</v>
      </c>
      <c r="AN79" s="22">
        <v>134244</v>
      </c>
      <c r="AO79" s="22">
        <v>137435</v>
      </c>
      <c r="AP79" s="22">
        <v>143221</v>
      </c>
      <c r="AQ79" s="22">
        <v>85543</v>
      </c>
      <c r="AR79" s="117">
        <f t="shared" si="172"/>
        <v>1685365</v>
      </c>
      <c r="AS79" s="23"/>
      <c r="AT79" s="22">
        <v>120211</v>
      </c>
      <c r="AU79" s="22">
        <v>120216</v>
      </c>
      <c r="AV79" s="22">
        <v>101053</v>
      </c>
      <c r="AW79" s="22">
        <v>137388</v>
      </c>
      <c r="AX79" s="22">
        <v>137400</v>
      </c>
      <c r="AY79" s="22">
        <v>135412</v>
      </c>
      <c r="AZ79" s="22">
        <v>157032</v>
      </c>
      <c r="BA79" s="22">
        <v>172227</v>
      </c>
      <c r="BB79" s="22">
        <f>157995+8500</f>
        <v>166495</v>
      </c>
      <c r="BC79" s="22">
        <v>153816</v>
      </c>
      <c r="BD79" s="22">
        <v>138051</v>
      </c>
      <c r="BE79" s="22">
        <v>55950</v>
      </c>
      <c r="BF79" s="22">
        <f t="shared" si="174"/>
        <v>1595251</v>
      </c>
      <c r="BG79" s="27"/>
      <c r="BH79" s="22">
        <v>138562</v>
      </c>
      <c r="BI79" s="22">
        <v>109391</v>
      </c>
      <c r="BJ79" s="22">
        <v>160056</v>
      </c>
      <c r="BK79" s="22">
        <v>124826</v>
      </c>
      <c r="BL79" s="22">
        <v>151185</v>
      </c>
      <c r="BM79" s="22">
        <v>134688</v>
      </c>
      <c r="BN79" s="22">
        <v>157005</v>
      </c>
      <c r="BO79" s="22">
        <v>151231</v>
      </c>
      <c r="BP79" s="22">
        <v>143335</v>
      </c>
      <c r="BQ79" s="22">
        <v>159215</v>
      </c>
      <c r="BR79" s="22"/>
      <c r="BS79" s="22"/>
      <c r="BT79" s="22">
        <f t="shared" si="176"/>
        <v>1429494</v>
      </c>
      <c r="BU79" s="28"/>
      <c r="BV79" s="22">
        <v>154584</v>
      </c>
      <c r="BW79" s="22">
        <v>151963</v>
      </c>
      <c r="BX79" s="22">
        <v>144646</v>
      </c>
      <c r="BY79" s="22">
        <v>178798</v>
      </c>
      <c r="BZ79" s="22">
        <v>151863</v>
      </c>
      <c r="CA79" s="22">
        <v>152310</v>
      </c>
      <c r="CB79" s="22">
        <v>177824</v>
      </c>
      <c r="CC79" s="22">
        <v>155456</v>
      </c>
      <c r="CD79" s="22">
        <v>159431</v>
      </c>
      <c r="CE79" s="22"/>
      <c r="CF79" s="22"/>
      <c r="CG79" s="22"/>
      <c r="CH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</row>
    <row r="80" spans="1:114" ht="15.75" customHeight="1">
      <c r="A80" s="115"/>
      <c r="B80" s="346" t="s">
        <v>102</v>
      </c>
      <c r="C80" s="347"/>
      <c r="D80" s="265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66"/>
      <c r="Q80" s="116"/>
      <c r="R80" s="265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67"/>
      <c r="AE80" s="23"/>
      <c r="AF80" s="22">
        <f t="shared" ref="AF80:AL80" si="179">AF78-AF79</f>
        <v>19254</v>
      </c>
      <c r="AG80" s="22">
        <f t="shared" si="179"/>
        <v>14480</v>
      </c>
      <c r="AH80" s="22">
        <f t="shared" si="179"/>
        <v>24960</v>
      </c>
      <c r="AI80" s="22">
        <f t="shared" si="179"/>
        <v>14040</v>
      </c>
      <c r="AJ80" s="22">
        <f t="shared" si="179"/>
        <v>19048</v>
      </c>
      <c r="AK80" s="22">
        <f t="shared" si="179"/>
        <v>19740</v>
      </c>
      <c r="AL80" s="22">
        <f t="shared" si="179"/>
        <v>12900</v>
      </c>
      <c r="AM80" s="22">
        <v>15041</v>
      </c>
      <c r="AN80" s="22">
        <v>10548</v>
      </c>
      <c r="AO80" s="22">
        <v>3940</v>
      </c>
      <c r="AP80" s="22">
        <v>0</v>
      </c>
      <c r="AQ80" s="22">
        <v>0</v>
      </c>
      <c r="AR80" s="117">
        <f t="shared" si="172"/>
        <v>153951</v>
      </c>
      <c r="AS80" s="23"/>
      <c r="AT80" s="22">
        <v>0</v>
      </c>
      <c r="AU80" s="22">
        <v>0</v>
      </c>
      <c r="AV80" s="22">
        <v>0</v>
      </c>
      <c r="AW80" s="22">
        <v>0</v>
      </c>
      <c r="AX80" s="22">
        <v>0</v>
      </c>
      <c r="AY80" s="22">
        <v>0</v>
      </c>
      <c r="AZ80" s="22">
        <v>0</v>
      </c>
      <c r="BA80" s="22">
        <v>1060</v>
      </c>
      <c r="BB80" s="22">
        <v>320</v>
      </c>
      <c r="BC80" s="22">
        <v>0</v>
      </c>
      <c r="BD80" s="22">
        <v>0</v>
      </c>
      <c r="BE80" s="22"/>
      <c r="BF80" s="22">
        <f t="shared" si="174"/>
        <v>1380</v>
      </c>
      <c r="BG80" s="27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>
        <f t="shared" si="176"/>
        <v>0</v>
      </c>
      <c r="BU80" s="28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</row>
    <row r="81" spans="1:114" ht="15.75">
      <c r="A81" s="103" t="s">
        <v>103</v>
      </c>
      <c r="B81" s="337"/>
      <c r="C81" s="330"/>
      <c r="D81" s="331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332"/>
      <c r="Q81" s="105"/>
      <c r="R81" s="333"/>
      <c r="S81" s="333"/>
      <c r="T81" s="333"/>
      <c r="U81" s="333"/>
      <c r="V81" s="333"/>
      <c r="W81" s="333"/>
      <c r="X81" s="333"/>
      <c r="Y81" s="333"/>
      <c r="Z81" s="333"/>
      <c r="AA81" s="333"/>
      <c r="AB81" s="333"/>
      <c r="AC81" s="333"/>
      <c r="AD81" s="334"/>
      <c r="AE81" s="106"/>
      <c r="AF81" s="333">
        <f t="shared" ref="AF81:AQ81" si="180">AF78-AF71</f>
        <v>-15784</v>
      </c>
      <c r="AG81" s="333">
        <f t="shared" si="180"/>
        <v>2450</v>
      </c>
      <c r="AH81" s="333">
        <f t="shared" si="180"/>
        <v>2820</v>
      </c>
      <c r="AI81" s="333">
        <f t="shared" si="180"/>
        <v>338</v>
      </c>
      <c r="AJ81" s="333">
        <f t="shared" si="180"/>
        <v>0</v>
      </c>
      <c r="AK81" s="333">
        <f t="shared" si="180"/>
        <v>7258</v>
      </c>
      <c r="AL81" s="333">
        <f t="shared" si="180"/>
        <v>-18242</v>
      </c>
      <c r="AM81" s="333">
        <f t="shared" si="180"/>
        <v>1974</v>
      </c>
      <c r="AN81" s="333">
        <f t="shared" si="180"/>
        <v>-25708</v>
      </c>
      <c r="AO81" s="333">
        <f t="shared" si="180"/>
        <v>1375</v>
      </c>
      <c r="AP81" s="333">
        <f t="shared" si="180"/>
        <v>13221</v>
      </c>
      <c r="AQ81" s="333">
        <f t="shared" si="180"/>
        <v>-14457</v>
      </c>
      <c r="AR81" s="107">
        <f t="shared" si="172"/>
        <v>-44755</v>
      </c>
      <c r="AS81" s="106"/>
      <c r="AT81" s="333">
        <f t="shared" ref="AT81:BE81" si="181">AT78-AT71</f>
        <v>-12789</v>
      </c>
      <c r="AU81" s="333">
        <f t="shared" si="181"/>
        <v>-4964</v>
      </c>
      <c r="AV81" s="333">
        <f t="shared" si="181"/>
        <v>-16175</v>
      </c>
      <c r="AW81" s="333">
        <f t="shared" si="181"/>
        <v>9888</v>
      </c>
      <c r="AX81" s="333">
        <f t="shared" si="181"/>
        <v>-2600</v>
      </c>
      <c r="AY81" s="333">
        <f t="shared" si="181"/>
        <v>-22930.999998999992</v>
      </c>
      <c r="AZ81" s="333">
        <f t="shared" si="181"/>
        <v>4623</v>
      </c>
      <c r="BA81" s="333">
        <f t="shared" si="181"/>
        <v>-233</v>
      </c>
      <c r="BB81" s="333">
        <f t="shared" si="181"/>
        <v>1815</v>
      </c>
      <c r="BC81" s="333">
        <f t="shared" si="181"/>
        <v>-3684</v>
      </c>
      <c r="BD81" s="333">
        <f t="shared" si="181"/>
        <v>8620</v>
      </c>
      <c r="BE81" s="333">
        <f t="shared" si="181"/>
        <v>-5750</v>
      </c>
      <c r="BF81" s="108">
        <f t="shared" si="174"/>
        <v>-44179.999998999992</v>
      </c>
      <c r="BG81" s="106"/>
      <c r="BH81" s="333">
        <f t="shared" ref="BH81:BQ81" si="182">BH78-BH71</f>
        <v>-1198</v>
      </c>
      <c r="BI81" s="333">
        <f t="shared" si="182"/>
        <v>-7189</v>
      </c>
      <c r="BJ81" s="333">
        <f t="shared" si="182"/>
        <v>11716</v>
      </c>
      <c r="BK81" s="333">
        <f t="shared" si="182"/>
        <v>12466</v>
      </c>
      <c r="BL81" s="333">
        <f t="shared" si="182"/>
        <v>42525</v>
      </c>
      <c r="BM81" s="333">
        <f t="shared" si="182"/>
        <v>-18728</v>
      </c>
      <c r="BN81" s="333">
        <f t="shared" si="182"/>
        <v>19329</v>
      </c>
      <c r="BO81" s="333">
        <f t="shared" si="182"/>
        <v>-9423</v>
      </c>
      <c r="BP81" s="333">
        <f t="shared" si="182"/>
        <v>-13665</v>
      </c>
      <c r="BQ81" s="333">
        <f t="shared" si="182"/>
        <v>2490</v>
      </c>
      <c r="BR81" s="108"/>
      <c r="BS81" s="108"/>
      <c r="BT81" s="108">
        <f t="shared" si="176"/>
        <v>38323</v>
      </c>
      <c r="BU81" s="28"/>
      <c r="BV81" s="333"/>
      <c r="BW81" s="333"/>
      <c r="BX81" s="333"/>
      <c r="BY81" s="333">
        <f>BY78-BY71</f>
        <v>5998</v>
      </c>
      <c r="BZ81" s="333">
        <f t="shared" ref="BZ81:CG81" si="183">BZ78-BZ71</f>
        <v>-13737</v>
      </c>
      <c r="CA81" s="333">
        <f t="shared" si="183"/>
        <v>-6090</v>
      </c>
      <c r="CB81" s="333">
        <f t="shared" si="183"/>
        <v>-2176</v>
      </c>
      <c r="CC81" s="333">
        <f t="shared" si="183"/>
        <v>-17344</v>
      </c>
      <c r="CD81" s="333">
        <f t="shared" si="183"/>
        <v>-13369</v>
      </c>
      <c r="CE81" s="333">
        <f t="shared" si="183"/>
        <v>793</v>
      </c>
      <c r="CF81" s="333">
        <f t="shared" si="183"/>
        <v>-12350</v>
      </c>
      <c r="CG81" s="333">
        <f t="shared" si="183"/>
        <v>-98800</v>
      </c>
      <c r="CH81" s="333">
        <f>CH78-CH71</f>
        <v>-118882</v>
      </c>
      <c r="CJ81" s="333">
        <f t="shared" ref="CJ81:CV81" si="184">CJ78-CJ71</f>
        <v>-165000</v>
      </c>
      <c r="CK81" s="333">
        <f>CK78-CK71</f>
        <v>-188600</v>
      </c>
      <c r="CL81" s="333">
        <f t="shared" si="184"/>
        <v>4111</v>
      </c>
      <c r="CM81" s="333">
        <f t="shared" si="184"/>
        <v>-180000</v>
      </c>
      <c r="CN81" s="333">
        <f t="shared" si="184"/>
        <v>-189000</v>
      </c>
      <c r="CO81" s="333">
        <f t="shared" si="184"/>
        <v>-193500</v>
      </c>
      <c r="CP81" s="333">
        <f t="shared" si="184"/>
        <v>-216000</v>
      </c>
      <c r="CQ81" s="333">
        <f t="shared" si="184"/>
        <v>-207000</v>
      </c>
      <c r="CR81" s="333">
        <f t="shared" si="184"/>
        <v>-197800</v>
      </c>
      <c r="CS81" s="333">
        <f t="shared" si="184"/>
        <v>-216200</v>
      </c>
      <c r="CT81" s="333">
        <f t="shared" si="184"/>
        <v>-174800</v>
      </c>
      <c r="CU81" s="333">
        <f t="shared" si="184"/>
        <v>-119600</v>
      </c>
      <c r="CV81" s="333">
        <f t="shared" si="184"/>
        <v>-2218500</v>
      </c>
      <c r="CX81" s="333">
        <f t="shared" ref="CX81:DJ81" si="185">CX78-CX71</f>
        <v>-184000</v>
      </c>
      <c r="CY81" s="333">
        <f t="shared" si="185"/>
        <v>-138000</v>
      </c>
      <c r="CZ81" s="333">
        <f t="shared" si="185"/>
        <v>-174800</v>
      </c>
      <c r="DA81" s="333">
        <f t="shared" si="185"/>
        <v>-184000</v>
      </c>
      <c r="DB81" s="333">
        <f t="shared" si="185"/>
        <v>-193200</v>
      </c>
      <c r="DC81" s="333">
        <f t="shared" si="185"/>
        <v>-184000</v>
      </c>
      <c r="DD81" s="333">
        <f t="shared" si="185"/>
        <v>-211600</v>
      </c>
      <c r="DE81" s="333">
        <f t="shared" si="185"/>
        <v>-193200</v>
      </c>
      <c r="DF81" s="333">
        <f t="shared" si="185"/>
        <v>-184000</v>
      </c>
      <c r="DG81" s="333">
        <f t="shared" si="185"/>
        <v>-211600</v>
      </c>
      <c r="DH81" s="333">
        <f t="shared" si="185"/>
        <v>-174800</v>
      </c>
      <c r="DI81" s="333">
        <f t="shared" si="185"/>
        <v>-119600</v>
      </c>
      <c r="DJ81" s="333">
        <f t="shared" si="185"/>
        <v>-2152800</v>
      </c>
    </row>
    <row r="82" spans="1:114" ht="14.25" customHeight="1">
      <c r="A82" s="55" t="s">
        <v>104</v>
      </c>
      <c r="B82" s="56"/>
      <c r="C82" s="280"/>
      <c r="D82" s="288" t="e">
        <f t="shared" ref="D82:F82" si="186">#REF!-#REF!</f>
        <v>#REF!</v>
      </c>
      <c r="E82" s="57" t="e">
        <f t="shared" si="186"/>
        <v>#REF!</v>
      </c>
      <c r="F82" s="57" t="e">
        <f t="shared" si="186"/>
        <v>#REF!</v>
      </c>
      <c r="G82" s="57" t="e">
        <f t="shared" ref="G82:I82" si="187">G71-#REF!</f>
        <v>#REF!</v>
      </c>
      <c r="H82" s="57" t="e">
        <f t="shared" si="187"/>
        <v>#REF!</v>
      </c>
      <c r="I82" s="57" t="e">
        <f t="shared" si="187"/>
        <v>#REF!</v>
      </c>
      <c r="J82" s="57" t="e">
        <f t="shared" ref="J82:K82" si="188">#REF!-#REF!</f>
        <v>#REF!</v>
      </c>
      <c r="K82" s="57" t="e">
        <f t="shared" si="188"/>
        <v>#REF!</v>
      </c>
      <c r="L82" s="57">
        <f>L71-L27</f>
        <v>-24911</v>
      </c>
      <c r="M82" s="57">
        <f>M71-M27</f>
        <v>-13674</v>
      </c>
      <c r="N82" s="57">
        <f>N71-N27</f>
        <v>57632</v>
      </c>
      <c r="O82" s="57">
        <f>O71-O27</f>
        <v>74079</v>
      </c>
      <c r="P82" s="289" t="e">
        <f>SUM(D82:O82)</f>
        <v>#REF!</v>
      </c>
      <c r="Q82" s="39"/>
      <c r="R82" s="288">
        <f t="shared" ref="R82:AD82" si="189">R71-R27</f>
        <v>22222.660017050745</v>
      </c>
      <c r="S82" s="58">
        <f t="shared" si="189"/>
        <v>17159.673608830723</v>
      </c>
      <c r="T82" s="58">
        <f t="shared" si="189"/>
        <v>-24753.77192982455</v>
      </c>
      <c r="U82" s="58">
        <f t="shared" si="189"/>
        <v>-17814.899999999998</v>
      </c>
      <c r="V82" s="58">
        <f t="shared" si="189"/>
        <v>1715</v>
      </c>
      <c r="W82" s="290">
        <f t="shared" si="189"/>
        <v>120430.6180497602</v>
      </c>
      <c r="X82" s="290">
        <f t="shared" si="189"/>
        <v>43436.666666667006</v>
      </c>
      <c r="Y82" s="290">
        <f t="shared" si="189"/>
        <v>-29747.083333333314</v>
      </c>
      <c r="Z82" s="290">
        <f t="shared" si="189"/>
        <v>-80887.5</v>
      </c>
      <c r="AA82" s="290">
        <f t="shared" si="189"/>
        <v>10200</v>
      </c>
      <c r="AB82" s="290">
        <f t="shared" si="189"/>
        <v>137500</v>
      </c>
      <c r="AC82" s="290">
        <f t="shared" si="189"/>
        <v>134100</v>
      </c>
      <c r="AD82" s="291">
        <f t="shared" si="189"/>
        <v>333561.36307915067</v>
      </c>
      <c r="AE82" s="59"/>
      <c r="AF82" s="292">
        <f t="shared" ref="AF82:AQ82" si="190">AF71-AF27</f>
        <v>32754</v>
      </c>
      <c r="AG82" s="58">
        <f t="shared" si="190"/>
        <v>-11977</v>
      </c>
      <c r="AH82" s="58">
        <f t="shared" si="190"/>
        <v>76847</v>
      </c>
      <c r="AI82" s="58">
        <f t="shared" si="190"/>
        <v>59682</v>
      </c>
      <c r="AJ82" s="58">
        <f t="shared" si="190"/>
        <v>74226</v>
      </c>
      <c r="AK82" s="58">
        <f t="shared" si="190"/>
        <v>14740</v>
      </c>
      <c r="AL82" s="58">
        <f t="shared" si="190"/>
        <v>38005</v>
      </c>
      <c r="AM82" s="58">
        <f t="shared" si="190"/>
        <v>-71903</v>
      </c>
      <c r="AN82" s="58">
        <f t="shared" si="190"/>
        <v>-90633.333333333343</v>
      </c>
      <c r="AO82" s="58">
        <f t="shared" si="190"/>
        <v>-115900</v>
      </c>
      <c r="AP82" s="58">
        <f t="shared" si="190"/>
        <v>1360</v>
      </c>
      <c r="AQ82" s="58">
        <f t="shared" si="190"/>
        <v>2160</v>
      </c>
      <c r="AR82" s="58">
        <f t="shared" si="172"/>
        <v>9360.666666666657</v>
      </c>
      <c r="AS82" s="59"/>
      <c r="AT82" s="58">
        <f t="shared" ref="AT82:BE82" si="191">AT71-AT27</f>
        <v>-19749.25</v>
      </c>
      <c r="AU82" s="58">
        <f t="shared" si="191"/>
        <v>-43342.103448275855</v>
      </c>
      <c r="AV82" s="58">
        <f t="shared" si="191"/>
        <v>-36893.137931034493</v>
      </c>
      <c r="AW82" s="58">
        <f t="shared" si="191"/>
        <v>-32095.137931034493</v>
      </c>
      <c r="AX82" s="58">
        <f t="shared" si="191"/>
        <v>19900.034482758623</v>
      </c>
      <c r="AY82" s="58">
        <f t="shared" si="191"/>
        <v>19999.222221222211</v>
      </c>
      <c r="AZ82" s="58">
        <f t="shared" si="191"/>
        <v>-14264.777777777781</v>
      </c>
      <c r="BA82" s="58">
        <f t="shared" si="191"/>
        <v>-68922.296296296292</v>
      </c>
      <c r="BB82" s="58">
        <f t="shared" si="191"/>
        <v>-78407.777777777781</v>
      </c>
      <c r="BC82" s="58">
        <f t="shared" si="191"/>
        <v>-95868.290755657828</v>
      </c>
      <c r="BD82" s="58">
        <f t="shared" si="191"/>
        <v>-5124.586881472962</v>
      </c>
      <c r="BE82" s="58">
        <f t="shared" si="191"/>
        <v>-10986.612965093984</v>
      </c>
      <c r="BF82" s="58">
        <f t="shared" si="174"/>
        <v>-365754.71506044065</v>
      </c>
      <c r="BG82" s="59"/>
      <c r="BH82" s="58">
        <f t="shared" ref="BH82:BQ82" si="192">BH71-BH27</f>
        <v>-12993</v>
      </c>
      <c r="BI82" s="58">
        <f t="shared" si="192"/>
        <v>-30242.333333333314</v>
      </c>
      <c r="BJ82" s="58">
        <f t="shared" si="192"/>
        <v>-23206.074074074073</v>
      </c>
      <c r="BK82" s="58">
        <f t="shared" si="192"/>
        <v>-47411.74074074073</v>
      </c>
      <c r="BL82" s="58">
        <f t="shared" si="192"/>
        <v>-23836.851851851854</v>
      </c>
      <c r="BM82" s="58">
        <f t="shared" si="192"/>
        <v>23509.740740740745</v>
      </c>
      <c r="BN82" s="58">
        <f t="shared" si="192"/>
        <v>-33707.555555555562</v>
      </c>
      <c r="BO82" s="58">
        <f t="shared" si="192"/>
        <v>-18896.378111111087</v>
      </c>
      <c r="BP82" s="58">
        <f t="shared" si="192"/>
        <v>-45053.749537037045</v>
      </c>
      <c r="BQ82" s="58">
        <f t="shared" si="192"/>
        <v>-7140</v>
      </c>
      <c r="BR82" s="58"/>
      <c r="BS82" s="58"/>
      <c r="BT82" s="58">
        <f t="shared" si="176"/>
        <v>-218977.94246296291</v>
      </c>
      <c r="BU82" s="60"/>
      <c r="BV82" s="58"/>
      <c r="BW82" s="58"/>
      <c r="BX82" s="58"/>
      <c r="BY82" s="58">
        <f>BY71-BY27</f>
        <v>13630.76923076922</v>
      </c>
      <c r="BZ82" s="58">
        <f t="shared" ref="BZ82:CG82" si="193">BZ71-BZ27</f>
        <v>14117.606582143373</v>
      </c>
      <c r="CA82" s="58">
        <f t="shared" si="193"/>
        <v>16957.870899031579</v>
      </c>
      <c r="CB82" s="58">
        <f t="shared" si="193"/>
        <v>3013.7855523840117</v>
      </c>
      <c r="CC82" s="58">
        <f t="shared" si="193"/>
        <v>-28501.089448851068</v>
      </c>
      <c r="CD82" s="58">
        <f t="shared" si="193"/>
        <v>-40033.040135593415</v>
      </c>
      <c r="CE82" s="58">
        <f t="shared" si="193"/>
        <v>-43122.303862118919</v>
      </c>
      <c r="CF82" s="58">
        <f t="shared" si="193"/>
        <v>-3915.8422363018617</v>
      </c>
      <c r="CG82" s="58">
        <f t="shared" si="193"/>
        <v>11316.183308289634</v>
      </c>
      <c r="CH82" s="58">
        <f>CH78-CH69</f>
        <v>-50665</v>
      </c>
      <c r="CJ82" s="58">
        <f t="shared" ref="CJ82:CV82" si="194">CJ71-CJ27</f>
        <v>-16422.940000000002</v>
      </c>
      <c r="CK82" s="58">
        <f t="shared" si="194"/>
        <v>22747.330000000016</v>
      </c>
      <c r="CL82" s="58">
        <f t="shared" si="194"/>
        <v>-14796.679999999993</v>
      </c>
      <c r="CM82" s="58">
        <f t="shared" si="194"/>
        <v>19943.340000000026</v>
      </c>
      <c r="CN82" s="58">
        <f t="shared" si="194"/>
        <v>35198.049999999988</v>
      </c>
      <c r="CO82" s="58">
        <f t="shared" si="194"/>
        <v>73319.12000000001</v>
      </c>
      <c r="CP82" s="58">
        <f t="shared" si="194"/>
        <v>-9720.0899999999965</v>
      </c>
      <c r="CQ82" s="58">
        <f t="shared" si="194"/>
        <v>104.69000000000233</v>
      </c>
      <c r="CR82" s="58">
        <f t="shared" si="194"/>
        <v>-58853.639999999985</v>
      </c>
      <c r="CS82" s="58">
        <f t="shared" si="194"/>
        <v>-13216.920000000013</v>
      </c>
      <c r="CT82" s="58">
        <f t="shared" si="194"/>
        <v>12014.910000000003</v>
      </c>
      <c r="CU82" s="58">
        <f t="shared" si="194"/>
        <v>16416.179999999993</v>
      </c>
      <c r="CV82" s="58">
        <f t="shared" si="194"/>
        <v>66733.350000000093</v>
      </c>
      <c r="CX82" s="58">
        <f t="shared" ref="CX82:DJ82" si="195">CX71-CX27</f>
        <v>-6494.0869999999995</v>
      </c>
      <c r="CY82" s="58">
        <f t="shared" si="195"/>
        <v>-36145.30349999998</v>
      </c>
      <c r="CZ82" s="58">
        <f t="shared" si="195"/>
        <v>-20286.513999999996</v>
      </c>
      <c r="DA82" s="58">
        <f t="shared" si="195"/>
        <v>15940.507000000012</v>
      </c>
      <c r="DB82" s="58">
        <f t="shared" si="195"/>
        <v>31707.952499999985</v>
      </c>
      <c r="DC82" s="58">
        <f t="shared" si="195"/>
        <v>57810.076000000001</v>
      </c>
      <c r="DD82" s="58">
        <f t="shared" si="195"/>
        <v>-25406.094500000007</v>
      </c>
      <c r="DE82" s="58">
        <f t="shared" si="195"/>
        <v>-24040.075500000006</v>
      </c>
      <c r="DF82" s="58">
        <f t="shared" si="195"/>
        <v>-85486.321999999986</v>
      </c>
      <c r="DG82" s="58">
        <f t="shared" si="195"/>
        <v>-29287.766000000032</v>
      </c>
      <c r="DH82" s="58">
        <f t="shared" si="195"/>
        <v>3875.6554999999935</v>
      </c>
      <c r="DI82" s="58">
        <f t="shared" si="195"/>
        <v>11256.988999999987</v>
      </c>
      <c r="DJ82" s="58">
        <f t="shared" si="195"/>
        <v>195702.825940924</v>
      </c>
    </row>
    <row r="83" spans="1:114" ht="15" customHeight="1">
      <c r="BZ83" s="598"/>
      <c r="CA83" s="598">
        <f>BZ83+CA82</f>
        <v>16957.870899031579</v>
      </c>
      <c r="CB83" s="598">
        <f t="shared" ref="CB83:CG83" si="196">CA83+CB82</f>
        <v>19971.656451415591</v>
      </c>
      <c r="CC83" s="598">
        <f t="shared" si="196"/>
        <v>-8529.4329974354769</v>
      </c>
      <c r="CD83" s="598">
        <f t="shared" si="196"/>
        <v>-48562.473133028892</v>
      </c>
      <c r="CE83" s="598">
        <f t="shared" si="196"/>
        <v>-91684.776995147811</v>
      </c>
      <c r="CF83" s="598">
        <f t="shared" si="196"/>
        <v>-95600.619231449673</v>
      </c>
      <c r="CG83" s="598">
        <f t="shared" si="196"/>
        <v>-84284.435923160039</v>
      </c>
    </row>
  </sheetData>
  <mergeCells count="26">
    <mergeCell ref="B39:C39"/>
    <mergeCell ref="CX1:DI1"/>
    <mergeCell ref="D2:P2"/>
    <mergeCell ref="R2:AD2"/>
    <mergeCell ref="AF2:AR2"/>
    <mergeCell ref="AT2:BF2"/>
    <mergeCell ref="BH2:BS2"/>
    <mergeCell ref="BV2:CG2"/>
    <mergeCell ref="CJ2:CU2"/>
    <mergeCell ref="CX2:DI2"/>
    <mergeCell ref="R1:AD1"/>
    <mergeCell ref="AF1:AR1"/>
    <mergeCell ref="AT1:BF1"/>
    <mergeCell ref="BH1:BS1"/>
    <mergeCell ref="BV1:CG1"/>
    <mergeCell ref="CJ1:CU1"/>
    <mergeCell ref="B34:C34"/>
    <mergeCell ref="B35:C35"/>
    <mergeCell ref="B36:C36"/>
    <mergeCell ref="B37:C37"/>
    <mergeCell ref="B38:C38"/>
    <mergeCell ref="B40:C40"/>
    <mergeCell ref="B41:C41"/>
    <mergeCell ref="B42:C42"/>
    <mergeCell ref="B43:C43"/>
    <mergeCell ref="B52:C52"/>
  </mergeCells>
  <pageMargins left="0.25" right="0.25" top="0.75" bottom="0.75" header="0" footer="0"/>
  <pageSetup paperSize="9" scale="55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3836-CBFE-4F15-A6C5-B4CDA753187C}">
  <sheetPr>
    <tabColor rgb="FF00B050"/>
  </sheetPr>
  <dimension ref="A1:DJ86"/>
  <sheetViews>
    <sheetView showGridLines="0" zoomScale="80" zoomScaleNormal="80" workbookViewId="0">
      <pane xSplit="3" ySplit="9" topLeftCell="CT58" activePane="bottomRight" state="frozen"/>
      <selection pane="bottomRight" activeCell="C65" sqref="C65"/>
      <selection pane="bottomLeft" activeCell="A6" sqref="A6"/>
      <selection pane="topRight" activeCell="D1" sqref="D1"/>
    </sheetView>
  </sheetViews>
  <sheetFormatPr defaultColWidth="14.42578125" defaultRowHeight="15" customHeight="1" outlineLevelRow="1" outlineLevelCol="1"/>
  <cols>
    <col min="1" max="1" width="16.85546875" customWidth="1"/>
    <col min="2" max="2" width="17.85546875" customWidth="1"/>
    <col min="3" max="3" width="20.14062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3.140625" customWidth="1" collapsed="1"/>
    <col min="74" max="87" width="12.28515625" hidden="1" customWidth="1" outlineLevel="1"/>
    <col min="88" max="88" width="12.28515625" customWidth="1" collapsed="1"/>
    <col min="89" max="99" width="12.28515625" customWidth="1"/>
    <col min="100" max="100" width="16.85546875" customWidth="1"/>
  </cols>
  <sheetData>
    <row r="1" spans="1:114" ht="12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s="699" t="s">
        <v>1</v>
      </c>
      <c r="CJ1" s="1089" t="s">
        <v>2</v>
      </c>
      <c r="CK1" s="1090"/>
      <c r="CL1" s="1090"/>
      <c r="CM1" s="1090"/>
      <c r="CN1" s="1090"/>
      <c r="CO1" s="1090"/>
      <c r="CP1" s="1090"/>
      <c r="CQ1" s="1090"/>
      <c r="CR1" s="1090"/>
      <c r="CS1" s="1090"/>
      <c r="CT1" s="1090"/>
      <c r="CU1" s="1091"/>
      <c r="CX1" s="1081" t="s">
        <v>0</v>
      </c>
      <c r="CY1" s="1113"/>
      <c r="CZ1" s="1113"/>
      <c r="DA1" s="1113"/>
      <c r="DB1" s="1113"/>
      <c r="DC1" s="1113"/>
      <c r="DD1" s="1113"/>
      <c r="DE1" s="1113"/>
      <c r="DF1" s="1113"/>
      <c r="DG1" s="1113"/>
      <c r="DH1" s="1113"/>
      <c r="DI1" s="1114"/>
    </row>
    <row r="2" spans="1:114" ht="15" customHeight="1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H2" s="700" t="s">
        <v>3</v>
      </c>
      <c r="CJ2" s="1085" t="s">
        <v>4</v>
      </c>
      <c r="CK2" s="1086"/>
      <c r="CL2" s="1086"/>
      <c r="CM2" s="1086"/>
      <c r="CN2" s="1086"/>
      <c r="CO2" s="1086"/>
      <c r="CP2" s="1086"/>
      <c r="CQ2" s="1086"/>
      <c r="CR2" s="1086"/>
      <c r="CS2" s="1086"/>
      <c r="CT2" s="1086"/>
      <c r="CU2" s="1087"/>
      <c r="CX2" s="1077">
        <v>2026</v>
      </c>
      <c r="CY2" s="1115"/>
      <c r="CZ2" s="1115"/>
      <c r="DA2" s="1115"/>
      <c r="DB2" s="1115"/>
      <c r="DC2" s="1115"/>
      <c r="DD2" s="1115"/>
      <c r="DE2" s="1115"/>
      <c r="DF2" s="1115"/>
      <c r="DG2" s="1115"/>
      <c r="DH2" s="1115"/>
      <c r="DI2" s="1116"/>
    </row>
    <row r="3" spans="1:114" ht="15.75">
      <c r="A3" s="703" t="s">
        <v>5</v>
      </c>
      <c r="B3" s="4"/>
      <c r="C3" s="4" t="str">
        <f>A3</f>
        <v>Dias Uteis Produção</v>
      </c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H3" t="s">
        <v>6</v>
      </c>
      <c r="CJ3" s="253">
        <v>23</v>
      </c>
      <c r="CK3" s="566">
        <v>20</v>
      </c>
      <c r="CL3" s="566">
        <v>21</v>
      </c>
      <c r="CM3" s="252">
        <v>22</v>
      </c>
      <c r="CN3" s="248">
        <v>22</v>
      </c>
      <c r="CO3" s="248">
        <v>21</v>
      </c>
      <c r="CP3" s="248">
        <v>23</v>
      </c>
      <c r="CQ3" s="248">
        <v>21</v>
      </c>
      <c r="CR3" s="248">
        <v>21</v>
      </c>
      <c r="CS3" s="248">
        <v>23</v>
      </c>
      <c r="CT3" s="248">
        <v>20</v>
      </c>
      <c r="CU3" s="248">
        <v>13</v>
      </c>
      <c r="CX3" s="253">
        <v>23</v>
      </c>
      <c r="CY3" s="566">
        <v>20</v>
      </c>
      <c r="CZ3" s="566">
        <v>21</v>
      </c>
      <c r="DA3" s="252">
        <v>22</v>
      </c>
      <c r="DB3" s="248">
        <v>22</v>
      </c>
      <c r="DC3" s="248">
        <v>21</v>
      </c>
      <c r="DD3" s="248">
        <v>23</v>
      </c>
      <c r="DE3" s="248">
        <v>21</v>
      </c>
      <c r="DF3" s="248">
        <v>21</v>
      </c>
      <c r="DG3" s="248">
        <v>23</v>
      </c>
      <c r="DH3" s="248">
        <v>20</v>
      </c>
      <c r="DI3" s="248">
        <v>13</v>
      </c>
    </row>
    <row r="4" spans="1:114" ht="15.75">
      <c r="A4" s="703" t="s">
        <v>7</v>
      </c>
      <c r="B4" s="4"/>
      <c r="C4" s="4" t="str">
        <f t="shared" ref="C4:C7" si="0">A4</f>
        <v>(-) FÉRIAS</v>
      </c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H4" t="s">
        <v>8</v>
      </c>
      <c r="CJ4" s="253">
        <v>3</v>
      </c>
      <c r="CK4" s="566"/>
      <c r="CL4" s="566">
        <v>1.5</v>
      </c>
      <c r="CM4" s="252"/>
      <c r="CN4" s="248"/>
      <c r="CO4" s="248"/>
      <c r="CP4" s="248"/>
      <c r="CQ4" s="248"/>
      <c r="CR4" s="248"/>
      <c r="CS4" s="248"/>
      <c r="CT4" s="248"/>
      <c r="CU4" s="248"/>
      <c r="CX4" s="253">
        <v>3</v>
      </c>
      <c r="CY4" s="566">
        <v>5</v>
      </c>
      <c r="CZ4" s="566"/>
      <c r="DA4" s="252"/>
      <c r="DB4" s="248"/>
      <c r="DC4" s="248"/>
      <c r="DD4" s="248"/>
      <c r="DE4" s="248"/>
      <c r="DF4" s="248"/>
      <c r="DG4" s="248"/>
      <c r="DH4" s="248"/>
      <c r="DI4" s="248"/>
    </row>
    <row r="5" spans="1:114" ht="15.75">
      <c r="A5" s="703" t="s">
        <v>9</v>
      </c>
      <c r="B5" s="4"/>
      <c r="C5" s="4" t="str">
        <f t="shared" si="0"/>
        <v>(+) SABADO</v>
      </c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H5" t="s">
        <v>10</v>
      </c>
      <c r="CJ5" s="701">
        <v>2</v>
      </c>
      <c r="CK5" s="701">
        <v>3</v>
      </c>
      <c r="CL5" s="701">
        <v>1.5</v>
      </c>
      <c r="CM5" s="733">
        <v>0</v>
      </c>
      <c r="CN5" s="733">
        <v>0</v>
      </c>
      <c r="CO5" s="733">
        <v>1.5</v>
      </c>
      <c r="CP5" s="679">
        <v>1</v>
      </c>
      <c r="CQ5" s="679">
        <v>1.5</v>
      </c>
      <c r="CR5" s="679">
        <v>1.5</v>
      </c>
      <c r="CS5" s="679">
        <v>1.5</v>
      </c>
      <c r="CT5" s="679">
        <v>0</v>
      </c>
      <c r="CU5" s="643"/>
      <c r="CX5" s="644"/>
      <c r="CY5" s="679"/>
      <c r="CZ5" s="679"/>
      <c r="DA5" s="679">
        <v>0</v>
      </c>
      <c r="DB5" s="679">
        <v>0</v>
      </c>
      <c r="DC5" s="679">
        <v>0</v>
      </c>
      <c r="DD5" s="679">
        <v>0</v>
      </c>
      <c r="DE5" s="679">
        <v>0</v>
      </c>
      <c r="DF5" s="679">
        <v>0</v>
      </c>
      <c r="DG5" s="643">
        <v>1</v>
      </c>
      <c r="DH5" s="643">
        <v>0</v>
      </c>
      <c r="DI5" s="643"/>
    </row>
    <row r="6" spans="1:114" ht="15.75">
      <c r="A6" s="703" t="s">
        <v>11</v>
      </c>
      <c r="B6" s="4"/>
      <c r="C6" s="4" t="str">
        <f t="shared" si="0"/>
        <v>(-)FERIADO</v>
      </c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 t="s">
        <v>12</v>
      </c>
      <c r="CJ6" s="644"/>
      <c r="CK6" s="679"/>
      <c r="CL6" s="679">
        <v>2</v>
      </c>
      <c r="CM6" s="679">
        <v>2</v>
      </c>
      <c r="CN6" s="679">
        <v>1</v>
      </c>
      <c r="CO6" s="679">
        <v>1</v>
      </c>
      <c r="CP6" s="679"/>
      <c r="CQ6" s="679"/>
      <c r="CR6" s="679">
        <v>1</v>
      </c>
      <c r="CS6" s="643">
        <v>1</v>
      </c>
      <c r="CT6" s="643">
        <v>1</v>
      </c>
      <c r="CU6" s="643"/>
      <c r="CX6" s="644"/>
      <c r="CY6" s="679"/>
      <c r="CZ6" s="679">
        <v>2</v>
      </c>
      <c r="DA6" s="679">
        <v>2</v>
      </c>
      <c r="DB6" s="679">
        <v>1</v>
      </c>
      <c r="DC6" s="679">
        <v>1</v>
      </c>
      <c r="DD6" s="679"/>
      <c r="DE6" s="679"/>
      <c r="DF6" s="679">
        <v>1</v>
      </c>
      <c r="DG6" s="643">
        <v>1</v>
      </c>
      <c r="DH6" s="643">
        <v>1</v>
      </c>
      <c r="DI6" s="643"/>
    </row>
    <row r="7" spans="1:114">
      <c r="A7" s="704" t="s">
        <v>13</v>
      </c>
      <c r="B7" s="3"/>
      <c r="C7" s="3" t="str">
        <f t="shared" si="0"/>
        <v>Dias Trabalhados</v>
      </c>
      <c r="D7" s="252">
        <v>16</v>
      </c>
      <c r="E7" s="252">
        <v>21</v>
      </c>
      <c r="F7" s="252">
        <v>18</v>
      </c>
      <c r="G7" s="252">
        <v>21</v>
      </c>
      <c r="H7" s="252">
        <v>22</v>
      </c>
      <c r="I7" s="252">
        <v>19</v>
      </c>
      <c r="J7" s="252">
        <v>23</v>
      </c>
      <c r="K7" s="252">
        <v>21</v>
      </c>
      <c r="L7" s="252">
        <v>21</v>
      </c>
      <c r="M7" s="252">
        <v>26</v>
      </c>
      <c r="N7" s="252">
        <v>24</v>
      </c>
      <c r="O7" s="252">
        <v>15</v>
      </c>
      <c r="P7" s="4"/>
      <c r="Q7" s="247"/>
      <c r="R7" s="252">
        <v>22</v>
      </c>
      <c r="S7" s="252">
        <v>20</v>
      </c>
      <c r="T7" s="252">
        <v>14</v>
      </c>
      <c r="U7" s="252">
        <v>1</v>
      </c>
      <c r="V7" s="252">
        <v>12</v>
      </c>
      <c r="W7" s="252">
        <v>22</v>
      </c>
      <c r="X7" s="252">
        <v>23</v>
      </c>
      <c r="Y7" s="252">
        <v>21</v>
      </c>
      <c r="Z7" s="252">
        <v>21</v>
      </c>
      <c r="AA7" s="252">
        <v>21</v>
      </c>
      <c r="AB7" s="252">
        <v>20</v>
      </c>
      <c r="AC7" s="252">
        <v>17</v>
      </c>
      <c r="AD7" s="2"/>
      <c r="AE7" s="253"/>
      <c r="AF7" s="254">
        <v>18</v>
      </c>
      <c r="AG7" s="252">
        <v>20</v>
      </c>
      <c r="AH7" s="248">
        <v>20</v>
      </c>
      <c r="AI7" s="248">
        <v>20</v>
      </c>
      <c r="AJ7" s="252">
        <v>22</v>
      </c>
      <c r="AK7" s="252">
        <v>20</v>
      </c>
      <c r="AL7" s="252">
        <v>22</v>
      </c>
      <c r="AM7" s="252">
        <v>22</v>
      </c>
      <c r="AN7" s="252">
        <v>21</v>
      </c>
      <c r="AO7" s="252">
        <v>20</v>
      </c>
      <c r="AP7" s="252">
        <v>20</v>
      </c>
      <c r="AQ7" s="248">
        <v>12</v>
      </c>
      <c r="AR7" s="2"/>
      <c r="AS7" s="124"/>
      <c r="AT7" s="253">
        <v>19</v>
      </c>
      <c r="AU7" s="248">
        <v>19</v>
      </c>
      <c r="AV7" s="248">
        <v>18</v>
      </c>
      <c r="AW7" s="248">
        <v>19</v>
      </c>
      <c r="AX7" s="248">
        <v>22</v>
      </c>
      <c r="AY7" s="248">
        <v>21</v>
      </c>
      <c r="AZ7" s="248">
        <v>21</v>
      </c>
      <c r="BA7" s="248">
        <v>22</v>
      </c>
      <c r="BB7" s="248">
        <v>22</v>
      </c>
      <c r="BC7" s="248">
        <v>21</v>
      </c>
      <c r="BD7" s="248">
        <v>20</v>
      </c>
      <c r="BE7" s="248">
        <v>10</v>
      </c>
      <c r="BF7" s="2"/>
      <c r="BG7" s="125"/>
      <c r="BH7" s="253">
        <v>20</v>
      </c>
      <c r="BI7" s="248">
        <v>17</v>
      </c>
      <c r="BJ7" s="248">
        <v>23</v>
      </c>
      <c r="BK7" s="248">
        <v>18</v>
      </c>
      <c r="BL7" s="248">
        <v>22</v>
      </c>
      <c r="BM7" s="248">
        <v>23</v>
      </c>
      <c r="BN7" s="248">
        <v>21</v>
      </c>
      <c r="BO7" s="248">
        <v>21</v>
      </c>
      <c r="BP7" s="248">
        <v>20</v>
      </c>
      <c r="BQ7" s="248">
        <v>21</v>
      </c>
      <c r="BR7" s="248">
        <v>20</v>
      </c>
      <c r="BS7" s="248">
        <v>14</v>
      </c>
      <c r="BT7" s="253">
        <v>20</v>
      </c>
      <c r="BU7" s="252"/>
      <c r="BV7" s="253">
        <v>19</v>
      </c>
      <c r="BW7" s="248">
        <v>19</v>
      </c>
      <c r="BX7" s="566">
        <v>21</v>
      </c>
      <c r="BY7" s="566">
        <f>22+2</f>
        <v>24</v>
      </c>
      <c r="BZ7" s="248">
        <f>21+2</f>
        <v>23</v>
      </c>
      <c r="CA7" s="567">
        <f>20+2</f>
        <v>22</v>
      </c>
      <c r="CB7" s="567">
        <f>23+2</f>
        <v>25</v>
      </c>
      <c r="CC7" s="252">
        <f>21+3</f>
        <v>24</v>
      </c>
      <c r="CD7" s="252">
        <f>21+3</f>
        <v>24</v>
      </c>
      <c r="CE7" s="248">
        <f>23+1</f>
        <v>24</v>
      </c>
      <c r="CF7" s="248">
        <f>19+3</f>
        <v>22</v>
      </c>
      <c r="CG7" s="248">
        <f>12+1</f>
        <v>13</v>
      </c>
      <c r="CH7" s="248"/>
      <c r="CJ7" s="253">
        <f>CJ3+CJ5-CJ6-CJ4</f>
        <v>22</v>
      </c>
      <c r="CK7" s="253">
        <f>CK3+CK5-CK6-CK4</f>
        <v>23</v>
      </c>
      <c r="CL7" s="253">
        <v>19</v>
      </c>
      <c r="CM7" s="734">
        <f t="shared" ref="CM7:CQ7" si="1">CM3+CM5-CM6-CM4</f>
        <v>20</v>
      </c>
      <c r="CN7" s="734">
        <f>CN3+CN5-CN6-CN4</f>
        <v>21</v>
      </c>
      <c r="CO7" s="734">
        <f t="shared" si="1"/>
        <v>21.5</v>
      </c>
      <c r="CP7" s="734">
        <f t="shared" ref="CP7:CU7" si="2">CP3+CP5-CP6</f>
        <v>24</v>
      </c>
      <c r="CQ7" s="734">
        <f>CQ3+CQ5-CQ6</f>
        <v>22.5</v>
      </c>
      <c r="CR7" s="734">
        <f t="shared" si="2"/>
        <v>21.5</v>
      </c>
      <c r="CS7" s="734">
        <f>CS3+CS5-CS6</f>
        <v>23.5</v>
      </c>
      <c r="CT7" s="734">
        <f>CT3+CT5-CT6</f>
        <v>19</v>
      </c>
      <c r="CU7" s="734">
        <f t="shared" si="2"/>
        <v>13</v>
      </c>
      <c r="CV7" s="248"/>
      <c r="CX7" s="253">
        <f>CX3+CX5-CX6-CX4</f>
        <v>20</v>
      </c>
      <c r="CY7" s="253">
        <f t="shared" ref="CY7:DC7" si="3">CY3+CY5-CY6-CY4</f>
        <v>15</v>
      </c>
      <c r="CZ7" s="253">
        <f t="shared" si="3"/>
        <v>19</v>
      </c>
      <c r="DA7" s="253">
        <f t="shared" si="3"/>
        <v>20</v>
      </c>
      <c r="DB7" s="253">
        <f t="shared" si="3"/>
        <v>21</v>
      </c>
      <c r="DC7" s="253">
        <f t="shared" si="3"/>
        <v>20</v>
      </c>
      <c r="DD7" s="253">
        <f t="shared" ref="DD7:DI7" si="4">DD3+DD5-DD6</f>
        <v>23</v>
      </c>
      <c r="DE7" s="253">
        <f>DE3+DE5-DE6</f>
        <v>21</v>
      </c>
      <c r="DF7" s="253">
        <f t="shared" ref="DF7:DJ7" si="5">DF3+DF5-DF6</f>
        <v>20</v>
      </c>
      <c r="DG7" s="253">
        <f>DG3+DG5-DG6</f>
        <v>23</v>
      </c>
      <c r="DH7" s="253">
        <f>DH3+DH5-DH6</f>
        <v>19</v>
      </c>
      <c r="DI7" s="253">
        <f t="shared" ref="DI7:DJ7" si="6">DI3+DI5-DI6</f>
        <v>13</v>
      </c>
      <c r="DJ7" s="248"/>
    </row>
    <row r="8" spans="1:114" ht="18" customHeight="1">
      <c r="A8" s="8"/>
      <c r="B8" s="255"/>
      <c r="C8" s="256"/>
      <c r="D8" s="257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258" t="s">
        <v>26</v>
      </c>
      <c r="Q8" s="10"/>
      <c r="R8" s="257" t="s">
        <v>14</v>
      </c>
      <c r="S8" s="9" t="s">
        <v>15</v>
      </c>
      <c r="T8" s="9" t="s">
        <v>16</v>
      </c>
      <c r="U8" s="9" t="s">
        <v>17</v>
      </c>
      <c r="V8" s="9" t="s">
        <v>18</v>
      </c>
      <c r="W8" s="9" t="s">
        <v>19</v>
      </c>
      <c r="X8" s="9" t="s">
        <v>20</v>
      </c>
      <c r="Y8" s="9" t="s">
        <v>21</v>
      </c>
      <c r="Z8" s="9" t="s">
        <v>22</v>
      </c>
      <c r="AA8" s="9" t="s">
        <v>23</v>
      </c>
      <c r="AB8" s="9" t="s">
        <v>24</v>
      </c>
      <c r="AC8" s="9" t="s">
        <v>25</v>
      </c>
      <c r="AD8" s="258" t="s">
        <v>26</v>
      </c>
      <c r="AE8" s="11"/>
      <c r="AF8" s="257" t="s">
        <v>14</v>
      </c>
      <c r="AG8" s="9" t="s">
        <v>15</v>
      </c>
      <c r="AH8" s="9" t="s">
        <v>16</v>
      </c>
      <c r="AI8" s="9" t="s">
        <v>17</v>
      </c>
      <c r="AJ8" s="9" t="s">
        <v>18</v>
      </c>
      <c r="AK8" s="9" t="s">
        <v>19</v>
      </c>
      <c r="AL8" s="9" t="s">
        <v>20</v>
      </c>
      <c r="AM8" s="9" t="s">
        <v>21</v>
      </c>
      <c r="AN8" s="9" t="s">
        <v>22</v>
      </c>
      <c r="AO8" s="9" t="s">
        <v>23</v>
      </c>
      <c r="AP8" s="9" t="s">
        <v>24</v>
      </c>
      <c r="AQ8" s="9" t="s">
        <v>25</v>
      </c>
      <c r="AR8" s="9" t="s">
        <v>26</v>
      </c>
      <c r="AS8" s="11"/>
      <c r="AT8" s="9" t="s">
        <v>14</v>
      </c>
      <c r="AU8" s="9" t="s">
        <v>15</v>
      </c>
      <c r="AV8" s="9" t="s">
        <v>16</v>
      </c>
      <c r="AW8" s="9" t="s">
        <v>17</v>
      </c>
      <c r="AX8" s="9" t="s">
        <v>18</v>
      </c>
      <c r="AY8" s="9" t="s">
        <v>19</v>
      </c>
      <c r="AZ8" s="9" t="s">
        <v>20</v>
      </c>
      <c r="BA8" s="9" t="s">
        <v>21</v>
      </c>
      <c r="BB8" s="9" t="s">
        <v>22</v>
      </c>
      <c r="BC8" s="9" t="s">
        <v>23</v>
      </c>
      <c r="BD8" s="9" t="s">
        <v>24</v>
      </c>
      <c r="BE8" s="9" t="s">
        <v>25</v>
      </c>
      <c r="BF8" s="9" t="s">
        <v>26</v>
      </c>
      <c r="BG8" s="10"/>
      <c r="BH8" s="9" t="s">
        <v>14</v>
      </c>
      <c r="BI8" s="9" t="s">
        <v>15</v>
      </c>
      <c r="BJ8" s="9" t="s">
        <v>16</v>
      </c>
      <c r="BK8" s="9" t="s">
        <v>17</v>
      </c>
      <c r="BL8" s="9" t="s">
        <v>18</v>
      </c>
      <c r="BM8" s="9" t="s">
        <v>19</v>
      </c>
      <c r="BN8" s="9" t="s">
        <v>20</v>
      </c>
      <c r="BO8" s="9" t="s">
        <v>21</v>
      </c>
      <c r="BP8" s="9" t="s">
        <v>22</v>
      </c>
      <c r="BQ8" s="9" t="s">
        <v>23</v>
      </c>
      <c r="BR8" s="9" t="s">
        <v>24</v>
      </c>
      <c r="BS8" s="9" t="s">
        <v>25</v>
      </c>
      <c r="BT8" s="9" t="s">
        <v>26</v>
      </c>
      <c r="BU8" s="12"/>
      <c r="BV8" s="9" t="s">
        <v>14</v>
      </c>
      <c r="BW8" s="9" t="s">
        <v>15</v>
      </c>
      <c r="BX8" s="9" t="s">
        <v>16</v>
      </c>
      <c r="BY8" s="9" t="s">
        <v>17</v>
      </c>
      <c r="BZ8" s="9" t="s">
        <v>18</v>
      </c>
      <c r="CA8" s="9" t="s">
        <v>19</v>
      </c>
      <c r="CB8" s="9" t="s">
        <v>20</v>
      </c>
      <c r="CC8" s="9" t="s">
        <v>21</v>
      </c>
      <c r="CD8" s="9" t="s">
        <v>22</v>
      </c>
      <c r="CE8" s="9" t="s">
        <v>23</v>
      </c>
      <c r="CF8" s="9" t="s">
        <v>24</v>
      </c>
      <c r="CG8" s="9" t="s">
        <v>25</v>
      </c>
      <c r="CH8" s="9" t="s">
        <v>26</v>
      </c>
      <c r="CJ8" s="9" t="s">
        <v>14</v>
      </c>
      <c r="CK8" s="9" t="s">
        <v>15</v>
      </c>
      <c r="CL8" s="9" t="s">
        <v>16</v>
      </c>
      <c r="CM8" s="9" t="s">
        <v>17</v>
      </c>
      <c r="CN8" s="9" t="s">
        <v>18</v>
      </c>
      <c r="CO8" s="9" t="s">
        <v>19</v>
      </c>
      <c r="CP8" s="9" t="s">
        <v>20</v>
      </c>
      <c r="CQ8" s="9" t="s">
        <v>21</v>
      </c>
      <c r="CR8" s="9" t="s">
        <v>22</v>
      </c>
      <c r="CS8" s="9" t="s">
        <v>23</v>
      </c>
      <c r="CT8" s="9" t="s">
        <v>24</v>
      </c>
      <c r="CU8" s="9" t="s">
        <v>25</v>
      </c>
      <c r="CV8" s="9" t="s">
        <v>26</v>
      </c>
      <c r="CX8" s="9" t="s">
        <v>14</v>
      </c>
      <c r="CY8" s="9" t="s">
        <v>15</v>
      </c>
      <c r="CZ8" s="9" t="s">
        <v>16</v>
      </c>
      <c r="DA8" s="9" t="s">
        <v>17</v>
      </c>
      <c r="DB8" s="9" t="s">
        <v>18</v>
      </c>
      <c r="DC8" s="9" t="s">
        <v>19</v>
      </c>
      <c r="DD8" s="9" t="s">
        <v>20</v>
      </c>
      <c r="DE8" s="9" t="s">
        <v>21</v>
      </c>
      <c r="DF8" s="9" t="s">
        <v>22</v>
      </c>
      <c r="DG8" s="9" t="s">
        <v>23</v>
      </c>
      <c r="DH8" s="9" t="s">
        <v>24</v>
      </c>
      <c r="DI8" s="9" t="s">
        <v>25</v>
      </c>
      <c r="DJ8" s="9" t="s">
        <v>26</v>
      </c>
    </row>
    <row r="9" spans="1:114" ht="10.5" hidden="1" customHeight="1">
      <c r="A9" s="13"/>
      <c r="B9" s="259"/>
      <c r="C9" s="260"/>
      <c r="D9" s="26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62"/>
      <c r="Q9" s="15"/>
      <c r="R9" s="261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263"/>
      <c r="AE9" s="16"/>
      <c r="AF9" s="261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7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7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8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682" t="s">
        <v>27</v>
      </c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682" t="s">
        <v>27</v>
      </c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</row>
    <row r="10" spans="1:114" ht="30.75">
      <c r="A10" s="13" t="s">
        <v>28</v>
      </c>
      <c r="B10" s="706" t="s">
        <v>29</v>
      </c>
      <c r="C10" s="260"/>
      <c r="D10" s="261">
        <f t="shared" ref="D10:O10" si="7">SUM(D15:D17)</f>
        <v>304786</v>
      </c>
      <c r="E10" s="14">
        <f t="shared" si="7"/>
        <v>311986</v>
      </c>
      <c r="F10" s="14">
        <f t="shared" si="7"/>
        <v>328231</v>
      </c>
      <c r="G10" s="14">
        <f t="shared" si="7"/>
        <v>317873</v>
      </c>
      <c r="H10" s="14">
        <f t="shared" si="7"/>
        <v>347196</v>
      </c>
      <c r="I10" s="14">
        <f t="shared" si="7"/>
        <v>402253</v>
      </c>
      <c r="J10" s="14">
        <f t="shared" si="7"/>
        <v>454488</v>
      </c>
      <c r="K10" s="14">
        <f t="shared" si="7"/>
        <v>447182</v>
      </c>
      <c r="L10" s="14">
        <f t="shared" si="7"/>
        <v>416931</v>
      </c>
      <c r="M10" s="14">
        <f t="shared" si="7"/>
        <v>304402</v>
      </c>
      <c r="N10" s="14">
        <f t="shared" si="7"/>
        <v>0</v>
      </c>
      <c r="O10" s="14">
        <f t="shared" si="7"/>
        <v>188264</v>
      </c>
      <c r="P10" s="262"/>
      <c r="Q10" s="15"/>
      <c r="R10" s="14">
        <f t="shared" ref="R10:AC10" si="8">SUM(R15:R17)</f>
        <v>283359</v>
      </c>
      <c r="S10" s="14">
        <f t="shared" si="8"/>
        <v>342718</v>
      </c>
      <c r="T10" s="14">
        <f t="shared" si="8"/>
        <v>313212</v>
      </c>
      <c r="U10" s="14">
        <f t="shared" si="8"/>
        <v>298093</v>
      </c>
      <c r="V10" s="14">
        <f t="shared" si="8"/>
        <v>206617</v>
      </c>
      <c r="W10" s="14">
        <f t="shared" si="8"/>
        <v>235875</v>
      </c>
      <c r="X10" s="14">
        <f t="shared" si="8"/>
        <v>360135</v>
      </c>
      <c r="Y10" s="14">
        <f t="shared" si="8"/>
        <v>361665</v>
      </c>
      <c r="Z10" s="14">
        <f t="shared" si="8"/>
        <v>353400</v>
      </c>
      <c r="AA10" s="14">
        <f t="shared" si="8"/>
        <v>272097</v>
      </c>
      <c r="AB10" s="14">
        <f t="shared" si="8"/>
        <v>170626</v>
      </c>
      <c r="AC10" s="14">
        <f t="shared" si="8"/>
        <v>197551</v>
      </c>
      <c r="AD10" s="263"/>
      <c r="AE10" s="16"/>
      <c r="AF10" s="14">
        <f t="shared" ref="AF10:AQ10" si="9">SUM(AF15:AF19)</f>
        <v>255339</v>
      </c>
      <c r="AG10" s="14">
        <f t="shared" si="9"/>
        <v>292621</v>
      </c>
      <c r="AH10" s="14">
        <f t="shared" si="9"/>
        <v>397976</v>
      </c>
      <c r="AI10" s="14">
        <f t="shared" si="9"/>
        <v>388165</v>
      </c>
      <c r="AJ10" s="14">
        <f t="shared" si="9"/>
        <v>409301</v>
      </c>
      <c r="AK10" s="14">
        <f t="shared" si="9"/>
        <v>490913</v>
      </c>
      <c r="AL10" s="14">
        <f t="shared" si="9"/>
        <v>563229</v>
      </c>
      <c r="AM10" s="14">
        <f t="shared" si="9"/>
        <v>559169</v>
      </c>
      <c r="AN10" s="14">
        <f t="shared" si="9"/>
        <v>487294</v>
      </c>
      <c r="AO10" s="14">
        <f t="shared" si="9"/>
        <v>407614</v>
      </c>
      <c r="AP10" s="14">
        <f t="shared" si="9"/>
        <v>503756</v>
      </c>
      <c r="AQ10" s="14">
        <f t="shared" si="9"/>
        <v>531679</v>
      </c>
      <c r="AR10" s="14">
        <f t="shared" ref="AR10:AR25" si="10">AQ10</f>
        <v>531679</v>
      </c>
      <c r="AS10" s="17"/>
      <c r="AT10" s="14">
        <f t="shared" ref="AT10:BE10" si="11">SUM(AT15:AT19)</f>
        <v>471378</v>
      </c>
      <c r="AU10" s="14">
        <f t="shared" si="11"/>
        <v>473307</v>
      </c>
      <c r="AV10" s="14">
        <f t="shared" si="11"/>
        <v>412518</v>
      </c>
      <c r="AW10" s="14">
        <f t="shared" si="11"/>
        <v>398039</v>
      </c>
      <c r="AX10" s="14">
        <f t="shared" si="11"/>
        <v>417827</v>
      </c>
      <c r="AY10" s="14">
        <f t="shared" si="11"/>
        <v>507968</v>
      </c>
      <c r="AZ10" s="14">
        <f t="shared" si="11"/>
        <v>477530</v>
      </c>
      <c r="BA10" s="14">
        <f t="shared" si="11"/>
        <v>520708</v>
      </c>
      <c r="BB10" s="14">
        <f t="shared" si="11"/>
        <v>505851</v>
      </c>
      <c r="BC10" s="14">
        <f t="shared" si="11"/>
        <v>454245</v>
      </c>
      <c r="BD10" s="14">
        <f t="shared" si="11"/>
        <v>405700</v>
      </c>
      <c r="BE10" s="14">
        <f t="shared" si="11"/>
        <v>356505</v>
      </c>
      <c r="BF10" s="14">
        <f t="shared" ref="BF10:BF22" si="12">BE10</f>
        <v>356505</v>
      </c>
      <c r="BG10" s="17"/>
      <c r="BH10" s="14">
        <f t="shared" ref="BH10:BQ10" si="13">SUM(BH15:BH19)</f>
        <v>357143</v>
      </c>
      <c r="BI10" s="14">
        <f t="shared" si="13"/>
        <v>355011</v>
      </c>
      <c r="BJ10" s="14">
        <f t="shared" si="13"/>
        <v>344281</v>
      </c>
      <c r="BK10" s="14">
        <f t="shared" si="13"/>
        <v>389628</v>
      </c>
      <c r="BL10" s="14">
        <f t="shared" si="13"/>
        <v>324889</v>
      </c>
      <c r="BM10" s="14">
        <f t="shared" si="13"/>
        <v>352666</v>
      </c>
      <c r="BN10" s="14">
        <f t="shared" si="13"/>
        <v>418721</v>
      </c>
      <c r="BO10" s="14">
        <f t="shared" si="13"/>
        <v>356602</v>
      </c>
      <c r="BP10" s="14">
        <f t="shared" si="13"/>
        <v>326706</v>
      </c>
      <c r="BQ10" s="14">
        <f t="shared" si="13"/>
        <v>304987</v>
      </c>
      <c r="BR10" s="14">
        <f>SUM(BR15:BR19)</f>
        <v>228035</v>
      </c>
      <c r="BS10" s="14">
        <f>BS15+BS16+BS19</f>
        <v>201165</v>
      </c>
      <c r="BT10" s="14">
        <f>BS10</f>
        <v>201165</v>
      </c>
      <c r="BU10" s="18"/>
      <c r="BV10" s="14">
        <f>BV11+BV16+BV19</f>
        <v>247713</v>
      </c>
      <c r="BW10" s="14">
        <f t="shared" ref="BW10:CF10" si="14">BW11+BW16+BW19</f>
        <v>278707</v>
      </c>
      <c r="BX10" s="14">
        <f t="shared" si="14"/>
        <v>281829</v>
      </c>
      <c r="BY10" s="14">
        <f t="shared" si="14"/>
        <v>317753</v>
      </c>
      <c r="BZ10" s="14">
        <f t="shared" si="14"/>
        <v>270339</v>
      </c>
      <c r="CA10" s="14">
        <f t="shared" si="14"/>
        <v>310383</v>
      </c>
      <c r="CB10" s="14">
        <f t="shared" si="14"/>
        <v>328365</v>
      </c>
      <c r="CC10" s="14">
        <f t="shared" si="14"/>
        <v>333476</v>
      </c>
      <c r="CD10" s="14">
        <f>CD11+CD16+CD19</f>
        <v>306264</v>
      </c>
      <c r="CE10" s="14">
        <f t="shared" si="14"/>
        <v>270370</v>
      </c>
      <c r="CF10" s="14">
        <f t="shared" si="14"/>
        <v>194014</v>
      </c>
      <c r="CG10" s="14">
        <f>CG11+CG16+CG19</f>
        <v>182266</v>
      </c>
      <c r="CH10" s="14">
        <f t="shared" ref="CH10" si="15">CH15+CH16+CH19</f>
        <v>161447</v>
      </c>
      <c r="CJ10" s="14">
        <f>CH10+CJ71-CJ27</f>
        <v>145024.06</v>
      </c>
      <c r="CK10" s="14">
        <f>CJ10+CK71-CK27</f>
        <v>167771.39000000001</v>
      </c>
      <c r="CL10" s="14">
        <f>CL15+CL16</f>
        <v>127909</v>
      </c>
      <c r="CM10" s="14">
        <f>CM15+CM16</f>
        <v>174007</v>
      </c>
      <c r="CN10" s="14">
        <f>CM10+CN71-CN27</f>
        <v>198495.05</v>
      </c>
      <c r="CO10" s="14">
        <f t="shared" ref="CO10:CU10" si="16">CN10+CO71-CO27</f>
        <v>271814.17</v>
      </c>
      <c r="CP10" s="14">
        <f t="shared" si="16"/>
        <v>262094.07999999999</v>
      </c>
      <c r="CQ10" s="14">
        <f>CP10+CQ71-CQ27</f>
        <v>271198.76999999996</v>
      </c>
      <c r="CR10" s="14">
        <f t="shared" si="16"/>
        <v>220945.12999999998</v>
      </c>
      <c r="CS10" s="14">
        <f t="shared" si="16"/>
        <v>217128.21</v>
      </c>
      <c r="CT10" s="14">
        <f t="shared" si="16"/>
        <v>236743.11999999997</v>
      </c>
      <c r="CU10" s="14">
        <f t="shared" si="16"/>
        <v>258359.3</v>
      </c>
      <c r="CV10" s="14">
        <v>116080.10690622788</v>
      </c>
      <c r="CX10" s="14">
        <f>CV10+CX71-CX27</f>
        <v>117586.01990622788</v>
      </c>
      <c r="CY10" s="14">
        <f>CX10+CY71-CY27</f>
        <v>87440.716406227904</v>
      </c>
      <c r="CZ10" s="14">
        <f>CY10+CZ71-CZ27</f>
        <v>74754.202406227909</v>
      </c>
      <c r="DA10" s="14">
        <f>CZ10+DA71-DA27</f>
        <v>97722.052406227944</v>
      </c>
      <c r="DB10" s="14">
        <f>DA10+DB71-DB27</f>
        <v>137830.0049062279</v>
      </c>
      <c r="DC10" s="14">
        <f t="shared" ref="DC10:DI10" si="17">DB10+DC71-DC27</f>
        <v>203640.08090622793</v>
      </c>
      <c r="DD10" s="14">
        <f t="shared" si="17"/>
        <v>187433.98640622792</v>
      </c>
      <c r="DE10" s="14">
        <f t="shared" si="17"/>
        <v>171793.91090622792</v>
      </c>
      <c r="DF10" s="14">
        <f t="shared" si="17"/>
        <v>94307.588906227902</v>
      </c>
      <c r="DG10" s="14">
        <f t="shared" si="17"/>
        <v>74219.82290622787</v>
      </c>
      <c r="DH10" s="14">
        <f t="shared" si="17"/>
        <v>85695.478406227863</v>
      </c>
      <c r="DI10" s="14">
        <f t="shared" si="17"/>
        <v>102152.46740622785</v>
      </c>
      <c r="DJ10" s="14">
        <v>116080.10690622788</v>
      </c>
    </row>
    <row r="11" spans="1:114">
      <c r="A11" s="19">
        <v>0</v>
      </c>
      <c r="B11" s="158" t="s">
        <v>30</v>
      </c>
      <c r="C11" s="264"/>
      <c r="D11" s="265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66"/>
      <c r="Q11" s="21"/>
      <c r="R11" s="265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67"/>
      <c r="AE11" s="23"/>
      <c r="AF11" s="22"/>
      <c r="AG11" s="22"/>
      <c r="AH11" s="22"/>
      <c r="AI11" s="22"/>
      <c r="AJ11" s="24"/>
      <c r="AK11" s="22"/>
      <c r="AL11" s="22"/>
      <c r="AM11" s="22"/>
      <c r="AN11" s="22"/>
      <c r="AO11" s="22"/>
      <c r="AP11" s="25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6"/>
      <c r="BC11" s="22"/>
      <c r="BD11" s="22"/>
      <c r="BE11" s="22"/>
      <c r="BF11" s="22"/>
      <c r="BG11" s="27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8"/>
      <c r="BV11" s="22">
        <v>204006</v>
      </c>
      <c r="BW11" s="22">
        <v>241182</v>
      </c>
      <c r="BX11" s="22">
        <v>245950</v>
      </c>
      <c r="BY11" s="22">
        <v>281974</v>
      </c>
      <c r="BZ11" s="22">
        <v>202865</v>
      </c>
      <c r="CA11" s="22">
        <v>240895</v>
      </c>
      <c r="CB11" s="22">
        <v>273565</v>
      </c>
      <c r="CC11" s="22">
        <v>288981</v>
      </c>
      <c r="CD11" s="22">
        <v>273990</v>
      </c>
      <c r="CE11" s="22">
        <v>237556</v>
      </c>
      <c r="CF11" s="22">
        <v>168313</v>
      </c>
      <c r="CG11" s="22">
        <v>150819</v>
      </c>
      <c r="CH11" s="22">
        <f>CG11</f>
        <v>150819</v>
      </c>
      <c r="CJ11" s="22">
        <v>205037</v>
      </c>
      <c r="CK11" s="22">
        <v>230430</v>
      </c>
      <c r="CL11" s="22">
        <v>234343</v>
      </c>
      <c r="CM11" s="22">
        <v>266388</v>
      </c>
      <c r="CN11" s="22"/>
      <c r="CO11" s="22"/>
      <c r="CP11" s="22"/>
      <c r="CQ11" s="22"/>
      <c r="CR11" s="22"/>
      <c r="CS11" s="22"/>
      <c r="CT11" s="22"/>
      <c r="CU11" s="22"/>
      <c r="CV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</row>
    <row r="12" spans="1:114">
      <c r="A12" s="19">
        <v>0</v>
      </c>
      <c r="B12" s="158" t="s">
        <v>31</v>
      </c>
      <c r="C12" s="264"/>
      <c r="D12" s="265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66"/>
      <c r="Q12" s="21"/>
      <c r="R12" s="265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67"/>
      <c r="AE12" s="23"/>
      <c r="AF12" s="22"/>
      <c r="AG12" s="22"/>
      <c r="AH12" s="22"/>
      <c r="AI12" s="22"/>
      <c r="AJ12" s="24"/>
      <c r="AK12" s="22"/>
      <c r="AL12" s="22"/>
      <c r="AM12" s="22"/>
      <c r="AN12" s="22"/>
      <c r="AO12" s="22"/>
      <c r="AP12" s="25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6"/>
      <c r="BC12" s="22"/>
      <c r="BD12" s="22"/>
      <c r="BE12" s="22"/>
      <c r="BF12" s="22"/>
      <c r="BG12" s="27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8"/>
      <c r="BV12" s="22">
        <v>80956</v>
      </c>
      <c r="BW12" s="22">
        <v>110544</v>
      </c>
      <c r="BX12" s="22">
        <v>134506</v>
      </c>
      <c r="BY12" s="22">
        <v>127959</v>
      </c>
      <c r="BZ12" s="22">
        <v>66136</v>
      </c>
      <c r="CA12" s="22">
        <v>72582</v>
      </c>
      <c r="CB12" s="22">
        <v>94286</v>
      </c>
      <c r="CC12" s="22">
        <v>133081</v>
      </c>
      <c r="CD12" s="22">
        <v>148174</v>
      </c>
      <c r="CE12" s="22">
        <v>154201</v>
      </c>
      <c r="CF12" s="22">
        <v>97365</v>
      </c>
      <c r="CG12" s="22">
        <v>30184</v>
      </c>
      <c r="CH12" s="22"/>
      <c r="CJ12" s="22">
        <v>132209</v>
      </c>
      <c r="CK12" s="22">
        <v>180000</v>
      </c>
      <c r="CL12" s="22">
        <v>177643</v>
      </c>
      <c r="CM12" s="22">
        <v>153210</v>
      </c>
      <c r="CN12" s="22"/>
      <c r="CO12" s="22"/>
      <c r="CP12" s="22"/>
      <c r="CQ12" s="22"/>
      <c r="CR12" s="22"/>
      <c r="CS12" s="22"/>
      <c r="CT12" s="22"/>
      <c r="CU12" s="22"/>
      <c r="CV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</row>
    <row r="13" spans="1:114">
      <c r="A13" s="19">
        <v>0</v>
      </c>
      <c r="B13" s="158" t="s">
        <v>32</v>
      </c>
      <c r="C13" s="264"/>
      <c r="D13" s="26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66"/>
      <c r="Q13" s="21"/>
      <c r="R13" s="265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67"/>
      <c r="AE13" s="23"/>
      <c r="AF13" s="22"/>
      <c r="AG13" s="22"/>
      <c r="AH13" s="22"/>
      <c r="AI13" s="22"/>
      <c r="AJ13" s="24"/>
      <c r="AK13" s="22"/>
      <c r="AL13" s="22"/>
      <c r="AM13" s="22"/>
      <c r="AN13" s="22"/>
      <c r="AO13" s="22"/>
      <c r="AP13" s="25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6"/>
      <c r="BC13" s="22"/>
      <c r="BD13" s="22"/>
      <c r="BE13" s="22"/>
      <c r="BF13" s="22"/>
      <c r="BG13" s="27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8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J13" s="22">
        <v>150321</v>
      </c>
      <c r="CK13" s="22">
        <v>133602</v>
      </c>
      <c r="CL13" s="22">
        <v>135672</v>
      </c>
      <c r="CM13" s="22">
        <v>133268</v>
      </c>
      <c r="CN13" s="22"/>
      <c r="CO13" s="22"/>
      <c r="CP13" s="22"/>
      <c r="CQ13" s="22"/>
      <c r="CR13" s="22"/>
      <c r="CS13" s="22"/>
      <c r="CT13" s="22"/>
      <c r="CU13" s="22"/>
      <c r="CV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</row>
    <row r="14" spans="1:114">
      <c r="A14" s="19">
        <v>0</v>
      </c>
      <c r="B14" s="717" t="s">
        <v>33</v>
      </c>
      <c r="C14" s="264"/>
      <c r="D14" s="26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66"/>
      <c r="Q14" s="21"/>
      <c r="R14" s="265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67"/>
      <c r="AE14" s="23"/>
      <c r="AF14" s="22"/>
      <c r="AG14" s="22"/>
      <c r="AH14" s="22"/>
      <c r="AI14" s="22"/>
      <c r="AJ14" s="24"/>
      <c r="AK14" s="22"/>
      <c r="AL14" s="22"/>
      <c r="AM14" s="22"/>
      <c r="AN14" s="22"/>
      <c r="AO14" s="22"/>
      <c r="AP14" s="25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6"/>
      <c r="BC14" s="22"/>
      <c r="BD14" s="22"/>
      <c r="BE14" s="22"/>
      <c r="BF14" s="22"/>
      <c r="BG14" s="27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8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J14" s="718">
        <v>36757</v>
      </c>
      <c r="CK14" s="718">
        <v>55826</v>
      </c>
      <c r="CL14" s="718">
        <v>60438</v>
      </c>
      <c r="CM14" s="718">
        <v>52291</v>
      </c>
      <c r="CN14" s="22"/>
      <c r="CO14" s="22"/>
      <c r="CP14" s="22"/>
      <c r="CQ14" s="22"/>
      <c r="CR14" s="22"/>
      <c r="CS14" s="22"/>
      <c r="CT14" s="22"/>
      <c r="CU14" s="22"/>
      <c r="CV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</row>
    <row r="15" spans="1:114" s="698" customFormat="1" ht="15.75">
      <c r="A15" s="683">
        <v>1</v>
      </c>
      <c r="B15" s="684" t="s">
        <v>34</v>
      </c>
      <c r="C15" s="685"/>
      <c r="D15" s="686">
        <v>197000</v>
      </c>
      <c r="E15" s="687">
        <v>223027</v>
      </c>
      <c r="F15" s="687">
        <v>230513</v>
      </c>
      <c r="G15" s="687">
        <v>231174</v>
      </c>
      <c r="H15" s="687">
        <v>255028</v>
      </c>
      <c r="I15" s="687">
        <f>316386+3241</f>
        <v>319627</v>
      </c>
      <c r="J15" s="687">
        <v>377712</v>
      </c>
      <c r="K15" s="687">
        <v>382411</v>
      </c>
      <c r="L15" s="687">
        <v>394107</v>
      </c>
      <c r="M15" s="687">
        <v>267954</v>
      </c>
      <c r="N15" s="687"/>
      <c r="O15" s="687">
        <v>143875</v>
      </c>
      <c r="P15" s="688"/>
      <c r="Q15" s="689"/>
      <c r="R15" s="686">
        <v>208084</v>
      </c>
      <c r="S15" s="690">
        <v>268431</v>
      </c>
      <c r="T15" s="690">
        <v>250616</v>
      </c>
      <c r="U15" s="690">
        <v>237088</v>
      </c>
      <c r="V15" s="690">
        <v>147777</v>
      </c>
      <c r="W15" s="690">
        <v>215818</v>
      </c>
      <c r="X15" s="690">
        <v>273510</v>
      </c>
      <c r="Y15" s="690">
        <v>299059</v>
      </c>
      <c r="Z15" s="690">
        <v>304980</v>
      </c>
      <c r="AA15" s="690">
        <v>231197</v>
      </c>
      <c r="AB15" s="690">
        <v>143086</v>
      </c>
      <c r="AC15" s="690">
        <v>172491</v>
      </c>
      <c r="AD15" s="691"/>
      <c r="AE15" s="692"/>
      <c r="AF15" s="690">
        <v>198695</v>
      </c>
      <c r="AG15" s="690">
        <v>234210</v>
      </c>
      <c r="AH15" s="690">
        <v>327560</v>
      </c>
      <c r="AI15" s="690">
        <v>332523</v>
      </c>
      <c r="AJ15" s="693">
        <v>356667</v>
      </c>
      <c r="AK15" s="690">
        <v>384165</v>
      </c>
      <c r="AL15" s="690">
        <v>317268</v>
      </c>
      <c r="AM15" s="690">
        <v>370708</v>
      </c>
      <c r="AN15" s="690">
        <v>354503</v>
      </c>
      <c r="AO15" s="690">
        <v>314605</v>
      </c>
      <c r="AP15" s="694">
        <v>90490</v>
      </c>
      <c r="AQ15" s="690">
        <v>58348</v>
      </c>
      <c r="AR15" s="690">
        <f t="shared" si="10"/>
        <v>58348</v>
      </c>
      <c r="AS15" s="692"/>
      <c r="AT15" s="690">
        <v>158701</v>
      </c>
      <c r="AU15" s="690">
        <v>115369</v>
      </c>
      <c r="AV15" s="690">
        <v>142379</v>
      </c>
      <c r="AW15" s="690">
        <v>118765</v>
      </c>
      <c r="AX15" s="690">
        <v>113246</v>
      </c>
      <c r="AY15" s="690">
        <v>106776</v>
      </c>
      <c r="AZ15" s="690">
        <v>175234</v>
      </c>
      <c r="BA15" s="690">
        <v>151553</v>
      </c>
      <c r="BB15" s="695">
        <v>167082</v>
      </c>
      <c r="BC15" s="690">
        <v>150959</v>
      </c>
      <c r="BD15" s="690">
        <v>119787</v>
      </c>
      <c r="BE15" s="690">
        <v>65426</v>
      </c>
      <c r="BF15" s="690">
        <f t="shared" si="12"/>
        <v>65426</v>
      </c>
      <c r="BG15" s="696"/>
      <c r="BH15" s="690">
        <v>166918</v>
      </c>
      <c r="BI15" s="690">
        <v>167160</v>
      </c>
      <c r="BJ15" s="690">
        <v>204571</v>
      </c>
      <c r="BK15" s="690">
        <v>153197</v>
      </c>
      <c r="BL15" s="690">
        <v>196798</v>
      </c>
      <c r="BM15" s="690">
        <v>145596</v>
      </c>
      <c r="BN15" s="690">
        <v>166021</v>
      </c>
      <c r="BO15" s="690">
        <v>211305</v>
      </c>
      <c r="BP15" s="690">
        <v>201071</v>
      </c>
      <c r="BQ15" s="690">
        <v>177743</v>
      </c>
      <c r="BR15" s="690">
        <v>144020</v>
      </c>
      <c r="BS15" s="690">
        <v>154347</v>
      </c>
      <c r="BT15" s="690">
        <f>BS15</f>
        <v>154347</v>
      </c>
      <c r="BU15" s="697"/>
      <c r="BV15" s="690">
        <v>151471</v>
      </c>
      <c r="BW15" s="690">
        <v>155653</v>
      </c>
      <c r="BX15" s="690">
        <v>151611</v>
      </c>
      <c r="BY15" s="690">
        <v>177044</v>
      </c>
      <c r="BZ15" s="690">
        <v>170481</v>
      </c>
      <c r="CA15" s="690">
        <v>221665</v>
      </c>
      <c r="CB15" s="690">
        <v>218105</v>
      </c>
      <c r="CC15" s="690">
        <v>188153</v>
      </c>
      <c r="CD15" s="690">
        <v>147751</v>
      </c>
      <c r="CE15" s="690">
        <v>112996</v>
      </c>
      <c r="CF15" s="690">
        <v>135968</v>
      </c>
      <c r="CG15" s="690">
        <v>130000</v>
      </c>
      <c r="CH15" s="690">
        <f t="shared" ref="CH15:CH25" si="18">CG15</f>
        <v>130000</v>
      </c>
      <c r="CI15" s="707">
        <v>114000</v>
      </c>
      <c r="CJ15" s="690">
        <v>109585</v>
      </c>
      <c r="CK15" s="690">
        <v>103815</v>
      </c>
      <c r="CL15" s="690">
        <v>117138</v>
      </c>
      <c r="CM15" s="690">
        <v>165469</v>
      </c>
      <c r="CN15" s="690">
        <f>CM15+CN71-CN27</f>
        <v>189957.05</v>
      </c>
      <c r="CO15" s="690">
        <f t="shared" ref="CO15:CU15" si="19">CN15+CO71-CO27</f>
        <v>263276.17</v>
      </c>
      <c r="CP15" s="690">
        <f t="shared" si="19"/>
        <v>253556.08</v>
      </c>
      <c r="CQ15" s="690">
        <f t="shared" si="19"/>
        <v>262660.76999999996</v>
      </c>
      <c r="CR15" s="690">
        <f t="shared" si="19"/>
        <v>212407.12999999998</v>
      </c>
      <c r="CS15" s="690">
        <f t="shared" si="19"/>
        <v>208590.21</v>
      </c>
      <c r="CT15" s="690">
        <f t="shared" si="19"/>
        <v>228205.11999999997</v>
      </c>
      <c r="CU15" s="690">
        <f t="shared" si="19"/>
        <v>249821.3</v>
      </c>
      <c r="CV15" s="690"/>
      <c r="CX15" s="690">
        <f>CU15+CX71-CX27</f>
        <v>251327.21299999999</v>
      </c>
      <c r="CY15" s="690">
        <f>CX15+CY71-CY27</f>
        <v>221181.90950000001</v>
      </c>
      <c r="CZ15" s="690">
        <f t="shared" ref="CZ15:DI15" si="20">CY15+CZ71-CZ27</f>
        <v>208495.39550000001</v>
      </c>
      <c r="DA15" s="690">
        <f t="shared" si="20"/>
        <v>231463.24549999999</v>
      </c>
      <c r="DB15" s="690">
        <f t="shared" si="20"/>
        <v>271571.19799999997</v>
      </c>
      <c r="DC15" s="690">
        <f t="shared" si="20"/>
        <v>337381.27399999998</v>
      </c>
      <c r="DD15" s="690">
        <f t="shared" si="20"/>
        <v>321175.17949999997</v>
      </c>
      <c r="DE15" s="690">
        <f t="shared" si="20"/>
        <v>305535.10399999993</v>
      </c>
      <c r="DF15" s="690">
        <f t="shared" si="20"/>
        <v>228048.78199999995</v>
      </c>
      <c r="DG15" s="690">
        <f t="shared" si="20"/>
        <v>207961.01599999992</v>
      </c>
      <c r="DH15" s="690">
        <f t="shared" si="20"/>
        <v>219436.67149999994</v>
      </c>
      <c r="DI15" s="690">
        <f t="shared" si="20"/>
        <v>235893.66049999994</v>
      </c>
      <c r="DJ15" s="690">
        <v>0</v>
      </c>
    </row>
    <row r="16" spans="1:114">
      <c r="A16" s="19">
        <v>2</v>
      </c>
      <c r="B16" s="702" t="s">
        <v>35</v>
      </c>
      <c r="C16" s="264"/>
      <c r="D16" s="265">
        <v>73670</v>
      </c>
      <c r="E16" s="20">
        <v>59682</v>
      </c>
      <c r="F16" s="20">
        <v>54710</v>
      </c>
      <c r="G16" s="20">
        <v>56175</v>
      </c>
      <c r="H16" s="20">
        <v>58933</v>
      </c>
      <c r="I16" s="20">
        <v>42784</v>
      </c>
      <c r="J16" s="20">
        <v>35755</v>
      </c>
      <c r="K16" s="20">
        <v>33547</v>
      </c>
      <c r="L16" s="20">
        <v>22824</v>
      </c>
      <c r="M16" s="20">
        <v>26162</v>
      </c>
      <c r="N16" s="20"/>
      <c r="O16" s="20">
        <v>44389</v>
      </c>
      <c r="P16" s="266"/>
      <c r="Q16" s="21"/>
      <c r="R16" s="265">
        <v>39759</v>
      </c>
      <c r="S16" s="22">
        <v>38325</v>
      </c>
      <c r="T16" s="22">
        <v>26634</v>
      </c>
      <c r="U16" s="22">
        <f>14430+2754+7859</f>
        <v>25043</v>
      </c>
      <c r="V16" s="22">
        <v>23840</v>
      </c>
      <c r="W16" s="22">
        <v>20057</v>
      </c>
      <c r="X16" s="22">
        <v>80502</v>
      </c>
      <c r="Y16" s="22">
        <v>56483</v>
      </c>
      <c r="Z16" s="22">
        <v>44233</v>
      </c>
      <c r="AA16" s="22">
        <v>38155</v>
      </c>
      <c r="AB16" s="22">
        <v>27540</v>
      </c>
      <c r="AC16" s="22">
        <v>25060</v>
      </c>
      <c r="AD16" s="267"/>
      <c r="AE16" s="23"/>
      <c r="AF16" s="22">
        <v>21326</v>
      </c>
      <c r="AG16" s="22">
        <v>17804</v>
      </c>
      <c r="AH16" s="22">
        <v>27157</v>
      </c>
      <c r="AI16" s="22">
        <v>19677</v>
      </c>
      <c r="AJ16" s="22">
        <v>18817</v>
      </c>
      <c r="AK16" s="22">
        <v>25034</v>
      </c>
      <c r="AL16" s="22">
        <v>28090</v>
      </c>
      <c r="AM16" s="22">
        <v>25660</v>
      </c>
      <c r="AN16" s="22">
        <v>33752</v>
      </c>
      <c r="AO16" s="22">
        <v>24699</v>
      </c>
      <c r="AP16" s="25">
        <v>19340</v>
      </c>
      <c r="AQ16" s="22">
        <v>29842</v>
      </c>
      <c r="AR16" s="22">
        <f t="shared" si="10"/>
        <v>29842</v>
      </c>
      <c r="AS16" s="23"/>
      <c r="AT16" s="22">
        <v>46493</v>
      </c>
      <c r="AU16" s="22">
        <v>37125</v>
      </c>
      <c r="AV16" s="22">
        <v>38574</v>
      </c>
      <c r="AW16" s="22">
        <v>43626</v>
      </c>
      <c r="AX16" s="22">
        <v>39641</v>
      </c>
      <c r="AY16" s="22">
        <v>55553</v>
      </c>
      <c r="AZ16" s="22">
        <v>48023</v>
      </c>
      <c r="BA16" s="22">
        <v>55043</v>
      </c>
      <c r="BB16" s="26">
        <v>50383</v>
      </c>
      <c r="BC16" s="22">
        <v>54355</v>
      </c>
      <c r="BD16" s="22">
        <v>82473</v>
      </c>
      <c r="BE16" s="22">
        <v>65398</v>
      </c>
      <c r="BF16" s="22">
        <f t="shared" si="12"/>
        <v>65398</v>
      </c>
      <c r="BG16" s="27"/>
      <c r="BH16" s="22">
        <v>68747</v>
      </c>
      <c r="BI16" s="22">
        <v>62843</v>
      </c>
      <c r="BJ16" s="22">
        <v>62154</v>
      </c>
      <c r="BK16" s="22">
        <v>49337</v>
      </c>
      <c r="BL16" s="22">
        <v>27730</v>
      </c>
      <c r="BM16" s="22">
        <v>42459</v>
      </c>
      <c r="BN16" s="22">
        <v>44049</v>
      </c>
      <c r="BO16" s="22">
        <v>29196</v>
      </c>
      <c r="BP16" s="22">
        <v>36882</v>
      </c>
      <c r="BQ16" s="22">
        <v>35965</v>
      </c>
      <c r="BR16" s="22">
        <v>31343</v>
      </c>
      <c r="BS16" s="22">
        <v>23087</v>
      </c>
      <c r="BT16" s="22">
        <f t="shared" ref="BT16:BT25" si="21">BS16</f>
        <v>23087</v>
      </c>
      <c r="BU16" s="28"/>
      <c r="BV16" s="22">
        <v>15202</v>
      </c>
      <c r="BW16" s="22">
        <v>12471</v>
      </c>
      <c r="BX16" s="22">
        <v>11483</v>
      </c>
      <c r="BY16" s="22">
        <v>14071</v>
      </c>
      <c r="BZ16" s="22">
        <v>49617</v>
      </c>
      <c r="CA16" s="22">
        <v>36385</v>
      </c>
      <c r="CB16" s="22">
        <v>25473</v>
      </c>
      <c r="CC16" s="22">
        <v>16933</v>
      </c>
      <c r="CD16" s="22">
        <v>12684</v>
      </c>
      <c r="CE16" s="22">
        <v>21084</v>
      </c>
      <c r="CF16" s="22">
        <v>15172</v>
      </c>
      <c r="CG16" s="22">
        <v>11469</v>
      </c>
      <c r="CH16" s="22">
        <f>CG16</f>
        <v>11469</v>
      </c>
      <c r="CI16">
        <f>7500*5</f>
        <v>37500</v>
      </c>
      <c r="CJ16" s="22">
        <v>9465</v>
      </c>
      <c r="CK16" s="22">
        <v>13722</v>
      </c>
      <c r="CL16" s="22">
        <v>10771</v>
      </c>
      <c r="CM16" s="22">
        <v>8538</v>
      </c>
      <c r="CN16" s="22"/>
      <c r="CO16" s="22"/>
      <c r="CP16" s="22"/>
      <c r="CQ16" s="22"/>
      <c r="CR16" s="22"/>
      <c r="CS16" s="22"/>
      <c r="CT16" s="22"/>
      <c r="CU16" s="22"/>
      <c r="CV16" s="22">
        <v>0</v>
      </c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>
        <v>0</v>
      </c>
    </row>
    <row r="17" spans="1:114">
      <c r="A17" s="19">
        <v>3</v>
      </c>
      <c r="B17" s="702" t="s">
        <v>36</v>
      </c>
      <c r="C17" s="264"/>
      <c r="D17" s="268">
        <v>34116</v>
      </c>
      <c r="E17" s="269">
        <v>29277</v>
      </c>
      <c r="F17" s="269">
        <v>43008</v>
      </c>
      <c r="G17" s="269">
        <v>30524</v>
      </c>
      <c r="H17" s="269">
        <v>33235</v>
      </c>
      <c r="I17" s="269">
        <v>39842</v>
      </c>
      <c r="J17" s="269">
        <v>41021</v>
      </c>
      <c r="K17" s="269">
        <v>31224</v>
      </c>
      <c r="L17" s="269"/>
      <c r="M17" s="269">
        <v>10286</v>
      </c>
      <c r="N17" s="269"/>
      <c r="O17" s="269"/>
      <c r="P17" s="266"/>
      <c r="Q17" s="21"/>
      <c r="R17" s="268">
        <v>35516</v>
      </c>
      <c r="S17" s="270">
        <v>35962</v>
      </c>
      <c r="T17" s="270">
        <v>35962</v>
      </c>
      <c r="U17" s="270">
        <v>35962</v>
      </c>
      <c r="V17" s="270">
        <v>35000</v>
      </c>
      <c r="W17" s="270"/>
      <c r="X17" s="270">
        <v>6123</v>
      </c>
      <c r="Y17" s="270">
        <v>6123</v>
      </c>
      <c r="Z17" s="270">
        <v>4187</v>
      </c>
      <c r="AA17" s="270">
        <v>2745</v>
      </c>
      <c r="AB17" s="270"/>
      <c r="AC17" s="270"/>
      <c r="AD17" s="267"/>
      <c r="AE17" s="23"/>
      <c r="AF17" s="270">
        <v>8366</v>
      </c>
      <c r="AG17" s="270">
        <v>11534</v>
      </c>
      <c r="AH17" s="270">
        <v>11507</v>
      </c>
      <c r="AI17" s="270">
        <v>9148</v>
      </c>
      <c r="AJ17" s="22">
        <v>8524</v>
      </c>
      <c r="AK17" s="270">
        <v>25290</v>
      </c>
      <c r="AL17" s="270">
        <v>91080</v>
      </c>
      <c r="AM17" s="270">
        <v>66830</v>
      </c>
      <c r="AN17" s="270">
        <v>36866</v>
      </c>
      <c r="AO17" s="270">
        <v>16173</v>
      </c>
      <c r="AP17" s="271">
        <v>178274</v>
      </c>
      <c r="AQ17" s="270">
        <v>210665</v>
      </c>
      <c r="AR17" s="22">
        <f t="shared" si="10"/>
        <v>210665</v>
      </c>
      <c r="AS17" s="23"/>
      <c r="AT17" s="270">
        <v>121075</v>
      </c>
      <c r="AU17" s="270">
        <v>149376</v>
      </c>
      <c r="AV17" s="270">
        <v>104538</v>
      </c>
      <c r="AW17" s="270">
        <v>105262</v>
      </c>
      <c r="AX17" s="270">
        <v>121073</v>
      </c>
      <c r="AY17" s="270">
        <v>163931</v>
      </c>
      <c r="AZ17" s="270">
        <v>109964</v>
      </c>
      <c r="BA17" s="270">
        <v>148266</v>
      </c>
      <c r="BB17" s="26">
        <v>130697</v>
      </c>
      <c r="BC17" s="270">
        <v>113779</v>
      </c>
      <c r="BD17" s="270">
        <v>91119</v>
      </c>
      <c r="BE17" s="270">
        <v>103286</v>
      </c>
      <c r="BF17" s="22">
        <f t="shared" si="12"/>
        <v>103286</v>
      </c>
      <c r="BG17" s="27"/>
      <c r="BH17" s="270">
        <v>49631</v>
      </c>
      <c r="BI17" s="270">
        <v>52953</v>
      </c>
      <c r="BJ17" s="270">
        <v>28440</v>
      </c>
      <c r="BK17" s="270">
        <v>83601</v>
      </c>
      <c r="BL17" s="22">
        <v>25812</v>
      </c>
      <c r="BM17" s="22">
        <v>59545</v>
      </c>
      <c r="BN17" s="22">
        <v>83435</v>
      </c>
      <c r="BO17" s="22">
        <v>34041</v>
      </c>
      <c r="BP17" s="22">
        <v>22399</v>
      </c>
      <c r="BQ17" s="22">
        <v>24887</v>
      </c>
      <c r="BR17" s="22">
        <v>12183</v>
      </c>
      <c r="BS17" s="22">
        <v>12183</v>
      </c>
      <c r="BT17" s="22">
        <f t="shared" si="21"/>
        <v>12183</v>
      </c>
      <c r="BU17" s="28"/>
      <c r="BV17" s="270">
        <v>5216</v>
      </c>
      <c r="BW17" s="270"/>
      <c r="BX17" s="270">
        <v>65273</v>
      </c>
      <c r="BY17" s="270">
        <v>70182</v>
      </c>
      <c r="BZ17" s="22">
        <v>57659</v>
      </c>
      <c r="CA17" s="22">
        <v>71669</v>
      </c>
      <c r="CB17" s="22">
        <v>73078</v>
      </c>
      <c r="CC17" s="22">
        <v>85302</v>
      </c>
      <c r="CD17" s="22">
        <v>25343</v>
      </c>
      <c r="CE17" s="22">
        <v>19030</v>
      </c>
      <c r="CF17" s="22">
        <v>19422</v>
      </c>
      <c r="CG17" s="22">
        <v>25927</v>
      </c>
      <c r="CH17" s="22">
        <f>CG17</f>
        <v>25927</v>
      </c>
      <c r="CI17">
        <v>29000</v>
      </c>
      <c r="CJ17" s="270">
        <v>21580</v>
      </c>
      <c r="CK17" s="270">
        <v>18052</v>
      </c>
      <c r="CL17" s="270">
        <v>30722</v>
      </c>
      <c r="CM17" s="270">
        <v>33641</v>
      </c>
      <c r="CN17" s="22"/>
      <c r="CO17" s="22"/>
      <c r="CP17" s="22"/>
      <c r="CQ17" s="22"/>
      <c r="CR17" s="22"/>
      <c r="CS17" s="22"/>
      <c r="CT17" s="22"/>
      <c r="CU17" s="22"/>
      <c r="CV17" s="22">
        <v>0</v>
      </c>
      <c r="CX17" s="270"/>
      <c r="CY17" s="270"/>
      <c r="CZ17" s="270"/>
      <c r="DA17" s="270"/>
      <c r="DB17" s="22"/>
      <c r="DC17" s="22"/>
      <c r="DD17" s="22"/>
      <c r="DE17" s="22"/>
      <c r="DF17" s="22"/>
      <c r="DG17" s="22"/>
      <c r="DH17" s="22"/>
      <c r="DI17" s="22"/>
      <c r="DJ17" s="22">
        <v>0</v>
      </c>
    </row>
    <row r="18" spans="1:114">
      <c r="A18" s="19">
        <v>4</v>
      </c>
      <c r="B18" s="702" t="s">
        <v>37</v>
      </c>
      <c r="C18" s="264"/>
      <c r="D18" s="268">
        <v>34116</v>
      </c>
      <c r="E18" s="269">
        <v>29277</v>
      </c>
      <c r="F18" s="269">
        <v>43008</v>
      </c>
      <c r="G18" s="269">
        <v>30524</v>
      </c>
      <c r="H18" s="269">
        <v>33235</v>
      </c>
      <c r="I18" s="269">
        <v>39842</v>
      </c>
      <c r="J18" s="269">
        <v>41021</v>
      </c>
      <c r="K18" s="269">
        <v>31224</v>
      </c>
      <c r="L18" s="269"/>
      <c r="M18" s="269">
        <v>10286</v>
      </c>
      <c r="N18" s="269"/>
      <c r="O18" s="269"/>
      <c r="P18" s="266"/>
      <c r="Q18" s="21"/>
      <c r="R18" s="268">
        <v>35516</v>
      </c>
      <c r="S18" s="270">
        <v>35962</v>
      </c>
      <c r="T18" s="270">
        <v>35962</v>
      </c>
      <c r="U18" s="270">
        <v>35962</v>
      </c>
      <c r="V18" s="270">
        <v>35000</v>
      </c>
      <c r="W18" s="270"/>
      <c r="X18" s="270">
        <v>6123</v>
      </c>
      <c r="Y18" s="270">
        <v>6123</v>
      </c>
      <c r="Z18" s="270">
        <v>4187</v>
      </c>
      <c r="AA18" s="270">
        <v>2745</v>
      </c>
      <c r="AB18" s="270"/>
      <c r="AC18" s="270"/>
      <c r="AD18" s="267"/>
      <c r="AE18" s="23"/>
      <c r="AF18" s="270">
        <v>8366</v>
      </c>
      <c r="AG18" s="270">
        <v>11534</v>
      </c>
      <c r="AH18" s="270">
        <v>11507</v>
      </c>
      <c r="AI18" s="270">
        <v>9148</v>
      </c>
      <c r="AJ18" s="22">
        <v>8524</v>
      </c>
      <c r="AK18" s="270">
        <v>25290</v>
      </c>
      <c r="AL18" s="270">
        <v>91080</v>
      </c>
      <c r="AM18" s="270">
        <v>66830</v>
      </c>
      <c r="AN18" s="270">
        <v>36866</v>
      </c>
      <c r="AO18" s="270">
        <v>16173</v>
      </c>
      <c r="AP18" s="271">
        <v>178274</v>
      </c>
      <c r="AQ18" s="270">
        <v>210665</v>
      </c>
      <c r="AR18" s="22">
        <f t="shared" si="10"/>
        <v>210665</v>
      </c>
      <c r="AS18" s="23"/>
      <c r="AT18" s="270">
        <v>121075</v>
      </c>
      <c r="AU18" s="270">
        <v>149376</v>
      </c>
      <c r="AV18" s="270">
        <v>104538</v>
      </c>
      <c r="AW18" s="270">
        <v>105262</v>
      </c>
      <c r="AX18" s="270">
        <v>121073</v>
      </c>
      <c r="AY18" s="270">
        <v>163931</v>
      </c>
      <c r="AZ18" s="270">
        <v>109964</v>
      </c>
      <c r="BA18" s="270">
        <v>148266</v>
      </c>
      <c r="BB18" s="26">
        <v>130697</v>
      </c>
      <c r="BC18" s="270">
        <v>113779</v>
      </c>
      <c r="BD18" s="270">
        <v>91119</v>
      </c>
      <c r="BE18" s="270">
        <v>103286</v>
      </c>
      <c r="BF18" s="22">
        <f t="shared" si="12"/>
        <v>103286</v>
      </c>
      <c r="BG18" s="27"/>
      <c r="BH18" s="270">
        <v>49631</v>
      </c>
      <c r="BI18" s="270">
        <v>52953</v>
      </c>
      <c r="BJ18" s="270">
        <v>28440</v>
      </c>
      <c r="BK18" s="270">
        <v>83601</v>
      </c>
      <c r="BL18" s="22">
        <v>25812</v>
      </c>
      <c r="BM18" s="22">
        <v>59545</v>
      </c>
      <c r="BN18" s="22">
        <v>83435</v>
      </c>
      <c r="BO18" s="22">
        <v>34041</v>
      </c>
      <c r="BP18" s="22">
        <v>22399</v>
      </c>
      <c r="BQ18" s="22">
        <v>24887</v>
      </c>
      <c r="BR18" s="22">
        <v>12183</v>
      </c>
      <c r="BS18" s="22">
        <v>12183</v>
      </c>
      <c r="BT18" s="22">
        <f t="shared" si="21"/>
        <v>12183</v>
      </c>
      <c r="BU18" s="28"/>
      <c r="BV18" s="270"/>
      <c r="BW18" s="270"/>
      <c r="BX18" s="270"/>
      <c r="BY18" s="270"/>
      <c r="BZ18" s="22"/>
      <c r="CA18" s="22"/>
      <c r="CB18" s="22"/>
      <c r="CC18" s="22"/>
      <c r="CD18" s="22">
        <v>6361</v>
      </c>
      <c r="CE18" s="22">
        <v>7759</v>
      </c>
      <c r="CF18" s="22">
        <v>6573</v>
      </c>
      <c r="CG18" s="22">
        <v>9541</v>
      </c>
      <c r="CH18" s="22">
        <f t="shared" si="18"/>
        <v>9541</v>
      </c>
      <c r="CI18">
        <f>CI15+CI16-CI17</f>
        <v>122500</v>
      </c>
      <c r="CJ18" s="270">
        <v>9582</v>
      </c>
      <c r="CK18" s="270">
        <v>7266</v>
      </c>
      <c r="CL18" s="270">
        <v>11364</v>
      </c>
      <c r="CM18" s="270">
        <v>10698</v>
      </c>
      <c r="CN18" s="22"/>
      <c r="CO18" s="22"/>
      <c r="CP18" s="22"/>
      <c r="CQ18" s="22"/>
      <c r="CR18" s="22"/>
      <c r="CS18" s="22"/>
      <c r="CT18" s="22"/>
      <c r="CU18" s="22"/>
      <c r="CV18" s="22">
        <v>0</v>
      </c>
      <c r="CX18" s="270"/>
      <c r="CY18" s="270"/>
      <c r="CZ18" s="270"/>
      <c r="DA18" s="270"/>
      <c r="DB18" s="22"/>
      <c r="DC18" s="22"/>
      <c r="DD18" s="22"/>
      <c r="DE18" s="22"/>
      <c r="DF18" s="22"/>
      <c r="DG18" s="22"/>
      <c r="DH18" s="22"/>
      <c r="DI18" s="22"/>
      <c r="DJ18" s="22">
        <v>0</v>
      </c>
    </row>
    <row r="19" spans="1:114">
      <c r="A19" s="19">
        <v>1</v>
      </c>
      <c r="B19" s="158" t="s">
        <v>38</v>
      </c>
      <c r="C19" s="159"/>
      <c r="D19" s="265">
        <v>6409</v>
      </c>
      <c r="E19" s="20">
        <v>6860</v>
      </c>
      <c r="F19" s="20">
        <v>4970</v>
      </c>
      <c r="G19" s="20">
        <v>31203</v>
      </c>
      <c r="H19" s="20">
        <v>31499</v>
      </c>
      <c r="I19" s="20">
        <v>25903</v>
      </c>
      <c r="J19" s="20">
        <v>18606</v>
      </c>
      <c r="K19" s="20">
        <v>16014</v>
      </c>
      <c r="L19" s="20">
        <v>13416</v>
      </c>
      <c r="M19" s="20">
        <v>40079</v>
      </c>
      <c r="N19" s="20"/>
      <c r="O19" s="20">
        <v>0</v>
      </c>
      <c r="P19" s="266"/>
      <c r="Q19" s="21"/>
      <c r="R19" s="265">
        <v>3376</v>
      </c>
      <c r="S19" s="22">
        <v>11736</v>
      </c>
      <c r="T19" s="22">
        <v>22454</v>
      </c>
      <c r="U19" s="22">
        <v>21384</v>
      </c>
      <c r="V19" s="22">
        <v>66870</v>
      </c>
      <c r="W19" s="22">
        <v>73769</v>
      </c>
      <c r="X19" s="22">
        <v>13944</v>
      </c>
      <c r="Y19" s="22">
        <v>32750</v>
      </c>
      <c r="Z19" s="22">
        <v>18536</v>
      </c>
      <c r="AA19" s="22">
        <v>40211</v>
      </c>
      <c r="AB19" s="22">
        <v>44457</v>
      </c>
      <c r="AC19" s="22">
        <v>24504</v>
      </c>
      <c r="AD19" s="267"/>
      <c r="AE19" s="23"/>
      <c r="AF19" s="22">
        <v>18586</v>
      </c>
      <c r="AG19" s="22">
        <v>17539</v>
      </c>
      <c r="AH19" s="22">
        <v>20245</v>
      </c>
      <c r="AI19" s="22">
        <v>17669</v>
      </c>
      <c r="AJ19" s="22">
        <v>16769</v>
      </c>
      <c r="AK19" s="22">
        <v>31134</v>
      </c>
      <c r="AL19" s="22">
        <v>35711</v>
      </c>
      <c r="AM19" s="22">
        <v>29141</v>
      </c>
      <c r="AN19" s="22">
        <v>25307</v>
      </c>
      <c r="AO19" s="22">
        <v>35964</v>
      </c>
      <c r="AP19" s="25">
        <v>37378</v>
      </c>
      <c r="AQ19" s="22">
        <v>22159</v>
      </c>
      <c r="AR19" s="22">
        <f t="shared" si="10"/>
        <v>22159</v>
      </c>
      <c r="AS19" s="23"/>
      <c r="AT19" s="22">
        <v>24034</v>
      </c>
      <c r="AU19" s="270">
        <v>22061</v>
      </c>
      <c r="AV19" s="22">
        <v>22489</v>
      </c>
      <c r="AW19" s="22">
        <v>25124</v>
      </c>
      <c r="AX19" s="22">
        <v>22794</v>
      </c>
      <c r="AY19" s="22">
        <v>17777</v>
      </c>
      <c r="AZ19" s="22">
        <v>34345</v>
      </c>
      <c r="BA19" s="22">
        <v>17580</v>
      </c>
      <c r="BB19" s="26">
        <v>26992</v>
      </c>
      <c r="BC19" s="22">
        <v>21373</v>
      </c>
      <c r="BD19" s="22">
        <v>21202</v>
      </c>
      <c r="BE19" s="22">
        <v>19109</v>
      </c>
      <c r="BF19" s="22">
        <f t="shared" si="12"/>
        <v>19109</v>
      </c>
      <c r="BG19" s="27"/>
      <c r="BH19" s="22">
        <v>22216</v>
      </c>
      <c r="BI19" s="270">
        <v>19102</v>
      </c>
      <c r="BJ19" s="22">
        <v>20676</v>
      </c>
      <c r="BK19" s="22">
        <v>19892</v>
      </c>
      <c r="BL19" s="22">
        <v>48737</v>
      </c>
      <c r="BM19" s="22">
        <v>45521</v>
      </c>
      <c r="BN19" s="22">
        <v>41781</v>
      </c>
      <c r="BO19" s="22">
        <v>48019</v>
      </c>
      <c r="BP19" s="22">
        <v>43955</v>
      </c>
      <c r="BQ19" s="22">
        <v>41505</v>
      </c>
      <c r="BR19" s="22">
        <v>28306</v>
      </c>
      <c r="BS19" s="22">
        <v>23731</v>
      </c>
      <c r="BT19" s="22">
        <f t="shared" si="21"/>
        <v>23731</v>
      </c>
      <c r="BU19" s="28"/>
      <c r="BV19" s="22">
        <v>28505</v>
      </c>
      <c r="BW19" s="270">
        <v>25054</v>
      </c>
      <c r="BX19" s="22">
        <v>24396</v>
      </c>
      <c r="BY19" s="22">
        <v>21708</v>
      </c>
      <c r="BZ19" s="22">
        <v>17857</v>
      </c>
      <c r="CA19" s="22">
        <v>33103</v>
      </c>
      <c r="CB19" s="22">
        <v>29327</v>
      </c>
      <c r="CC19" s="22">
        <v>27562</v>
      </c>
      <c r="CD19" s="22">
        <v>19590</v>
      </c>
      <c r="CE19" s="22">
        <v>11730</v>
      </c>
      <c r="CF19" s="22">
        <v>10529</v>
      </c>
      <c r="CG19" s="22">
        <v>19978</v>
      </c>
      <c r="CH19" s="22">
        <f t="shared" si="18"/>
        <v>19978</v>
      </c>
      <c r="CJ19" s="22">
        <v>18456</v>
      </c>
      <c r="CK19" s="270">
        <v>15409</v>
      </c>
      <c r="CL19" s="22">
        <v>18755</v>
      </c>
      <c r="CM19" s="22">
        <v>15399</v>
      </c>
      <c r="CN19" s="22"/>
      <c r="CO19" s="22"/>
      <c r="CP19" s="22"/>
      <c r="CQ19" s="22"/>
      <c r="CR19" s="22"/>
      <c r="CS19" s="22"/>
      <c r="CT19" s="22"/>
      <c r="CU19" s="22"/>
      <c r="CV19" s="22">
        <v>0</v>
      </c>
      <c r="CX19" s="22"/>
      <c r="CY19" s="270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>
        <v>0</v>
      </c>
    </row>
    <row r="20" spans="1:114">
      <c r="A20" s="19">
        <v>0</v>
      </c>
      <c r="B20" s="158" t="s">
        <v>39</v>
      </c>
      <c r="C20" s="159"/>
      <c r="D20" s="265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66"/>
      <c r="Q20" s="21"/>
      <c r="R20" s="265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67"/>
      <c r="AE20" s="23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5"/>
      <c r="AQ20" s="22"/>
      <c r="AR20" s="22"/>
      <c r="AS20" s="23"/>
      <c r="AT20" s="22"/>
      <c r="AU20" s="270"/>
      <c r="AV20" s="22"/>
      <c r="AW20" s="22"/>
      <c r="AX20" s="22"/>
      <c r="AY20" s="22"/>
      <c r="AZ20" s="22"/>
      <c r="BA20" s="22"/>
      <c r="BB20" s="26"/>
      <c r="BC20" s="22"/>
      <c r="BD20" s="22"/>
      <c r="BE20" s="22"/>
      <c r="BF20" s="22"/>
      <c r="BG20" s="27"/>
      <c r="BH20" s="22"/>
      <c r="BI20" s="270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8"/>
      <c r="BV20" s="22"/>
      <c r="BW20" s="270"/>
      <c r="BX20" s="22"/>
      <c r="BY20" s="22"/>
      <c r="BZ20" s="22"/>
      <c r="CA20" s="22"/>
      <c r="CB20" s="22"/>
      <c r="CC20" s="22"/>
      <c r="CD20" s="22"/>
      <c r="CE20" s="22">
        <v>34501</v>
      </c>
      <c r="CF20" s="22">
        <v>18809</v>
      </c>
      <c r="CG20" s="22">
        <v>12618</v>
      </c>
      <c r="CH20" s="22"/>
      <c r="CJ20" s="22">
        <v>11940</v>
      </c>
      <c r="CK20" s="270">
        <v>19956</v>
      </c>
      <c r="CL20" s="22">
        <v>15650</v>
      </c>
      <c r="CM20" s="22">
        <v>12005</v>
      </c>
      <c r="CN20" s="22"/>
      <c r="CO20" s="22"/>
      <c r="CP20" s="22"/>
      <c r="CQ20" s="22"/>
      <c r="CR20" s="22"/>
      <c r="CS20" s="22"/>
      <c r="CT20" s="22"/>
      <c r="CU20" s="22"/>
      <c r="CV20" s="22"/>
      <c r="CX20" s="22"/>
      <c r="CY20" s="270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</row>
    <row r="21" spans="1:114">
      <c r="A21" s="19">
        <v>0</v>
      </c>
      <c r="B21" s="158" t="s">
        <v>40</v>
      </c>
      <c r="C21" s="159"/>
      <c r="D21" s="265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66"/>
      <c r="Q21" s="21"/>
      <c r="R21" s="265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67"/>
      <c r="AE21" s="23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5"/>
      <c r="AQ21" s="22"/>
      <c r="AR21" s="22"/>
      <c r="AS21" s="23"/>
      <c r="AT21" s="22"/>
      <c r="AU21" s="270"/>
      <c r="AV21" s="22"/>
      <c r="AW21" s="22"/>
      <c r="AX21" s="22"/>
      <c r="AY21" s="22"/>
      <c r="AZ21" s="22"/>
      <c r="BA21" s="22"/>
      <c r="BB21" s="26"/>
      <c r="BC21" s="22"/>
      <c r="BD21" s="22"/>
      <c r="BE21" s="22"/>
      <c r="BF21" s="22"/>
      <c r="BG21" s="27"/>
      <c r="BH21" s="22"/>
      <c r="BI21" s="270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8"/>
      <c r="BV21" s="22"/>
      <c r="BW21" s="270"/>
      <c r="BX21" s="22"/>
      <c r="BY21" s="22"/>
      <c r="BZ21" s="22"/>
      <c r="CA21" s="22"/>
      <c r="CB21" s="22"/>
      <c r="CC21" s="22"/>
      <c r="CD21" s="22"/>
      <c r="CE21" s="22">
        <v>12837</v>
      </c>
      <c r="CF21" s="22">
        <v>11839</v>
      </c>
      <c r="CG21" s="22">
        <v>20519</v>
      </c>
      <c r="CH21" s="22"/>
      <c r="CJ21" s="22">
        <v>17816</v>
      </c>
      <c r="CK21" s="270">
        <v>17432</v>
      </c>
      <c r="CL21" s="22">
        <v>21670</v>
      </c>
      <c r="CM21" s="22">
        <v>19092</v>
      </c>
      <c r="CN21" s="22"/>
      <c r="CO21" s="22"/>
      <c r="CP21" s="22"/>
      <c r="CQ21" s="22"/>
      <c r="CR21" s="22"/>
      <c r="CS21" s="22"/>
      <c r="CT21" s="22"/>
      <c r="CU21" s="22"/>
      <c r="CV21" s="22"/>
      <c r="CX21" s="22"/>
      <c r="CY21" s="270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</row>
    <row r="22" spans="1:114">
      <c r="A22" s="29"/>
      <c r="B22" s="272" t="s">
        <v>41</v>
      </c>
      <c r="C22" s="273"/>
      <c r="D22" s="274">
        <f t="shared" ref="D22:O22" si="22">D10-D17</f>
        <v>270670</v>
      </c>
      <c r="E22" s="30">
        <f t="shared" si="22"/>
        <v>282709</v>
      </c>
      <c r="F22" s="30">
        <f t="shared" si="22"/>
        <v>285223</v>
      </c>
      <c r="G22" s="30">
        <f t="shared" si="22"/>
        <v>287349</v>
      </c>
      <c r="H22" s="30">
        <f t="shared" si="22"/>
        <v>313961</v>
      </c>
      <c r="I22" s="30">
        <f t="shared" si="22"/>
        <v>362411</v>
      </c>
      <c r="J22" s="30">
        <f t="shared" si="22"/>
        <v>413467</v>
      </c>
      <c r="K22" s="30">
        <f t="shared" si="22"/>
        <v>415958</v>
      </c>
      <c r="L22" s="30">
        <f t="shared" si="22"/>
        <v>416931</v>
      </c>
      <c r="M22" s="30">
        <f t="shared" si="22"/>
        <v>294116</v>
      </c>
      <c r="N22" s="30">
        <f t="shared" si="22"/>
        <v>0</v>
      </c>
      <c r="O22" s="30">
        <f t="shared" si="22"/>
        <v>188264</v>
      </c>
      <c r="P22" s="275"/>
      <c r="Q22" s="31"/>
      <c r="R22" s="274">
        <f t="shared" ref="R22:AB22" si="23">R10-R17</f>
        <v>247843</v>
      </c>
      <c r="S22" s="32">
        <f t="shared" si="23"/>
        <v>306756</v>
      </c>
      <c r="T22" s="32">
        <f t="shared" si="23"/>
        <v>277250</v>
      </c>
      <c r="U22" s="32">
        <f t="shared" si="23"/>
        <v>262131</v>
      </c>
      <c r="V22" s="32">
        <f t="shared" si="23"/>
        <v>171617</v>
      </c>
      <c r="W22" s="32">
        <f t="shared" si="23"/>
        <v>235875</v>
      </c>
      <c r="X22" s="32">
        <f t="shared" si="23"/>
        <v>354012</v>
      </c>
      <c r="Y22" s="32">
        <f t="shared" si="23"/>
        <v>355542</v>
      </c>
      <c r="Z22" s="32">
        <f t="shared" si="23"/>
        <v>349213</v>
      </c>
      <c r="AA22" s="32">
        <f t="shared" si="23"/>
        <v>269352</v>
      </c>
      <c r="AB22" s="32">
        <f t="shared" si="23"/>
        <v>170626</v>
      </c>
      <c r="AC22" s="32"/>
      <c r="AD22" s="276"/>
      <c r="AE22" s="17"/>
      <c r="AF22" s="32">
        <f t="shared" ref="AF22:AQ22" si="24">AF10-AF17</f>
        <v>246973</v>
      </c>
      <c r="AG22" s="32">
        <f t="shared" si="24"/>
        <v>281087</v>
      </c>
      <c r="AH22" s="32">
        <f t="shared" si="24"/>
        <v>386469</v>
      </c>
      <c r="AI22" s="32">
        <f t="shared" si="24"/>
        <v>379017</v>
      </c>
      <c r="AJ22" s="32">
        <f t="shared" si="24"/>
        <v>400777</v>
      </c>
      <c r="AK22" s="32">
        <f t="shared" si="24"/>
        <v>465623</v>
      </c>
      <c r="AL22" s="32">
        <f t="shared" si="24"/>
        <v>472149</v>
      </c>
      <c r="AM22" s="32">
        <f t="shared" si="24"/>
        <v>492339</v>
      </c>
      <c r="AN22" s="32">
        <f t="shared" si="24"/>
        <v>450428</v>
      </c>
      <c r="AO22" s="32">
        <f t="shared" si="24"/>
        <v>391441</v>
      </c>
      <c r="AP22" s="32">
        <f t="shared" si="24"/>
        <v>325482</v>
      </c>
      <c r="AQ22" s="32">
        <f t="shared" si="24"/>
        <v>321014</v>
      </c>
      <c r="AR22" s="32">
        <f t="shared" si="10"/>
        <v>321014</v>
      </c>
      <c r="AS22" s="17"/>
      <c r="AT22" s="32">
        <f t="shared" ref="AT22:BE22" si="25">AT10-AT17</f>
        <v>350303</v>
      </c>
      <c r="AU22" s="32">
        <f t="shared" si="25"/>
        <v>323931</v>
      </c>
      <c r="AV22" s="32">
        <f t="shared" si="25"/>
        <v>307980</v>
      </c>
      <c r="AW22" s="32">
        <f t="shared" si="25"/>
        <v>292777</v>
      </c>
      <c r="AX22" s="32">
        <f t="shared" si="25"/>
        <v>296754</v>
      </c>
      <c r="AY22" s="32">
        <f t="shared" si="25"/>
        <v>344037</v>
      </c>
      <c r="AZ22" s="32">
        <f t="shared" si="25"/>
        <v>367566</v>
      </c>
      <c r="BA22" s="32">
        <f t="shared" si="25"/>
        <v>372442</v>
      </c>
      <c r="BB22" s="32">
        <f t="shared" si="25"/>
        <v>375154</v>
      </c>
      <c r="BC22" s="32">
        <f t="shared" si="25"/>
        <v>340466</v>
      </c>
      <c r="BD22" s="32">
        <f t="shared" si="25"/>
        <v>314581</v>
      </c>
      <c r="BE22" s="32">
        <f t="shared" si="25"/>
        <v>253219</v>
      </c>
      <c r="BF22" s="32">
        <f t="shared" si="12"/>
        <v>253219</v>
      </c>
      <c r="BG22" s="17"/>
      <c r="BH22" s="32">
        <f t="shared" ref="BH22:BQ22" si="26">BH10-BH17</f>
        <v>307512</v>
      </c>
      <c r="BI22" s="32">
        <f t="shared" si="26"/>
        <v>302058</v>
      </c>
      <c r="BJ22" s="32">
        <f t="shared" si="26"/>
        <v>315841</v>
      </c>
      <c r="BK22" s="32">
        <f t="shared" si="26"/>
        <v>306027</v>
      </c>
      <c r="BL22" s="32">
        <f t="shared" si="26"/>
        <v>299077</v>
      </c>
      <c r="BM22" s="32">
        <f t="shared" si="26"/>
        <v>293121</v>
      </c>
      <c r="BN22" s="32">
        <f t="shared" si="26"/>
        <v>335286</v>
      </c>
      <c r="BO22" s="32">
        <f t="shared" si="26"/>
        <v>322561</v>
      </c>
      <c r="BP22" s="32">
        <f t="shared" si="26"/>
        <v>304307</v>
      </c>
      <c r="BQ22" s="32">
        <f t="shared" si="26"/>
        <v>280100</v>
      </c>
      <c r="BR22" s="32">
        <f>BR10-BR17</f>
        <v>215852</v>
      </c>
      <c r="BS22" s="32">
        <f>BS10-BS17</f>
        <v>188982</v>
      </c>
      <c r="BT22" s="32">
        <f>BS22</f>
        <v>188982</v>
      </c>
      <c r="BU22" s="28"/>
      <c r="BV22" s="32">
        <f t="shared" ref="BV22:CC22" si="27">BV15-BV17-BV18</f>
        <v>146255</v>
      </c>
      <c r="BW22" s="32">
        <f t="shared" si="27"/>
        <v>155653</v>
      </c>
      <c r="BX22" s="32">
        <f t="shared" si="27"/>
        <v>86338</v>
      </c>
      <c r="BY22" s="32">
        <f t="shared" si="27"/>
        <v>106862</v>
      </c>
      <c r="BZ22" s="32">
        <f t="shared" si="27"/>
        <v>112822</v>
      </c>
      <c r="CA22" s="32">
        <f t="shared" si="27"/>
        <v>149996</v>
      </c>
      <c r="CB22" s="32">
        <f t="shared" si="27"/>
        <v>145027</v>
      </c>
      <c r="CC22" s="32">
        <f t="shared" si="27"/>
        <v>102851</v>
      </c>
      <c r="CD22" s="32">
        <f>CD15-CD17-CD18</f>
        <v>116047</v>
      </c>
      <c r="CE22" s="32">
        <f>CE15-CE17-CE18</f>
        <v>86207</v>
      </c>
      <c r="CF22" s="32">
        <f>CF15-CF17-CF18</f>
        <v>109973</v>
      </c>
      <c r="CG22" s="32">
        <f>CG15-CG17-CG18</f>
        <v>94532</v>
      </c>
      <c r="CH22" s="32">
        <f t="shared" ref="CH22" si="28">CH15-CH17-CH18</f>
        <v>94532</v>
      </c>
      <c r="CJ22" s="32">
        <f t="shared" ref="CJ22:CU22" si="29">CJ15-CJ17-CJ18</f>
        <v>78423</v>
      </c>
      <c r="CK22" s="32">
        <f t="shared" si="29"/>
        <v>78497</v>
      </c>
      <c r="CL22" s="32">
        <f t="shared" si="29"/>
        <v>75052</v>
      </c>
      <c r="CM22" s="32">
        <f t="shared" si="29"/>
        <v>121130</v>
      </c>
      <c r="CN22" s="32">
        <f t="shared" si="29"/>
        <v>189957.05</v>
      </c>
      <c r="CO22" s="32">
        <f t="shared" si="29"/>
        <v>263276.17</v>
      </c>
      <c r="CP22" s="32">
        <f t="shared" si="29"/>
        <v>253556.08</v>
      </c>
      <c r="CQ22" s="32">
        <f t="shared" si="29"/>
        <v>262660.76999999996</v>
      </c>
      <c r="CR22" s="32">
        <f t="shared" si="29"/>
        <v>212407.12999999998</v>
      </c>
      <c r="CS22" s="32">
        <f t="shared" si="29"/>
        <v>208590.21</v>
      </c>
      <c r="CT22" s="32">
        <f t="shared" si="29"/>
        <v>228205.11999999997</v>
      </c>
      <c r="CU22" s="32">
        <f t="shared" si="29"/>
        <v>249821.3</v>
      </c>
      <c r="CV22" s="32">
        <v>116080.10690622788</v>
      </c>
      <c r="CX22" s="32">
        <v>242497</v>
      </c>
      <c r="CY22" s="32">
        <v>234422.08006563294</v>
      </c>
      <c r="CZ22" s="32">
        <v>194348.7132915963</v>
      </c>
      <c r="DA22" s="32">
        <v>223062.99421980139</v>
      </c>
      <c r="DB22" s="32">
        <v>228884.86858944659</v>
      </c>
      <c r="DC22" s="32">
        <v>240669.78918926936</v>
      </c>
      <c r="DD22" s="32">
        <v>234679.65868928705</v>
      </c>
      <c r="DE22" s="32">
        <v>197008.01236523816</v>
      </c>
      <c r="DF22" s="32">
        <v>148007.96159444697</v>
      </c>
      <c r="DG22" s="32">
        <v>111276.29521213027</v>
      </c>
      <c r="DH22" s="32">
        <v>93072.105643725808</v>
      </c>
      <c r="DI22" s="32">
        <v>116080.10690622788</v>
      </c>
      <c r="DJ22" s="32">
        <v>116080.10690622788</v>
      </c>
    </row>
    <row r="23" spans="1:114">
      <c r="A23" s="13" t="s">
        <v>42</v>
      </c>
      <c r="B23" s="259"/>
      <c r="C23" s="260" t="s">
        <v>43</v>
      </c>
      <c r="D23" s="277">
        <f>D15-D17</f>
        <v>162884</v>
      </c>
      <c r="E23" s="33">
        <f t="shared" ref="E23:O23" si="30">E15+E19-E17-E60</f>
        <v>200610</v>
      </c>
      <c r="F23" s="33">
        <f t="shared" si="30"/>
        <v>192475</v>
      </c>
      <c r="G23" s="33">
        <f t="shared" si="30"/>
        <v>231853</v>
      </c>
      <c r="H23" s="33">
        <f t="shared" si="30"/>
        <v>253292</v>
      </c>
      <c r="I23" s="33">
        <f t="shared" si="30"/>
        <v>305688</v>
      </c>
      <c r="J23" s="33">
        <f t="shared" si="30"/>
        <v>355297</v>
      </c>
      <c r="K23" s="33">
        <f t="shared" si="30"/>
        <v>367201</v>
      </c>
      <c r="L23" s="33">
        <f t="shared" si="30"/>
        <v>407523</v>
      </c>
      <c r="M23" s="33">
        <f t="shared" si="30"/>
        <v>297747</v>
      </c>
      <c r="N23" s="33">
        <f t="shared" si="30"/>
        <v>0</v>
      </c>
      <c r="O23" s="33">
        <f t="shared" si="30"/>
        <v>143875</v>
      </c>
      <c r="P23" s="262">
        <f>J23</f>
        <v>355297</v>
      </c>
      <c r="Q23" s="15"/>
      <c r="R23" s="277">
        <f>R15-R17</f>
        <v>172568</v>
      </c>
      <c r="S23" s="14">
        <f t="shared" ref="S23:AC23" si="31">S15+S19-S17-S60</f>
        <v>244205</v>
      </c>
      <c r="T23" s="14">
        <f t="shared" si="31"/>
        <v>237108</v>
      </c>
      <c r="U23" s="14">
        <f t="shared" si="31"/>
        <v>222510</v>
      </c>
      <c r="V23" s="14">
        <f t="shared" si="31"/>
        <v>179647</v>
      </c>
      <c r="W23" s="14">
        <f t="shared" si="31"/>
        <v>289587</v>
      </c>
      <c r="X23" s="14">
        <f t="shared" si="31"/>
        <v>281331</v>
      </c>
      <c r="Y23" s="14">
        <f t="shared" si="31"/>
        <v>325686</v>
      </c>
      <c r="Z23" s="14">
        <f t="shared" si="31"/>
        <v>319329</v>
      </c>
      <c r="AA23" s="14">
        <f t="shared" si="31"/>
        <v>268663</v>
      </c>
      <c r="AB23" s="14">
        <f t="shared" si="31"/>
        <v>187543</v>
      </c>
      <c r="AC23" s="14">
        <f t="shared" si="31"/>
        <v>196995</v>
      </c>
      <c r="AD23" s="263">
        <f>X23</f>
        <v>281331</v>
      </c>
      <c r="AE23" s="16"/>
      <c r="AF23" s="14">
        <f t="shared" ref="AF23:AQ23" si="32">AF15+AF17+AF16</f>
        <v>228387</v>
      </c>
      <c r="AG23" s="14">
        <f t="shared" si="32"/>
        <v>263548</v>
      </c>
      <c r="AH23" s="14">
        <f t="shared" si="32"/>
        <v>366224</v>
      </c>
      <c r="AI23" s="14">
        <f t="shared" si="32"/>
        <v>361348</v>
      </c>
      <c r="AJ23" s="14">
        <f t="shared" si="32"/>
        <v>384008</v>
      </c>
      <c r="AK23" s="14">
        <f t="shared" si="32"/>
        <v>434489</v>
      </c>
      <c r="AL23" s="14">
        <f t="shared" si="32"/>
        <v>436438</v>
      </c>
      <c r="AM23" s="14">
        <f t="shared" si="32"/>
        <v>463198</v>
      </c>
      <c r="AN23" s="14">
        <f t="shared" si="32"/>
        <v>425121</v>
      </c>
      <c r="AO23" s="14">
        <f t="shared" si="32"/>
        <v>355477</v>
      </c>
      <c r="AP23" s="14">
        <f t="shared" si="32"/>
        <v>288104</v>
      </c>
      <c r="AQ23" s="14">
        <f t="shared" si="32"/>
        <v>298855</v>
      </c>
      <c r="AR23" s="14">
        <f t="shared" si="10"/>
        <v>298855</v>
      </c>
      <c r="AS23" s="17"/>
      <c r="AT23" s="14">
        <f t="shared" ref="AT23:BE23" si="33">AT15+AT17+AT16</f>
        <v>326269</v>
      </c>
      <c r="AU23" s="14">
        <f t="shared" si="33"/>
        <v>301870</v>
      </c>
      <c r="AV23" s="14">
        <f t="shared" si="33"/>
        <v>285491</v>
      </c>
      <c r="AW23" s="14">
        <f t="shared" si="33"/>
        <v>267653</v>
      </c>
      <c r="AX23" s="14">
        <f t="shared" si="33"/>
        <v>273960</v>
      </c>
      <c r="AY23" s="14">
        <f t="shared" si="33"/>
        <v>326260</v>
      </c>
      <c r="AZ23" s="14">
        <f t="shared" si="33"/>
        <v>333221</v>
      </c>
      <c r="BA23" s="14">
        <f t="shared" si="33"/>
        <v>354862</v>
      </c>
      <c r="BB23" s="14">
        <f t="shared" si="33"/>
        <v>348162</v>
      </c>
      <c r="BC23" s="14">
        <f t="shared" si="33"/>
        <v>319093</v>
      </c>
      <c r="BD23" s="14">
        <f t="shared" si="33"/>
        <v>293379</v>
      </c>
      <c r="BE23" s="14">
        <f t="shared" si="33"/>
        <v>234110</v>
      </c>
      <c r="BF23" s="32">
        <f t="shared" ref="BF23:BF24" si="34">SUM(AT23:BE23)</f>
        <v>3664330</v>
      </c>
      <c r="BG23" s="17"/>
      <c r="BH23" s="14">
        <f t="shared" ref="BH23:BS23" si="35">BH15+BH17+BH16</f>
        <v>285296</v>
      </c>
      <c r="BI23" s="14">
        <f t="shared" si="35"/>
        <v>282956</v>
      </c>
      <c r="BJ23" s="14">
        <f t="shared" si="35"/>
        <v>295165</v>
      </c>
      <c r="BK23" s="14">
        <f t="shared" si="35"/>
        <v>286135</v>
      </c>
      <c r="BL23" s="14">
        <f t="shared" si="35"/>
        <v>250340</v>
      </c>
      <c r="BM23" s="14">
        <f t="shared" si="35"/>
        <v>247600</v>
      </c>
      <c r="BN23" s="14">
        <f t="shared" si="35"/>
        <v>293505</v>
      </c>
      <c r="BO23" s="14">
        <f t="shared" si="35"/>
        <v>274542</v>
      </c>
      <c r="BP23" s="14">
        <f t="shared" si="35"/>
        <v>260352</v>
      </c>
      <c r="BQ23" s="14">
        <f>BQ15+BQ17+BQ16</f>
        <v>238595</v>
      </c>
      <c r="BR23" s="14">
        <f t="shared" si="35"/>
        <v>187546</v>
      </c>
      <c r="BS23" s="14">
        <f t="shared" si="35"/>
        <v>189617</v>
      </c>
      <c r="BT23" s="14">
        <f t="shared" si="21"/>
        <v>189617</v>
      </c>
      <c r="BU23" s="18"/>
      <c r="BV23" s="14">
        <f>BV15+BV17+BV16</f>
        <v>171889</v>
      </c>
      <c r="BW23" s="14">
        <f>BW15+BW19+BW16</f>
        <v>193178</v>
      </c>
      <c r="BX23" s="14">
        <f>BX15+BX17+BX16</f>
        <v>228367</v>
      </c>
      <c r="BY23" s="14">
        <f>BY15+BY17+BY16</f>
        <v>261297</v>
      </c>
      <c r="BZ23" s="14">
        <f>BZ15+BZ17+BZ16</f>
        <v>277757</v>
      </c>
      <c r="CA23" s="14">
        <f>CA15+CA17+CA16</f>
        <v>329719</v>
      </c>
      <c r="CB23" s="14">
        <f>CB15+CB17+CB16</f>
        <v>316656</v>
      </c>
      <c r="CC23" s="14">
        <f>CC15+CC17+CC16</f>
        <v>290388</v>
      </c>
      <c r="CD23" s="14">
        <f>CD15+CD17+CD16</f>
        <v>185778</v>
      </c>
      <c r="CE23" s="14">
        <f>CE15+CE17+CE16</f>
        <v>153110</v>
      </c>
      <c r="CF23" s="14">
        <f>CF15+CF17+CF16</f>
        <v>170562</v>
      </c>
      <c r="CG23" s="14">
        <f>CG15+CG17+CG16</f>
        <v>167396</v>
      </c>
      <c r="CH23" s="14">
        <f t="shared" si="18"/>
        <v>167396</v>
      </c>
      <c r="CJ23" s="14">
        <v>224424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X23" s="14">
        <v>224424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</row>
    <row r="24" spans="1:114">
      <c r="A24" s="34" t="s">
        <v>44</v>
      </c>
      <c r="B24" s="278"/>
      <c r="C24" s="445" t="s">
        <v>45</v>
      </c>
      <c r="D24" s="277">
        <f t="shared" ref="D24:O24" si="36">D10-D19-D17</f>
        <v>264261</v>
      </c>
      <c r="E24" s="33">
        <f t="shared" si="36"/>
        <v>275849</v>
      </c>
      <c r="F24" s="33">
        <f t="shared" si="36"/>
        <v>280253</v>
      </c>
      <c r="G24" s="33">
        <f t="shared" si="36"/>
        <v>256146</v>
      </c>
      <c r="H24" s="33">
        <f t="shared" si="36"/>
        <v>282462</v>
      </c>
      <c r="I24" s="33">
        <f t="shared" si="36"/>
        <v>336508</v>
      </c>
      <c r="J24" s="33">
        <f t="shared" si="36"/>
        <v>394861</v>
      </c>
      <c r="K24" s="33">
        <f t="shared" si="36"/>
        <v>399944</v>
      </c>
      <c r="L24" s="33">
        <f t="shared" si="36"/>
        <v>403515</v>
      </c>
      <c r="M24" s="33">
        <f t="shared" si="36"/>
        <v>254037</v>
      </c>
      <c r="N24" s="33">
        <f t="shared" si="36"/>
        <v>0</v>
      </c>
      <c r="O24" s="33">
        <f t="shared" si="36"/>
        <v>188264</v>
      </c>
      <c r="P24" s="262">
        <f t="shared" ref="P24:P25" si="37">O24</f>
        <v>188264</v>
      </c>
      <c r="Q24" s="15"/>
      <c r="R24" s="277">
        <f t="shared" ref="R24:AC24" si="38">R10-R19-R17</f>
        <v>244467</v>
      </c>
      <c r="S24" s="14">
        <f t="shared" si="38"/>
        <v>295020</v>
      </c>
      <c r="T24" s="14">
        <f t="shared" si="38"/>
        <v>254796</v>
      </c>
      <c r="U24" s="14">
        <f t="shared" si="38"/>
        <v>240747</v>
      </c>
      <c r="V24" s="14">
        <f t="shared" si="38"/>
        <v>104747</v>
      </c>
      <c r="W24" s="14">
        <f t="shared" si="38"/>
        <v>162106</v>
      </c>
      <c r="X24" s="14">
        <f t="shared" si="38"/>
        <v>340068</v>
      </c>
      <c r="Y24" s="14">
        <f t="shared" si="38"/>
        <v>322792</v>
      </c>
      <c r="Z24" s="14">
        <f t="shared" si="38"/>
        <v>330677</v>
      </c>
      <c r="AA24" s="14">
        <f t="shared" si="38"/>
        <v>229141</v>
      </c>
      <c r="AB24" s="14">
        <f t="shared" si="38"/>
        <v>126169</v>
      </c>
      <c r="AC24" s="14">
        <f t="shared" si="38"/>
        <v>173047</v>
      </c>
      <c r="AD24" s="263">
        <f t="shared" ref="AD24:AD25" si="39">AC24</f>
        <v>173047</v>
      </c>
      <c r="AE24" s="16"/>
      <c r="AF24" s="261">
        <f t="shared" ref="AF24:AQ24" si="40">AF23-AF17</f>
        <v>220021</v>
      </c>
      <c r="AG24" s="261">
        <f t="shared" si="40"/>
        <v>252014</v>
      </c>
      <c r="AH24" s="261">
        <f t="shared" si="40"/>
        <v>354717</v>
      </c>
      <c r="AI24" s="261">
        <f t="shared" si="40"/>
        <v>352200</v>
      </c>
      <c r="AJ24" s="261">
        <f t="shared" si="40"/>
        <v>375484</v>
      </c>
      <c r="AK24" s="261">
        <f t="shared" si="40"/>
        <v>409199</v>
      </c>
      <c r="AL24" s="261">
        <f t="shared" si="40"/>
        <v>345358</v>
      </c>
      <c r="AM24" s="261">
        <f t="shared" si="40"/>
        <v>396368</v>
      </c>
      <c r="AN24" s="261">
        <f t="shared" si="40"/>
        <v>388255</v>
      </c>
      <c r="AO24" s="261">
        <f t="shared" si="40"/>
        <v>339304</v>
      </c>
      <c r="AP24" s="261">
        <f t="shared" si="40"/>
        <v>109830</v>
      </c>
      <c r="AQ24" s="261">
        <f t="shared" si="40"/>
        <v>88190</v>
      </c>
      <c r="AR24" s="14">
        <f t="shared" si="10"/>
        <v>88190</v>
      </c>
      <c r="AS24" s="17"/>
      <c r="AT24" s="261">
        <f t="shared" ref="AT24:BE24" si="41">AT23-AT17</f>
        <v>205194</v>
      </c>
      <c r="AU24" s="261">
        <f t="shared" si="41"/>
        <v>152494</v>
      </c>
      <c r="AV24" s="261">
        <f t="shared" si="41"/>
        <v>180953</v>
      </c>
      <c r="AW24" s="261">
        <f t="shared" si="41"/>
        <v>162391</v>
      </c>
      <c r="AX24" s="261">
        <f t="shared" si="41"/>
        <v>152887</v>
      </c>
      <c r="AY24" s="261">
        <f t="shared" si="41"/>
        <v>162329</v>
      </c>
      <c r="AZ24" s="261">
        <f t="shared" si="41"/>
        <v>223257</v>
      </c>
      <c r="BA24" s="261">
        <f t="shared" si="41"/>
        <v>206596</v>
      </c>
      <c r="BB24" s="261">
        <f t="shared" si="41"/>
        <v>217465</v>
      </c>
      <c r="BC24" s="261">
        <f t="shared" si="41"/>
        <v>205314</v>
      </c>
      <c r="BD24" s="261">
        <f t="shared" si="41"/>
        <v>202260</v>
      </c>
      <c r="BE24" s="261">
        <f t="shared" si="41"/>
        <v>130824</v>
      </c>
      <c r="BF24" s="32">
        <f t="shared" si="34"/>
        <v>2201964</v>
      </c>
      <c r="BG24" s="35">
        <f>SUM(AT27:AY27)/SUM(AF61:AK61)-1</f>
        <v>0.2283258050797119</v>
      </c>
      <c r="BH24" s="416">
        <f t="shared" ref="BH24:BS24" si="42">BH23-BH17</f>
        <v>235665</v>
      </c>
      <c r="BI24" s="416">
        <f t="shared" si="42"/>
        <v>230003</v>
      </c>
      <c r="BJ24" s="416">
        <f t="shared" si="42"/>
        <v>266725</v>
      </c>
      <c r="BK24" s="416">
        <f t="shared" si="42"/>
        <v>202534</v>
      </c>
      <c r="BL24" s="417">
        <f t="shared" si="42"/>
        <v>224528</v>
      </c>
      <c r="BM24" s="417">
        <f t="shared" si="42"/>
        <v>188055</v>
      </c>
      <c r="BN24" s="417">
        <f t="shared" si="42"/>
        <v>210070</v>
      </c>
      <c r="BO24" s="417">
        <f t="shared" si="42"/>
        <v>240501</v>
      </c>
      <c r="BP24" s="417">
        <f t="shared" si="42"/>
        <v>237953</v>
      </c>
      <c r="BQ24" s="417">
        <f t="shared" si="42"/>
        <v>213708</v>
      </c>
      <c r="BR24" s="417">
        <f t="shared" si="42"/>
        <v>175363</v>
      </c>
      <c r="BS24" s="417">
        <f t="shared" si="42"/>
        <v>177434</v>
      </c>
      <c r="BT24" s="417">
        <f t="shared" si="21"/>
        <v>177434</v>
      </c>
      <c r="BU24" s="18"/>
      <c r="BV24" s="261">
        <f>BV23-BV17</f>
        <v>166673</v>
      </c>
      <c r="BW24" s="261">
        <f>BW23-BW17</f>
        <v>193178</v>
      </c>
      <c r="BX24" s="261">
        <f>BX23-BX17</f>
        <v>163094</v>
      </c>
      <c r="BY24" s="416">
        <f>BY23-BY17</f>
        <v>191115</v>
      </c>
      <c r="BZ24" s="417">
        <f>BZ23-BZ17</f>
        <v>220098</v>
      </c>
      <c r="CA24" s="417">
        <f>CA23-CA17</f>
        <v>258050</v>
      </c>
      <c r="CB24" s="417">
        <f>CB23-CB17</f>
        <v>243578</v>
      </c>
      <c r="CC24" s="417">
        <f>CC23-CC17</f>
        <v>205086</v>
      </c>
      <c r="CD24" s="417">
        <f>CD23-CD17</f>
        <v>160435</v>
      </c>
      <c r="CE24" s="417">
        <f>CE23-CE17</f>
        <v>134080</v>
      </c>
      <c r="CF24" s="417">
        <f>CF23-CF17</f>
        <v>151140</v>
      </c>
      <c r="CG24" s="417">
        <f>CG23-CG17</f>
        <v>141469</v>
      </c>
      <c r="CH24" s="417">
        <f t="shared" si="18"/>
        <v>141469</v>
      </c>
      <c r="CJ24" s="261">
        <v>219208</v>
      </c>
      <c r="CK24" s="261">
        <v>0</v>
      </c>
      <c r="CL24" s="261">
        <v>0</v>
      </c>
      <c r="CM24" s="416">
        <v>0</v>
      </c>
      <c r="CN24" s="417">
        <v>0</v>
      </c>
      <c r="CO24" s="417">
        <v>0</v>
      </c>
      <c r="CP24" s="417">
        <v>0</v>
      </c>
      <c r="CQ24" s="417">
        <v>0</v>
      </c>
      <c r="CR24" s="417">
        <v>0</v>
      </c>
      <c r="CS24" s="417">
        <v>0</v>
      </c>
      <c r="CT24" s="417">
        <v>0</v>
      </c>
      <c r="CU24" s="417">
        <v>0</v>
      </c>
      <c r="CV24" s="417">
        <v>0</v>
      </c>
      <c r="CX24" s="261">
        <v>219208</v>
      </c>
      <c r="CY24" s="261">
        <v>0</v>
      </c>
      <c r="CZ24" s="261">
        <v>0</v>
      </c>
      <c r="DA24" s="416">
        <v>0</v>
      </c>
      <c r="DB24" s="417">
        <v>0</v>
      </c>
      <c r="DC24" s="417">
        <v>0</v>
      </c>
      <c r="DD24" s="417">
        <v>0</v>
      </c>
      <c r="DE24" s="417">
        <v>0</v>
      </c>
      <c r="DF24" s="417">
        <v>0</v>
      </c>
      <c r="DG24" s="417">
        <v>0</v>
      </c>
      <c r="DH24" s="417">
        <v>0</v>
      </c>
      <c r="DI24" s="417">
        <v>0</v>
      </c>
      <c r="DJ24" s="417">
        <v>0</v>
      </c>
    </row>
    <row r="25" spans="1:114" ht="15.75">
      <c r="A25" s="447" t="s">
        <v>46</v>
      </c>
      <c r="B25" s="448"/>
      <c r="C25" s="449" t="s">
        <v>47</v>
      </c>
      <c r="D25" s="281">
        <f t="shared" ref="D25:O25" si="43">D10</f>
        <v>304786</v>
      </c>
      <c r="E25" s="37">
        <f t="shared" si="43"/>
        <v>311986</v>
      </c>
      <c r="F25" s="37">
        <f t="shared" si="43"/>
        <v>328231</v>
      </c>
      <c r="G25" s="37">
        <f t="shared" si="43"/>
        <v>317873</v>
      </c>
      <c r="H25" s="37">
        <f t="shared" si="43"/>
        <v>347196</v>
      </c>
      <c r="I25" s="37">
        <f t="shared" si="43"/>
        <v>402253</v>
      </c>
      <c r="J25" s="37">
        <f t="shared" si="43"/>
        <v>454488</v>
      </c>
      <c r="K25" s="37">
        <f t="shared" si="43"/>
        <v>447182</v>
      </c>
      <c r="L25" s="37">
        <f t="shared" si="43"/>
        <v>416931</v>
      </c>
      <c r="M25" s="37">
        <f t="shared" si="43"/>
        <v>304402</v>
      </c>
      <c r="N25" s="37">
        <f t="shared" si="43"/>
        <v>0</v>
      </c>
      <c r="O25" s="37">
        <f t="shared" si="43"/>
        <v>188264</v>
      </c>
      <c r="P25" s="38">
        <f t="shared" si="37"/>
        <v>188264</v>
      </c>
      <c r="Q25" s="39"/>
      <c r="R25" s="40">
        <f t="shared" ref="R25:AC25" si="44">R10</f>
        <v>283359</v>
      </c>
      <c r="S25" s="41">
        <f t="shared" si="44"/>
        <v>342718</v>
      </c>
      <c r="T25" s="41">
        <f t="shared" si="44"/>
        <v>313212</v>
      </c>
      <c r="U25" s="41">
        <f t="shared" si="44"/>
        <v>298093</v>
      </c>
      <c r="V25" s="41">
        <f t="shared" si="44"/>
        <v>206617</v>
      </c>
      <c r="W25" s="41">
        <f t="shared" si="44"/>
        <v>235875</v>
      </c>
      <c r="X25" s="41">
        <f t="shared" si="44"/>
        <v>360135</v>
      </c>
      <c r="Y25" s="41">
        <f t="shared" si="44"/>
        <v>361665</v>
      </c>
      <c r="Z25" s="41">
        <f t="shared" si="44"/>
        <v>353400</v>
      </c>
      <c r="AA25" s="41">
        <f t="shared" si="44"/>
        <v>272097</v>
      </c>
      <c r="AB25" s="41">
        <f t="shared" si="44"/>
        <v>170626</v>
      </c>
      <c r="AC25" s="41">
        <f t="shared" si="44"/>
        <v>197551</v>
      </c>
      <c r="AD25" s="229">
        <f t="shared" si="39"/>
        <v>197551</v>
      </c>
      <c r="AE25" s="42"/>
      <c r="AF25" s="41">
        <f>AF10-AF60</f>
        <v>255339</v>
      </c>
      <c r="AG25" s="41">
        <f t="shared" ref="AG25:AQ25" si="45">AG10-AG60</f>
        <v>292621</v>
      </c>
      <c r="AH25" s="41">
        <f t="shared" si="45"/>
        <v>397976</v>
      </c>
      <c r="AI25" s="41">
        <f t="shared" si="45"/>
        <v>388165</v>
      </c>
      <c r="AJ25" s="41">
        <f t="shared" si="45"/>
        <v>409301</v>
      </c>
      <c r="AK25" s="41">
        <f t="shared" si="45"/>
        <v>490913</v>
      </c>
      <c r="AL25" s="41">
        <f t="shared" si="45"/>
        <v>563229</v>
      </c>
      <c r="AM25" s="41">
        <f t="shared" si="45"/>
        <v>559169</v>
      </c>
      <c r="AN25" s="41">
        <f t="shared" si="45"/>
        <v>487294</v>
      </c>
      <c r="AO25" s="41">
        <f t="shared" si="45"/>
        <v>407614</v>
      </c>
      <c r="AP25" s="41">
        <f t="shared" si="45"/>
        <v>503756</v>
      </c>
      <c r="AQ25" s="41">
        <f t="shared" si="45"/>
        <v>522741</v>
      </c>
      <c r="AR25" s="41">
        <f t="shared" si="10"/>
        <v>522741</v>
      </c>
      <c r="AS25" s="42"/>
      <c r="AT25" s="41">
        <f t="shared" ref="AT25:BB25" si="46">AT10-AT60</f>
        <v>364736</v>
      </c>
      <c r="AU25" s="41">
        <f t="shared" si="46"/>
        <v>382608</v>
      </c>
      <c r="AV25" s="41">
        <f t="shared" si="46"/>
        <v>322837</v>
      </c>
      <c r="AW25" s="41">
        <f t="shared" si="46"/>
        <v>339249</v>
      </c>
      <c r="AX25" s="41">
        <f t="shared" si="46"/>
        <v>382307</v>
      </c>
      <c r="AY25" s="41">
        <f t="shared" si="46"/>
        <v>446417</v>
      </c>
      <c r="AZ25" s="41">
        <f t="shared" si="46"/>
        <v>406019</v>
      </c>
      <c r="BA25" s="41">
        <f t="shared" si="46"/>
        <v>457091</v>
      </c>
      <c r="BB25" s="41">
        <f t="shared" si="46"/>
        <v>439103</v>
      </c>
      <c r="BC25" s="41">
        <f>BB25-BC27+BC71-BC60</f>
        <v>267702.70924434217</v>
      </c>
      <c r="BD25" s="41">
        <f>BC25-BD27+BD71-BD60</f>
        <v>224792.12236286921</v>
      </c>
      <c r="BE25" s="41">
        <f>BD25-BE27+BE71-BE60</f>
        <v>209302.50939777523</v>
      </c>
      <c r="BF25" s="41">
        <f>BE25</f>
        <v>209302.50939777523</v>
      </c>
      <c r="BG25" s="43">
        <f>BG27/AR27</f>
        <v>7.0333736034655189E-2</v>
      </c>
      <c r="BH25" s="41">
        <f t="shared" ref="BH25:BS25" si="47">BH10-BH60</f>
        <v>287739</v>
      </c>
      <c r="BI25" s="41">
        <f t="shared" si="47"/>
        <v>274599</v>
      </c>
      <c r="BJ25" s="41">
        <f t="shared" si="47"/>
        <v>249895</v>
      </c>
      <c r="BK25" s="41">
        <f t="shared" si="47"/>
        <v>311315</v>
      </c>
      <c r="BL25" s="41">
        <f t="shared" si="47"/>
        <v>277855</v>
      </c>
      <c r="BM25" s="41">
        <f t="shared" si="47"/>
        <v>301815</v>
      </c>
      <c r="BN25" s="41">
        <f t="shared" si="47"/>
        <v>325519</v>
      </c>
      <c r="BO25" s="41">
        <f t="shared" si="47"/>
        <v>255915</v>
      </c>
      <c r="BP25" s="41">
        <f t="shared" si="47"/>
        <v>198711</v>
      </c>
      <c r="BQ25" s="41">
        <f t="shared" si="47"/>
        <v>182301</v>
      </c>
      <c r="BR25" s="41">
        <f t="shared" si="47"/>
        <v>228035</v>
      </c>
      <c r="BS25" s="41">
        <f t="shared" si="47"/>
        <v>201165</v>
      </c>
      <c r="BT25" s="41">
        <f t="shared" si="21"/>
        <v>201165</v>
      </c>
      <c r="BU25" s="45"/>
      <c r="BV25" s="41">
        <f>BV10-BV60</f>
        <v>247713</v>
      </c>
      <c r="BW25" s="41">
        <f>BW10-BW60</f>
        <v>278707</v>
      </c>
      <c r="BX25" s="41">
        <f>BX10-BX60</f>
        <v>281829</v>
      </c>
      <c r="BY25" s="41">
        <f>BY10-BY60</f>
        <v>317753</v>
      </c>
      <c r="BZ25" s="41">
        <f>BZ10-BZ60</f>
        <v>270339</v>
      </c>
      <c r="CA25" s="41">
        <f>CA10-CA60</f>
        <v>310383</v>
      </c>
      <c r="CB25" s="41">
        <f>CB10-CB60</f>
        <v>328365</v>
      </c>
      <c r="CC25" s="41">
        <f>CC10-CC60</f>
        <v>333476</v>
      </c>
      <c r="CD25" s="41">
        <f>CD10-CD60</f>
        <v>306264</v>
      </c>
      <c r="CE25" s="41">
        <f>CE10-CE60</f>
        <v>270370</v>
      </c>
      <c r="CF25" s="41">
        <f>CF10-CF60</f>
        <v>194014</v>
      </c>
      <c r="CG25" s="41">
        <f>CG10-CG60</f>
        <v>182266</v>
      </c>
      <c r="CH25" s="41">
        <f t="shared" si="18"/>
        <v>182266</v>
      </c>
      <c r="CJ25" s="41">
        <v>247713</v>
      </c>
      <c r="CK25" s="41">
        <v>234422.08006563294</v>
      </c>
      <c r="CL25" s="41">
        <v>194348.7132915963</v>
      </c>
      <c r="CM25" s="41">
        <v>223062.99421980139</v>
      </c>
      <c r="CN25" s="41">
        <v>228884.86858944659</v>
      </c>
      <c r="CO25" s="41">
        <v>240669.78918926936</v>
      </c>
      <c r="CP25" s="41">
        <v>234679.65868928705</v>
      </c>
      <c r="CQ25" s="41">
        <v>197008.01236523816</v>
      </c>
      <c r="CR25" s="41">
        <v>148007.96159444697</v>
      </c>
      <c r="CS25" s="41">
        <v>111276.29521213027</v>
      </c>
      <c r="CT25" s="41">
        <v>93072.105643725808</v>
      </c>
      <c r="CU25" s="41">
        <v>116080.10690622788</v>
      </c>
      <c r="CV25" s="41">
        <v>116080.10690622788</v>
      </c>
      <c r="CW25" s="598">
        <f>CV27-459000</f>
        <v>1693692.9899999998</v>
      </c>
      <c r="CX25" s="41">
        <v>247713</v>
      </c>
      <c r="CY25" s="41">
        <v>234422.08006563294</v>
      </c>
      <c r="CZ25" s="41">
        <v>194348.7132915963</v>
      </c>
      <c r="DA25" s="41">
        <v>223062.99421980139</v>
      </c>
      <c r="DB25" s="41">
        <v>228884.86858944659</v>
      </c>
      <c r="DC25" s="41">
        <v>240669.78918926936</v>
      </c>
      <c r="DD25" s="41">
        <v>234679.65868928705</v>
      </c>
      <c r="DE25" s="41">
        <v>197008.01236523816</v>
      </c>
      <c r="DF25" s="41">
        <v>148007.96159444697</v>
      </c>
      <c r="DG25" s="41">
        <v>111276.29521213027</v>
      </c>
      <c r="DH25" s="41">
        <v>93072.105643725808</v>
      </c>
      <c r="DI25" s="41">
        <v>116080.10690622788</v>
      </c>
      <c r="DJ25" s="41">
        <v>116080.10690622788</v>
      </c>
    </row>
    <row r="26" spans="1:114">
      <c r="A26" s="46"/>
      <c r="B26" s="47" t="s">
        <v>48</v>
      </c>
      <c r="C26" s="446"/>
      <c r="D26" s="283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284"/>
      <c r="Q26" s="49"/>
      <c r="R26" s="283"/>
      <c r="S26" s="50"/>
      <c r="T26" s="50"/>
      <c r="U26" s="50"/>
      <c r="V26" s="51"/>
      <c r="W26" s="51"/>
      <c r="X26" s="51"/>
      <c r="Y26" s="51"/>
      <c r="Z26" s="51"/>
      <c r="AA26" s="51"/>
      <c r="AB26" s="51"/>
      <c r="AC26" s="50"/>
      <c r="AD26" s="285"/>
      <c r="AE26" s="23"/>
      <c r="AF26" s="286">
        <f t="shared" ref="AF26:AP26" si="48">AF10/AG27</f>
        <v>1.4346741432881778</v>
      </c>
      <c r="AG26" s="286">
        <f t="shared" si="48"/>
        <v>3.9745327610561771</v>
      </c>
      <c r="AH26" s="286">
        <f t="shared" si="48"/>
        <v>4.4537254638644557</v>
      </c>
      <c r="AI26" s="286">
        <f t="shared" si="48"/>
        <v>3.1781895295331357</v>
      </c>
      <c r="AJ26" s="286">
        <f t="shared" si="48"/>
        <v>2.7551225094238019</v>
      </c>
      <c r="AK26" s="286">
        <f t="shared" si="48"/>
        <v>3.2297970327971317</v>
      </c>
      <c r="AL26" s="286">
        <f t="shared" si="48"/>
        <v>2.3575635299682296</v>
      </c>
      <c r="AM26" s="286">
        <f t="shared" si="48"/>
        <v>2.1413160582078121</v>
      </c>
      <c r="AN26" s="286">
        <f t="shared" si="48"/>
        <v>1.9042360296991012</v>
      </c>
      <c r="AO26" s="286">
        <f t="shared" si="48"/>
        <v>3.1686411691542289</v>
      </c>
      <c r="AP26" s="286">
        <f t="shared" si="48"/>
        <v>5.1487735077677845</v>
      </c>
      <c r="AQ26" s="286">
        <f>AQ10/AT27</f>
        <v>3.4807306746186968</v>
      </c>
      <c r="AR26" s="287">
        <f>AQ26</f>
        <v>3.4807306746186968</v>
      </c>
      <c r="AS26" s="23"/>
      <c r="AT26" s="286">
        <f>AT10/AU27</f>
        <v>2.7971286279646934</v>
      </c>
      <c r="AU26" s="286">
        <f>AU10/AV27</f>
        <v>3.0710063937614676</v>
      </c>
      <c r="AV26" s="286">
        <f>AV10/AW27</f>
        <v>2.5847779910329129</v>
      </c>
      <c r="AW26" s="286">
        <f>AW10/AX27</f>
        <v>3.3142307600651066</v>
      </c>
      <c r="AX26" s="286">
        <f>AX10/AY27</f>
        <v>3.0202081128011216</v>
      </c>
      <c r="AY26" s="286">
        <f t="shared" ref="AY26:BD26" si="49">AY10/(AZ57+AZ56)</f>
        <v>3.0375411110446691</v>
      </c>
      <c r="AZ26" s="286">
        <f t="shared" si="49"/>
        <v>1.7862994390436959</v>
      </c>
      <c r="BA26" s="286">
        <f t="shared" si="49"/>
        <v>2.3917338115287117</v>
      </c>
      <c r="BB26" s="286">
        <f t="shared" si="49"/>
        <v>2.0297186803388318</v>
      </c>
      <c r="BC26" s="286">
        <f t="shared" si="49"/>
        <v>2.9418601583113455</v>
      </c>
      <c r="BD26" s="286">
        <f t="shared" si="49"/>
        <v>5.3595753009100697</v>
      </c>
      <c r="BE26" s="286">
        <f>BE10/BH27</f>
        <v>2.3338657833234047</v>
      </c>
      <c r="BF26" s="52"/>
      <c r="BG26" s="27"/>
      <c r="BH26" s="418">
        <f t="shared" ref="BH26:BN26" si="50">BH10/BI27</f>
        <v>2.4324841588586663</v>
      </c>
      <c r="BI26" s="418">
        <f t="shared" si="50"/>
        <v>2.0694790126570033</v>
      </c>
      <c r="BJ26" s="418">
        <f t="shared" si="50"/>
        <v>2.1548303749075362</v>
      </c>
      <c r="BK26" s="418">
        <f t="shared" si="50"/>
        <v>2.940658548141605</v>
      </c>
      <c r="BL26" s="418">
        <f t="shared" si="50"/>
        <v>2.5009495450993295</v>
      </c>
      <c r="BM26" s="418">
        <f t="shared" si="50"/>
        <v>2.0577586855214944</v>
      </c>
      <c r="BN26" s="418">
        <f t="shared" si="50"/>
        <v>2.3320530115558045</v>
      </c>
      <c r="BO26" s="419"/>
      <c r="BP26" s="419"/>
      <c r="BQ26" s="419"/>
      <c r="BR26" s="419"/>
      <c r="BS26" s="419"/>
      <c r="BT26" s="419"/>
      <c r="BU26" s="54"/>
      <c r="BV26" s="286">
        <v>0</v>
      </c>
      <c r="BW26" s="286">
        <v>0</v>
      </c>
      <c r="BX26" s="286">
        <v>0</v>
      </c>
      <c r="BY26" s="418">
        <v>0</v>
      </c>
      <c r="BZ26" s="418">
        <v>0</v>
      </c>
      <c r="CA26" s="418">
        <v>0</v>
      </c>
      <c r="CB26" s="418">
        <v>0</v>
      </c>
      <c r="CC26" s="418">
        <v>0</v>
      </c>
      <c r="CD26" s="418">
        <v>0</v>
      </c>
      <c r="CE26" s="418">
        <v>0</v>
      </c>
      <c r="CF26" s="418">
        <v>0</v>
      </c>
      <c r="CG26" s="419"/>
      <c r="CH26" s="419"/>
      <c r="CJ26" s="286">
        <v>0</v>
      </c>
      <c r="CK26" s="286">
        <v>0</v>
      </c>
      <c r="CL26" s="286">
        <v>0</v>
      </c>
      <c r="CM26" s="418">
        <v>0</v>
      </c>
      <c r="CN26" s="418">
        <v>0</v>
      </c>
      <c r="CO26" s="418">
        <v>0</v>
      </c>
      <c r="CP26" s="418">
        <v>0</v>
      </c>
      <c r="CQ26" s="418">
        <v>0</v>
      </c>
      <c r="CR26" s="418">
        <v>0</v>
      </c>
      <c r="CS26" s="418">
        <v>0</v>
      </c>
      <c r="CT26" s="418">
        <v>0</v>
      </c>
      <c r="CU26" s="419"/>
      <c r="CV26" s="419"/>
      <c r="CX26" s="286">
        <v>0</v>
      </c>
      <c r="CY26" s="286">
        <v>0</v>
      </c>
      <c r="CZ26" s="286">
        <v>0</v>
      </c>
      <c r="DA26" s="418">
        <v>0</v>
      </c>
      <c r="DB26" s="418">
        <v>0</v>
      </c>
      <c r="DC26" s="418">
        <v>0</v>
      </c>
      <c r="DD26" s="418">
        <v>0</v>
      </c>
      <c r="DE26" s="418">
        <v>0</v>
      </c>
      <c r="DF26" s="418">
        <v>0</v>
      </c>
      <c r="DG26" s="418">
        <v>0</v>
      </c>
      <c r="DH26" s="418">
        <v>0</v>
      </c>
      <c r="DI26" s="419"/>
      <c r="DJ26" s="419"/>
    </row>
    <row r="27" spans="1:114" ht="18.75">
      <c r="A27" s="55">
        <v>6</v>
      </c>
      <c r="B27" s="56" t="s">
        <v>49</v>
      </c>
      <c r="C27" s="280"/>
      <c r="D27" s="288">
        <f t="shared" ref="D27:P27" si="51">SUM(D31:D54)</f>
        <v>82250</v>
      </c>
      <c r="E27" s="57">
        <f t="shared" si="51"/>
        <v>117000</v>
      </c>
      <c r="F27" s="57">
        <f t="shared" si="51"/>
        <v>121750</v>
      </c>
      <c r="G27" s="57">
        <f t="shared" si="51"/>
        <v>150000</v>
      </c>
      <c r="H27" s="57">
        <f t="shared" si="51"/>
        <v>99500</v>
      </c>
      <c r="I27" s="57">
        <f t="shared" si="51"/>
        <v>102000</v>
      </c>
      <c r="J27" s="57">
        <f t="shared" si="51"/>
        <v>177632</v>
      </c>
      <c r="K27" s="57">
        <f t="shared" si="51"/>
        <v>178158</v>
      </c>
      <c r="L27" s="57">
        <f t="shared" si="51"/>
        <v>199211</v>
      </c>
      <c r="M27" s="57">
        <f t="shared" si="51"/>
        <v>229474</v>
      </c>
      <c r="N27" s="57">
        <f t="shared" si="51"/>
        <v>122368</v>
      </c>
      <c r="O27" s="57">
        <f t="shared" si="51"/>
        <v>38421</v>
      </c>
      <c r="P27" s="289">
        <f t="shared" si="51"/>
        <v>1617764</v>
      </c>
      <c r="Q27" s="39"/>
      <c r="R27" s="288">
        <f t="shared" ref="R27:AC27" si="52">R31+R55</f>
        <v>136177.33998294926</v>
      </c>
      <c r="S27" s="58">
        <f t="shared" si="52"/>
        <v>143840.32639116928</v>
      </c>
      <c r="T27" s="58">
        <f t="shared" si="52"/>
        <v>142553.77192982455</v>
      </c>
      <c r="U27" s="58">
        <f t="shared" si="52"/>
        <v>19814.899999999998</v>
      </c>
      <c r="V27" s="58">
        <f t="shared" si="52"/>
        <v>52085</v>
      </c>
      <c r="W27" s="290">
        <f t="shared" si="52"/>
        <v>70169.381950239796</v>
      </c>
      <c r="X27" s="290">
        <f t="shared" si="52"/>
        <v>144463.33333333299</v>
      </c>
      <c r="Y27" s="290">
        <f t="shared" si="52"/>
        <v>226547.08333333331</v>
      </c>
      <c r="Z27" s="290">
        <f t="shared" si="52"/>
        <v>273187.5</v>
      </c>
      <c r="AA27" s="290">
        <f t="shared" si="52"/>
        <v>172100</v>
      </c>
      <c r="AB27" s="290">
        <f t="shared" si="52"/>
        <v>37500</v>
      </c>
      <c r="AC27" s="290">
        <f t="shared" si="52"/>
        <v>0</v>
      </c>
      <c r="AD27" s="291">
        <f>SUM(R27:AC27)</f>
        <v>1418438.6369208493</v>
      </c>
      <c r="AE27" s="59"/>
      <c r="AF27" s="292">
        <f>AF31+AF55</f>
        <v>128646</v>
      </c>
      <c r="AG27" s="58">
        <f t="shared" ref="AG27:AQ27" si="53">AG31+AG55</f>
        <v>177977</v>
      </c>
      <c r="AH27" s="58">
        <f t="shared" si="53"/>
        <v>73624</v>
      </c>
      <c r="AI27" s="58">
        <f t="shared" si="53"/>
        <v>89358</v>
      </c>
      <c r="AJ27" s="58">
        <f t="shared" si="53"/>
        <v>122134</v>
      </c>
      <c r="AK27" s="58">
        <f t="shared" si="53"/>
        <v>148560</v>
      </c>
      <c r="AL27" s="58">
        <f t="shared" si="53"/>
        <v>151995</v>
      </c>
      <c r="AM27" s="58">
        <f t="shared" si="53"/>
        <v>238903</v>
      </c>
      <c r="AN27" s="58">
        <f t="shared" si="53"/>
        <v>261133.33333333334</v>
      </c>
      <c r="AO27" s="58">
        <f t="shared" si="53"/>
        <v>255900</v>
      </c>
      <c r="AP27" s="58">
        <f t="shared" si="53"/>
        <v>128640</v>
      </c>
      <c r="AQ27" s="58">
        <f t="shared" si="53"/>
        <v>97840</v>
      </c>
      <c r="AR27" s="58">
        <f>SUM(AF27:AQ27)</f>
        <v>1874710.3333333333</v>
      </c>
      <c r="AS27" s="59"/>
      <c r="AT27" s="58">
        <f t="shared" ref="AT27:BD27" si="54">AT31+AT55</f>
        <v>152749.25</v>
      </c>
      <c r="AU27" s="58">
        <f t="shared" si="54"/>
        <v>168522.10344827586</v>
      </c>
      <c r="AV27" s="58">
        <f t="shared" si="54"/>
        <v>154121.13793103449</v>
      </c>
      <c r="AW27" s="58">
        <f t="shared" si="54"/>
        <v>159595.13793103449</v>
      </c>
      <c r="AX27" s="58">
        <f t="shared" si="54"/>
        <v>120099.96551724138</v>
      </c>
      <c r="AY27" s="58">
        <f t="shared" si="54"/>
        <v>138343.77777777778</v>
      </c>
      <c r="AZ27" s="58">
        <f t="shared" si="54"/>
        <v>166673.77777777778</v>
      </c>
      <c r="BA27" s="58">
        <f t="shared" si="54"/>
        <v>242442.29629629629</v>
      </c>
      <c r="BB27" s="58">
        <f t="shared" si="54"/>
        <v>243407.77777777778</v>
      </c>
      <c r="BC27" s="58">
        <f t="shared" si="54"/>
        <v>253368.29075565783</v>
      </c>
      <c r="BD27" s="58">
        <f t="shared" si="54"/>
        <v>134555.58688147296</v>
      </c>
      <c r="BE27" s="58">
        <f>BE31+BE56</f>
        <v>72686.612965093984</v>
      </c>
      <c r="BF27" s="58">
        <f t="shared" ref="BF27:BF29" si="55">SUM(AT27:BE27)</f>
        <v>2006565.7150594404</v>
      </c>
      <c r="BG27" s="59">
        <f>BF27-AR27</f>
        <v>131855.38172610709</v>
      </c>
      <c r="BH27" s="58">
        <f>BH28+BH55</f>
        <v>152753</v>
      </c>
      <c r="BI27" s="58">
        <f t="shared" ref="BI27:BN27" si="56">BI28+BI55</f>
        <v>146822.33333333331</v>
      </c>
      <c r="BJ27" s="58">
        <f t="shared" si="56"/>
        <v>171546.07407407407</v>
      </c>
      <c r="BK27" s="58">
        <f t="shared" si="56"/>
        <v>159771.74074074073</v>
      </c>
      <c r="BL27" s="58">
        <f t="shared" si="56"/>
        <v>132496.85185185185</v>
      </c>
      <c r="BM27" s="58">
        <f t="shared" si="56"/>
        <v>129906.25925925926</v>
      </c>
      <c r="BN27" s="58">
        <f t="shared" si="56"/>
        <v>171383.55555555556</v>
      </c>
      <c r="BO27" s="58">
        <f>BO28+BO56</f>
        <v>179550.37811111109</v>
      </c>
      <c r="BP27" s="58">
        <f>BP28+BP56</f>
        <v>202053.74953703705</v>
      </c>
      <c r="BQ27" s="58">
        <f>BQ28+BQ56</f>
        <v>163865</v>
      </c>
      <c r="BR27" s="58">
        <f>BR28+BR56</f>
        <v>175620.6</v>
      </c>
      <c r="BS27" s="58">
        <v>92285.6</v>
      </c>
      <c r="BT27" s="58">
        <f t="shared" ref="BT27:BT29" si="57">SUM(BH27:BS27)</f>
        <v>1878055.142462963</v>
      </c>
      <c r="BU27" s="60"/>
      <c r="BV27" s="58">
        <f>BV31+(BV56)*$CI$27</f>
        <v>161157.867486095</v>
      </c>
      <c r="BW27" s="58">
        <f t="shared" ref="BW27:CG27" si="58">BW31+(BW56)*$CI$27</f>
        <v>155966.83045180296</v>
      </c>
      <c r="BX27" s="58">
        <f>BX31+(BX56)*$CI$27</f>
        <v>196111.53846153844</v>
      </c>
      <c r="BY27" s="58">
        <f t="shared" si="58"/>
        <v>159169.23076923078</v>
      </c>
      <c r="BZ27" s="58">
        <f>BZ31+(BZ56)*$CI$27</f>
        <v>151482.39341785663</v>
      </c>
      <c r="CA27" s="58">
        <f t="shared" si="58"/>
        <v>141442.12910096842</v>
      </c>
      <c r="CB27" s="58">
        <f>CB31+(CB56)*$CI$27</f>
        <v>176986.21444761599</v>
      </c>
      <c r="CC27" s="58">
        <f t="shared" si="58"/>
        <v>201301.08944885107</v>
      </c>
      <c r="CD27" s="58">
        <f t="shared" si="58"/>
        <v>212833.04013559342</v>
      </c>
      <c r="CE27" s="58">
        <f t="shared" si="58"/>
        <v>215922.30386211892</v>
      </c>
      <c r="CF27" s="58">
        <f>CF31+(CF56)*$CI$27</f>
        <v>171115.84223630186</v>
      </c>
      <c r="CG27" s="58">
        <f t="shared" si="58"/>
        <v>87483.816691710366</v>
      </c>
      <c r="CH27" s="58">
        <f t="shared" ref="CH27:CH28" si="59">SUM(BV27:CG27)</f>
        <v>2030972.2965096838</v>
      </c>
      <c r="CI27" s="594">
        <v>0.95</v>
      </c>
      <c r="CJ27" s="705">
        <f>CJ31+CJ65</f>
        <v>181422.94</v>
      </c>
      <c r="CK27" s="705">
        <f>CK31+CK65</f>
        <v>165852.66999999998</v>
      </c>
      <c r="CL27" s="705">
        <f>CL31+CL65</f>
        <v>185796.68</v>
      </c>
      <c r="CM27" s="705">
        <f>CM31+CM65</f>
        <v>160983</v>
      </c>
      <c r="CN27" s="705">
        <f>CN31+CN65</f>
        <v>153801.95000000001</v>
      </c>
      <c r="CO27" s="705">
        <f t="shared" ref="CO27:CY27" si="60">CO31+CO65</f>
        <v>120180.87999999999</v>
      </c>
      <c r="CP27" s="705">
        <f>CP31+CP65</f>
        <v>225720.09</v>
      </c>
      <c r="CQ27" s="705">
        <f t="shared" si="60"/>
        <v>206895.31</v>
      </c>
      <c r="CR27" s="705">
        <f t="shared" si="60"/>
        <v>256653.63999999998</v>
      </c>
      <c r="CS27" s="705">
        <f t="shared" si="60"/>
        <v>229416.92</v>
      </c>
      <c r="CT27" s="705">
        <f t="shared" si="60"/>
        <v>162785.09</v>
      </c>
      <c r="CU27" s="705">
        <f t="shared" si="60"/>
        <v>103183.82</v>
      </c>
      <c r="CV27" s="705">
        <f>SUM(CJ27:CU27)</f>
        <v>2152692.9899999998</v>
      </c>
      <c r="CW27" s="594" t="s">
        <v>50</v>
      </c>
      <c r="CX27" s="58">
        <f>CJ27*1.05</f>
        <v>190494.087</v>
      </c>
      <c r="CY27" s="58">
        <f t="shared" ref="CY27:DI27" si="61">CK27*1.05</f>
        <v>174145.30349999998</v>
      </c>
      <c r="CZ27" s="58">
        <f t="shared" si="61"/>
        <v>195086.514</v>
      </c>
      <c r="DA27" s="58">
        <f t="shared" si="61"/>
        <v>169032.15</v>
      </c>
      <c r="DB27" s="58">
        <f t="shared" si="61"/>
        <v>161492.04750000002</v>
      </c>
      <c r="DC27" s="58">
        <f t="shared" si="61"/>
        <v>126189.924</v>
      </c>
      <c r="DD27" s="58">
        <f t="shared" si="61"/>
        <v>237006.09450000001</v>
      </c>
      <c r="DE27" s="58">
        <f t="shared" si="61"/>
        <v>217240.07550000001</v>
      </c>
      <c r="DF27" s="58">
        <f t="shared" si="61"/>
        <v>269486.32199999999</v>
      </c>
      <c r="DG27" s="58">
        <f t="shared" si="61"/>
        <v>240887.76600000003</v>
      </c>
      <c r="DH27" s="58">
        <f t="shared" si="61"/>
        <v>170924.34450000001</v>
      </c>
      <c r="DI27" s="58">
        <f t="shared" si="61"/>
        <v>108343.01100000001</v>
      </c>
      <c r="DJ27" s="58">
        <v>1957097.174059076</v>
      </c>
    </row>
    <row r="28" spans="1:114">
      <c r="A28" s="61"/>
      <c r="B28" s="62" t="s">
        <v>51</v>
      </c>
      <c r="C28" s="293"/>
      <c r="D28" s="294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295"/>
      <c r="Q28" s="64"/>
      <c r="R28" s="294"/>
      <c r="S28" s="65"/>
      <c r="T28" s="65"/>
      <c r="U28" s="65"/>
      <c r="V28" s="296"/>
      <c r="W28" s="297"/>
      <c r="X28" s="297"/>
      <c r="Y28" s="297"/>
      <c r="Z28" s="297"/>
      <c r="AA28" s="297"/>
      <c r="AB28" s="297"/>
      <c r="AC28" s="66"/>
      <c r="AD28" s="67"/>
      <c r="AE28" s="68"/>
      <c r="AF28" s="298"/>
      <c r="AG28" s="65"/>
      <c r="AH28" s="65"/>
      <c r="AI28" s="65"/>
      <c r="AJ28" s="296"/>
      <c r="AK28" s="296"/>
      <c r="AL28" s="296"/>
      <c r="AM28" s="296"/>
      <c r="AN28" s="65"/>
      <c r="AO28" s="65"/>
      <c r="AP28" s="65"/>
      <c r="AQ28" s="65"/>
      <c r="AR28" s="299"/>
      <c r="AS28" s="68"/>
      <c r="AT28" s="65"/>
      <c r="AU28" s="65"/>
      <c r="AV28" s="65"/>
      <c r="AW28" s="65"/>
      <c r="AX28" s="65"/>
      <c r="AY28" s="69">
        <f t="shared" ref="AY28:BA28" si="62">AY31+AY56</f>
        <v>119777.77777777778</v>
      </c>
      <c r="AZ28" s="69">
        <f t="shared" si="62"/>
        <v>150777.77777777778</v>
      </c>
      <c r="BA28" s="69">
        <f t="shared" si="62"/>
        <v>233098.4962962963</v>
      </c>
      <c r="BB28" s="69">
        <f>BB29/BB30</f>
        <v>210777.77777777778</v>
      </c>
      <c r="BC28" s="69">
        <f>BC31+BC56</f>
        <v>249806.29075565783</v>
      </c>
      <c r="BD28" s="69">
        <f t="shared" ref="BD28:BE28" si="63">BD31+BD56*0.85</f>
        <v>122960.58688147296</v>
      </c>
      <c r="BE28" s="69">
        <f t="shared" si="63"/>
        <v>66386.612965093984</v>
      </c>
      <c r="BF28" s="69">
        <f t="shared" si="55"/>
        <v>1153585.3202318544</v>
      </c>
      <c r="BG28" s="68"/>
      <c r="BH28" s="69">
        <f>BH29/BH30-0.1*BH29/BH30</f>
        <v>116600</v>
      </c>
      <c r="BI28" s="69">
        <f t="shared" ref="BI28" si="64">BI29/BI30-0.1*BI29/BI30</f>
        <v>111533.33333333333</v>
      </c>
      <c r="BJ28" s="69">
        <f t="shared" ref="BJ28:BP28" si="65">BJ29/BJ30-0.05*BJ29/BJ30</f>
        <v>135674.07407407407</v>
      </c>
      <c r="BK28" s="69">
        <f t="shared" si="65"/>
        <v>121740.74074074074</v>
      </c>
      <c r="BL28" s="69">
        <f t="shared" si="65"/>
        <v>93926.851851851854</v>
      </c>
      <c r="BM28" s="69">
        <f t="shared" si="65"/>
        <v>90679.259259259255</v>
      </c>
      <c r="BN28" s="69">
        <f t="shared" si="65"/>
        <v>130255.55555555556</v>
      </c>
      <c r="BO28" s="69">
        <f t="shared" si="65"/>
        <v>150550.37811111109</v>
      </c>
      <c r="BP28" s="69">
        <f t="shared" si="65"/>
        <v>161830.74953703705</v>
      </c>
      <c r="BQ28" s="69">
        <v>127130</v>
      </c>
      <c r="BR28" s="69">
        <v>138687.6</v>
      </c>
      <c r="BS28" s="69">
        <v>43639.199999999997</v>
      </c>
      <c r="BT28" s="69">
        <f t="shared" si="57"/>
        <v>1422247.7424629631</v>
      </c>
      <c r="BU28" s="54"/>
      <c r="BV28" s="69">
        <f>BV31+BV55</f>
        <v>166555.77995873816</v>
      </c>
      <c r="BW28" s="69">
        <f>BW31+BW55</f>
        <v>152835.36924465047</v>
      </c>
      <c r="BX28" s="69">
        <f t="shared" ref="BX28:CG28" si="66">BX31+BX55</f>
        <v>195319.2072937729</v>
      </c>
      <c r="BY28" s="69">
        <f t="shared" si="66"/>
        <v>158396.18906207831</v>
      </c>
      <c r="BZ28" s="69">
        <f t="shared" si="66"/>
        <v>152371.51475009107</v>
      </c>
      <c r="CA28" s="69">
        <f t="shared" si="66"/>
        <v>147696.01107361159</v>
      </c>
      <c r="CB28" s="69">
        <f t="shared" si="66"/>
        <v>189465.0513586243</v>
      </c>
      <c r="CC28" s="69">
        <f t="shared" si="66"/>
        <v>202914.10079748323</v>
      </c>
      <c r="CD28" s="69">
        <f t="shared" si="66"/>
        <v>214499.61628422557</v>
      </c>
      <c r="CE28" s="69">
        <f t="shared" si="66"/>
        <v>217682.99793575107</v>
      </c>
      <c r="CF28" s="69">
        <f t="shared" si="66"/>
        <v>179284.72030485788</v>
      </c>
      <c r="CG28" s="69">
        <f t="shared" si="66"/>
        <v>88389.319383536102</v>
      </c>
      <c r="CH28" s="69">
        <f t="shared" si="59"/>
        <v>2065409.8774474205</v>
      </c>
      <c r="CI28" s="395">
        <f>(CH28-BT62)/BT62</f>
        <v>0.48621753003500767</v>
      </c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395">
        <f>(CV28-CH62)/CH62</f>
        <v>-1</v>
      </c>
      <c r="CX28" s="69">
        <v>166555.77995873816</v>
      </c>
      <c r="CY28" s="69">
        <v>152835.36924465047</v>
      </c>
      <c r="CZ28" s="69">
        <v>195319.2072937729</v>
      </c>
      <c r="DA28" s="69">
        <v>158396.18906207831</v>
      </c>
      <c r="DB28" s="69">
        <v>152371.51475009107</v>
      </c>
      <c r="DC28" s="69">
        <v>147696.01107361159</v>
      </c>
      <c r="DD28" s="69">
        <v>189465.0513586243</v>
      </c>
      <c r="DE28" s="69">
        <v>202914.10079748323</v>
      </c>
      <c r="DF28" s="69">
        <v>214499.61628422557</v>
      </c>
      <c r="DG28" s="69">
        <v>217682.99793575107</v>
      </c>
      <c r="DH28" s="69">
        <v>179284.72030485788</v>
      </c>
      <c r="DI28" s="69">
        <v>88389.319383536102</v>
      </c>
      <c r="DJ28" s="69">
        <v>2065409.8774474205</v>
      </c>
    </row>
    <row r="29" spans="1:114">
      <c r="A29" s="61"/>
      <c r="B29" s="62" t="s">
        <v>52</v>
      </c>
      <c r="C29" s="293"/>
      <c r="D29" s="294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295"/>
      <c r="Q29" s="64"/>
      <c r="R29" s="294"/>
      <c r="S29" s="65"/>
      <c r="T29" s="65"/>
      <c r="U29" s="65"/>
      <c r="V29" s="296"/>
      <c r="W29" s="297"/>
      <c r="X29" s="297"/>
      <c r="Y29" s="297"/>
      <c r="Z29" s="297"/>
      <c r="AA29" s="297"/>
      <c r="AB29" s="297"/>
      <c r="AC29" s="66"/>
      <c r="AD29" s="67"/>
      <c r="AE29" s="68"/>
      <c r="AF29" s="298"/>
      <c r="AG29" s="65"/>
      <c r="AH29" s="65" t="s">
        <v>53</v>
      </c>
      <c r="AI29" s="65"/>
      <c r="AJ29" s="296"/>
      <c r="AK29" s="296"/>
      <c r="AL29" s="296"/>
      <c r="AM29" s="296"/>
      <c r="AN29" s="65">
        <v>6715000</v>
      </c>
      <c r="AO29" s="65">
        <v>6555000</v>
      </c>
      <c r="AP29" s="65">
        <v>2640000</v>
      </c>
      <c r="AQ29" s="65">
        <v>1302000</v>
      </c>
      <c r="AR29" s="299"/>
      <c r="AS29" s="68"/>
      <c r="AT29" s="65">
        <v>3264695</v>
      </c>
      <c r="AU29" s="65">
        <v>3863760</v>
      </c>
      <c r="AV29" s="65">
        <v>3429225</v>
      </c>
      <c r="AW29" s="65">
        <v>3525360</v>
      </c>
      <c r="AX29" s="65">
        <v>2509485</v>
      </c>
      <c r="AY29" s="65">
        <v>2829000</v>
      </c>
      <c r="AZ29" s="65">
        <v>3666000</v>
      </c>
      <c r="BA29" s="65">
        <v>5705000</v>
      </c>
      <c r="BB29" s="65">
        <v>5691000</v>
      </c>
      <c r="BC29" s="65">
        <v>5600000</v>
      </c>
      <c r="BD29" s="65">
        <v>2430000</v>
      </c>
      <c r="BE29" s="65">
        <v>800000</v>
      </c>
      <c r="BF29" s="69">
        <f t="shared" si="55"/>
        <v>43313525</v>
      </c>
      <c r="BG29" s="68"/>
      <c r="BH29" s="70">
        <v>3498000</v>
      </c>
      <c r="BI29" s="70">
        <v>3346000</v>
      </c>
      <c r="BJ29" s="70">
        <v>3856000</v>
      </c>
      <c r="BK29" s="70">
        <v>3460000</v>
      </c>
      <c r="BL29" s="70">
        <v>2669500</v>
      </c>
      <c r="BM29" s="70">
        <v>2577200</v>
      </c>
      <c r="BN29" s="70">
        <v>3702000</v>
      </c>
      <c r="BO29" s="70">
        <v>4278800.22</v>
      </c>
      <c r="BP29" s="70">
        <v>4599400.25</v>
      </c>
      <c r="BQ29" s="70">
        <f>BQ28*BQ30</f>
        <v>3432510</v>
      </c>
      <c r="BR29" s="70">
        <v>2954493.21</v>
      </c>
      <c r="BS29" s="70">
        <v>984831.07</v>
      </c>
      <c r="BT29" s="65">
        <f t="shared" si="57"/>
        <v>39358734.75</v>
      </c>
      <c r="BU29" s="54"/>
      <c r="BV29" s="70">
        <f>BV30*BV31</f>
        <v>3399704.5546384701</v>
      </c>
      <c r="BW29" s="70">
        <f t="shared" ref="BW29:CG29" si="67">BW30*BW31</f>
        <v>3264737.5917468769</v>
      </c>
      <c r="BX29" s="70">
        <f t="shared" si="67"/>
        <v>4184999.9999999995</v>
      </c>
      <c r="BY29" s="70">
        <f t="shared" si="67"/>
        <v>3348000.0000000005</v>
      </c>
      <c r="BZ29" s="70">
        <f t="shared" si="67"/>
        <v>3074042.2288642721</v>
      </c>
      <c r="CA29" s="70">
        <f t="shared" si="67"/>
        <v>2812995.3566251793</v>
      </c>
      <c r="CB29" s="70">
        <f t="shared" si="67"/>
        <v>3737141.5756380158</v>
      </c>
      <c r="CC29" s="70">
        <f t="shared" si="67"/>
        <v>4437000.7194458414</v>
      </c>
      <c r="CD29" s="70">
        <f t="shared" si="67"/>
        <v>4710370.4261011425</v>
      </c>
      <c r="CE29" s="70">
        <f t="shared" si="67"/>
        <v>4744197.0280408058</v>
      </c>
      <c r="CF29" s="70">
        <f t="shared" si="67"/>
        <v>3461011.8981438484</v>
      </c>
      <c r="CG29" s="70">
        <f t="shared" si="67"/>
        <v>792579.23398446955</v>
      </c>
      <c r="CH29" s="65">
        <f>SUM(BV29:CG29)</f>
        <v>41966780.613228925</v>
      </c>
      <c r="CJ29" s="70">
        <f>CJ30*CJ31</f>
        <v>4023031.4767999998</v>
      </c>
      <c r="CK29" s="70">
        <f t="shared" ref="CK29:CU29" si="68">CK30*CK31</f>
        <v>3734347.6631999994</v>
      </c>
      <c r="CL29" s="70">
        <f t="shared" si="68"/>
        <v>4223923.0879999995</v>
      </c>
      <c r="CM29" s="70">
        <f t="shared" si="68"/>
        <v>3472581.84</v>
      </c>
      <c r="CN29" s="70">
        <f t="shared" si="68"/>
        <v>3217429.18</v>
      </c>
      <c r="CO29" s="70">
        <f t="shared" si="68"/>
        <v>2332522.6176</v>
      </c>
      <c r="CP29" s="70">
        <f t="shared" si="68"/>
        <v>5138020.6359999999</v>
      </c>
      <c r="CQ29" s="70">
        <f t="shared" si="68"/>
        <v>4640708.9735999992</v>
      </c>
      <c r="CR29" s="70">
        <f t="shared" si="68"/>
        <v>5942025.5719999997</v>
      </c>
      <c r="CS29" s="70">
        <f t="shared" si="68"/>
        <v>5183216.5504000001</v>
      </c>
      <c r="CT29" s="70">
        <f t="shared" si="68"/>
        <v>3252007.3432</v>
      </c>
      <c r="CU29" s="70">
        <f>CU30*CU31</f>
        <v>1251798.4135999999</v>
      </c>
      <c r="CV29" s="70">
        <f>CV30*CV31</f>
        <v>46411613.354400001</v>
      </c>
      <c r="CX29" s="70">
        <v>3399704.5546384701</v>
      </c>
      <c r="CY29" s="70">
        <v>3264737.5917468769</v>
      </c>
      <c r="CZ29" s="70">
        <v>4184999.9999999995</v>
      </c>
      <c r="DA29" s="70">
        <v>3348000.0000000005</v>
      </c>
      <c r="DB29" s="70">
        <v>3074042.2288642721</v>
      </c>
      <c r="DC29" s="70">
        <v>2812995.3566251793</v>
      </c>
      <c r="DD29" s="70">
        <v>3737141.5756380158</v>
      </c>
      <c r="DE29" s="70">
        <v>4437000.7194458414</v>
      </c>
      <c r="DF29" s="70">
        <v>4710370.4261011425</v>
      </c>
      <c r="DG29" s="70">
        <v>4744197.0280408058</v>
      </c>
      <c r="DH29" s="70">
        <v>3461011.8981438484</v>
      </c>
      <c r="DI29" s="70">
        <v>792579.23398446955</v>
      </c>
      <c r="DJ29" s="65">
        <v>41966780.613228925</v>
      </c>
    </row>
    <row r="30" spans="1:114">
      <c r="A30" s="71"/>
      <c r="B30" s="72" t="s">
        <v>54</v>
      </c>
      <c r="C30" s="300"/>
      <c r="D30" s="301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302"/>
      <c r="Q30" s="74"/>
      <c r="R30" s="301"/>
      <c r="S30" s="69"/>
      <c r="T30" s="69"/>
      <c r="U30" s="69"/>
      <c r="V30" s="303"/>
      <c r="W30" s="304"/>
      <c r="X30" s="304"/>
      <c r="Y30" s="304"/>
      <c r="Z30" s="304"/>
      <c r="AA30" s="304"/>
      <c r="AB30" s="304"/>
      <c r="AC30" s="75"/>
      <c r="AD30" s="76"/>
      <c r="AE30" s="77"/>
      <c r="AF30" s="305"/>
      <c r="AG30" s="69"/>
      <c r="AH30" s="69"/>
      <c r="AI30" s="69"/>
      <c r="AJ30" s="303"/>
      <c r="AK30" s="303"/>
      <c r="AL30" s="303"/>
      <c r="AM30" s="303"/>
      <c r="AN30" s="69">
        <f t="shared" ref="AN30:AQ30" si="69">30</f>
        <v>30</v>
      </c>
      <c r="AO30" s="69">
        <f t="shared" si="69"/>
        <v>30</v>
      </c>
      <c r="AP30" s="69">
        <f t="shared" si="69"/>
        <v>30</v>
      </c>
      <c r="AQ30" s="69">
        <f t="shared" si="69"/>
        <v>30</v>
      </c>
      <c r="AR30" s="306"/>
      <c r="AS30" s="77"/>
      <c r="AT30" s="69">
        <v>28</v>
      </c>
      <c r="AU30" s="69">
        <v>29</v>
      </c>
      <c r="AV30" s="69">
        <v>29</v>
      </c>
      <c r="AW30" s="69">
        <v>29</v>
      </c>
      <c r="AX30" s="69">
        <v>29</v>
      </c>
      <c r="AY30" s="69">
        <v>27</v>
      </c>
      <c r="AZ30" s="69">
        <v>27</v>
      </c>
      <c r="BA30" s="69">
        <v>27</v>
      </c>
      <c r="BB30" s="69">
        <v>27</v>
      </c>
      <c r="BC30" s="69">
        <v>26.07</v>
      </c>
      <c r="BD30" s="69">
        <v>26.07</v>
      </c>
      <c r="BE30" s="69">
        <v>26.07</v>
      </c>
      <c r="BF30" s="305"/>
      <c r="BG30" s="78"/>
      <c r="BH30" s="69">
        <v>27</v>
      </c>
      <c r="BI30" s="69">
        <v>27</v>
      </c>
      <c r="BJ30" s="69">
        <v>27</v>
      </c>
      <c r="BK30" s="69">
        <v>27</v>
      </c>
      <c r="BL30" s="69">
        <v>27</v>
      </c>
      <c r="BM30" s="69">
        <v>27</v>
      </c>
      <c r="BN30" s="69">
        <v>27</v>
      </c>
      <c r="BO30" s="69">
        <v>27</v>
      </c>
      <c r="BP30" s="69">
        <v>27</v>
      </c>
      <c r="BQ30" s="69">
        <v>27</v>
      </c>
      <c r="BR30" s="69">
        <v>27</v>
      </c>
      <c r="BS30" s="69">
        <v>27</v>
      </c>
      <c r="BT30" s="69"/>
      <c r="BU30" s="54"/>
      <c r="BV30" s="69">
        <v>26</v>
      </c>
      <c r="BW30" s="69">
        <v>26</v>
      </c>
      <c r="BX30" s="69">
        <v>26</v>
      </c>
      <c r="BY30" s="69">
        <v>26</v>
      </c>
      <c r="BZ30" s="69">
        <v>26</v>
      </c>
      <c r="CA30" s="69">
        <v>26</v>
      </c>
      <c r="CB30" s="69">
        <v>26</v>
      </c>
      <c r="CC30" s="69">
        <v>26</v>
      </c>
      <c r="CD30" s="69">
        <v>26</v>
      </c>
      <c r="CE30" s="69">
        <v>26</v>
      </c>
      <c r="CF30" s="69">
        <v>26</v>
      </c>
      <c r="CG30" s="69">
        <v>26</v>
      </c>
      <c r="CH30" s="69"/>
      <c r="CJ30" s="69">
        <v>26.32</v>
      </c>
      <c r="CK30" s="69">
        <f>CJ30</f>
        <v>26.32</v>
      </c>
      <c r="CL30" s="69">
        <f t="shared" ref="CL30:CV30" si="70">CK30</f>
        <v>26.32</v>
      </c>
      <c r="CM30" s="69">
        <f t="shared" si="70"/>
        <v>26.32</v>
      </c>
      <c r="CN30" s="69">
        <f t="shared" si="70"/>
        <v>26.32</v>
      </c>
      <c r="CO30" s="69">
        <f t="shared" si="70"/>
        <v>26.32</v>
      </c>
      <c r="CP30" s="69">
        <f t="shared" si="70"/>
        <v>26.32</v>
      </c>
      <c r="CQ30" s="69">
        <f t="shared" si="70"/>
        <v>26.32</v>
      </c>
      <c r="CR30" s="69">
        <f t="shared" si="70"/>
        <v>26.32</v>
      </c>
      <c r="CS30" s="69">
        <f t="shared" si="70"/>
        <v>26.32</v>
      </c>
      <c r="CT30" s="69">
        <f t="shared" si="70"/>
        <v>26.32</v>
      </c>
      <c r="CU30" s="69">
        <f t="shared" si="70"/>
        <v>26.32</v>
      </c>
      <c r="CV30" s="69">
        <f t="shared" si="70"/>
        <v>26.32</v>
      </c>
      <c r="CX30" s="69">
        <v>26</v>
      </c>
      <c r="CY30" s="69">
        <v>26</v>
      </c>
      <c r="CZ30" s="69">
        <v>26</v>
      </c>
      <c r="DA30" s="69">
        <v>26</v>
      </c>
      <c r="DB30" s="69">
        <v>26</v>
      </c>
      <c r="DC30" s="69">
        <v>26</v>
      </c>
      <c r="DD30" s="69">
        <v>26</v>
      </c>
      <c r="DE30" s="69">
        <v>26</v>
      </c>
      <c r="DF30" s="69">
        <v>26</v>
      </c>
      <c r="DG30" s="69">
        <v>26</v>
      </c>
      <c r="DH30" s="69">
        <v>26</v>
      </c>
      <c r="DI30" s="69">
        <v>26</v>
      </c>
      <c r="DJ30" s="69"/>
    </row>
    <row r="31" spans="1:114" ht="15.75">
      <c r="A31" s="79"/>
      <c r="B31" s="80" t="s">
        <v>55</v>
      </c>
      <c r="C31" s="81"/>
      <c r="D31" s="288">
        <v>82250</v>
      </c>
      <c r="E31" s="57">
        <v>117000</v>
      </c>
      <c r="F31" s="57">
        <v>121750</v>
      </c>
      <c r="G31" s="57">
        <v>150000</v>
      </c>
      <c r="H31" s="57">
        <v>99500</v>
      </c>
      <c r="I31" s="57">
        <v>102000</v>
      </c>
      <c r="J31" s="57">
        <v>177632</v>
      </c>
      <c r="K31" s="57">
        <v>178158</v>
      </c>
      <c r="L31" s="57">
        <v>199211</v>
      </c>
      <c r="M31" s="57">
        <v>229474</v>
      </c>
      <c r="N31" s="57">
        <v>122368</v>
      </c>
      <c r="O31" s="57">
        <v>38421</v>
      </c>
      <c r="P31" s="289">
        <f>SUM(D31:O31)</f>
        <v>1617764</v>
      </c>
      <c r="Q31" s="39"/>
      <c r="R31" s="288">
        <v>115619.79612330014</v>
      </c>
      <c r="S31" s="58">
        <v>123327.78253152016</v>
      </c>
      <c r="T31" s="58">
        <v>128854</v>
      </c>
      <c r="U31" s="58">
        <f>126016*0.15</f>
        <v>18902.399999999998</v>
      </c>
      <c r="V31" s="58">
        <v>35234</v>
      </c>
      <c r="W31" s="290">
        <v>56469.381950239796</v>
      </c>
      <c r="X31" s="290">
        <v>118413.33333333299</v>
      </c>
      <c r="Y31" s="290">
        <v>198797.08333333331</v>
      </c>
      <c r="Z31" s="290">
        <v>242087.5</v>
      </c>
      <c r="AA31" s="290">
        <v>140000</v>
      </c>
      <c r="AB31" s="290">
        <v>0</v>
      </c>
      <c r="AC31" s="290">
        <v>-45300</v>
      </c>
      <c r="AD31" s="291">
        <f>SUM(R31:AC31)</f>
        <v>1132405.2772717264</v>
      </c>
      <c r="AE31" s="59"/>
      <c r="AF31" s="292">
        <v>90146</v>
      </c>
      <c r="AG31" s="58">
        <v>155577</v>
      </c>
      <c r="AH31" s="58">
        <v>62953</v>
      </c>
      <c r="AI31" s="58">
        <v>73261</v>
      </c>
      <c r="AJ31" s="58">
        <v>91856</v>
      </c>
      <c r="AK31" s="58">
        <v>120000</v>
      </c>
      <c r="AL31" s="58">
        <v>110295</v>
      </c>
      <c r="AM31" s="58">
        <v>200203</v>
      </c>
      <c r="AN31" s="58">
        <f t="shared" ref="AN31:AQ31" si="71">AN29/AN30</f>
        <v>223833.33333333334</v>
      </c>
      <c r="AO31" s="58">
        <f t="shared" si="71"/>
        <v>218500</v>
      </c>
      <c r="AP31" s="58">
        <f t="shared" si="71"/>
        <v>88000</v>
      </c>
      <c r="AQ31" s="58">
        <f t="shared" si="71"/>
        <v>43400</v>
      </c>
      <c r="AR31" s="58">
        <f>SUM(AF31:AQ31)</f>
        <v>1478024.3333333333</v>
      </c>
      <c r="AS31" s="59"/>
      <c r="AT31" s="58">
        <f t="shared" ref="AT31:BE31" si="72">AT29/AT30</f>
        <v>116596.25</v>
      </c>
      <c r="AU31" s="58">
        <f t="shared" si="72"/>
        <v>133233.10344827586</v>
      </c>
      <c r="AV31" s="58">
        <f t="shared" si="72"/>
        <v>118249.13793103448</v>
      </c>
      <c r="AW31" s="58">
        <f t="shared" si="72"/>
        <v>121564.13793103448</v>
      </c>
      <c r="AX31" s="58">
        <f t="shared" si="72"/>
        <v>86533.965517241377</v>
      </c>
      <c r="AY31" s="58">
        <f t="shared" si="72"/>
        <v>104777.77777777778</v>
      </c>
      <c r="AZ31" s="58">
        <f t="shared" si="72"/>
        <v>135777.77777777778</v>
      </c>
      <c r="BA31" s="58">
        <f t="shared" si="72"/>
        <v>211296.29629629629</v>
      </c>
      <c r="BB31" s="58">
        <f t="shared" si="72"/>
        <v>210777.77777777778</v>
      </c>
      <c r="BC31" s="58">
        <f t="shared" si="72"/>
        <v>214806.29075565783</v>
      </c>
      <c r="BD31" s="58">
        <f t="shared" si="72"/>
        <v>93210.586881472962</v>
      </c>
      <c r="BE31" s="58">
        <f t="shared" si="72"/>
        <v>30686.612965093977</v>
      </c>
      <c r="BF31" s="58">
        <f>SUM(AT31:BE31)</f>
        <v>1577509.7150594404</v>
      </c>
      <c r="BG31" s="59">
        <f>BF31-AR31</f>
        <v>99485.381726107094</v>
      </c>
      <c r="BH31" s="58">
        <f>BH28</f>
        <v>116600</v>
      </c>
      <c r="BI31" s="58">
        <f t="shared" ref="BI31:BT31" si="73">BI28</f>
        <v>111533.33333333333</v>
      </c>
      <c r="BJ31" s="58">
        <f t="shared" si="73"/>
        <v>135674.07407407407</v>
      </c>
      <c r="BK31" s="58">
        <f t="shared" si="73"/>
        <v>121740.74074074074</v>
      </c>
      <c r="BL31" s="58">
        <f t="shared" si="73"/>
        <v>93926.851851851854</v>
      </c>
      <c r="BM31" s="58">
        <f t="shared" si="73"/>
        <v>90679.259259259255</v>
      </c>
      <c r="BN31" s="58">
        <f t="shared" si="73"/>
        <v>130255.55555555556</v>
      </c>
      <c r="BO31" s="58">
        <f t="shared" si="73"/>
        <v>150550.37811111109</v>
      </c>
      <c r="BP31" s="58">
        <f t="shared" si="73"/>
        <v>161830.74953703705</v>
      </c>
      <c r="BQ31" s="58">
        <f t="shared" si="73"/>
        <v>127130</v>
      </c>
      <c r="BR31" s="58">
        <f>BR28</f>
        <v>138687.6</v>
      </c>
      <c r="BS31" s="58">
        <f t="shared" si="73"/>
        <v>43639.199999999997</v>
      </c>
      <c r="BT31" s="58">
        <f t="shared" si="73"/>
        <v>1422247.7424629631</v>
      </c>
      <c r="BU31" s="60"/>
      <c r="BV31" s="58">
        <f>'META  EM PEÇAS'!S73</f>
        <v>130757.867486095</v>
      </c>
      <c r="BW31" s="58">
        <f>'META  EM PEÇAS'!T73</f>
        <v>125566.83045180296</v>
      </c>
      <c r="BX31" s="58">
        <f>'META  EM PEÇAS'!U73</f>
        <v>160961.53846153844</v>
      </c>
      <c r="BY31" s="58">
        <f>'META  EM PEÇAS'!V73</f>
        <v>128769.23076923078</v>
      </c>
      <c r="BZ31" s="58">
        <f>'META  EM PEÇAS'!W73</f>
        <v>118232.39341785663</v>
      </c>
      <c r="CA31" s="58">
        <f>'META  EM PEÇAS'!X73</f>
        <v>108192.12910096844</v>
      </c>
      <c r="CB31" s="58">
        <f>'META  EM PEÇAS'!Y73</f>
        <v>143736.21444761599</v>
      </c>
      <c r="CC31" s="58">
        <f>'META  EM PEÇAS'!Z73</f>
        <v>170653.87382484006</v>
      </c>
      <c r="CD31" s="58">
        <f>'META  EM PEÇAS'!AA73</f>
        <v>181168.0933115824</v>
      </c>
      <c r="CE31" s="58">
        <f>'META  EM PEÇAS'!AB73</f>
        <v>182469.1164631079</v>
      </c>
      <c r="CF31" s="58">
        <f>'META  EM PEÇAS'!AC73</f>
        <v>133115.84223630186</v>
      </c>
      <c r="CG31" s="58">
        <f>'META  EM PEÇAS'!AD73</f>
        <v>30483.816691710366</v>
      </c>
      <c r="CH31" s="58">
        <v>45</v>
      </c>
      <c r="CI31">
        <f>CH31*26</f>
        <v>1170</v>
      </c>
      <c r="CJ31" s="58">
        <f>BV62*1.19</f>
        <v>152850.74</v>
      </c>
      <c r="CK31" s="58">
        <f t="shared" ref="CK31:CT31" si="74">BW62*1.19</f>
        <v>141882.50999999998</v>
      </c>
      <c r="CL31" s="58">
        <f>BX62*1.19</f>
        <v>160483.4</v>
      </c>
      <c r="CM31" s="58">
        <v>131937</v>
      </c>
      <c r="CN31" s="58">
        <f t="shared" si="74"/>
        <v>122242.75</v>
      </c>
      <c r="CO31" s="58">
        <f t="shared" si="74"/>
        <v>88621.68</v>
      </c>
      <c r="CP31" s="58">
        <f>CB62*1.19</f>
        <v>195213.55</v>
      </c>
      <c r="CQ31" s="58">
        <f t="shared" si="74"/>
        <v>176318.72999999998</v>
      </c>
      <c r="CR31" s="58">
        <f t="shared" si="74"/>
        <v>225760.84999999998</v>
      </c>
      <c r="CS31" s="58">
        <f t="shared" si="74"/>
        <v>196930.72</v>
      </c>
      <c r="CT31" s="58">
        <f t="shared" si="74"/>
        <v>123556.51</v>
      </c>
      <c r="CU31" s="58">
        <f>CG62*1.19</f>
        <v>47560.729999999996</v>
      </c>
      <c r="CV31" s="58">
        <f>SUM(CJ31:CU31)</f>
        <v>1763359.17</v>
      </c>
      <c r="CW31">
        <f>CV31*26</f>
        <v>45847338.420000002</v>
      </c>
      <c r="CX31" s="58">
        <v>130757.867486095</v>
      </c>
      <c r="CY31" s="58">
        <v>125566.83045180296</v>
      </c>
      <c r="CZ31" s="58">
        <v>160961.53846153844</v>
      </c>
      <c r="DA31" s="58">
        <v>128769.23076923078</v>
      </c>
      <c r="DB31" s="58">
        <v>118232.39341785663</v>
      </c>
      <c r="DC31" s="58">
        <v>108192.12910096844</v>
      </c>
      <c r="DD31" s="58">
        <v>143736.21444761599</v>
      </c>
      <c r="DE31" s="58">
        <v>170653.87382484006</v>
      </c>
      <c r="DF31" s="58">
        <v>181168.0933115824</v>
      </c>
      <c r="DG31" s="58">
        <v>182469.1164631079</v>
      </c>
      <c r="DH31" s="58">
        <v>133115.84223630186</v>
      </c>
      <c r="DI31" s="58">
        <v>30483.816691710366</v>
      </c>
      <c r="DJ31" s="58">
        <v>1614106.9466626509</v>
      </c>
    </row>
    <row r="32" spans="1:114">
      <c r="A32" s="307"/>
      <c r="B32" s="82"/>
      <c r="C32" s="308"/>
      <c r="D32" s="309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310"/>
      <c r="Q32" s="84"/>
      <c r="R32" s="309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311"/>
      <c r="AE32" s="23"/>
      <c r="AF32" s="312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6"/>
      <c r="AS32" s="23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2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54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J32" s="87">
        <f>BV62</f>
        <v>128446</v>
      </c>
      <c r="CK32" s="87">
        <f t="shared" ref="CK32:CU32" si="75">BW62</f>
        <v>119229</v>
      </c>
      <c r="CL32" s="87">
        <f t="shared" si="75"/>
        <v>134860</v>
      </c>
      <c r="CM32" s="87">
        <f t="shared" si="75"/>
        <v>111992</v>
      </c>
      <c r="CN32" s="87">
        <f t="shared" si="75"/>
        <v>102725</v>
      </c>
      <c r="CO32" s="87">
        <f t="shared" si="75"/>
        <v>74472</v>
      </c>
      <c r="CP32" s="87">
        <f t="shared" si="75"/>
        <v>164045</v>
      </c>
      <c r="CQ32" s="87">
        <f t="shared" si="75"/>
        <v>148167</v>
      </c>
      <c r="CR32" s="87">
        <f t="shared" si="75"/>
        <v>189715</v>
      </c>
      <c r="CS32" s="87">
        <f t="shared" si="75"/>
        <v>165488</v>
      </c>
      <c r="CT32" s="87">
        <f t="shared" si="75"/>
        <v>103829</v>
      </c>
      <c r="CU32" s="87">
        <f t="shared" si="75"/>
        <v>39967</v>
      </c>
      <c r="CV32" s="87">
        <f>SUM(CJ32:CU32)</f>
        <v>1482935</v>
      </c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</row>
    <row r="33" spans="1:114">
      <c r="A33" s="709"/>
      <c r="B33" s="710"/>
      <c r="C33" s="710"/>
      <c r="D33" s="309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310"/>
      <c r="Q33" s="84"/>
      <c r="R33" s="309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311"/>
      <c r="AE33" s="23"/>
      <c r="AF33" s="312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6"/>
      <c r="AS33" s="23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2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54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J33" s="711">
        <f>(CJ31-CJ32)/CJ32</f>
        <v>0.18999999999999992</v>
      </c>
      <c r="CK33" s="711">
        <f t="shared" ref="CK33:CU33" si="76">(CK31-CK32)/CK32</f>
        <v>0.18999999999999984</v>
      </c>
      <c r="CL33" s="711">
        <f t="shared" si="76"/>
        <v>0.18999999999999995</v>
      </c>
      <c r="CM33" s="711">
        <f t="shared" si="76"/>
        <v>0.1780930780770055</v>
      </c>
      <c r="CN33" s="711">
        <f t="shared" si="76"/>
        <v>0.19</v>
      </c>
      <c r="CO33" s="711">
        <f t="shared" si="76"/>
        <v>0.18999999999999992</v>
      </c>
      <c r="CP33" s="711">
        <f t="shared" si="76"/>
        <v>0.18999999999999992</v>
      </c>
      <c r="CQ33" s="711">
        <f t="shared" si="76"/>
        <v>0.18999999999999986</v>
      </c>
      <c r="CR33" s="711">
        <f t="shared" si="76"/>
        <v>0.18999999999999986</v>
      </c>
      <c r="CS33" s="711">
        <f t="shared" si="76"/>
        <v>0.19</v>
      </c>
      <c r="CT33" s="711">
        <f t="shared" si="76"/>
        <v>0.18999999999999995</v>
      </c>
      <c r="CU33" s="711">
        <f t="shared" si="76"/>
        <v>0.18999999999999989</v>
      </c>
      <c r="CV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</row>
    <row r="34" spans="1:114" ht="15" customHeight="1" outlineLevel="1">
      <c r="A34" s="88">
        <v>1</v>
      </c>
      <c r="B34" s="1095" t="s">
        <v>56</v>
      </c>
      <c r="C34" s="1117"/>
      <c r="D34" s="313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ref="P34:P46" si="77">SUM(D34:O34)</f>
        <v>0</v>
      </c>
      <c r="Q34" s="90"/>
      <c r="R34" s="313">
        <v>7017.5438596491231</v>
      </c>
      <c r="S34" s="91">
        <v>7017.5438596491231</v>
      </c>
      <c r="T34" s="91">
        <f>7017.54385964912/2</f>
        <v>3508.7719298245602</v>
      </c>
      <c r="U34" s="91">
        <f>96*U7</f>
        <v>96</v>
      </c>
      <c r="V34" s="91">
        <v>3000</v>
      </c>
      <c r="W34" s="91">
        <v>7200</v>
      </c>
      <c r="X34" s="91">
        <v>8500</v>
      </c>
      <c r="Y34" s="91">
        <v>8500</v>
      </c>
      <c r="Z34" s="91">
        <v>8500</v>
      </c>
      <c r="AA34" s="91">
        <v>9000</v>
      </c>
      <c r="AB34" s="91">
        <v>9500</v>
      </c>
      <c r="AC34" s="91">
        <v>8500</v>
      </c>
      <c r="AD34" s="315">
        <f t="shared" ref="AD34:AD48" si="78">SUM(R34:AC34)</f>
        <v>80339.859649122809</v>
      </c>
      <c r="AE34" s="23"/>
      <c r="AF34" s="316">
        <v>8000</v>
      </c>
      <c r="AG34" s="91">
        <v>4000</v>
      </c>
      <c r="AH34" s="91">
        <v>5673</v>
      </c>
      <c r="AI34" s="91">
        <v>4500</v>
      </c>
      <c r="AJ34" s="91">
        <v>7892</v>
      </c>
      <c r="AK34" s="91">
        <v>6400</v>
      </c>
      <c r="AL34" s="91">
        <v>8000</v>
      </c>
      <c r="AM34" s="91">
        <v>8000</v>
      </c>
      <c r="AN34" s="91">
        <v>8000</v>
      </c>
      <c r="AO34" s="91">
        <v>8000</v>
      </c>
      <c r="AP34" s="91">
        <v>8800</v>
      </c>
      <c r="AQ34" s="91">
        <v>6400</v>
      </c>
      <c r="AR34" s="92">
        <f t="shared" ref="AR34:AR52" si="79">SUM(AF34:AQ34)</f>
        <v>83665</v>
      </c>
      <c r="AS34" s="23"/>
      <c r="AT34" s="91">
        <v>4861</v>
      </c>
      <c r="AU34" s="91">
        <v>5809</v>
      </c>
      <c r="AV34" s="91">
        <v>5072</v>
      </c>
      <c r="AW34" s="91">
        <v>4725</v>
      </c>
      <c r="AX34" s="317">
        <v>5832</v>
      </c>
      <c r="AY34" s="317">
        <v>5832</v>
      </c>
      <c r="AZ34" s="317">
        <v>5567</v>
      </c>
      <c r="BA34" s="317">
        <v>5567</v>
      </c>
      <c r="BB34" s="317">
        <v>5832</v>
      </c>
      <c r="BC34" s="317">
        <v>6892</v>
      </c>
      <c r="BD34" s="317">
        <v>7422</v>
      </c>
      <c r="BE34" s="317">
        <v>4241</v>
      </c>
      <c r="BF34" s="91">
        <f t="shared" ref="BF34:BF66" si="80">SUM(AT34:BE34)</f>
        <v>67652</v>
      </c>
      <c r="BG34" s="93">
        <f t="shared" ref="BG34:BG52" si="81">BF34/AR34-1</f>
        <v>-0.19139425088149165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>
        <v>36051</v>
      </c>
      <c r="BU34" s="54"/>
      <c r="BV34" s="91">
        <v>4782.99</v>
      </c>
      <c r="BW34" s="91">
        <v>2945.31</v>
      </c>
      <c r="BX34" s="91">
        <f>'META  EM PEÇAS'!U26-('META  EM PEÇAS'!U26*0.05)</f>
        <v>7080.3689999999997</v>
      </c>
      <c r="BY34" s="91">
        <f>'META  EM PEÇAS'!V26-('META  EM PEÇAS'!V26*0.05)</f>
        <v>4355.6549999999997</v>
      </c>
      <c r="BZ34" s="91">
        <f>'META  EM PEÇAS'!W26-('META  EM PEÇAS'!W26*0.05)</f>
        <v>5839.9349999999995</v>
      </c>
      <c r="CA34" s="91">
        <f>'META  EM PEÇAS'!X26-('META  EM PEÇAS'!X26*0.05)</f>
        <v>5900.8964999999989</v>
      </c>
      <c r="CB34" s="91">
        <f>'META  EM PEÇAS'!Y26-('META  EM PEÇAS'!Y26*0.05)</f>
        <v>5279.7959999999994</v>
      </c>
      <c r="CC34" s="91">
        <f>'META  EM PEÇAS'!Z26-('META  EM PEÇAS'!Z26*0.05)</f>
        <v>4897.2404999999999</v>
      </c>
      <c r="CD34" s="91">
        <f>'META  EM PEÇAS'!AA26-('META  EM PEÇAS'!AA26*0.05)</f>
        <v>5018.28</v>
      </c>
      <c r="CE34" s="91">
        <f>'META  EM PEÇAS'!AB26-('META  EM PEÇAS'!AB26*0.05)</f>
        <v>4641.0254999999997</v>
      </c>
      <c r="CF34" s="91">
        <f>'META  EM PEÇAS'!AC26-('META  EM PEÇAS'!AC26*0.05)</f>
        <v>6521.1134999999995</v>
      </c>
      <c r="CG34" s="91">
        <f>'META  EM PEÇAS'!AD26-('META  EM PEÇAS'!AD26*0.05)</f>
        <v>3929.8079999999995</v>
      </c>
      <c r="CH34" s="91">
        <v>4136.6400000000003</v>
      </c>
      <c r="CJ34" s="91">
        <v>4782.99</v>
      </c>
      <c r="CK34" s="91">
        <v>2945.31</v>
      </c>
      <c r="CL34" s="91">
        <v>7080.3689999999997</v>
      </c>
      <c r="CM34" s="91">
        <v>4355.6549999999997</v>
      </c>
      <c r="CN34" s="91">
        <v>5839.9349999999995</v>
      </c>
      <c r="CO34" s="91">
        <v>5900.8964999999989</v>
      </c>
      <c r="CP34" s="91">
        <v>5279.7959999999994</v>
      </c>
      <c r="CQ34" s="91">
        <v>4897.2404999999999</v>
      </c>
      <c r="CR34" s="91">
        <v>5018.28</v>
      </c>
      <c r="CS34" s="91">
        <v>4641.0254999999997</v>
      </c>
      <c r="CT34" s="91">
        <v>6521.1134999999995</v>
      </c>
      <c r="CU34" s="91">
        <v>3929.8079999999995</v>
      </c>
      <c r="CV34" s="91">
        <v>4136.6400000000003</v>
      </c>
      <c r="CX34" s="91">
        <v>4782.99</v>
      </c>
      <c r="CY34" s="91">
        <v>2945.31</v>
      </c>
      <c r="CZ34" s="91">
        <v>7080.3689999999997</v>
      </c>
      <c r="DA34" s="91">
        <v>4355.6549999999997</v>
      </c>
      <c r="DB34" s="91">
        <v>5839.9349999999995</v>
      </c>
      <c r="DC34" s="91">
        <v>5900.8964999999989</v>
      </c>
      <c r="DD34" s="91">
        <v>5279.7959999999994</v>
      </c>
      <c r="DE34" s="91">
        <v>4897.2404999999999</v>
      </c>
      <c r="DF34" s="91">
        <v>5018.28</v>
      </c>
      <c r="DG34" s="91">
        <v>4641.0254999999997</v>
      </c>
      <c r="DH34" s="91">
        <v>6521.1134999999995</v>
      </c>
      <c r="DI34" s="91">
        <v>3929.8079999999995</v>
      </c>
      <c r="DJ34" s="91">
        <v>4136.6400000000003</v>
      </c>
    </row>
    <row r="35" spans="1:114" ht="15" customHeight="1" outlineLevel="1">
      <c r="A35" s="94">
        <v>2</v>
      </c>
      <c r="B35" s="1092" t="s">
        <v>57</v>
      </c>
      <c r="C35" s="1118"/>
      <c r="D35" s="313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>
        <f t="shared" si="77"/>
        <v>0</v>
      </c>
      <c r="Q35" s="90"/>
      <c r="R35" s="313">
        <v>2909</v>
      </c>
      <c r="S35" s="91">
        <v>2545</v>
      </c>
      <c r="T35" s="91">
        <f>2727/1.2</f>
        <v>2272.5</v>
      </c>
      <c r="U35" s="91">
        <f>2*U7</f>
        <v>2</v>
      </c>
      <c r="V35" s="91">
        <v>500</v>
      </c>
      <c r="W35" s="91">
        <v>1300</v>
      </c>
      <c r="X35" s="91">
        <v>3200</v>
      </c>
      <c r="Y35" s="91">
        <v>3200</v>
      </c>
      <c r="Z35" s="91">
        <v>3600</v>
      </c>
      <c r="AA35" s="91">
        <v>3600</v>
      </c>
      <c r="AB35" s="91">
        <v>3600</v>
      </c>
      <c r="AC35" s="91">
        <v>4500</v>
      </c>
      <c r="AD35" s="315">
        <f t="shared" si="78"/>
        <v>31228.5</v>
      </c>
      <c r="AE35" s="23"/>
      <c r="AF35" s="316">
        <v>4000</v>
      </c>
      <c r="AG35" s="91">
        <v>1500</v>
      </c>
      <c r="AH35" s="91">
        <v>189</v>
      </c>
      <c r="AI35" s="91">
        <v>1842</v>
      </c>
      <c r="AJ35" s="91">
        <v>3764</v>
      </c>
      <c r="AK35" s="91">
        <v>3200</v>
      </c>
      <c r="AL35" s="91">
        <v>6000</v>
      </c>
      <c r="AM35" s="91">
        <v>5000</v>
      </c>
      <c r="AN35" s="91">
        <v>5000</v>
      </c>
      <c r="AO35" s="91">
        <v>5000</v>
      </c>
      <c r="AP35" s="91">
        <v>5000</v>
      </c>
      <c r="AQ35" s="91">
        <v>9000</v>
      </c>
      <c r="AR35" s="92">
        <f t="shared" si="79"/>
        <v>49495</v>
      </c>
      <c r="AS35" s="23"/>
      <c r="AT35" s="91">
        <v>5468</v>
      </c>
      <c r="AU35" s="91">
        <v>5468</v>
      </c>
      <c r="AV35" s="91">
        <v>6249</v>
      </c>
      <c r="AW35" s="91">
        <v>6249</v>
      </c>
      <c r="AX35" s="317">
        <v>3923</v>
      </c>
      <c r="AY35" s="317">
        <v>3923</v>
      </c>
      <c r="AZ35" s="317">
        <v>3745</v>
      </c>
      <c r="BA35" s="317">
        <v>3745</v>
      </c>
      <c r="BB35" s="317">
        <v>3923</v>
      </c>
      <c r="BC35" s="317">
        <v>4636</v>
      </c>
      <c r="BD35" s="317">
        <v>4993</v>
      </c>
      <c r="BE35" s="317">
        <v>7133</v>
      </c>
      <c r="BF35" s="91">
        <f t="shared" si="80"/>
        <v>59455</v>
      </c>
      <c r="BG35" s="93">
        <f t="shared" si="81"/>
        <v>0.20123244772199222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>
        <v>40562</v>
      </c>
      <c r="BU35" s="54"/>
      <c r="BV35" s="91">
        <v>4442.6099999999997</v>
      </c>
      <c r="BW35" s="91">
        <v>3433.56</v>
      </c>
      <c r="BX35" s="91">
        <f>'META  EM PEÇAS'!U27-('META  EM PEÇAS'!U27*0.05)</f>
        <v>3860.0114999999996</v>
      </c>
      <c r="BY35" s="91">
        <f>'META  EM PEÇAS'!V27-('META  EM PEÇAS'!V27*0.05)</f>
        <v>3578.1749999999997</v>
      </c>
      <c r="BZ35" s="91">
        <f>'META  EM PEÇAS'!W27-('META  EM PEÇAS'!W27*0.05)</f>
        <v>4015.5074999999997</v>
      </c>
      <c r="CA35" s="91">
        <f>'META  EM PEÇAS'!X27-('META  EM PEÇAS'!X27*0.05)</f>
        <v>4835.3954999999996</v>
      </c>
      <c r="CB35" s="91">
        <f>'META  EM PEÇAS'!Y27-('META  EM PEÇAS'!Y27*0.05)</f>
        <v>5815.1969999999992</v>
      </c>
      <c r="CC35" s="91">
        <f>'META  EM PEÇAS'!Z27-('META  EM PEÇAS'!Z27*0.05)</f>
        <v>3888.2835</v>
      </c>
      <c r="CD35" s="91">
        <f>'META  EM PEÇAS'!AA27-('META  EM PEÇAS'!AA27*0.05)</f>
        <v>4032.2939999999994</v>
      </c>
      <c r="CE35" s="91">
        <f>'META  EM PEÇAS'!AB27-('META  EM PEÇAS'!AB27*0.05)</f>
        <v>4375.0919999999996</v>
      </c>
      <c r="CF35" s="91">
        <f>'META  EM PEÇAS'!AC27-('META  EM PEÇAS'!AC27*0.05)</f>
        <v>5604.9239999999991</v>
      </c>
      <c r="CG35" s="91">
        <f>'META  EM PEÇAS'!AD27-('META  EM PEÇAS'!AD27*0.05)</f>
        <v>7897.606499999999</v>
      </c>
      <c r="CH35" s="91">
        <f>SUM(BV35:CG35)</f>
        <v>55778.656499999997</v>
      </c>
      <c r="CJ35" s="91">
        <v>4442.6099999999997</v>
      </c>
      <c r="CK35" s="91">
        <v>3433.56</v>
      </c>
      <c r="CL35" s="91">
        <v>3860.0114999999996</v>
      </c>
      <c r="CM35" s="91">
        <v>3578.1749999999997</v>
      </c>
      <c r="CN35" s="91">
        <v>4015.5074999999997</v>
      </c>
      <c r="CO35" s="91">
        <v>4835.3954999999996</v>
      </c>
      <c r="CP35" s="91">
        <v>5815.1969999999992</v>
      </c>
      <c r="CQ35" s="91">
        <v>3888.2835</v>
      </c>
      <c r="CR35" s="91">
        <v>4032.2939999999994</v>
      </c>
      <c r="CS35" s="91">
        <v>4375.0919999999996</v>
      </c>
      <c r="CT35" s="91">
        <v>5604.9239999999991</v>
      </c>
      <c r="CU35" s="91">
        <v>7897.606499999999</v>
      </c>
      <c r="CV35" s="91">
        <v>55778.656499999997</v>
      </c>
      <c r="CX35" s="91">
        <v>4442.6099999999997</v>
      </c>
      <c r="CY35" s="91">
        <v>3433.56</v>
      </c>
      <c r="CZ35" s="91">
        <v>3860.0114999999996</v>
      </c>
      <c r="DA35" s="91">
        <v>3578.1749999999997</v>
      </c>
      <c r="DB35" s="91">
        <v>4015.5074999999997</v>
      </c>
      <c r="DC35" s="91">
        <v>4835.3954999999996</v>
      </c>
      <c r="DD35" s="91">
        <v>5815.1969999999992</v>
      </c>
      <c r="DE35" s="91">
        <v>3888.2835</v>
      </c>
      <c r="DF35" s="91">
        <v>4032.2939999999994</v>
      </c>
      <c r="DG35" s="91">
        <v>4375.0919999999996</v>
      </c>
      <c r="DH35" s="91">
        <v>5604.9239999999991</v>
      </c>
      <c r="DI35" s="91">
        <v>7897.606499999999</v>
      </c>
      <c r="DJ35" s="91">
        <v>55778.656499999997</v>
      </c>
    </row>
    <row r="36" spans="1:114" ht="15" customHeight="1" outlineLevel="1">
      <c r="A36" s="94">
        <v>3</v>
      </c>
      <c r="B36" s="1092" t="s">
        <v>58</v>
      </c>
      <c r="C36" s="1118"/>
      <c r="D36" s="313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>
        <f t="shared" si="77"/>
        <v>0</v>
      </c>
      <c r="Q36" s="90"/>
      <c r="R36" s="313">
        <v>746</v>
      </c>
      <c r="S36" s="91">
        <v>653</v>
      </c>
      <c r="T36" s="91">
        <v>700</v>
      </c>
      <c r="U36" s="91">
        <v>0</v>
      </c>
      <c r="V36" s="91">
        <v>200</v>
      </c>
      <c r="W36" s="91">
        <v>400</v>
      </c>
      <c r="X36" s="91">
        <v>900</v>
      </c>
      <c r="Y36" s="91">
        <v>900</v>
      </c>
      <c r="Z36" s="91">
        <v>900</v>
      </c>
      <c r="AA36" s="91">
        <v>900</v>
      </c>
      <c r="AB36" s="91">
        <v>900</v>
      </c>
      <c r="AC36" s="91">
        <v>1200</v>
      </c>
      <c r="AD36" s="315">
        <f t="shared" si="78"/>
        <v>8399</v>
      </c>
      <c r="AE36" s="23"/>
      <c r="AF36" s="316">
        <v>1800</v>
      </c>
      <c r="AG36" s="91">
        <v>1200</v>
      </c>
      <c r="AH36" s="91">
        <v>230</v>
      </c>
      <c r="AI36" s="91">
        <v>472</v>
      </c>
      <c r="AJ36" s="91">
        <v>1495</v>
      </c>
      <c r="AK36" s="91">
        <v>1200</v>
      </c>
      <c r="AL36" s="91">
        <v>1500</v>
      </c>
      <c r="AM36" s="91">
        <v>1500</v>
      </c>
      <c r="AN36" s="91">
        <v>1500</v>
      </c>
      <c r="AO36" s="91">
        <v>1500</v>
      </c>
      <c r="AP36" s="91">
        <v>1650</v>
      </c>
      <c r="AQ36" s="91">
        <v>2400</v>
      </c>
      <c r="AR36" s="92">
        <f t="shared" si="79"/>
        <v>16447</v>
      </c>
      <c r="AS36" s="23"/>
      <c r="AT36" s="91">
        <v>2438</v>
      </c>
      <c r="AU36" s="91">
        <v>1501</v>
      </c>
      <c r="AV36" s="91">
        <v>1566</v>
      </c>
      <c r="AW36" s="91">
        <v>2127</v>
      </c>
      <c r="AX36" s="317">
        <v>1928</v>
      </c>
      <c r="AY36" s="317">
        <v>1928</v>
      </c>
      <c r="AZ36" s="317">
        <v>1840</v>
      </c>
      <c r="BA36" s="317">
        <v>1840</v>
      </c>
      <c r="BB36" s="317">
        <v>1928</v>
      </c>
      <c r="BC36" s="317">
        <v>2278</v>
      </c>
      <c r="BD36" s="317">
        <v>2454</v>
      </c>
      <c r="BE36" s="317">
        <v>3505</v>
      </c>
      <c r="BF36" s="91">
        <f t="shared" si="80"/>
        <v>25333</v>
      </c>
      <c r="BG36" s="93">
        <f t="shared" si="81"/>
        <v>0.54028090229221126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>
        <v>7784</v>
      </c>
      <c r="BU36" s="54"/>
      <c r="BV36" s="91">
        <v>450.99999999999989</v>
      </c>
      <c r="BW36" s="91">
        <v>348.59999999999991</v>
      </c>
      <c r="BX36" s="91">
        <f>'META  EM PEÇAS'!U28-('META  EM PEÇAS'!U28*0.05)</f>
        <v>391.96999999999991</v>
      </c>
      <c r="BY36" s="91">
        <f>'META  EM PEÇAS'!V28-('META  EM PEÇAS'!V28*0.05)</f>
        <v>363.27999999999992</v>
      </c>
      <c r="BZ36" s="91">
        <f>'META  EM PEÇAS'!W28-('META  EM PEÇAS'!W28*0.05)</f>
        <v>407.5499999999999</v>
      </c>
      <c r="CA36" s="91">
        <f>'META  EM PEÇAS'!X28-('META  EM PEÇAS'!X28*0.05)</f>
        <v>490.76999999999992</v>
      </c>
      <c r="CB36" s="91">
        <f>'META  EM PEÇAS'!Y28-('META  EM PEÇAS'!Y28*0.05)</f>
        <v>590.32999999999993</v>
      </c>
      <c r="CC36" s="91">
        <f>'META  EM PEÇAS'!Z28-('META  EM PEÇAS'!Z28*0.05)</f>
        <v>394.62999999999994</v>
      </c>
      <c r="CD36" s="91">
        <f>'META  EM PEÇAS'!AA28-('META  EM PEÇAS'!AA28*0.05)</f>
        <v>409.25999999999988</v>
      </c>
      <c r="CE36" s="91">
        <f>'META  EM PEÇAS'!AB28-('META  EM PEÇAS'!AB28*0.05)</f>
        <v>444.21999999999991</v>
      </c>
      <c r="CF36" s="91">
        <f>'META  EM PEÇAS'!AC28-('META  EM PEÇAS'!AC28*0.05)</f>
        <v>569.04999999999984</v>
      </c>
      <c r="CG36" s="91">
        <f>'META  EM PEÇAS'!AD28-('META  EM PEÇAS'!AD28*0.05)</f>
        <v>801.79999999999973</v>
      </c>
      <c r="CH36" s="91">
        <f t="shared" ref="CH36:CH49" si="82">SUM(BV36:CG36)</f>
        <v>5662.4599999999991</v>
      </c>
      <c r="CJ36" s="91">
        <v>450.99999999999989</v>
      </c>
      <c r="CK36" s="91">
        <v>348.59999999999991</v>
      </c>
      <c r="CL36" s="91">
        <v>391.96999999999991</v>
      </c>
      <c r="CM36" s="91">
        <v>363.27999999999992</v>
      </c>
      <c r="CN36" s="91">
        <v>407.5499999999999</v>
      </c>
      <c r="CO36" s="91">
        <v>490.76999999999992</v>
      </c>
      <c r="CP36" s="91">
        <v>590.32999999999993</v>
      </c>
      <c r="CQ36" s="91">
        <v>394.62999999999994</v>
      </c>
      <c r="CR36" s="91">
        <v>409.25999999999988</v>
      </c>
      <c r="CS36" s="91">
        <v>444.21999999999991</v>
      </c>
      <c r="CT36" s="91">
        <v>569.04999999999984</v>
      </c>
      <c r="CU36" s="91">
        <v>801.79999999999973</v>
      </c>
      <c r="CV36" s="91">
        <v>5662.4599999999991</v>
      </c>
      <c r="CX36" s="91">
        <v>450.99999999999989</v>
      </c>
      <c r="CY36" s="91">
        <v>348.59999999999991</v>
      </c>
      <c r="CZ36" s="91">
        <v>391.96999999999991</v>
      </c>
      <c r="DA36" s="91">
        <v>363.27999999999992</v>
      </c>
      <c r="DB36" s="91">
        <v>407.5499999999999</v>
      </c>
      <c r="DC36" s="91">
        <v>490.76999999999992</v>
      </c>
      <c r="DD36" s="91">
        <v>590.32999999999993</v>
      </c>
      <c r="DE36" s="91">
        <v>394.62999999999994</v>
      </c>
      <c r="DF36" s="91">
        <v>409.25999999999988</v>
      </c>
      <c r="DG36" s="91">
        <v>444.21999999999991</v>
      </c>
      <c r="DH36" s="91">
        <v>569.04999999999984</v>
      </c>
      <c r="DI36" s="91">
        <v>801.79999999999973</v>
      </c>
      <c r="DJ36" s="91">
        <v>5662.4599999999991</v>
      </c>
    </row>
    <row r="37" spans="1:114" ht="15" customHeight="1" outlineLevel="1">
      <c r="A37" s="94">
        <v>4</v>
      </c>
      <c r="B37" s="1092" t="s">
        <v>59</v>
      </c>
      <c r="C37" s="1118"/>
      <c r="D37" s="313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>
        <f t="shared" si="77"/>
        <v>0</v>
      </c>
      <c r="Q37" s="90"/>
      <c r="R37" s="313">
        <v>1455</v>
      </c>
      <c r="S37" s="91">
        <f>2036</f>
        <v>2036</v>
      </c>
      <c r="T37" s="91">
        <f>2182/2</f>
        <v>1091</v>
      </c>
      <c r="U37" s="91">
        <v>0</v>
      </c>
      <c r="V37" s="91">
        <v>200</v>
      </c>
      <c r="W37" s="91">
        <v>900</v>
      </c>
      <c r="X37" s="91">
        <v>1600</v>
      </c>
      <c r="Y37" s="91">
        <v>1600</v>
      </c>
      <c r="Z37" s="91">
        <v>1600</v>
      </c>
      <c r="AA37" s="91">
        <v>1600</v>
      </c>
      <c r="AB37" s="91">
        <v>2200</v>
      </c>
      <c r="AC37" s="91">
        <v>2500</v>
      </c>
      <c r="AD37" s="315">
        <f t="shared" si="78"/>
        <v>16782</v>
      </c>
      <c r="AE37" s="23"/>
      <c r="AF37" s="316">
        <v>2200</v>
      </c>
      <c r="AG37" s="91">
        <v>1500</v>
      </c>
      <c r="AH37" s="91">
        <v>121</v>
      </c>
      <c r="AI37" s="91">
        <v>565</v>
      </c>
      <c r="AJ37" s="91">
        <v>1514</v>
      </c>
      <c r="AK37" s="91">
        <v>1760</v>
      </c>
      <c r="AL37" s="91">
        <v>1800</v>
      </c>
      <c r="AM37" s="91">
        <v>2200</v>
      </c>
      <c r="AN37" s="91">
        <v>2200</v>
      </c>
      <c r="AO37" s="91">
        <v>2200</v>
      </c>
      <c r="AP37" s="91">
        <v>2420</v>
      </c>
      <c r="AQ37" s="91">
        <v>3520</v>
      </c>
      <c r="AR37" s="92">
        <f t="shared" si="79"/>
        <v>22000</v>
      </c>
      <c r="AS37" s="23"/>
      <c r="AT37" s="91">
        <v>1529</v>
      </c>
      <c r="AU37" s="91">
        <v>1516</v>
      </c>
      <c r="AV37" s="91">
        <v>1586</v>
      </c>
      <c r="AW37" s="91">
        <v>1979</v>
      </c>
      <c r="AX37" s="317">
        <v>1283</v>
      </c>
      <c r="AY37" s="317">
        <v>1283</v>
      </c>
      <c r="AZ37" s="317">
        <v>1224</v>
      </c>
      <c r="BA37" s="317">
        <v>1224</v>
      </c>
      <c r="BB37" s="317">
        <v>1283</v>
      </c>
      <c r="BC37" s="317">
        <v>1516</v>
      </c>
      <c r="BD37" s="317">
        <v>1632</v>
      </c>
      <c r="BE37" s="317">
        <v>2332</v>
      </c>
      <c r="BF37" s="91">
        <f t="shared" si="80"/>
        <v>18387</v>
      </c>
      <c r="BG37" s="93">
        <f t="shared" si="81"/>
        <v>-0.16422727272727278</v>
      </c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>
        <v>9018</v>
      </c>
      <c r="BU37" s="54"/>
      <c r="BV37" s="91">
        <v>1143.8999999999999</v>
      </c>
      <c r="BW37" s="91">
        <v>884.43</v>
      </c>
      <c r="BX37" s="91">
        <f>'META  EM PEÇAS'!U29-('META  EM PEÇAS'!U29*0.05)</f>
        <v>993.9375</v>
      </c>
      <c r="BY37" s="91">
        <f>'META  EM PEÇAS'!V29-('META  EM PEÇAS'!V29*0.05)</f>
        <v>921.49049999999988</v>
      </c>
      <c r="BZ37" s="91">
        <f>'META  EM PEÇAS'!W29-('META  EM PEÇAS'!W29*0.05)</f>
        <v>1033.6949999999999</v>
      </c>
      <c r="CA37" s="91">
        <f>'META  EM PEÇAS'!X29-('META  EM PEÇAS'!X29*0.05)</f>
        <v>1244.8515</v>
      </c>
      <c r="CB37" s="91">
        <f>'META  EM PEÇAS'!Y29-('META  EM PEÇAS'!Y29*0.05)</f>
        <v>1497.5324999999998</v>
      </c>
      <c r="CC37" s="91">
        <f>'META  EM PEÇAS'!Z29-('META  EM PEÇAS'!Z29*0.05)</f>
        <v>1001.0054999999999</v>
      </c>
      <c r="CD37" s="91">
        <f>'META  EM PEÇAS'!AA29-('META  EM PEÇAS'!AA29*0.05)</f>
        <v>1038.1125</v>
      </c>
      <c r="CE37" s="91">
        <f>'META  EM PEÇAS'!AB29-('META  EM PEÇAS'!AB29*0.05)</f>
        <v>1126.4625000000001</v>
      </c>
      <c r="CF37" s="91">
        <f>'META  EM PEÇAS'!AC29-('META  EM PEÇAS'!AC29*0.05)</f>
        <v>1443.6389999999999</v>
      </c>
      <c r="CG37" s="91">
        <f>'META  EM PEÇAS'!AD29-('META  EM PEÇAS'!AD29*0.05)</f>
        <v>2033.8169999999998</v>
      </c>
      <c r="CH37" s="91">
        <f t="shared" si="82"/>
        <v>14362.873499999996</v>
      </c>
      <c r="CJ37" s="91">
        <v>1143.8999999999999</v>
      </c>
      <c r="CK37" s="91">
        <v>884.43</v>
      </c>
      <c r="CL37" s="91">
        <v>993.9375</v>
      </c>
      <c r="CM37" s="91">
        <v>921.49049999999988</v>
      </c>
      <c r="CN37" s="91">
        <v>1033.6949999999999</v>
      </c>
      <c r="CO37" s="91">
        <v>1244.8515</v>
      </c>
      <c r="CP37" s="91">
        <v>1497.5324999999998</v>
      </c>
      <c r="CQ37" s="91">
        <v>1001.0054999999999</v>
      </c>
      <c r="CR37" s="91">
        <v>1038.1125</v>
      </c>
      <c r="CS37" s="91">
        <v>1126.4625000000001</v>
      </c>
      <c r="CT37" s="91">
        <v>1443.6389999999999</v>
      </c>
      <c r="CU37" s="91">
        <v>2033.8169999999998</v>
      </c>
      <c r="CV37" s="91">
        <v>14362.873499999996</v>
      </c>
      <c r="CX37" s="91">
        <v>1143.8999999999999</v>
      </c>
      <c r="CY37" s="91">
        <v>884.43</v>
      </c>
      <c r="CZ37" s="91">
        <v>993.9375</v>
      </c>
      <c r="DA37" s="91">
        <v>921.49049999999988</v>
      </c>
      <c r="DB37" s="91">
        <v>1033.6949999999999</v>
      </c>
      <c r="DC37" s="91">
        <v>1244.8515</v>
      </c>
      <c r="DD37" s="91">
        <v>1497.5324999999998</v>
      </c>
      <c r="DE37" s="91">
        <v>1001.0054999999999</v>
      </c>
      <c r="DF37" s="91">
        <v>1038.1125</v>
      </c>
      <c r="DG37" s="91">
        <v>1126.4625000000001</v>
      </c>
      <c r="DH37" s="91">
        <v>1443.6389999999999</v>
      </c>
      <c r="DI37" s="91">
        <v>2033.8169999999998</v>
      </c>
      <c r="DJ37" s="91">
        <v>14362.873499999996</v>
      </c>
    </row>
    <row r="38" spans="1:114" ht="15" customHeight="1" outlineLevel="1">
      <c r="A38" s="94">
        <v>5</v>
      </c>
      <c r="B38" s="1092" t="s">
        <v>60</v>
      </c>
      <c r="C38" s="1118"/>
      <c r="D38" s="313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>
        <f t="shared" si="77"/>
        <v>0</v>
      </c>
      <c r="Q38" s="90"/>
      <c r="R38" s="313">
        <v>1353</v>
      </c>
      <c r="S38" s="91">
        <v>1184</v>
      </c>
      <c r="T38" s="91">
        <v>1268</v>
      </c>
      <c r="U38" s="91">
        <f t="shared" ref="U38:V38" si="83">10*U7</f>
        <v>10</v>
      </c>
      <c r="V38" s="91">
        <f t="shared" si="83"/>
        <v>120</v>
      </c>
      <c r="W38" s="91">
        <v>600</v>
      </c>
      <c r="X38" s="91">
        <v>1600</v>
      </c>
      <c r="Y38" s="91">
        <v>1600</v>
      </c>
      <c r="Z38" s="91">
        <v>1600</v>
      </c>
      <c r="AA38" s="91">
        <v>1600</v>
      </c>
      <c r="AB38" s="91">
        <v>1600</v>
      </c>
      <c r="AC38" s="91">
        <v>2200</v>
      </c>
      <c r="AD38" s="315">
        <f t="shared" si="78"/>
        <v>14735</v>
      </c>
      <c r="AE38" s="23"/>
      <c r="AF38" s="316">
        <v>1800</v>
      </c>
      <c r="AG38" s="91">
        <v>1200</v>
      </c>
      <c r="AH38" s="91">
        <v>181</v>
      </c>
      <c r="AI38" s="91">
        <v>628</v>
      </c>
      <c r="AJ38" s="91">
        <v>1169</v>
      </c>
      <c r="AK38" s="91">
        <v>960</v>
      </c>
      <c r="AL38" s="91">
        <v>1500</v>
      </c>
      <c r="AM38" s="91">
        <v>1200</v>
      </c>
      <c r="AN38" s="91">
        <v>1200</v>
      </c>
      <c r="AO38" s="91">
        <v>1200</v>
      </c>
      <c r="AP38" s="91">
        <v>1320</v>
      </c>
      <c r="AQ38" s="91">
        <v>1920</v>
      </c>
      <c r="AR38" s="92">
        <f t="shared" si="79"/>
        <v>14278</v>
      </c>
      <c r="AS38" s="23"/>
      <c r="AT38" s="91">
        <v>1496</v>
      </c>
      <c r="AU38" s="91">
        <v>1200</v>
      </c>
      <c r="AV38" s="91">
        <v>1227</v>
      </c>
      <c r="AW38" s="91">
        <v>1655</v>
      </c>
      <c r="AX38" s="317">
        <v>1141</v>
      </c>
      <c r="AY38" s="317">
        <v>1141</v>
      </c>
      <c r="AZ38" s="317">
        <v>1089</v>
      </c>
      <c r="BA38" s="317">
        <v>1089</v>
      </c>
      <c r="BB38" s="317">
        <v>1141</v>
      </c>
      <c r="BC38" s="317">
        <v>1349</v>
      </c>
      <c r="BD38" s="317">
        <v>1453</v>
      </c>
      <c r="BE38" s="317">
        <v>2075</v>
      </c>
      <c r="BF38" s="91">
        <f t="shared" si="80"/>
        <v>16056</v>
      </c>
      <c r="BG38" s="93">
        <f t="shared" si="81"/>
        <v>0.1245272447121446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>
        <v>10591</v>
      </c>
      <c r="BU38" s="54"/>
      <c r="BV38" s="91">
        <v>1474.9799999999998</v>
      </c>
      <c r="BW38" s="91">
        <v>1140.1799999999998</v>
      </c>
      <c r="BX38" s="91">
        <f>'META  EM PEÇAS'!U30-('META  EM PEÇAS'!U30*0.05)</f>
        <v>1281.9584999999997</v>
      </c>
      <c r="BY38" s="91">
        <f>'META  EM PEÇAS'!V30-('META  EM PEÇAS'!V30*0.05)</f>
        <v>1188.3074999999999</v>
      </c>
      <c r="BZ38" s="91">
        <f>'META  EM PEÇAS'!W30-('META  EM PEÇAS'!W30*0.05)</f>
        <v>1333.2014999999999</v>
      </c>
      <c r="CA38" s="91">
        <f>'META  EM PEÇAS'!X30-('META  EM PEÇAS'!X30*0.05)</f>
        <v>1606.2029999999997</v>
      </c>
      <c r="CB38" s="91">
        <f>'META  EM PEÇAS'!Y30-('META  EM PEÇAS'!Y30*0.05)</f>
        <v>1931.3309999999997</v>
      </c>
      <c r="CC38" s="91">
        <f>'META  EM PEÇAS'!Z30-('META  EM PEÇAS'!Z30*0.05)</f>
        <v>1291.6769999999999</v>
      </c>
      <c r="CD38" s="91">
        <f>'META  EM PEÇAS'!AA30-('META  EM PEÇAS'!AA30*0.05)</f>
        <v>1339.386</v>
      </c>
      <c r="CE38" s="91">
        <f>'META  EM PEÇAS'!AB30-('META  EM PEÇAS'!AB30*0.05)</f>
        <v>1453.3574999999998</v>
      </c>
      <c r="CF38" s="91">
        <f>'META  EM PEÇAS'!AC30-('META  EM PEÇAS'!AC30*0.05)</f>
        <v>1861.5344999999998</v>
      </c>
      <c r="CG38" s="91">
        <f>'META  EM PEÇAS'!AD30-('META  EM PEÇAS'!AD30*0.05)</f>
        <v>2623.1114999999995</v>
      </c>
      <c r="CH38" s="91">
        <f t="shared" si="82"/>
        <v>18525.227999999999</v>
      </c>
      <c r="CI38" s="450"/>
      <c r="CJ38" s="91">
        <v>1474.9799999999998</v>
      </c>
      <c r="CK38" s="91">
        <v>1140.1799999999998</v>
      </c>
      <c r="CL38" s="91">
        <v>1281.9584999999997</v>
      </c>
      <c r="CM38" s="91">
        <v>1188.3074999999999</v>
      </c>
      <c r="CN38" s="91">
        <v>1333.2014999999999</v>
      </c>
      <c r="CO38" s="91">
        <v>1606.2029999999997</v>
      </c>
      <c r="CP38" s="91">
        <v>1931.3309999999997</v>
      </c>
      <c r="CQ38" s="91">
        <v>1291.6769999999999</v>
      </c>
      <c r="CR38" s="91">
        <v>1339.386</v>
      </c>
      <c r="CS38" s="91">
        <v>1453.3574999999998</v>
      </c>
      <c r="CT38" s="91">
        <v>1861.5344999999998</v>
      </c>
      <c r="CU38" s="91">
        <v>2623.1114999999995</v>
      </c>
      <c r="CV38" s="91">
        <v>18525.227999999999</v>
      </c>
      <c r="CW38" s="450"/>
      <c r="CX38" s="91">
        <v>1474.9799999999998</v>
      </c>
      <c r="CY38" s="91">
        <v>1140.1799999999998</v>
      </c>
      <c r="CZ38" s="91">
        <v>1281.9584999999997</v>
      </c>
      <c r="DA38" s="91">
        <v>1188.3074999999999</v>
      </c>
      <c r="DB38" s="91">
        <v>1333.2014999999999</v>
      </c>
      <c r="DC38" s="91">
        <v>1606.2029999999997</v>
      </c>
      <c r="DD38" s="91">
        <v>1931.3309999999997</v>
      </c>
      <c r="DE38" s="91">
        <v>1291.6769999999999</v>
      </c>
      <c r="DF38" s="91">
        <v>1339.386</v>
      </c>
      <c r="DG38" s="91">
        <v>1453.3574999999998</v>
      </c>
      <c r="DH38" s="91">
        <v>1861.5344999999998</v>
      </c>
      <c r="DI38" s="91">
        <v>2623.1114999999995</v>
      </c>
      <c r="DJ38" s="91">
        <v>18525.227999999999</v>
      </c>
    </row>
    <row r="39" spans="1:114" ht="15" customHeight="1" outlineLevel="1">
      <c r="A39" s="94">
        <v>6</v>
      </c>
      <c r="B39" s="1092" t="s">
        <v>61</v>
      </c>
      <c r="C39" s="1118"/>
      <c r="D39" s="313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314">
        <f t="shared" si="77"/>
        <v>0</v>
      </c>
      <c r="Q39" s="90"/>
      <c r="R39" s="313">
        <v>1455</v>
      </c>
      <c r="S39" s="91">
        <v>1273</v>
      </c>
      <c r="T39" s="91">
        <v>1364</v>
      </c>
      <c r="U39" s="91">
        <v>0</v>
      </c>
      <c r="V39" s="91">
        <v>200</v>
      </c>
      <c r="W39" s="91">
        <v>800</v>
      </c>
      <c r="X39" s="91">
        <v>1600</v>
      </c>
      <c r="Y39" s="91">
        <v>1600</v>
      </c>
      <c r="Z39" s="91">
        <v>1600</v>
      </c>
      <c r="AA39" s="91">
        <v>1600</v>
      </c>
      <c r="AB39" s="91">
        <v>1800</v>
      </c>
      <c r="AC39" s="91">
        <v>2400</v>
      </c>
      <c r="AD39" s="315">
        <f t="shared" si="78"/>
        <v>15692</v>
      </c>
      <c r="AE39" s="23"/>
      <c r="AF39" s="316">
        <v>1500</v>
      </c>
      <c r="AG39" s="91">
        <v>1200</v>
      </c>
      <c r="AH39" s="91">
        <v>127</v>
      </c>
      <c r="AI39" s="91">
        <v>426</v>
      </c>
      <c r="AJ39" s="91">
        <v>1063</v>
      </c>
      <c r="AK39" s="91">
        <v>960</v>
      </c>
      <c r="AL39" s="91">
        <v>1500</v>
      </c>
      <c r="AM39" s="91">
        <v>1200</v>
      </c>
      <c r="AN39" s="91">
        <v>1200</v>
      </c>
      <c r="AO39" s="91">
        <v>1200</v>
      </c>
      <c r="AP39" s="91">
        <v>1320</v>
      </c>
      <c r="AQ39" s="91">
        <v>1920</v>
      </c>
      <c r="AR39" s="92">
        <f t="shared" si="79"/>
        <v>13616</v>
      </c>
      <c r="AS39" s="23"/>
      <c r="AT39" s="91">
        <v>1222</v>
      </c>
      <c r="AU39" s="91">
        <v>1200</v>
      </c>
      <c r="AV39" s="91">
        <v>1117</v>
      </c>
      <c r="AW39" s="91">
        <v>1463</v>
      </c>
      <c r="AX39" s="317">
        <v>1087</v>
      </c>
      <c r="AY39" s="317">
        <v>1087</v>
      </c>
      <c r="AZ39" s="317">
        <v>1038</v>
      </c>
      <c r="BA39" s="317">
        <v>1038</v>
      </c>
      <c r="BB39" s="317">
        <v>1087</v>
      </c>
      <c r="BC39" s="317">
        <v>1285</v>
      </c>
      <c r="BD39" s="317">
        <v>1384</v>
      </c>
      <c r="BE39" s="317">
        <v>1977</v>
      </c>
      <c r="BF39" s="91">
        <f t="shared" si="80"/>
        <v>14985</v>
      </c>
      <c r="BG39" s="93">
        <f t="shared" si="81"/>
        <v>0.10054347826086962</v>
      </c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>
        <v>10087</v>
      </c>
      <c r="BU39" s="54"/>
      <c r="BV39" s="91">
        <v>1214.58</v>
      </c>
      <c r="BW39" s="91">
        <v>939.3</v>
      </c>
      <c r="BX39" s="91">
        <f>'META  EM PEÇAS'!U31-('META  EM PEÇAS'!U31*0.05)</f>
        <v>1055.7824999999998</v>
      </c>
      <c r="BY39" s="91">
        <f>'META  EM PEÇAS'!V31-('META  EM PEÇAS'!V31*0.05)</f>
        <v>978.03449999999998</v>
      </c>
      <c r="BZ39" s="91">
        <f>'META  EM PEÇAS'!W31-('META  EM PEÇAS'!W31*0.05)</f>
        <v>1098.1904999999999</v>
      </c>
      <c r="CA39" s="91">
        <f>'META  EM PEÇAS'!X31-('META  EM PEÇAS'!X31*0.05)</f>
        <v>1322.5994999999998</v>
      </c>
      <c r="CB39" s="91">
        <f>'META  EM PEÇAS'!Y31-('META  EM PEÇAS'!Y31*0.05)</f>
        <v>1590.3</v>
      </c>
      <c r="CC39" s="91">
        <f>'META  EM PEÇAS'!Z31-('META  EM PEÇAS'!Z31*0.05)</f>
        <v>1062.8505</v>
      </c>
      <c r="CD39" s="91">
        <f>'META  EM PEÇAS'!AA31-('META  EM PEÇAS'!AA31*0.05)</f>
        <v>1102.6079999999999</v>
      </c>
      <c r="CE39" s="91">
        <f>'META  EM PEÇAS'!AB31-('META  EM PEÇAS'!AB31*0.05)</f>
        <v>1196.259</v>
      </c>
      <c r="CF39" s="91">
        <f>'META  EM PEÇAS'!AC31-('META  EM PEÇAS'!AC31*0.05)</f>
        <v>1532.8724999999999</v>
      </c>
      <c r="CG39" s="91">
        <f>'META  EM PEÇAS'!AD31-('META  EM PEÇAS'!AD31*0.05)</f>
        <v>2160.1574999999998</v>
      </c>
      <c r="CH39" s="91">
        <f t="shared" si="82"/>
        <v>15253.534499999998</v>
      </c>
      <c r="CJ39" s="91">
        <v>1214.58</v>
      </c>
      <c r="CK39" s="91">
        <v>939.3</v>
      </c>
      <c r="CL39" s="91">
        <v>1055.7824999999998</v>
      </c>
      <c r="CM39" s="91">
        <v>978.03449999999998</v>
      </c>
      <c r="CN39" s="91">
        <v>1098.1904999999999</v>
      </c>
      <c r="CO39" s="91">
        <v>1322.5994999999998</v>
      </c>
      <c r="CP39" s="91">
        <v>1590.3</v>
      </c>
      <c r="CQ39" s="91">
        <v>1062.8505</v>
      </c>
      <c r="CR39" s="91">
        <v>1102.6079999999999</v>
      </c>
      <c r="CS39" s="91">
        <v>1196.259</v>
      </c>
      <c r="CT39" s="91">
        <v>1532.8724999999999</v>
      </c>
      <c r="CU39" s="91">
        <v>2160.1574999999998</v>
      </c>
      <c r="CV39" s="91">
        <v>15253.534499999998</v>
      </c>
      <c r="CX39" s="91">
        <v>1214.58</v>
      </c>
      <c r="CY39" s="91">
        <v>939.3</v>
      </c>
      <c r="CZ39" s="91">
        <v>1055.7824999999998</v>
      </c>
      <c r="DA39" s="91">
        <v>978.03449999999998</v>
      </c>
      <c r="DB39" s="91">
        <v>1098.1904999999999</v>
      </c>
      <c r="DC39" s="91">
        <v>1322.5994999999998</v>
      </c>
      <c r="DD39" s="91">
        <v>1590.3</v>
      </c>
      <c r="DE39" s="91">
        <v>1062.8505</v>
      </c>
      <c r="DF39" s="91">
        <v>1102.6079999999999</v>
      </c>
      <c r="DG39" s="91">
        <v>1196.259</v>
      </c>
      <c r="DH39" s="91">
        <v>1532.8724999999999</v>
      </c>
      <c r="DI39" s="91">
        <v>2160.1574999999998</v>
      </c>
      <c r="DJ39" s="91">
        <v>15253.534499999998</v>
      </c>
    </row>
    <row r="40" spans="1:114" ht="15" customHeight="1" outlineLevel="1">
      <c r="A40" s="94">
        <v>7</v>
      </c>
      <c r="B40" s="1092" t="s">
        <v>62</v>
      </c>
      <c r="C40" s="1118"/>
      <c r="D40" s="313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314">
        <f t="shared" si="77"/>
        <v>0</v>
      </c>
      <c r="Q40" s="90"/>
      <c r="R40" s="313">
        <v>2000</v>
      </c>
      <c r="S40" s="91">
        <f>2182</f>
        <v>2182</v>
      </c>
      <c r="T40" s="91">
        <f>2455/2</f>
        <v>1227.5</v>
      </c>
      <c r="U40" s="91">
        <f>4*U7</f>
        <v>4</v>
      </c>
      <c r="V40" s="91">
        <v>200</v>
      </c>
      <c r="W40" s="91">
        <v>700</v>
      </c>
      <c r="X40" s="91">
        <v>1600</v>
      </c>
      <c r="Y40" s="91">
        <v>1600</v>
      </c>
      <c r="Z40" s="91">
        <v>1600</v>
      </c>
      <c r="AA40" s="91">
        <v>1600</v>
      </c>
      <c r="AB40" s="91">
        <v>2500</v>
      </c>
      <c r="AC40" s="91">
        <v>3200</v>
      </c>
      <c r="AD40" s="315">
        <f t="shared" si="78"/>
        <v>18413.5</v>
      </c>
      <c r="AE40" s="23"/>
      <c r="AF40" s="316">
        <v>2600</v>
      </c>
      <c r="AG40" s="91">
        <v>1000</v>
      </c>
      <c r="AH40" s="91">
        <v>195</v>
      </c>
      <c r="AI40" s="91">
        <v>844</v>
      </c>
      <c r="AJ40" s="91">
        <v>1973</v>
      </c>
      <c r="AK40" s="91">
        <v>1840</v>
      </c>
      <c r="AL40" s="91">
        <v>2000</v>
      </c>
      <c r="AM40" s="91">
        <v>2300</v>
      </c>
      <c r="AN40" s="91">
        <v>2300</v>
      </c>
      <c r="AO40" s="91">
        <v>2300</v>
      </c>
      <c r="AP40" s="91">
        <v>2530</v>
      </c>
      <c r="AQ40" s="91">
        <v>3680</v>
      </c>
      <c r="AR40" s="92">
        <f t="shared" si="79"/>
        <v>23562</v>
      </c>
      <c r="AS40" s="23"/>
      <c r="AT40" s="91">
        <v>1888</v>
      </c>
      <c r="AU40" s="91">
        <v>1414</v>
      </c>
      <c r="AV40" s="91">
        <v>2073</v>
      </c>
      <c r="AW40" s="91">
        <v>2338</v>
      </c>
      <c r="AX40" s="317">
        <v>1857</v>
      </c>
      <c r="AY40" s="317">
        <v>1857</v>
      </c>
      <c r="AZ40" s="317">
        <v>1772</v>
      </c>
      <c r="BA40" s="317">
        <v>1772</v>
      </c>
      <c r="BB40" s="317">
        <v>1857</v>
      </c>
      <c r="BC40" s="317">
        <v>2194</v>
      </c>
      <c r="BD40" s="317">
        <v>2363</v>
      </c>
      <c r="BE40" s="317">
        <v>3376</v>
      </c>
      <c r="BF40" s="91">
        <f t="shared" si="80"/>
        <v>24761</v>
      </c>
      <c r="BG40" s="93">
        <f t="shared" si="81"/>
        <v>5.0887021475256811E-2</v>
      </c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>
        <v>22941</v>
      </c>
      <c r="BU40" s="54"/>
      <c r="BV40" s="91">
        <v>3211.29</v>
      </c>
      <c r="BW40" s="91">
        <v>2482.1699999999996</v>
      </c>
      <c r="BX40" s="91">
        <f>'META  EM PEÇAS'!U32-('META  EM PEÇAS'!U32*0.05)</f>
        <v>2790.0929999999998</v>
      </c>
      <c r="BY40" s="91">
        <f>'META  EM PEÇAS'!V32-('META  EM PEÇAS'!V32*0.05)</f>
        <v>2586.0044999999996</v>
      </c>
      <c r="BZ40" s="91">
        <f>'META  EM PEÇAS'!W32-('META  EM PEÇAS'!W32*0.05)</f>
        <v>2902.2974999999997</v>
      </c>
      <c r="CA40" s="91">
        <f>'META  EM PEÇAS'!X32-('META  EM PEÇAS'!X32*0.05)</f>
        <v>3495.1259999999997</v>
      </c>
      <c r="CB40" s="91">
        <f>'META  EM PEÇAS'!Y32-('META  EM PEÇAS'!Y32*0.05)</f>
        <v>4203.6929999999993</v>
      </c>
      <c r="CC40" s="91">
        <f>'META  EM PEÇAS'!Z32-('META  EM PEÇAS'!Z32*0.05)</f>
        <v>2810.4135000000001</v>
      </c>
      <c r="CD40" s="91">
        <f>'META  EM PEÇAS'!AA32-('META  EM PEÇAS'!AA32*0.05)</f>
        <v>2914.6664999999998</v>
      </c>
      <c r="CE40" s="91">
        <f>'META  EM PEÇAS'!AB32-('META  EM PEÇAS'!AB32*0.05)</f>
        <v>3162.93</v>
      </c>
      <c r="CF40" s="91">
        <f>'META  EM PEÇAS'!AC32-('META  EM PEÇAS'!AC32*0.05)</f>
        <v>4051.7309999999998</v>
      </c>
      <c r="CG40" s="91">
        <f>'META  EM PEÇAS'!AD32-('META  EM PEÇAS'!AD32*0.05)</f>
        <v>5709.1769999999997</v>
      </c>
      <c r="CH40" s="91">
        <f t="shared" si="82"/>
        <v>40319.59199999999</v>
      </c>
      <c r="CJ40" s="91">
        <v>3211.29</v>
      </c>
      <c r="CK40" s="91">
        <v>2482.1699999999996</v>
      </c>
      <c r="CL40" s="91">
        <v>2790.0929999999998</v>
      </c>
      <c r="CM40" s="91">
        <v>2586.0044999999996</v>
      </c>
      <c r="CN40" s="91">
        <v>2902.2974999999997</v>
      </c>
      <c r="CO40" s="91">
        <v>3495.1259999999997</v>
      </c>
      <c r="CP40" s="91">
        <v>4203.6929999999993</v>
      </c>
      <c r="CQ40" s="91">
        <v>2810.4135000000001</v>
      </c>
      <c r="CR40" s="91">
        <v>2914.6664999999998</v>
      </c>
      <c r="CS40" s="91">
        <v>3162.93</v>
      </c>
      <c r="CT40" s="91">
        <v>4051.7309999999998</v>
      </c>
      <c r="CU40" s="91">
        <v>5709.1769999999997</v>
      </c>
      <c r="CV40" s="91">
        <v>40319.59199999999</v>
      </c>
      <c r="CX40" s="91">
        <v>3211.29</v>
      </c>
      <c r="CY40" s="91">
        <v>2482.1699999999996</v>
      </c>
      <c r="CZ40" s="91">
        <v>2790.0929999999998</v>
      </c>
      <c r="DA40" s="91">
        <v>2586.0044999999996</v>
      </c>
      <c r="DB40" s="91">
        <v>2902.2974999999997</v>
      </c>
      <c r="DC40" s="91">
        <v>3495.1259999999997</v>
      </c>
      <c r="DD40" s="91">
        <v>4203.6929999999993</v>
      </c>
      <c r="DE40" s="91">
        <v>2810.4135000000001</v>
      </c>
      <c r="DF40" s="91">
        <v>2914.6664999999998</v>
      </c>
      <c r="DG40" s="91">
        <v>3162.93</v>
      </c>
      <c r="DH40" s="91">
        <v>4051.7309999999998</v>
      </c>
      <c r="DI40" s="91">
        <v>5709.1769999999997</v>
      </c>
      <c r="DJ40" s="91">
        <v>40319.59199999999</v>
      </c>
    </row>
    <row r="41" spans="1:114" ht="15" customHeight="1" outlineLevel="1">
      <c r="A41" s="94">
        <v>9</v>
      </c>
      <c r="B41" s="1092" t="s">
        <v>63</v>
      </c>
      <c r="C41" s="1118"/>
      <c r="D41" s="313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314">
        <f t="shared" si="77"/>
        <v>0</v>
      </c>
      <c r="Q41" s="90"/>
      <c r="R41" s="313">
        <v>1636</v>
      </c>
      <c r="S41" s="91">
        <v>1636</v>
      </c>
      <c r="T41" s="91">
        <f t="shared" ref="T41:T42" si="84">1818/2</f>
        <v>909</v>
      </c>
      <c r="U41" s="91">
        <v>0</v>
      </c>
      <c r="V41" s="91">
        <v>200</v>
      </c>
      <c r="W41" s="91">
        <v>300</v>
      </c>
      <c r="X41" s="91">
        <v>1000</v>
      </c>
      <c r="Y41" s="91">
        <v>1200</v>
      </c>
      <c r="Z41" s="91">
        <v>1600</v>
      </c>
      <c r="AA41" s="91">
        <v>1600</v>
      </c>
      <c r="AB41" s="91">
        <v>1800</v>
      </c>
      <c r="AC41" s="91">
        <v>2300</v>
      </c>
      <c r="AD41" s="315">
        <f t="shared" si="78"/>
        <v>14181</v>
      </c>
      <c r="AE41" s="23"/>
      <c r="AF41" s="316">
        <v>1500</v>
      </c>
      <c r="AG41" s="91">
        <v>1000</v>
      </c>
      <c r="AH41" s="91">
        <v>126</v>
      </c>
      <c r="AI41" s="91">
        <v>387</v>
      </c>
      <c r="AJ41" s="91">
        <v>895</v>
      </c>
      <c r="AK41" s="91">
        <v>800</v>
      </c>
      <c r="AL41" s="91">
        <v>1500</v>
      </c>
      <c r="AM41" s="91">
        <v>1000</v>
      </c>
      <c r="AN41" s="91">
        <v>1000</v>
      </c>
      <c r="AO41" s="91">
        <v>1000</v>
      </c>
      <c r="AP41" s="91">
        <v>1100</v>
      </c>
      <c r="AQ41" s="91">
        <v>1600</v>
      </c>
      <c r="AR41" s="92">
        <f t="shared" si="79"/>
        <v>11908</v>
      </c>
      <c r="AS41" s="23"/>
      <c r="AT41" s="91">
        <v>1182</v>
      </c>
      <c r="AU41" s="91">
        <v>1200</v>
      </c>
      <c r="AV41" s="91">
        <v>932</v>
      </c>
      <c r="AW41" s="91">
        <v>1020</v>
      </c>
      <c r="AX41" s="317">
        <v>0</v>
      </c>
      <c r="AY41" s="317">
        <v>0</v>
      </c>
      <c r="AZ41" s="317">
        <v>0</v>
      </c>
      <c r="BA41" s="317">
        <v>0</v>
      </c>
      <c r="BB41" s="317">
        <v>0</v>
      </c>
      <c r="BC41" s="317">
        <v>0</v>
      </c>
      <c r="BD41" s="317">
        <v>0</v>
      </c>
      <c r="BE41" s="317">
        <v>0</v>
      </c>
      <c r="BF41" s="91">
        <f t="shared" si="80"/>
        <v>4334</v>
      </c>
      <c r="BG41" s="93">
        <f t="shared" si="81"/>
        <v>-0.63604299630500505</v>
      </c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>
        <v>7070</v>
      </c>
      <c r="BU41" s="54"/>
      <c r="BV41" s="91">
        <v>928.14</v>
      </c>
      <c r="BW41" s="91">
        <v>717.95999999999992</v>
      </c>
      <c r="BX41" s="91">
        <f>'META  EM PEÇAS'!U37-('META  EM PEÇAS'!U37*0.05)</f>
        <v>806.63549999999987</v>
      </c>
      <c r="BY41" s="91">
        <f>'META  EM PEÇAS'!V37-('META  EM PEÇAS'!V37*0.05)</f>
        <v>747.44100000000003</v>
      </c>
      <c r="BZ41" s="91">
        <f>'META  EM PEÇAS'!W37-('META  EM PEÇAS'!W37*0.05)</f>
        <v>839.32499999999993</v>
      </c>
      <c r="CA41" s="91">
        <f>'META  EM PEÇAS'!X37-('META  EM PEÇAS'!X37*0.05)</f>
        <v>1010.7239999999998</v>
      </c>
      <c r="CB41" s="91">
        <f>'META  EM PEÇAS'!Y37-('META  EM PEÇAS'!Y37*0.05)</f>
        <v>1214.8125</v>
      </c>
      <c r="CC41" s="91">
        <f>'META  EM PEÇAS'!Z37-('META  EM PEÇAS'!Z37*0.05)</f>
        <v>812.81999999999994</v>
      </c>
      <c r="CD41" s="91">
        <f>'META  EM PEÇAS'!AA37-('META  EM PEÇAS'!AA37*0.05)</f>
        <v>842.85899999999992</v>
      </c>
      <c r="CE41" s="91">
        <f>'META  EM PEÇAS'!AB37-('META  EM PEÇAS'!AB37*0.05)</f>
        <v>914.4224999999999</v>
      </c>
      <c r="CF41" s="91">
        <f>'META  EM PEÇAS'!AC37-('META  EM PEÇAS'!AC37*0.05)</f>
        <v>1171.5209999999997</v>
      </c>
      <c r="CG41" s="91">
        <f>'META  EM PEÇAS'!AD37-('META  EM PEÇAS'!AD37*0.05)</f>
        <v>1650.3779999999997</v>
      </c>
      <c r="CH41" s="91">
        <f t="shared" si="82"/>
        <v>11657.038499999999</v>
      </c>
      <c r="CJ41" s="91">
        <v>928.14</v>
      </c>
      <c r="CK41" s="91">
        <v>717.95999999999992</v>
      </c>
      <c r="CL41" s="91">
        <v>806.63549999999987</v>
      </c>
      <c r="CM41" s="91">
        <v>747.44100000000003</v>
      </c>
      <c r="CN41" s="91">
        <v>839.32499999999993</v>
      </c>
      <c r="CO41" s="91">
        <v>1010.7239999999998</v>
      </c>
      <c r="CP41" s="91">
        <v>1214.8125</v>
      </c>
      <c r="CQ41" s="91">
        <v>812.81999999999994</v>
      </c>
      <c r="CR41" s="91">
        <v>842.85899999999992</v>
      </c>
      <c r="CS41" s="91">
        <v>914.4224999999999</v>
      </c>
      <c r="CT41" s="91">
        <v>1171.5209999999997</v>
      </c>
      <c r="CU41" s="91">
        <v>1650.3779999999997</v>
      </c>
      <c r="CV41" s="91">
        <v>11657.038499999999</v>
      </c>
      <c r="CX41" s="91">
        <v>928.14</v>
      </c>
      <c r="CY41" s="91">
        <v>717.95999999999992</v>
      </c>
      <c r="CZ41" s="91">
        <v>806.63549999999987</v>
      </c>
      <c r="DA41" s="91">
        <v>747.44100000000003</v>
      </c>
      <c r="DB41" s="91">
        <v>839.32499999999993</v>
      </c>
      <c r="DC41" s="91">
        <v>1010.7239999999998</v>
      </c>
      <c r="DD41" s="91">
        <v>1214.8125</v>
      </c>
      <c r="DE41" s="91">
        <v>812.81999999999994</v>
      </c>
      <c r="DF41" s="91">
        <v>842.85899999999992</v>
      </c>
      <c r="DG41" s="91">
        <v>914.4224999999999</v>
      </c>
      <c r="DH41" s="91">
        <v>1171.5209999999997</v>
      </c>
      <c r="DI41" s="91">
        <v>1650.3779999999997</v>
      </c>
      <c r="DJ41" s="91">
        <v>11657.038499999999</v>
      </c>
    </row>
    <row r="42" spans="1:114" ht="15" customHeight="1" outlineLevel="1">
      <c r="A42" s="94">
        <v>10</v>
      </c>
      <c r="B42" s="1092" t="s">
        <v>64</v>
      </c>
      <c r="C42" s="1118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si="77"/>
        <v>0</v>
      </c>
      <c r="Q42" s="90"/>
      <c r="R42" s="313">
        <v>1636</v>
      </c>
      <c r="S42" s="91">
        <v>1636</v>
      </c>
      <c r="T42" s="91">
        <f t="shared" si="84"/>
        <v>909</v>
      </c>
      <c r="U42" s="91">
        <f>0.5*U7</f>
        <v>0.5</v>
      </c>
      <c r="V42" s="91">
        <v>200</v>
      </c>
      <c r="W42" s="91">
        <v>300</v>
      </c>
      <c r="X42" s="91">
        <v>1000</v>
      </c>
      <c r="Y42" s="91">
        <v>1200</v>
      </c>
      <c r="Z42" s="91">
        <v>1600</v>
      </c>
      <c r="AA42" s="91">
        <v>1600</v>
      </c>
      <c r="AB42" s="91">
        <v>1800</v>
      </c>
      <c r="AC42" s="91">
        <v>2300</v>
      </c>
      <c r="AD42" s="315">
        <f t="shared" si="78"/>
        <v>14181.5</v>
      </c>
      <c r="AE42" s="23"/>
      <c r="AF42" s="316">
        <v>1500</v>
      </c>
      <c r="AG42" s="91">
        <v>1000</v>
      </c>
      <c r="AH42" s="91">
        <v>764</v>
      </c>
      <c r="AI42" s="91">
        <v>561</v>
      </c>
      <c r="AJ42" s="91">
        <v>1353</v>
      </c>
      <c r="AK42" s="91">
        <v>960</v>
      </c>
      <c r="AL42" s="91">
        <v>1500</v>
      </c>
      <c r="AM42" s="91">
        <v>1200</v>
      </c>
      <c r="AN42" s="91">
        <v>1200</v>
      </c>
      <c r="AO42" s="91">
        <v>1200</v>
      </c>
      <c r="AP42" s="91">
        <v>1320</v>
      </c>
      <c r="AQ42" s="91">
        <v>1920</v>
      </c>
      <c r="AR42" s="92">
        <f t="shared" si="79"/>
        <v>14478</v>
      </c>
      <c r="AS42" s="23"/>
      <c r="AT42" s="91">
        <v>1285</v>
      </c>
      <c r="AU42" s="91">
        <v>957</v>
      </c>
      <c r="AV42" s="91">
        <v>1426</v>
      </c>
      <c r="AW42" s="91">
        <v>1595</v>
      </c>
      <c r="AX42" s="317">
        <v>1767</v>
      </c>
      <c r="AY42" s="317">
        <v>1767</v>
      </c>
      <c r="AZ42" s="317">
        <v>1686</v>
      </c>
      <c r="BA42" s="317">
        <v>1686</v>
      </c>
      <c r="BB42" s="317">
        <v>1767</v>
      </c>
      <c r="BC42" s="317">
        <v>2088</v>
      </c>
      <c r="BD42" s="317">
        <v>2248</v>
      </c>
      <c r="BE42" s="317">
        <v>3212</v>
      </c>
      <c r="BF42" s="91">
        <f t="shared" si="80"/>
        <v>21484</v>
      </c>
      <c r="BG42" s="93">
        <f t="shared" si="81"/>
        <v>0.48390661693604087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16952</v>
      </c>
      <c r="BU42" s="54"/>
      <c r="BV42" s="91">
        <v>2631.8999999999996</v>
      </c>
      <c r="BW42" s="91">
        <v>2034.84</v>
      </c>
      <c r="BX42" s="91">
        <f>'META  EM PEÇAS'!U33-('META  EM PEÇAS'!U33*0.05)</f>
        <v>2287.3815</v>
      </c>
      <c r="BY42" s="91">
        <f>'META  EM PEÇAS'!V33-('META  EM PEÇAS'!V33*0.05)</f>
        <v>2119.5164999999997</v>
      </c>
      <c r="BZ42" s="91">
        <f>'META  EM PEÇAS'!W33-('META  EM PEÇAS'!W33*0.05)</f>
        <v>2379.2655</v>
      </c>
      <c r="CA42" s="91">
        <f>'META  EM PEÇAS'!X33-('META  EM PEÇAS'!X33*0.05)</f>
        <v>2865.1904999999997</v>
      </c>
      <c r="CB42" s="91">
        <f>'META  EM PEÇAS'!Y33-('META  EM PEÇAS'!Y33*0.05)</f>
        <v>3445.6499999999996</v>
      </c>
      <c r="CC42" s="91">
        <f>'META  EM PEÇAS'!Z33-('META  EM PEÇAS'!Z33*0.05)</f>
        <v>2303.2844999999998</v>
      </c>
      <c r="CD42" s="91">
        <f>'META  EM PEÇAS'!AA33-('META  EM PEÇAS'!AA33*0.05)</f>
        <v>2388.9839999999999</v>
      </c>
      <c r="CE42" s="91">
        <f>'META  EM PEÇAS'!AB33-('META  EM PEÇAS'!AB33*0.05)</f>
        <v>2592.1889999999999</v>
      </c>
      <c r="CF42" s="91">
        <f>'META  EM PEÇAS'!AC33-('META  EM PEÇAS'!AC33*0.05)</f>
        <v>3321.0765000000001</v>
      </c>
      <c r="CG42" s="91">
        <f>'META  EM PEÇAS'!AD33-('META  EM PEÇAS'!AD33*0.05)</f>
        <v>4679.8995000000004</v>
      </c>
      <c r="CH42" s="91">
        <f t="shared" si="82"/>
        <v>33049.177499999998</v>
      </c>
      <c r="CJ42" s="91">
        <v>2631.8999999999996</v>
      </c>
      <c r="CK42" s="91">
        <v>2034.84</v>
      </c>
      <c r="CL42" s="91">
        <v>2287.3815</v>
      </c>
      <c r="CM42" s="91">
        <v>2119.5164999999997</v>
      </c>
      <c r="CN42" s="91">
        <v>2379.2655</v>
      </c>
      <c r="CO42" s="91">
        <v>2865.1904999999997</v>
      </c>
      <c r="CP42" s="91">
        <v>3445.6499999999996</v>
      </c>
      <c r="CQ42" s="91">
        <v>2303.2844999999998</v>
      </c>
      <c r="CR42" s="91">
        <v>2388.9839999999999</v>
      </c>
      <c r="CS42" s="91">
        <v>2592.1889999999999</v>
      </c>
      <c r="CT42" s="91">
        <v>3321.0765000000001</v>
      </c>
      <c r="CU42" s="91">
        <v>4679.8995000000004</v>
      </c>
      <c r="CV42" s="91">
        <v>33049.177499999998</v>
      </c>
      <c r="CX42" s="91">
        <v>2631.8999999999996</v>
      </c>
      <c r="CY42" s="91">
        <v>2034.84</v>
      </c>
      <c r="CZ42" s="91">
        <v>2287.3815</v>
      </c>
      <c r="DA42" s="91">
        <v>2119.5164999999997</v>
      </c>
      <c r="DB42" s="91">
        <v>2379.2655</v>
      </c>
      <c r="DC42" s="91">
        <v>2865.1904999999997</v>
      </c>
      <c r="DD42" s="91">
        <v>3445.6499999999996</v>
      </c>
      <c r="DE42" s="91">
        <v>2303.2844999999998</v>
      </c>
      <c r="DF42" s="91">
        <v>2388.9839999999999</v>
      </c>
      <c r="DG42" s="91">
        <v>2592.1889999999999</v>
      </c>
      <c r="DH42" s="91">
        <v>3321.0765000000001</v>
      </c>
      <c r="DI42" s="91">
        <v>4679.8995000000004</v>
      </c>
      <c r="DJ42" s="91">
        <v>33049.177499999998</v>
      </c>
    </row>
    <row r="43" spans="1:114" ht="15" customHeight="1" outlineLevel="1">
      <c r="A43" s="94">
        <v>10</v>
      </c>
      <c r="B43" s="1092" t="s">
        <v>65</v>
      </c>
      <c r="C43" s="1118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>
        <f t="shared" si="77"/>
        <v>0</v>
      </c>
      <c r="Q43" s="90"/>
      <c r="R43" s="313">
        <v>0</v>
      </c>
      <c r="S43" s="91">
        <v>0</v>
      </c>
      <c r="T43" s="91">
        <v>0</v>
      </c>
      <c r="U43" s="91">
        <v>0</v>
      </c>
      <c r="V43" s="91">
        <v>3500</v>
      </c>
      <c r="W43" s="91">
        <v>350</v>
      </c>
      <c r="X43" s="91">
        <v>800</v>
      </c>
      <c r="Y43" s="91">
        <v>1000</v>
      </c>
      <c r="Z43" s="91">
        <v>1600</v>
      </c>
      <c r="AA43" s="91">
        <v>2000</v>
      </c>
      <c r="AB43" s="91">
        <v>2400</v>
      </c>
      <c r="AC43" s="91">
        <v>3000</v>
      </c>
      <c r="AD43" s="315">
        <f t="shared" si="78"/>
        <v>14650</v>
      </c>
      <c r="AE43" s="23"/>
      <c r="AF43" s="316">
        <v>2500</v>
      </c>
      <c r="AG43" s="91">
        <v>1000</v>
      </c>
      <c r="AH43" s="91">
        <f>2500*0.15</f>
        <v>375</v>
      </c>
      <c r="AI43" s="91">
        <v>787</v>
      </c>
      <c r="AJ43" s="91">
        <v>1569</v>
      </c>
      <c r="AK43" s="91">
        <v>2000</v>
      </c>
      <c r="AL43" s="91">
        <v>2500</v>
      </c>
      <c r="AM43" s="91">
        <v>2500</v>
      </c>
      <c r="AN43" s="91">
        <v>2500</v>
      </c>
      <c r="AO43" s="91">
        <v>2500</v>
      </c>
      <c r="AP43" s="91">
        <v>2750</v>
      </c>
      <c r="AQ43" s="91">
        <v>4000</v>
      </c>
      <c r="AR43" s="92">
        <f t="shared" si="79"/>
        <v>24981</v>
      </c>
      <c r="AS43" s="23"/>
      <c r="AT43" s="91">
        <v>1806</v>
      </c>
      <c r="AU43" s="91">
        <v>2046</v>
      </c>
      <c r="AV43" s="91">
        <v>1646</v>
      </c>
      <c r="AW43" s="91">
        <v>1902</v>
      </c>
      <c r="AX43" s="317">
        <v>1545</v>
      </c>
      <c r="AY43" s="317">
        <v>1545</v>
      </c>
      <c r="AZ43" s="317">
        <v>1475</v>
      </c>
      <c r="BA43" s="317">
        <v>1475</v>
      </c>
      <c r="BB43" s="317">
        <v>1545</v>
      </c>
      <c r="BC43" s="317">
        <v>1826</v>
      </c>
      <c r="BD43" s="317">
        <v>0</v>
      </c>
      <c r="BE43" s="317">
        <v>0</v>
      </c>
      <c r="BF43" s="91">
        <f t="shared" si="80"/>
        <v>16811</v>
      </c>
      <c r="BG43" s="93">
        <f t="shared" si="81"/>
        <v>-0.32704855690324641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10230</v>
      </c>
      <c r="BU43" s="54"/>
      <c r="BV43" s="91">
        <v>1335.48</v>
      </c>
      <c r="BW43" s="91">
        <v>1032.3</v>
      </c>
      <c r="BX43" s="91">
        <f>'META  EM PEÇAS'!U39-('META  EM PEÇAS'!U39*0.05)</f>
        <v>1160.0355</v>
      </c>
      <c r="BY43" s="91">
        <f>'META  EM PEÇAS'!V39-('META  EM PEÇAS'!V39*0.05)</f>
        <v>1075.2194999999999</v>
      </c>
      <c r="BZ43" s="91">
        <f>'META  EM PEÇAS'!W39-('META  EM PEÇAS'!W39*0.05)</f>
        <v>1206.8609999999999</v>
      </c>
      <c r="CA43" s="91">
        <f>'META  EM PEÇAS'!X39-('META  EM PEÇAS'!X39*0.05)</f>
        <v>1453.3574999999998</v>
      </c>
      <c r="CB43" s="91">
        <f>'META  EM PEÇAS'!Y39-('META  EM PEÇAS'!Y39*0.05)</f>
        <v>1747.5629999999999</v>
      </c>
      <c r="CC43" s="91">
        <f>'META  EM PEÇAS'!Z39-('META  EM PEÇAS'!Z39*0.05)</f>
        <v>1168.8705</v>
      </c>
      <c r="CD43" s="91">
        <f>'META  EM PEÇAS'!AA39-('META  EM PEÇAS'!AA39*0.05)</f>
        <v>1212.1619999999998</v>
      </c>
      <c r="CE43" s="91">
        <f>'META  EM PEÇAS'!AB39-('META  EM PEÇAS'!AB39*0.05)</f>
        <v>1314.6479999999999</v>
      </c>
      <c r="CF43" s="91">
        <f>'META  EM PEÇAS'!AC39-('META  EM PEÇAS'!AC39*0.05)</f>
        <v>1684.8344999999999</v>
      </c>
      <c r="CG43" s="91">
        <f>'META  EM PEÇAS'!AD39-('META  EM PEÇAS'!AD39*0.05)</f>
        <v>2373.9645</v>
      </c>
      <c r="CH43" s="91">
        <f t="shared" si="82"/>
        <v>16765.295999999995</v>
      </c>
      <c r="CJ43" s="91">
        <v>1335.48</v>
      </c>
      <c r="CK43" s="91">
        <v>1032.3</v>
      </c>
      <c r="CL43" s="91">
        <v>1160.0355</v>
      </c>
      <c r="CM43" s="91">
        <v>1075.2194999999999</v>
      </c>
      <c r="CN43" s="91">
        <v>1206.8609999999999</v>
      </c>
      <c r="CO43" s="91">
        <v>1453.3574999999998</v>
      </c>
      <c r="CP43" s="91">
        <v>1747.5629999999999</v>
      </c>
      <c r="CQ43" s="91">
        <v>1168.8705</v>
      </c>
      <c r="CR43" s="91">
        <v>1212.1619999999998</v>
      </c>
      <c r="CS43" s="91">
        <v>1314.6479999999999</v>
      </c>
      <c r="CT43" s="91">
        <v>1684.8344999999999</v>
      </c>
      <c r="CU43" s="91">
        <v>2373.9645</v>
      </c>
      <c r="CV43" s="91">
        <v>16765.295999999995</v>
      </c>
      <c r="CX43" s="91">
        <v>1335.48</v>
      </c>
      <c r="CY43" s="91">
        <v>1032.3</v>
      </c>
      <c r="CZ43" s="91">
        <v>1160.0355</v>
      </c>
      <c r="DA43" s="91">
        <v>1075.2194999999999</v>
      </c>
      <c r="DB43" s="91">
        <v>1206.8609999999999</v>
      </c>
      <c r="DC43" s="91">
        <v>1453.3574999999998</v>
      </c>
      <c r="DD43" s="91">
        <v>1747.5629999999999</v>
      </c>
      <c r="DE43" s="91">
        <v>1168.8705</v>
      </c>
      <c r="DF43" s="91">
        <v>1212.1619999999998</v>
      </c>
      <c r="DG43" s="91">
        <v>1314.6479999999999</v>
      </c>
      <c r="DH43" s="91">
        <v>1684.8344999999999</v>
      </c>
      <c r="DI43" s="91">
        <v>2373.9645</v>
      </c>
      <c r="DJ43" s="91">
        <v>16765.295999999995</v>
      </c>
    </row>
    <row r="44" spans="1:114" ht="15" customHeight="1" outlineLevel="1">
      <c r="A44" s="94">
        <v>11</v>
      </c>
      <c r="B44" s="210" t="s">
        <v>66</v>
      </c>
      <c r="C44" s="211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>
        <f t="shared" si="77"/>
        <v>0</v>
      </c>
      <c r="Q44" s="90"/>
      <c r="R44" s="313">
        <v>0</v>
      </c>
      <c r="S44" s="91">
        <v>0</v>
      </c>
      <c r="T44" s="91">
        <v>0</v>
      </c>
      <c r="U44" s="91">
        <v>0</v>
      </c>
      <c r="V44" s="91">
        <v>4000</v>
      </c>
      <c r="W44" s="91">
        <v>100</v>
      </c>
      <c r="X44" s="91">
        <v>800</v>
      </c>
      <c r="Y44" s="91">
        <v>800</v>
      </c>
      <c r="Z44" s="91">
        <v>1200</v>
      </c>
      <c r="AA44" s="91">
        <v>1200</v>
      </c>
      <c r="AB44" s="91">
        <v>1800</v>
      </c>
      <c r="AC44" s="91">
        <v>2300</v>
      </c>
      <c r="AD44" s="315">
        <f t="shared" si="78"/>
        <v>12200</v>
      </c>
      <c r="AE44" s="23"/>
      <c r="AF44" s="316">
        <v>1500</v>
      </c>
      <c r="AG44" s="91">
        <v>1000</v>
      </c>
      <c r="AH44" s="91">
        <f t="shared" ref="AH44:AH45" si="85">1500*0.15</f>
        <v>225</v>
      </c>
      <c r="AI44" s="91">
        <v>324</v>
      </c>
      <c r="AJ44" s="91">
        <v>869</v>
      </c>
      <c r="AK44" s="91">
        <v>800</v>
      </c>
      <c r="AL44" s="91">
        <v>1500</v>
      </c>
      <c r="AM44" s="91">
        <v>1000</v>
      </c>
      <c r="AN44" s="91">
        <v>1000</v>
      </c>
      <c r="AO44" s="91">
        <v>1000</v>
      </c>
      <c r="AP44" s="91">
        <v>1100</v>
      </c>
      <c r="AQ44" s="91">
        <v>1600</v>
      </c>
      <c r="AR44" s="92">
        <f t="shared" si="79"/>
        <v>11918</v>
      </c>
      <c r="AS44" s="23"/>
      <c r="AT44" s="91">
        <v>1191</v>
      </c>
      <c r="AU44" s="91">
        <v>1191</v>
      </c>
      <c r="AV44" s="91">
        <v>1191</v>
      </c>
      <c r="AW44" s="91">
        <v>1191</v>
      </c>
      <c r="AX44" s="317">
        <v>876</v>
      </c>
      <c r="AY44" s="317">
        <v>876</v>
      </c>
      <c r="AZ44" s="317">
        <v>836</v>
      </c>
      <c r="BA44" s="317">
        <v>836</v>
      </c>
      <c r="BB44" s="317">
        <v>876</v>
      </c>
      <c r="BC44" s="317">
        <v>1035</v>
      </c>
      <c r="BD44" s="317">
        <v>0</v>
      </c>
      <c r="BE44" s="317">
        <v>0</v>
      </c>
      <c r="BF44" s="91">
        <f t="shared" si="80"/>
        <v>10099</v>
      </c>
      <c r="BG44" s="93">
        <f t="shared" si="81"/>
        <v>-0.15262627957711028</v>
      </c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>
        <v>7342</v>
      </c>
      <c r="BU44" s="54"/>
      <c r="BV44" s="91">
        <v>1643.31</v>
      </c>
      <c r="BW44" s="91">
        <v>1270.3799999999999</v>
      </c>
      <c r="BX44" s="91">
        <f>'META  EM PEÇAS'!U40-('META  EM PEÇAS'!U40*0.05)</f>
        <v>1427.7359999999999</v>
      </c>
      <c r="BY44" s="91">
        <f>'META  EM PEÇAS'!V40-('META  EM PEÇAS'!V40*0.05)</f>
        <v>1323.4829999999999</v>
      </c>
      <c r="BZ44" s="91">
        <f>'META  EM PEÇAS'!W40-('META  EM PEÇAS'!W40*0.05)</f>
        <v>1485.1634999999999</v>
      </c>
      <c r="CA44" s="91">
        <f>'META  EM PEÇAS'!X40-('META  EM PEÇAS'!X40*0.05)</f>
        <v>1788.204</v>
      </c>
      <c r="CB44" s="91">
        <f>'META  EM PEÇAS'!Y40-('META  EM PEÇAS'!Y40*0.05)</f>
        <v>2151.3224999999998</v>
      </c>
      <c r="CC44" s="91">
        <f>'META  EM PEÇAS'!Z40-('META  EM PEÇAS'!Z40*0.05)</f>
        <v>1438.338</v>
      </c>
      <c r="CD44" s="91">
        <f>'META  EM PEÇAS'!AA40-('META  EM PEÇAS'!AA40*0.05)</f>
        <v>1491.348</v>
      </c>
      <c r="CE44" s="91">
        <f>'META  EM PEÇAS'!AB40-('META  EM PEÇAS'!AB40*0.05)</f>
        <v>1618.5719999999999</v>
      </c>
      <c r="CF44" s="91">
        <f>'META  EM PEÇAS'!AC40-('META  EM PEÇAS'!AC40*0.05)</f>
        <v>2073.5745000000002</v>
      </c>
      <c r="CG44" s="91">
        <f>'META  EM PEÇAS'!AD40-('META  EM PEÇAS'!AD40*0.05)</f>
        <v>2921.7344999999996</v>
      </c>
      <c r="CH44" s="91">
        <f t="shared" si="82"/>
        <v>20633.165999999997</v>
      </c>
      <c r="CJ44" s="91">
        <v>1643.31</v>
      </c>
      <c r="CK44" s="91">
        <v>1270.3799999999999</v>
      </c>
      <c r="CL44" s="91">
        <v>1427.7359999999999</v>
      </c>
      <c r="CM44" s="91">
        <v>1323.4829999999999</v>
      </c>
      <c r="CN44" s="91">
        <v>1485.1634999999999</v>
      </c>
      <c r="CO44" s="91">
        <v>1788.204</v>
      </c>
      <c r="CP44" s="91">
        <v>2151.3224999999998</v>
      </c>
      <c r="CQ44" s="91">
        <v>1438.338</v>
      </c>
      <c r="CR44" s="91">
        <v>1491.348</v>
      </c>
      <c r="CS44" s="91">
        <v>1618.5719999999999</v>
      </c>
      <c r="CT44" s="91">
        <v>2073.5745000000002</v>
      </c>
      <c r="CU44" s="91">
        <v>2921.7344999999996</v>
      </c>
      <c r="CV44" s="91">
        <v>20633.165999999997</v>
      </c>
      <c r="CX44" s="91">
        <v>1643.31</v>
      </c>
      <c r="CY44" s="91">
        <v>1270.3799999999999</v>
      </c>
      <c r="CZ44" s="91">
        <v>1427.7359999999999</v>
      </c>
      <c r="DA44" s="91">
        <v>1323.4829999999999</v>
      </c>
      <c r="DB44" s="91">
        <v>1485.1634999999999</v>
      </c>
      <c r="DC44" s="91">
        <v>1788.204</v>
      </c>
      <c r="DD44" s="91">
        <v>2151.3224999999998</v>
      </c>
      <c r="DE44" s="91">
        <v>1438.338</v>
      </c>
      <c r="DF44" s="91">
        <v>1491.348</v>
      </c>
      <c r="DG44" s="91">
        <v>1618.5719999999999</v>
      </c>
      <c r="DH44" s="91">
        <v>2073.5745000000002</v>
      </c>
      <c r="DI44" s="91">
        <v>2921.7344999999996</v>
      </c>
      <c r="DJ44" s="91">
        <v>20633.165999999997</v>
      </c>
    </row>
    <row r="45" spans="1:114" ht="15" customHeight="1" outlineLevel="1">
      <c r="A45" s="94">
        <v>12</v>
      </c>
      <c r="B45" s="210" t="s">
        <v>67</v>
      </c>
      <c r="C45" s="211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>
        <f t="shared" si="77"/>
        <v>0</v>
      </c>
      <c r="Q45" s="90"/>
      <c r="R45" s="313">
        <v>0</v>
      </c>
      <c r="S45" s="91">
        <v>0</v>
      </c>
      <c r="T45" s="91">
        <v>0</v>
      </c>
      <c r="U45" s="91">
        <v>0</v>
      </c>
      <c r="V45" s="91">
        <v>4000</v>
      </c>
      <c r="W45" s="91">
        <v>0</v>
      </c>
      <c r="X45" s="91">
        <v>800</v>
      </c>
      <c r="Y45" s="91">
        <v>1000</v>
      </c>
      <c r="Z45" s="91">
        <v>1200</v>
      </c>
      <c r="AA45" s="91">
        <v>1200</v>
      </c>
      <c r="AB45" s="91">
        <v>1800</v>
      </c>
      <c r="AC45" s="91">
        <v>2300</v>
      </c>
      <c r="AD45" s="315">
        <f t="shared" si="78"/>
        <v>12300</v>
      </c>
      <c r="AE45" s="23"/>
      <c r="AF45" s="316">
        <v>1500</v>
      </c>
      <c r="AG45" s="91">
        <v>1200</v>
      </c>
      <c r="AH45" s="91">
        <f t="shared" si="85"/>
        <v>225</v>
      </c>
      <c r="AI45" s="91">
        <v>332</v>
      </c>
      <c r="AJ45" s="91">
        <v>945</v>
      </c>
      <c r="AK45" s="91">
        <v>960</v>
      </c>
      <c r="AL45" s="91">
        <v>1500</v>
      </c>
      <c r="AM45" s="91">
        <v>1200</v>
      </c>
      <c r="AN45" s="91">
        <v>1200</v>
      </c>
      <c r="AO45" s="91">
        <v>1200</v>
      </c>
      <c r="AP45" s="91">
        <v>1320</v>
      </c>
      <c r="AQ45" s="91">
        <v>1920</v>
      </c>
      <c r="AR45" s="92">
        <f t="shared" si="79"/>
        <v>13502</v>
      </c>
      <c r="AS45" s="23"/>
      <c r="AT45" s="91">
        <v>1254</v>
      </c>
      <c r="AU45" s="91">
        <v>1254</v>
      </c>
      <c r="AV45" s="91">
        <v>1254</v>
      </c>
      <c r="AW45" s="91">
        <v>1254</v>
      </c>
      <c r="AX45" s="317">
        <v>1236</v>
      </c>
      <c r="AY45" s="317">
        <v>1236</v>
      </c>
      <c r="AZ45" s="317">
        <v>0</v>
      </c>
      <c r="BA45" s="317">
        <v>0</v>
      </c>
      <c r="BB45" s="317">
        <v>0</v>
      </c>
      <c r="BC45" s="317">
        <v>0</v>
      </c>
      <c r="BD45" s="317">
        <v>0</v>
      </c>
      <c r="BE45" s="317">
        <v>0</v>
      </c>
      <c r="BF45" s="91">
        <f t="shared" si="80"/>
        <v>7488</v>
      </c>
      <c r="BG45" s="93">
        <f t="shared" si="81"/>
        <v>-0.44541549400088876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>
        <v>16899</v>
      </c>
      <c r="BU45" s="54"/>
      <c r="BV45" s="91">
        <v>2552.85</v>
      </c>
      <c r="BW45" s="91">
        <v>1973.4599999999998</v>
      </c>
      <c r="BX45" s="91">
        <f>'META  EM PEÇAS'!U34-('META  EM PEÇAS'!U34*0.05)</f>
        <v>2218.4684999999999</v>
      </c>
      <c r="BY45" s="91">
        <f>'META  EM PEÇAS'!V34-('META  EM PEÇAS'!V34*0.05)</f>
        <v>2056.788</v>
      </c>
      <c r="BZ45" s="91">
        <f>'META  EM PEÇAS'!W34-('META  EM PEÇAS'!W34*0.05)</f>
        <v>2307.7019999999998</v>
      </c>
      <c r="CA45" s="91">
        <f>'META  EM PEÇAS'!X34-('META  EM PEÇAS'!X34*0.05)</f>
        <v>2778.6075000000001</v>
      </c>
      <c r="CB45" s="91">
        <f>'META  EM PEÇAS'!Y34-('META  EM PEÇAS'!Y34*0.05)</f>
        <v>3342.2804999999998</v>
      </c>
      <c r="CC45" s="91">
        <f>'META  EM PEÇAS'!Z34-('META  EM PEÇAS'!Z34*0.05)</f>
        <v>2234.3714999999997</v>
      </c>
      <c r="CD45" s="91">
        <f>'META  EM PEÇAS'!AA34-('META  EM PEÇAS'!AA34*0.05)</f>
        <v>2317.4204999999997</v>
      </c>
      <c r="CE45" s="91">
        <f>'META  EM PEÇAS'!AB34-('META  EM PEÇAS'!AB34*0.05)</f>
        <v>2514.4409999999998</v>
      </c>
      <c r="CF45" s="91">
        <f>'META  EM PEÇAS'!AC34-('META  EM PEÇAS'!AC34*0.05)</f>
        <v>3221.241</v>
      </c>
      <c r="CG45" s="91">
        <f>'META  EM PEÇAS'!AD34-('META  EM PEÇAS'!AD34*0.05)</f>
        <v>4539.4229999999989</v>
      </c>
      <c r="CH45" s="91">
        <f t="shared" si="82"/>
        <v>32057.053499999998</v>
      </c>
      <c r="CJ45" s="91">
        <v>2552.85</v>
      </c>
      <c r="CK45" s="91">
        <v>1973.4599999999998</v>
      </c>
      <c r="CL45" s="91">
        <v>2218.4684999999999</v>
      </c>
      <c r="CM45" s="91">
        <v>2056.788</v>
      </c>
      <c r="CN45" s="91">
        <v>2307.7019999999998</v>
      </c>
      <c r="CO45" s="91">
        <v>2778.6075000000001</v>
      </c>
      <c r="CP45" s="91">
        <v>3342.2804999999998</v>
      </c>
      <c r="CQ45" s="91">
        <v>2234.3714999999997</v>
      </c>
      <c r="CR45" s="91">
        <v>2317.4204999999997</v>
      </c>
      <c r="CS45" s="91">
        <v>2514.4409999999998</v>
      </c>
      <c r="CT45" s="91">
        <v>3221.241</v>
      </c>
      <c r="CU45" s="91">
        <v>4539.4229999999989</v>
      </c>
      <c r="CV45" s="91">
        <v>32057.053499999998</v>
      </c>
      <c r="CX45" s="91">
        <v>2552.85</v>
      </c>
      <c r="CY45" s="91">
        <v>1973.4599999999998</v>
      </c>
      <c r="CZ45" s="91">
        <v>2218.4684999999999</v>
      </c>
      <c r="DA45" s="91">
        <v>2056.788</v>
      </c>
      <c r="DB45" s="91">
        <v>2307.7019999999998</v>
      </c>
      <c r="DC45" s="91">
        <v>2778.6075000000001</v>
      </c>
      <c r="DD45" s="91">
        <v>3342.2804999999998</v>
      </c>
      <c r="DE45" s="91">
        <v>2234.3714999999997</v>
      </c>
      <c r="DF45" s="91">
        <v>2317.4204999999997</v>
      </c>
      <c r="DG45" s="91">
        <v>2514.4409999999998</v>
      </c>
      <c r="DH45" s="91">
        <v>3221.241</v>
      </c>
      <c r="DI45" s="91">
        <v>4539.4229999999989</v>
      </c>
      <c r="DJ45" s="91">
        <v>32057.053499999998</v>
      </c>
    </row>
    <row r="46" spans="1:114" ht="15" customHeight="1" outlineLevel="1">
      <c r="A46" s="94">
        <v>13</v>
      </c>
      <c r="B46" s="210" t="s">
        <v>68</v>
      </c>
      <c r="C46" s="212"/>
      <c r="D46" s="313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314">
        <f t="shared" si="77"/>
        <v>0</v>
      </c>
      <c r="Q46" s="90"/>
      <c r="R46" s="313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2000</v>
      </c>
      <c r="Y46" s="91">
        <v>800</v>
      </c>
      <c r="Z46" s="91">
        <v>800</v>
      </c>
      <c r="AA46" s="91">
        <v>1200</v>
      </c>
      <c r="AB46" s="91">
        <v>1800</v>
      </c>
      <c r="AC46" s="91">
        <v>2300</v>
      </c>
      <c r="AD46" s="315">
        <f t="shared" si="78"/>
        <v>8900</v>
      </c>
      <c r="AE46" s="23"/>
      <c r="AF46" s="316">
        <v>1800</v>
      </c>
      <c r="AG46" s="91">
        <v>1200</v>
      </c>
      <c r="AH46" s="91">
        <f>1800*0.15</f>
        <v>270</v>
      </c>
      <c r="AI46" s="91">
        <v>896</v>
      </c>
      <c r="AJ46" s="91">
        <v>1339</v>
      </c>
      <c r="AK46" s="91">
        <v>1600</v>
      </c>
      <c r="AL46" s="91">
        <v>1800</v>
      </c>
      <c r="AM46" s="91">
        <v>2000</v>
      </c>
      <c r="AN46" s="91">
        <v>2000</v>
      </c>
      <c r="AO46" s="91">
        <v>2000</v>
      </c>
      <c r="AP46" s="91">
        <v>2200</v>
      </c>
      <c r="AQ46" s="91">
        <v>3200</v>
      </c>
      <c r="AR46" s="92">
        <f t="shared" si="79"/>
        <v>20305</v>
      </c>
      <c r="AS46" s="23"/>
      <c r="AT46" s="91">
        <v>1980</v>
      </c>
      <c r="AU46" s="91">
        <v>1980</v>
      </c>
      <c r="AV46" s="91">
        <v>1980</v>
      </c>
      <c r="AW46" s="91">
        <v>1980</v>
      </c>
      <c r="AX46" s="317">
        <v>1409</v>
      </c>
      <c r="AY46" s="317">
        <v>1409</v>
      </c>
      <c r="AZ46" s="317">
        <v>1345</v>
      </c>
      <c r="BA46" s="317">
        <v>1345</v>
      </c>
      <c r="BB46" s="317">
        <v>1409</v>
      </c>
      <c r="BC46" s="317">
        <v>1665</v>
      </c>
      <c r="BD46" s="317">
        <v>1793</v>
      </c>
      <c r="BE46" s="317">
        <v>2562</v>
      </c>
      <c r="BF46" s="91">
        <f t="shared" si="80"/>
        <v>20857</v>
      </c>
      <c r="BG46" s="93">
        <f t="shared" si="81"/>
        <v>2.7185422309775831E-2</v>
      </c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>
        <v>11555</v>
      </c>
      <c r="BU46" s="54"/>
      <c r="BV46" s="91">
        <v>1903.7099999999998</v>
      </c>
      <c r="BW46" s="91">
        <v>1471.26</v>
      </c>
      <c r="BX46" s="91">
        <f>'META  EM PEÇAS'!U35-('META  EM PEÇAS'!U35*0.05)</f>
        <v>1654.7954999999999</v>
      </c>
      <c r="BY46" s="91">
        <f>'META  EM PEÇAS'!V35-('META  EM PEÇAS'!V35*0.05)</f>
        <v>1533.7559999999999</v>
      </c>
      <c r="BZ46" s="91">
        <f>'META  EM PEÇAS'!W35-('META  EM PEÇAS'!W35*0.05)</f>
        <v>1721.058</v>
      </c>
      <c r="CA46" s="91">
        <f>'META  EM PEÇAS'!X35-('META  EM PEÇAS'!X35*0.05)</f>
        <v>2071.8074999999999</v>
      </c>
      <c r="CB46" s="91">
        <f>'META  EM PEÇAS'!Y35-('META  EM PEÇAS'!Y35*0.05)</f>
        <v>2492.3534999999997</v>
      </c>
      <c r="CC46" s="91">
        <f>'META  EM PEÇAS'!Z35-('META  EM PEÇAS'!Z35*0.05)</f>
        <v>1666.2809999999997</v>
      </c>
      <c r="CD46" s="91">
        <f>'META  EM PEÇAS'!AA35-('META  EM PEÇAS'!AA35*0.05)</f>
        <v>1728.126</v>
      </c>
      <c r="CE46" s="91">
        <f>'META  EM PEÇAS'!AB35-('META  EM PEÇAS'!AB35*0.05)</f>
        <v>1874.7869999999998</v>
      </c>
      <c r="CF46" s="91">
        <f>'META  EM PEÇAS'!AC35-('META  EM PEÇAS'!AC35*0.05)</f>
        <v>2402.2364999999995</v>
      </c>
      <c r="CG46" s="91">
        <f>'META  EM PEÇAS'!AD35-('META  EM PEÇAS'!AD35*0.05)</f>
        <v>3384.6884999999997</v>
      </c>
      <c r="CH46" s="91">
        <f t="shared" si="82"/>
        <v>23904.859499999995</v>
      </c>
      <c r="CJ46" s="91">
        <v>1903.7099999999998</v>
      </c>
      <c r="CK46" s="91">
        <v>1471.26</v>
      </c>
      <c r="CL46" s="91">
        <v>1654.7954999999999</v>
      </c>
      <c r="CM46" s="91">
        <v>1533.7559999999999</v>
      </c>
      <c r="CN46" s="91">
        <v>1721.058</v>
      </c>
      <c r="CO46" s="91">
        <v>2071.8074999999999</v>
      </c>
      <c r="CP46" s="91">
        <v>2492.3534999999997</v>
      </c>
      <c r="CQ46" s="91">
        <v>1666.2809999999997</v>
      </c>
      <c r="CR46" s="91">
        <v>1728.126</v>
      </c>
      <c r="CS46" s="91">
        <v>1874.7869999999998</v>
      </c>
      <c r="CT46" s="91">
        <v>2402.2364999999995</v>
      </c>
      <c r="CU46" s="91">
        <v>3384.6884999999997</v>
      </c>
      <c r="CV46" s="91">
        <v>23904.859499999995</v>
      </c>
      <c r="CX46" s="91">
        <v>1903.7099999999998</v>
      </c>
      <c r="CY46" s="91">
        <v>1471.26</v>
      </c>
      <c r="CZ46" s="91">
        <v>1654.7954999999999</v>
      </c>
      <c r="DA46" s="91">
        <v>1533.7559999999999</v>
      </c>
      <c r="DB46" s="91">
        <v>1721.058</v>
      </c>
      <c r="DC46" s="91">
        <v>2071.8074999999999</v>
      </c>
      <c r="DD46" s="91">
        <v>2492.3534999999997</v>
      </c>
      <c r="DE46" s="91">
        <v>1666.2809999999997</v>
      </c>
      <c r="DF46" s="91">
        <v>1728.126</v>
      </c>
      <c r="DG46" s="91">
        <v>1874.7869999999998</v>
      </c>
      <c r="DH46" s="91">
        <v>2402.2364999999995</v>
      </c>
      <c r="DI46" s="91">
        <v>3384.6884999999997</v>
      </c>
      <c r="DJ46" s="91">
        <v>23904.859499999995</v>
      </c>
    </row>
    <row r="47" spans="1:114" ht="15" customHeight="1" outlineLevel="1">
      <c r="A47" s="94">
        <v>14</v>
      </c>
      <c r="B47" s="210" t="s">
        <v>69</v>
      </c>
      <c r="C47" s="212"/>
      <c r="D47" s="313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314"/>
      <c r="Q47" s="90"/>
      <c r="R47" s="313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2000</v>
      </c>
      <c r="Z47" s="91">
        <v>800</v>
      </c>
      <c r="AA47" s="91">
        <v>800</v>
      </c>
      <c r="AB47" s="91">
        <v>1200</v>
      </c>
      <c r="AC47" s="91">
        <v>1800</v>
      </c>
      <c r="AD47" s="315">
        <f t="shared" si="78"/>
        <v>6600</v>
      </c>
      <c r="AE47" s="23"/>
      <c r="AF47" s="316">
        <v>1500</v>
      </c>
      <c r="AG47" s="91">
        <v>1200</v>
      </c>
      <c r="AH47" s="91">
        <f>1500*0.15</f>
        <v>225</v>
      </c>
      <c r="AI47" s="91">
        <v>374</v>
      </c>
      <c r="AJ47" s="91">
        <v>990</v>
      </c>
      <c r="AK47" s="91">
        <v>960</v>
      </c>
      <c r="AL47" s="91">
        <v>1800</v>
      </c>
      <c r="AM47" s="91">
        <v>1200</v>
      </c>
      <c r="AN47" s="91">
        <v>1200</v>
      </c>
      <c r="AO47" s="91">
        <v>1200</v>
      </c>
      <c r="AP47" s="91">
        <v>1320</v>
      </c>
      <c r="AQ47" s="91">
        <v>1920</v>
      </c>
      <c r="AR47" s="92">
        <f t="shared" si="79"/>
        <v>13889</v>
      </c>
      <c r="AS47" s="23"/>
      <c r="AT47" s="91">
        <v>1518</v>
      </c>
      <c r="AU47" s="91">
        <v>1518</v>
      </c>
      <c r="AV47" s="91">
        <v>1518</v>
      </c>
      <c r="AW47" s="91">
        <v>1518</v>
      </c>
      <c r="AX47" s="317">
        <v>1276</v>
      </c>
      <c r="AY47" s="317">
        <v>1276</v>
      </c>
      <c r="AZ47" s="317">
        <v>1218</v>
      </c>
      <c r="BA47" s="317">
        <v>1218</v>
      </c>
      <c r="BB47" s="317">
        <v>1276</v>
      </c>
      <c r="BC47" s="317">
        <v>1508</v>
      </c>
      <c r="BD47" s="317">
        <v>1624</v>
      </c>
      <c r="BE47" s="317">
        <v>2320</v>
      </c>
      <c r="BF47" s="91">
        <f t="shared" si="80"/>
        <v>17788</v>
      </c>
      <c r="BG47" s="93">
        <f t="shared" si="81"/>
        <v>0.2807257541939665</v>
      </c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>
        <v>19018</v>
      </c>
      <c r="BU47" s="54"/>
      <c r="BV47" s="91">
        <v>2737.9199999999996</v>
      </c>
      <c r="BW47" s="91">
        <v>2116.6799999999998</v>
      </c>
      <c r="BX47" s="91">
        <f>'META  EM PEÇAS'!U36-('META  EM PEÇAS'!U36*0.05)</f>
        <v>2379.2655</v>
      </c>
      <c r="BY47" s="91">
        <f>'META  EM PEÇAS'!V36-('META  EM PEÇAS'!V36*0.05)</f>
        <v>2205.2159999999999</v>
      </c>
      <c r="BZ47" s="91">
        <f>'META  EM PEÇAS'!W36-('META  EM PEÇAS'!W36*0.05)</f>
        <v>2474.6834999999996</v>
      </c>
      <c r="CA47" s="91">
        <f>'META  EM PEÇAS'!X36-('META  EM PEÇAS'!X36*0.05)</f>
        <v>2980.0454999999997</v>
      </c>
      <c r="CB47" s="91">
        <f>'META  EM PEÇAS'!Y36-('META  EM PEÇAS'!Y36*0.05)</f>
        <v>3584.3594999999996</v>
      </c>
      <c r="CC47" s="91">
        <f>'META  EM PEÇAS'!Z36-('META  EM PEÇAS'!Z36*0.05)</f>
        <v>2396.0519999999997</v>
      </c>
      <c r="CD47" s="91">
        <f>'META  EM PEÇAS'!AA36-('META  EM PEÇAS'!AA36*0.05)</f>
        <v>2485.2854999999995</v>
      </c>
      <c r="CE47" s="91">
        <f>'META  EM PEÇAS'!AB36-('META  EM PEÇAS'!AB36*0.05)</f>
        <v>2696.4419999999996</v>
      </c>
      <c r="CF47" s="91">
        <f>'META  EM PEÇAS'!AC36-('META  EM PEÇAS'!AC36*0.05)</f>
        <v>3454.4849999999997</v>
      </c>
      <c r="CG47" s="91">
        <f>'META  EM PEÇAS'!AD36-('META  EM PEÇAS'!AD36*0.05)</f>
        <v>4868.0849999999991</v>
      </c>
      <c r="CH47" s="91">
        <f t="shared" si="82"/>
        <v>34378.519499999995</v>
      </c>
      <c r="CJ47" s="91">
        <v>2737.9199999999996</v>
      </c>
      <c r="CK47" s="91">
        <v>2116.6799999999998</v>
      </c>
      <c r="CL47" s="91">
        <v>2379.2655</v>
      </c>
      <c r="CM47" s="91">
        <v>2205.2159999999999</v>
      </c>
      <c r="CN47" s="91">
        <v>2474.6834999999996</v>
      </c>
      <c r="CO47" s="91">
        <v>2980.0454999999997</v>
      </c>
      <c r="CP47" s="91">
        <v>3584.3594999999996</v>
      </c>
      <c r="CQ47" s="91">
        <v>2396.0519999999997</v>
      </c>
      <c r="CR47" s="91">
        <v>2485.2854999999995</v>
      </c>
      <c r="CS47" s="91">
        <v>2696.4419999999996</v>
      </c>
      <c r="CT47" s="91">
        <v>3454.4849999999997</v>
      </c>
      <c r="CU47" s="91">
        <v>4868.0849999999991</v>
      </c>
      <c r="CV47" s="91">
        <v>34378.519499999995</v>
      </c>
      <c r="CX47" s="91">
        <v>2737.9199999999996</v>
      </c>
      <c r="CY47" s="91">
        <v>2116.6799999999998</v>
      </c>
      <c r="CZ47" s="91">
        <v>2379.2655</v>
      </c>
      <c r="DA47" s="91">
        <v>2205.2159999999999</v>
      </c>
      <c r="DB47" s="91">
        <v>2474.6834999999996</v>
      </c>
      <c r="DC47" s="91">
        <v>2980.0454999999997</v>
      </c>
      <c r="DD47" s="91">
        <v>3584.3594999999996</v>
      </c>
      <c r="DE47" s="91">
        <v>2396.0519999999997</v>
      </c>
      <c r="DF47" s="91">
        <v>2485.2854999999995</v>
      </c>
      <c r="DG47" s="91">
        <v>2696.4419999999996</v>
      </c>
      <c r="DH47" s="91">
        <v>3454.4849999999997</v>
      </c>
      <c r="DI47" s="91">
        <v>4868.0849999999991</v>
      </c>
      <c r="DJ47" s="91">
        <v>34378.519499999995</v>
      </c>
    </row>
    <row r="48" spans="1:114" ht="15" customHeight="1" outlineLevel="1">
      <c r="A48" s="94">
        <v>15</v>
      </c>
      <c r="B48" s="210" t="s">
        <v>70</v>
      </c>
      <c r="C48" s="212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314"/>
      <c r="Q48" s="90"/>
      <c r="R48" s="313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91">
        <v>0</v>
      </c>
      <c r="Z48" s="91">
        <v>2000</v>
      </c>
      <c r="AA48" s="91">
        <v>800</v>
      </c>
      <c r="AB48" s="91">
        <v>800</v>
      </c>
      <c r="AC48" s="91">
        <v>1500</v>
      </c>
      <c r="AD48" s="315">
        <f t="shared" si="78"/>
        <v>5100</v>
      </c>
      <c r="AE48" s="23"/>
      <c r="AF48" s="316">
        <v>1800</v>
      </c>
      <c r="AG48" s="91">
        <v>1200</v>
      </c>
      <c r="AH48" s="91">
        <f>1800*0.4</f>
        <v>720</v>
      </c>
      <c r="AI48" s="91">
        <v>1147</v>
      </c>
      <c r="AJ48" s="91">
        <v>1155</v>
      </c>
      <c r="AK48" s="91">
        <v>1600</v>
      </c>
      <c r="AL48" s="91">
        <v>1800</v>
      </c>
      <c r="AM48" s="91">
        <v>2000</v>
      </c>
      <c r="AN48" s="91">
        <v>2000</v>
      </c>
      <c r="AO48" s="91">
        <v>2000</v>
      </c>
      <c r="AP48" s="91">
        <v>2200</v>
      </c>
      <c r="AQ48" s="91">
        <v>3200</v>
      </c>
      <c r="AR48" s="92">
        <f t="shared" si="79"/>
        <v>20822</v>
      </c>
      <c r="AS48" s="23"/>
      <c r="AT48" s="91">
        <v>1544</v>
      </c>
      <c r="AU48" s="91">
        <v>1544</v>
      </c>
      <c r="AV48" s="91">
        <v>1544</v>
      </c>
      <c r="AW48" s="91">
        <v>1544</v>
      </c>
      <c r="AX48" s="317">
        <v>862</v>
      </c>
      <c r="AY48" s="317">
        <v>862</v>
      </c>
      <c r="AZ48" s="317">
        <v>823</v>
      </c>
      <c r="BA48" s="317">
        <v>823</v>
      </c>
      <c r="BB48" s="317">
        <v>862</v>
      </c>
      <c r="BC48" s="317">
        <v>1019</v>
      </c>
      <c r="BD48" s="317">
        <v>1098</v>
      </c>
      <c r="BE48" s="317">
        <v>1568</v>
      </c>
      <c r="BF48" s="91">
        <f t="shared" si="80"/>
        <v>14093</v>
      </c>
      <c r="BG48" s="93">
        <f t="shared" si="81"/>
        <v>-0.32316780328498707</v>
      </c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>
        <v>21133</v>
      </c>
      <c r="BU48" s="54"/>
      <c r="BV48" s="91">
        <v>3593.52</v>
      </c>
      <c r="BW48" s="91">
        <v>2776.98</v>
      </c>
      <c r="BX48" s="91">
        <f>'META  EM PEÇAS'!U38-('META  EM PEÇAS'!U38*0.05)</f>
        <v>3122.2889999999998</v>
      </c>
      <c r="BY48" s="91">
        <f>'META  EM PEÇAS'!V38-('META  EM PEÇAS'!V38*0.05)</f>
        <v>2893.4625000000001</v>
      </c>
      <c r="BZ48" s="91">
        <f>'META  EM PEÇAS'!W38-('META  EM PEÇAS'!W38*0.05)</f>
        <v>3247.7459999999996</v>
      </c>
      <c r="CA48" s="91">
        <f>'META  EM PEÇAS'!X38-('META  EM PEÇAS'!X38*0.05)</f>
        <v>3910.3709999999992</v>
      </c>
      <c r="CB48" s="91">
        <f>'META  EM PEÇAS'!Y38-('META  EM PEÇAS'!Y38*0.05)</f>
        <v>4703.7539999999999</v>
      </c>
      <c r="CC48" s="91">
        <f>'META  EM PEÇAS'!Z38-('META  EM PEÇAS'!Z38*0.05)</f>
        <v>3144.3764999999999</v>
      </c>
      <c r="CD48" s="91">
        <f>'META  EM PEÇAS'!AA38-('META  EM PEÇAS'!AA38*0.05)</f>
        <v>3260.9984999999997</v>
      </c>
      <c r="CE48" s="91">
        <f>'META  EM PEÇAS'!AB38-('META  EM PEÇAS'!AB38*0.05)</f>
        <v>3539.3009999999999</v>
      </c>
      <c r="CF48" s="91">
        <f>'META  EM PEÇAS'!AC38-('META  EM PEÇAS'!AC38*0.05)</f>
        <v>4533.2384999999995</v>
      </c>
      <c r="CG48" s="91">
        <f>'META  EM PEÇAS'!AD38-('META  EM PEÇAS'!AD38*0.05)</f>
        <v>6387.7049999999999</v>
      </c>
      <c r="CH48" s="91">
        <f t="shared" si="82"/>
        <v>45113.741999999998</v>
      </c>
      <c r="CJ48" s="91">
        <v>3593.52</v>
      </c>
      <c r="CK48" s="91">
        <v>2776.98</v>
      </c>
      <c r="CL48" s="91">
        <v>3122.2889999999998</v>
      </c>
      <c r="CM48" s="91">
        <v>2893.4625000000001</v>
      </c>
      <c r="CN48" s="91">
        <v>3247.7459999999996</v>
      </c>
      <c r="CO48" s="91">
        <v>3910.3709999999992</v>
      </c>
      <c r="CP48" s="91">
        <v>4703.7539999999999</v>
      </c>
      <c r="CQ48" s="91">
        <v>3144.3764999999999</v>
      </c>
      <c r="CR48" s="91">
        <v>3260.9984999999997</v>
      </c>
      <c r="CS48" s="91">
        <v>3539.3009999999999</v>
      </c>
      <c r="CT48" s="91">
        <v>4533.2384999999995</v>
      </c>
      <c r="CU48" s="91">
        <v>6387.7049999999999</v>
      </c>
      <c r="CV48" s="91">
        <v>45113.741999999998</v>
      </c>
      <c r="CX48" s="91">
        <v>3593.52</v>
      </c>
      <c r="CY48" s="91">
        <v>2776.98</v>
      </c>
      <c r="CZ48" s="91">
        <v>3122.2889999999998</v>
      </c>
      <c r="DA48" s="91">
        <v>2893.4625000000001</v>
      </c>
      <c r="DB48" s="91">
        <v>3247.7459999999996</v>
      </c>
      <c r="DC48" s="91">
        <v>3910.3709999999992</v>
      </c>
      <c r="DD48" s="91">
        <v>4703.7539999999999</v>
      </c>
      <c r="DE48" s="91">
        <v>3144.3764999999999</v>
      </c>
      <c r="DF48" s="91">
        <v>3260.9984999999997</v>
      </c>
      <c r="DG48" s="91">
        <v>3539.3009999999999</v>
      </c>
      <c r="DH48" s="91">
        <v>4533.2384999999995</v>
      </c>
      <c r="DI48" s="91">
        <v>6387.7049999999999</v>
      </c>
      <c r="DJ48" s="91">
        <v>45113.741999999998</v>
      </c>
    </row>
    <row r="49" spans="1:114" ht="15" customHeight="1" outlineLevel="1">
      <c r="A49" s="94">
        <v>16</v>
      </c>
      <c r="B49" s="216" t="s">
        <v>71</v>
      </c>
      <c r="C49" s="212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/>
      <c r="Q49" s="90"/>
      <c r="R49" s="313"/>
      <c r="S49" s="91"/>
      <c r="T49" s="91"/>
      <c r="U49" s="91"/>
      <c r="V49" s="91"/>
      <c r="W49" s="91"/>
      <c r="X49" s="91"/>
      <c r="Y49" s="91"/>
      <c r="Z49" s="91"/>
      <c r="AA49" s="91">
        <v>800</v>
      </c>
      <c r="AB49" s="91">
        <v>800</v>
      </c>
      <c r="AC49" s="91">
        <v>1500</v>
      </c>
      <c r="AD49" s="315"/>
      <c r="AE49" s="23"/>
      <c r="AF49" s="316">
        <v>1500</v>
      </c>
      <c r="AG49" s="91">
        <v>1200</v>
      </c>
      <c r="AH49" s="91">
        <f>1500*0.15</f>
        <v>225</v>
      </c>
      <c r="AI49" s="91">
        <v>192</v>
      </c>
      <c r="AJ49" s="91">
        <v>663</v>
      </c>
      <c r="AK49" s="91">
        <v>800</v>
      </c>
      <c r="AL49" s="91">
        <v>1500</v>
      </c>
      <c r="AM49" s="91">
        <v>1000</v>
      </c>
      <c r="AN49" s="91">
        <v>1000</v>
      </c>
      <c r="AO49" s="91">
        <v>1000</v>
      </c>
      <c r="AP49" s="91">
        <v>1100</v>
      </c>
      <c r="AQ49" s="91">
        <v>1600</v>
      </c>
      <c r="AR49" s="92">
        <f t="shared" si="79"/>
        <v>11780</v>
      </c>
      <c r="AS49" s="23"/>
      <c r="AT49" s="91">
        <v>960</v>
      </c>
      <c r="AU49" s="91">
        <v>960</v>
      </c>
      <c r="AV49" s="91">
        <v>960</v>
      </c>
      <c r="AW49" s="91">
        <v>960</v>
      </c>
      <c r="AX49" s="317">
        <v>1414</v>
      </c>
      <c r="AY49" s="317">
        <v>1414</v>
      </c>
      <c r="AZ49" s="317">
        <v>1350</v>
      </c>
      <c r="BA49" s="317">
        <v>1350</v>
      </c>
      <c r="BB49" s="317">
        <v>1414</v>
      </c>
      <c r="BC49" s="317">
        <v>1671</v>
      </c>
      <c r="BD49" s="317">
        <v>1800</v>
      </c>
      <c r="BE49" s="317">
        <v>2571</v>
      </c>
      <c r="BF49" s="91">
        <f t="shared" si="80"/>
        <v>16824</v>
      </c>
      <c r="BG49" s="93">
        <f t="shared" si="81"/>
        <v>0.42818336162988113</v>
      </c>
      <c r="BH49" s="91">
        <v>900</v>
      </c>
      <c r="BI49" s="91">
        <v>643</v>
      </c>
      <c r="BJ49" s="91">
        <v>891</v>
      </c>
      <c r="BK49" s="91">
        <v>679</v>
      </c>
      <c r="BL49" s="91">
        <v>940</v>
      </c>
      <c r="BM49" s="91">
        <v>948</v>
      </c>
      <c r="BN49" s="91">
        <v>1124</v>
      </c>
      <c r="BO49" s="91">
        <v>913</v>
      </c>
      <c r="BP49" s="91">
        <v>911</v>
      </c>
      <c r="BQ49" s="91">
        <v>898</v>
      </c>
      <c r="BR49" s="91">
        <v>1465</v>
      </c>
      <c r="BS49" s="91">
        <v>1278</v>
      </c>
      <c r="BT49" s="91">
        <f>SUM(BH49:BS49)</f>
        <v>11590</v>
      </c>
      <c r="BU49" s="54"/>
      <c r="BV49" s="91">
        <f>'META  EM PEÇAS'!T47</f>
        <v>1749.7324726431702</v>
      </c>
      <c r="BW49" s="91">
        <f>'META  EM PEÇAS'!T48</f>
        <v>1701.1287928475265</v>
      </c>
      <c r="BX49" s="91">
        <f>'META  EM PEÇAS'!T49</f>
        <v>1846.9398322344578</v>
      </c>
      <c r="BY49" s="91">
        <f>'META  EM PEÇAS'!T50</f>
        <v>1701.1287928475265</v>
      </c>
      <c r="BZ49" s="91">
        <f>'META  EM PEÇAS'!T51</f>
        <v>1846.9398322344578</v>
      </c>
      <c r="CA49" s="91">
        <f>'META  EM PEÇAS'!T52</f>
        <v>1749.7324726431702</v>
      </c>
      <c r="CB49" s="91">
        <f>'META  EM PEÇAS'!T53</f>
        <v>2138.5619110083194</v>
      </c>
      <c r="CC49" s="91">
        <f>'META  EM PEÇAS'!T54</f>
        <v>1749.7324726431702</v>
      </c>
      <c r="CD49" s="91">
        <f>'META  EM PEÇAS'!T55</f>
        <v>1749.7324726431702</v>
      </c>
      <c r="CE49" s="91">
        <f>'META  EM PEÇAS'!T56</f>
        <v>1749.7324726431702</v>
      </c>
      <c r="CF49" s="91">
        <f>'META  EM PEÇAS'!T57</f>
        <v>2721.8060685560426</v>
      </c>
      <c r="CG49" s="91">
        <f>'META  EM PEÇAS'!T58</f>
        <v>1944.1471918257448</v>
      </c>
      <c r="CH49" s="91">
        <f t="shared" si="82"/>
        <v>22649.314784769926</v>
      </c>
      <c r="CJ49" s="91">
        <v>1749.7324726431702</v>
      </c>
      <c r="CK49" s="91">
        <v>1701.1287928475265</v>
      </c>
      <c r="CL49" s="91">
        <v>1846.9398322344578</v>
      </c>
      <c r="CM49" s="91">
        <v>1701.1287928475265</v>
      </c>
      <c r="CN49" s="91">
        <v>1846.9398322344578</v>
      </c>
      <c r="CO49" s="91">
        <v>1749.7324726431702</v>
      </c>
      <c r="CP49" s="91">
        <v>2138.5619110083194</v>
      </c>
      <c r="CQ49" s="91">
        <v>1749.7324726431702</v>
      </c>
      <c r="CR49" s="91">
        <v>1749.7324726431702</v>
      </c>
      <c r="CS49" s="91">
        <v>1749.7324726431702</v>
      </c>
      <c r="CT49" s="91">
        <v>2721.8060685560426</v>
      </c>
      <c r="CU49" s="91">
        <v>1944.1471918257448</v>
      </c>
      <c r="CV49" s="91">
        <v>22649.314784769926</v>
      </c>
      <c r="CX49" s="91">
        <v>1749.7324726431702</v>
      </c>
      <c r="CY49" s="91">
        <v>1701.1287928475265</v>
      </c>
      <c r="CZ49" s="91">
        <v>1846.9398322344578</v>
      </c>
      <c r="DA49" s="91">
        <v>1701.1287928475265</v>
      </c>
      <c r="DB49" s="91">
        <v>1846.9398322344578</v>
      </c>
      <c r="DC49" s="91">
        <v>1749.7324726431702</v>
      </c>
      <c r="DD49" s="91">
        <v>2138.5619110083194</v>
      </c>
      <c r="DE49" s="91">
        <v>1749.7324726431702</v>
      </c>
      <c r="DF49" s="91">
        <v>1749.7324726431702</v>
      </c>
      <c r="DG49" s="91">
        <v>1749.7324726431702</v>
      </c>
      <c r="DH49" s="91">
        <v>2721.8060685560426</v>
      </c>
      <c r="DI49" s="91">
        <v>1944.1471918257448</v>
      </c>
      <c r="DJ49" s="91">
        <v>22649.314784769926</v>
      </c>
    </row>
    <row r="50" spans="1:114" ht="15" customHeight="1" outlineLevel="1">
      <c r="A50" s="94"/>
      <c r="B50" s="210"/>
      <c r="C50" s="213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0</v>
      </c>
      <c r="AG50" s="91">
        <v>0</v>
      </c>
      <c r="AH50" s="91">
        <v>0</v>
      </c>
      <c r="AI50" s="91">
        <v>0</v>
      </c>
      <c r="AJ50" s="91">
        <v>0</v>
      </c>
      <c r="AK50" s="91">
        <v>400</v>
      </c>
      <c r="AL50" s="91">
        <v>500</v>
      </c>
      <c r="AM50" s="91">
        <v>500</v>
      </c>
      <c r="AN50" s="91">
        <v>600</v>
      </c>
      <c r="AO50" s="91">
        <v>600</v>
      </c>
      <c r="AP50" s="91">
        <v>660</v>
      </c>
      <c r="AQ50" s="91">
        <v>960</v>
      </c>
      <c r="AR50" s="92">
        <f t="shared" si="79"/>
        <v>4220</v>
      </c>
      <c r="AS50" s="23"/>
      <c r="AT50" s="91">
        <v>960</v>
      </c>
      <c r="AU50" s="91">
        <v>960</v>
      </c>
      <c r="AV50" s="91">
        <v>960</v>
      </c>
      <c r="AW50" s="91">
        <v>960</v>
      </c>
      <c r="AX50" s="317">
        <v>580</v>
      </c>
      <c r="AY50" s="317">
        <v>580</v>
      </c>
      <c r="AZ50" s="317">
        <v>554</v>
      </c>
      <c r="BA50" s="317">
        <v>554</v>
      </c>
      <c r="BB50" s="317">
        <v>580</v>
      </c>
      <c r="BC50" s="317">
        <v>686</v>
      </c>
      <c r="BD50" s="317">
        <v>739</v>
      </c>
      <c r="BE50" s="317">
        <v>1055</v>
      </c>
      <c r="BF50" s="91">
        <f t="shared" si="80"/>
        <v>9168</v>
      </c>
      <c r="BG50" s="93">
        <f t="shared" si="81"/>
        <v>1.172511848341232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54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J50" s="91"/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</row>
    <row r="51" spans="1:114" ht="15" customHeight="1" outlineLevel="1">
      <c r="A51" s="95"/>
      <c r="B51" s="216"/>
      <c r="C51" s="420"/>
      <c r="D51" s="421"/>
      <c r="E51" s="422"/>
      <c r="F51" s="422"/>
      <c r="G51" s="422"/>
      <c r="H51" s="422"/>
      <c r="I51" s="422"/>
      <c r="J51" s="422"/>
      <c r="K51" s="422"/>
      <c r="L51" s="422"/>
      <c r="M51" s="422"/>
      <c r="N51" s="422"/>
      <c r="O51" s="422"/>
      <c r="P51" s="423"/>
      <c r="Q51" s="424"/>
      <c r="R51" s="421"/>
      <c r="S51" s="425"/>
      <c r="T51" s="425"/>
      <c r="U51" s="425"/>
      <c r="V51" s="425"/>
      <c r="W51" s="425"/>
      <c r="X51" s="425"/>
      <c r="Y51" s="425"/>
      <c r="Z51" s="425"/>
      <c r="AA51" s="425"/>
      <c r="AB51" s="425"/>
      <c r="AC51" s="425"/>
      <c r="AD51" s="426"/>
      <c r="AE51" s="427"/>
      <c r="AF51" s="428">
        <v>0</v>
      </c>
      <c r="AG51" s="425">
        <v>0</v>
      </c>
      <c r="AH51" s="425">
        <v>0</v>
      </c>
      <c r="AI51" s="425">
        <v>0</v>
      </c>
      <c r="AJ51" s="425">
        <v>0</v>
      </c>
      <c r="AK51" s="425">
        <v>0</v>
      </c>
      <c r="AL51" s="425">
        <v>2500</v>
      </c>
      <c r="AM51" s="425">
        <v>2000</v>
      </c>
      <c r="AN51" s="425">
        <v>500</v>
      </c>
      <c r="AO51" s="425">
        <v>600</v>
      </c>
      <c r="AP51" s="425">
        <v>660</v>
      </c>
      <c r="AQ51" s="425">
        <v>960</v>
      </c>
      <c r="AR51" s="429">
        <f t="shared" si="79"/>
        <v>7220</v>
      </c>
      <c r="AS51" s="23"/>
      <c r="AT51" s="425">
        <v>1518</v>
      </c>
      <c r="AU51" s="425">
        <v>1518</v>
      </c>
      <c r="AV51" s="425">
        <v>1518</v>
      </c>
      <c r="AW51" s="425">
        <v>1518</v>
      </c>
      <c r="AX51" s="317">
        <v>1943</v>
      </c>
      <c r="AY51" s="317">
        <v>1943</v>
      </c>
      <c r="AZ51" s="317">
        <v>1854</v>
      </c>
      <c r="BA51" s="317">
        <v>1854</v>
      </c>
      <c r="BB51" s="317">
        <v>1943</v>
      </c>
      <c r="BC51" s="317">
        <v>2296</v>
      </c>
      <c r="BD51" s="317">
        <v>2472</v>
      </c>
      <c r="BE51" s="317">
        <v>3532</v>
      </c>
      <c r="BF51" s="425">
        <f t="shared" si="80"/>
        <v>23909</v>
      </c>
      <c r="BG51" s="93">
        <f t="shared" si="81"/>
        <v>2.3114958448753464</v>
      </c>
      <c r="BH51" s="425"/>
      <c r="BI51" s="425"/>
      <c r="BJ51" s="425"/>
      <c r="BK51" s="425"/>
      <c r="BL51" s="91"/>
      <c r="BM51" s="91"/>
      <c r="BN51" s="91"/>
      <c r="BO51" s="91"/>
      <c r="BP51" s="91"/>
      <c r="BQ51" s="91"/>
      <c r="BR51" s="91"/>
      <c r="BS51" s="91"/>
      <c r="BT51" s="91"/>
      <c r="BU51" s="54"/>
      <c r="BV51" s="425"/>
      <c r="BW51" s="425"/>
      <c r="BX51" s="425"/>
      <c r="BY51" s="425"/>
      <c r="BZ51" s="91"/>
      <c r="CA51" s="91"/>
      <c r="CB51" s="91"/>
      <c r="CC51" s="91"/>
      <c r="CD51" s="91"/>
      <c r="CE51" s="91"/>
      <c r="CF51" s="91"/>
      <c r="CG51" s="91"/>
      <c r="CH51" s="91"/>
      <c r="CJ51" s="425"/>
      <c r="CK51" s="425"/>
      <c r="CL51" s="425"/>
      <c r="CM51" s="425"/>
      <c r="CN51" s="91"/>
      <c r="CO51" s="91"/>
      <c r="CP51" s="91"/>
      <c r="CQ51" s="91"/>
      <c r="CR51" s="91"/>
      <c r="CS51" s="91"/>
      <c r="CT51" s="91"/>
      <c r="CU51" s="91"/>
      <c r="CV51" s="91"/>
      <c r="CX51" s="425"/>
      <c r="CY51" s="425"/>
      <c r="CZ51" s="425"/>
      <c r="DA51" s="425"/>
      <c r="DB51" s="91"/>
      <c r="DC51" s="91"/>
      <c r="DD51" s="91"/>
      <c r="DE51" s="91"/>
      <c r="DF51" s="91"/>
      <c r="DG51" s="91"/>
      <c r="DH51" s="91"/>
      <c r="DI51" s="91"/>
      <c r="DJ51" s="91"/>
    </row>
    <row r="52" spans="1:114" ht="15" customHeight="1" outlineLevel="1">
      <c r="A52" s="434"/>
      <c r="B52" s="1093"/>
      <c r="C52" s="1094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6"/>
      <c r="AF52" s="437">
        <v>0</v>
      </c>
      <c r="AG52" s="437">
        <v>0</v>
      </c>
      <c r="AH52" s="437">
        <v>0</v>
      </c>
      <c r="AI52" s="437">
        <v>0</v>
      </c>
      <c r="AJ52" s="437">
        <v>0</v>
      </c>
      <c r="AK52" s="437">
        <v>0</v>
      </c>
      <c r="AL52" s="437">
        <v>0</v>
      </c>
      <c r="AM52" s="437">
        <v>0</v>
      </c>
      <c r="AN52" s="437">
        <v>0</v>
      </c>
      <c r="AO52" s="437">
        <v>0</v>
      </c>
      <c r="AP52" s="437">
        <v>0</v>
      </c>
      <c r="AQ52" s="437">
        <v>0</v>
      </c>
      <c r="AR52" s="438">
        <f t="shared" si="79"/>
        <v>0</v>
      </c>
      <c r="AS52" s="322"/>
      <c r="AT52" s="437">
        <v>0</v>
      </c>
      <c r="AU52" s="437">
        <v>0</v>
      </c>
      <c r="AV52" s="437">
        <v>0</v>
      </c>
      <c r="AW52" s="437">
        <v>0</v>
      </c>
      <c r="AX52" s="439">
        <v>800</v>
      </c>
      <c r="AY52" s="317">
        <v>800</v>
      </c>
      <c r="AZ52" s="317">
        <v>800</v>
      </c>
      <c r="BA52" s="317">
        <v>1050</v>
      </c>
      <c r="BB52" s="317">
        <v>1100</v>
      </c>
      <c r="BC52" s="317">
        <v>1300</v>
      </c>
      <c r="BD52" s="317">
        <v>1400</v>
      </c>
      <c r="BE52" s="440">
        <v>2000</v>
      </c>
      <c r="BF52" s="437">
        <f t="shared" si="80"/>
        <v>9250</v>
      </c>
      <c r="BG52" s="325" t="e">
        <f t="shared" si="81"/>
        <v>#DIV/0!</v>
      </c>
      <c r="BH52" s="437"/>
      <c r="BI52" s="437"/>
      <c r="BJ52" s="437"/>
      <c r="BK52" s="437"/>
      <c r="BL52" s="439"/>
      <c r="BM52" s="317"/>
      <c r="BN52" s="317"/>
      <c r="BO52" s="317"/>
      <c r="BP52" s="317"/>
      <c r="BQ52" s="317"/>
      <c r="BR52" s="317"/>
      <c r="BS52" s="317"/>
      <c r="BT52" s="317"/>
      <c r="BU52" s="326"/>
      <c r="BV52" s="443"/>
      <c r="BW52" s="443"/>
      <c r="BX52" s="443"/>
      <c r="BY52" s="443"/>
      <c r="BZ52" s="444"/>
      <c r="CA52" s="317"/>
      <c r="CB52" s="317"/>
      <c r="CC52" s="317"/>
      <c r="CD52" s="317"/>
      <c r="CE52" s="317"/>
      <c r="CF52" s="317"/>
      <c r="CG52" s="317"/>
      <c r="CH52" s="317"/>
      <c r="CJ52" s="443"/>
      <c r="CK52" s="443"/>
      <c r="CL52" s="443"/>
      <c r="CM52" s="443"/>
      <c r="CN52" s="444"/>
      <c r="CO52" s="317"/>
      <c r="CP52" s="317"/>
      <c r="CQ52" s="317"/>
      <c r="CR52" s="317"/>
      <c r="CS52" s="317"/>
      <c r="CT52" s="317"/>
      <c r="CU52" s="317"/>
      <c r="CV52" s="317"/>
      <c r="CX52" s="443"/>
      <c r="CY52" s="443"/>
      <c r="CZ52" s="443"/>
      <c r="DA52" s="443"/>
      <c r="DB52" s="444"/>
      <c r="DC52" s="317"/>
      <c r="DD52" s="317"/>
      <c r="DE52" s="317"/>
      <c r="DF52" s="317"/>
      <c r="DG52" s="317"/>
      <c r="DH52" s="317"/>
      <c r="DI52" s="317"/>
      <c r="DJ52" s="317"/>
    </row>
    <row r="53" spans="1:114" ht="15" customHeight="1" outlineLevel="1">
      <c r="A53" s="430"/>
      <c r="B53" s="214"/>
      <c r="C53" s="431"/>
      <c r="D53" s="424"/>
      <c r="E53" s="424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32"/>
      <c r="T53" s="432"/>
      <c r="U53" s="432"/>
      <c r="V53" s="432"/>
      <c r="W53" s="432"/>
      <c r="X53" s="432"/>
      <c r="Y53" s="432"/>
      <c r="Z53" s="432"/>
      <c r="AA53" s="432"/>
      <c r="AB53" s="432"/>
      <c r="AC53" s="432"/>
      <c r="AD53" s="432"/>
      <c r="AE53" s="427"/>
      <c r="AF53" s="432"/>
      <c r="AG53" s="432"/>
      <c r="AH53" s="432"/>
      <c r="AI53" s="432"/>
      <c r="AJ53" s="432"/>
      <c r="AK53" s="432"/>
      <c r="AL53" s="432"/>
      <c r="AM53" s="432"/>
      <c r="AN53" s="432"/>
      <c r="AO53" s="432"/>
      <c r="AP53" s="432"/>
      <c r="AQ53" s="432"/>
      <c r="AR53" s="433"/>
      <c r="AS53" s="23"/>
      <c r="AT53" s="97"/>
      <c r="AU53" s="97"/>
      <c r="AV53" s="97"/>
      <c r="AW53" s="97"/>
      <c r="AX53" s="91"/>
      <c r="AY53" s="91"/>
      <c r="AZ53" s="91"/>
      <c r="BA53" s="91"/>
      <c r="BB53" s="91"/>
      <c r="BC53" s="91"/>
      <c r="BD53" s="91">
        <v>600</v>
      </c>
      <c r="BE53" s="315">
        <v>700</v>
      </c>
      <c r="BF53" s="437">
        <f t="shared" si="80"/>
        <v>1300</v>
      </c>
      <c r="BG53" s="93"/>
      <c r="BH53" s="442"/>
      <c r="BI53" s="442"/>
      <c r="BJ53" s="442"/>
      <c r="BK53" s="442"/>
      <c r="BL53" s="316"/>
      <c r="BM53" s="91"/>
      <c r="BN53" s="91"/>
      <c r="BO53" s="91"/>
      <c r="BP53" s="91"/>
      <c r="BQ53" s="91"/>
      <c r="BR53" s="91"/>
      <c r="BS53" s="91"/>
      <c r="BT53" s="91"/>
      <c r="BU53" s="54"/>
      <c r="BV53" s="442"/>
      <c r="BW53" s="442"/>
      <c r="BX53" s="442"/>
      <c r="BY53" s="442"/>
      <c r="BZ53" s="442"/>
      <c r="CA53" s="316"/>
      <c r="CB53" s="91">
        <v>60</v>
      </c>
      <c r="CC53" s="91"/>
      <c r="CD53" s="91"/>
      <c r="CE53" s="91"/>
      <c r="CF53" s="91"/>
      <c r="CG53" s="91"/>
      <c r="CH53" s="91"/>
      <c r="CJ53" s="708">
        <f>(CJ55-CJ54)/CJ54</f>
        <v>0.03</v>
      </c>
      <c r="CK53" s="708">
        <f t="shared" ref="CK53:CU53" si="86">(CK55-CK54)/CK54</f>
        <v>3.0000000000000079E-2</v>
      </c>
      <c r="CL53" s="708">
        <f t="shared" si="86"/>
        <v>3.0000000000000058E-2</v>
      </c>
      <c r="CM53" s="708">
        <f t="shared" si="86"/>
        <v>3.0000000000000034E-2</v>
      </c>
      <c r="CN53" s="708">
        <f t="shared" si="86"/>
        <v>3.000000000000011E-2</v>
      </c>
      <c r="CO53" s="708">
        <f t="shared" si="86"/>
        <v>3.000000000000012E-2</v>
      </c>
      <c r="CP53" s="708">
        <f t="shared" si="86"/>
        <v>3.0000000000000113E-2</v>
      </c>
      <c r="CQ53" s="708">
        <f t="shared" si="86"/>
        <v>3.0000000000000127E-2</v>
      </c>
      <c r="CR53" s="708">
        <f t="shared" si="86"/>
        <v>3.0000000000000068E-2</v>
      </c>
      <c r="CS53" s="708">
        <f t="shared" si="86"/>
        <v>2.9999999999999982E-2</v>
      </c>
      <c r="CT53" s="708">
        <f t="shared" si="86"/>
        <v>2.9999999999999961E-2</v>
      </c>
      <c r="CU53" s="708">
        <f t="shared" si="86"/>
        <v>0.03</v>
      </c>
      <c r="CV53" s="91"/>
      <c r="CX53" s="442"/>
      <c r="CY53" s="442"/>
      <c r="CZ53" s="442"/>
      <c r="DA53" s="442"/>
      <c r="DB53" s="442"/>
      <c r="DC53" s="316"/>
      <c r="DD53" s="91"/>
      <c r="DE53" s="91"/>
      <c r="DF53" s="91"/>
      <c r="DG53" s="91"/>
      <c r="DH53" s="91"/>
      <c r="DI53" s="91"/>
      <c r="DJ53" s="91"/>
    </row>
    <row r="54" spans="1:114" ht="15" customHeight="1" outlineLevel="1">
      <c r="A54" s="95"/>
      <c r="B54" s="216" t="s">
        <v>71</v>
      </c>
      <c r="C54" s="211"/>
      <c r="D54" s="313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314">
        <f t="shared" ref="P54:P55" si="87">SUM(D54:O54)</f>
        <v>0</v>
      </c>
      <c r="Q54" s="90"/>
      <c r="R54" s="313">
        <v>350</v>
      </c>
      <c r="S54" s="91">
        <v>350</v>
      </c>
      <c r="T54" s="91">
        <v>450</v>
      </c>
      <c r="U54" s="91">
        <v>800</v>
      </c>
      <c r="V54" s="91">
        <v>531</v>
      </c>
      <c r="W54" s="91">
        <v>750</v>
      </c>
      <c r="X54" s="91">
        <v>650</v>
      </c>
      <c r="Y54" s="91">
        <v>750</v>
      </c>
      <c r="Z54" s="91">
        <v>900</v>
      </c>
      <c r="AA54" s="91">
        <v>1000</v>
      </c>
      <c r="AB54" s="91">
        <v>1200</v>
      </c>
      <c r="AC54" s="91">
        <v>1500</v>
      </c>
      <c r="AD54" s="315">
        <f t="shared" ref="AD54:AD55" si="88">SUM(R54:AC54)</f>
        <v>9231</v>
      </c>
      <c r="AE54" s="23"/>
      <c r="AF54" s="316">
        <v>1500</v>
      </c>
      <c r="AG54" s="91">
        <v>800</v>
      </c>
      <c r="AH54" s="91">
        <v>800</v>
      </c>
      <c r="AI54" s="91">
        <v>1820</v>
      </c>
      <c r="AJ54" s="91">
        <v>1630</v>
      </c>
      <c r="AK54" s="91">
        <v>1360</v>
      </c>
      <c r="AL54" s="91">
        <v>1000</v>
      </c>
      <c r="AM54" s="91">
        <v>1700</v>
      </c>
      <c r="AN54" s="91">
        <v>1700</v>
      </c>
      <c r="AO54" s="91">
        <v>1700</v>
      </c>
      <c r="AP54" s="91">
        <v>1870</v>
      </c>
      <c r="AQ54" s="91">
        <v>2720</v>
      </c>
      <c r="AR54" s="92">
        <f t="shared" ref="AR54:AR55" si="89">SUM(AF54:AQ54)</f>
        <v>18600</v>
      </c>
      <c r="AS54" s="23"/>
      <c r="AT54" s="91">
        <v>2053</v>
      </c>
      <c r="AU54" s="91">
        <v>2053</v>
      </c>
      <c r="AV54" s="91">
        <v>2053</v>
      </c>
      <c r="AW54" s="91">
        <v>2053</v>
      </c>
      <c r="AX54" s="91">
        <v>2807</v>
      </c>
      <c r="AY54" s="91">
        <v>2807</v>
      </c>
      <c r="AZ54" s="91">
        <v>2680</v>
      </c>
      <c r="BA54" s="91">
        <v>2680</v>
      </c>
      <c r="BB54" s="91">
        <v>2807</v>
      </c>
      <c r="BC54" s="91">
        <v>3318</v>
      </c>
      <c r="BD54" s="91">
        <v>5870</v>
      </c>
      <c r="BE54" s="91">
        <v>5104</v>
      </c>
      <c r="BF54" s="441">
        <f t="shared" si="80"/>
        <v>36285</v>
      </c>
      <c r="BG54" s="93">
        <f>BF54/AR54-1</f>
        <v>0.95080645161290334</v>
      </c>
      <c r="BH54" s="441"/>
      <c r="BI54" s="441"/>
      <c r="BJ54" s="441"/>
      <c r="BK54" s="441"/>
      <c r="BL54" s="91"/>
      <c r="BM54" s="91"/>
      <c r="BN54" s="91"/>
      <c r="BO54" s="91"/>
      <c r="BP54" s="91"/>
      <c r="BQ54" s="91"/>
      <c r="BR54" s="91"/>
      <c r="BS54" s="91"/>
      <c r="BT54" s="91">
        <f>SUM(BH54:BS54)</f>
        <v>0</v>
      </c>
      <c r="BU54" s="54"/>
      <c r="BV54" s="441"/>
      <c r="BW54" s="441"/>
      <c r="BX54" s="441"/>
      <c r="BY54" s="441"/>
      <c r="BZ54" s="441"/>
      <c r="CA54" s="91"/>
      <c r="CB54" s="91"/>
      <c r="CC54" s="91"/>
      <c r="CD54" s="91"/>
      <c r="CE54" s="91"/>
      <c r="CF54" s="91"/>
      <c r="CG54" s="91"/>
      <c r="CH54" s="91"/>
      <c r="CJ54" s="441">
        <f>BV64</f>
        <v>38900</v>
      </c>
      <c r="CK54" s="441">
        <f t="shared" ref="CK54:CU54" si="90">BW64</f>
        <v>31376</v>
      </c>
      <c r="CL54" s="441">
        <f t="shared" si="90"/>
        <v>29886</v>
      </c>
      <c r="CM54" s="441">
        <f t="shared" si="90"/>
        <v>30671</v>
      </c>
      <c r="CN54" s="441">
        <f t="shared" si="90"/>
        <v>34553</v>
      </c>
      <c r="CO54" s="441">
        <f t="shared" si="90"/>
        <v>36515</v>
      </c>
      <c r="CP54" s="441">
        <f t="shared" si="90"/>
        <v>38915</v>
      </c>
      <c r="CQ54" s="441">
        <f t="shared" si="90"/>
        <v>34615</v>
      </c>
      <c r="CR54" s="441">
        <f t="shared" si="90"/>
        <v>29617</v>
      </c>
      <c r="CS54" s="441">
        <f t="shared" si="90"/>
        <v>34538</v>
      </c>
      <c r="CT54" s="441">
        <f t="shared" si="90"/>
        <v>45914</v>
      </c>
      <c r="CU54" s="441">
        <f t="shared" si="90"/>
        <v>60875</v>
      </c>
      <c r="CV54" s="91"/>
      <c r="CX54" s="441"/>
      <c r="CY54" s="441"/>
      <c r="CZ54" s="441"/>
      <c r="DA54" s="441"/>
      <c r="DB54" s="441"/>
      <c r="DC54" s="91"/>
      <c r="DD54" s="91"/>
      <c r="DE54" s="91"/>
      <c r="DF54" s="91"/>
      <c r="DG54" s="91"/>
      <c r="DH54" s="91"/>
      <c r="DI54" s="91"/>
      <c r="DJ54" s="91"/>
    </row>
    <row r="55" spans="1:114" ht="15.75">
      <c r="A55" s="55"/>
      <c r="B55" s="56" t="s">
        <v>72</v>
      </c>
      <c r="C55" s="280"/>
      <c r="D55" s="288">
        <f t="shared" ref="D55:O55" si="91">SUM(D34:D54)</f>
        <v>0</v>
      </c>
      <c r="E55" s="57">
        <f t="shared" si="91"/>
        <v>0</v>
      </c>
      <c r="F55" s="57">
        <f t="shared" si="91"/>
        <v>0</v>
      </c>
      <c r="G55" s="57">
        <f t="shared" si="91"/>
        <v>0</v>
      </c>
      <c r="H55" s="57">
        <f t="shared" si="91"/>
        <v>0</v>
      </c>
      <c r="I55" s="57">
        <f t="shared" si="91"/>
        <v>0</v>
      </c>
      <c r="J55" s="57">
        <f t="shared" si="91"/>
        <v>0</v>
      </c>
      <c r="K55" s="57">
        <f t="shared" si="91"/>
        <v>0</v>
      </c>
      <c r="L55" s="57">
        <f t="shared" si="91"/>
        <v>0</v>
      </c>
      <c r="M55" s="57">
        <f t="shared" si="91"/>
        <v>0</v>
      </c>
      <c r="N55" s="57">
        <f t="shared" si="91"/>
        <v>0</v>
      </c>
      <c r="O55" s="57">
        <f t="shared" si="91"/>
        <v>0</v>
      </c>
      <c r="P55" s="289">
        <f t="shared" si="87"/>
        <v>0</v>
      </c>
      <c r="Q55" s="39"/>
      <c r="R55" s="288">
        <f t="shared" ref="R55:AC55" si="92">SUM(R34:R54)</f>
        <v>20557.543859649122</v>
      </c>
      <c r="S55" s="58">
        <f t="shared" si="92"/>
        <v>20512.543859649122</v>
      </c>
      <c r="T55" s="58">
        <f t="shared" si="92"/>
        <v>13699.771929824561</v>
      </c>
      <c r="U55" s="58">
        <f t="shared" si="92"/>
        <v>912.5</v>
      </c>
      <c r="V55" s="58">
        <f t="shared" si="92"/>
        <v>16851</v>
      </c>
      <c r="W55" s="290">
        <f t="shared" si="92"/>
        <v>13700</v>
      </c>
      <c r="X55" s="290">
        <f t="shared" si="92"/>
        <v>26050</v>
      </c>
      <c r="Y55" s="290">
        <f t="shared" si="92"/>
        <v>27750</v>
      </c>
      <c r="Z55" s="290">
        <f t="shared" si="92"/>
        <v>31100</v>
      </c>
      <c r="AA55" s="290">
        <f t="shared" si="92"/>
        <v>32100</v>
      </c>
      <c r="AB55" s="290">
        <f t="shared" si="92"/>
        <v>37500</v>
      </c>
      <c r="AC55" s="290">
        <f t="shared" si="92"/>
        <v>45300</v>
      </c>
      <c r="AD55" s="291">
        <f t="shared" si="88"/>
        <v>286033.35964912281</v>
      </c>
      <c r="AE55" s="59"/>
      <c r="AF55" s="292">
        <f>SUM(AF34:AF54)</f>
        <v>38500</v>
      </c>
      <c r="AG55" s="58">
        <f t="shared" ref="AG55:AQ55" si="93">SUM(AG34:AG54)</f>
        <v>22400</v>
      </c>
      <c r="AH55" s="58">
        <f t="shared" si="93"/>
        <v>10671</v>
      </c>
      <c r="AI55" s="58">
        <f t="shared" si="93"/>
        <v>16097</v>
      </c>
      <c r="AJ55" s="58">
        <f t="shared" si="93"/>
        <v>30278</v>
      </c>
      <c r="AK55" s="58">
        <f t="shared" si="93"/>
        <v>28560</v>
      </c>
      <c r="AL55" s="58">
        <f t="shared" si="93"/>
        <v>41700</v>
      </c>
      <c r="AM55" s="58">
        <f t="shared" si="93"/>
        <v>38700</v>
      </c>
      <c r="AN55" s="58">
        <f t="shared" si="93"/>
        <v>37300</v>
      </c>
      <c r="AO55" s="58">
        <f t="shared" si="93"/>
        <v>37400</v>
      </c>
      <c r="AP55" s="58">
        <f t="shared" si="93"/>
        <v>40640</v>
      </c>
      <c r="AQ55" s="58">
        <f t="shared" si="93"/>
        <v>54440</v>
      </c>
      <c r="AR55" s="58">
        <f t="shared" si="89"/>
        <v>396686</v>
      </c>
      <c r="AS55" s="59"/>
      <c r="AT55" s="58">
        <f t="shared" ref="AT55:BE55" si="94">SUM(AT34:AT54)</f>
        <v>36153</v>
      </c>
      <c r="AU55" s="58">
        <f>SUM(AU34:AU54)</f>
        <v>35289</v>
      </c>
      <c r="AV55" s="58">
        <f t="shared" si="94"/>
        <v>35872</v>
      </c>
      <c r="AW55" s="58">
        <f t="shared" si="94"/>
        <v>38031</v>
      </c>
      <c r="AX55" s="58">
        <f t="shared" si="94"/>
        <v>33566</v>
      </c>
      <c r="AY55" s="58">
        <f t="shared" si="94"/>
        <v>33566</v>
      </c>
      <c r="AZ55" s="58">
        <f t="shared" si="94"/>
        <v>30896</v>
      </c>
      <c r="BA55" s="58">
        <f t="shared" si="94"/>
        <v>31146</v>
      </c>
      <c r="BB55" s="58">
        <f t="shared" si="94"/>
        <v>32630</v>
      </c>
      <c r="BC55" s="58">
        <f t="shared" si="94"/>
        <v>38562</v>
      </c>
      <c r="BD55" s="58">
        <f t="shared" si="94"/>
        <v>41345</v>
      </c>
      <c r="BE55" s="58">
        <f t="shared" si="94"/>
        <v>49263</v>
      </c>
      <c r="BF55" s="58">
        <f>SUM(AT55:BE55)</f>
        <v>436319</v>
      </c>
      <c r="BG55" s="59">
        <f>BF55-AR55</f>
        <v>39633</v>
      </c>
      <c r="BH55" s="58">
        <v>36153</v>
      </c>
      <c r="BI55" s="58">
        <v>35289</v>
      </c>
      <c r="BJ55" s="58">
        <v>35872</v>
      </c>
      <c r="BK55" s="58">
        <v>38031</v>
      </c>
      <c r="BL55" s="58">
        <v>38570</v>
      </c>
      <c r="BM55" s="58">
        <v>39227</v>
      </c>
      <c r="BN55" s="58">
        <v>41128</v>
      </c>
      <c r="BO55" s="58">
        <v>38191</v>
      </c>
      <c r="BP55" s="58">
        <v>38191</v>
      </c>
      <c r="BQ55" s="58">
        <v>40225</v>
      </c>
      <c r="BR55" s="58">
        <v>43272</v>
      </c>
      <c r="BS55" s="58">
        <v>60327</v>
      </c>
      <c r="BT55" s="58">
        <f t="shared" ref="BT55:BT59" si="95">SUM(BH55:BS55)</f>
        <v>484476</v>
      </c>
      <c r="BU55" s="60"/>
      <c r="BV55" s="58">
        <f>SUM(BV34:BV51)</f>
        <v>35797.912472643162</v>
      </c>
      <c r="BW55" s="58">
        <f t="shared" ref="BW55:CG55" si="96">SUM(BW34:BW51)</f>
        <v>27268.538792847521</v>
      </c>
      <c r="BX55" s="58">
        <f t="shared" si="96"/>
        <v>34357.668832234456</v>
      </c>
      <c r="BY55" s="58">
        <f t="shared" si="96"/>
        <v>29626.958292847525</v>
      </c>
      <c r="BZ55" s="58">
        <f t="shared" si="96"/>
        <v>34139.121332234456</v>
      </c>
      <c r="CA55" s="58">
        <f t="shared" si="96"/>
        <v>39503.881972643161</v>
      </c>
      <c r="CB55" s="58">
        <f t="shared" si="96"/>
        <v>45728.836911008315</v>
      </c>
      <c r="CC55" s="58">
        <f t="shared" si="96"/>
        <v>32260.226972643166</v>
      </c>
      <c r="CD55" s="58">
        <f t="shared" si="96"/>
        <v>33331.522972643164</v>
      </c>
      <c r="CE55" s="58">
        <f t="shared" si="96"/>
        <v>35213.881472643166</v>
      </c>
      <c r="CF55" s="58">
        <f t="shared" si="96"/>
        <v>46168.878068556034</v>
      </c>
      <c r="CG55" s="58">
        <f t="shared" si="96"/>
        <v>57905.502691825735</v>
      </c>
      <c r="CH55" s="58">
        <f>SUM(BV55:CG55)</f>
        <v>451302.93078476982</v>
      </c>
      <c r="CI55" s="395">
        <f>(CH55-BT64)/BT64</f>
        <v>5.1833718555945915E-2</v>
      </c>
      <c r="CJ55" s="58">
        <f>BV64*1.03</f>
        <v>40067</v>
      </c>
      <c r="CK55" s="58">
        <f t="shared" ref="CK55:CU55" si="97">BW64*1.03</f>
        <v>32317.280000000002</v>
      </c>
      <c r="CL55" s="58">
        <f t="shared" si="97"/>
        <v>30782.58</v>
      </c>
      <c r="CM55" s="58">
        <f>BY64*1.03</f>
        <v>31591.13</v>
      </c>
      <c r="CN55" s="58">
        <f t="shared" si="97"/>
        <v>35589.590000000004</v>
      </c>
      <c r="CO55" s="58">
        <f t="shared" si="97"/>
        <v>37610.450000000004</v>
      </c>
      <c r="CP55" s="58">
        <f t="shared" si="97"/>
        <v>40082.450000000004</v>
      </c>
      <c r="CQ55" s="58">
        <f t="shared" si="97"/>
        <v>35653.450000000004</v>
      </c>
      <c r="CR55" s="58">
        <f t="shared" si="97"/>
        <v>30505.510000000002</v>
      </c>
      <c r="CS55" s="58">
        <f t="shared" si="97"/>
        <v>35574.14</v>
      </c>
      <c r="CT55" s="58">
        <f t="shared" si="97"/>
        <v>47291.42</v>
      </c>
      <c r="CU55" s="58">
        <f t="shared" si="97"/>
        <v>62701.25</v>
      </c>
      <c r="CV55" s="58">
        <f>SUM(CJ55:CU55)</f>
        <v>459766.25</v>
      </c>
      <c r="CW55" s="395">
        <f>(CV55-CH64)/CH64</f>
        <v>0.03</v>
      </c>
      <c r="CX55" s="58">
        <v>35797.912472643162</v>
      </c>
      <c r="CY55" s="58">
        <v>27268.538792847521</v>
      </c>
      <c r="CZ55" s="58">
        <v>34357.668832234456</v>
      </c>
      <c r="DA55" s="58">
        <v>29626.958292847525</v>
      </c>
      <c r="DB55" s="58">
        <v>34139.121332234456</v>
      </c>
      <c r="DC55" s="58">
        <v>39503.881972643161</v>
      </c>
      <c r="DD55" s="58">
        <v>45728.836911008315</v>
      </c>
      <c r="DE55" s="58">
        <v>32260.226972643166</v>
      </c>
      <c r="DF55" s="58">
        <v>33331.522972643164</v>
      </c>
      <c r="DG55" s="58">
        <v>35213.881472643166</v>
      </c>
      <c r="DH55" s="58">
        <v>46168.878068556034</v>
      </c>
      <c r="DI55" s="58">
        <v>57905.502691825735</v>
      </c>
      <c r="DJ55" s="58">
        <v>451302.93078476982</v>
      </c>
    </row>
    <row r="56" spans="1:114">
      <c r="A56" s="99"/>
      <c r="B56" s="451" t="s">
        <v>73</v>
      </c>
      <c r="C56" s="328"/>
      <c r="D56" s="301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302"/>
      <c r="Q56" s="74"/>
      <c r="R56" s="301"/>
      <c r="S56" s="69"/>
      <c r="T56" s="69"/>
      <c r="U56" s="69"/>
      <c r="V56" s="303"/>
      <c r="W56" s="304"/>
      <c r="X56" s="304"/>
      <c r="Y56" s="304"/>
      <c r="Z56" s="304"/>
      <c r="AA56" s="304"/>
      <c r="AB56" s="304"/>
      <c r="AC56" s="75"/>
      <c r="AD56" s="76"/>
      <c r="AE56" s="77"/>
      <c r="AF56" s="305"/>
      <c r="AG56" s="69"/>
      <c r="AH56" s="69"/>
      <c r="AI56" s="69"/>
      <c r="AJ56" s="303"/>
      <c r="AK56" s="303"/>
      <c r="AL56" s="303"/>
      <c r="AM56" s="303"/>
      <c r="AN56" s="69"/>
      <c r="AO56" s="69"/>
      <c r="AP56" s="69"/>
      <c r="AQ56" s="69"/>
      <c r="AR56" s="306"/>
      <c r="AS56" s="77"/>
      <c r="AT56" s="69"/>
      <c r="AU56" s="69"/>
      <c r="AV56" s="69"/>
      <c r="AW56" s="69"/>
      <c r="AX56" s="69"/>
      <c r="AY56" s="69">
        <v>15000</v>
      </c>
      <c r="AZ56" s="69">
        <v>15000</v>
      </c>
      <c r="BA56" s="69">
        <f t="shared" ref="BA56:BB56" si="98">BA55*70%</f>
        <v>21802.199999999997</v>
      </c>
      <c r="BB56" s="69">
        <f t="shared" si="98"/>
        <v>22841</v>
      </c>
      <c r="BC56" s="69">
        <v>35000</v>
      </c>
      <c r="BD56" s="69">
        <v>35000</v>
      </c>
      <c r="BE56" s="69">
        <v>42000</v>
      </c>
      <c r="BF56" s="69">
        <f t="shared" si="80"/>
        <v>186643.20000000001</v>
      </c>
      <c r="BG56" s="77"/>
      <c r="BH56" s="69">
        <f t="shared" ref="BH56:BM56" si="99">BH55*0.8</f>
        <v>28922.400000000001</v>
      </c>
      <c r="BI56" s="69">
        <f t="shared" si="99"/>
        <v>28231.200000000001</v>
      </c>
      <c r="BJ56" s="69">
        <f t="shared" si="99"/>
        <v>28697.600000000002</v>
      </c>
      <c r="BK56" s="69">
        <f t="shared" si="99"/>
        <v>30424.800000000003</v>
      </c>
      <c r="BL56" s="69">
        <f t="shared" si="99"/>
        <v>30856</v>
      </c>
      <c r="BM56" s="69">
        <f t="shared" si="99"/>
        <v>31381.600000000002</v>
      </c>
      <c r="BN56" s="69">
        <f>BN55*0.85</f>
        <v>34958.799999999996</v>
      </c>
      <c r="BO56" s="69">
        <v>29000</v>
      </c>
      <c r="BP56" s="69">
        <v>40223</v>
      </c>
      <c r="BQ56" s="69">
        <v>36735</v>
      </c>
      <c r="BR56" s="69">
        <v>36933</v>
      </c>
      <c r="BS56" s="69">
        <v>52283</v>
      </c>
      <c r="BT56" s="69">
        <f t="shared" si="95"/>
        <v>408646.40000000002</v>
      </c>
      <c r="BU56" s="28"/>
      <c r="BV56" s="69">
        <v>32000</v>
      </c>
      <c r="BW56" s="69">
        <v>32000</v>
      </c>
      <c r="BX56" s="69">
        <v>37000</v>
      </c>
      <c r="BY56" s="69">
        <v>32000</v>
      </c>
      <c r="BZ56" s="69">
        <v>35000</v>
      </c>
      <c r="CA56" s="69">
        <v>35000</v>
      </c>
      <c r="CB56" s="69">
        <v>35000</v>
      </c>
      <c r="CC56" s="69">
        <f>CC55*1</f>
        <v>32260.226972643166</v>
      </c>
      <c r="CD56" s="69">
        <f>CD55*1</f>
        <v>33331.522972643164</v>
      </c>
      <c r="CE56" s="69">
        <f>CE55</f>
        <v>35213.881472643166</v>
      </c>
      <c r="CF56" s="69">
        <v>40000</v>
      </c>
      <c r="CG56" s="69">
        <v>60000</v>
      </c>
      <c r="CH56" s="69"/>
      <c r="CI56" s="395"/>
      <c r="CJ56" s="69">
        <v>32000</v>
      </c>
      <c r="CK56" s="69">
        <v>30000</v>
      </c>
      <c r="CL56" s="69">
        <v>31500</v>
      </c>
      <c r="CM56" s="69">
        <v>32000</v>
      </c>
      <c r="CN56" s="69">
        <v>35000</v>
      </c>
      <c r="CO56" s="69">
        <v>35000</v>
      </c>
      <c r="CP56" s="69">
        <v>36000</v>
      </c>
      <c r="CQ56" s="69">
        <v>35000</v>
      </c>
      <c r="CR56" s="69">
        <v>35000</v>
      </c>
      <c r="CS56" s="69">
        <v>40000</v>
      </c>
      <c r="CT56" s="69">
        <v>51000</v>
      </c>
      <c r="CU56" s="69">
        <v>60000</v>
      </c>
      <c r="CV56" s="69">
        <f>SUM(CJ56:CU56)</f>
        <v>452500</v>
      </c>
      <c r="CW56" s="395"/>
      <c r="CX56" s="69">
        <v>28638.329978114532</v>
      </c>
      <c r="CY56" s="69">
        <v>21814.831034278017</v>
      </c>
      <c r="CZ56" s="69">
        <v>27486.135065787566</v>
      </c>
      <c r="DA56" s="69">
        <v>23701.566634278021</v>
      </c>
      <c r="DB56" s="69">
        <v>27311.297065787567</v>
      </c>
      <c r="DC56" s="69">
        <v>31603.10557811453</v>
      </c>
      <c r="DD56" s="69">
        <v>36583.069528806656</v>
      </c>
      <c r="DE56" s="69">
        <v>25808.181578114534</v>
      </c>
      <c r="DF56" s="69">
        <v>26665.218378114532</v>
      </c>
      <c r="DG56" s="69">
        <v>28171.105178114536</v>
      </c>
      <c r="DH56" s="69">
        <v>36935.102454844826</v>
      </c>
      <c r="DI56" s="69">
        <v>46324.402153460593</v>
      </c>
      <c r="DJ56" s="69"/>
    </row>
    <row r="57" spans="1:114" ht="14.25" customHeight="1">
      <c r="A57" s="55" t="s">
        <v>74</v>
      </c>
      <c r="B57" s="56"/>
      <c r="C57" s="280"/>
      <c r="D57" s="28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289"/>
      <c r="Q57" s="39"/>
      <c r="R57" s="288"/>
      <c r="S57" s="58"/>
      <c r="T57" s="58"/>
      <c r="U57" s="58"/>
      <c r="V57" s="58"/>
      <c r="W57" s="290"/>
      <c r="X57" s="290"/>
      <c r="Y57" s="290"/>
      <c r="Z57" s="290"/>
      <c r="AA57" s="290"/>
      <c r="AB57" s="290"/>
      <c r="AC57" s="290"/>
      <c r="AD57" s="291"/>
      <c r="AE57" s="59"/>
      <c r="AF57" s="292"/>
      <c r="AG57" s="58"/>
      <c r="AH57" s="58"/>
      <c r="AI57" s="58"/>
      <c r="AJ57" s="58"/>
      <c r="AK57" s="58"/>
      <c r="AL57" s="58">
        <f>AL55/AVERAGE($AF$55:$AQ$55)</f>
        <v>1.2614511225503295</v>
      </c>
      <c r="AM57" s="58"/>
      <c r="AN57" s="58"/>
      <c r="AO57" s="58"/>
      <c r="AP57" s="58">
        <f t="shared" ref="AP57:AQ57" si="100">AP55/AVERAGE($AF$55:$AQ$55)</f>
        <v>1.2293854585238704</v>
      </c>
      <c r="AQ57" s="58">
        <f t="shared" si="100"/>
        <v>1.6468441033966412</v>
      </c>
      <c r="AR57" s="58"/>
      <c r="AS57" s="59"/>
      <c r="AT57" s="58">
        <v>109190</v>
      </c>
      <c r="AU57" s="58">
        <v>153667</v>
      </c>
      <c r="AV57" s="58">
        <v>178778</v>
      </c>
      <c r="AW57" s="58">
        <v>151970</v>
      </c>
      <c r="AX57" s="58">
        <v>142416</v>
      </c>
      <c r="AY57" s="58">
        <v>177335</v>
      </c>
      <c r="AZ57" s="58">
        <v>152230</v>
      </c>
      <c r="BA57" s="58">
        <v>245527</v>
      </c>
      <c r="BB57" s="58">
        <f>5261504/27</f>
        <v>194870.51851851851</v>
      </c>
      <c r="BC57" s="58">
        <f>5784000/27</f>
        <v>214222.22222222222</v>
      </c>
      <c r="BD57" s="58">
        <f>3224000/27</f>
        <v>119407.4074074074</v>
      </c>
      <c r="BE57" s="58">
        <f>909800/27</f>
        <v>33696.296296296299</v>
      </c>
      <c r="BF57" s="58">
        <f t="shared" si="80"/>
        <v>1873309.4444444445</v>
      </c>
      <c r="BG57" s="59"/>
      <c r="BH57" s="58">
        <v>156208</v>
      </c>
      <c r="BI57" s="58">
        <v>147340</v>
      </c>
      <c r="BJ57" s="58">
        <v>166759</v>
      </c>
      <c r="BK57" s="58">
        <v>152352</v>
      </c>
      <c r="BL57" s="58">
        <v>128446</v>
      </c>
      <c r="BM57" s="58">
        <v>126790</v>
      </c>
      <c r="BN57" s="58">
        <v>173761</v>
      </c>
      <c r="BO57" s="58">
        <f>144510.599073001+BO56</f>
        <v>173510.59907300101</v>
      </c>
      <c r="BP57" s="58">
        <f>162574.422556972+BP56</f>
        <v>202797.42255697199</v>
      </c>
      <c r="BQ57" s="58">
        <f>166187.186558517+BQ56</f>
        <v>202922.18655851699</v>
      </c>
      <c r="BR57" s="58">
        <f>BQ31+BR27*0.6</f>
        <v>232502.36</v>
      </c>
      <c r="BS57" s="58">
        <f>BR27*0.4+BS27*0.5</f>
        <v>116391.04000000001</v>
      </c>
      <c r="BT57" s="58">
        <f t="shared" si="95"/>
        <v>1979779.6081884899</v>
      </c>
      <c r="BU57" s="60"/>
      <c r="BV57" s="58">
        <f t="shared" ref="BV57:CC57" si="101">BV31+BV56</f>
        <v>162757.867486095</v>
      </c>
      <c r="BW57" s="58">
        <f t="shared" si="101"/>
        <v>157566.83045180296</v>
      </c>
      <c r="BX57" s="58">
        <f t="shared" si="101"/>
        <v>197961.53846153844</v>
      </c>
      <c r="BY57" s="58">
        <f t="shared" si="101"/>
        <v>160769.23076923078</v>
      </c>
      <c r="BZ57" s="58">
        <f t="shared" si="101"/>
        <v>153232.39341785663</v>
      </c>
      <c r="CA57" s="58">
        <f t="shared" si="101"/>
        <v>143192.12910096842</v>
      </c>
      <c r="CB57" s="58">
        <f t="shared" si="101"/>
        <v>178736.21444761599</v>
      </c>
      <c r="CC57" s="58">
        <f t="shared" si="101"/>
        <v>202914.10079748323</v>
      </c>
      <c r="CD57" s="58">
        <f>CD31+CD56</f>
        <v>214499.61628422557</v>
      </c>
      <c r="CE57" s="58">
        <f>CE31+CE56</f>
        <v>217682.99793575107</v>
      </c>
      <c r="CF57" s="58">
        <f>CF31+CF56</f>
        <v>173115.84223630186</v>
      </c>
      <c r="CG57" s="58">
        <f t="shared" ref="CG57" si="102">BS57</f>
        <v>116391.04000000001</v>
      </c>
      <c r="CH57" s="58"/>
      <c r="CJ57" s="58">
        <f>CJ31+CJ56</f>
        <v>184850.74</v>
      </c>
      <c r="CK57" s="58">
        <f t="shared" ref="CK57:CU57" si="103">CK31+CK56</f>
        <v>171882.50999999998</v>
      </c>
      <c r="CL57" s="58">
        <f t="shared" si="103"/>
        <v>191983.4</v>
      </c>
      <c r="CM57" s="58">
        <f t="shared" si="103"/>
        <v>163937</v>
      </c>
      <c r="CN57" s="58">
        <f t="shared" si="103"/>
        <v>157242.75</v>
      </c>
      <c r="CO57" s="58">
        <f t="shared" si="103"/>
        <v>123621.68</v>
      </c>
      <c r="CP57" s="58">
        <f t="shared" si="103"/>
        <v>231213.55</v>
      </c>
      <c r="CQ57" s="58">
        <f t="shared" si="103"/>
        <v>211318.72999999998</v>
      </c>
      <c r="CR57" s="58">
        <f t="shared" si="103"/>
        <v>260760.84999999998</v>
      </c>
      <c r="CS57" s="58">
        <f t="shared" si="103"/>
        <v>236930.72</v>
      </c>
      <c r="CT57" s="58">
        <f t="shared" si="103"/>
        <v>174556.51</v>
      </c>
      <c r="CU57" s="58">
        <f t="shared" si="103"/>
        <v>107560.73</v>
      </c>
      <c r="CV57" s="58">
        <f>SUM(CJ57:CU57)</f>
        <v>2215859.17</v>
      </c>
      <c r="CX57" s="58">
        <v>98000</v>
      </c>
      <c r="CY57" s="58">
        <v>147381.66148608096</v>
      </c>
      <c r="CZ57" s="58">
        <v>188447.673527326</v>
      </c>
      <c r="DA57" s="58">
        <v>152352</v>
      </c>
      <c r="DB57" s="58">
        <v>128446</v>
      </c>
      <c r="DC57" s="58">
        <v>126790</v>
      </c>
      <c r="DD57" s="58">
        <v>173761</v>
      </c>
      <c r="DE57" s="58">
        <v>173510.59907300101</v>
      </c>
      <c r="DF57" s="58">
        <v>202797.42255697199</v>
      </c>
      <c r="DG57" s="58">
        <v>202922.18655851699</v>
      </c>
      <c r="DH57" s="58">
        <v>232502.36</v>
      </c>
      <c r="DI57" s="58">
        <v>116391.04000000001</v>
      </c>
      <c r="DJ57" s="58"/>
    </row>
    <row r="58" spans="1:114">
      <c r="A58" s="101" t="s">
        <v>75</v>
      </c>
      <c r="B58" s="102"/>
      <c r="C58" s="260"/>
      <c r="D58" s="277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262"/>
      <c r="Q58" s="15"/>
      <c r="R58" s="277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263"/>
      <c r="AE58" s="16"/>
      <c r="AF58" s="261">
        <v>133791</v>
      </c>
      <c r="AG58" s="14">
        <v>166459</v>
      </c>
      <c r="AH58" s="14">
        <v>149450</v>
      </c>
      <c r="AI58" s="14">
        <v>151073</v>
      </c>
      <c r="AJ58" s="14">
        <v>192944</v>
      </c>
      <c r="AK58" s="14">
        <v>166139</v>
      </c>
      <c r="AL58" s="14">
        <v>151874</v>
      </c>
      <c r="AM58" s="14">
        <v>157771</v>
      </c>
      <c r="AN58" s="14">
        <v>200312</v>
      </c>
      <c r="AO58" s="14">
        <v>202691</v>
      </c>
      <c r="AP58" s="14">
        <v>207768</v>
      </c>
      <c r="AQ58" s="14">
        <v>113286</v>
      </c>
      <c r="AR58" s="14">
        <f>SUM(AF58:AK58)</f>
        <v>959856</v>
      </c>
      <c r="AS58" s="17"/>
      <c r="AT58" s="14">
        <v>89680</v>
      </c>
      <c r="AU58" s="14">
        <v>128308</v>
      </c>
      <c r="AV58" s="14">
        <v>144871</v>
      </c>
      <c r="AW58" s="32">
        <v>161772</v>
      </c>
      <c r="AX58" s="32">
        <v>144516</v>
      </c>
      <c r="AY58" s="32">
        <v>103667</v>
      </c>
      <c r="AZ58" s="32">
        <v>141023</v>
      </c>
      <c r="BA58" s="32">
        <v>172093</v>
      </c>
      <c r="BB58" s="32">
        <f>166606+10000</f>
        <v>176606</v>
      </c>
      <c r="BC58" s="32">
        <v>181091</v>
      </c>
      <c r="BD58" s="32">
        <v>169802</v>
      </c>
      <c r="BE58" s="32">
        <v>120406</v>
      </c>
      <c r="BF58" s="32">
        <f t="shared" si="80"/>
        <v>1733835</v>
      </c>
      <c r="BG58" s="17">
        <f>BG55/AR55</f>
        <v>9.9910256474894502E-2</v>
      </c>
      <c r="BH58" s="14">
        <v>78906</v>
      </c>
      <c r="BI58" s="14">
        <v>119296</v>
      </c>
      <c r="BJ58" s="14">
        <v>165286</v>
      </c>
      <c r="BK58" s="14">
        <v>144532</v>
      </c>
      <c r="BL58" s="32">
        <v>157691</v>
      </c>
      <c r="BM58" s="32">
        <v>129096</v>
      </c>
      <c r="BN58" s="32">
        <v>125800</v>
      </c>
      <c r="BO58" s="32">
        <v>176354</v>
      </c>
      <c r="BP58" s="32">
        <v>173554</v>
      </c>
      <c r="BQ58" s="32">
        <v>185766</v>
      </c>
      <c r="BR58" s="32"/>
      <c r="BS58" s="32"/>
      <c r="BT58" s="32">
        <f t="shared" si="95"/>
        <v>1456281</v>
      </c>
      <c r="BU58" s="28"/>
      <c r="BV58" s="14"/>
      <c r="BW58" s="14"/>
      <c r="BX58" s="14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J58" s="14"/>
      <c r="CK58" s="14"/>
      <c r="CL58" s="14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X58" s="14"/>
      <c r="CY58" s="14"/>
      <c r="CZ58" s="14"/>
      <c r="DA58" s="32"/>
      <c r="DB58" s="32"/>
      <c r="DC58" s="32"/>
      <c r="DD58" s="32"/>
      <c r="DE58" s="32"/>
      <c r="DF58" s="32"/>
      <c r="DG58" s="32"/>
      <c r="DH58" s="32"/>
      <c r="DI58" s="32"/>
      <c r="DJ58" s="32"/>
    </row>
    <row r="59" spans="1:114" ht="15.75">
      <c r="A59" s="103"/>
      <c r="B59" s="329" t="s">
        <v>76</v>
      </c>
      <c r="C59" s="330"/>
      <c r="D59" s="331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332"/>
      <c r="Q59" s="105"/>
      <c r="R59" s="333"/>
      <c r="S59" s="333"/>
      <c r="T59" s="333"/>
      <c r="U59" s="333"/>
      <c r="V59" s="333"/>
      <c r="W59" s="333"/>
      <c r="X59" s="333"/>
      <c r="Y59" s="333"/>
      <c r="Z59" s="333"/>
      <c r="AA59" s="333"/>
      <c r="AB59" s="333"/>
      <c r="AC59" s="333"/>
      <c r="AD59" s="334"/>
      <c r="AE59" s="106"/>
      <c r="AF59" s="333">
        <f t="shared" ref="AF59:AQ59" si="104">AF58-AF26</f>
        <v>133789.5653258567</v>
      </c>
      <c r="AG59" s="333">
        <f t="shared" si="104"/>
        <v>166455.02546723894</v>
      </c>
      <c r="AH59" s="333">
        <f t="shared" si="104"/>
        <v>149445.54627453614</v>
      </c>
      <c r="AI59" s="333">
        <f t="shared" si="104"/>
        <v>151069.82181047046</v>
      </c>
      <c r="AJ59" s="333">
        <f t="shared" si="104"/>
        <v>192941.24487749056</v>
      </c>
      <c r="AK59" s="333">
        <f t="shared" si="104"/>
        <v>166135.77020296719</v>
      </c>
      <c r="AL59" s="333">
        <f t="shared" si="104"/>
        <v>151871.64243647002</v>
      </c>
      <c r="AM59" s="333">
        <f t="shared" si="104"/>
        <v>157768.8586839418</v>
      </c>
      <c r="AN59" s="333">
        <f t="shared" si="104"/>
        <v>200310.09576397031</v>
      </c>
      <c r="AO59" s="333">
        <f t="shared" si="104"/>
        <v>202687.83135883085</v>
      </c>
      <c r="AP59" s="333">
        <f t="shared" si="104"/>
        <v>207762.85122649223</v>
      </c>
      <c r="AQ59" s="333">
        <f t="shared" si="104"/>
        <v>113282.51926932538</v>
      </c>
      <c r="AR59" s="107">
        <f t="shared" ref="AR59:AR67" si="105">SUM(AF59:AQ59)</f>
        <v>1993520.772697591</v>
      </c>
      <c r="AS59" s="106"/>
      <c r="AT59" s="333">
        <f t="shared" ref="AT59:BE59" si="106">AT58-AT57</f>
        <v>-19510</v>
      </c>
      <c r="AU59" s="333">
        <f t="shared" si="106"/>
        <v>-25359</v>
      </c>
      <c r="AV59" s="333">
        <f t="shared" si="106"/>
        <v>-33907</v>
      </c>
      <c r="AW59" s="333">
        <f t="shared" si="106"/>
        <v>9802</v>
      </c>
      <c r="AX59" s="333">
        <f t="shared" si="106"/>
        <v>2100</v>
      </c>
      <c r="AY59" s="333">
        <f t="shared" si="106"/>
        <v>-73668</v>
      </c>
      <c r="AZ59" s="333">
        <f t="shared" si="106"/>
        <v>-11207</v>
      </c>
      <c r="BA59" s="333">
        <f t="shared" si="106"/>
        <v>-73434</v>
      </c>
      <c r="BB59" s="333">
        <f t="shared" si="106"/>
        <v>-18264.518518518511</v>
      </c>
      <c r="BC59" s="333">
        <f t="shared" si="106"/>
        <v>-33131.222222222219</v>
      </c>
      <c r="BD59" s="333">
        <f t="shared" si="106"/>
        <v>50394.592592592599</v>
      </c>
      <c r="BE59" s="333">
        <f t="shared" si="106"/>
        <v>86709.703703703708</v>
      </c>
      <c r="BF59" s="108">
        <f t="shared" si="80"/>
        <v>-139474.44444444444</v>
      </c>
      <c r="BG59" s="106"/>
      <c r="BH59" s="333">
        <f t="shared" ref="BH59:BQ59" si="107">BH58-BH57</f>
        <v>-77302</v>
      </c>
      <c r="BI59" s="333">
        <f t="shared" si="107"/>
        <v>-28044</v>
      </c>
      <c r="BJ59" s="333">
        <f t="shared" si="107"/>
        <v>-1473</v>
      </c>
      <c r="BK59" s="333">
        <f t="shared" si="107"/>
        <v>-7820</v>
      </c>
      <c r="BL59" s="333">
        <f t="shared" si="107"/>
        <v>29245</v>
      </c>
      <c r="BM59" s="333">
        <f t="shared" si="107"/>
        <v>2306</v>
      </c>
      <c r="BN59" s="333">
        <f t="shared" si="107"/>
        <v>-47961</v>
      </c>
      <c r="BO59" s="333">
        <f t="shared" si="107"/>
        <v>2843.4009269989911</v>
      </c>
      <c r="BP59" s="333">
        <f t="shared" si="107"/>
        <v>-29243.422556971986</v>
      </c>
      <c r="BQ59" s="333">
        <f t="shared" si="107"/>
        <v>-17156.186558516987</v>
      </c>
      <c r="BR59" s="108"/>
      <c r="BS59" s="108"/>
      <c r="BT59" s="108">
        <f t="shared" si="95"/>
        <v>-174605.20818848998</v>
      </c>
      <c r="BU59" s="28"/>
      <c r="BV59" s="333"/>
      <c r="BW59" s="333"/>
      <c r="BX59" s="333"/>
      <c r="BY59" s="333"/>
      <c r="BZ59" s="108"/>
      <c r="CA59" s="108"/>
      <c r="CB59" s="108"/>
      <c r="CC59" s="108"/>
      <c r="CD59" s="108"/>
      <c r="CE59" s="108"/>
      <c r="CF59" s="108"/>
      <c r="CG59" s="108"/>
      <c r="CH59" s="108"/>
      <c r="CJ59" s="333"/>
      <c r="CK59" s="333"/>
      <c r="CL59" s="333"/>
      <c r="CM59" s="333"/>
      <c r="CN59" s="108"/>
      <c r="CO59" s="108"/>
      <c r="CP59" s="108"/>
      <c r="CQ59" s="108"/>
      <c r="CR59" s="108"/>
      <c r="CS59" s="108"/>
      <c r="CT59" s="108"/>
      <c r="CU59" s="108"/>
      <c r="CV59" s="108"/>
      <c r="CX59" s="333"/>
      <c r="CY59" s="333"/>
      <c r="CZ59" s="333"/>
      <c r="DA59" s="333"/>
      <c r="DB59" s="108"/>
      <c r="DC59" s="108"/>
      <c r="DD59" s="108"/>
      <c r="DE59" s="108"/>
      <c r="DF59" s="108"/>
      <c r="DG59" s="108"/>
      <c r="DH59" s="108"/>
      <c r="DI59" s="108"/>
      <c r="DJ59" s="108"/>
    </row>
    <row r="60" spans="1:114" ht="15.75" customHeight="1">
      <c r="A60" s="94">
        <v>5</v>
      </c>
      <c r="B60" s="210" t="s">
        <v>77</v>
      </c>
      <c r="C60" s="335"/>
      <c r="D60" s="313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>
        <v>0</v>
      </c>
      <c r="P60" s="314">
        <f>SUM(D60:O60)</f>
        <v>0</v>
      </c>
      <c r="Q60" s="90"/>
      <c r="R60" s="313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315">
        <f>SUM(R60:AC60)</f>
        <v>0</v>
      </c>
      <c r="AE60" s="23"/>
      <c r="AF60" s="316">
        <v>0</v>
      </c>
      <c r="AG60" s="91">
        <v>0</v>
      </c>
      <c r="AH60" s="91">
        <v>0</v>
      </c>
      <c r="AI60" s="91">
        <v>0</v>
      </c>
      <c r="AJ60" s="91">
        <v>0</v>
      </c>
      <c r="AK60" s="91">
        <v>0</v>
      </c>
      <c r="AL60" s="91">
        <v>0</v>
      </c>
      <c r="AM60" s="91">
        <v>0</v>
      </c>
      <c r="AN60" s="91">
        <v>0</v>
      </c>
      <c r="AO60" s="91">
        <v>0</v>
      </c>
      <c r="AP60" s="91"/>
      <c r="AQ60" s="91">
        <v>8938</v>
      </c>
      <c r="AR60" s="92">
        <f t="shared" si="105"/>
        <v>8938</v>
      </c>
      <c r="AS60" s="23"/>
      <c r="AT60" s="91">
        <v>106642</v>
      </c>
      <c r="AU60" s="91">
        <v>90699</v>
      </c>
      <c r="AV60" s="91">
        <v>89681</v>
      </c>
      <c r="AW60" s="91">
        <v>58790</v>
      </c>
      <c r="AX60" s="91">
        <v>35520</v>
      </c>
      <c r="AY60" s="91">
        <v>61551</v>
      </c>
      <c r="AZ60" s="91">
        <v>71511</v>
      </c>
      <c r="BA60" s="91">
        <v>63617</v>
      </c>
      <c r="BB60" s="91">
        <v>66748</v>
      </c>
      <c r="BC60" s="91">
        <v>75532</v>
      </c>
      <c r="BD60" s="91">
        <v>37786</v>
      </c>
      <c r="BE60" s="91">
        <v>4503</v>
      </c>
      <c r="BF60" s="91">
        <f t="shared" si="80"/>
        <v>762580</v>
      </c>
      <c r="BG60" s="27"/>
      <c r="BH60" s="91">
        <v>69404</v>
      </c>
      <c r="BI60" s="91">
        <v>80412</v>
      </c>
      <c r="BJ60" s="91">
        <v>94386</v>
      </c>
      <c r="BK60" s="91">
        <v>78313</v>
      </c>
      <c r="BL60" s="91">
        <v>47034</v>
      </c>
      <c r="BM60" s="91">
        <v>50851</v>
      </c>
      <c r="BN60" s="91">
        <v>93202</v>
      </c>
      <c r="BO60" s="91">
        <v>100687</v>
      </c>
      <c r="BP60" s="91">
        <v>127995</v>
      </c>
      <c r="BQ60" s="91">
        <v>122686</v>
      </c>
      <c r="BR60" s="91"/>
      <c r="BS60" s="91"/>
      <c r="BT60" s="91"/>
      <c r="BU60" s="28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  <c r="CX60" s="91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</row>
    <row r="61" spans="1:114">
      <c r="A61" s="13" t="s">
        <v>78</v>
      </c>
      <c r="B61" s="259"/>
      <c r="C61" s="260"/>
      <c r="D61" s="277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262"/>
      <c r="Q61" s="15"/>
      <c r="R61" s="277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263"/>
      <c r="AE61" s="16"/>
      <c r="AF61" s="261">
        <f t="shared" ref="AF61:AQ61" si="108">AF62+AF64</f>
        <v>118364</v>
      </c>
      <c r="AG61" s="261">
        <f t="shared" si="108"/>
        <v>173742</v>
      </c>
      <c r="AH61" s="261">
        <f t="shared" si="108"/>
        <v>73470</v>
      </c>
      <c r="AI61" s="261">
        <f t="shared" si="108"/>
        <v>87377</v>
      </c>
      <c r="AJ61" s="261">
        <f t="shared" si="108"/>
        <v>119657</v>
      </c>
      <c r="AK61" s="261">
        <f t="shared" si="108"/>
        <v>154747</v>
      </c>
      <c r="AL61" s="261">
        <f t="shared" si="108"/>
        <v>138073</v>
      </c>
      <c r="AM61" s="261">
        <f t="shared" si="108"/>
        <v>180773</v>
      </c>
      <c r="AN61" s="261">
        <f t="shared" si="108"/>
        <v>194598</v>
      </c>
      <c r="AO61" s="261">
        <f t="shared" si="108"/>
        <v>242931</v>
      </c>
      <c r="AP61" s="261">
        <f t="shared" si="108"/>
        <v>107346</v>
      </c>
      <c r="AQ61" s="261">
        <f t="shared" si="108"/>
        <v>87384</v>
      </c>
      <c r="AR61" s="14">
        <f t="shared" si="105"/>
        <v>1678462</v>
      </c>
      <c r="AS61" s="17"/>
      <c r="AT61" s="261">
        <f t="shared" ref="AT61:BE61" si="109">AT62+AT64</f>
        <v>155346</v>
      </c>
      <c r="AU61" s="261">
        <f t="shared" si="109"/>
        <v>123370</v>
      </c>
      <c r="AV61" s="261">
        <f t="shared" si="109"/>
        <v>144065</v>
      </c>
      <c r="AW61" s="261">
        <f t="shared" si="109"/>
        <v>127865</v>
      </c>
      <c r="AX61" s="261">
        <f t="shared" si="109"/>
        <v>123461</v>
      </c>
      <c r="AY61" s="261">
        <f t="shared" si="109"/>
        <v>121196</v>
      </c>
      <c r="AZ61" s="261">
        <f t="shared" si="109"/>
        <v>168029</v>
      </c>
      <c r="BA61" s="261">
        <f t="shared" si="109"/>
        <v>164268</v>
      </c>
      <c r="BB61" s="261">
        <f t="shared" si="109"/>
        <v>185112</v>
      </c>
      <c r="BC61" s="261">
        <f t="shared" si="109"/>
        <v>147235</v>
      </c>
      <c r="BD61" s="261">
        <f t="shared" si="109"/>
        <v>135608</v>
      </c>
      <c r="BE61" s="261">
        <f t="shared" si="109"/>
        <v>90194</v>
      </c>
      <c r="BF61" s="32">
        <f t="shared" si="80"/>
        <v>1685749</v>
      </c>
      <c r="BG61" s="35">
        <f t="shared" ref="BG61:BG62" si="110">BF61/AR61-1</f>
        <v>4.3414745165515356E-3</v>
      </c>
      <c r="BH61" s="261">
        <f>BH62+BH64</f>
        <v>144332</v>
      </c>
      <c r="BI61" s="261">
        <f t="shared" ref="BI61:BQ61" si="111">BI62+BI64</f>
        <v>128781</v>
      </c>
      <c r="BJ61" s="261">
        <f t="shared" si="111"/>
        <v>193129</v>
      </c>
      <c r="BK61" s="261">
        <f t="shared" si="111"/>
        <v>106092</v>
      </c>
      <c r="BL61" s="261">
        <f t="shared" si="111"/>
        <v>132638</v>
      </c>
      <c r="BM61" s="261">
        <f t="shared" si="111"/>
        <v>139193</v>
      </c>
      <c r="BN61" s="261">
        <f t="shared" si="111"/>
        <v>173703</v>
      </c>
      <c r="BO61" s="261">
        <f t="shared" si="111"/>
        <v>186902</v>
      </c>
      <c r="BP61" s="261">
        <f t="shared" si="111"/>
        <v>200686</v>
      </c>
      <c r="BQ61" s="261">
        <f t="shared" si="111"/>
        <v>191324</v>
      </c>
      <c r="BR61" s="14"/>
      <c r="BS61" s="14"/>
      <c r="BT61" s="14">
        <f t="shared" ref="BT61:BT66" si="112">SUM(BH61:BS61)</f>
        <v>1596780</v>
      </c>
      <c r="BU61" s="18"/>
      <c r="BV61" s="261"/>
      <c r="BW61" s="261"/>
      <c r="BX61" s="261"/>
      <c r="BY61" s="261"/>
      <c r="BZ61" s="14"/>
      <c r="CA61" s="14"/>
      <c r="CB61" s="14"/>
      <c r="CC61" s="14"/>
      <c r="CD61" s="14"/>
      <c r="CE61" s="14"/>
      <c r="CF61" s="14"/>
      <c r="CG61" s="14"/>
      <c r="CH61" s="14"/>
      <c r="CJ61" s="261">
        <f>CJ62+CJ64</f>
        <v>204853</v>
      </c>
      <c r="CK61" s="261">
        <f t="shared" ref="CK61:CM61" si="113">CK62+CK64</f>
        <v>0</v>
      </c>
      <c r="CL61" s="261">
        <f t="shared" si="113"/>
        <v>0</v>
      </c>
      <c r="CM61" s="261">
        <f t="shared" si="113"/>
        <v>0</v>
      </c>
      <c r="CN61" s="14"/>
      <c r="CO61" s="14"/>
      <c r="CP61" s="14"/>
      <c r="CQ61" s="14"/>
      <c r="CR61" s="14"/>
      <c r="CS61" s="14"/>
      <c r="CT61" s="14"/>
      <c r="CU61" s="14"/>
      <c r="CV61" s="14"/>
      <c r="CX61" s="261"/>
      <c r="CY61" s="261"/>
      <c r="CZ61" s="261"/>
      <c r="DA61" s="261"/>
      <c r="DB61" s="14"/>
      <c r="DC61" s="14"/>
      <c r="DD61" s="14"/>
      <c r="DE61" s="14"/>
      <c r="DF61" s="14"/>
      <c r="DG61" s="14"/>
      <c r="DH61" s="14"/>
      <c r="DI61" s="14"/>
      <c r="DJ61" s="14"/>
    </row>
    <row r="62" spans="1:114" ht="15.75" customHeight="1">
      <c r="A62" s="210"/>
      <c r="B62" s="210" t="s">
        <v>79</v>
      </c>
      <c r="C62" s="316"/>
      <c r="D62" s="313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315"/>
      <c r="AE62" s="23"/>
      <c r="AF62" s="316">
        <v>92193</v>
      </c>
      <c r="AG62" s="91">
        <v>152006</v>
      </c>
      <c r="AH62" s="91">
        <v>62734</v>
      </c>
      <c r="AI62" s="91">
        <v>71526</v>
      </c>
      <c r="AJ62" s="91">
        <v>89409</v>
      </c>
      <c r="AK62" s="91">
        <v>120675</v>
      </c>
      <c r="AL62" s="91">
        <v>100592</v>
      </c>
      <c r="AM62" s="91">
        <v>148128</v>
      </c>
      <c r="AN62" s="91">
        <v>164346</v>
      </c>
      <c r="AO62" s="91">
        <v>203437</v>
      </c>
      <c r="AP62" s="91">
        <v>64957</v>
      </c>
      <c r="AQ62" s="91">
        <v>31837</v>
      </c>
      <c r="AR62" s="92">
        <f t="shared" si="105"/>
        <v>1301840</v>
      </c>
      <c r="AS62" s="23"/>
      <c r="AT62" s="91">
        <v>125048</v>
      </c>
      <c r="AU62" s="91">
        <v>96006</v>
      </c>
      <c r="AV62" s="91">
        <v>111470</v>
      </c>
      <c r="AW62" s="91">
        <v>99222</v>
      </c>
      <c r="AX62" s="91">
        <v>91253</v>
      </c>
      <c r="AY62" s="91">
        <v>90595</v>
      </c>
      <c r="AZ62" s="91">
        <v>129147</v>
      </c>
      <c r="BA62" s="91">
        <v>133525</v>
      </c>
      <c r="BB62" s="91">
        <v>159291</v>
      </c>
      <c r="BC62" s="91">
        <v>115573</v>
      </c>
      <c r="BD62" s="91">
        <v>98386</v>
      </c>
      <c r="BE62" s="91">
        <v>36527</v>
      </c>
      <c r="BF62" s="91">
        <f t="shared" si="80"/>
        <v>1286043</v>
      </c>
      <c r="BG62" s="93">
        <f t="shared" si="110"/>
        <v>-1.2134363669882631E-2</v>
      </c>
      <c r="BH62" s="91">
        <v>110235</v>
      </c>
      <c r="BI62" s="91">
        <v>103047</v>
      </c>
      <c r="BJ62" s="91">
        <v>158855</v>
      </c>
      <c r="BK62" s="91">
        <v>77254</v>
      </c>
      <c r="BL62" s="91">
        <v>99853</v>
      </c>
      <c r="BM62" s="91">
        <v>100723</v>
      </c>
      <c r="BN62" s="91">
        <v>125338</v>
      </c>
      <c r="BO62" s="91">
        <v>153622</v>
      </c>
      <c r="BP62" s="91">
        <v>166483</v>
      </c>
      <c r="BQ62" s="91">
        <v>156140</v>
      </c>
      <c r="BR62" s="91">
        <v>111391</v>
      </c>
      <c r="BS62" s="91">
        <v>26768</v>
      </c>
      <c r="BT62" s="91">
        <f t="shared" si="112"/>
        <v>1389709</v>
      </c>
      <c r="BU62" s="28"/>
      <c r="BV62" s="91">
        <v>128446</v>
      </c>
      <c r="BW62" s="91">
        <v>119229</v>
      </c>
      <c r="BX62" s="91">
        <v>134860</v>
      </c>
      <c r="BY62" s="91">
        <v>111992</v>
      </c>
      <c r="BZ62" s="91">
        <v>102725</v>
      </c>
      <c r="CA62" s="91">
        <v>74472</v>
      </c>
      <c r="CB62" s="91">
        <v>164045</v>
      </c>
      <c r="CC62" s="91">
        <v>148167</v>
      </c>
      <c r="CD62" s="91">
        <v>189715</v>
      </c>
      <c r="CE62" s="91">
        <v>165488</v>
      </c>
      <c r="CF62" s="91">
        <v>103829</v>
      </c>
      <c r="CG62" s="91">
        <v>39967</v>
      </c>
      <c r="CH62" s="91">
        <f t="shared" ref="CH62:CH65" si="114">SUM(BV62:CG62)</f>
        <v>1482935</v>
      </c>
      <c r="CJ62" s="91">
        <v>167136</v>
      </c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91"/>
      <c r="CV62" s="91"/>
      <c r="CX62" s="91">
        <v>54245</v>
      </c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</row>
    <row r="63" spans="1:114" ht="15.75">
      <c r="A63" s="103"/>
      <c r="B63" s="329" t="s">
        <v>80</v>
      </c>
      <c r="C63" s="330"/>
      <c r="D63" s="331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332"/>
      <c r="Q63" s="105"/>
      <c r="R63" s="333"/>
      <c r="S63" s="333"/>
      <c r="T63" s="333"/>
      <c r="U63" s="333"/>
      <c r="V63" s="333"/>
      <c r="W63" s="333"/>
      <c r="X63" s="333"/>
      <c r="Y63" s="333"/>
      <c r="Z63" s="333"/>
      <c r="AA63" s="333"/>
      <c r="AB63" s="333"/>
      <c r="AC63" s="333"/>
      <c r="AD63" s="334"/>
      <c r="AE63" s="106"/>
      <c r="AF63" s="333">
        <f t="shared" ref="AF63:AQ63" si="115">AF62-AF31</f>
        <v>2047</v>
      </c>
      <c r="AG63" s="333">
        <f t="shared" si="115"/>
        <v>-3571</v>
      </c>
      <c r="AH63" s="333">
        <f t="shared" si="115"/>
        <v>-219</v>
      </c>
      <c r="AI63" s="333">
        <f t="shared" si="115"/>
        <v>-1735</v>
      </c>
      <c r="AJ63" s="333">
        <f t="shared" si="115"/>
        <v>-2447</v>
      </c>
      <c r="AK63" s="333">
        <f t="shared" si="115"/>
        <v>675</v>
      </c>
      <c r="AL63" s="333">
        <f t="shared" si="115"/>
        <v>-9703</v>
      </c>
      <c r="AM63" s="333">
        <f t="shared" si="115"/>
        <v>-52075</v>
      </c>
      <c r="AN63" s="333">
        <f t="shared" si="115"/>
        <v>-59487.333333333343</v>
      </c>
      <c r="AO63" s="333">
        <f t="shared" si="115"/>
        <v>-15063</v>
      </c>
      <c r="AP63" s="333">
        <f t="shared" si="115"/>
        <v>-23043</v>
      </c>
      <c r="AQ63" s="333">
        <f t="shared" si="115"/>
        <v>-11563</v>
      </c>
      <c r="AR63" s="107">
        <f t="shared" si="105"/>
        <v>-176184.33333333334</v>
      </c>
      <c r="AS63" s="106"/>
      <c r="AT63" s="333">
        <f t="shared" ref="AT63:BE63" si="116">AT62-AT31</f>
        <v>8451.75</v>
      </c>
      <c r="AU63" s="333">
        <f t="shared" si="116"/>
        <v>-37227.103448275855</v>
      </c>
      <c r="AV63" s="333">
        <f t="shared" si="116"/>
        <v>-6779.1379310344782</v>
      </c>
      <c r="AW63" s="333">
        <f t="shared" si="116"/>
        <v>-22342.137931034478</v>
      </c>
      <c r="AX63" s="333">
        <f t="shared" si="116"/>
        <v>4719.0344827586232</v>
      </c>
      <c r="AY63" s="333">
        <f t="shared" si="116"/>
        <v>-14182.777777777781</v>
      </c>
      <c r="AZ63" s="333">
        <f t="shared" si="116"/>
        <v>-6630.777777777781</v>
      </c>
      <c r="BA63" s="333">
        <f t="shared" si="116"/>
        <v>-77771.296296296292</v>
      </c>
      <c r="BB63" s="333">
        <f t="shared" si="116"/>
        <v>-51486.777777777781</v>
      </c>
      <c r="BC63" s="333">
        <f t="shared" si="116"/>
        <v>-99233.290755657828</v>
      </c>
      <c r="BD63" s="333">
        <f t="shared" si="116"/>
        <v>5175.413118527038</v>
      </c>
      <c r="BE63" s="333">
        <f t="shared" si="116"/>
        <v>5840.3870349060235</v>
      </c>
      <c r="BF63" s="108">
        <f t="shared" si="80"/>
        <v>-291466.71505944064</v>
      </c>
      <c r="BG63" s="106"/>
      <c r="BH63" s="333">
        <f t="shared" ref="BH63:BQ63" si="117">BH62-BH28</f>
        <v>-6365</v>
      </c>
      <c r="BI63" s="333">
        <f t="shared" si="117"/>
        <v>-8486.3333333333285</v>
      </c>
      <c r="BJ63" s="333">
        <f t="shared" si="117"/>
        <v>23180.925925925927</v>
      </c>
      <c r="BK63" s="333">
        <f t="shared" si="117"/>
        <v>-44486.740740740745</v>
      </c>
      <c r="BL63" s="333">
        <f t="shared" si="117"/>
        <v>5926.148148148146</v>
      </c>
      <c r="BM63" s="333">
        <f t="shared" si="117"/>
        <v>10043.740740740745</v>
      </c>
      <c r="BN63" s="333">
        <f t="shared" si="117"/>
        <v>-4917.555555555562</v>
      </c>
      <c r="BO63" s="333">
        <f t="shared" si="117"/>
        <v>3071.6218888889125</v>
      </c>
      <c r="BP63" s="333">
        <f t="shared" si="117"/>
        <v>4652.2504629629548</v>
      </c>
      <c r="BQ63" s="333">
        <f t="shared" si="117"/>
        <v>29010</v>
      </c>
      <c r="BR63" s="108"/>
      <c r="BS63" s="108"/>
      <c r="BT63" s="108">
        <f t="shared" si="112"/>
        <v>11629.05753703705</v>
      </c>
      <c r="BU63" s="28"/>
      <c r="BV63" s="333">
        <v>124435</v>
      </c>
      <c r="BW63" s="333">
        <v>117564</v>
      </c>
      <c r="BX63" s="333">
        <v>133262</v>
      </c>
      <c r="BY63" s="333">
        <v>110312</v>
      </c>
      <c r="BZ63" s="108">
        <v>101441</v>
      </c>
      <c r="CA63" s="108">
        <v>67535</v>
      </c>
      <c r="CB63" s="108">
        <v>155594</v>
      </c>
      <c r="CC63" s="108"/>
      <c r="CD63" s="108"/>
      <c r="CE63" s="108"/>
      <c r="CF63" s="108"/>
      <c r="CG63" s="108"/>
      <c r="CH63" s="108">
        <f t="shared" si="114"/>
        <v>810143</v>
      </c>
      <c r="CJ63" s="333">
        <v>159683</v>
      </c>
      <c r="CK63" s="333">
        <v>182683</v>
      </c>
      <c r="CL63" s="333">
        <v>137562</v>
      </c>
      <c r="CM63" s="333">
        <v>131937</v>
      </c>
      <c r="CN63" s="108"/>
      <c r="CO63" s="108"/>
      <c r="CP63" s="108"/>
      <c r="CQ63" s="108"/>
      <c r="CR63" s="108"/>
      <c r="CS63" s="108"/>
      <c r="CT63" s="108"/>
      <c r="CU63" s="108"/>
      <c r="CV63" s="108"/>
      <c r="CX63" s="333"/>
      <c r="CY63" s="333"/>
      <c r="CZ63" s="333"/>
      <c r="DA63" s="333"/>
      <c r="DB63" s="108"/>
      <c r="DC63" s="108"/>
      <c r="DD63" s="108"/>
      <c r="DE63" s="108"/>
      <c r="DF63" s="108"/>
      <c r="DG63" s="108"/>
      <c r="DH63" s="108"/>
      <c r="DI63" s="108"/>
      <c r="DJ63" s="108"/>
    </row>
    <row r="64" spans="1:114" ht="15.75" customHeight="1">
      <c r="A64" s="94"/>
      <c r="B64" s="336" t="s">
        <v>81</v>
      </c>
      <c r="C64" s="335"/>
      <c r="D64" s="313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314"/>
      <c r="Q64" s="90"/>
      <c r="R64" s="316"/>
      <c r="S64" s="31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5"/>
      <c r="AE64" s="23"/>
      <c r="AF64" s="316">
        <v>26171</v>
      </c>
      <c r="AG64" s="316">
        <v>21736</v>
      </c>
      <c r="AH64" s="316">
        <v>10736</v>
      </c>
      <c r="AI64" s="316">
        <v>15851</v>
      </c>
      <c r="AJ64" s="316">
        <v>30248</v>
      </c>
      <c r="AK64" s="316">
        <v>34072</v>
      </c>
      <c r="AL64" s="316">
        <v>37481</v>
      </c>
      <c r="AM64" s="91">
        <v>32645</v>
      </c>
      <c r="AN64" s="91">
        <v>30252</v>
      </c>
      <c r="AO64" s="91">
        <v>39494</v>
      </c>
      <c r="AP64" s="91">
        <v>42389</v>
      </c>
      <c r="AQ64" s="91">
        <v>55547</v>
      </c>
      <c r="AR64" s="92">
        <f t="shared" si="105"/>
        <v>376622</v>
      </c>
      <c r="AS64" s="23"/>
      <c r="AT64" s="91">
        <v>30298</v>
      </c>
      <c r="AU64" s="91">
        <v>27364</v>
      </c>
      <c r="AV64" s="91">
        <v>32595</v>
      </c>
      <c r="AW64" s="91">
        <v>28643</v>
      </c>
      <c r="AX64" s="91">
        <v>32208</v>
      </c>
      <c r="AY64" s="91">
        <v>30601</v>
      </c>
      <c r="AZ64" s="91">
        <v>38882</v>
      </c>
      <c r="BA64" s="91">
        <v>30743</v>
      </c>
      <c r="BB64" s="91">
        <f>24621+1200</f>
        <v>25821</v>
      </c>
      <c r="BC64" s="91">
        <v>31662</v>
      </c>
      <c r="BD64" s="91">
        <v>37222</v>
      </c>
      <c r="BE64" s="91">
        <v>53667</v>
      </c>
      <c r="BF64" s="91">
        <f t="shared" si="80"/>
        <v>399706</v>
      </c>
      <c r="BG64" s="93">
        <f>BF64/AR64-1</f>
        <v>6.1292224033646425E-2</v>
      </c>
      <c r="BH64" s="91">
        <v>34097</v>
      </c>
      <c r="BI64" s="91">
        <v>25734</v>
      </c>
      <c r="BJ64" s="91">
        <v>34274</v>
      </c>
      <c r="BK64" s="91">
        <v>28838</v>
      </c>
      <c r="BL64" s="91">
        <v>32785</v>
      </c>
      <c r="BM64" s="91">
        <v>38470</v>
      </c>
      <c r="BN64" s="91">
        <v>48365</v>
      </c>
      <c r="BO64" s="91">
        <v>33280</v>
      </c>
      <c r="BP64" s="91">
        <v>34203</v>
      </c>
      <c r="BQ64" s="91">
        <v>35184</v>
      </c>
      <c r="BR64" s="91">
        <v>34873</v>
      </c>
      <c r="BS64" s="91">
        <v>48960</v>
      </c>
      <c r="BT64" s="91">
        <f t="shared" si="112"/>
        <v>429063</v>
      </c>
      <c r="BU64" s="28"/>
      <c r="BV64" s="91">
        <v>38900</v>
      </c>
      <c r="BW64" s="91">
        <v>31376</v>
      </c>
      <c r="BX64" s="91">
        <v>29886</v>
      </c>
      <c r="BY64" s="91">
        <v>30671</v>
      </c>
      <c r="BZ64" s="91">
        <v>34553</v>
      </c>
      <c r="CA64" s="91">
        <v>36515</v>
      </c>
      <c r="CB64" s="91">
        <v>38915</v>
      </c>
      <c r="CC64" s="91">
        <v>34615</v>
      </c>
      <c r="CD64" s="91">
        <v>29617</v>
      </c>
      <c r="CE64" s="91">
        <v>34538</v>
      </c>
      <c r="CF64" s="91">
        <v>45914</v>
      </c>
      <c r="CG64" s="91">
        <v>60875</v>
      </c>
      <c r="CH64" s="91">
        <f t="shared" si="114"/>
        <v>446375</v>
      </c>
      <c r="CJ64" s="91">
        <v>37717</v>
      </c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X64" s="91">
        <v>22115</v>
      </c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</row>
    <row r="65" spans="1:114" ht="15.75">
      <c r="A65" s="103"/>
      <c r="B65" s="329" t="s">
        <v>82</v>
      </c>
      <c r="C65" s="330"/>
      <c r="D65" s="331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332"/>
      <c r="Q65" s="105"/>
      <c r="R65" s="333"/>
      <c r="S65" s="333"/>
      <c r="T65" s="333"/>
      <c r="U65" s="333"/>
      <c r="V65" s="333"/>
      <c r="W65" s="333"/>
      <c r="X65" s="333"/>
      <c r="Y65" s="333"/>
      <c r="Z65" s="333"/>
      <c r="AA65" s="333"/>
      <c r="AB65" s="333"/>
      <c r="AC65" s="333"/>
      <c r="AD65" s="334"/>
      <c r="AE65" s="106"/>
      <c r="AF65" s="333">
        <f t="shared" ref="AF65:AQ65" si="118">AF64-AF55</f>
        <v>-12329</v>
      </c>
      <c r="AG65" s="333">
        <f t="shared" si="118"/>
        <v>-664</v>
      </c>
      <c r="AH65" s="333">
        <f t="shared" si="118"/>
        <v>65</v>
      </c>
      <c r="AI65" s="333">
        <f t="shared" si="118"/>
        <v>-246</v>
      </c>
      <c r="AJ65" s="333">
        <f t="shared" si="118"/>
        <v>-30</v>
      </c>
      <c r="AK65" s="333">
        <f t="shared" si="118"/>
        <v>5512</v>
      </c>
      <c r="AL65" s="333">
        <f t="shared" si="118"/>
        <v>-4219</v>
      </c>
      <c r="AM65" s="333">
        <f t="shared" si="118"/>
        <v>-6055</v>
      </c>
      <c r="AN65" s="333">
        <f t="shared" si="118"/>
        <v>-7048</v>
      </c>
      <c r="AO65" s="333">
        <f t="shared" si="118"/>
        <v>2094</v>
      </c>
      <c r="AP65" s="333">
        <f t="shared" si="118"/>
        <v>1749</v>
      </c>
      <c r="AQ65" s="333">
        <f t="shared" si="118"/>
        <v>1107</v>
      </c>
      <c r="AR65" s="107">
        <f t="shared" si="105"/>
        <v>-20064</v>
      </c>
      <c r="AS65" s="106"/>
      <c r="AT65" s="333">
        <f t="shared" ref="AT65:BE65" si="119">AT64-AT55</f>
        <v>-5855</v>
      </c>
      <c r="AU65" s="333">
        <f t="shared" si="119"/>
        <v>-7925</v>
      </c>
      <c r="AV65" s="333">
        <f t="shared" si="119"/>
        <v>-3277</v>
      </c>
      <c r="AW65" s="333">
        <f t="shared" si="119"/>
        <v>-9388</v>
      </c>
      <c r="AX65" s="333">
        <f t="shared" si="119"/>
        <v>-1358</v>
      </c>
      <c r="AY65" s="333">
        <f t="shared" si="119"/>
        <v>-2965</v>
      </c>
      <c r="AZ65" s="333">
        <f t="shared" si="119"/>
        <v>7986</v>
      </c>
      <c r="BA65" s="333">
        <f t="shared" si="119"/>
        <v>-403</v>
      </c>
      <c r="BB65" s="333">
        <f t="shared" si="119"/>
        <v>-6809</v>
      </c>
      <c r="BC65" s="333">
        <f t="shared" si="119"/>
        <v>-6900</v>
      </c>
      <c r="BD65" s="333">
        <f t="shared" si="119"/>
        <v>-4123</v>
      </c>
      <c r="BE65" s="333">
        <f t="shared" si="119"/>
        <v>4404</v>
      </c>
      <c r="BF65" s="108">
        <f t="shared" si="80"/>
        <v>-36613</v>
      </c>
      <c r="BG65" s="106"/>
      <c r="BH65" s="333">
        <f t="shared" ref="BH65:BQ65" si="120">BH64-BH55</f>
        <v>-2056</v>
      </c>
      <c r="BI65" s="333">
        <f t="shared" si="120"/>
        <v>-9555</v>
      </c>
      <c r="BJ65" s="333">
        <f t="shared" si="120"/>
        <v>-1598</v>
      </c>
      <c r="BK65" s="333">
        <f t="shared" si="120"/>
        <v>-9193</v>
      </c>
      <c r="BL65" s="333">
        <f t="shared" si="120"/>
        <v>-5785</v>
      </c>
      <c r="BM65" s="333">
        <f t="shared" si="120"/>
        <v>-757</v>
      </c>
      <c r="BN65" s="333">
        <f t="shared" si="120"/>
        <v>7237</v>
      </c>
      <c r="BO65" s="333">
        <f t="shared" si="120"/>
        <v>-4911</v>
      </c>
      <c r="BP65" s="333">
        <f t="shared" si="120"/>
        <v>-3988</v>
      </c>
      <c r="BQ65" s="333">
        <f t="shared" si="120"/>
        <v>-5041</v>
      </c>
      <c r="BR65" s="108"/>
      <c r="BS65" s="108"/>
      <c r="BT65" s="108">
        <f t="shared" si="112"/>
        <v>-35647</v>
      </c>
      <c r="BU65" s="28"/>
      <c r="BV65" s="333">
        <v>27740</v>
      </c>
      <c r="BW65" s="333">
        <v>23272</v>
      </c>
      <c r="BX65" s="333">
        <v>24576</v>
      </c>
      <c r="BY65" s="108">
        <v>26006</v>
      </c>
      <c r="BZ65" s="108">
        <v>30640</v>
      </c>
      <c r="CA65" s="108">
        <v>30640</v>
      </c>
      <c r="CB65" s="108">
        <v>29618</v>
      </c>
      <c r="CC65" s="108">
        <v>29686</v>
      </c>
      <c r="CD65" s="108">
        <v>29993</v>
      </c>
      <c r="CE65" s="108">
        <v>31540</v>
      </c>
      <c r="CF65" s="108">
        <v>38086</v>
      </c>
      <c r="CG65" s="108">
        <v>54003</v>
      </c>
      <c r="CH65" s="108">
        <f t="shared" si="114"/>
        <v>375800</v>
      </c>
      <c r="CJ65" s="333">
        <f>BV65*1.03</f>
        <v>28572.2</v>
      </c>
      <c r="CK65" s="333">
        <f>BW65*1.03</f>
        <v>23970.16</v>
      </c>
      <c r="CL65" s="333">
        <f t="shared" ref="CL65:CU65" si="121">BX65*1.03</f>
        <v>25313.279999999999</v>
      </c>
      <c r="CM65" s="333">
        <v>29046</v>
      </c>
      <c r="CN65" s="333">
        <f t="shared" si="121"/>
        <v>31559.200000000001</v>
      </c>
      <c r="CO65" s="333">
        <f t="shared" si="121"/>
        <v>31559.200000000001</v>
      </c>
      <c r="CP65" s="333">
        <f t="shared" si="121"/>
        <v>30506.54</v>
      </c>
      <c r="CQ65" s="333">
        <f t="shared" si="121"/>
        <v>30576.58</v>
      </c>
      <c r="CR65" s="333">
        <f t="shared" si="121"/>
        <v>30892.79</v>
      </c>
      <c r="CS65" s="333">
        <f t="shared" si="121"/>
        <v>32486.2</v>
      </c>
      <c r="CT65" s="333">
        <f t="shared" si="121"/>
        <v>39228.58</v>
      </c>
      <c r="CU65" s="333">
        <f t="shared" si="121"/>
        <v>55623.090000000004</v>
      </c>
      <c r="CV65" s="108">
        <f>SUM(CJ65:CU65)</f>
        <v>389333.82000000007</v>
      </c>
      <c r="CX65" s="333"/>
      <c r="CY65" s="333"/>
      <c r="CZ65" s="333"/>
      <c r="DA65" s="333"/>
      <c r="DB65" s="108"/>
      <c r="DC65" s="108"/>
      <c r="DD65" s="108"/>
      <c r="DE65" s="108"/>
      <c r="DF65" s="108"/>
      <c r="DG65" s="108"/>
      <c r="DH65" s="108"/>
      <c r="DI65" s="108"/>
      <c r="DJ65" s="108"/>
    </row>
    <row r="66" spans="1:114" ht="15.75">
      <c r="A66" s="103" t="s">
        <v>83</v>
      </c>
      <c r="B66" s="337" t="s">
        <v>84</v>
      </c>
      <c r="C66" s="330"/>
      <c r="D66" s="331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332"/>
      <c r="Q66" s="105"/>
      <c r="R66" s="333"/>
      <c r="S66" s="333"/>
      <c r="T66" s="333"/>
      <c r="U66" s="333"/>
      <c r="V66" s="333"/>
      <c r="W66" s="333"/>
      <c r="X66" s="333"/>
      <c r="Y66" s="333"/>
      <c r="Z66" s="333"/>
      <c r="AA66" s="333"/>
      <c r="AB66" s="333"/>
      <c r="AC66" s="333"/>
      <c r="AD66" s="334"/>
      <c r="AE66" s="106"/>
      <c r="AF66" s="333">
        <f>AF61-AF27</f>
        <v>-10282</v>
      </c>
      <c r="AG66" s="333">
        <f>AG61-AG27</f>
        <v>-4235</v>
      </c>
      <c r="AH66" s="333">
        <f>AH61-AH27</f>
        <v>-154</v>
      </c>
      <c r="AI66" s="333">
        <f>AI61-AI27</f>
        <v>-1981</v>
      </c>
      <c r="AJ66" s="333">
        <f>AJ61-AJ27</f>
        <v>-2477</v>
      </c>
      <c r="AK66" s="333">
        <f>AK61-AK27</f>
        <v>6187</v>
      </c>
      <c r="AL66" s="333">
        <f>AL61-AL27</f>
        <v>-13922</v>
      </c>
      <c r="AM66" s="333">
        <f>AM61-AM27</f>
        <v>-58130</v>
      </c>
      <c r="AN66" s="333">
        <f>AN61-AN27</f>
        <v>-66535.333333333343</v>
      </c>
      <c r="AO66" s="333">
        <f>AO61-AO27</f>
        <v>-12969</v>
      </c>
      <c r="AP66" s="333">
        <f>AP61-AP27</f>
        <v>-21294</v>
      </c>
      <c r="AQ66" s="333">
        <f>AQ61-AQ27</f>
        <v>-10456</v>
      </c>
      <c r="AR66" s="107">
        <f t="shared" si="105"/>
        <v>-196248.33333333334</v>
      </c>
      <c r="AS66" s="106"/>
      <c r="AT66" s="333">
        <f t="shared" ref="AT66:BE66" si="122">AT61-AT27</f>
        <v>2596.75</v>
      </c>
      <c r="AU66" s="333">
        <f t="shared" si="122"/>
        <v>-45152.103448275855</v>
      </c>
      <c r="AV66" s="333">
        <f t="shared" si="122"/>
        <v>-10056.137931034493</v>
      </c>
      <c r="AW66" s="333">
        <f t="shared" si="122"/>
        <v>-31730.137931034493</v>
      </c>
      <c r="AX66" s="333">
        <f t="shared" si="122"/>
        <v>3361.0344827586232</v>
      </c>
      <c r="AY66" s="333">
        <f t="shared" si="122"/>
        <v>-17147.777777777781</v>
      </c>
      <c r="AZ66" s="333">
        <f t="shared" si="122"/>
        <v>1355.222222222219</v>
      </c>
      <c r="BA66" s="333">
        <f t="shared" si="122"/>
        <v>-78174.296296296292</v>
      </c>
      <c r="BB66" s="333">
        <f t="shared" si="122"/>
        <v>-58295.777777777781</v>
      </c>
      <c r="BC66" s="333">
        <f t="shared" si="122"/>
        <v>-106133.29075565783</v>
      </c>
      <c r="BD66" s="333">
        <f t="shared" si="122"/>
        <v>1052.413118527038</v>
      </c>
      <c r="BE66" s="333">
        <f t="shared" si="122"/>
        <v>17507.387034906016</v>
      </c>
      <c r="BF66" s="108">
        <f t="shared" si="80"/>
        <v>-320816.71505944064</v>
      </c>
      <c r="BG66" s="106"/>
      <c r="BH66" s="333">
        <f t="shared" ref="BH66:BQ66" si="123">BH61-BH27</f>
        <v>-8421</v>
      </c>
      <c r="BI66" s="333">
        <f t="shared" si="123"/>
        <v>-18041.333333333314</v>
      </c>
      <c r="BJ66" s="333">
        <f t="shared" si="123"/>
        <v>21582.925925925927</v>
      </c>
      <c r="BK66" s="333">
        <f t="shared" si="123"/>
        <v>-53679.74074074073</v>
      </c>
      <c r="BL66" s="333">
        <f t="shared" si="123"/>
        <v>141.14814814814599</v>
      </c>
      <c r="BM66" s="333">
        <f t="shared" si="123"/>
        <v>9286.7407407407445</v>
      </c>
      <c r="BN66" s="333">
        <f t="shared" si="123"/>
        <v>2319.444444444438</v>
      </c>
      <c r="BO66" s="333">
        <f t="shared" si="123"/>
        <v>7351.6218888889125</v>
      </c>
      <c r="BP66" s="333">
        <f t="shared" si="123"/>
        <v>-1367.7495370370452</v>
      </c>
      <c r="BQ66" s="333">
        <f t="shared" si="123"/>
        <v>27459</v>
      </c>
      <c r="BR66" s="108"/>
      <c r="BS66" s="108"/>
      <c r="BT66" s="108">
        <f t="shared" si="112"/>
        <v>-13368.942462962921</v>
      </c>
      <c r="BU66" s="28"/>
      <c r="BV66" s="333"/>
      <c r="BW66" s="333"/>
      <c r="BX66" s="333"/>
      <c r="BY66" s="333"/>
      <c r="BZ66" s="108"/>
      <c r="CA66" s="108"/>
      <c r="CB66" s="108">
        <f>CB65+CB62</f>
        <v>193663</v>
      </c>
      <c r="CC66" s="108">
        <f t="shared" ref="CC66:CG66" si="124">CC65+CC62</f>
        <v>177853</v>
      </c>
      <c r="CD66" s="108">
        <f t="shared" si="124"/>
        <v>219708</v>
      </c>
      <c r="CE66" s="108">
        <f t="shared" si="124"/>
        <v>197028</v>
      </c>
      <c r="CF66" s="108">
        <f t="shared" si="124"/>
        <v>141915</v>
      </c>
      <c r="CG66" s="108">
        <f t="shared" si="124"/>
        <v>93970</v>
      </c>
      <c r="CH66" s="108"/>
      <c r="CJ66" s="333">
        <v>27785</v>
      </c>
      <c r="CK66" s="333">
        <v>23447</v>
      </c>
      <c r="CL66" s="333">
        <v>26944</v>
      </c>
      <c r="CM66" s="333"/>
      <c r="CN66" s="108"/>
      <c r="CO66" s="108"/>
      <c r="CP66" s="108"/>
      <c r="CQ66" s="108"/>
      <c r="CR66" s="108"/>
      <c r="CS66" s="108"/>
      <c r="CT66" s="108"/>
      <c r="CU66" s="108"/>
      <c r="CV66" s="108"/>
      <c r="CX66" s="333"/>
      <c r="CY66" s="333"/>
      <c r="CZ66" s="333"/>
      <c r="DA66" s="333"/>
      <c r="DB66" s="108"/>
      <c r="DC66" s="108"/>
      <c r="DD66" s="108"/>
      <c r="DE66" s="108"/>
      <c r="DF66" s="108"/>
      <c r="DG66" s="108"/>
      <c r="DH66" s="108"/>
      <c r="DI66" s="108"/>
      <c r="DJ66" s="108"/>
    </row>
    <row r="67" spans="1:114" ht="15.75">
      <c r="A67" s="103" t="s">
        <v>85</v>
      </c>
      <c r="B67" s="337"/>
      <c r="C67" s="330"/>
      <c r="D67" s="331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332"/>
      <c r="Q67" s="105"/>
      <c r="R67" s="333"/>
      <c r="S67" s="333"/>
      <c r="T67" s="333"/>
      <c r="U67" s="333"/>
      <c r="V67" s="333"/>
      <c r="W67" s="333"/>
      <c r="X67" s="333"/>
      <c r="Y67" s="333"/>
      <c r="Z67" s="333"/>
      <c r="AA67" s="333"/>
      <c r="AB67" s="333"/>
      <c r="AC67" s="333"/>
      <c r="AD67" s="334"/>
      <c r="AE67" s="106"/>
      <c r="AF67" s="333">
        <f>AF62-AF28</f>
        <v>92193</v>
      </c>
      <c r="AG67" s="333">
        <f>AG62-AG28</f>
        <v>152006</v>
      </c>
      <c r="AH67" s="333">
        <f>AH62-AH28</f>
        <v>62734</v>
      </c>
      <c r="AI67" s="333">
        <f>AI62-AI28</f>
        <v>71526</v>
      </c>
      <c r="AJ67" s="333">
        <f>AJ62-AJ28</f>
        <v>89409</v>
      </c>
      <c r="AK67" s="333">
        <f>AK62-AK28</f>
        <v>120675</v>
      </c>
      <c r="AL67" s="333">
        <f>AL62-AL28</f>
        <v>100592</v>
      </c>
      <c r="AM67" s="333">
        <f>AM62-AM28</f>
        <v>148128</v>
      </c>
      <c r="AN67" s="333">
        <f>AN62-AN28</f>
        <v>164346</v>
      </c>
      <c r="AO67" s="333">
        <f>AO62-AO28</f>
        <v>203437</v>
      </c>
      <c r="AP67" s="333">
        <f>AP62-AP28</f>
        <v>64957</v>
      </c>
      <c r="AQ67" s="333">
        <f>AQ62-AQ28</f>
        <v>31837</v>
      </c>
      <c r="AR67" s="107">
        <f t="shared" si="105"/>
        <v>1301840</v>
      </c>
      <c r="AS67" s="106"/>
      <c r="AT67" s="338">
        <f t="shared" ref="AT67:BE67" si="125">AT66/AT27</f>
        <v>1.7000083470131603E-2</v>
      </c>
      <c r="AU67" s="338">
        <f t="shared" si="125"/>
        <v>-0.26792985919579565</v>
      </c>
      <c r="AV67" s="338">
        <f t="shared" si="125"/>
        <v>-6.5248272015318062E-2</v>
      </c>
      <c r="AW67" s="338">
        <f t="shared" si="125"/>
        <v>-0.19881644480138216</v>
      </c>
      <c r="AX67" s="338">
        <f t="shared" si="125"/>
        <v>2.798530764170884E-2</v>
      </c>
      <c r="AY67" s="338">
        <f t="shared" si="125"/>
        <v>-0.12395048084722922</v>
      </c>
      <c r="AZ67" s="338">
        <f t="shared" si="125"/>
        <v>8.1309864112464342E-3</v>
      </c>
      <c r="BA67" s="338">
        <f t="shared" si="125"/>
        <v>-0.32244495902957893</v>
      </c>
      <c r="BB67" s="338">
        <f t="shared" si="125"/>
        <v>-0.23949841829212068</v>
      </c>
      <c r="BC67" s="338">
        <f t="shared" si="125"/>
        <v>-0.41888939787658819</v>
      </c>
      <c r="BD67" s="338">
        <f t="shared" si="125"/>
        <v>7.8214003811977375E-3</v>
      </c>
      <c r="BE67" s="338">
        <f t="shared" si="125"/>
        <v>0.24086123043473662</v>
      </c>
      <c r="BF67" s="109">
        <f>AVERAGE(AT67:BE67)</f>
        <v>-0.11124823530991597</v>
      </c>
      <c r="BG67" s="106"/>
      <c r="BH67" s="338">
        <f t="shared" ref="BH67:BQ67" si="126">BH66/BH27</f>
        <v>-5.512821352117471E-2</v>
      </c>
      <c r="BI67" s="338">
        <f t="shared" si="126"/>
        <v>-0.12287867195499311</v>
      </c>
      <c r="BJ67" s="338">
        <f t="shared" si="126"/>
        <v>0.12581416416796784</v>
      </c>
      <c r="BK67" s="338">
        <f t="shared" si="126"/>
        <v>-0.33597769224938256</v>
      </c>
      <c r="BL67" s="338">
        <f t="shared" si="126"/>
        <v>1.0652943536044719E-3</v>
      </c>
      <c r="BM67" s="338">
        <f t="shared" si="126"/>
        <v>7.1488016002422286E-2</v>
      </c>
      <c r="BN67" s="338">
        <f t="shared" si="126"/>
        <v>1.3533646427895287E-2</v>
      </c>
      <c r="BO67" s="338">
        <f t="shared" si="126"/>
        <v>4.0944619366602007E-2</v>
      </c>
      <c r="BP67" s="338">
        <f t="shared" si="126"/>
        <v>-6.7692361075750926E-3</v>
      </c>
      <c r="BQ67" s="338">
        <f t="shared" si="126"/>
        <v>0.16757086626186191</v>
      </c>
      <c r="BR67" s="109"/>
      <c r="BS67" s="109"/>
      <c r="BT67" s="338">
        <f>BT66/BT27</f>
        <v>-7.1185036907011742E-3</v>
      </c>
      <c r="BU67" s="54"/>
      <c r="BV67" s="338"/>
      <c r="BW67" s="338"/>
      <c r="BX67" s="338"/>
      <c r="BY67" s="338"/>
      <c r="BZ67" s="109"/>
      <c r="CA67" s="109"/>
      <c r="CB67" s="109"/>
      <c r="CC67" s="109"/>
      <c r="CD67" s="109"/>
      <c r="CE67" s="109"/>
      <c r="CF67" s="109"/>
      <c r="CG67" s="109"/>
      <c r="CH67" s="109"/>
      <c r="CJ67" s="338"/>
      <c r="CK67" s="338"/>
      <c r="CL67" s="338"/>
      <c r="CM67" s="338"/>
      <c r="CN67" s="109"/>
      <c r="CO67" s="109"/>
      <c r="CP67" s="109"/>
      <c r="CQ67" s="109"/>
      <c r="CR67" s="109"/>
      <c r="CS67" s="109"/>
      <c r="CT67" s="109"/>
      <c r="CU67" s="109"/>
      <c r="CV67" s="109"/>
      <c r="CX67" s="338"/>
      <c r="CY67" s="338"/>
      <c r="CZ67" s="338"/>
      <c r="DA67" s="338"/>
      <c r="DB67" s="109"/>
      <c r="DC67" s="109"/>
      <c r="DD67" s="109"/>
      <c r="DE67" s="109"/>
      <c r="DF67" s="109"/>
      <c r="DG67" s="109"/>
      <c r="DH67" s="109"/>
      <c r="DI67" s="109"/>
      <c r="DJ67" s="109"/>
    </row>
    <row r="68" spans="1:114" ht="14.25" customHeight="1">
      <c r="A68" s="55" t="s">
        <v>86</v>
      </c>
      <c r="B68" s="56"/>
      <c r="C68" s="280"/>
      <c r="D68" s="288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289"/>
      <c r="Q68" s="39"/>
      <c r="R68" s="288"/>
      <c r="S68" s="58"/>
      <c r="T68" s="58"/>
      <c r="U68" s="58"/>
      <c r="V68" s="58"/>
      <c r="W68" s="290"/>
      <c r="X68" s="290"/>
      <c r="Y68" s="290"/>
      <c r="Z68" s="290"/>
      <c r="AA68" s="290"/>
      <c r="AB68" s="290"/>
      <c r="AC68" s="290"/>
      <c r="AD68" s="291"/>
      <c r="AE68" s="59"/>
      <c r="AF68" s="292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9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9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60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</row>
    <row r="69" spans="1:114" ht="21" customHeight="1">
      <c r="A69" s="55"/>
      <c r="B69" s="56" t="s">
        <v>87</v>
      </c>
      <c r="C69" s="280"/>
      <c r="D69" s="288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289"/>
      <c r="Q69" s="39"/>
      <c r="R69" s="288"/>
      <c r="S69" s="58"/>
      <c r="T69" s="58"/>
      <c r="U69" s="58"/>
      <c r="V69" s="58"/>
      <c r="W69" s="290"/>
      <c r="X69" s="290"/>
      <c r="Y69" s="290"/>
      <c r="Z69" s="290"/>
      <c r="AA69" s="290"/>
      <c r="AB69" s="290"/>
      <c r="AC69" s="290"/>
      <c r="AD69" s="291"/>
      <c r="AE69" s="59"/>
      <c r="AF69" s="292"/>
      <c r="AG69" s="292"/>
      <c r="AH69" s="292"/>
      <c r="AI69" s="292"/>
      <c r="AJ69" s="292"/>
      <c r="AK69" s="292"/>
      <c r="AL69" s="292"/>
      <c r="AM69" s="292"/>
      <c r="AN69" s="292"/>
      <c r="AO69" s="292"/>
      <c r="AP69" s="292"/>
      <c r="AQ69" s="292"/>
      <c r="AR69" s="58"/>
      <c r="AS69" s="59"/>
      <c r="AT69" s="292"/>
      <c r="AU69" s="292"/>
      <c r="AV69" s="292"/>
      <c r="AW69" s="292"/>
      <c r="AX69" s="292"/>
      <c r="AY69" s="292"/>
      <c r="AZ69" s="292"/>
      <c r="BA69" s="292"/>
      <c r="BB69" s="292"/>
      <c r="BC69" s="292"/>
      <c r="BD69" s="292"/>
      <c r="BE69" s="292"/>
      <c r="BF69" s="58"/>
      <c r="BG69" s="59"/>
      <c r="BH69" s="292"/>
      <c r="BI69" s="292"/>
      <c r="BJ69" s="292"/>
      <c r="BK69" s="292"/>
      <c r="BL69" s="292"/>
      <c r="BM69" s="292"/>
      <c r="BN69" s="292"/>
      <c r="BO69" s="292"/>
      <c r="BP69" s="292"/>
      <c r="BQ69" s="292"/>
      <c r="BR69" s="292"/>
      <c r="BS69" s="292"/>
      <c r="BT69" s="292"/>
      <c r="BU69" s="60"/>
      <c r="BV69" s="400">
        <v>152642</v>
      </c>
      <c r="BW69" s="400">
        <v>141495</v>
      </c>
      <c r="BX69" s="400">
        <v>158268</v>
      </c>
      <c r="BY69" s="400">
        <v>135742</v>
      </c>
      <c r="BZ69" s="400">
        <v>130614</v>
      </c>
      <c r="CA69" s="400">
        <v>97296</v>
      </c>
      <c r="CB69" s="400">
        <v>180319</v>
      </c>
      <c r="CC69" s="400">
        <v>175137</v>
      </c>
      <c r="CD69" s="400">
        <v>216035</v>
      </c>
      <c r="CE69" s="400">
        <v>188049</v>
      </c>
      <c r="CF69" s="400">
        <v>139782</v>
      </c>
      <c r="CG69" s="400">
        <v>90604</v>
      </c>
      <c r="CH69" s="412">
        <f>SUM(BV69:CG69)</f>
        <v>1805983</v>
      </c>
      <c r="CJ69" s="400" t="s">
        <v>88</v>
      </c>
      <c r="CK69" s="400">
        <f t="shared" ref="CK69:CV69" si="127">BW69</f>
        <v>141495</v>
      </c>
      <c r="CL69" s="400">
        <f t="shared" si="127"/>
        <v>158268</v>
      </c>
      <c r="CM69" s="400">
        <f t="shared" si="127"/>
        <v>135742</v>
      </c>
      <c r="CN69" s="400">
        <f t="shared" si="127"/>
        <v>130614</v>
      </c>
      <c r="CO69" s="400">
        <f t="shared" si="127"/>
        <v>97296</v>
      </c>
      <c r="CP69" s="400">
        <f t="shared" si="127"/>
        <v>180319</v>
      </c>
      <c r="CQ69" s="400">
        <f t="shared" si="127"/>
        <v>175137</v>
      </c>
      <c r="CR69" s="400">
        <f t="shared" si="127"/>
        <v>216035</v>
      </c>
      <c r="CS69" s="400">
        <f>CS70</f>
        <v>229416.92</v>
      </c>
      <c r="CT69" s="400">
        <f t="shared" ref="CT69:CU69" si="128">CT70</f>
        <v>162785.09</v>
      </c>
      <c r="CU69" s="400">
        <f t="shared" si="128"/>
        <v>103183.82</v>
      </c>
      <c r="CV69" s="400">
        <f t="shared" si="127"/>
        <v>1805983</v>
      </c>
      <c r="CX69" s="400"/>
      <c r="CY69" s="400"/>
      <c r="CZ69" s="400"/>
      <c r="DA69" s="400"/>
      <c r="DB69" s="400"/>
      <c r="DC69" s="400"/>
      <c r="DD69" s="292"/>
      <c r="DE69" s="292"/>
      <c r="DF69" s="292"/>
      <c r="DG69" s="292"/>
      <c r="DH69" s="292"/>
      <c r="DI69" s="292"/>
      <c r="DJ69" s="292"/>
    </row>
    <row r="70" spans="1:114" s="414" customFormat="1" ht="22.5" customHeight="1">
      <c r="A70" s="401"/>
      <c r="B70" s="402" t="s">
        <v>89</v>
      </c>
      <c r="C70" s="403"/>
      <c r="D70" s="404"/>
      <c r="E70" s="405"/>
      <c r="F70" s="405"/>
      <c r="G70" s="405"/>
      <c r="H70" s="405"/>
      <c r="I70" s="405"/>
      <c r="J70" s="405"/>
      <c r="K70" s="405"/>
      <c r="L70" s="405"/>
      <c r="M70" s="405"/>
      <c r="N70" s="405"/>
      <c r="O70" s="405"/>
      <c r="P70" s="406"/>
      <c r="Q70" s="407"/>
      <c r="R70" s="404"/>
      <c r="S70" s="408"/>
      <c r="T70" s="408"/>
      <c r="U70" s="408"/>
      <c r="V70" s="408"/>
      <c r="W70" s="409"/>
      <c r="X70" s="409"/>
      <c r="Y70" s="409"/>
      <c r="Z70" s="409"/>
      <c r="AA70" s="409"/>
      <c r="AB70" s="409"/>
      <c r="AC70" s="409"/>
      <c r="AD70" s="410"/>
      <c r="AE70" s="411"/>
      <c r="AF70" s="412"/>
      <c r="AG70" s="412"/>
      <c r="AH70" s="412"/>
      <c r="AI70" s="412"/>
      <c r="AJ70" s="412"/>
      <c r="AK70" s="412"/>
      <c r="AL70" s="412"/>
      <c r="AM70" s="412"/>
      <c r="AN70" s="412"/>
      <c r="AO70" s="412"/>
      <c r="AP70" s="412"/>
      <c r="AQ70" s="412"/>
      <c r="AR70" s="408"/>
      <c r="AS70" s="411"/>
      <c r="AT70" s="412"/>
      <c r="AU70" s="412"/>
      <c r="AV70" s="412"/>
      <c r="AW70" s="412"/>
      <c r="AX70" s="412"/>
      <c r="AY70" s="412"/>
      <c r="AZ70" s="412"/>
      <c r="BA70" s="412"/>
      <c r="BB70" s="412"/>
      <c r="BC70" s="412"/>
      <c r="BD70" s="412"/>
      <c r="BE70" s="412"/>
      <c r="BF70" s="408"/>
      <c r="BG70" s="411"/>
      <c r="BH70" s="412"/>
      <c r="BI70" s="412"/>
      <c r="BJ70" s="412"/>
      <c r="BK70" s="412"/>
      <c r="BL70" s="412"/>
      <c r="BM70" s="412"/>
      <c r="BN70" s="412"/>
      <c r="BO70" s="412"/>
      <c r="BP70" s="412"/>
      <c r="BQ70" s="412"/>
      <c r="BR70" s="412"/>
      <c r="BS70" s="412"/>
      <c r="BT70" s="412"/>
      <c r="BU70" s="60"/>
      <c r="BV70" s="413">
        <f>BV27</f>
        <v>161157.867486095</v>
      </c>
      <c r="BW70" s="413">
        <f>BW27</f>
        <v>155966.83045180296</v>
      </c>
      <c r="BX70" s="413">
        <f t="shared" ref="BX70:CH70" si="129">BX27</f>
        <v>196111.53846153844</v>
      </c>
      <c r="BY70" s="413">
        <f t="shared" si="129"/>
        <v>159169.23076923078</v>
      </c>
      <c r="BZ70" s="413">
        <f t="shared" si="129"/>
        <v>151482.39341785663</v>
      </c>
      <c r="CA70" s="413">
        <f t="shared" si="129"/>
        <v>141442.12910096842</v>
      </c>
      <c r="CB70" s="413">
        <f t="shared" si="129"/>
        <v>176986.21444761599</v>
      </c>
      <c r="CC70" s="413">
        <f t="shared" si="129"/>
        <v>201301.08944885107</v>
      </c>
      <c r="CD70" s="413">
        <f t="shared" si="129"/>
        <v>212833.04013559342</v>
      </c>
      <c r="CE70" s="413">
        <f t="shared" si="129"/>
        <v>215922.30386211892</v>
      </c>
      <c r="CF70" s="413">
        <f t="shared" si="129"/>
        <v>171115.84223630186</v>
      </c>
      <c r="CG70" s="413">
        <f t="shared" si="129"/>
        <v>87483.816691710366</v>
      </c>
      <c r="CH70" s="412">
        <f>SUM(BV70:CG70)</f>
        <v>2030972.2965096838</v>
      </c>
      <c r="CI70"/>
      <c r="CJ70" s="413">
        <f>CJ27</f>
        <v>181422.94</v>
      </c>
      <c r="CK70" s="413">
        <f>CK27</f>
        <v>165852.66999999998</v>
      </c>
      <c r="CL70" s="413">
        <f t="shared" ref="CL70:CW70" si="130">CL27</f>
        <v>185796.68</v>
      </c>
      <c r="CM70" s="413">
        <f t="shared" si="130"/>
        <v>160983</v>
      </c>
      <c r="CN70" s="413">
        <f t="shared" si="130"/>
        <v>153801.95000000001</v>
      </c>
      <c r="CO70" s="413">
        <f t="shared" si="130"/>
        <v>120180.87999999999</v>
      </c>
      <c r="CP70" s="413">
        <f t="shared" si="130"/>
        <v>225720.09</v>
      </c>
      <c r="CQ70" s="413">
        <f t="shared" si="130"/>
        <v>206895.31</v>
      </c>
      <c r="CR70" s="413">
        <f t="shared" si="130"/>
        <v>256653.63999999998</v>
      </c>
      <c r="CS70" s="413">
        <f t="shared" si="130"/>
        <v>229416.92</v>
      </c>
      <c r="CT70" s="413">
        <f t="shared" si="130"/>
        <v>162785.09</v>
      </c>
      <c r="CU70" s="413">
        <f t="shared" si="130"/>
        <v>103183.82</v>
      </c>
      <c r="CV70" s="412">
        <f>SUM(CJ70:CU70)</f>
        <v>2152692.9899999998</v>
      </c>
      <c r="CW70"/>
      <c r="CX70" s="413">
        <f>CX27</f>
        <v>190494.087</v>
      </c>
      <c r="CY70" s="413">
        <f t="shared" ref="CY70:DJ70" si="131">CY27</f>
        <v>174145.30349999998</v>
      </c>
      <c r="CZ70" s="413">
        <f t="shared" si="131"/>
        <v>195086.514</v>
      </c>
      <c r="DA70" s="413">
        <f t="shared" si="131"/>
        <v>169032.15</v>
      </c>
      <c r="DB70" s="413">
        <f t="shared" si="131"/>
        <v>161492.04750000002</v>
      </c>
      <c r="DC70" s="413">
        <f t="shared" si="131"/>
        <v>126189.924</v>
      </c>
      <c r="DD70" s="413">
        <f t="shared" si="131"/>
        <v>237006.09450000001</v>
      </c>
      <c r="DE70" s="413">
        <f t="shared" si="131"/>
        <v>217240.07550000001</v>
      </c>
      <c r="DF70" s="413">
        <f t="shared" si="131"/>
        <v>269486.32199999999</v>
      </c>
      <c r="DG70" s="413">
        <f t="shared" si="131"/>
        <v>240887.76600000003</v>
      </c>
      <c r="DH70" s="413">
        <f t="shared" si="131"/>
        <v>170924.34450000001</v>
      </c>
      <c r="DI70" s="413">
        <f t="shared" si="131"/>
        <v>108343.01100000001</v>
      </c>
      <c r="DJ70" s="412">
        <f>SUM(CX70:DI70)</f>
        <v>2260327.6395</v>
      </c>
    </row>
    <row r="71" spans="1:114" s="594" customFormat="1" ht="15.75" customHeight="1" outlineLevel="1">
      <c r="A71" s="719">
        <v>7</v>
      </c>
      <c r="B71" s="720" t="s">
        <v>90</v>
      </c>
      <c r="C71" s="721"/>
      <c r="D71" s="722">
        <v>98048</v>
      </c>
      <c r="E71" s="723">
        <v>128688</v>
      </c>
      <c r="F71" s="723">
        <v>124704</v>
      </c>
      <c r="G71" s="723">
        <v>157500</v>
      </c>
      <c r="H71" s="723">
        <v>182600</v>
      </c>
      <c r="I71" s="723">
        <v>157700</v>
      </c>
      <c r="J71" s="723">
        <v>181700</v>
      </c>
      <c r="K71" s="723">
        <v>165900</v>
      </c>
      <c r="L71" s="723">
        <v>174300</v>
      </c>
      <c r="M71" s="723">
        <v>215800</v>
      </c>
      <c r="N71" s="723">
        <v>180000</v>
      </c>
      <c r="O71" s="723">
        <v>112500</v>
      </c>
      <c r="P71" s="724">
        <f t="shared" ref="P71:P72" si="132">SUM(D71:O71)</f>
        <v>1879440</v>
      </c>
      <c r="Q71" s="725"/>
      <c r="R71" s="722">
        <v>158400</v>
      </c>
      <c r="S71" s="726">
        <v>161000</v>
      </c>
      <c r="T71" s="726">
        <v>117800</v>
      </c>
      <c r="U71" s="726">
        <v>2000</v>
      </c>
      <c r="V71" s="726">
        <v>53800</v>
      </c>
      <c r="W71" s="726">
        <v>190600</v>
      </c>
      <c r="X71" s="726">
        <v>187900</v>
      </c>
      <c r="Y71" s="726">
        <v>196800</v>
      </c>
      <c r="Z71" s="726">
        <v>192300</v>
      </c>
      <c r="AA71" s="726">
        <v>182300</v>
      </c>
      <c r="AB71" s="726">
        <v>175000</v>
      </c>
      <c r="AC71" s="726">
        <v>134100</v>
      </c>
      <c r="AD71" s="727">
        <f>SUM(R71:AC71)</f>
        <v>1752000</v>
      </c>
      <c r="AE71" s="728"/>
      <c r="AF71" s="729">
        <f t="shared" ref="AF71:AL71" si="133">SUM(AF72,AF74)</f>
        <v>161400</v>
      </c>
      <c r="AG71" s="729">
        <f t="shared" si="133"/>
        <v>166000</v>
      </c>
      <c r="AH71" s="729">
        <f t="shared" si="133"/>
        <v>150471</v>
      </c>
      <c r="AI71" s="729">
        <f t="shared" si="133"/>
        <v>149040</v>
      </c>
      <c r="AJ71" s="729">
        <f t="shared" si="133"/>
        <v>196360</v>
      </c>
      <c r="AK71" s="729">
        <f t="shared" si="133"/>
        <v>163300</v>
      </c>
      <c r="AL71" s="729">
        <f t="shared" si="133"/>
        <v>190000</v>
      </c>
      <c r="AM71" s="729">
        <f t="shared" ref="AM71:AQ71" si="134">SUM(AM72,AM74,AM75)</f>
        <v>167000</v>
      </c>
      <c r="AN71" s="729">
        <f t="shared" si="134"/>
        <v>170500</v>
      </c>
      <c r="AO71" s="729">
        <f t="shared" si="134"/>
        <v>140000</v>
      </c>
      <c r="AP71" s="729">
        <f t="shared" si="134"/>
        <v>130000</v>
      </c>
      <c r="AQ71" s="729">
        <f t="shared" si="134"/>
        <v>100000</v>
      </c>
      <c r="AR71" s="730">
        <f t="shared" ref="AR71:AR72" si="135">SUM(AF71:AQ71)</f>
        <v>1884071</v>
      </c>
      <c r="AS71" s="728"/>
      <c r="AT71" s="729">
        <f t="shared" ref="AT71:BC71" si="136">SUM(AT72,AT74,AT75)</f>
        <v>133000</v>
      </c>
      <c r="AU71" s="729">
        <f t="shared" si="136"/>
        <v>125180</v>
      </c>
      <c r="AV71" s="729">
        <f t="shared" si="136"/>
        <v>117228</v>
      </c>
      <c r="AW71" s="729">
        <f t="shared" si="136"/>
        <v>127500</v>
      </c>
      <c r="AX71" s="729">
        <f t="shared" si="136"/>
        <v>140000</v>
      </c>
      <c r="AY71" s="729">
        <f t="shared" si="136"/>
        <v>158342.99999899999</v>
      </c>
      <c r="AZ71" s="729">
        <f t="shared" si="136"/>
        <v>152409</v>
      </c>
      <c r="BA71" s="729">
        <f t="shared" si="136"/>
        <v>173520</v>
      </c>
      <c r="BB71" s="729">
        <f t="shared" si="136"/>
        <v>165000</v>
      </c>
      <c r="BC71" s="729">
        <f t="shared" si="136"/>
        <v>157500</v>
      </c>
      <c r="BD71" s="729">
        <v>129431</v>
      </c>
      <c r="BE71" s="729">
        <v>61700</v>
      </c>
      <c r="BF71" s="726">
        <f t="shared" ref="BF71:BF72" si="137">SUM(AT71:BE71)</f>
        <v>1640810.999999</v>
      </c>
      <c r="BG71" s="728">
        <f>BF71-AR71</f>
        <v>-243260.00000100001</v>
      </c>
      <c r="BH71" s="731">
        <f>SUM(BH72,BH74,BH75)</f>
        <v>139760</v>
      </c>
      <c r="BI71" s="731">
        <f t="shared" ref="BI71:BP71" si="138">SUM(BI72,BI74,BI75)</f>
        <v>116580</v>
      </c>
      <c r="BJ71" s="731">
        <f t="shared" si="138"/>
        <v>148340</v>
      </c>
      <c r="BK71" s="731">
        <f t="shared" si="138"/>
        <v>112360</v>
      </c>
      <c r="BL71" s="731">
        <f t="shared" si="138"/>
        <v>108660</v>
      </c>
      <c r="BM71" s="731">
        <f t="shared" si="138"/>
        <v>153416</v>
      </c>
      <c r="BN71" s="731">
        <f t="shared" si="138"/>
        <v>137676</v>
      </c>
      <c r="BO71" s="731">
        <f t="shared" si="138"/>
        <v>160654</v>
      </c>
      <c r="BP71" s="731">
        <f t="shared" si="138"/>
        <v>157000</v>
      </c>
      <c r="BQ71" s="731">
        <v>156725</v>
      </c>
      <c r="BR71" s="731">
        <v>182069</v>
      </c>
      <c r="BS71" s="731">
        <f>BS72+BS75</f>
        <v>156420</v>
      </c>
      <c r="BT71" s="731">
        <f t="shared" ref="BT71:BT72" si="139">SUM(BH71:BS71)</f>
        <v>1729660</v>
      </c>
      <c r="BU71" s="732"/>
      <c r="BV71" s="599">
        <f t="shared" ref="BV71:BX71" si="140">BV7*BV73</f>
        <v>133000</v>
      </c>
      <c r="BW71" s="599">
        <f t="shared" si="140"/>
        <v>133000</v>
      </c>
      <c r="BX71" s="599">
        <f t="shared" si="140"/>
        <v>147000</v>
      </c>
      <c r="BY71" s="599">
        <f>BY7*BY73</f>
        <v>172800</v>
      </c>
      <c r="BZ71" s="599">
        <f>BZ7*BZ73</f>
        <v>165600</v>
      </c>
      <c r="CA71" s="599">
        <f>CA7*CA73</f>
        <v>158400</v>
      </c>
      <c r="CB71" s="599">
        <f>CB7*CB73</f>
        <v>180000</v>
      </c>
      <c r="CC71" s="599">
        <f t="shared" ref="CC71:CG71" si="141">CC7*CC73</f>
        <v>172800</v>
      </c>
      <c r="CD71" s="599">
        <f t="shared" si="141"/>
        <v>172800</v>
      </c>
      <c r="CE71" s="599">
        <f>CE7*CE73</f>
        <v>172800</v>
      </c>
      <c r="CF71" s="599">
        <f t="shared" si="141"/>
        <v>167200</v>
      </c>
      <c r="CG71" s="599">
        <f t="shared" si="141"/>
        <v>98800</v>
      </c>
      <c r="CH71" s="599">
        <f t="shared" ref="CH71:CH74" si="142">SUM(BV71:CG71)</f>
        <v>1874200</v>
      </c>
      <c r="CI71" s="599"/>
      <c r="CJ71" s="599">
        <f>CJ7*CJ73</f>
        <v>165000</v>
      </c>
      <c r="CK71" s="599">
        <f t="shared" ref="CK71:CT71" si="143">CK7*CK73</f>
        <v>188600</v>
      </c>
      <c r="CL71" s="599">
        <f>CL7*CL73</f>
        <v>171000</v>
      </c>
      <c r="CM71" s="599">
        <f>CM7*CM73</f>
        <v>200000</v>
      </c>
      <c r="CN71" s="599">
        <f>CN7*CN73</f>
        <v>178290</v>
      </c>
      <c r="CO71" s="599">
        <f t="shared" si="143"/>
        <v>193500</v>
      </c>
      <c r="CP71" s="599">
        <f>CP7*CP73</f>
        <v>216000</v>
      </c>
      <c r="CQ71" s="599">
        <f t="shared" si="143"/>
        <v>216000</v>
      </c>
      <c r="CR71" s="599">
        <f t="shared" si="143"/>
        <v>206400</v>
      </c>
      <c r="CS71" s="599">
        <f t="shared" si="143"/>
        <v>225600</v>
      </c>
      <c r="CT71" s="599">
        <f t="shared" si="143"/>
        <v>182400</v>
      </c>
      <c r="CU71" s="599">
        <f>CU7*CU73</f>
        <v>124800</v>
      </c>
      <c r="CV71" s="731">
        <f>SUM(CJ71:CU71)</f>
        <v>2267590</v>
      </c>
      <c r="CW71" s="599"/>
      <c r="CX71" s="599">
        <f>CX7*CX73</f>
        <v>192000</v>
      </c>
      <c r="CY71" s="599">
        <f t="shared" ref="CY71:DI71" si="144">CY7*CY73</f>
        <v>144000</v>
      </c>
      <c r="CZ71" s="599">
        <f>CZ7*CZ73</f>
        <v>182400</v>
      </c>
      <c r="DA71" s="599">
        <f>DA7*DA73</f>
        <v>192000</v>
      </c>
      <c r="DB71" s="599">
        <f t="shared" ref="DB71:DJ71" si="145">DB7*DB73</f>
        <v>201600</v>
      </c>
      <c r="DC71" s="599">
        <f t="shared" si="145"/>
        <v>192000</v>
      </c>
      <c r="DD71" s="599">
        <f>DD7*DD73</f>
        <v>220800</v>
      </c>
      <c r="DE71" s="599">
        <f t="shared" ref="DE71:DJ71" si="146">DE7*DE73</f>
        <v>201600</v>
      </c>
      <c r="DF71" s="599">
        <f t="shared" si="146"/>
        <v>192000</v>
      </c>
      <c r="DG71" s="599">
        <f t="shared" si="146"/>
        <v>220800</v>
      </c>
      <c r="DH71" s="599">
        <f t="shared" si="146"/>
        <v>182400</v>
      </c>
      <c r="DI71" s="599">
        <f>DI7*DI73</f>
        <v>124800</v>
      </c>
      <c r="DJ71" s="731">
        <f>SUM(CX71:DI71)</f>
        <v>2246400</v>
      </c>
    </row>
    <row r="72" spans="1:114" ht="15.75" outlineLevel="1">
      <c r="A72" s="94"/>
      <c r="B72" s="210" t="s">
        <v>91</v>
      </c>
      <c r="C72" s="335"/>
      <c r="D72" s="313">
        <v>98048</v>
      </c>
      <c r="E72" s="89">
        <v>128688</v>
      </c>
      <c r="F72" s="89">
        <v>124704</v>
      </c>
      <c r="G72" s="89">
        <v>157500</v>
      </c>
      <c r="H72" s="89">
        <v>182600</v>
      </c>
      <c r="I72" s="89">
        <v>157700</v>
      </c>
      <c r="J72" s="89">
        <v>181700</v>
      </c>
      <c r="K72" s="89">
        <v>165900</v>
      </c>
      <c r="L72" s="89">
        <v>174300</v>
      </c>
      <c r="M72" s="89">
        <v>215800</v>
      </c>
      <c r="N72" s="89">
        <v>180000</v>
      </c>
      <c r="O72" s="89">
        <v>112500</v>
      </c>
      <c r="P72" s="314">
        <f t="shared" si="132"/>
        <v>1879440</v>
      </c>
      <c r="Q72" s="90"/>
      <c r="R72" s="313">
        <v>158400</v>
      </c>
      <c r="S72" s="91">
        <v>146000</v>
      </c>
      <c r="T72" s="91">
        <v>102200</v>
      </c>
      <c r="U72" s="91">
        <v>0</v>
      </c>
      <c r="V72" s="91">
        <v>43800</v>
      </c>
      <c r="W72" s="91">
        <v>160600</v>
      </c>
      <c r="X72" s="91">
        <v>167900</v>
      </c>
      <c r="Y72" s="91">
        <v>153300</v>
      </c>
      <c r="Z72" s="91">
        <v>153300</v>
      </c>
      <c r="AA72" s="91">
        <v>153300</v>
      </c>
      <c r="AB72" s="91">
        <v>146000</v>
      </c>
      <c r="AC72" s="91">
        <v>124100</v>
      </c>
      <c r="AD72" s="315"/>
      <c r="AE72" s="23"/>
      <c r="AF72" s="316">
        <v>131400</v>
      </c>
      <c r="AG72" s="91">
        <v>146000</v>
      </c>
      <c r="AH72" s="91">
        <v>125511</v>
      </c>
      <c r="AI72" s="91">
        <v>135000</v>
      </c>
      <c r="AJ72" s="91">
        <v>177320</v>
      </c>
      <c r="AK72" s="91">
        <v>151300</v>
      </c>
      <c r="AL72" s="91">
        <v>176000</v>
      </c>
      <c r="AM72" s="91">
        <f>AM73*AM7</f>
        <v>154000</v>
      </c>
      <c r="AN72" s="91">
        <f>AN73*AN7</f>
        <v>157500</v>
      </c>
      <c r="AO72" s="91">
        <f>AO73*AO7</f>
        <v>140000</v>
      </c>
      <c r="AP72" s="91">
        <f>AP73*AP7</f>
        <v>130000</v>
      </c>
      <c r="AQ72" s="91">
        <f>AQ73*AQ7+16000</f>
        <v>100000</v>
      </c>
      <c r="AR72" s="92">
        <f t="shared" si="135"/>
        <v>1724031</v>
      </c>
      <c r="AS72" s="23"/>
      <c r="AT72" s="91">
        <f>AT73*AT7</f>
        <v>133000</v>
      </c>
      <c r="AU72" s="91">
        <f>125180</f>
        <v>125180</v>
      </c>
      <c r="AV72" s="91">
        <f>AV73*AV7+7428</f>
        <v>117228</v>
      </c>
      <c r="AW72" s="91">
        <f>AW73*AW7</f>
        <v>123500</v>
      </c>
      <c r="AX72" s="91">
        <f>AX73*AX7</f>
        <v>132000</v>
      </c>
      <c r="AY72" s="91">
        <f>AY73*AY7</f>
        <v>153342.99999899999</v>
      </c>
      <c r="AZ72" s="91">
        <v>142409</v>
      </c>
      <c r="BA72" s="91">
        <v>163520</v>
      </c>
      <c r="BB72" s="91">
        <f>BB73*BB7</f>
        <v>165000</v>
      </c>
      <c r="BC72" s="91">
        <f>BC73*BC7</f>
        <v>157500</v>
      </c>
      <c r="BD72" s="316">
        <v>129431</v>
      </c>
      <c r="BE72" s="316">
        <v>61700</v>
      </c>
      <c r="BF72" s="91">
        <f t="shared" si="137"/>
        <v>1603810.999999</v>
      </c>
      <c r="BG72" s="27">
        <f>BF72+BF75-AR72-AR75</f>
        <v>-113040.00000100001</v>
      </c>
      <c r="BH72" s="91">
        <v>136760</v>
      </c>
      <c r="BI72" s="91">
        <v>116580</v>
      </c>
      <c r="BJ72" s="91">
        <v>148340</v>
      </c>
      <c r="BK72" s="91">
        <v>112360</v>
      </c>
      <c r="BL72" s="91">
        <v>108660</v>
      </c>
      <c r="BM72" s="91">
        <v>153416</v>
      </c>
      <c r="BN72" s="91">
        <v>137676</v>
      </c>
      <c r="BO72" s="91">
        <v>150654</v>
      </c>
      <c r="BP72" s="91">
        <f>7100*BP7</f>
        <v>142000</v>
      </c>
      <c r="BQ72" s="91">
        <f t="shared" ref="BQ72:BR72" si="147">BQ71-BQ75</f>
        <v>136725</v>
      </c>
      <c r="BR72" s="91">
        <f t="shared" si="147"/>
        <v>167069</v>
      </c>
      <c r="BS72" s="91">
        <v>124020</v>
      </c>
      <c r="BT72" s="91">
        <f t="shared" si="139"/>
        <v>1634260</v>
      </c>
      <c r="BU72" s="28"/>
      <c r="BV72" s="397">
        <f>BV73*BV74-24551</f>
        <v>108449</v>
      </c>
      <c r="BW72" s="397">
        <f>BW73*BW74</f>
        <v>133000</v>
      </c>
      <c r="BX72" s="397">
        <f t="shared" ref="BX72:CG72" si="148">BX73*BX74</f>
        <v>147000</v>
      </c>
      <c r="BY72" s="397">
        <f>BY73*BY74</f>
        <v>172800</v>
      </c>
      <c r="BZ72" s="397">
        <f>BZ73*BZ74</f>
        <v>165600</v>
      </c>
      <c r="CA72" s="397">
        <f>CA73*CA74</f>
        <v>158400</v>
      </c>
      <c r="CB72" s="397">
        <f>CB73*CB74</f>
        <v>180000</v>
      </c>
      <c r="CC72" s="397">
        <f t="shared" si="148"/>
        <v>172800</v>
      </c>
      <c r="CD72" s="397">
        <f t="shared" si="148"/>
        <v>172800</v>
      </c>
      <c r="CE72" s="397">
        <f t="shared" si="148"/>
        <v>172800</v>
      </c>
      <c r="CF72" s="397">
        <f t="shared" si="148"/>
        <v>167200</v>
      </c>
      <c r="CG72" s="397">
        <f t="shared" si="148"/>
        <v>98800</v>
      </c>
      <c r="CH72" s="91">
        <f t="shared" si="142"/>
        <v>1849649</v>
      </c>
      <c r="CI72" s="395">
        <f>(CH72-BT78)/BT78</f>
        <v>0.29391868731173409</v>
      </c>
      <c r="CJ72" s="397">
        <f>CJ71</f>
        <v>165000</v>
      </c>
      <c r="CK72" s="397">
        <f t="shared" ref="CK72:CO72" si="149">CK71</f>
        <v>188600</v>
      </c>
      <c r="CL72" s="397">
        <f t="shared" si="149"/>
        <v>171000</v>
      </c>
      <c r="CM72" s="397">
        <f t="shared" si="149"/>
        <v>200000</v>
      </c>
      <c r="CN72" s="397">
        <f t="shared" si="149"/>
        <v>178290</v>
      </c>
      <c r="CO72" s="397">
        <f t="shared" si="149"/>
        <v>193500</v>
      </c>
      <c r="CP72" s="397">
        <v>168760</v>
      </c>
      <c r="CQ72" s="397">
        <v>194340</v>
      </c>
      <c r="CR72" s="397">
        <v>208000</v>
      </c>
      <c r="CS72" s="397">
        <v>201780</v>
      </c>
      <c r="CT72" s="397">
        <v>154060</v>
      </c>
      <c r="CU72" s="397">
        <v>96720</v>
      </c>
      <c r="CV72" s="91">
        <v>1949109</v>
      </c>
      <c r="CW72" s="395">
        <f>(CV72-CH78)/CH78</f>
        <v>0.11040221771781523</v>
      </c>
      <c r="CX72" s="397">
        <f>CX71</f>
        <v>192000</v>
      </c>
      <c r="CY72" s="397">
        <f t="shared" ref="CY72:DC72" si="150">CY71</f>
        <v>144000</v>
      </c>
      <c r="CZ72" s="397">
        <f t="shared" si="150"/>
        <v>182400</v>
      </c>
      <c r="DA72" s="397">
        <f t="shared" si="150"/>
        <v>192000</v>
      </c>
      <c r="DB72" s="397">
        <f t="shared" si="150"/>
        <v>201600</v>
      </c>
      <c r="DC72" s="397">
        <f t="shared" si="150"/>
        <v>192000</v>
      </c>
      <c r="DD72" s="397">
        <v>168760</v>
      </c>
      <c r="DE72" s="397">
        <v>194340</v>
      </c>
      <c r="DF72" s="397">
        <v>208000</v>
      </c>
      <c r="DG72" s="397">
        <v>201780</v>
      </c>
      <c r="DH72" s="397">
        <v>154060</v>
      </c>
      <c r="DI72" s="397">
        <v>96720</v>
      </c>
      <c r="DJ72" s="91">
        <v>1949109</v>
      </c>
    </row>
    <row r="73" spans="1:114" ht="15.75" customHeight="1" outlineLevel="1">
      <c r="A73" s="94"/>
      <c r="B73" s="210" t="s">
        <v>92</v>
      </c>
      <c r="C73" s="335"/>
      <c r="D73" s="313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314"/>
      <c r="Q73" s="90"/>
      <c r="R73" s="316">
        <f t="shared" ref="R73:AC73" si="151">R72/R7</f>
        <v>7200</v>
      </c>
      <c r="S73" s="316">
        <f t="shared" si="151"/>
        <v>7300</v>
      </c>
      <c r="T73" s="316">
        <f t="shared" si="151"/>
        <v>7300</v>
      </c>
      <c r="U73" s="316">
        <f t="shared" si="151"/>
        <v>0</v>
      </c>
      <c r="V73" s="316">
        <f t="shared" si="151"/>
        <v>3650</v>
      </c>
      <c r="W73" s="316">
        <f t="shared" si="151"/>
        <v>7300</v>
      </c>
      <c r="X73" s="316">
        <f t="shared" si="151"/>
        <v>7300</v>
      </c>
      <c r="Y73" s="316">
        <f t="shared" si="151"/>
        <v>7300</v>
      </c>
      <c r="Z73" s="316">
        <f t="shared" si="151"/>
        <v>7300</v>
      </c>
      <c r="AA73" s="316">
        <f t="shared" si="151"/>
        <v>7300</v>
      </c>
      <c r="AB73" s="316">
        <f t="shared" si="151"/>
        <v>7300</v>
      </c>
      <c r="AC73" s="316">
        <f t="shared" si="151"/>
        <v>7300</v>
      </c>
      <c r="AD73" s="315"/>
      <c r="AE73" s="23"/>
      <c r="AF73" s="316">
        <f t="shared" ref="AF73:AL73" si="152">AF72/AF7</f>
        <v>7300</v>
      </c>
      <c r="AG73" s="316">
        <f t="shared" si="152"/>
        <v>7300</v>
      </c>
      <c r="AH73" s="316">
        <f t="shared" si="152"/>
        <v>6275.55</v>
      </c>
      <c r="AI73" s="316">
        <f t="shared" si="152"/>
        <v>6750</v>
      </c>
      <c r="AJ73" s="316">
        <f t="shared" si="152"/>
        <v>8060</v>
      </c>
      <c r="AK73" s="316">
        <f t="shared" si="152"/>
        <v>7565</v>
      </c>
      <c r="AL73" s="316">
        <f t="shared" si="152"/>
        <v>8000</v>
      </c>
      <c r="AM73" s="91">
        <v>7000</v>
      </c>
      <c r="AN73" s="91">
        <v>7500</v>
      </c>
      <c r="AO73" s="91">
        <v>7000</v>
      </c>
      <c r="AP73" s="91">
        <v>6500</v>
      </c>
      <c r="AQ73" s="91">
        <v>7000</v>
      </c>
      <c r="AR73" s="92">
        <f>AVERAGE(AF73:AQ73)</f>
        <v>7187.5458333333336</v>
      </c>
      <c r="AS73" s="23"/>
      <c r="AT73" s="91">
        <v>7000</v>
      </c>
      <c r="AU73" s="91">
        <f>AU72/AU7</f>
        <v>6588.4210526315792</v>
      </c>
      <c r="AV73" s="91">
        <v>6100</v>
      </c>
      <c r="AW73" s="91">
        <v>6500</v>
      </c>
      <c r="AX73" s="91">
        <v>6000</v>
      </c>
      <c r="AY73" s="91">
        <v>7302.0476189999999</v>
      </c>
      <c r="AZ73" s="91">
        <v>7000</v>
      </c>
      <c r="BA73" s="91">
        <f>BA72/BA7</f>
        <v>7432.727272727273</v>
      </c>
      <c r="BB73" s="91">
        <v>7500</v>
      </c>
      <c r="BC73" s="91">
        <v>7500</v>
      </c>
      <c r="BD73" s="91">
        <f>BD72/BD7</f>
        <v>6471.55</v>
      </c>
      <c r="BE73" s="91">
        <f>BE72/BE7</f>
        <v>6170</v>
      </c>
      <c r="BF73" s="91">
        <f>AVERAGE(AT73:BE73)</f>
        <v>6797.0621620299053</v>
      </c>
      <c r="BG73" s="27"/>
      <c r="BH73" s="91">
        <f t="shared" ref="BH73:BS73" si="153">BH72/BH7</f>
        <v>6838</v>
      </c>
      <c r="BI73" s="91">
        <f t="shared" si="153"/>
        <v>6857.6470588235297</v>
      </c>
      <c r="BJ73" s="91">
        <f t="shared" si="153"/>
        <v>6449.565217391304</v>
      </c>
      <c r="BK73" s="91">
        <f t="shared" si="153"/>
        <v>6242.2222222222226</v>
      </c>
      <c r="BL73" s="91">
        <f t="shared" si="153"/>
        <v>4939.090909090909</v>
      </c>
      <c r="BM73" s="91">
        <f t="shared" si="153"/>
        <v>6670.260869565217</v>
      </c>
      <c r="BN73" s="91">
        <f t="shared" si="153"/>
        <v>6556</v>
      </c>
      <c r="BO73" s="91">
        <f t="shared" si="153"/>
        <v>7174</v>
      </c>
      <c r="BP73" s="91">
        <f t="shared" si="153"/>
        <v>7100</v>
      </c>
      <c r="BQ73" s="91">
        <f t="shared" si="153"/>
        <v>6510.7142857142853</v>
      </c>
      <c r="BR73" s="91">
        <f t="shared" si="153"/>
        <v>8353.4500000000007</v>
      </c>
      <c r="BS73" s="91">
        <f t="shared" si="153"/>
        <v>8858.5714285714294</v>
      </c>
      <c r="BT73" s="91">
        <f>AVERAGE(BH73:BS73)</f>
        <v>6879.1268326149084</v>
      </c>
      <c r="BU73" s="28"/>
      <c r="BV73" s="91">
        <v>7000</v>
      </c>
      <c r="BW73" s="91">
        <v>7000</v>
      </c>
      <c r="BX73" s="91">
        <v>7000</v>
      </c>
      <c r="BY73" s="91">
        <v>7200</v>
      </c>
      <c r="BZ73" s="91">
        <v>7200</v>
      </c>
      <c r="CA73" s="91">
        <v>7200</v>
      </c>
      <c r="CB73" s="91">
        <v>7200</v>
      </c>
      <c r="CC73" s="91">
        <f t="shared" ref="CC73" si="154">CB73</f>
        <v>7200</v>
      </c>
      <c r="CD73" s="91">
        <v>7200</v>
      </c>
      <c r="CE73" s="91">
        <v>7200</v>
      </c>
      <c r="CF73" s="91">
        <v>7600</v>
      </c>
      <c r="CG73" s="91">
        <v>7600</v>
      </c>
      <c r="CH73" s="91"/>
      <c r="CI73" s="596"/>
      <c r="CJ73" s="91">
        <v>7500</v>
      </c>
      <c r="CK73" s="91">
        <v>8200</v>
      </c>
      <c r="CL73" s="91">
        <v>9000</v>
      </c>
      <c r="CM73" s="91">
        <v>10000</v>
      </c>
      <c r="CN73" s="91">
        <v>8490</v>
      </c>
      <c r="CO73" s="91">
        <v>9000</v>
      </c>
      <c r="CP73" s="91">
        <v>9000</v>
      </c>
      <c r="CQ73" s="91">
        <v>9600</v>
      </c>
      <c r="CR73" s="91">
        <f t="shared" ref="CR73:CU73" si="155">CQ73</f>
        <v>9600</v>
      </c>
      <c r="CS73" s="91">
        <f t="shared" si="155"/>
        <v>9600</v>
      </c>
      <c r="CT73" s="91">
        <f t="shared" si="155"/>
        <v>9600</v>
      </c>
      <c r="CU73" s="91">
        <f t="shared" si="155"/>
        <v>9600</v>
      </c>
      <c r="CV73" s="91"/>
      <c r="CW73" s="596"/>
      <c r="CX73" s="91">
        <f>CU73</f>
        <v>9600</v>
      </c>
      <c r="CY73" s="91">
        <f>CX73</f>
        <v>9600</v>
      </c>
      <c r="CZ73" s="91">
        <f t="shared" ref="CZ73:DI73" si="156">CY73</f>
        <v>9600</v>
      </c>
      <c r="DA73" s="91">
        <f t="shared" si="156"/>
        <v>9600</v>
      </c>
      <c r="DB73" s="91">
        <f t="shared" si="156"/>
        <v>9600</v>
      </c>
      <c r="DC73" s="91">
        <f t="shared" si="156"/>
        <v>9600</v>
      </c>
      <c r="DD73" s="91">
        <f t="shared" si="156"/>
        <v>9600</v>
      </c>
      <c r="DE73" s="91">
        <f t="shared" si="156"/>
        <v>9600</v>
      </c>
      <c r="DF73" s="91">
        <f t="shared" si="156"/>
        <v>9600</v>
      </c>
      <c r="DG73" s="91">
        <f t="shared" si="156"/>
        <v>9600</v>
      </c>
      <c r="DH73" s="91">
        <f t="shared" si="156"/>
        <v>9600</v>
      </c>
      <c r="DI73" s="91">
        <f t="shared" si="156"/>
        <v>9600</v>
      </c>
      <c r="DJ73" s="91"/>
    </row>
    <row r="74" spans="1:114" ht="15.75" customHeight="1" outlineLevel="1">
      <c r="A74" s="94"/>
      <c r="B74" s="210" t="s">
        <v>93</v>
      </c>
      <c r="C74" s="335"/>
      <c r="D74" s="313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314"/>
      <c r="Q74" s="90"/>
      <c r="R74" s="313"/>
      <c r="S74" s="91">
        <v>15000</v>
      </c>
      <c r="T74" s="91">
        <v>15600</v>
      </c>
      <c r="U74" s="91">
        <v>2000</v>
      </c>
      <c r="V74" s="91">
        <v>10000</v>
      </c>
      <c r="W74" s="91">
        <v>30000</v>
      </c>
      <c r="X74" s="91">
        <v>20000</v>
      </c>
      <c r="Y74" s="91">
        <v>30000</v>
      </c>
      <c r="Z74" s="91">
        <v>30000</v>
      </c>
      <c r="AA74" s="91">
        <v>20000</v>
      </c>
      <c r="AB74" s="91">
        <v>20000</v>
      </c>
      <c r="AC74" s="91">
        <v>10000</v>
      </c>
      <c r="AD74" s="315"/>
      <c r="AE74" s="23"/>
      <c r="AF74" s="316">
        <v>30000</v>
      </c>
      <c r="AG74" s="91">
        <v>20000</v>
      </c>
      <c r="AH74" s="91">
        <v>24960</v>
      </c>
      <c r="AI74" s="91">
        <v>14040</v>
      </c>
      <c r="AJ74" s="91">
        <v>19040</v>
      </c>
      <c r="AK74" s="91">
        <v>12000</v>
      </c>
      <c r="AL74" s="91">
        <v>14000</v>
      </c>
      <c r="AM74" s="91">
        <v>13000</v>
      </c>
      <c r="AN74" s="91">
        <v>13000</v>
      </c>
      <c r="AO74" s="91">
        <v>0</v>
      </c>
      <c r="AP74" s="91">
        <v>0</v>
      </c>
      <c r="AQ74" s="91">
        <v>0</v>
      </c>
      <c r="AR74" s="92">
        <f t="shared" ref="AR74:AR75" si="157">SUM(AF74:AQ74)</f>
        <v>160040</v>
      </c>
      <c r="AS74" s="23"/>
      <c r="AT74" s="91">
        <v>0</v>
      </c>
      <c r="AU74" s="91">
        <v>0</v>
      </c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>
        <f t="shared" ref="BF74:BF75" si="158">SUM(AT74:BE74)</f>
        <v>0</v>
      </c>
      <c r="BG74" s="27">
        <f>BF74-AR74</f>
        <v>-160040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>
        <f t="shared" ref="BT74" si="159">SUM(BH74:BS74)</f>
        <v>0</v>
      </c>
      <c r="BU74" s="28"/>
      <c r="BV74" s="399">
        <f t="shared" ref="BV74:BZ74" si="160">BV7</f>
        <v>19</v>
      </c>
      <c r="BW74" s="399">
        <f t="shared" si="160"/>
        <v>19</v>
      </c>
      <c r="BX74" s="399">
        <f t="shared" si="160"/>
        <v>21</v>
      </c>
      <c r="BY74" s="399">
        <f t="shared" si="160"/>
        <v>24</v>
      </c>
      <c r="BZ74" s="399">
        <f t="shared" si="160"/>
        <v>23</v>
      </c>
      <c r="CA74" s="399">
        <f>CA7</f>
        <v>22</v>
      </c>
      <c r="CB74" s="399">
        <f t="shared" ref="CB74:CG74" si="161">CB7</f>
        <v>25</v>
      </c>
      <c r="CC74" s="399">
        <f t="shared" si="161"/>
        <v>24</v>
      </c>
      <c r="CD74" s="399">
        <f t="shared" si="161"/>
        <v>24</v>
      </c>
      <c r="CE74" s="399">
        <f t="shared" si="161"/>
        <v>24</v>
      </c>
      <c r="CF74" s="399">
        <f t="shared" si="161"/>
        <v>22</v>
      </c>
      <c r="CG74" s="399">
        <f t="shared" si="161"/>
        <v>13</v>
      </c>
      <c r="CH74" s="91">
        <f t="shared" ref="CH74" si="162">SUM(BV74:CG74)</f>
        <v>260</v>
      </c>
      <c r="CJ74" s="597">
        <f>CJ7</f>
        <v>22</v>
      </c>
      <c r="CK74" s="597">
        <f t="shared" ref="CK74:CO74" si="163">CK7</f>
        <v>23</v>
      </c>
      <c r="CL74" s="597">
        <f t="shared" si="163"/>
        <v>19</v>
      </c>
      <c r="CM74" s="597">
        <f t="shared" si="163"/>
        <v>20</v>
      </c>
      <c r="CN74" s="597">
        <f t="shared" si="163"/>
        <v>21</v>
      </c>
      <c r="CO74" s="597">
        <f t="shared" si="163"/>
        <v>21.5</v>
      </c>
      <c r="CP74" s="91"/>
      <c r="CQ74" s="91"/>
      <c r="CR74" s="91"/>
      <c r="CS74" s="91"/>
      <c r="CT74" s="91"/>
      <c r="CU74" s="91"/>
      <c r="CV74" s="91">
        <v>131</v>
      </c>
      <c r="CX74" s="597">
        <f>CX7</f>
        <v>20</v>
      </c>
      <c r="CY74" s="597">
        <f t="shared" ref="CY74:DC74" si="164">CY7</f>
        <v>15</v>
      </c>
      <c r="CZ74" s="597">
        <f t="shared" si="164"/>
        <v>19</v>
      </c>
      <c r="DA74" s="597">
        <f t="shared" si="164"/>
        <v>20</v>
      </c>
      <c r="DB74" s="597">
        <f t="shared" si="164"/>
        <v>21</v>
      </c>
      <c r="DC74" s="597">
        <f t="shared" si="164"/>
        <v>20</v>
      </c>
      <c r="DD74" s="91"/>
      <c r="DE74" s="91"/>
      <c r="DF74" s="91"/>
      <c r="DG74" s="91"/>
      <c r="DH74" s="91"/>
      <c r="DI74" s="91"/>
      <c r="DJ74" s="91">
        <v>131</v>
      </c>
    </row>
    <row r="75" spans="1:114" ht="15.75" customHeight="1" outlineLevel="1">
      <c r="A75" s="94"/>
      <c r="B75" s="210" t="s">
        <v>94</v>
      </c>
      <c r="C75" s="335"/>
      <c r="D75" s="313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314"/>
      <c r="Q75" s="90"/>
      <c r="R75" s="313"/>
      <c r="S75" s="91"/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13500</v>
      </c>
      <c r="Z75" s="91">
        <v>9000</v>
      </c>
      <c r="AA75" s="91">
        <v>9000</v>
      </c>
      <c r="AB75" s="91">
        <v>9000</v>
      </c>
      <c r="AC75" s="91">
        <v>0</v>
      </c>
      <c r="AD75" s="315"/>
      <c r="AE75" s="23"/>
      <c r="AF75" s="91">
        <v>13500</v>
      </c>
      <c r="AG75" s="91">
        <v>13500</v>
      </c>
      <c r="AH75" s="91">
        <v>2820</v>
      </c>
      <c r="AI75" s="91">
        <v>0</v>
      </c>
      <c r="AJ75" s="91">
        <v>0</v>
      </c>
      <c r="AK75" s="91">
        <v>0</v>
      </c>
      <c r="AL75" s="91">
        <v>0</v>
      </c>
      <c r="AM75" s="91"/>
      <c r="AN75" s="91"/>
      <c r="AO75" s="91"/>
      <c r="AP75" s="91"/>
      <c r="AQ75" s="91"/>
      <c r="AR75" s="92">
        <f t="shared" si="157"/>
        <v>29820</v>
      </c>
      <c r="AS75" s="23"/>
      <c r="AT75" s="91"/>
      <c r="AU75" s="91"/>
      <c r="AV75" s="91"/>
      <c r="AW75" s="91">
        <v>4000</v>
      </c>
      <c r="AX75" s="91">
        <v>8000</v>
      </c>
      <c r="AY75" s="91">
        <v>5000</v>
      </c>
      <c r="AZ75" s="91">
        <v>10000</v>
      </c>
      <c r="BA75" s="91">
        <v>10000</v>
      </c>
      <c r="BB75" s="91">
        <v>0</v>
      </c>
      <c r="BC75" s="91">
        <v>0</v>
      </c>
      <c r="BD75" s="91">
        <v>0</v>
      </c>
      <c r="BE75" s="91"/>
      <c r="BF75" s="91">
        <f t="shared" si="158"/>
        <v>37000</v>
      </c>
      <c r="BG75" s="27"/>
      <c r="BH75" s="91">
        <v>3000</v>
      </c>
      <c r="BI75" s="91"/>
      <c r="BJ75" s="91"/>
      <c r="BK75" s="91"/>
      <c r="BL75" s="91"/>
      <c r="BM75" s="91"/>
      <c r="BN75" s="91"/>
      <c r="BO75" s="91">
        <v>10000</v>
      </c>
      <c r="BP75" s="91">
        <v>15000</v>
      </c>
      <c r="BQ75" s="91">
        <v>20000</v>
      </c>
      <c r="BR75" s="91">
        <v>15000</v>
      </c>
      <c r="BS75" s="91">
        <f>7200*9/2</f>
        <v>32400</v>
      </c>
      <c r="BT75" s="91">
        <f>SUM(BH75:BS75)</f>
        <v>95400</v>
      </c>
      <c r="BU75" s="28"/>
      <c r="BV75" s="91">
        <f>BV78-BV71</f>
        <v>21584</v>
      </c>
      <c r="BW75" s="91">
        <f t="shared" ref="BW75:CG75" si="165">BW78-BW71</f>
        <v>18963</v>
      </c>
      <c r="BX75" s="91">
        <f t="shared" si="165"/>
        <v>-2354</v>
      </c>
      <c r="BY75" s="91">
        <f t="shared" si="165"/>
        <v>5998</v>
      </c>
      <c r="BZ75" s="91">
        <f t="shared" si="165"/>
        <v>-13737</v>
      </c>
      <c r="CA75" s="91">
        <f t="shared" si="165"/>
        <v>-6090</v>
      </c>
      <c r="CB75" s="91">
        <f t="shared" si="165"/>
        <v>-2176</v>
      </c>
      <c r="CC75" s="91">
        <f t="shared" si="165"/>
        <v>-17344</v>
      </c>
      <c r="CD75" s="91">
        <f t="shared" si="165"/>
        <v>-13369</v>
      </c>
      <c r="CE75" s="91">
        <f t="shared" si="165"/>
        <v>793</v>
      </c>
      <c r="CF75" s="91">
        <f t="shared" si="165"/>
        <v>-12350</v>
      </c>
      <c r="CG75" s="91">
        <f t="shared" si="165"/>
        <v>-98800</v>
      </c>
      <c r="CH75" s="92">
        <f>SUM(CD75:CG75)</f>
        <v>-123726</v>
      </c>
      <c r="CJ75" s="91">
        <f>BV78</f>
        <v>154584</v>
      </c>
      <c r="CK75" s="91">
        <f t="shared" ref="CK75:CO75" si="166">BW78</f>
        <v>151963</v>
      </c>
      <c r="CL75" s="91">
        <f>BX78</f>
        <v>144646</v>
      </c>
      <c r="CM75" s="91">
        <f t="shared" si="166"/>
        <v>178798</v>
      </c>
      <c r="CN75" s="91">
        <f t="shared" si="166"/>
        <v>151863</v>
      </c>
      <c r="CO75" s="91">
        <f t="shared" si="166"/>
        <v>152310</v>
      </c>
      <c r="CP75" s="91"/>
      <c r="CQ75" s="91"/>
      <c r="CR75" s="91"/>
      <c r="CS75" s="91"/>
      <c r="CT75" s="91"/>
      <c r="CU75" s="91"/>
      <c r="CV75" s="91">
        <v>127800</v>
      </c>
      <c r="CX75" s="91">
        <f>CJ78</f>
        <v>159720</v>
      </c>
      <c r="CY75" s="91">
        <f t="shared" ref="CY75:DC75" si="167">CK78</f>
        <v>182595</v>
      </c>
      <c r="CZ75" s="91">
        <f t="shared" si="167"/>
        <v>175111</v>
      </c>
      <c r="DA75" s="91">
        <f t="shared" si="167"/>
        <v>192052</v>
      </c>
      <c r="DB75" s="91">
        <f t="shared" si="167"/>
        <v>0</v>
      </c>
      <c r="DC75" s="91">
        <f t="shared" si="167"/>
        <v>0</v>
      </c>
      <c r="DD75" s="91"/>
      <c r="DE75" s="91"/>
      <c r="DF75" s="91"/>
      <c r="DG75" s="91"/>
      <c r="DH75" s="91"/>
      <c r="DI75" s="91"/>
      <c r="DJ75" s="91">
        <v>127800</v>
      </c>
    </row>
    <row r="76" spans="1:114" ht="15.75" customHeight="1" outlineLevel="1">
      <c r="A76" s="94"/>
      <c r="B76" s="210" t="s">
        <v>105</v>
      </c>
      <c r="C76" s="335"/>
      <c r="D76" s="313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314"/>
      <c r="Q76" s="90"/>
      <c r="R76" s="313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315"/>
      <c r="AE76" s="23"/>
      <c r="AF76" s="91"/>
      <c r="AG76" s="91"/>
      <c r="AH76" s="91"/>
      <c r="AI76" s="91"/>
      <c r="AJ76" s="91"/>
      <c r="AK76" s="91"/>
      <c r="AL76" s="91"/>
      <c r="AM76" s="91"/>
      <c r="AN76" s="91"/>
      <c r="AO76" s="91">
        <f t="shared" ref="AO76:AQ76" si="168">AO71*9.68</f>
        <v>1355200</v>
      </c>
      <c r="AP76" s="91">
        <f t="shared" si="168"/>
        <v>1258400</v>
      </c>
      <c r="AQ76" s="91">
        <f t="shared" si="168"/>
        <v>968000</v>
      </c>
      <c r="AR76" s="92"/>
      <c r="AS76" s="23"/>
      <c r="AT76" s="91">
        <f t="shared" ref="AT76:BF76" si="169">AT71*9.68</f>
        <v>1287440</v>
      </c>
      <c r="AU76" s="91">
        <f t="shared" si="169"/>
        <v>1211742.3999999999</v>
      </c>
      <c r="AV76" s="91">
        <f t="shared" si="169"/>
        <v>1134767.04</v>
      </c>
      <c r="AW76" s="91">
        <f t="shared" si="169"/>
        <v>1234200</v>
      </c>
      <c r="AX76" s="91">
        <f t="shared" si="169"/>
        <v>1355200</v>
      </c>
      <c r="AY76" s="91">
        <f t="shared" si="169"/>
        <v>1532760.2399903198</v>
      </c>
      <c r="AZ76" s="91">
        <f t="shared" si="169"/>
        <v>1475319.1199999999</v>
      </c>
      <c r="BA76" s="91">
        <f t="shared" si="169"/>
        <v>1679673.5999999999</v>
      </c>
      <c r="BB76" s="91">
        <f t="shared" si="169"/>
        <v>1597200</v>
      </c>
      <c r="BC76" s="91">
        <f t="shared" si="169"/>
        <v>1524600</v>
      </c>
      <c r="BD76" s="91">
        <f t="shared" si="169"/>
        <v>1252892.08</v>
      </c>
      <c r="BE76" s="91">
        <f t="shared" si="169"/>
        <v>597256</v>
      </c>
      <c r="BF76" s="91">
        <f t="shared" si="169"/>
        <v>15883050.47999032</v>
      </c>
      <c r="BG76" s="27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28"/>
      <c r="BV76" s="91"/>
      <c r="BW76" s="91"/>
      <c r="BX76" s="91"/>
      <c r="BY76" s="91"/>
      <c r="BZ76" s="91"/>
      <c r="CA76" s="91"/>
      <c r="CB76" s="91"/>
      <c r="CC76" s="91"/>
      <c r="CD76" s="91" t="s">
        <v>96</v>
      </c>
      <c r="CE76" s="91"/>
      <c r="CF76" s="601" t="s">
        <v>97</v>
      </c>
      <c r="CG76" s="91"/>
      <c r="CH76" s="91"/>
      <c r="CJ76" s="91"/>
      <c r="CK76" s="91"/>
      <c r="CL76" s="91"/>
      <c r="CM76" s="91">
        <v>61884.012959999985</v>
      </c>
      <c r="CN76" s="91">
        <f>CM76</f>
        <v>61884.012959999985</v>
      </c>
      <c r="CO76" s="91">
        <f t="shared" ref="CO76:CU76" si="170">CN76</f>
        <v>61884.012959999985</v>
      </c>
      <c r="CP76" s="91">
        <f t="shared" si="170"/>
        <v>61884.012959999985</v>
      </c>
      <c r="CQ76" s="91">
        <f t="shared" si="170"/>
        <v>61884.012959999985</v>
      </c>
      <c r="CR76" s="91">
        <f t="shared" si="170"/>
        <v>61884.012959999985</v>
      </c>
      <c r="CS76" s="91">
        <f t="shared" si="170"/>
        <v>61884.012959999985</v>
      </c>
      <c r="CT76" s="91">
        <f t="shared" si="170"/>
        <v>61884.012959999985</v>
      </c>
      <c r="CU76" s="91">
        <f t="shared" si="170"/>
        <v>61884.012959999985</v>
      </c>
      <c r="CV76" s="91"/>
      <c r="CX76" s="91"/>
      <c r="CY76" s="91"/>
      <c r="CZ76" s="91"/>
      <c r="DA76" s="91"/>
      <c r="DB76" s="91"/>
      <c r="DC76" s="91"/>
      <c r="DD76" s="91"/>
      <c r="DE76" s="91"/>
      <c r="DF76" s="91"/>
      <c r="DG76" s="91"/>
      <c r="DH76" s="91"/>
      <c r="DI76" s="91"/>
      <c r="DJ76" s="91"/>
    </row>
    <row r="77" spans="1:114" ht="15.75" customHeight="1" outlineLevel="1">
      <c r="A77" s="94"/>
      <c r="B77" s="210" t="s">
        <v>98</v>
      </c>
      <c r="C77" s="335"/>
      <c r="D77" s="313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314"/>
      <c r="Q77" s="90"/>
      <c r="R77" s="313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315"/>
      <c r="AE77" s="23"/>
      <c r="AF77" s="316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2"/>
      <c r="AS77" s="23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27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28"/>
      <c r="BV77" s="91"/>
      <c r="BW77" s="91"/>
      <c r="BX77" s="91"/>
      <c r="BY77" s="91"/>
      <c r="BZ77" s="91"/>
      <c r="CA77" s="91"/>
      <c r="CB77" s="91"/>
      <c r="CC77" s="91"/>
      <c r="CD77" s="91"/>
      <c r="CE77" s="91"/>
      <c r="CF77" s="601"/>
      <c r="CG77" s="91"/>
      <c r="CH77" s="91"/>
      <c r="CJ77" s="91"/>
      <c r="CK77" s="91"/>
      <c r="CL77" s="91"/>
      <c r="CM77" s="91">
        <f>CM76*CM7</f>
        <v>1237680.2591999997</v>
      </c>
      <c r="CN77" s="91">
        <f>CN76*CN7</f>
        <v>1299564.2721599997</v>
      </c>
      <c r="CO77" s="91">
        <f t="shared" ref="CO77:CV77" si="171">CO76*CO7</f>
        <v>1330506.2786399997</v>
      </c>
      <c r="CP77" s="91">
        <f t="shared" si="171"/>
        <v>1485216.3110399996</v>
      </c>
      <c r="CQ77" s="91">
        <f t="shared" si="171"/>
        <v>1392390.2915999996</v>
      </c>
      <c r="CR77" s="91">
        <f t="shared" si="171"/>
        <v>1330506.2786399997</v>
      </c>
      <c r="CS77" s="91">
        <f t="shared" si="171"/>
        <v>1454274.3045599996</v>
      </c>
      <c r="CT77" s="91">
        <f t="shared" si="171"/>
        <v>1175796.2462399998</v>
      </c>
      <c r="CU77" s="91">
        <f t="shared" si="171"/>
        <v>804492.16847999976</v>
      </c>
      <c r="CV77" s="91"/>
      <c r="CX77" s="91"/>
      <c r="CY77" s="91"/>
      <c r="CZ77" s="91"/>
      <c r="DA77" s="91"/>
      <c r="DB77" s="91"/>
      <c r="DC77" s="91"/>
      <c r="DD77" s="91"/>
      <c r="DE77" s="91"/>
      <c r="DF77" s="91"/>
      <c r="DG77" s="91"/>
      <c r="DH77" s="91"/>
      <c r="DI77" s="91"/>
      <c r="DJ77" s="91"/>
    </row>
    <row r="78" spans="1:114">
      <c r="A78" s="110" t="s">
        <v>99</v>
      </c>
      <c r="B78" s="340" t="s">
        <v>100</v>
      </c>
      <c r="C78" s="341"/>
      <c r="D78" s="342">
        <v>95972</v>
      </c>
      <c r="E78" s="111">
        <v>130805</v>
      </c>
      <c r="F78" s="111">
        <v>121914</v>
      </c>
      <c r="G78" s="111">
        <v>165455</v>
      </c>
      <c r="H78" s="111">
        <v>192013</v>
      </c>
      <c r="I78" s="111">
        <v>167281</v>
      </c>
      <c r="J78" s="111">
        <v>181409</v>
      </c>
      <c r="K78" s="111">
        <v>163138</v>
      </c>
      <c r="L78" s="111">
        <v>169051</v>
      </c>
      <c r="M78" s="111">
        <v>183254</v>
      </c>
      <c r="N78" s="111"/>
      <c r="O78" s="111"/>
      <c r="P78" s="343">
        <f>SUM(D78:O78)</f>
        <v>1570292</v>
      </c>
      <c r="Q78" s="84"/>
      <c r="R78" s="342">
        <v>149582</v>
      </c>
      <c r="S78" s="112">
        <v>152735</v>
      </c>
      <c r="T78" s="112">
        <v>107681</v>
      </c>
      <c r="U78" s="112">
        <v>2974</v>
      </c>
      <c r="V78" s="112">
        <v>32639</v>
      </c>
      <c r="W78" s="112">
        <v>153121</v>
      </c>
      <c r="X78" s="112">
        <v>198635</v>
      </c>
      <c r="Y78" s="112">
        <v>160489</v>
      </c>
      <c r="Z78" s="112">
        <v>160893</v>
      </c>
      <c r="AA78" s="112">
        <v>180999</v>
      </c>
      <c r="AB78" s="112">
        <v>167265</v>
      </c>
      <c r="AC78" s="112">
        <v>135424</v>
      </c>
      <c r="AD78" s="344">
        <f>SUM(R78:AC78)</f>
        <v>1602437</v>
      </c>
      <c r="AE78" s="113"/>
      <c r="AF78" s="345">
        <v>145616</v>
      </c>
      <c r="AG78" s="112">
        <v>168450</v>
      </c>
      <c r="AH78" s="112">
        <v>153291</v>
      </c>
      <c r="AI78" s="112">
        <v>149378</v>
      </c>
      <c r="AJ78" s="112">
        <v>196360</v>
      </c>
      <c r="AK78" s="112">
        <v>170558</v>
      </c>
      <c r="AL78" s="112">
        <v>171758</v>
      </c>
      <c r="AM78" s="112">
        <f t="shared" ref="AM78:AQ78" si="172">SUM(AM79:AM80)</f>
        <v>168974</v>
      </c>
      <c r="AN78" s="112">
        <f t="shared" si="172"/>
        <v>144792</v>
      </c>
      <c r="AO78" s="112">
        <f t="shared" si="172"/>
        <v>141375</v>
      </c>
      <c r="AP78" s="112">
        <f t="shared" si="172"/>
        <v>143221</v>
      </c>
      <c r="AQ78" s="112">
        <f t="shared" si="172"/>
        <v>85543</v>
      </c>
      <c r="AR78" s="112">
        <f t="shared" ref="AR78:AR82" si="173">SUM(AF78:AQ78)</f>
        <v>1839316</v>
      </c>
      <c r="AS78" s="23"/>
      <c r="AT78" s="112">
        <f t="shared" ref="AT78:BE78" si="174">SUM(AT79:AT80)</f>
        <v>120211</v>
      </c>
      <c r="AU78" s="112">
        <f t="shared" si="174"/>
        <v>120216</v>
      </c>
      <c r="AV78" s="112">
        <f t="shared" si="174"/>
        <v>101053</v>
      </c>
      <c r="AW78" s="112">
        <f t="shared" si="174"/>
        <v>137388</v>
      </c>
      <c r="AX78" s="112">
        <f t="shared" si="174"/>
        <v>137400</v>
      </c>
      <c r="AY78" s="112">
        <f t="shared" si="174"/>
        <v>135412</v>
      </c>
      <c r="AZ78" s="112">
        <f t="shared" si="174"/>
        <v>157032</v>
      </c>
      <c r="BA78" s="112">
        <f t="shared" si="174"/>
        <v>173287</v>
      </c>
      <c r="BB78" s="114">
        <f t="shared" si="174"/>
        <v>166815</v>
      </c>
      <c r="BC78" s="114">
        <f t="shared" si="174"/>
        <v>153816</v>
      </c>
      <c r="BD78" s="114">
        <f t="shared" si="174"/>
        <v>138051</v>
      </c>
      <c r="BE78" s="114">
        <f t="shared" si="174"/>
        <v>55950</v>
      </c>
      <c r="BF78" s="114">
        <f t="shared" ref="BF78:BF82" si="175">SUM(AT78:BE78)</f>
        <v>1596631</v>
      </c>
      <c r="BG78" s="93">
        <f>BF78/AR78-1</f>
        <v>-0.1319430701412917</v>
      </c>
      <c r="BH78" s="112">
        <f t="shared" ref="BH78:BQ78" si="176">SUM(BH79:BH80)</f>
        <v>138562</v>
      </c>
      <c r="BI78" s="112">
        <f t="shared" si="176"/>
        <v>109391</v>
      </c>
      <c r="BJ78" s="112">
        <f t="shared" si="176"/>
        <v>160056</v>
      </c>
      <c r="BK78" s="112">
        <f t="shared" si="176"/>
        <v>124826</v>
      </c>
      <c r="BL78" s="112">
        <f t="shared" si="176"/>
        <v>151185</v>
      </c>
      <c r="BM78" s="112">
        <f t="shared" si="176"/>
        <v>134688</v>
      </c>
      <c r="BN78" s="112">
        <f t="shared" si="176"/>
        <v>157005</v>
      </c>
      <c r="BO78" s="112">
        <f t="shared" si="176"/>
        <v>151231</v>
      </c>
      <c r="BP78" s="112">
        <f t="shared" si="176"/>
        <v>143335</v>
      </c>
      <c r="BQ78" s="112">
        <f t="shared" si="176"/>
        <v>159215</v>
      </c>
      <c r="BR78" s="112"/>
      <c r="BS78" s="112"/>
      <c r="BT78" s="112">
        <f t="shared" ref="BT78:BT82" si="177">SUM(BH78:BS78)</f>
        <v>1429494</v>
      </c>
      <c r="BU78" s="18"/>
      <c r="BV78" s="112">
        <v>154584</v>
      </c>
      <c r="BW78" s="112">
        <v>151963</v>
      </c>
      <c r="BX78" s="112">
        <v>144646</v>
      </c>
      <c r="BY78" s="112">
        <v>178798</v>
      </c>
      <c r="BZ78" s="112">
        <v>151863</v>
      </c>
      <c r="CA78" s="112">
        <v>152310</v>
      </c>
      <c r="CB78" s="112">
        <f>CB79+CB80</f>
        <v>177824</v>
      </c>
      <c r="CC78" s="112">
        <f t="shared" ref="CC78:CJ78" si="178">CC79+CC80</f>
        <v>155456</v>
      </c>
      <c r="CD78" s="112">
        <f t="shared" si="178"/>
        <v>159431</v>
      </c>
      <c r="CE78" s="112">
        <v>173593</v>
      </c>
      <c r="CF78" s="112">
        <v>154850</v>
      </c>
      <c r="CG78" s="112">
        <f t="shared" si="178"/>
        <v>0</v>
      </c>
      <c r="CH78" s="112">
        <f t="shared" ref="CH78" si="179">SUM(BV78:CG78)</f>
        <v>1755318</v>
      </c>
      <c r="CJ78" s="112">
        <f>SUM(CJ79:CJ80)</f>
        <v>159720</v>
      </c>
      <c r="CK78" s="112">
        <f>SUM(CK79:CK80)</f>
        <v>182595</v>
      </c>
      <c r="CL78" s="112">
        <f>SUM(CL79:CL80)</f>
        <v>175111</v>
      </c>
      <c r="CM78" s="112">
        <f>SUM(CM79:CM80)</f>
        <v>192052</v>
      </c>
      <c r="CN78" s="112"/>
      <c r="CO78" s="112"/>
      <c r="CP78" s="112"/>
      <c r="CQ78" s="112"/>
      <c r="CR78" s="112"/>
      <c r="CS78" s="112"/>
      <c r="CT78" s="112"/>
      <c r="CU78" s="112"/>
      <c r="CV78" s="112"/>
      <c r="CX78" s="112"/>
      <c r="CY78" s="112"/>
      <c r="CZ78" s="112"/>
      <c r="DA78" s="112"/>
      <c r="DB78" s="112"/>
      <c r="DC78" s="112"/>
      <c r="DD78" s="112"/>
      <c r="DE78" s="112"/>
      <c r="DF78" s="112"/>
      <c r="DG78" s="112"/>
      <c r="DH78" s="112"/>
      <c r="DI78" s="112"/>
      <c r="DJ78" s="112"/>
    </row>
    <row r="79" spans="1:114" ht="15.75" customHeight="1">
      <c r="A79" s="115"/>
      <c r="B79" s="346" t="s">
        <v>101</v>
      </c>
      <c r="C79" s="347"/>
      <c r="D79" s="265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66"/>
      <c r="Q79" s="116"/>
      <c r="R79" s="265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67"/>
      <c r="AE79" s="23"/>
      <c r="AF79" s="348">
        <v>126362</v>
      </c>
      <c r="AG79" s="22">
        <v>153970</v>
      </c>
      <c r="AH79" s="22">
        <v>128331</v>
      </c>
      <c r="AI79" s="22">
        <v>135338</v>
      </c>
      <c r="AJ79" s="22">
        <v>177312</v>
      </c>
      <c r="AK79" s="22">
        <v>150818</v>
      </c>
      <c r="AL79" s="22">
        <v>158858</v>
      </c>
      <c r="AM79" s="22">
        <v>153933</v>
      </c>
      <c r="AN79" s="22">
        <v>134244</v>
      </c>
      <c r="AO79" s="22">
        <v>137435</v>
      </c>
      <c r="AP79" s="22">
        <v>143221</v>
      </c>
      <c r="AQ79" s="22">
        <v>85543</v>
      </c>
      <c r="AR79" s="117">
        <f t="shared" si="173"/>
        <v>1685365</v>
      </c>
      <c r="AS79" s="23"/>
      <c r="AT79" s="22">
        <v>120211</v>
      </c>
      <c r="AU79" s="22">
        <v>120216</v>
      </c>
      <c r="AV79" s="22">
        <v>101053</v>
      </c>
      <c r="AW79" s="22">
        <v>137388</v>
      </c>
      <c r="AX79" s="22">
        <v>137400</v>
      </c>
      <c r="AY79" s="22">
        <v>135412</v>
      </c>
      <c r="AZ79" s="22">
        <v>157032</v>
      </c>
      <c r="BA79" s="22">
        <v>172227</v>
      </c>
      <c r="BB79" s="22">
        <f>157995+8500</f>
        <v>166495</v>
      </c>
      <c r="BC79" s="22">
        <v>153816</v>
      </c>
      <c r="BD79" s="22">
        <v>138051</v>
      </c>
      <c r="BE79" s="22">
        <v>55950</v>
      </c>
      <c r="BF79" s="22">
        <f t="shared" si="175"/>
        <v>1595251</v>
      </c>
      <c r="BG79" s="27"/>
      <c r="BH79" s="22">
        <v>138562</v>
      </c>
      <c r="BI79" s="22">
        <v>109391</v>
      </c>
      <c r="BJ79" s="22">
        <v>160056</v>
      </c>
      <c r="BK79" s="22">
        <v>124826</v>
      </c>
      <c r="BL79" s="22">
        <v>151185</v>
      </c>
      <c r="BM79" s="22">
        <v>134688</v>
      </c>
      <c r="BN79" s="22">
        <v>157005</v>
      </c>
      <c r="BO79" s="22">
        <v>151231</v>
      </c>
      <c r="BP79" s="22">
        <v>143335</v>
      </c>
      <c r="BQ79" s="22">
        <v>159215</v>
      </c>
      <c r="BR79" s="22"/>
      <c r="BS79" s="22"/>
      <c r="BT79" s="22">
        <f t="shared" si="177"/>
        <v>1429494</v>
      </c>
      <c r="BU79" s="28"/>
      <c r="BV79" s="22">
        <v>154584</v>
      </c>
      <c r="BW79" s="22">
        <v>151963</v>
      </c>
      <c r="BX79" s="22">
        <v>144646</v>
      </c>
      <c r="BY79" s="22">
        <v>178798</v>
      </c>
      <c r="BZ79" s="22">
        <v>151863</v>
      </c>
      <c r="CA79" s="22">
        <v>152310</v>
      </c>
      <c r="CB79" s="22">
        <v>177824</v>
      </c>
      <c r="CC79" s="22">
        <v>155456</v>
      </c>
      <c r="CD79" s="22">
        <v>159431</v>
      </c>
      <c r="CE79" s="22"/>
      <c r="CF79" s="22"/>
      <c r="CG79" s="22"/>
      <c r="CH79" s="22"/>
      <c r="CJ79" s="22">
        <v>145276</v>
      </c>
      <c r="CK79" s="22">
        <v>157921</v>
      </c>
      <c r="CL79" s="22">
        <v>147905</v>
      </c>
      <c r="CM79" s="22">
        <v>157807</v>
      </c>
      <c r="CN79" s="22"/>
      <c r="CO79" s="22"/>
      <c r="CP79" s="22"/>
      <c r="CQ79" s="22"/>
      <c r="CR79" s="22"/>
      <c r="CS79" s="22"/>
      <c r="CT79" s="22"/>
      <c r="CU79" s="22"/>
      <c r="CV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</row>
    <row r="80" spans="1:114" ht="15.75" customHeight="1">
      <c r="A80" s="115"/>
      <c r="B80" s="346" t="s">
        <v>102</v>
      </c>
      <c r="C80" s="347"/>
      <c r="D80" s="265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66"/>
      <c r="Q80" s="116"/>
      <c r="R80" s="265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67"/>
      <c r="AE80" s="23"/>
      <c r="AF80" s="22">
        <f t="shared" ref="AF80:AL80" si="180">AF78-AF79</f>
        <v>19254</v>
      </c>
      <c r="AG80" s="22">
        <f t="shared" si="180"/>
        <v>14480</v>
      </c>
      <c r="AH80" s="22">
        <f t="shared" si="180"/>
        <v>24960</v>
      </c>
      <c r="AI80" s="22">
        <f t="shared" si="180"/>
        <v>14040</v>
      </c>
      <c r="AJ80" s="22">
        <f t="shared" si="180"/>
        <v>19048</v>
      </c>
      <c r="AK80" s="22">
        <f t="shared" si="180"/>
        <v>19740</v>
      </c>
      <c r="AL80" s="22">
        <f t="shared" si="180"/>
        <v>12900</v>
      </c>
      <c r="AM80" s="22">
        <v>15041</v>
      </c>
      <c r="AN80" s="22">
        <v>10548</v>
      </c>
      <c r="AO80" s="22">
        <v>3940</v>
      </c>
      <c r="AP80" s="22">
        <v>0</v>
      </c>
      <c r="AQ80" s="22">
        <v>0</v>
      </c>
      <c r="AR80" s="117">
        <f t="shared" si="173"/>
        <v>153951</v>
      </c>
      <c r="AS80" s="23"/>
      <c r="AT80" s="22">
        <v>0</v>
      </c>
      <c r="AU80" s="22">
        <v>0</v>
      </c>
      <c r="AV80" s="22">
        <v>0</v>
      </c>
      <c r="AW80" s="22">
        <v>0</v>
      </c>
      <c r="AX80" s="22">
        <v>0</v>
      </c>
      <c r="AY80" s="22">
        <v>0</v>
      </c>
      <c r="AZ80" s="22">
        <v>0</v>
      </c>
      <c r="BA80" s="22">
        <v>1060</v>
      </c>
      <c r="BB80" s="22">
        <v>320</v>
      </c>
      <c r="BC80" s="22">
        <v>0</v>
      </c>
      <c r="BD80" s="22">
        <v>0</v>
      </c>
      <c r="BE80" s="22"/>
      <c r="BF80" s="22">
        <f t="shared" si="175"/>
        <v>1380</v>
      </c>
      <c r="BG80" s="27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>
        <f t="shared" si="177"/>
        <v>0</v>
      </c>
      <c r="BU80" s="28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J80" s="22">
        <v>14444</v>
      </c>
      <c r="CK80" s="22">
        <v>24674</v>
      </c>
      <c r="CL80" s="22">
        <v>27206</v>
      </c>
      <c r="CM80" s="22">
        <v>34245</v>
      </c>
      <c r="CN80" s="22"/>
      <c r="CO80" s="22"/>
      <c r="CP80" s="22"/>
      <c r="CQ80" s="22"/>
      <c r="CR80" s="22"/>
      <c r="CS80" s="22"/>
      <c r="CT80" s="22"/>
      <c r="CU80" s="22"/>
      <c r="CV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</row>
    <row r="81" spans="1:114" ht="15.75">
      <c r="A81" s="103" t="s">
        <v>103</v>
      </c>
      <c r="B81" s="337"/>
      <c r="C81" s="330"/>
      <c r="D81" s="331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332"/>
      <c r="Q81" s="105"/>
      <c r="R81" s="333"/>
      <c r="S81" s="333"/>
      <c r="T81" s="333"/>
      <c r="U81" s="333"/>
      <c r="V81" s="333"/>
      <c r="W81" s="333"/>
      <c r="X81" s="333"/>
      <c r="Y81" s="333"/>
      <c r="Z81" s="333"/>
      <c r="AA81" s="333"/>
      <c r="AB81" s="333"/>
      <c r="AC81" s="333"/>
      <c r="AD81" s="334"/>
      <c r="AE81" s="106"/>
      <c r="AF81" s="333">
        <f t="shared" ref="AF81:AQ81" si="181">AF78-AF71</f>
        <v>-15784</v>
      </c>
      <c r="AG81" s="333">
        <f t="shared" si="181"/>
        <v>2450</v>
      </c>
      <c r="AH81" s="333">
        <f t="shared" si="181"/>
        <v>2820</v>
      </c>
      <c r="AI81" s="333">
        <f t="shared" si="181"/>
        <v>338</v>
      </c>
      <c r="AJ81" s="333">
        <f t="shared" si="181"/>
        <v>0</v>
      </c>
      <c r="AK81" s="333">
        <f t="shared" si="181"/>
        <v>7258</v>
      </c>
      <c r="AL81" s="333">
        <f t="shared" si="181"/>
        <v>-18242</v>
      </c>
      <c r="AM81" s="333">
        <f t="shared" si="181"/>
        <v>1974</v>
      </c>
      <c r="AN81" s="333">
        <f t="shared" si="181"/>
        <v>-25708</v>
      </c>
      <c r="AO81" s="333">
        <f t="shared" si="181"/>
        <v>1375</v>
      </c>
      <c r="AP81" s="333">
        <f t="shared" si="181"/>
        <v>13221</v>
      </c>
      <c r="AQ81" s="333">
        <f t="shared" si="181"/>
        <v>-14457</v>
      </c>
      <c r="AR81" s="107">
        <f t="shared" si="173"/>
        <v>-44755</v>
      </c>
      <c r="AS81" s="106"/>
      <c r="AT81" s="333">
        <f t="shared" ref="AT81:BE81" si="182">AT78-AT71</f>
        <v>-12789</v>
      </c>
      <c r="AU81" s="333">
        <f t="shared" si="182"/>
        <v>-4964</v>
      </c>
      <c r="AV81" s="333">
        <f t="shared" si="182"/>
        <v>-16175</v>
      </c>
      <c r="AW81" s="333">
        <f t="shared" si="182"/>
        <v>9888</v>
      </c>
      <c r="AX81" s="333">
        <f t="shared" si="182"/>
        <v>-2600</v>
      </c>
      <c r="AY81" s="333">
        <f t="shared" si="182"/>
        <v>-22930.999998999992</v>
      </c>
      <c r="AZ81" s="333">
        <f t="shared" si="182"/>
        <v>4623</v>
      </c>
      <c r="BA81" s="333">
        <f t="shared" si="182"/>
        <v>-233</v>
      </c>
      <c r="BB81" s="333">
        <f t="shared" si="182"/>
        <v>1815</v>
      </c>
      <c r="BC81" s="333">
        <f t="shared" si="182"/>
        <v>-3684</v>
      </c>
      <c r="BD81" s="333">
        <f t="shared" si="182"/>
        <v>8620</v>
      </c>
      <c r="BE81" s="333">
        <f t="shared" si="182"/>
        <v>-5750</v>
      </c>
      <c r="BF81" s="108">
        <f t="shared" si="175"/>
        <v>-44179.999998999992</v>
      </c>
      <c r="BG81" s="106"/>
      <c r="BH81" s="333">
        <f t="shared" ref="BH81:BQ81" si="183">BH78-BH71</f>
        <v>-1198</v>
      </c>
      <c r="BI81" s="333">
        <f t="shared" si="183"/>
        <v>-7189</v>
      </c>
      <c r="BJ81" s="333">
        <f t="shared" si="183"/>
        <v>11716</v>
      </c>
      <c r="BK81" s="333">
        <f t="shared" si="183"/>
        <v>12466</v>
      </c>
      <c r="BL81" s="333">
        <f t="shared" si="183"/>
        <v>42525</v>
      </c>
      <c r="BM81" s="333">
        <f t="shared" si="183"/>
        <v>-18728</v>
      </c>
      <c r="BN81" s="333">
        <f t="shared" si="183"/>
        <v>19329</v>
      </c>
      <c r="BO81" s="333">
        <f t="shared" si="183"/>
        <v>-9423</v>
      </c>
      <c r="BP81" s="333">
        <f t="shared" si="183"/>
        <v>-13665</v>
      </c>
      <c r="BQ81" s="333">
        <f t="shared" si="183"/>
        <v>2490</v>
      </c>
      <c r="BR81" s="108"/>
      <c r="BS81" s="108"/>
      <c r="BT81" s="108">
        <f t="shared" si="177"/>
        <v>38323</v>
      </c>
      <c r="BU81" s="28"/>
      <c r="BV81" s="333"/>
      <c r="BW81" s="333"/>
      <c r="BX81" s="333"/>
      <c r="BY81" s="333">
        <f>BY78-BY71</f>
        <v>5998</v>
      </c>
      <c r="BZ81" s="333">
        <f t="shared" ref="BZ81:CG81" si="184">BZ78-BZ71</f>
        <v>-13737</v>
      </c>
      <c r="CA81" s="333">
        <f t="shared" si="184"/>
        <v>-6090</v>
      </c>
      <c r="CB81" s="333">
        <f t="shared" si="184"/>
        <v>-2176</v>
      </c>
      <c r="CC81" s="333">
        <f t="shared" si="184"/>
        <v>-17344</v>
      </c>
      <c r="CD81" s="333">
        <f t="shared" si="184"/>
        <v>-13369</v>
      </c>
      <c r="CE81" s="333">
        <f t="shared" si="184"/>
        <v>793</v>
      </c>
      <c r="CF81" s="333">
        <f t="shared" si="184"/>
        <v>-12350</v>
      </c>
      <c r="CG81" s="333">
        <f t="shared" si="184"/>
        <v>-98800</v>
      </c>
      <c r="CH81" s="333">
        <f>CH78-CH71</f>
        <v>-118882</v>
      </c>
      <c r="CJ81" s="333">
        <f t="shared" ref="CJ81:CV81" si="185">CJ78-CJ71</f>
        <v>-5280</v>
      </c>
      <c r="CK81" s="333">
        <f>CK78-CK71</f>
        <v>-6005</v>
      </c>
      <c r="CL81" s="333">
        <f t="shared" si="185"/>
        <v>4111</v>
      </c>
      <c r="CM81" s="333">
        <f t="shared" si="185"/>
        <v>-7948</v>
      </c>
      <c r="CN81" s="333">
        <f t="shared" si="185"/>
        <v>-178290</v>
      </c>
      <c r="CO81" s="333">
        <f t="shared" si="185"/>
        <v>-193500</v>
      </c>
      <c r="CP81" s="333">
        <f t="shared" si="185"/>
        <v>-216000</v>
      </c>
      <c r="CQ81" s="333">
        <f t="shared" si="185"/>
        <v>-216000</v>
      </c>
      <c r="CR81" s="333">
        <f t="shared" si="185"/>
        <v>-206400</v>
      </c>
      <c r="CS81" s="333">
        <f t="shared" si="185"/>
        <v>-225600</v>
      </c>
      <c r="CT81" s="333">
        <f t="shared" si="185"/>
        <v>-182400</v>
      </c>
      <c r="CU81" s="333">
        <f t="shared" si="185"/>
        <v>-124800</v>
      </c>
      <c r="CV81" s="333">
        <f t="shared" si="185"/>
        <v>-2267590</v>
      </c>
      <c r="CX81" s="333">
        <f t="shared" ref="CX81:DJ81" si="186">CX78-CX71</f>
        <v>-192000</v>
      </c>
      <c r="CY81" s="333">
        <f t="shared" si="186"/>
        <v>-144000</v>
      </c>
      <c r="CZ81" s="333">
        <f t="shared" si="186"/>
        <v>-182400</v>
      </c>
      <c r="DA81" s="333">
        <f t="shared" si="186"/>
        <v>-192000</v>
      </c>
      <c r="DB81" s="333">
        <f t="shared" si="186"/>
        <v>-201600</v>
      </c>
      <c r="DC81" s="333">
        <f t="shared" si="186"/>
        <v>-192000</v>
      </c>
      <c r="DD81" s="333">
        <f t="shared" si="186"/>
        <v>-220800</v>
      </c>
      <c r="DE81" s="333">
        <f t="shared" si="186"/>
        <v>-201600</v>
      </c>
      <c r="DF81" s="333">
        <f t="shared" si="186"/>
        <v>-192000</v>
      </c>
      <c r="DG81" s="333">
        <f t="shared" si="186"/>
        <v>-220800</v>
      </c>
      <c r="DH81" s="333">
        <f t="shared" si="186"/>
        <v>-182400</v>
      </c>
      <c r="DI81" s="333">
        <f t="shared" si="186"/>
        <v>-124800</v>
      </c>
      <c r="DJ81" s="333">
        <f t="shared" si="186"/>
        <v>-2246400</v>
      </c>
    </row>
    <row r="82" spans="1:114" ht="14.25" customHeight="1">
      <c r="A82" s="55" t="s">
        <v>104</v>
      </c>
      <c r="B82" s="56"/>
      <c r="C82" s="280"/>
      <c r="D82" s="288" t="e">
        <f t="shared" ref="D82:F82" si="187">#REF!-#REF!</f>
        <v>#REF!</v>
      </c>
      <c r="E82" s="57" t="e">
        <f t="shared" si="187"/>
        <v>#REF!</v>
      </c>
      <c r="F82" s="57" t="e">
        <f t="shared" si="187"/>
        <v>#REF!</v>
      </c>
      <c r="G82" s="57" t="e">
        <f t="shared" ref="G82:I82" si="188">G71-#REF!</f>
        <v>#REF!</v>
      </c>
      <c r="H82" s="57" t="e">
        <f t="shared" si="188"/>
        <v>#REF!</v>
      </c>
      <c r="I82" s="57" t="e">
        <f t="shared" si="188"/>
        <v>#REF!</v>
      </c>
      <c r="J82" s="57" t="e">
        <f t="shared" ref="J82:K82" si="189">#REF!-#REF!</f>
        <v>#REF!</v>
      </c>
      <c r="K82" s="57" t="e">
        <f t="shared" si="189"/>
        <v>#REF!</v>
      </c>
      <c r="L82" s="57">
        <f>L71-L27</f>
        <v>-24911</v>
      </c>
      <c r="M82" s="57">
        <f>M71-M27</f>
        <v>-13674</v>
      </c>
      <c r="N82" s="57">
        <f>N71-N27</f>
        <v>57632</v>
      </c>
      <c r="O82" s="57">
        <f>O71-O27</f>
        <v>74079</v>
      </c>
      <c r="P82" s="289" t="e">
        <f>SUM(D82:O82)</f>
        <v>#REF!</v>
      </c>
      <c r="Q82" s="39"/>
      <c r="R82" s="288">
        <f t="shared" ref="R82:AD82" si="190">R71-R27</f>
        <v>22222.660017050745</v>
      </c>
      <c r="S82" s="58">
        <f t="shared" si="190"/>
        <v>17159.673608830723</v>
      </c>
      <c r="T82" s="58">
        <f t="shared" si="190"/>
        <v>-24753.77192982455</v>
      </c>
      <c r="U82" s="58">
        <f t="shared" si="190"/>
        <v>-17814.899999999998</v>
      </c>
      <c r="V82" s="58">
        <f t="shared" si="190"/>
        <v>1715</v>
      </c>
      <c r="W82" s="290">
        <f t="shared" si="190"/>
        <v>120430.6180497602</v>
      </c>
      <c r="X82" s="290">
        <f t="shared" si="190"/>
        <v>43436.666666667006</v>
      </c>
      <c r="Y82" s="290">
        <f t="shared" si="190"/>
        <v>-29747.083333333314</v>
      </c>
      <c r="Z82" s="290">
        <f t="shared" si="190"/>
        <v>-80887.5</v>
      </c>
      <c r="AA82" s="290">
        <f t="shared" si="190"/>
        <v>10200</v>
      </c>
      <c r="AB82" s="290">
        <f t="shared" si="190"/>
        <v>137500</v>
      </c>
      <c r="AC82" s="290">
        <f t="shared" si="190"/>
        <v>134100</v>
      </c>
      <c r="AD82" s="291">
        <f t="shared" si="190"/>
        <v>333561.36307915067</v>
      </c>
      <c r="AE82" s="59"/>
      <c r="AF82" s="292">
        <f t="shared" ref="AF82:AQ82" si="191">AF71-AF27</f>
        <v>32754</v>
      </c>
      <c r="AG82" s="58">
        <f t="shared" si="191"/>
        <v>-11977</v>
      </c>
      <c r="AH82" s="58">
        <f t="shared" si="191"/>
        <v>76847</v>
      </c>
      <c r="AI82" s="58">
        <f t="shared" si="191"/>
        <v>59682</v>
      </c>
      <c r="AJ82" s="58">
        <f t="shared" si="191"/>
        <v>74226</v>
      </c>
      <c r="AK82" s="58">
        <f t="shared" si="191"/>
        <v>14740</v>
      </c>
      <c r="AL82" s="58">
        <f t="shared" si="191"/>
        <v>38005</v>
      </c>
      <c r="AM82" s="58">
        <f t="shared" si="191"/>
        <v>-71903</v>
      </c>
      <c r="AN82" s="58">
        <f t="shared" si="191"/>
        <v>-90633.333333333343</v>
      </c>
      <c r="AO82" s="58">
        <f t="shared" si="191"/>
        <v>-115900</v>
      </c>
      <c r="AP82" s="58">
        <f t="shared" si="191"/>
        <v>1360</v>
      </c>
      <c r="AQ82" s="58">
        <f t="shared" si="191"/>
        <v>2160</v>
      </c>
      <c r="AR82" s="58">
        <f t="shared" si="173"/>
        <v>9360.666666666657</v>
      </c>
      <c r="AS82" s="59"/>
      <c r="AT82" s="58">
        <f t="shared" ref="AT82:BE82" si="192">AT71-AT27</f>
        <v>-19749.25</v>
      </c>
      <c r="AU82" s="58">
        <f t="shared" si="192"/>
        <v>-43342.103448275855</v>
      </c>
      <c r="AV82" s="58">
        <f t="shared" si="192"/>
        <v>-36893.137931034493</v>
      </c>
      <c r="AW82" s="58">
        <f t="shared" si="192"/>
        <v>-32095.137931034493</v>
      </c>
      <c r="AX82" s="58">
        <f t="shared" si="192"/>
        <v>19900.034482758623</v>
      </c>
      <c r="AY82" s="58">
        <f t="shared" si="192"/>
        <v>19999.222221222211</v>
      </c>
      <c r="AZ82" s="58">
        <f t="shared" si="192"/>
        <v>-14264.777777777781</v>
      </c>
      <c r="BA82" s="58">
        <f t="shared" si="192"/>
        <v>-68922.296296296292</v>
      </c>
      <c r="BB82" s="58">
        <f t="shared" si="192"/>
        <v>-78407.777777777781</v>
      </c>
      <c r="BC82" s="58">
        <f t="shared" si="192"/>
        <v>-95868.290755657828</v>
      </c>
      <c r="BD82" s="58">
        <f t="shared" si="192"/>
        <v>-5124.586881472962</v>
      </c>
      <c r="BE82" s="58">
        <f t="shared" si="192"/>
        <v>-10986.612965093984</v>
      </c>
      <c r="BF82" s="58">
        <f t="shared" si="175"/>
        <v>-365754.71506044065</v>
      </c>
      <c r="BG82" s="59"/>
      <c r="BH82" s="58">
        <f t="shared" ref="BH82:BQ82" si="193">BH71-BH27</f>
        <v>-12993</v>
      </c>
      <c r="BI82" s="58">
        <f t="shared" si="193"/>
        <v>-30242.333333333314</v>
      </c>
      <c r="BJ82" s="58">
        <f t="shared" si="193"/>
        <v>-23206.074074074073</v>
      </c>
      <c r="BK82" s="58">
        <f t="shared" si="193"/>
        <v>-47411.74074074073</v>
      </c>
      <c r="BL82" s="58">
        <f t="shared" si="193"/>
        <v>-23836.851851851854</v>
      </c>
      <c r="BM82" s="58">
        <f t="shared" si="193"/>
        <v>23509.740740740745</v>
      </c>
      <c r="BN82" s="58">
        <f t="shared" si="193"/>
        <v>-33707.555555555562</v>
      </c>
      <c r="BO82" s="58">
        <f t="shared" si="193"/>
        <v>-18896.378111111087</v>
      </c>
      <c r="BP82" s="58">
        <f t="shared" si="193"/>
        <v>-45053.749537037045</v>
      </c>
      <c r="BQ82" s="58">
        <f t="shared" si="193"/>
        <v>-7140</v>
      </c>
      <c r="BR82" s="58"/>
      <c r="BS82" s="58"/>
      <c r="BT82" s="58">
        <f t="shared" si="177"/>
        <v>-218977.94246296291</v>
      </c>
      <c r="BU82" s="60"/>
      <c r="BV82" s="58"/>
      <c r="BW82" s="58"/>
      <c r="BX82" s="58"/>
      <c r="BY82" s="58">
        <f>BY71-BY27</f>
        <v>13630.76923076922</v>
      </c>
      <c r="BZ82" s="58">
        <f t="shared" ref="BZ82:CG82" si="194">BZ71-BZ27</f>
        <v>14117.606582143373</v>
      </c>
      <c r="CA82" s="58">
        <f t="shared" si="194"/>
        <v>16957.870899031579</v>
      </c>
      <c r="CB82" s="58">
        <f t="shared" si="194"/>
        <v>3013.7855523840117</v>
      </c>
      <c r="CC82" s="58">
        <f t="shared" si="194"/>
        <v>-28501.089448851068</v>
      </c>
      <c r="CD82" s="58">
        <f t="shared" si="194"/>
        <v>-40033.040135593415</v>
      </c>
      <c r="CE82" s="58">
        <f t="shared" si="194"/>
        <v>-43122.303862118919</v>
      </c>
      <c r="CF82" s="58">
        <f t="shared" si="194"/>
        <v>-3915.8422363018617</v>
      </c>
      <c r="CG82" s="58">
        <f t="shared" si="194"/>
        <v>11316.183308289634</v>
      </c>
      <c r="CH82" s="58">
        <f>CH78-CH69</f>
        <v>-50665</v>
      </c>
      <c r="CJ82" s="58">
        <f t="shared" ref="CJ82:CV82" si="195">CJ71-CJ27</f>
        <v>-16422.940000000002</v>
      </c>
      <c r="CK82" s="58">
        <f t="shared" si="195"/>
        <v>22747.330000000016</v>
      </c>
      <c r="CL82" s="58">
        <f t="shared" si="195"/>
        <v>-14796.679999999993</v>
      </c>
      <c r="CM82" s="58">
        <f t="shared" si="195"/>
        <v>39017</v>
      </c>
      <c r="CN82" s="58">
        <f t="shared" si="195"/>
        <v>24488.049999999988</v>
      </c>
      <c r="CO82" s="58">
        <f t="shared" si="195"/>
        <v>73319.12000000001</v>
      </c>
      <c r="CP82" s="58">
        <f t="shared" si="195"/>
        <v>-9720.0899999999965</v>
      </c>
      <c r="CQ82" s="58">
        <f t="shared" si="195"/>
        <v>9104.6900000000023</v>
      </c>
      <c r="CR82" s="58">
        <f t="shared" si="195"/>
        <v>-50253.639999999985</v>
      </c>
      <c r="CS82" s="58">
        <f t="shared" si="195"/>
        <v>-3816.9200000000128</v>
      </c>
      <c r="CT82" s="58">
        <f t="shared" si="195"/>
        <v>19614.910000000003</v>
      </c>
      <c r="CU82" s="58">
        <f t="shared" si="195"/>
        <v>21616.179999999993</v>
      </c>
      <c r="CV82" s="58">
        <f t="shared" si="195"/>
        <v>114897.01000000024</v>
      </c>
      <c r="CX82" s="58">
        <f t="shared" ref="CX82:DJ82" si="196">CX71-CX27</f>
        <v>1505.9130000000005</v>
      </c>
      <c r="CY82" s="58">
        <f t="shared" si="196"/>
        <v>-30145.30349999998</v>
      </c>
      <c r="CZ82" s="58">
        <f t="shared" si="196"/>
        <v>-12686.513999999996</v>
      </c>
      <c r="DA82" s="58">
        <f t="shared" si="196"/>
        <v>22967.850000000006</v>
      </c>
      <c r="DB82" s="58">
        <f t="shared" si="196"/>
        <v>40107.952499999985</v>
      </c>
      <c r="DC82" s="58">
        <f t="shared" si="196"/>
        <v>65810.076000000001</v>
      </c>
      <c r="DD82" s="58">
        <f t="shared" si="196"/>
        <v>-16206.094500000007</v>
      </c>
      <c r="DE82" s="58">
        <f t="shared" si="196"/>
        <v>-15640.075500000006</v>
      </c>
      <c r="DF82" s="58">
        <f t="shared" si="196"/>
        <v>-77486.321999999986</v>
      </c>
      <c r="DG82" s="58">
        <f t="shared" si="196"/>
        <v>-20087.766000000032</v>
      </c>
      <c r="DH82" s="58">
        <f t="shared" si="196"/>
        <v>11475.655499999993</v>
      </c>
      <c r="DI82" s="58">
        <f t="shared" si="196"/>
        <v>16456.988999999987</v>
      </c>
      <c r="DJ82" s="58">
        <f t="shared" si="196"/>
        <v>289302.825940924</v>
      </c>
    </row>
    <row r="83" spans="1:114" ht="15" customHeight="1">
      <c r="B83" t="s">
        <v>106</v>
      </c>
      <c r="BZ83" s="598"/>
      <c r="CA83" s="598">
        <f>BZ83+CA82</f>
        <v>16957.870899031579</v>
      </c>
      <c r="CB83" s="598">
        <f t="shared" ref="CB83:CG83" si="197">CA83+CB82</f>
        <v>19971.656451415591</v>
      </c>
      <c r="CC83" s="598">
        <f t="shared" si="197"/>
        <v>-8529.4329974354769</v>
      </c>
      <c r="CD83" s="598">
        <f t="shared" si="197"/>
        <v>-48562.473133028892</v>
      </c>
      <c r="CE83" s="598">
        <f t="shared" si="197"/>
        <v>-91684.776995147811</v>
      </c>
      <c r="CF83" s="598">
        <f t="shared" si="197"/>
        <v>-95600.619231449673</v>
      </c>
      <c r="CG83" s="598">
        <f t="shared" si="197"/>
        <v>-84284.435923160039</v>
      </c>
      <c r="CN83">
        <v>147</v>
      </c>
      <c r="CO83">
        <v>147</v>
      </c>
      <c r="CP83">
        <v>147</v>
      </c>
      <c r="CQ83">
        <v>147</v>
      </c>
      <c r="CR83">
        <v>147</v>
      </c>
      <c r="CS83">
        <v>147</v>
      </c>
      <c r="CT83">
        <v>147</v>
      </c>
      <c r="CU83">
        <v>147</v>
      </c>
    </row>
    <row r="84" spans="1:114" ht="15" customHeight="1">
      <c r="B84" t="s">
        <v>107</v>
      </c>
      <c r="CN84" s="735">
        <f>CN77/CN83</f>
        <v>8840.5732799999987</v>
      </c>
      <c r="CO84" s="735">
        <f t="shared" ref="CO84:CU84" si="198">CO77/CO83</f>
        <v>9051.0631199999971</v>
      </c>
      <c r="CP84" s="735">
        <f t="shared" si="198"/>
        <v>10103.512319999998</v>
      </c>
      <c r="CQ84" s="735">
        <f t="shared" si="198"/>
        <v>9472.0427999999974</v>
      </c>
      <c r="CR84" s="735">
        <f t="shared" si="198"/>
        <v>9051.0631199999971</v>
      </c>
      <c r="CS84" s="735">
        <f t="shared" si="198"/>
        <v>9893.0224799999978</v>
      </c>
      <c r="CT84" s="735">
        <f t="shared" si="198"/>
        <v>7998.6139199999989</v>
      </c>
      <c r="CU84" s="735">
        <f t="shared" si="198"/>
        <v>5472.7358399999985</v>
      </c>
    </row>
    <row r="85" spans="1:114" ht="15" customHeight="1">
      <c r="CO85" s="598">
        <f>CO73</f>
        <v>9000</v>
      </c>
      <c r="CP85" s="598">
        <f t="shared" ref="CP85:CU85" si="199">CP73</f>
        <v>9000</v>
      </c>
      <c r="CQ85" s="598">
        <f t="shared" si="199"/>
        <v>9600</v>
      </c>
      <c r="CR85" s="598">
        <f t="shared" si="199"/>
        <v>9600</v>
      </c>
      <c r="CS85" s="598">
        <f t="shared" si="199"/>
        <v>9600</v>
      </c>
      <c r="CT85" s="598">
        <f t="shared" si="199"/>
        <v>9600</v>
      </c>
      <c r="CU85" s="598">
        <f t="shared" si="199"/>
        <v>9600</v>
      </c>
    </row>
    <row r="86" spans="1:114" ht="15" customHeight="1">
      <c r="CO86">
        <f>CO71*0.95</f>
        <v>183825</v>
      </c>
      <c r="CP86">
        <f t="shared" ref="CP86:CU86" si="200">CP71*0.95</f>
        <v>205200</v>
      </c>
      <c r="CQ86">
        <f t="shared" si="200"/>
        <v>205200</v>
      </c>
      <c r="CR86">
        <f t="shared" si="200"/>
        <v>196080</v>
      </c>
      <c r="CS86">
        <f t="shared" si="200"/>
        <v>214320</v>
      </c>
      <c r="CT86">
        <f t="shared" si="200"/>
        <v>173280</v>
      </c>
      <c r="CU86">
        <f t="shared" si="200"/>
        <v>118560</v>
      </c>
    </row>
  </sheetData>
  <mergeCells count="26">
    <mergeCell ref="B39:C39"/>
    <mergeCell ref="CX1:DI1"/>
    <mergeCell ref="D2:P2"/>
    <mergeCell ref="R2:AD2"/>
    <mergeCell ref="AF2:AR2"/>
    <mergeCell ref="AT2:BF2"/>
    <mergeCell ref="BH2:BS2"/>
    <mergeCell ref="BV2:CG2"/>
    <mergeCell ref="CJ2:CU2"/>
    <mergeCell ref="CX2:DI2"/>
    <mergeCell ref="R1:AD1"/>
    <mergeCell ref="AF1:AR1"/>
    <mergeCell ref="AT1:BF1"/>
    <mergeCell ref="BH1:BS1"/>
    <mergeCell ref="BV1:CG1"/>
    <mergeCell ref="CJ1:CU1"/>
    <mergeCell ref="B34:C34"/>
    <mergeCell ref="B35:C35"/>
    <mergeCell ref="B36:C36"/>
    <mergeCell ref="B37:C37"/>
    <mergeCell ref="B38:C38"/>
    <mergeCell ref="B40:C40"/>
    <mergeCell ref="B41:C41"/>
    <mergeCell ref="B42:C42"/>
    <mergeCell ref="B43:C43"/>
    <mergeCell ref="B52:C52"/>
  </mergeCells>
  <pageMargins left="0.25" right="0.25" top="0.75" bottom="0.75" header="0" footer="0"/>
  <pageSetup paperSize="9" scale="55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D3216-E9D9-439D-9194-BD2801F84D3B}">
  <sheetPr>
    <tabColor rgb="FF00B050"/>
  </sheetPr>
  <dimension ref="A1:DY115"/>
  <sheetViews>
    <sheetView showGridLines="0" zoomScale="80" zoomScaleNormal="80" workbookViewId="0">
      <pane xSplit="3" ySplit="9" topLeftCell="DJ24" activePane="bottomRight" state="frozen"/>
      <selection pane="bottomRight" activeCell="DM33" sqref="DM33"/>
      <selection pane="bottomLeft"/>
      <selection pane="topRight"/>
    </sheetView>
  </sheetViews>
  <sheetFormatPr defaultColWidth="14.42578125" defaultRowHeight="15" customHeight="1" outlineLevelRow="1" outlineLevelCol="1"/>
  <cols>
    <col min="1" max="1" width="3" customWidth="1"/>
    <col min="2" max="2" width="17.85546875" customWidth="1"/>
    <col min="3" max="3" width="18.4257812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3.140625" hidden="1" customWidth="1" collapsed="1"/>
    <col min="74" max="87" width="12.28515625" hidden="1" customWidth="1"/>
    <col min="88" max="88" width="12.28515625" hidden="1" customWidth="1" collapsed="1"/>
    <col min="89" max="99" width="12.28515625" hidden="1" customWidth="1"/>
    <col min="100" max="100" width="16.85546875" hidden="1" customWidth="1"/>
    <col min="101" max="101" width="12" hidden="1" customWidth="1"/>
    <col min="102" max="103" width="13" customWidth="1"/>
    <col min="104" max="104" width="12.140625" customWidth="1"/>
    <col min="105" max="105" width="13.5703125" customWidth="1"/>
    <col min="106" max="106" width="12.28515625" customWidth="1"/>
    <col min="107" max="107" width="12.85546875" customWidth="1"/>
    <col min="108" max="108" width="13.5703125" customWidth="1"/>
    <col min="109" max="109" width="12.42578125" customWidth="1"/>
    <col min="110" max="110" width="13.28515625" customWidth="1"/>
    <col min="111" max="111" width="13.140625" customWidth="1"/>
    <col min="112" max="112" width="13.85546875" customWidth="1"/>
    <col min="113" max="113" width="12.28515625" customWidth="1"/>
    <col min="114" max="114" width="12.5703125" customWidth="1"/>
    <col min="115" max="115" width="2.7109375" customWidth="1"/>
    <col min="128" max="128" width="17.7109375" customWidth="1"/>
  </cols>
  <sheetData>
    <row r="1" spans="1:128" ht="12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s="699" t="s">
        <v>1</v>
      </c>
      <c r="CJ1" s="1089" t="s">
        <v>2</v>
      </c>
      <c r="CK1" s="1090"/>
      <c r="CL1" s="1090"/>
      <c r="CM1" s="1090"/>
      <c r="CN1" s="1090"/>
      <c r="CO1" s="1090"/>
      <c r="CP1" s="1090"/>
      <c r="CQ1" s="1090"/>
      <c r="CR1" s="1090"/>
      <c r="CS1" s="1090"/>
      <c r="CT1" s="1090"/>
      <c r="CU1" s="1091"/>
      <c r="CX1" s="1081" t="s">
        <v>0</v>
      </c>
      <c r="CY1" s="1113"/>
      <c r="CZ1" s="1113"/>
      <c r="DA1" s="1113"/>
      <c r="DB1" s="1113"/>
      <c r="DC1" s="1113"/>
      <c r="DD1" s="1113"/>
      <c r="DE1" s="1113"/>
      <c r="DF1" s="1113"/>
      <c r="DG1" s="1113"/>
      <c r="DH1" s="1113"/>
      <c r="DI1" s="1114"/>
      <c r="DK1" s="948"/>
      <c r="DL1" s="1081" t="s">
        <v>0</v>
      </c>
      <c r="DM1" s="1113"/>
      <c r="DN1" s="1113"/>
      <c r="DO1" s="1113"/>
      <c r="DP1" s="1113"/>
      <c r="DQ1" s="1113"/>
      <c r="DR1" s="1113"/>
      <c r="DS1" s="1113"/>
      <c r="DT1" s="1113"/>
      <c r="DU1" s="1113"/>
      <c r="DV1" s="1113"/>
      <c r="DW1" s="1114"/>
    </row>
    <row r="2" spans="1:128" ht="15" customHeight="1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H2" s="700" t="s">
        <v>3</v>
      </c>
      <c r="CJ2" s="1085" t="s">
        <v>4</v>
      </c>
      <c r="CK2" s="1086"/>
      <c r="CL2" s="1086"/>
      <c r="CM2" s="1086"/>
      <c r="CN2" s="1086"/>
      <c r="CO2" s="1086"/>
      <c r="CP2" s="1086"/>
      <c r="CQ2" s="1086"/>
      <c r="CR2" s="1086"/>
      <c r="CS2" s="1086"/>
      <c r="CT2" s="1086"/>
      <c r="CU2" s="1087"/>
      <c r="CX2" s="1077">
        <v>2026</v>
      </c>
      <c r="CY2" s="1115"/>
      <c r="CZ2" s="1115"/>
      <c r="DA2" s="1115"/>
      <c r="DB2" s="1115"/>
      <c r="DC2" s="1115"/>
      <c r="DD2" s="1115"/>
      <c r="DE2" s="1115"/>
      <c r="DF2" s="1115"/>
      <c r="DG2" s="1115"/>
      <c r="DH2" s="1115"/>
      <c r="DI2" s="1116"/>
      <c r="DK2" s="948"/>
      <c r="DL2" s="1077" t="s">
        <v>108</v>
      </c>
      <c r="DM2" s="1115"/>
      <c r="DN2" s="1115"/>
      <c r="DO2" s="1115"/>
      <c r="DP2" s="1115"/>
      <c r="DQ2" s="1115"/>
      <c r="DR2" s="1115"/>
      <c r="DS2" s="1115"/>
      <c r="DT2" s="1115"/>
      <c r="DU2" s="1115"/>
      <c r="DV2" s="1115"/>
      <c r="DW2" s="1116"/>
    </row>
    <row r="3" spans="1:128" ht="15.75">
      <c r="A3" s="703" t="s">
        <v>5</v>
      </c>
      <c r="B3" s="4"/>
      <c r="C3" s="4" t="str">
        <f>A3</f>
        <v>Dias Uteis Produção</v>
      </c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H3" t="s">
        <v>6</v>
      </c>
      <c r="CJ3" s="253">
        <v>23</v>
      </c>
      <c r="CK3" s="566">
        <v>20</v>
      </c>
      <c r="CL3" s="566">
        <v>21</v>
      </c>
      <c r="CM3" s="252">
        <v>22</v>
      </c>
      <c r="CN3" s="248">
        <v>22</v>
      </c>
      <c r="CO3" s="248">
        <v>21</v>
      </c>
      <c r="CP3" s="248">
        <v>23</v>
      </c>
      <c r="CQ3" s="248">
        <v>21</v>
      </c>
      <c r="CR3" s="248">
        <v>22</v>
      </c>
      <c r="CS3" s="248">
        <v>23</v>
      </c>
      <c r="CT3" s="248">
        <v>20</v>
      </c>
      <c r="CU3" s="248">
        <v>13</v>
      </c>
      <c r="CX3" s="253">
        <v>22</v>
      </c>
      <c r="CY3" s="252">
        <v>20</v>
      </c>
      <c r="CZ3" s="252">
        <v>22</v>
      </c>
      <c r="DA3" s="252">
        <v>22</v>
      </c>
      <c r="DB3" s="248">
        <v>21</v>
      </c>
      <c r="DC3" s="248">
        <v>22</v>
      </c>
      <c r="DD3" s="248">
        <v>23</v>
      </c>
      <c r="DE3" s="248">
        <v>21</v>
      </c>
      <c r="DF3" s="248">
        <v>22</v>
      </c>
      <c r="DG3" s="248">
        <v>22</v>
      </c>
      <c r="DH3" s="248">
        <v>21</v>
      </c>
      <c r="DI3" s="248">
        <v>21</v>
      </c>
      <c r="DK3" s="948"/>
      <c r="DL3" s="253">
        <v>22</v>
      </c>
      <c r="DM3" s="252">
        <v>20</v>
      </c>
      <c r="DN3" s="252">
        <v>22</v>
      </c>
      <c r="DO3" s="252">
        <v>22</v>
      </c>
      <c r="DP3" s="248">
        <v>21</v>
      </c>
      <c r="DQ3" s="248">
        <v>22</v>
      </c>
      <c r="DR3" s="248">
        <v>23</v>
      </c>
      <c r="DS3" s="248">
        <v>21</v>
      </c>
      <c r="DT3" s="248">
        <v>22</v>
      </c>
      <c r="DU3" s="248">
        <v>22</v>
      </c>
      <c r="DV3" s="248">
        <v>21</v>
      </c>
      <c r="DW3" s="248">
        <v>21</v>
      </c>
    </row>
    <row r="4" spans="1:128" ht="11.25" customHeight="1">
      <c r="A4" s="703" t="s">
        <v>7</v>
      </c>
      <c r="B4" s="4"/>
      <c r="C4" s="4" t="str">
        <f t="shared" ref="C4:C7" si="0">A4</f>
        <v>(-) FÉRIAS</v>
      </c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H4" t="s">
        <v>8</v>
      </c>
      <c r="CJ4" s="253">
        <v>3</v>
      </c>
      <c r="CK4" s="566"/>
      <c r="CL4" s="566">
        <v>1.5</v>
      </c>
      <c r="CM4" s="252"/>
      <c r="CN4" s="248"/>
      <c r="CO4" s="248"/>
      <c r="CP4" s="248" t="s">
        <v>109</v>
      </c>
      <c r="CQ4" s="248"/>
      <c r="CR4" s="248"/>
      <c r="CS4" s="248"/>
      <c r="CT4" s="248" t="s">
        <v>110</v>
      </c>
      <c r="CU4" s="248"/>
      <c r="CX4" s="253">
        <v>2</v>
      </c>
      <c r="CY4" s="252">
        <v>0</v>
      </c>
      <c r="CZ4" s="252"/>
      <c r="DA4" s="252"/>
      <c r="DB4" s="248"/>
      <c r="DC4" s="248"/>
      <c r="DD4" s="248"/>
      <c r="DE4" s="248"/>
      <c r="DF4" s="248"/>
      <c r="DG4" s="248"/>
      <c r="DH4" s="248"/>
      <c r="DI4" s="248">
        <v>5</v>
      </c>
      <c r="DK4" s="948"/>
      <c r="DL4" s="253">
        <v>2</v>
      </c>
      <c r="DM4" s="252">
        <v>0</v>
      </c>
      <c r="DN4" s="252"/>
      <c r="DO4" s="252"/>
      <c r="DP4" s="248"/>
      <c r="DQ4" s="248"/>
      <c r="DR4" s="248"/>
      <c r="DS4" s="248"/>
      <c r="DT4" s="248"/>
      <c r="DU4" s="248"/>
      <c r="DV4" s="248"/>
      <c r="DW4" s="248">
        <v>5</v>
      </c>
    </row>
    <row r="5" spans="1:128" ht="15.75" customHeight="1">
      <c r="A5" s="703" t="s">
        <v>9</v>
      </c>
      <c r="B5" s="4"/>
      <c r="C5" s="4" t="str">
        <f t="shared" si="0"/>
        <v>(+) SABADO</v>
      </c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H5" t="s">
        <v>10</v>
      </c>
      <c r="CJ5" s="701">
        <v>2</v>
      </c>
      <c r="CK5" s="701">
        <v>3</v>
      </c>
      <c r="CL5" s="701">
        <v>1.5</v>
      </c>
      <c r="CM5" s="733">
        <v>0</v>
      </c>
      <c r="CN5" s="733">
        <v>0</v>
      </c>
      <c r="CO5" s="733">
        <v>2</v>
      </c>
      <c r="CP5" s="750">
        <v>2</v>
      </c>
      <c r="CQ5" s="679">
        <v>0</v>
      </c>
      <c r="CR5" s="679">
        <v>0</v>
      </c>
      <c r="CS5" s="679">
        <v>0</v>
      </c>
      <c r="CT5" s="679">
        <v>3</v>
      </c>
      <c r="CU5" s="643"/>
      <c r="CV5" s="682" t="s">
        <v>111</v>
      </c>
      <c r="CX5" s="701">
        <v>2</v>
      </c>
      <c r="CY5" s="733">
        <v>2</v>
      </c>
      <c r="CZ5" s="733">
        <v>2</v>
      </c>
      <c r="DA5" s="938">
        <v>2</v>
      </c>
      <c r="DB5" s="938">
        <v>2</v>
      </c>
      <c r="DC5" s="938">
        <v>2</v>
      </c>
      <c r="DD5" s="938">
        <v>2</v>
      </c>
      <c r="DE5" s="938">
        <v>2</v>
      </c>
      <c r="DF5" s="938">
        <v>2</v>
      </c>
      <c r="DG5" s="938">
        <v>2</v>
      </c>
      <c r="DH5" s="938">
        <v>2</v>
      </c>
      <c r="DI5" s="939"/>
      <c r="DK5" s="948"/>
      <c r="DL5" s="701">
        <v>2</v>
      </c>
      <c r="DM5" s="733">
        <v>2</v>
      </c>
      <c r="DN5" s="733">
        <v>2</v>
      </c>
      <c r="DO5" s="938">
        <v>2</v>
      </c>
      <c r="DP5" s="938"/>
      <c r="DQ5" s="938"/>
      <c r="DR5" s="938"/>
      <c r="DS5" s="938"/>
      <c r="DT5" s="938">
        <v>2</v>
      </c>
      <c r="DU5" s="938">
        <v>2</v>
      </c>
      <c r="DV5" s="938">
        <v>2</v>
      </c>
      <c r="DW5" s="939"/>
    </row>
    <row r="6" spans="1:128" ht="9.75" customHeight="1">
      <c r="A6" s="703" t="s">
        <v>11</v>
      </c>
      <c r="B6" s="4"/>
      <c r="C6" s="4" t="str">
        <f t="shared" si="0"/>
        <v>(-)FERIADO</v>
      </c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 t="s">
        <v>12</v>
      </c>
      <c r="CJ6" s="644"/>
      <c r="CK6" s="679"/>
      <c r="CL6" s="679">
        <v>2</v>
      </c>
      <c r="CM6" s="679">
        <v>2</v>
      </c>
      <c r="CN6" s="679">
        <v>1</v>
      </c>
      <c r="CO6" s="679">
        <v>1</v>
      </c>
      <c r="CP6" s="679"/>
      <c r="CQ6" s="679"/>
      <c r="CR6" s="679">
        <v>0</v>
      </c>
      <c r="CS6" s="643">
        <v>0</v>
      </c>
      <c r="CT6" s="643">
        <v>1</v>
      </c>
      <c r="CU6" s="643"/>
      <c r="CX6" s="644"/>
      <c r="CY6" s="938">
        <v>3</v>
      </c>
      <c r="CZ6" s="938">
        <v>2</v>
      </c>
      <c r="DA6" s="938">
        <v>2</v>
      </c>
      <c r="DB6" s="938">
        <v>1</v>
      </c>
      <c r="DC6" s="938">
        <v>1</v>
      </c>
      <c r="DD6" s="938"/>
      <c r="DE6" s="938">
        <v>0</v>
      </c>
      <c r="DF6" s="938">
        <v>1</v>
      </c>
      <c r="DG6" s="938">
        <v>1</v>
      </c>
      <c r="DH6" s="938">
        <v>2</v>
      </c>
      <c r="DI6" s="939">
        <v>5</v>
      </c>
      <c r="DK6" s="948"/>
      <c r="DL6" s="644"/>
      <c r="DM6" s="938">
        <v>3</v>
      </c>
      <c r="DN6" s="938">
        <v>2</v>
      </c>
      <c r="DO6" s="938">
        <v>2</v>
      </c>
      <c r="DP6" s="938">
        <v>1</v>
      </c>
      <c r="DQ6" s="938">
        <v>1</v>
      </c>
      <c r="DR6" s="938"/>
      <c r="DS6" s="938">
        <v>0</v>
      </c>
      <c r="DT6" s="938">
        <v>1</v>
      </c>
      <c r="DU6" s="938">
        <v>1</v>
      </c>
      <c r="DV6" s="938">
        <v>2</v>
      </c>
      <c r="DW6" s="939">
        <v>5</v>
      </c>
    </row>
    <row r="7" spans="1:128">
      <c r="A7" s="704" t="s">
        <v>13</v>
      </c>
      <c r="B7" s="3"/>
      <c r="C7" s="3" t="str">
        <f t="shared" si="0"/>
        <v>Dias Trabalhados</v>
      </c>
      <c r="D7" s="252">
        <v>16</v>
      </c>
      <c r="E7" s="252">
        <v>21</v>
      </c>
      <c r="F7" s="252">
        <v>18</v>
      </c>
      <c r="G7" s="252">
        <v>21</v>
      </c>
      <c r="H7" s="252">
        <v>22</v>
      </c>
      <c r="I7" s="252">
        <v>19</v>
      </c>
      <c r="J7" s="252">
        <v>23</v>
      </c>
      <c r="K7" s="252">
        <v>21</v>
      </c>
      <c r="L7" s="252">
        <v>21</v>
      </c>
      <c r="M7" s="252">
        <v>26</v>
      </c>
      <c r="N7" s="252">
        <v>24</v>
      </c>
      <c r="O7" s="252">
        <v>15</v>
      </c>
      <c r="P7" s="4"/>
      <c r="Q7" s="247"/>
      <c r="R7" s="252">
        <v>22</v>
      </c>
      <c r="S7" s="252">
        <v>20</v>
      </c>
      <c r="T7" s="252">
        <v>14</v>
      </c>
      <c r="U7" s="252">
        <v>1</v>
      </c>
      <c r="V7" s="252">
        <v>12</v>
      </c>
      <c r="W7" s="252">
        <v>22</v>
      </c>
      <c r="X7" s="252">
        <v>23</v>
      </c>
      <c r="Y7" s="252">
        <v>21</v>
      </c>
      <c r="Z7" s="252">
        <v>21</v>
      </c>
      <c r="AA7" s="252">
        <v>21</v>
      </c>
      <c r="AB7" s="252">
        <v>20</v>
      </c>
      <c r="AC7" s="252">
        <v>17</v>
      </c>
      <c r="AD7" s="2"/>
      <c r="AE7" s="253"/>
      <c r="AF7" s="254">
        <v>18</v>
      </c>
      <c r="AG7" s="252">
        <v>20</v>
      </c>
      <c r="AH7" s="248">
        <v>20</v>
      </c>
      <c r="AI7" s="248">
        <v>20</v>
      </c>
      <c r="AJ7" s="252">
        <v>22</v>
      </c>
      <c r="AK7" s="252">
        <v>20</v>
      </c>
      <c r="AL7" s="252">
        <v>22</v>
      </c>
      <c r="AM7" s="252">
        <v>22</v>
      </c>
      <c r="AN7" s="252">
        <v>21</v>
      </c>
      <c r="AO7" s="252">
        <v>20</v>
      </c>
      <c r="AP7" s="252">
        <v>20</v>
      </c>
      <c r="AQ7" s="248">
        <v>12</v>
      </c>
      <c r="AR7" s="2"/>
      <c r="AS7" s="124"/>
      <c r="AT7" s="253">
        <v>19</v>
      </c>
      <c r="AU7" s="248">
        <v>19</v>
      </c>
      <c r="AV7" s="248">
        <v>18</v>
      </c>
      <c r="AW7" s="248">
        <v>19</v>
      </c>
      <c r="AX7" s="248">
        <v>22</v>
      </c>
      <c r="AY7" s="248">
        <v>21</v>
      </c>
      <c r="AZ7" s="248">
        <v>21</v>
      </c>
      <c r="BA7" s="248">
        <v>22</v>
      </c>
      <c r="BB7" s="248">
        <v>22</v>
      </c>
      <c r="BC7" s="248">
        <v>21</v>
      </c>
      <c r="BD7" s="248">
        <v>20</v>
      </c>
      <c r="BE7" s="248">
        <v>10</v>
      </c>
      <c r="BF7" s="2"/>
      <c r="BG7" s="125"/>
      <c r="BH7" s="253">
        <v>20</v>
      </c>
      <c r="BI7" s="248">
        <v>17</v>
      </c>
      <c r="BJ7" s="248">
        <v>23</v>
      </c>
      <c r="BK7" s="248">
        <v>18</v>
      </c>
      <c r="BL7" s="248">
        <v>22</v>
      </c>
      <c r="BM7" s="248">
        <v>23</v>
      </c>
      <c r="BN7" s="248">
        <v>21</v>
      </c>
      <c r="BO7" s="248">
        <v>21</v>
      </c>
      <c r="BP7" s="248">
        <v>20</v>
      </c>
      <c r="BQ7" s="248">
        <v>21</v>
      </c>
      <c r="BR7" s="248">
        <v>20</v>
      </c>
      <c r="BS7" s="248">
        <v>14</v>
      </c>
      <c r="BT7" s="253">
        <v>20</v>
      </c>
      <c r="BU7" s="252"/>
      <c r="BV7" s="253">
        <v>19</v>
      </c>
      <c r="BW7" s="248">
        <v>19</v>
      </c>
      <c r="BX7" s="566">
        <v>21</v>
      </c>
      <c r="BY7" s="566">
        <f>22+2</f>
        <v>24</v>
      </c>
      <c r="BZ7" s="248">
        <f>21+2</f>
        <v>23</v>
      </c>
      <c r="CA7" s="567">
        <f>20+2</f>
        <v>22</v>
      </c>
      <c r="CB7" s="567">
        <f>23+2</f>
        <v>25</v>
      </c>
      <c r="CC7" s="252">
        <f>21+3</f>
        <v>24</v>
      </c>
      <c r="CD7" s="252">
        <f>21+3</f>
        <v>24</v>
      </c>
      <c r="CE7" s="248">
        <f>23+1</f>
        <v>24</v>
      </c>
      <c r="CF7" s="248">
        <f>19+3</f>
        <v>22</v>
      </c>
      <c r="CG7" s="248">
        <f>12+1</f>
        <v>13</v>
      </c>
      <c r="CH7" s="248"/>
      <c r="CJ7" s="253">
        <f>CJ3+CJ5-CJ6-CJ4</f>
        <v>22</v>
      </c>
      <c r="CK7" s="253">
        <f>CK3+CK5-CK6-CK4</f>
        <v>23</v>
      </c>
      <c r="CL7" s="253">
        <v>19</v>
      </c>
      <c r="CM7" s="734">
        <f t="shared" ref="CM7:CQ7" si="1">CM3+CM5-CM6-CM4</f>
        <v>20</v>
      </c>
      <c r="CN7" s="734">
        <f>CN3+CN5-CN6-CN4</f>
        <v>21</v>
      </c>
      <c r="CO7" s="734">
        <f>CO3+CO5-CO6-CO4</f>
        <v>22</v>
      </c>
      <c r="CP7" s="734">
        <f t="shared" ref="CP7:CU7" si="2">CP3+CP5-CP6</f>
        <v>25</v>
      </c>
      <c r="CQ7" s="734">
        <f>CQ3+CQ5-CQ6</f>
        <v>21</v>
      </c>
      <c r="CR7" s="734">
        <f t="shared" si="2"/>
        <v>22</v>
      </c>
      <c r="CS7" s="734">
        <f>CS3+CS5-CS6</f>
        <v>23</v>
      </c>
      <c r="CT7" s="734">
        <f>CT3+CT5-CT6</f>
        <v>22</v>
      </c>
      <c r="CU7" s="734">
        <v>17</v>
      </c>
      <c r="CV7" s="248"/>
      <c r="CX7" s="253">
        <f>CX3+CX5-CX6-CX4</f>
        <v>22</v>
      </c>
      <c r="CY7" s="253">
        <f t="shared" ref="CY7:DC7" si="3">CY3+CY5-CY6-CY4</f>
        <v>19</v>
      </c>
      <c r="CZ7" s="253">
        <f>CZ3+CZ5-CZ6-CZ4</f>
        <v>22</v>
      </c>
      <c r="DA7" s="253">
        <f>DA3+DA5-DA6-DA4</f>
        <v>22</v>
      </c>
      <c r="DB7" s="253">
        <f t="shared" si="3"/>
        <v>22</v>
      </c>
      <c r="DC7" s="253">
        <f t="shared" si="3"/>
        <v>23</v>
      </c>
      <c r="DD7" s="253">
        <f t="shared" ref="DD7:DI7" si="4">DD3+DD5-DD6</f>
        <v>25</v>
      </c>
      <c r="DE7" s="253">
        <f>DE3+DE5-DE6</f>
        <v>23</v>
      </c>
      <c r="DF7" s="253">
        <f>DF3+DF5-DF6</f>
        <v>23</v>
      </c>
      <c r="DG7" s="253">
        <f>DG3+DG5-DG6</f>
        <v>23</v>
      </c>
      <c r="DH7" s="253">
        <f>DH3+DH5-DH6</f>
        <v>21</v>
      </c>
      <c r="DI7" s="253">
        <f>DI3+DI5-DI6</f>
        <v>16</v>
      </c>
      <c r="DJ7" s="248"/>
      <c r="DK7" s="948"/>
      <c r="DL7" s="253">
        <f>DL3+DL5-DL6-DL4</f>
        <v>22</v>
      </c>
      <c r="DM7" s="253">
        <f t="shared" ref="DM7:DQ7" si="5">DM3+DM5-DM6-DM4</f>
        <v>19</v>
      </c>
      <c r="DN7" s="253">
        <f>DN3+DN5-DN6-DN4</f>
        <v>22</v>
      </c>
      <c r="DO7" s="253">
        <f>DO3+DO5-DO6-DO4</f>
        <v>22</v>
      </c>
      <c r="DP7" s="253">
        <f t="shared" ref="DP7:DT7" si="6">DP3+DP5-DP6-DP4</f>
        <v>20</v>
      </c>
      <c r="DQ7" s="253">
        <f t="shared" si="6"/>
        <v>21</v>
      </c>
      <c r="DR7" s="253">
        <f t="shared" ref="DR7:DW7" si="7">DR3+DR5-DR6</f>
        <v>23</v>
      </c>
      <c r="DS7" s="253">
        <f>DS3+DS5-DS6</f>
        <v>21</v>
      </c>
      <c r="DT7" s="253">
        <f>DT3+DT5-DT6</f>
        <v>23</v>
      </c>
      <c r="DU7" s="253">
        <f>DU3+DU5-DU6</f>
        <v>23</v>
      </c>
      <c r="DV7" s="253">
        <f>DV3+DV5-DV6</f>
        <v>21</v>
      </c>
      <c r="DW7" s="253">
        <f>DW3+DW5-DW6</f>
        <v>16</v>
      </c>
      <c r="DX7" s="248"/>
    </row>
    <row r="8" spans="1:128" ht="18" customHeight="1">
      <c r="A8" s="8"/>
      <c r="B8" s="255"/>
      <c r="C8" s="256"/>
      <c r="D8" s="257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258" t="s">
        <v>26</v>
      </c>
      <c r="Q8" s="10"/>
      <c r="R8" s="257" t="s">
        <v>14</v>
      </c>
      <c r="S8" s="9" t="s">
        <v>15</v>
      </c>
      <c r="T8" s="9" t="s">
        <v>16</v>
      </c>
      <c r="U8" s="9" t="s">
        <v>17</v>
      </c>
      <c r="V8" s="9" t="s">
        <v>18</v>
      </c>
      <c r="W8" s="9" t="s">
        <v>19</v>
      </c>
      <c r="X8" s="9" t="s">
        <v>20</v>
      </c>
      <c r="Y8" s="9" t="s">
        <v>21</v>
      </c>
      <c r="Z8" s="9" t="s">
        <v>22</v>
      </c>
      <c r="AA8" s="9" t="s">
        <v>23</v>
      </c>
      <c r="AB8" s="9" t="s">
        <v>24</v>
      </c>
      <c r="AC8" s="9" t="s">
        <v>25</v>
      </c>
      <c r="AD8" s="258" t="s">
        <v>26</v>
      </c>
      <c r="AE8" s="11"/>
      <c r="AF8" s="257" t="s">
        <v>14</v>
      </c>
      <c r="AG8" s="9" t="s">
        <v>15</v>
      </c>
      <c r="AH8" s="9" t="s">
        <v>16</v>
      </c>
      <c r="AI8" s="9" t="s">
        <v>17</v>
      </c>
      <c r="AJ8" s="9" t="s">
        <v>18</v>
      </c>
      <c r="AK8" s="9" t="s">
        <v>19</v>
      </c>
      <c r="AL8" s="9" t="s">
        <v>20</v>
      </c>
      <c r="AM8" s="9" t="s">
        <v>21</v>
      </c>
      <c r="AN8" s="9" t="s">
        <v>22</v>
      </c>
      <c r="AO8" s="9" t="s">
        <v>23</v>
      </c>
      <c r="AP8" s="9" t="s">
        <v>24</v>
      </c>
      <c r="AQ8" s="9" t="s">
        <v>25</v>
      </c>
      <c r="AR8" s="9" t="s">
        <v>26</v>
      </c>
      <c r="AS8" s="11"/>
      <c r="AT8" s="9" t="s">
        <v>14</v>
      </c>
      <c r="AU8" s="9" t="s">
        <v>15</v>
      </c>
      <c r="AV8" s="9" t="s">
        <v>16</v>
      </c>
      <c r="AW8" s="9" t="s">
        <v>17</v>
      </c>
      <c r="AX8" s="9" t="s">
        <v>18</v>
      </c>
      <c r="AY8" s="9" t="s">
        <v>19</v>
      </c>
      <c r="AZ8" s="9" t="s">
        <v>20</v>
      </c>
      <c r="BA8" s="9" t="s">
        <v>21</v>
      </c>
      <c r="BB8" s="9" t="s">
        <v>22</v>
      </c>
      <c r="BC8" s="9" t="s">
        <v>23</v>
      </c>
      <c r="BD8" s="9" t="s">
        <v>24</v>
      </c>
      <c r="BE8" s="9" t="s">
        <v>25</v>
      </c>
      <c r="BF8" s="9" t="s">
        <v>26</v>
      </c>
      <c r="BG8" s="10"/>
      <c r="BH8" s="9" t="s">
        <v>14</v>
      </c>
      <c r="BI8" s="9" t="s">
        <v>15</v>
      </c>
      <c r="BJ8" s="9" t="s">
        <v>16</v>
      </c>
      <c r="BK8" s="9" t="s">
        <v>17</v>
      </c>
      <c r="BL8" s="9" t="s">
        <v>18</v>
      </c>
      <c r="BM8" s="9" t="s">
        <v>19</v>
      </c>
      <c r="BN8" s="9" t="s">
        <v>20</v>
      </c>
      <c r="BO8" s="9" t="s">
        <v>21</v>
      </c>
      <c r="BP8" s="9" t="s">
        <v>22</v>
      </c>
      <c r="BQ8" s="9" t="s">
        <v>23</v>
      </c>
      <c r="BR8" s="9" t="s">
        <v>24</v>
      </c>
      <c r="BS8" s="9" t="s">
        <v>25</v>
      </c>
      <c r="BT8" s="9" t="s">
        <v>26</v>
      </c>
      <c r="BU8" s="12"/>
      <c r="BV8" s="9" t="s">
        <v>14</v>
      </c>
      <c r="BW8" s="9" t="s">
        <v>15</v>
      </c>
      <c r="BX8" s="9" t="s">
        <v>16</v>
      </c>
      <c r="BY8" s="9" t="s">
        <v>17</v>
      </c>
      <c r="BZ8" s="9" t="s">
        <v>18</v>
      </c>
      <c r="CA8" s="9" t="s">
        <v>19</v>
      </c>
      <c r="CB8" s="9" t="s">
        <v>20</v>
      </c>
      <c r="CC8" s="9" t="s">
        <v>21</v>
      </c>
      <c r="CD8" s="9" t="s">
        <v>22</v>
      </c>
      <c r="CE8" s="9" t="s">
        <v>23</v>
      </c>
      <c r="CF8" s="9" t="s">
        <v>24</v>
      </c>
      <c r="CG8" s="9" t="s">
        <v>25</v>
      </c>
      <c r="CH8" s="9" t="s">
        <v>26</v>
      </c>
      <c r="CJ8" s="9" t="s">
        <v>14</v>
      </c>
      <c r="CK8" s="9" t="s">
        <v>15</v>
      </c>
      <c r="CL8" s="9" t="s">
        <v>16</v>
      </c>
      <c r="CM8" s="9" t="s">
        <v>17</v>
      </c>
      <c r="CN8" s="9" t="s">
        <v>18</v>
      </c>
      <c r="CO8" s="9" t="s">
        <v>19</v>
      </c>
      <c r="CP8" s="9" t="s">
        <v>20</v>
      </c>
      <c r="CQ8" s="9" t="s">
        <v>21</v>
      </c>
      <c r="CR8" s="9" t="s">
        <v>22</v>
      </c>
      <c r="CS8" s="9" t="s">
        <v>23</v>
      </c>
      <c r="CT8" s="9" t="s">
        <v>24</v>
      </c>
      <c r="CU8" s="9" t="s">
        <v>25</v>
      </c>
      <c r="CV8" s="9" t="s">
        <v>26</v>
      </c>
      <c r="CX8" s="9" t="s">
        <v>14</v>
      </c>
      <c r="CY8" s="9" t="s">
        <v>15</v>
      </c>
      <c r="CZ8" s="9" t="s">
        <v>16</v>
      </c>
      <c r="DA8" s="9" t="s">
        <v>17</v>
      </c>
      <c r="DB8" s="9" t="s">
        <v>18</v>
      </c>
      <c r="DC8" s="9" t="s">
        <v>19</v>
      </c>
      <c r="DD8" s="9" t="s">
        <v>20</v>
      </c>
      <c r="DE8" s="9" t="s">
        <v>21</v>
      </c>
      <c r="DF8" s="9" t="s">
        <v>22</v>
      </c>
      <c r="DG8" s="9" t="s">
        <v>23</v>
      </c>
      <c r="DH8" s="9" t="s">
        <v>24</v>
      </c>
      <c r="DI8" s="9" t="s">
        <v>25</v>
      </c>
      <c r="DJ8" s="9" t="s">
        <v>26</v>
      </c>
      <c r="DK8" s="948"/>
      <c r="DL8" s="9" t="s">
        <v>14</v>
      </c>
      <c r="DM8" s="9" t="s">
        <v>15</v>
      </c>
      <c r="DN8" s="9" t="s">
        <v>16</v>
      </c>
      <c r="DO8" s="9" t="s">
        <v>17</v>
      </c>
      <c r="DP8" s="9" t="s">
        <v>18</v>
      </c>
      <c r="DQ8" s="9" t="s">
        <v>19</v>
      </c>
      <c r="DR8" s="9" t="s">
        <v>20</v>
      </c>
      <c r="DS8" s="9" t="s">
        <v>21</v>
      </c>
      <c r="DT8" s="9" t="s">
        <v>22</v>
      </c>
      <c r="DU8" s="9" t="s">
        <v>23</v>
      </c>
      <c r="DV8" s="9" t="s">
        <v>24</v>
      </c>
      <c r="DW8" s="9" t="s">
        <v>25</v>
      </c>
      <c r="DX8" s="9" t="s">
        <v>26</v>
      </c>
    </row>
    <row r="9" spans="1:128" ht="10.5" customHeight="1">
      <c r="A9" s="13"/>
      <c r="B9" s="259"/>
      <c r="C9" s="260"/>
      <c r="D9" s="26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62"/>
      <c r="Q9" s="15"/>
      <c r="R9" s="261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263"/>
      <c r="AE9" s="16"/>
      <c r="AF9" s="261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7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7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8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682" t="s">
        <v>27</v>
      </c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682" t="s">
        <v>27</v>
      </c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948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</row>
    <row r="10" spans="1:128" ht="30.75" hidden="1">
      <c r="A10" s="13" t="s">
        <v>28</v>
      </c>
      <c r="B10" s="706" t="s">
        <v>29</v>
      </c>
      <c r="C10" s="260"/>
      <c r="D10" s="261">
        <f t="shared" ref="D10:O10" si="8">SUM(D19:D23)</f>
        <v>304786</v>
      </c>
      <c r="E10" s="14">
        <f t="shared" si="8"/>
        <v>311986</v>
      </c>
      <c r="F10" s="14">
        <f t="shared" si="8"/>
        <v>328231</v>
      </c>
      <c r="G10" s="14">
        <f t="shared" si="8"/>
        <v>317873</v>
      </c>
      <c r="H10" s="14">
        <f t="shared" si="8"/>
        <v>347196</v>
      </c>
      <c r="I10" s="14">
        <f t="shared" si="8"/>
        <v>402253</v>
      </c>
      <c r="J10" s="14">
        <f t="shared" si="8"/>
        <v>454488</v>
      </c>
      <c r="K10" s="14">
        <f t="shared" si="8"/>
        <v>447182</v>
      </c>
      <c r="L10" s="14">
        <f t="shared" si="8"/>
        <v>416931</v>
      </c>
      <c r="M10" s="14">
        <f t="shared" si="8"/>
        <v>304402</v>
      </c>
      <c r="N10" s="14">
        <f t="shared" si="8"/>
        <v>0</v>
      </c>
      <c r="O10" s="14">
        <f t="shared" si="8"/>
        <v>188264</v>
      </c>
      <c r="P10" s="262"/>
      <c r="Q10" s="15"/>
      <c r="R10" s="14">
        <f t="shared" ref="R10:AC10" si="9">SUM(R19:R23)</f>
        <v>283359</v>
      </c>
      <c r="S10" s="14">
        <f t="shared" si="9"/>
        <v>342718</v>
      </c>
      <c r="T10" s="14">
        <f t="shared" si="9"/>
        <v>313212</v>
      </c>
      <c r="U10" s="14">
        <f t="shared" si="9"/>
        <v>298093</v>
      </c>
      <c r="V10" s="14">
        <f t="shared" si="9"/>
        <v>206617</v>
      </c>
      <c r="W10" s="14">
        <f t="shared" si="9"/>
        <v>235875</v>
      </c>
      <c r="X10" s="14">
        <f t="shared" si="9"/>
        <v>360135</v>
      </c>
      <c r="Y10" s="14">
        <f t="shared" si="9"/>
        <v>361665</v>
      </c>
      <c r="Z10" s="14">
        <f t="shared" si="9"/>
        <v>353400</v>
      </c>
      <c r="AA10" s="14">
        <f t="shared" si="9"/>
        <v>272097</v>
      </c>
      <c r="AB10" s="14">
        <f t="shared" si="9"/>
        <v>170626</v>
      </c>
      <c r="AC10" s="14">
        <f t="shared" si="9"/>
        <v>197551</v>
      </c>
      <c r="AD10" s="263"/>
      <c r="AE10" s="16"/>
      <c r="AF10" s="14">
        <f t="shared" ref="AF10:AQ10" si="10">SUM(AF19:AF25)</f>
        <v>255339</v>
      </c>
      <c r="AG10" s="14">
        <f t="shared" si="10"/>
        <v>292621</v>
      </c>
      <c r="AH10" s="14">
        <f t="shared" si="10"/>
        <v>397976</v>
      </c>
      <c r="AI10" s="14">
        <f t="shared" si="10"/>
        <v>388165</v>
      </c>
      <c r="AJ10" s="14">
        <f t="shared" si="10"/>
        <v>409301</v>
      </c>
      <c r="AK10" s="14">
        <f t="shared" si="10"/>
        <v>490913</v>
      </c>
      <c r="AL10" s="14">
        <f t="shared" si="10"/>
        <v>563229</v>
      </c>
      <c r="AM10" s="14">
        <f t="shared" si="10"/>
        <v>559169</v>
      </c>
      <c r="AN10" s="14">
        <f t="shared" si="10"/>
        <v>487294</v>
      </c>
      <c r="AO10" s="14">
        <f t="shared" si="10"/>
        <v>407614</v>
      </c>
      <c r="AP10" s="14">
        <f t="shared" si="10"/>
        <v>503756</v>
      </c>
      <c r="AQ10" s="14">
        <f t="shared" si="10"/>
        <v>531679</v>
      </c>
      <c r="AR10" s="14">
        <f t="shared" ref="AR10:AR30" si="11">AQ10</f>
        <v>531679</v>
      </c>
      <c r="AS10" s="17"/>
      <c r="AT10" s="14">
        <f t="shared" ref="AT10:BE10" si="12">SUM(AT19:AT25)</f>
        <v>471378</v>
      </c>
      <c r="AU10" s="14">
        <f t="shared" si="12"/>
        <v>473307</v>
      </c>
      <c r="AV10" s="14">
        <f t="shared" si="12"/>
        <v>412518</v>
      </c>
      <c r="AW10" s="14">
        <f t="shared" si="12"/>
        <v>398039</v>
      </c>
      <c r="AX10" s="14">
        <f t="shared" si="12"/>
        <v>417827</v>
      </c>
      <c r="AY10" s="14">
        <f t="shared" si="12"/>
        <v>507968</v>
      </c>
      <c r="AZ10" s="14">
        <f t="shared" si="12"/>
        <v>477530</v>
      </c>
      <c r="BA10" s="14">
        <f t="shared" si="12"/>
        <v>520708</v>
      </c>
      <c r="BB10" s="14">
        <f t="shared" si="12"/>
        <v>505851</v>
      </c>
      <c r="BC10" s="14">
        <f t="shared" si="12"/>
        <v>454245</v>
      </c>
      <c r="BD10" s="14">
        <f t="shared" si="12"/>
        <v>405700</v>
      </c>
      <c r="BE10" s="14">
        <f t="shared" si="12"/>
        <v>356505</v>
      </c>
      <c r="BF10" s="14">
        <f t="shared" ref="BF10:BF25" si="13">BE10</f>
        <v>356505</v>
      </c>
      <c r="BG10" s="17"/>
      <c r="BH10" s="14">
        <f t="shared" ref="BH10:BQ10" si="14">SUM(BH19:BH25)</f>
        <v>357143</v>
      </c>
      <c r="BI10" s="14">
        <f t="shared" si="14"/>
        <v>355011</v>
      </c>
      <c r="BJ10" s="14">
        <f t="shared" si="14"/>
        <v>344281</v>
      </c>
      <c r="BK10" s="14">
        <f t="shared" si="14"/>
        <v>389628</v>
      </c>
      <c r="BL10" s="14">
        <f t="shared" si="14"/>
        <v>324889</v>
      </c>
      <c r="BM10" s="14">
        <f t="shared" si="14"/>
        <v>352666</v>
      </c>
      <c r="BN10" s="14">
        <f t="shared" si="14"/>
        <v>418721</v>
      </c>
      <c r="BO10" s="14">
        <f t="shared" si="14"/>
        <v>356602</v>
      </c>
      <c r="BP10" s="14">
        <f t="shared" si="14"/>
        <v>326706</v>
      </c>
      <c r="BQ10" s="14">
        <f t="shared" si="14"/>
        <v>304987</v>
      </c>
      <c r="BR10" s="14">
        <f>SUM(BR19:BR25)</f>
        <v>228035</v>
      </c>
      <c r="BS10" s="14">
        <f>BS19+BS22+BS25</f>
        <v>201165</v>
      </c>
      <c r="BT10" s="14">
        <f>BS10</f>
        <v>201165</v>
      </c>
      <c r="BU10" s="18"/>
      <c r="BV10" s="14">
        <f>BV11+BV22+BV25</f>
        <v>247713</v>
      </c>
      <c r="BW10" s="14">
        <f t="shared" ref="BW10:CF10" si="15">BW11+BW22+BW25</f>
        <v>278707</v>
      </c>
      <c r="BX10" s="14">
        <f t="shared" si="15"/>
        <v>281829</v>
      </c>
      <c r="BY10" s="14">
        <f t="shared" si="15"/>
        <v>317753</v>
      </c>
      <c r="BZ10" s="14">
        <f t="shared" si="15"/>
        <v>270339</v>
      </c>
      <c r="CA10" s="14">
        <f t="shared" si="15"/>
        <v>310383</v>
      </c>
      <c r="CB10" s="14">
        <f t="shared" si="15"/>
        <v>328365</v>
      </c>
      <c r="CC10" s="14">
        <f t="shared" si="15"/>
        <v>333476</v>
      </c>
      <c r="CD10" s="14">
        <f>CD11+CD22+CD25</f>
        <v>306264</v>
      </c>
      <c r="CE10" s="14">
        <f t="shared" si="15"/>
        <v>270370</v>
      </c>
      <c r="CF10" s="14">
        <f t="shared" si="15"/>
        <v>194014</v>
      </c>
      <c r="CG10" s="14">
        <f>CG11+CG22+CG25</f>
        <v>182266</v>
      </c>
      <c r="CH10" s="14">
        <f t="shared" ref="CH10" si="16">CH19+CH22+CH25</f>
        <v>161447</v>
      </c>
      <c r="CJ10" s="14">
        <f>CH10+CJ80-CJ33</f>
        <v>168530.63302273574</v>
      </c>
      <c r="CK10" s="14">
        <f>CJ10+CK80-CK33</f>
        <v>182286.97320909426</v>
      </c>
      <c r="CL10" s="14">
        <f>CL19+CL22</f>
        <v>127909</v>
      </c>
      <c r="CM10" s="14">
        <f>CM19+CM22</f>
        <v>174007</v>
      </c>
      <c r="CN10" s="14">
        <f>CM10+CN80-CN33</f>
        <v>184445.8879612374</v>
      </c>
      <c r="CO10" s="14">
        <f>CN10+CO80-CO33</f>
        <v>247499.73306000742</v>
      </c>
      <c r="CP10" s="14">
        <f>CO10+CP80-CP33</f>
        <v>280382.22259587242</v>
      </c>
      <c r="CQ10" s="14">
        <f>CP10+CQ80-CQ33</f>
        <v>258376.52867182181</v>
      </c>
      <c r="CR10" s="14">
        <f>CQ10+CR80-CR33</f>
        <v>210518.33782793995</v>
      </c>
      <c r="CS10" s="14">
        <f>CR10+CS80-CS33</f>
        <v>165804.38677308764</v>
      </c>
      <c r="CT10" s="14">
        <f>CS10+CT80-CT33</f>
        <v>156780.78567604127</v>
      </c>
      <c r="CU10" s="14">
        <f>CT10+CU80-CU33</f>
        <v>179129.39327097798</v>
      </c>
      <c r="CV10" s="14">
        <v>116080.10690622788</v>
      </c>
      <c r="CX10" s="14">
        <f>CU10+CX80-CX33</f>
        <v>96526.58327097795</v>
      </c>
      <c r="CY10" s="14">
        <f>CX10+CY80-CY33</f>
        <v>181622.37327097793</v>
      </c>
      <c r="CZ10" s="14">
        <f>CY10+CZ80-CZ33</f>
        <v>90673.09327097793</v>
      </c>
      <c r="DA10" s="14">
        <f>CZ10+DA80-DA33</f>
        <v>71537.763270977885</v>
      </c>
      <c r="DB10" s="14">
        <f>DA10+DB80-DB33</f>
        <v>61023.833270977862</v>
      </c>
      <c r="DC10" s="14">
        <f>DB10+DC80-DC33</f>
        <v>40986.553270977849</v>
      </c>
      <c r="DD10" s="14">
        <f>DC10+DD80-DD33</f>
        <v>-12650.726729022193</v>
      </c>
      <c r="DE10" s="14">
        <f>DD10+DE80-DE33</f>
        <v>-100577.48672902223</v>
      </c>
      <c r="DF10" s="14">
        <f>DE10+DF80-DF33</f>
        <v>-253031.74672902224</v>
      </c>
      <c r="DG10" s="14">
        <f>DF10+DG80-DG33</f>
        <v>-365237.92706657498</v>
      </c>
      <c r="DH10" s="14">
        <f>DG10+DH80-DH33</f>
        <v>-400590.95381762984</v>
      </c>
      <c r="DI10" s="14">
        <f>DH10+DI80-DI33</f>
        <v>-427522.43938725011</v>
      </c>
      <c r="DJ10" s="14">
        <v>116080.10690622788</v>
      </c>
      <c r="DK10" s="948"/>
      <c r="DL10" s="14">
        <f>DI10+DL80-DL33</f>
        <v>-517377.54938725015</v>
      </c>
      <c r="DM10" s="14">
        <f>DL10+DM80-DM33</f>
        <v>-635449.69938725012</v>
      </c>
      <c r="DN10" s="14">
        <f>DM10+DN80-DN33</f>
        <v>-667466.93938725011</v>
      </c>
      <c r="DO10" s="14">
        <f>DN10+DO80-DO33</f>
        <v>-686602.26938725018</v>
      </c>
      <c r="DP10" s="14">
        <f>DO10+DP80-DP33</f>
        <v>-714701.31938725023</v>
      </c>
      <c r="DQ10" s="14">
        <f>DP10+DQ80-DQ33</f>
        <v>-730547.19938725024</v>
      </c>
      <c r="DR10" s="14">
        <f>DQ10+DR80-DR33</f>
        <v>-801769.59938725026</v>
      </c>
      <c r="DS10" s="14">
        <f>DR10+DS80-DS33</f>
        <v>-906743.1593872502</v>
      </c>
      <c r="DT10" s="14">
        <f>DS10+DT80-DT33</f>
        <v>-1059197.4193872502</v>
      </c>
      <c r="DU10" s="14">
        <f>DT10+DU80-DU33</f>
        <v>-1171403.5997248029</v>
      </c>
      <c r="DV10" s="14">
        <f>DU10+DV80-DV33</f>
        <v>-1206756.6264758578</v>
      </c>
      <c r="DW10" s="14">
        <f>DV10+DW80-DW33</f>
        <v>-1233688.1120454781</v>
      </c>
      <c r="DX10" s="14">
        <v>116080.10690622788</v>
      </c>
    </row>
    <row r="11" spans="1:128">
      <c r="A11" s="19">
        <v>0</v>
      </c>
      <c r="B11" s="158" t="s">
        <v>30</v>
      </c>
      <c r="C11" s="264"/>
      <c r="D11" s="265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66"/>
      <c r="Q11" s="21"/>
      <c r="R11" s="265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67"/>
      <c r="AE11" s="23"/>
      <c r="AF11" s="22"/>
      <c r="AG11" s="22"/>
      <c r="AH11" s="22"/>
      <c r="AI11" s="22"/>
      <c r="AJ11" s="24"/>
      <c r="AK11" s="22"/>
      <c r="AL11" s="22"/>
      <c r="AM11" s="22"/>
      <c r="AN11" s="22"/>
      <c r="AO11" s="22"/>
      <c r="AP11" s="25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6"/>
      <c r="BC11" s="22"/>
      <c r="BD11" s="22"/>
      <c r="BE11" s="22"/>
      <c r="BF11" s="22"/>
      <c r="BG11" s="27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8"/>
      <c r="BV11" s="22">
        <v>204006</v>
      </c>
      <c r="BW11" s="22">
        <v>241182</v>
      </c>
      <c r="BX11" s="22">
        <v>245950</v>
      </c>
      <c r="BY11" s="22">
        <v>281974</v>
      </c>
      <c r="BZ11" s="22">
        <v>202865</v>
      </c>
      <c r="CA11" s="22">
        <v>240895</v>
      </c>
      <c r="CB11" s="22">
        <v>273565</v>
      </c>
      <c r="CC11" s="22">
        <v>288981</v>
      </c>
      <c r="CD11" s="22">
        <v>273990</v>
      </c>
      <c r="CE11" s="22">
        <v>237556</v>
      </c>
      <c r="CF11" s="22">
        <v>168313</v>
      </c>
      <c r="CG11" s="22">
        <v>150819</v>
      </c>
      <c r="CH11" s="22">
        <f>CG11</f>
        <v>150819</v>
      </c>
      <c r="CJ11" s="22">
        <v>205037</v>
      </c>
      <c r="CK11" s="22">
        <v>230430</v>
      </c>
      <c r="CL11" s="22">
        <v>234343</v>
      </c>
      <c r="CM11" s="22">
        <v>266388</v>
      </c>
      <c r="CN11" s="22"/>
      <c r="CO11" s="22"/>
      <c r="CP11" s="22"/>
      <c r="CQ11" s="22"/>
      <c r="CR11" s="22"/>
      <c r="CS11" s="22">
        <v>278269</v>
      </c>
      <c r="CT11" s="22"/>
      <c r="CU11" s="22"/>
      <c r="CV11" s="22"/>
      <c r="CX11" s="22">
        <v>315473</v>
      </c>
      <c r="CY11" s="22">
        <v>340292</v>
      </c>
      <c r="CZ11" s="22">
        <f>CY11-CZ33+CZ79</f>
        <v>301362.71999999997</v>
      </c>
      <c r="DA11" s="22">
        <f>CZ11-DA33+DA79</f>
        <v>321387.3899999999</v>
      </c>
      <c r="DB11" s="22">
        <f>DA11-DB33+DB79</f>
        <v>339873.45999999985</v>
      </c>
      <c r="DC11" s="22">
        <f>DB11-DC33+DC79</f>
        <v>383836.17999999982</v>
      </c>
      <c r="DD11" s="22">
        <f>DC11-DD33+DD79</f>
        <v>390198.89999999979</v>
      </c>
      <c r="DE11" s="22">
        <f>DD11-DE33+DE79</f>
        <v>360272.13999999978</v>
      </c>
      <c r="DF11" s="22">
        <f>DE11-DF74+DF79</f>
        <v>292611.88999999978</v>
      </c>
      <c r="DG11" s="22">
        <f>DF11-DG74+DG79</f>
        <v>235971.92914767913</v>
      </c>
      <c r="DH11" s="22">
        <f>DG11-DH74+DH79</f>
        <v>242239.15470126562</v>
      </c>
      <c r="DI11" s="22">
        <f>DH11-DI74+DI79</f>
        <v>268707.92693797447</v>
      </c>
      <c r="DJ11" s="22"/>
      <c r="DK11" s="948"/>
      <c r="DL11" s="22">
        <f>DI11-DL74+DL79</f>
        <v>242306.32093797441</v>
      </c>
      <c r="DM11" s="22">
        <f>DL11-DM74+DM79</f>
        <v>228837.34193797442</v>
      </c>
      <c r="DN11" s="22">
        <f t="shared" ref="DN11:DX11" si="17">DM11-DN74+DN79</f>
        <v>197197.41493797439</v>
      </c>
      <c r="DO11" s="22">
        <f t="shared" si="17"/>
        <v>220195.73093797438</v>
      </c>
      <c r="DP11" s="22">
        <f t="shared" si="17"/>
        <v>222901.69493797436</v>
      </c>
      <c r="DQ11" s="22">
        <f t="shared" si="17"/>
        <v>271109.01293797436</v>
      </c>
      <c r="DR11" s="22">
        <f t="shared" si="17"/>
        <v>240549.58993797432</v>
      </c>
      <c r="DS11" s="22">
        <f t="shared" si="17"/>
        <v>190528.56893797431</v>
      </c>
      <c r="DT11" s="22">
        <f t="shared" si="17"/>
        <v>95879.405937974312</v>
      </c>
      <c r="DU11" s="22">
        <f t="shared" si="17"/>
        <v>13352.561000421556</v>
      </c>
      <c r="DV11" s="22">
        <f t="shared" si="17"/>
        <v>1782.1331093666959</v>
      </c>
      <c r="DW11" s="22">
        <f t="shared" si="17"/>
        <v>16829.686569746409</v>
      </c>
      <c r="DX11" s="22"/>
    </row>
    <row r="12" spans="1:128">
      <c r="A12" s="19"/>
      <c r="B12" s="158" t="s">
        <v>112</v>
      </c>
      <c r="C12" s="264"/>
      <c r="D12" s="265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66"/>
      <c r="Q12" s="21"/>
      <c r="R12" s="265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67"/>
      <c r="AE12" s="23"/>
      <c r="AF12" s="22"/>
      <c r="AG12" s="22"/>
      <c r="AH12" s="22"/>
      <c r="AI12" s="22"/>
      <c r="AJ12" s="24"/>
      <c r="AK12" s="22"/>
      <c r="AL12" s="22"/>
      <c r="AM12" s="22"/>
      <c r="AN12" s="22"/>
      <c r="AO12" s="22"/>
      <c r="AP12" s="25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6"/>
      <c r="BC12" s="22"/>
      <c r="BD12" s="22"/>
      <c r="BE12" s="22"/>
      <c r="BF12" s="22"/>
      <c r="BG12" s="27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8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>
        <v>40000</v>
      </c>
      <c r="CT12" s="22"/>
      <c r="CU12" s="22"/>
      <c r="CV12" s="22"/>
      <c r="CX12" s="22">
        <v>27585</v>
      </c>
      <c r="CY12" s="22">
        <v>35241</v>
      </c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948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</row>
    <row r="13" spans="1:128">
      <c r="A13" s="19"/>
      <c r="B13" s="158" t="s">
        <v>113</v>
      </c>
      <c r="C13" s="264"/>
      <c r="D13" s="26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66"/>
      <c r="Q13" s="21"/>
      <c r="R13" s="265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67"/>
      <c r="AE13" s="23"/>
      <c r="AF13" s="22"/>
      <c r="AG13" s="22"/>
      <c r="AH13" s="22"/>
      <c r="AI13" s="22"/>
      <c r="AJ13" s="24"/>
      <c r="AK13" s="22"/>
      <c r="AL13" s="22"/>
      <c r="AM13" s="22"/>
      <c r="AN13" s="22"/>
      <c r="AO13" s="22"/>
      <c r="AP13" s="25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6"/>
      <c r="BC13" s="22"/>
      <c r="BD13" s="22"/>
      <c r="BE13" s="22"/>
      <c r="BF13" s="22"/>
      <c r="BG13" s="27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8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>
        <v>25428</v>
      </c>
      <c r="CT13" s="22"/>
      <c r="CU13" s="22"/>
      <c r="CV13" s="22"/>
      <c r="CX13" s="22">
        <v>47014</v>
      </c>
      <c r="CY13" s="22">
        <v>54401</v>
      </c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948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</row>
    <row r="14" spans="1:128">
      <c r="A14" s="19">
        <v>0</v>
      </c>
      <c r="B14" s="158" t="s">
        <v>114</v>
      </c>
      <c r="C14" s="264"/>
      <c r="D14" s="26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66"/>
      <c r="Q14" s="21"/>
      <c r="R14" s="265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67"/>
      <c r="AE14" s="23"/>
      <c r="AF14" s="22"/>
      <c r="AG14" s="22"/>
      <c r="AH14" s="22"/>
      <c r="AI14" s="22"/>
      <c r="AJ14" s="24"/>
      <c r="AK14" s="22"/>
      <c r="AL14" s="22"/>
      <c r="AM14" s="22"/>
      <c r="AN14" s="22"/>
      <c r="AO14" s="22"/>
      <c r="AP14" s="25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6"/>
      <c r="BC14" s="22"/>
      <c r="BD14" s="22"/>
      <c r="BE14" s="22"/>
      <c r="BF14" s="22"/>
      <c r="BG14" s="27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8"/>
      <c r="BV14" s="22">
        <v>80956</v>
      </c>
      <c r="BW14" s="22">
        <v>110544</v>
      </c>
      <c r="BX14" s="22">
        <v>134506</v>
      </c>
      <c r="BY14" s="22">
        <v>127959</v>
      </c>
      <c r="BZ14" s="22">
        <v>66136</v>
      </c>
      <c r="CA14" s="22">
        <v>72582</v>
      </c>
      <c r="CB14" s="22">
        <v>94286</v>
      </c>
      <c r="CC14" s="22">
        <v>133081</v>
      </c>
      <c r="CD14" s="22">
        <v>148174</v>
      </c>
      <c r="CE14" s="22">
        <v>154201</v>
      </c>
      <c r="CF14" s="22">
        <v>97365</v>
      </c>
      <c r="CG14" s="22">
        <v>30184</v>
      </c>
      <c r="CH14" s="22"/>
      <c r="CJ14" s="22">
        <v>132209</v>
      </c>
      <c r="CK14" s="22">
        <v>180000</v>
      </c>
      <c r="CL14" s="22">
        <v>177643</v>
      </c>
      <c r="CM14" s="22">
        <v>153210</v>
      </c>
      <c r="CN14" s="22"/>
      <c r="CO14" s="22"/>
      <c r="CP14" s="22"/>
      <c r="CQ14" s="22"/>
      <c r="CR14" s="22"/>
      <c r="CS14" s="22">
        <v>189875</v>
      </c>
      <c r="CT14" s="22"/>
      <c r="CU14" s="22"/>
      <c r="CV14" s="22"/>
      <c r="CX14" s="22">
        <v>101210</v>
      </c>
      <c r="CY14" s="22">
        <v>105819</v>
      </c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948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</row>
    <row r="15" spans="1:128">
      <c r="A15" s="19">
        <v>0</v>
      </c>
      <c r="B15" s="158" t="s">
        <v>32</v>
      </c>
      <c r="C15" s="264"/>
      <c r="D15" s="26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66"/>
      <c r="Q15" s="21"/>
      <c r="R15" s="265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67"/>
      <c r="AE15" s="23"/>
      <c r="AF15" s="22"/>
      <c r="AG15" s="22"/>
      <c r="AH15" s="22"/>
      <c r="AI15" s="22"/>
      <c r="AJ15" s="24"/>
      <c r="AK15" s="22"/>
      <c r="AL15" s="22"/>
      <c r="AM15" s="22"/>
      <c r="AN15" s="22"/>
      <c r="AO15" s="22"/>
      <c r="AP15" s="25"/>
      <c r="AQ15" s="22"/>
      <c r="AR15" s="22"/>
      <c r="AS15" s="23"/>
      <c r="AT15" s="22"/>
      <c r="AU15" s="22"/>
      <c r="AV15" s="22"/>
      <c r="AW15" s="22"/>
      <c r="AX15" s="22"/>
      <c r="AY15" s="22"/>
      <c r="AZ15" s="22"/>
      <c r="BA15" s="22"/>
      <c r="BB15" s="26"/>
      <c r="BC15" s="22"/>
      <c r="BD15" s="22"/>
      <c r="BE15" s="22"/>
      <c r="BF15" s="22"/>
      <c r="BG15" s="27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8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J15" s="22">
        <v>150321</v>
      </c>
      <c r="CK15" s="22">
        <v>133602</v>
      </c>
      <c r="CL15" s="22">
        <v>135672</v>
      </c>
      <c r="CM15" s="22">
        <v>133268</v>
      </c>
      <c r="CN15" s="22"/>
      <c r="CO15" s="22"/>
      <c r="CP15" s="22"/>
      <c r="CQ15" s="22"/>
      <c r="CR15" s="22"/>
      <c r="CS15" s="22">
        <v>113875</v>
      </c>
      <c r="CT15" s="22"/>
      <c r="CU15" s="22"/>
      <c r="CV15" s="22"/>
      <c r="CX15" s="726">
        <v>109268</v>
      </c>
      <c r="CY15" s="726">
        <v>114943</v>
      </c>
      <c r="CZ15" s="22"/>
      <c r="DA15" s="22"/>
      <c r="DB15" s="22"/>
      <c r="DC15" s="22"/>
      <c r="DD15" s="22"/>
      <c r="DE15" s="22"/>
      <c r="DF15" s="22"/>
      <c r="DG15" s="22"/>
      <c r="DH15" s="22"/>
      <c r="DI15" s="22">
        <f t="shared" ref="DI15" si="18">DH15</f>
        <v>0</v>
      </c>
      <c r="DJ15" s="22"/>
      <c r="DK15" s="948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>
        <f t="shared" ref="DW15" si="19">DV15</f>
        <v>0</v>
      </c>
      <c r="DX15" s="22"/>
    </row>
    <row r="16" spans="1:128">
      <c r="A16" s="19">
        <v>0</v>
      </c>
      <c r="B16" s="717" t="s">
        <v>33</v>
      </c>
      <c r="C16" s="264"/>
      <c r="D16" s="265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66"/>
      <c r="Q16" s="21"/>
      <c r="R16" s="265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67"/>
      <c r="AE16" s="23"/>
      <c r="AF16" s="22"/>
      <c r="AG16" s="22"/>
      <c r="AH16" s="22"/>
      <c r="AI16" s="22"/>
      <c r="AJ16" s="24"/>
      <c r="AK16" s="22"/>
      <c r="AL16" s="22"/>
      <c r="AM16" s="22"/>
      <c r="AN16" s="22"/>
      <c r="AO16" s="22"/>
      <c r="AP16" s="25"/>
      <c r="AQ16" s="22"/>
      <c r="AR16" s="22"/>
      <c r="AS16" s="23"/>
      <c r="AT16" s="22"/>
      <c r="AU16" s="22"/>
      <c r="AV16" s="22"/>
      <c r="AW16" s="22"/>
      <c r="AX16" s="22"/>
      <c r="AY16" s="22"/>
      <c r="AZ16" s="22"/>
      <c r="BA16" s="22"/>
      <c r="BB16" s="26"/>
      <c r="BC16" s="22"/>
      <c r="BD16" s="22"/>
      <c r="BE16" s="22"/>
      <c r="BF16" s="22"/>
      <c r="BG16" s="27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8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J16" s="718">
        <v>36757</v>
      </c>
      <c r="CK16" s="718">
        <v>55826</v>
      </c>
      <c r="CL16" s="718">
        <v>60438</v>
      </c>
      <c r="CM16" s="718">
        <v>52291</v>
      </c>
      <c r="CN16" s="22"/>
      <c r="CO16" s="22"/>
      <c r="CP16" s="22"/>
      <c r="CQ16" s="22"/>
      <c r="CR16" s="22"/>
      <c r="CS16" s="718">
        <v>35740</v>
      </c>
      <c r="CT16" s="22"/>
      <c r="CU16" s="22"/>
      <c r="CV16" s="22"/>
      <c r="CX16" s="22">
        <v>-44963</v>
      </c>
      <c r="CY16" s="22">
        <v>-45395</v>
      </c>
      <c r="CZ16" s="22"/>
      <c r="DA16" s="22"/>
      <c r="DB16" s="22"/>
      <c r="DC16" s="22"/>
      <c r="DD16" s="22"/>
      <c r="DE16" s="22"/>
      <c r="DF16" s="22"/>
      <c r="DG16" s="22">
        <v>50000</v>
      </c>
      <c r="DH16" s="22"/>
      <c r="DI16" s="22"/>
      <c r="DJ16" s="22"/>
      <c r="DK16" s="948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</row>
    <row r="17" spans="1:128" s="758" customFormat="1" ht="18.75">
      <c r="A17" s="839"/>
      <c r="B17" s="901" t="s">
        <v>115</v>
      </c>
      <c r="C17" s="902"/>
      <c r="D17" s="840"/>
      <c r="E17" s="841"/>
      <c r="F17" s="841"/>
      <c r="G17" s="841"/>
      <c r="H17" s="841"/>
      <c r="I17" s="841"/>
      <c r="J17" s="841"/>
      <c r="K17" s="841"/>
      <c r="L17" s="841"/>
      <c r="M17" s="841"/>
      <c r="N17" s="841"/>
      <c r="O17" s="841"/>
      <c r="P17" s="842"/>
      <c r="Q17" s="843"/>
      <c r="R17" s="840"/>
      <c r="S17" s="844"/>
      <c r="T17" s="844"/>
      <c r="U17" s="844"/>
      <c r="V17" s="844"/>
      <c r="W17" s="844"/>
      <c r="X17" s="844"/>
      <c r="Y17" s="844"/>
      <c r="Z17" s="844"/>
      <c r="AA17" s="844"/>
      <c r="AB17" s="844"/>
      <c r="AC17" s="844"/>
      <c r="AD17" s="845"/>
      <c r="AE17" s="846"/>
      <c r="AF17" s="844"/>
      <c r="AG17" s="844"/>
      <c r="AH17" s="844"/>
      <c r="AI17" s="844"/>
      <c r="AJ17" s="846"/>
      <c r="AK17" s="844"/>
      <c r="AL17" s="844"/>
      <c r="AM17" s="844"/>
      <c r="AN17" s="844"/>
      <c r="AO17" s="844"/>
      <c r="AP17" s="844"/>
      <c r="AQ17" s="844"/>
      <c r="AR17" s="844"/>
      <c r="AS17" s="846"/>
      <c r="AT17" s="844"/>
      <c r="AU17" s="844"/>
      <c r="AV17" s="844"/>
      <c r="AW17" s="844"/>
      <c r="AX17" s="844"/>
      <c r="AY17" s="844"/>
      <c r="AZ17" s="844"/>
      <c r="BA17" s="844"/>
      <c r="BB17" s="847"/>
      <c r="BC17" s="844"/>
      <c r="BD17" s="844"/>
      <c r="BE17" s="844"/>
      <c r="BF17" s="844"/>
      <c r="BG17" s="846"/>
      <c r="BH17" s="844"/>
      <c r="BI17" s="844"/>
      <c r="BJ17" s="844"/>
      <c r="BK17" s="844"/>
      <c r="BL17" s="844"/>
      <c r="BM17" s="844"/>
      <c r="BN17" s="844"/>
      <c r="BO17" s="844"/>
      <c r="BP17" s="844"/>
      <c r="BQ17" s="844"/>
      <c r="BR17" s="844"/>
      <c r="BS17" s="844"/>
      <c r="BT17" s="844"/>
      <c r="BU17" s="846"/>
      <c r="BV17" s="844"/>
      <c r="BW17" s="844"/>
      <c r="BX17" s="844"/>
      <c r="BY17" s="844"/>
      <c r="BZ17" s="844"/>
      <c r="CA17" s="844"/>
      <c r="CB17" s="844"/>
      <c r="CC17" s="844"/>
      <c r="CD17" s="844"/>
      <c r="CE17" s="844"/>
      <c r="CF17" s="844"/>
      <c r="CG17" s="844"/>
      <c r="CH17" s="844"/>
      <c r="CJ17" s="848"/>
      <c r="CK17" s="848"/>
      <c r="CL17" s="848"/>
      <c r="CM17" s="848"/>
      <c r="CN17" s="844"/>
      <c r="CO17" s="844"/>
      <c r="CP17" s="844"/>
      <c r="CQ17" s="844"/>
      <c r="CR17" s="844"/>
      <c r="CS17" s="849">
        <f>CS19/$DK$76</f>
        <v>0.55004838460992855</v>
      </c>
      <c r="CT17" s="849">
        <f>CT19/$DK$76</f>
        <v>0.73470702111214314</v>
      </c>
      <c r="CU17" s="849">
        <f>CU19/$DK$76</f>
        <v>0.80214964176325321</v>
      </c>
      <c r="CV17" s="844"/>
      <c r="CX17" s="849">
        <f>CX19/$DK$76</f>
        <v>1.4828799486632229</v>
      </c>
      <c r="CY17" s="849">
        <f t="shared" ref="CY17:DH17" si="20">CY19/$DK$76</f>
        <v>1.6019933772098347</v>
      </c>
      <c r="CZ17" s="849">
        <f t="shared" si="20"/>
        <v>1.4966187506296642</v>
      </c>
      <c r="DA17" s="849">
        <f t="shared" si="20"/>
        <v>1.8348235563094772</v>
      </c>
      <c r="DB17" s="849">
        <f t="shared" si="20"/>
        <v>2.1327842973589712</v>
      </c>
      <c r="DC17" s="849">
        <f t="shared" si="20"/>
        <v>2.2572790386131407</v>
      </c>
      <c r="DD17" s="849">
        <f t="shared" si="20"/>
        <v>2.3742223549559203</v>
      </c>
      <c r="DE17" s="849">
        <f t="shared" si="20"/>
        <v>2.3630957958882983</v>
      </c>
      <c r="DF17" s="849">
        <f t="shared" si="20"/>
        <v>2.0551599544354637</v>
      </c>
      <c r="DG17" s="849">
        <f t="shared" si="20"/>
        <v>1.3768376834363221</v>
      </c>
      <c r="DH17" s="849">
        <f t="shared" si="20"/>
        <v>1.4390676368522661</v>
      </c>
      <c r="DI17" s="849">
        <f t="shared" ref="CY17:DI17" si="21">DI19/138624</f>
        <v>1.2996019948780495</v>
      </c>
      <c r="DJ17" s="844"/>
      <c r="DK17" s="949"/>
      <c r="DL17" s="849">
        <f>DL19/$DK$76</f>
        <v>1.0629273555852083</v>
      </c>
      <c r="DM17" s="849">
        <f t="shared" ref="DM17:DV17" si="22">DM19/$DK$76</f>
        <v>1.0110051036915586</v>
      </c>
      <c r="DN17" s="849">
        <f t="shared" si="22"/>
        <v>0.75543764124447632</v>
      </c>
      <c r="DO17" s="849">
        <f t="shared" si="22"/>
        <v>0.97928111901573767</v>
      </c>
      <c r="DP17" s="849">
        <f t="shared" si="22"/>
        <v>1.0368393650362069</v>
      </c>
      <c r="DQ17" s="849">
        <f t="shared" si="22"/>
        <v>1.1058022168775625</v>
      </c>
      <c r="DR17" s="849">
        <f t="shared" si="22"/>
        <v>0.9432293897185523</v>
      </c>
      <c r="DS17" s="849">
        <f t="shared" si="22"/>
        <v>0.65894619869013982</v>
      </c>
      <c r="DT17" s="849">
        <f t="shared" si="22"/>
        <v>0.1563191048041524</v>
      </c>
      <c r="DU17" s="849">
        <f t="shared" si="22"/>
        <v>-0.34805719299066085</v>
      </c>
      <c r="DV17" s="849">
        <f t="shared" si="22"/>
        <v>-0.41450359973808315</v>
      </c>
      <c r="DW17" s="849">
        <f t="shared" ref="DW17:DY17" si="23">DW19/138624</f>
        <v>-0.63636140516976381</v>
      </c>
      <c r="DX17" s="844"/>
    </row>
    <row r="18" spans="1:128" s="758" customFormat="1" ht="18.75">
      <c r="A18" s="839"/>
      <c r="B18" s="901" t="s">
        <v>116</v>
      </c>
      <c r="C18" s="902"/>
      <c r="D18" s="840"/>
      <c r="E18" s="841"/>
      <c r="F18" s="841"/>
      <c r="G18" s="841"/>
      <c r="H18" s="841"/>
      <c r="I18" s="841"/>
      <c r="J18" s="841"/>
      <c r="K18" s="841"/>
      <c r="L18" s="841"/>
      <c r="M18" s="841"/>
      <c r="N18" s="841"/>
      <c r="O18" s="841"/>
      <c r="P18" s="842"/>
      <c r="Q18" s="843"/>
      <c r="R18" s="840"/>
      <c r="S18" s="844"/>
      <c r="T18" s="844"/>
      <c r="U18" s="844"/>
      <c r="V18" s="844"/>
      <c r="W18" s="844"/>
      <c r="X18" s="844"/>
      <c r="Y18" s="844"/>
      <c r="Z18" s="844"/>
      <c r="AA18" s="844"/>
      <c r="AB18" s="844"/>
      <c r="AC18" s="844"/>
      <c r="AD18" s="845"/>
      <c r="AE18" s="846"/>
      <c r="AF18" s="844"/>
      <c r="AG18" s="844"/>
      <c r="AH18" s="844"/>
      <c r="AI18" s="844"/>
      <c r="AJ18" s="846"/>
      <c r="AK18" s="844"/>
      <c r="AL18" s="844"/>
      <c r="AM18" s="844"/>
      <c r="AN18" s="844"/>
      <c r="AO18" s="844"/>
      <c r="AP18" s="844"/>
      <c r="AQ18" s="844"/>
      <c r="AR18" s="844"/>
      <c r="AS18" s="846"/>
      <c r="AT18" s="844"/>
      <c r="AU18" s="844"/>
      <c r="AV18" s="844"/>
      <c r="AW18" s="844"/>
      <c r="AX18" s="844"/>
      <c r="AY18" s="844"/>
      <c r="AZ18" s="844"/>
      <c r="BA18" s="844"/>
      <c r="BB18" s="847"/>
      <c r="BC18" s="844"/>
      <c r="BD18" s="844"/>
      <c r="BE18" s="844"/>
      <c r="BF18" s="844"/>
      <c r="BG18" s="846"/>
      <c r="BH18" s="844"/>
      <c r="BI18" s="844"/>
      <c r="BJ18" s="844"/>
      <c r="BK18" s="844"/>
      <c r="BL18" s="844"/>
      <c r="BM18" s="844"/>
      <c r="BN18" s="844"/>
      <c r="BO18" s="844"/>
      <c r="BP18" s="844"/>
      <c r="BQ18" s="844"/>
      <c r="BR18" s="844"/>
      <c r="BS18" s="844"/>
      <c r="BT18" s="844"/>
      <c r="BU18" s="846"/>
      <c r="BV18" s="844"/>
      <c r="BW18" s="844"/>
      <c r="BX18" s="844"/>
      <c r="BY18" s="844"/>
      <c r="BZ18" s="844"/>
      <c r="CA18" s="844"/>
      <c r="CB18" s="844"/>
      <c r="CC18" s="844"/>
      <c r="CD18" s="844"/>
      <c r="CE18" s="844"/>
      <c r="CF18" s="844"/>
      <c r="CG18" s="844"/>
      <c r="CH18" s="844"/>
      <c r="CJ18" s="848"/>
      <c r="CK18" s="848"/>
      <c r="CL18" s="848"/>
      <c r="CM18" s="848"/>
      <c r="CN18" s="844"/>
      <c r="CO18" s="844"/>
      <c r="CP18" s="844"/>
      <c r="CQ18" s="844"/>
      <c r="CR18" s="844"/>
      <c r="CS18" s="849">
        <f>CS20/$DK$77</f>
        <v>0.89616243291769815</v>
      </c>
      <c r="CT18" s="849">
        <f>CT20/$DK$77</f>
        <v>1.4778097581932912</v>
      </c>
      <c r="CU18" s="849">
        <f>CU20/$DK$77</f>
        <v>1.7622859016035182</v>
      </c>
      <c r="CV18" s="844"/>
      <c r="CX18" s="849">
        <f>CX20/$DK$77</f>
        <v>1.4929484425482455</v>
      </c>
      <c r="CY18" s="849">
        <f t="shared" ref="CY18:DH18" si="24">CY20/$DK$77</f>
        <v>1.4420490864886744</v>
      </c>
      <c r="CZ18" s="849">
        <f t="shared" si="24"/>
        <v>1.3891173322538906</v>
      </c>
      <c r="DA18" s="849">
        <f t="shared" si="24"/>
        <v>1.6386195387370019</v>
      </c>
      <c r="DB18" s="849">
        <f t="shared" si="24"/>
        <v>1.889897858581443</v>
      </c>
      <c r="DC18" s="849">
        <f t="shared" si="24"/>
        <v>2.0932211176699926</v>
      </c>
      <c r="DD18" s="849">
        <f t="shared" si="24"/>
        <v>2.192337779411289</v>
      </c>
      <c r="DE18" s="849">
        <f t="shared" si="24"/>
        <v>2.0715501506169951</v>
      </c>
      <c r="DF18" s="849">
        <f>DF20/$DK$77</f>
        <v>1.8301656166108311</v>
      </c>
      <c r="DG18" s="849">
        <f t="shared" si="24"/>
        <v>1.564857193234279</v>
      </c>
      <c r="DH18" s="849">
        <f t="shared" si="24"/>
        <v>1.6673115176680062</v>
      </c>
      <c r="DI18" s="849">
        <f t="shared" ref="CY18:DI18" si="25">DI20/17313</f>
        <v>1.5639577196326455</v>
      </c>
      <c r="DJ18" s="844"/>
      <c r="DK18" s="949"/>
      <c r="DL18" s="849">
        <f>DL20/$DK$77</f>
        <v>1.1451639899969446</v>
      </c>
      <c r="DM18" s="849">
        <f t="shared" ref="DM18:DV18" si="26">DM20/$DK$77</f>
        <v>1.1834696295045399</v>
      </c>
      <c r="DN18" s="849">
        <f t="shared" si="26"/>
        <v>1.1305378752697559</v>
      </c>
      <c r="DO18" s="849">
        <f t="shared" si="26"/>
        <v>1.3800400817528673</v>
      </c>
      <c r="DP18" s="849">
        <f t="shared" si="26"/>
        <v>1.6313184015973083</v>
      </c>
      <c r="DQ18" s="849">
        <f t="shared" si="26"/>
        <v>1.8346416606858582</v>
      </c>
      <c r="DR18" s="849">
        <f t="shared" si="26"/>
        <v>1.9337583224271546</v>
      </c>
      <c r="DS18" s="849">
        <f t="shared" si="26"/>
        <v>1.8129706936328605</v>
      </c>
      <c r="DT18" s="849">
        <f>DT20/$DK$77</f>
        <v>1.5715861596266967</v>
      </c>
      <c r="DU18" s="849">
        <f t="shared" ref="DU18:DY18" si="27">DU20/$DK$77</f>
        <v>1.3062777362501443</v>
      </c>
      <c r="DV18" s="849">
        <f t="shared" si="27"/>
        <v>1.4087320606838716</v>
      </c>
      <c r="DW18" s="849">
        <f t="shared" ref="DW18:DY18" si="28">DW20/17313</f>
        <v>1.3133656789695591</v>
      </c>
      <c r="DX18" s="844"/>
    </row>
    <row r="19" spans="1:128" s="838" customFormat="1" ht="18.75">
      <c r="A19" s="824">
        <v>1</v>
      </c>
      <c r="B19" s="825" t="s">
        <v>117</v>
      </c>
      <c r="C19" s="826"/>
      <c r="D19" s="827">
        <v>197000</v>
      </c>
      <c r="E19" s="828">
        <v>223027</v>
      </c>
      <c r="F19" s="828">
        <v>230513</v>
      </c>
      <c r="G19" s="828">
        <v>231174</v>
      </c>
      <c r="H19" s="828">
        <v>255028</v>
      </c>
      <c r="I19" s="828">
        <f>316386+3241</f>
        <v>319627</v>
      </c>
      <c r="J19" s="828">
        <v>377712</v>
      </c>
      <c r="K19" s="828">
        <v>382411</v>
      </c>
      <c r="L19" s="828">
        <v>394107</v>
      </c>
      <c r="M19" s="828">
        <v>267954</v>
      </c>
      <c r="N19" s="828"/>
      <c r="O19" s="828">
        <v>143875</v>
      </c>
      <c r="P19" s="829"/>
      <c r="Q19" s="830"/>
      <c r="R19" s="827">
        <v>208084</v>
      </c>
      <c r="S19" s="831">
        <v>268431</v>
      </c>
      <c r="T19" s="831">
        <v>250616</v>
      </c>
      <c r="U19" s="831">
        <v>237088</v>
      </c>
      <c r="V19" s="831">
        <v>147777</v>
      </c>
      <c r="W19" s="831">
        <v>215818</v>
      </c>
      <c r="X19" s="831">
        <v>273510</v>
      </c>
      <c r="Y19" s="831">
        <v>299059</v>
      </c>
      <c r="Z19" s="831">
        <v>304980</v>
      </c>
      <c r="AA19" s="831">
        <v>231197</v>
      </c>
      <c r="AB19" s="831">
        <v>143086</v>
      </c>
      <c r="AC19" s="831">
        <v>172491</v>
      </c>
      <c r="AD19" s="832"/>
      <c r="AE19" s="833"/>
      <c r="AF19" s="831">
        <v>198695</v>
      </c>
      <c r="AG19" s="831">
        <v>234210</v>
      </c>
      <c r="AH19" s="831">
        <v>327560</v>
      </c>
      <c r="AI19" s="831">
        <v>332523</v>
      </c>
      <c r="AJ19" s="833">
        <v>356667</v>
      </c>
      <c r="AK19" s="831">
        <v>384165</v>
      </c>
      <c r="AL19" s="831">
        <v>317268</v>
      </c>
      <c r="AM19" s="831">
        <v>370708</v>
      </c>
      <c r="AN19" s="831">
        <v>354503</v>
      </c>
      <c r="AO19" s="831">
        <v>314605</v>
      </c>
      <c r="AP19" s="831">
        <v>90490</v>
      </c>
      <c r="AQ19" s="831">
        <v>58348</v>
      </c>
      <c r="AR19" s="831">
        <f t="shared" si="11"/>
        <v>58348</v>
      </c>
      <c r="AS19" s="833"/>
      <c r="AT19" s="831">
        <v>158701</v>
      </c>
      <c r="AU19" s="831">
        <v>115369</v>
      </c>
      <c r="AV19" s="831">
        <v>142379</v>
      </c>
      <c r="AW19" s="831">
        <v>118765</v>
      </c>
      <c r="AX19" s="831">
        <v>113246</v>
      </c>
      <c r="AY19" s="831">
        <v>106776</v>
      </c>
      <c r="AZ19" s="831">
        <v>175234</v>
      </c>
      <c r="BA19" s="831">
        <v>151553</v>
      </c>
      <c r="BB19" s="834">
        <v>167082</v>
      </c>
      <c r="BC19" s="831">
        <v>150959</v>
      </c>
      <c r="BD19" s="831">
        <v>119787</v>
      </c>
      <c r="BE19" s="831">
        <v>65426</v>
      </c>
      <c r="BF19" s="831">
        <f t="shared" si="13"/>
        <v>65426</v>
      </c>
      <c r="BG19" s="833"/>
      <c r="BH19" s="831">
        <v>166918</v>
      </c>
      <c r="BI19" s="831">
        <v>167160</v>
      </c>
      <c r="BJ19" s="831">
        <v>204571</v>
      </c>
      <c r="BK19" s="831">
        <v>153197</v>
      </c>
      <c r="BL19" s="831">
        <v>196798</v>
      </c>
      <c r="BM19" s="831">
        <v>145596</v>
      </c>
      <c r="BN19" s="831">
        <v>166021</v>
      </c>
      <c r="BO19" s="831">
        <v>211305</v>
      </c>
      <c r="BP19" s="831">
        <v>201071</v>
      </c>
      <c r="BQ19" s="831">
        <v>177743</v>
      </c>
      <c r="BR19" s="831">
        <v>144020</v>
      </c>
      <c r="BS19" s="831">
        <v>154347</v>
      </c>
      <c r="BT19" s="831">
        <f>BS19</f>
        <v>154347</v>
      </c>
      <c r="BU19" s="833"/>
      <c r="BV19" s="831">
        <v>151471</v>
      </c>
      <c r="BW19" s="831">
        <v>155653</v>
      </c>
      <c r="BX19" s="831">
        <v>151611</v>
      </c>
      <c r="BY19" s="831">
        <v>177044</v>
      </c>
      <c r="BZ19" s="831">
        <v>170481</v>
      </c>
      <c r="CA19" s="831">
        <v>221665</v>
      </c>
      <c r="CB19" s="831">
        <v>218105</v>
      </c>
      <c r="CC19" s="831">
        <v>188153</v>
      </c>
      <c r="CD19" s="831">
        <v>147751</v>
      </c>
      <c r="CE19" s="831">
        <v>112996</v>
      </c>
      <c r="CF19" s="831">
        <v>135968</v>
      </c>
      <c r="CG19" s="831">
        <v>130000</v>
      </c>
      <c r="CH19" s="831">
        <f t="shared" ref="CH19:CH30" si="29">CG19</f>
        <v>130000</v>
      </c>
      <c r="CI19" s="835">
        <v>114000</v>
      </c>
      <c r="CJ19" s="831">
        <v>109585</v>
      </c>
      <c r="CK19" s="831">
        <v>103815</v>
      </c>
      <c r="CL19" s="831">
        <v>117138</v>
      </c>
      <c r="CM19" s="831">
        <v>165469</v>
      </c>
      <c r="CN19" s="831">
        <f>CM19+CN80-CN33</f>
        <v>175907.8879612374</v>
      </c>
      <c r="CO19" s="831">
        <f>CN19+CO80-CO33</f>
        <v>238961.73306000742</v>
      </c>
      <c r="CP19" s="831">
        <f>CO19+CP80-CP33</f>
        <v>271844.22259587242</v>
      </c>
      <c r="CQ19" s="831">
        <f>CP19+CQ80-CQ33</f>
        <v>249838.52867182181</v>
      </c>
      <c r="CR19" s="831">
        <f>CQ19+CR80-CR33</f>
        <v>201980.33782793995</v>
      </c>
      <c r="CS19" s="836">
        <f>91286-CS20</f>
        <v>76250</v>
      </c>
      <c r="CT19" s="836">
        <f>CS19+CT80-CT76-CT20</f>
        <v>101848.14995780593</v>
      </c>
      <c r="CU19" s="836">
        <f>CT19+CU80-CU76-CU20</f>
        <v>111197.32717299581</v>
      </c>
      <c r="CV19" s="837"/>
      <c r="CW19" s="758"/>
      <c r="CX19" s="831">
        <v>205563</v>
      </c>
      <c r="CY19" s="831">
        <v>222075</v>
      </c>
      <c r="CZ19" s="831">
        <f>CY19+CZ80-CZ76+CZ15-CZ16</f>
        <v>207467.53</v>
      </c>
      <c r="DA19" s="831">
        <f>CZ19+DA80-DA76+DA15-DA16</f>
        <v>254350.89</v>
      </c>
      <c r="DB19" s="831">
        <f>DA19+DB80-DB76+DB15-DB16</f>
        <v>295655.45000000007</v>
      </c>
      <c r="DC19" s="831">
        <f>DB19+DC80-DC76+DC15-DC16</f>
        <v>312913.43000000005</v>
      </c>
      <c r="DD19" s="831">
        <f>DC19+DD80-DD76+DD15-DD16</f>
        <v>329124.60000000003</v>
      </c>
      <c r="DE19" s="831">
        <f>DD19+DE80-DE76+DE15-DE16</f>
        <v>327582.19000000006</v>
      </c>
      <c r="DF19" s="831">
        <f>DE19+DF80-DF76+DF15-DF16</f>
        <v>284894.84000000008</v>
      </c>
      <c r="DG19" s="831">
        <f>DF19+DG80-DG76+DG15-DG16</f>
        <v>190862.97914767943</v>
      </c>
      <c r="DH19" s="831">
        <f>DG19+DH80-DH76+DH15-DH16</f>
        <v>199489.55470126591</v>
      </c>
      <c r="DI19" s="831">
        <f>DH19+DI80-DI76+DI15-DI16</f>
        <v>180156.02693797473</v>
      </c>
      <c r="DJ19" s="836"/>
      <c r="DK19" s="950"/>
      <c r="DL19" s="831">
        <f>DI19+DL80-DL76</f>
        <v>147347.42093797468</v>
      </c>
      <c r="DM19" s="831">
        <f>DL19+DM80-DM76+DM15-DM16</f>
        <v>140149.7419379747</v>
      </c>
      <c r="DN19" s="831">
        <f>DM19+DN80-DN76+DN15-DN16</f>
        <v>104721.91493797468</v>
      </c>
      <c r="DO19" s="831">
        <f>DN19+DO80-DO76+DO15-DO16</f>
        <v>135752.03093797463</v>
      </c>
      <c r="DP19" s="831">
        <f>DO19+DP80-DP76+DP15-DP16</f>
        <v>143730.99493797464</v>
      </c>
      <c r="DQ19" s="831">
        <f>DP19+DQ80-DQ76+DQ15-DQ16</f>
        <v>153290.91293797462</v>
      </c>
      <c r="DR19" s="831">
        <f>DQ19+DR80-DR76+DR15</f>
        <v>130754.38993797457</v>
      </c>
      <c r="DS19" s="831">
        <f>DR19+DS80-DS76+DS15</f>
        <v>91345.868937974563</v>
      </c>
      <c r="DT19" s="831">
        <f>DS19+DT80-DT76+DT15</f>
        <v>21669.605937974557</v>
      </c>
      <c r="DU19" s="831">
        <f>DT19+DU80-DU76+DU15</f>
        <v>-48249.138999578194</v>
      </c>
      <c r="DV19" s="831">
        <f>DU19+DV80-DV76+DV15</f>
        <v>-57460.216890633048</v>
      </c>
      <c r="DW19" s="831">
        <f>DV19+DW80-DW76+DW15</f>
        <v>-88214.963430253338</v>
      </c>
      <c r="DX19" s="836"/>
    </row>
    <row r="20" spans="1:128" s="838" customFormat="1" ht="18.75">
      <c r="A20" s="824"/>
      <c r="B20" s="825" t="s">
        <v>118</v>
      </c>
      <c r="C20" s="826"/>
      <c r="D20" s="827"/>
      <c r="E20" s="828"/>
      <c r="F20" s="828"/>
      <c r="G20" s="828"/>
      <c r="H20" s="828"/>
      <c r="I20" s="828"/>
      <c r="J20" s="828"/>
      <c r="K20" s="828"/>
      <c r="L20" s="828"/>
      <c r="M20" s="828"/>
      <c r="N20" s="828"/>
      <c r="O20" s="828"/>
      <c r="P20" s="829"/>
      <c r="Q20" s="830"/>
      <c r="R20" s="827"/>
      <c r="S20" s="831"/>
      <c r="T20" s="831"/>
      <c r="U20" s="831"/>
      <c r="V20" s="831"/>
      <c r="W20" s="831"/>
      <c r="X20" s="831"/>
      <c r="Y20" s="831"/>
      <c r="Z20" s="831"/>
      <c r="AA20" s="831"/>
      <c r="AB20" s="831"/>
      <c r="AC20" s="831"/>
      <c r="AD20" s="832"/>
      <c r="AE20" s="833"/>
      <c r="AF20" s="831"/>
      <c r="AG20" s="831"/>
      <c r="AH20" s="831"/>
      <c r="AI20" s="831"/>
      <c r="AJ20" s="833"/>
      <c r="AK20" s="831"/>
      <c r="AL20" s="831"/>
      <c r="AM20" s="831"/>
      <c r="AN20" s="831"/>
      <c r="AO20" s="831"/>
      <c r="AP20" s="831"/>
      <c r="AQ20" s="831"/>
      <c r="AR20" s="831"/>
      <c r="AS20" s="833"/>
      <c r="AT20" s="831"/>
      <c r="AU20" s="831"/>
      <c r="AV20" s="831"/>
      <c r="AW20" s="831"/>
      <c r="AX20" s="831"/>
      <c r="AY20" s="831"/>
      <c r="AZ20" s="831"/>
      <c r="BA20" s="831"/>
      <c r="BB20" s="834"/>
      <c r="BC20" s="831"/>
      <c r="BD20" s="831"/>
      <c r="BE20" s="831"/>
      <c r="BF20" s="831"/>
      <c r="BG20" s="833"/>
      <c r="BH20" s="831"/>
      <c r="BI20" s="831"/>
      <c r="BJ20" s="831"/>
      <c r="BK20" s="831"/>
      <c r="BL20" s="831"/>
      <c r="BM20" s="831"/>
      <c r="BN20" s="831"/>
      <c r="BO20" s="831"/>
      <c r="BP20" s="831"/>
      <c r="BQ20" s="831"/>
      <c r="BR20" s="831"/>
      <c r="BS20" s="831"/>
      <c r="BT20" s="831"/>
      <c r="BU20" s="833"/>
      <c r="BV20" s="831"/>
      <c r="BW20" s="831"/>
      <c r="BX20" s="831"/>
      <c r="BY20" s="831"/>
      <c r="BZ20" s="831"/>
      <c r="CA20" s="831"/>
      <c r="CB20" s="831"/>
      <c r="CC20" s="831"/>
      <c r="CD20" s="831"/>
      <c r="CE20" s="831"/>
      <c r="CF20" s="831"/>
      <c r="CG20" s="831"/>
      <c r="CH20" s="831"/>
      <c r="CI20" s="835"/>
      <c r="CJ20" s="831"/>
      <c r="CK20" s="831"/>
      <c r="CL20" s="831"/>
      <c r="CM20" s="831"/>
      <c r="CN20" s="831"/>
      <c r="CO20" s="831"/>
      <c r="CP20" s="831"/>
      <c r="CQ20" s="831"/>
      <c r="CR20" s="831"/>
      <c r="CS20" s="836">
        <v>15036</v>
      </c>
      <c r="CT20" s="836">
        <f>CS20+CT81-CT77</f>
        <v>24795</v>
      </c>
      <c r="CU20" s="836">
        <f>CT20+CU81-CU77</f>
        <v>29568</v>
      </c>
      <c r="CV20" s="837"/>
      <c r="CW20" s="758"/>
      <c r="CX20" s="831">
        <v>25049</v>
      </c>
      <c r="CY20" s="831">
        <v>24195</v>
      </c>
      <c r="CZ20" s="831">
        <f>CY20+CZ81-CZ77</f>
        <v>23306.899999999998</v>
      </c>
      <c r="DA20" s="831">
        <f>CZ20+DA81-DA77</f>
        <v>27493.099999999991</v>
      </c>
      <c r="DB20" s="831">
        <f>DA20+DB81-DB77</f>
        <v>31709.099999999991</v>
      </c>
      <c r="DC20" s="831">
        <f>DB20+DC81-DC77</f>
        <v>35120.499999999993</v>
      </c>
      <c r="DD20" s="831">
        <f>DC20+DD81-DD77</f>
        <v>36783.499999999993</v>
      </c>
      <c r="DE20" s="831">
        <f>DD20+DE81-DE77</f>
        <v>34756.899999999994</v>
      </c>
      <c r="DF20" s="831">
        <f>DE20+DF81-DF77</f>
        <v>30706.899999999991</v>
      </c>
      <c r="DG20" s="831">
        <f>DF20+DG81-DG77</f>
        <v>26255.499999999993</v>
      </c>
      <c r="DH20" s="831">
        <f>DG20+DH81-DH77</f>
        <v>27974.499999999993</v>
      </c>
      <c r="DI20" s="831">
        <f>DH20+DI81-DI77</f>
        <v>27076.799999999992</v>
      </c>
      <c r="DJ20" s="836"/>
      <c r="DK20" s="950"/>
      <c r="DL20" s="831">
        <f>DI20+DL81-DL77</f>
        <v>19213.799999999988</v>
      </c>
      <c r="DM20" s="831">
        <f>DL20+DM81-DM77</f>
        <v>19856.499999999985</v>
      </c>
      <c r="DN20" s="831">
        <f>DM20+DN81-DN77</f>
        <v>18968.399999999983</v>
      </c>
      <c r="DO20" s="831">
        <f>DN20+DO81-DO77</f>
        <v>23154.599999999977</v>
      </c>
      <c r="DP20" s="831">
        <f>DO20+DP81-DP77</f>
        <v>27370.599999999977</v>
      </c>
      <c r="DQ20" s="831">
        <f>DP20+DQ81-DQ77</f>
        <v>30781.999999999978</v>
      </c>
      <c r="DR20" s="831">
        <f>DQ20+DR81-DR77</f>
        <v>32444.999999999978</v>
      </c>
      <c r="DS20" s="831">
        <f>DR20+DS81-DS77</f>
        <v>30418.399999999976</v>
      </c>
      <c r="DT20" s="831">
        <f>DS20+DT81-DT77</f>
        <v>26368.399999999976</v>
      </c>
      <c r="DU20" s="831">
        <f>DT20+DU81-DU77</f>
        <v>21916.999999999978</v>
      </c>
      <c r="DV20" s="831">
        <f>DU20+DV81-DV77</f>
        <v>23635.999999999978</v>
      </c>
      <c r="DW20" s="831">
        <f>DV20+DW81-DW77</f>
        <v>22738.299999999977</v>
      </c>
      <c r="DX20" s="836"/>
    </row>
    <row r="21" spans="1:128" s="698" customFormat="1" ht="18.75">
      <c r="A21" s="683"/>
      <c r="B21" s="684" t="s">
        <v>119</v>
      </c>
      <c r="C21" s="685"/>
      <c r="D21" s="686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8"/>
      <c r="Q21" s="689"/>
      <c r="R21" s="686"/>
      <c r="S21" s="690"/>
      <c r="T21" s="690"/>
      <c r="U21" s="690"/>
      <c r="V21" s="690"/>
      <c r="W21" s="690"/>
      <c r="X21" s="690"/>
      <c r="Y21" s="690"/>
      <c r="Z21" s="690"/>
      <c r="AA21" s="690"/>
      <c r="AB21" s="690"/>
      <c r="AC21" s="690"/>
      <c r="AD21" s="691"/>
      <c r="AE21" s="692"/>
      <c r="AF21" s="690"/>
      <c r="AG21" s="690"/>
      <c r="AH21" s="690"/>
      <c r="AI21" s="690"/>
      <c r="AJ21" s="693"/>
      <c r="AK21" s="690"/>
      <c r="AL21" s="690"/>
      <c r="AM21" s="690"/>
      <c r="AN21" s="690"/>
      <c r="AO21" s="690"/>
      <c r="AP21" s="694"/>
      <c r="AQ21" s="690"/>
      <c r="AR21" s="690"/>
      <c r="AS21" s="692"/>
      <c r="AT21" s="690"/>
      <c r="AU21" s="690"/>
      <c r="AV21" s="690"/>
      <c r="AW21" s="690"/>
      <c r="AX21" s="690"/>
      <c r="AY21" s="690"/>
      <c r="AZ21" s="690"/>
      <c r="BA21" s="690"/>
      <c r="BB21" s="695"/>
      <c r="BC21" s="690"/>
      <c r="BD21" s="690"/>
      <c r="BE21" s="690"/>
      <c r="BF21" s="690"/>
      <c r="BG21" s="696"/>
      <c r="BH21" s="690"/>
      <c r="BI21" s="690"/>
      <c r="BJ21" s="690"/>
      <c r="BK21" s="690"/>
      <c r="BL21" s="690"/>
      <c r="BM21" s="690"/>
      <c r="BN21" s="690"/>
      <c r="BO21" s="690"/>
      <c r="BP21" s="690"/>
      <c r="BQ21" s="690"/>
      <c r="BR21" s="690"/>
      <c r="BS21" s="690"/>
      <c r="BT21" s="690"/>
      <c r="BU21" s="697"/>
      <c r="BV21" s="690"/>
      <c r="BW21" s="690"/>
      <c r="BX21" s="690"/>
      <c r="BY21" s="690"/>
      <c r="BZ21" s="690"/>
      <c r="CA21" s="690"/>
      <c r="CB21" s="690"/>
      <c r="CC21" s="690"/>
      <c r="CD21" s="690"/>
      <c r="CE21" s="690"/>
      <c r="CF21" s="690"/>
      <c r="CG21" s="690"/>
      <c r="CH21" s="690"/>
      <c r="CI21" s="707"/>
      <c r="CJ21" s="690"/>
      <c r="CK21" s="690"/>
      <c r="CL21" s="690"/>
      <c r="CM21" s="690"/>
      <c r="CN21" s="690"/>
      <c r="CO21" s="690"/>
      <c r="CP21" s="690"/>
      <c r="CQ21" s="690"/>
      <c r="CR21" s="690"/>
      <c r="CS21" s="756">
        <v>28927</v>
      </c>
      <c r="CT21" s="756">
        <f>CS21+CT82-CT78</f>
        <v>14387</v>
      </c>
      <c r="CU21" s="756">
        <f>CT21+CU82-CU78</f>
        <v>51731</v>
      </c>
      <c r="CV21" s="757"/>
      <c r="CW21" s="758"/>
      <c r="CX21" s="690">
        <v>6272</v>
      </c>
      <c r="CY21" s="690">
        <v>6499</v>
      </c>
      <c r="CZ21" s="690">
        <f>CY21+CZ82-CZ78+CZ16</f>
        <v>11175</v>
      </c>
      <c r="DA21" s="690">
        <f>CZ21+DA82-DA78+DA16</f>
        <v>-1043</v>
      </c>
      <c r="DB21" s="690">
        <f>DA21+DB82-DB78+DB16</f>
        <v>-10532</v>
      </c>
      <c r="DC21" s="690">
        <f>DB21+DC82-DC78+DC16</f>
        <v>24704</v>
      </c>
      <c r="DD21" s="690">
        <f>DC21+DD82-DD78+DD16</f>
        <v>15018.099999999999</v>
      </c>
      <c r="DE21" s="690">
        <f>DD21+DE82-DE78+DE16</f>
        <v>6432.1999999999971</v>
      </c>
      <c r="DF21" s="690">
        <f>DE21+DF82-DF78+DF16</f>
        <v>-14490.700000000004</v>
      </c>
      <c r="DG21" s="690">
        <f>DF21+DG82-DG78+DG16</f>
        <v>27352.599999999995</v>
      </c>
      <c r="DH21" s="690">
        <f>DG21+DH82-DH78+DH16</f>
        <v>23274.249999999993</v>
      </c>
      <c r="DI21" s="690">
        <f>DH21+DI82-DI78+DI16</f>
        <v>69974.25</v>
      </c>
      <c r="DJ21" s="756"/>
      <c r="DK21" s="950"/>
      <c r="DL21" s="690">
        <f>DI21+DL82-DL78+DL16</f>
        <v>84244.25</v>
      </c>
      <c r="DM21" s="690">
        <f>DL21+DM82-DM78+DM16</f>
        <v>77330.25</v>
      </c>
      <c r="DN21" s="690">
        <f>DM21+DN82-DN78+DN16</f>
        <v>82006.25</v>
      </c>
      <c r="DO21" s="690">
        <f>DN21+DO82-DO78+DO16</f>
        <v>69788.25</v>
      </c>
      <c r="DP21" s="690">
        <f>DO21+DP82-DP78+DP16</f>
        <v>60299.25</v>
      </c>
      <c r="DQ21" s="690">
        <f>DP21+DQ82-DQ78+DQ16</f>
        <v>95535.25</v>
      </c>
      <c r="DR21" s="690">
        <f>DQ21+DR82-DR78+DR16</f>
        <v>85849.35</v>
      </c>
      <c r="DS21" s="690">
        <f>DR21+DS82-DS78+DS16</f>
        <v>77263.450000000012</v>
      </c>
      <c r="DT21" s="690">
        <f>DS21+DT82-DT78+DT16</f>
        <v>56340.55000000001</v>
      </c>
      <c r="DU21" s="690">
        <f>DT21+DU82-DU78+DU16</f>
        <v>48183.85000000002</v>
      </c>
      <c r="DV21" s="690">
        <f>DU21+DV82-DV78+DV16</f>
        <v>44105.500000000022</v>
      </c>
      <c r="DW21" s="690">
        <f>DV21+DW82-DW78+DW16</f>
        <v>90805.500000000029</v>
      </c>
      <c r="DX21" s="756"/>
    </row>
    <row r="22" spans="1:128" ht="18.75" hidden="1">
      <c r="A22" s="19">
        <v>2</v>
      </c>
      <c r="B22" s="684" t="s">
        <v>35</v>
      </c>
      <c r="C22" s="903"/>
      <c r="D22" s="265">
        <v>73670</v>
      </c>
      <c r="E22" s="20">
        <v>59682</v>
      </c>
      <c r="F22" s="20">
        <v>54710</v>
      </c>
      <c r="G22" s="20">
        <v>56175</v>
      </c>
      <c r="H22" s="20">
        <v>58933</v>
      </c>
      <c r="I22" s="20">
        <v>42784</v>
      </c>
      <c r="J22" s="20">
        <v>35755</v>
      </c>
      <c r="K22" s="20">
        <v>33547</v>
      </c>
      <c r="L22" s="20">
        <v>22824</v>
      </c>
      <c r="M22" s="20">
        <v>26162</v>
      </c>
      <c r="N22" s="20"/>
      <c r="O22" s="20">
        <v>44389</v>
      </c>
      <c r="P22" s="266"/>
      <c r="Q22" s="21"/>
      <c r="R22" s="265">
        <v>39759</v>
      </c>
      <c r="S22" s="22">
        <v>38325</v>
      </c>
      <c r="T22" s="22">
        <v>26634</v>
      </c>
      <c r="U22" s="22">
        <f>14430+2754+7859</f>
        <v>25043</v>
      </c>
      <c r="V22" s="22">
        <v>23840</v>
      </c>
      <c r="W22" s="22">
        <v>20057</v>
      </c>
      <c r="X22" s="22">
        <v>80502</v>
      </c>
      <c r="Y22" s="22">
        <v>56483</v>
      </c>
      <c r="Z22" s="22">
        <v>44233</v>
      </c>
      <c r="AA22" s="22">
        <v>38155</v>
      </c>
      <c r="AB22" s="22">
        <v>27540</v>
      </c>
      <c r="AC22" s="22">
        <v>25060</v>
      </c>
      <c r="AD22" s="267"/>
      <c r="AE22" s="23"/>
      <c r="AF22" s="22">
        <v>21326</v>
      </c>
      <c r="AG22" s="22">
        <v>17804</v>
      </c>
      <c r="AH22" s="22">
        <v>27157</v>
      </c>
      <c r="AI22" s="22">
        <v>19677</v>
      </c>
      <c r="AJ22" s="22">
        <v>18817</v>
      </c>
      <c r="AK22" s="22">
        <v>25034</v>
      </c>
      <c r="AL22" s="22">
        <v>28090</v>
      </c>
      <c r="AM22" s="22">
        <v>25660</v>
      </c>
      <c r="AN22" s="22">
        <v>33752</v>
      </c>
      <c r="AO22" s="22">
        <v>24699</v>
      </c>
      <c r="AP22" s="25">
        <v>19340</v>
      </c>
      <c r="AQ22" s="22">
        <v>29842</v>
      </c>
      <c r="AR22" s="22">
        <f t="shared" si="11"/>
        <v>29842</v>
      </c>
      <c r="AS22" s="23"/>
      <c r="AT22" s="22">
        <v>46493</v>
      </c>
      <c r="AU22" s="22">
        <v>37125</v>
      </c>
      <c r="AV22" s="22">
        <v>38574</v>
      </c>
      <c r="AW22" s="22">
        <v>43626</v>
      </c>
      <c r="AX22" s="22">
        <v>39641</v>
      </c>
      <c r="AY22" s="22">
        <v>55553</v>
      </c>
      <c r="AZ22" s="22">
        <v>48023</v>
      </c>
      <c r="BA22" s="22">
        <v>55043</v>
      </c>
      <c r="BB22" s="26">
        <v>50383</v>
      </c>
      <c r="BC22" s="22">
        <v>54355</v>
      </c>
      <c r="BD22" s="22">
        <v>82473</v>
      </c>
      <c r="BE22" s="22">
        <v>65398</v>
      </c>
      <c r="BF22" s="22">
        <f t="shared" si="13"/>
        <v>65398</v>
      </c>
      <c r="BG22" s="27"/>
      <c r="BH22" s="22">
        <v>68747</v>
      </c>
      <c r="BI22" s="22">
        <v>62843</v>
      </c>
      <c r="BJ22" s="22">
        <v>62154</v>
      </c>
      <c r="BK22" s="22">
        <v>49337</v>
      </c>
      <c r="BL22" s="22">
        <v>27730</v>
      </c>
      <c r="BM22" s="22">
        <v>42459</v>
      </c>
      <c r="BN22" s="22">
        <v>44049</v>
      </c>
      <c r="BO22" s="22">
        <v>29196</v>
      </c>
      <c r="BP22" s="22">
        <v>36882</v>
      </c>
      <c r="BQ22" s="22">
        <v>35965</v>
      </c>
      <c r="BR22" s="22">
        <v>31343</v>
      </c>
      <c r="BS22" s="22">
        <v>23087</v>
      </c>
      <c r="BT22" s="22">
        <f t="shared" ref="BT22:BT30" si="30">BS22</f>
        <v>23087</v>
      </c>
      <c r="BU22" s="28"/>
      <c r="BV22" s="22">
        <v>15202</v>
      </c>
      <c r="BW22" s="22">
        <v>12471</v>
      </c>
      <c r="BX22" s="22">
        <v>11483</v>
      </c>
      <c r="BY22" s="22">
        <v>14071</v>
      </c>
      <c r="BZ22" s="22">
        <v>49617</v>
      </c>
      <c r="CA22" s="22">
        <v>36385</v>
      </c>
      <c r="CB22" s="22">
        <v>25473</v>
      </c>
      <c r="CC22" s="22">
        <v>16933</v>
      </c>
      <c r="CD22" s="22">
        <v>12684</v>
      </c>
      <c r="CE22" s="22">
        <v>21084</v>
      </c>
      <c r="CF22" s="22">
        <v>15172</v>
      </c>
      <c r="CG22" s="22">
        <v>11469</v>
      </c>
      <c r="CH22" s="22">
        <f>CG22</f>
        <v>11469</v>
      </c>
      <c r="CI22">
        <f>7500*5</f>
        <v>37500</v>
      </c>
      <c r="CJ22" s="22">
        <v>9465</v>
      </c>
      <c r="CK22" s="22">
        <v>13722</v>
      </c>
      <c r="CL22" s="22">
        <v>10771</v>
      </c>
      <c r="CM22" s="22">
        <v>8538</v>
      </c>
      <c r="CN22" s="22"/>
      <c r="CO22" s="22"/>
      <c r="CP22" s="22"/>
      <c r="CQ22" s="22"/>
      <c r="CR22" s="22"/>
      <c r="CS22" s="22">
        <v>4128</v>
      </c>
      <c r="CT22" s="22"/>
      <c r="CU22" s="22"/>
      <c r="CV22" s="22">
        <v>0</v>
      </c>
      <c r="CW22" s="758"/>
      <c r="CX22" s="870"/>
      <c r="CY22" s="870"/>
      <c r="CZ22" s="870"/>
      <c r="DA22" s="870"/>
      <c r="DB22" s="870"/>
      <c r="DC22" s="870"/>
      <c r="DD22" s="870"/>
      <c r="DE22" s="870"/>
      <c r="DF22" s="870"/>
      <c r="DG22" s="870"/>
      <c r="DH22" s="870"/>
      <c r="DI22" s="870"/>
      <c r="DJ22" s="22">
        <v>0</v>
      </c>
      <c r="DK22" s="948"/>
      <c r="DL22" s="870"/>
      <c r="DM22" s="870"/>
      <c r="DN22" s="870"/>
      <c r="DO22" s="870"/>
      <c r="DP22" s="870"/>
      <c r="DQ22" s="870"/>
      <c r="DR22" s="870"/>
      <c r="DS22" s="870"/>
      <c r="DT22" s="870"/>
      <c r="DU22" s="870"/>
      <c r="DV22" s="870"/>
      <c r="DW22" s="870"/>
      <c r="DX22" s="22">
        <v>0</v>
      </c>
    </row>
    <row r="23" spans="1:128" ht="18.75">
      <c r="A23" s="19">
        <v>3</v>
      </c>
      <c r="B23" s="684" t="s">
        <v>36</v>
      </c>
      <c r="C23" s="903"/>
      <c r="D23" s="268">
        <v>34116</v>
      </c>
      <c r="E23" s="269">
        <v>29277</v>
      </c>
      <c r="F23" s="269">
        <v>43008</v>
      </c>
      <c r="G23" s="269">
        <v>30524</v>
      </c>
      <c r="H23" s="269">
        <v>33235</v>
      </c>
      <c r="I23" s="269">
        <v>39842</v>
      </c>
      <c r="J23" s="269">
        <v>41021</v>
      </c>
      <c r="K23" s="269">
        <v>31224</v>
      </c>
      <c r="L23" s="269"/>
      <c r="M23" s="269">
        <v>10286</v>
      </c>
      <c r="N23" s="269"/>
      <c r="O23" s="269"/>
      <c r="P23" s="266"/>
      <c r="Q23" s="21"/>
      <c r="R23" s="268">
        <v>35516</v>
      </c>
      <c r="S23" s="270">
        <v>35962</v>
      </c>
      <c r="T23" s="270">
        <v>35962</v>
      </c>
      <c r="U23" s="270">
        <v>35962</v>
      </c>
      <c r="V23" s="270">
        <v>35000</v>
      </c>
      <c r="W23" s="270"/>
      <c r="X23" s="270">
        <v>6123</v>
      </c>
      <c r="Y23" s="270">
        <v>6123</v>
      </c>
      <c r="Z23" s="270">
        <v>4187</v>
      </c>
      <c r="AA23" s="270">
        <v>2745</v>
      </c>
      <c r="AB23" s="270"/>
      <c r="AC23" s="270"/>
      <c r="AD23" s="267"/>
      <c r="AE23" s="23"/>
      <c r="AF23" s="270">
        <v>8366</v>
      </c>
      <c r="AG23" s="270">
        <v>11534</v>
      </c>
      <c r="AH23" s="270">
        <v>11507</v>
      </c>
      <c r="AI23" s="270">
        <v>9148</v>
      </c>
      <c r="AJ23" s="22">
        <v>8524</v>
      </c>
      <c r="AK23" s="270">
        <v>25290</v>
      </c>
      <c r="AL23" s="270">
        <v>91080</v>
      </c>
      <c r="AM23" s="270">
        <v>66830</v>
      </c>
      <c r="AN23" s="270">
        <v>36866</v>
      </c>
      <c r="AO23" s="270">
        <v>16173</v>
      </c>
      <c r="AP23" s="271">
        <v>178274</v>
      </c>
      <c r="AQ23" s="270">
        <v>210665</v>
      </c>
      <c r="AR23" s="22">
        <f t="shared" si="11"/>
        <v>210665</v>
      </c>
      <c r="AS23" s="23"/>
      <c r="AT23" s="270">
        <v>121075</v>
      </c>
      <c r="AU23" s="270">
        <v>149376</v>
      </c>
      <c r="AV23" s="270">
        <v>104538</v>
      </c>
      <c r="AW23" s="270">
        <v>105262</v>
      </c>
      <c r="AX23" s="270">
        <v>121073</v>
      </c>
      <c r="AY23" s="270">
        <v>163931</v>
      </c>
      <c r="AZ23" s="270">
        <v>109964</v>
      </c>
      <c r="BA23" s="270">
        <v>148266</v>
      </c>
      <c r="BB23" s="26">
        <v>130697</v>
      </c>
      <c r="BC23" s="270">
        <v>113779</v>
      </c>
      <c r="BD23" s="270">
        <v>91119</v>
      </c>
      <c r="BE23" s="270">
        <v>103286</v>
      </c>
      <c r="BF23" s="22">
        <f t="shared" si="13"/>
        <v>103286</v>
      </c>
      <c r="BG23" s="27"/>
      <c r="BH23" s="270">
        <v>49631</v>
      </c>
      <c r="BI23" s="270">
        <v>52953</v>
      </c>
      <c r="BJ23" s="270">
        <v>28440</v>
      </c>
      <c r="BK23" s="270">
        <v>83601</v>
      </c>
      <c r="BL23" s="22">
        <v>25812</v>
      </c>
      <c r="BM23" s="22">
        <v>59545</v>
      </c>
      <c r="BN23" s="22">
        <v>83435</v>
      </c>
      <c r="BO23" s="22">
        <v>34041</v>
      </c>
      <c r="BP23" s="22">
        <v>22399</v>
      </c>
      <c r="BQ23" s="22">
        <v>24887</v>
      </c>
      <c r="BR23" s="22">
        <v>12183</v>
      </c>
      <c r="BS23" s="22">
        <v>12183</v>
      </c>
      <c r="BT23" s="22">
        <f t="shared" si="30"/>
        <v>12183</v>
      </c>
      <c r="BU23" s="28"/>
      <c r="BV23" s="270">
        <v>5216</v>
      </c>
      <c r="BW23" s="270"/>
      <c r="BX23" s="270">
        <v>65273</v>
      </c>
      <c r="BY23" s="270">
        <v>70182</v>
      </c>
      <c r="BZ23" s="22">
        <v>57659</v>
      </c>
      <c r="CA23" s="22">
        <v>71669</v>
      </c>
      <c r="CB23" s="22">
        <v>73078</v>
      </c>
      <c r="CC23" s="22">
        <v>85302</v>
      </c>
      <c r="CD23" s="22">
        <v>25343</v>
      </c>
      <c r="CE23" s="22">
        <v>19030</v>
      </c>
      <c r="CF23" s="22">
        <v>19422</v>
      </c>
      <c r="CG23" s="22">
        <v>25927</v>
      </c>
      <c r="CH23" s="22">
        <f>CG23</f>
        <v>25927</v>
      </c>
      <c r="CI23">
        <v>29000</v>
      </c>
      <c r="CJ23" s="270">
        <v>21580</v>
      </c>
      <c r="CK23" s="270">
        <v>18052</v>
      </c>
      <c r="CL23" s="270">
        <v>30722</v>
      </c>
      <c r="CM23" s="270">
        <v>33641</v>
      </c>
      <c r="CN23" s="22"/>
      <c r="CO23" s="22"/>
      <c r="CP23" s="22"/>
      <c r="CQ23" s="22"/>
      <c r="CR23" s="22"/>
      <c r="CS23" s="22">
        <v>10634</v>
      </c>
      <c r="CT23" s="22"/>
      <c r="CU23" s="22"/>
      <c r="CV23" s="22">
        <v>0</v>
      </c>
      <c r="CW23" s="758"/>
      <c r="CX23" s="871">
        <v>29749</v>
      </c>
      <c r="CY23" s="871">
        <v>27364</v>
      </c>
      <c r="CZ23" s="871"/>
      <c r="DA23" s="871"/>
      <c r="DB23" s="870"/>
      <c r="DC23" s="870"/>
      <c r="DD23" s="870"/>
      <c r="DE23" s="870"/>
      <c r="DF23" s="870"/>
      <c r="DG23" s="870"/>
      <c r="DH23" s="870"/>
      <c r="DI23" s="870"/>
      <c r="DJ23" s="22">
        <v>0</v>
      </c>
      <c r="DK23" s="948"/>
      <c r="DL23" s="871"/>
      <c r="DM23" s="871"/>
      <c r="DN23" s="871"/>
      <c r="DO23" s="871"/>
      <c r="DP23" s="870"/>
      <c r="DQ23" s="870"/>
      <c r="DR23" s="870"/>
      <c r="DS23" s="870"/>
      <c r="DT23" s="870"/>
      <c r="DU23" s="870"/>
      <c r="DV23" s="870"/>
      <c r="DW23" s="870"/>
      <c r="DX23" s="22">
        <v>0</v>
      </c>
    </row>
    <row r="24" spans="1:128" ht="18.75">
      <c r="A24" s="19">
        <v>4</v>
      </c>
      <c r="B24" s="684" t="s">
        <v>37</v>
      </c>
      <c r="C24" s="903"/>
      <c r="D24" s="268">
        <v>34116</v>
      </c>
      <c r="E24" s="269">
        <v>29277</v>
      </c>
      <c r="F24" s="269">
        <v>43008</v>
      </c>
      <c r="G24" s="269">
        <v>30524</v>
      </c>
      <c r="H24" s="269">
        <v>33235</v>
      </c>
      <c r="I24" s="269">
        <v>39842</v>
      </c>
      <c r="J24" s="269">
        <v>41021</v>
      </c>
      <c r="K24" s="269">
        <v>31224</v>
      </c>
      <c r="L24" s="269"/>
      <c r="M24" s="269">
        <v>10286</v>
      </c>
      <c r="N24" s="269"/>
      <c r="O24" s="269"/>
      <c r="P24" s="266"/>
      <c r="Q24" s="21"/>
      <c r="R24" s="268">
        <v>35516</v>
      </c>
      <c r="S24" s="270">
        <v>35962</v>
      </c>
      <c r="T24" s="270">
        <v>35962</v>
      </c>
      <c r="U24" s="270">
        <v>35962</v>
      </c>
      <c r="V24" s="270">
        <v>35000</v>
      </c>
      <c r="W24" s="270"/>
      <c r="X24" s="270">
        <v>6123</v>
      </c>
      <c r="Y24" s="270">
        <v>6123</v>
      </c>
      <c r="Z24" s="270">
        <v>4187</v>
      </c>
      <c r="AA24" s="270">
        <v>2745</v>
      </c>
      <c r="AB24" s="270"/>
      <c r="AC24" s="270"/>
      <c r="AD24" s="267"/>
      <c r="AE24" s="23"/>
      <c r="AF24" s="270">
        <v>8366</v>
      </c>
      <c r="AG24" s="270">
        <v>11534</v>
      </c>
      <c r="AH24" s="270">
        <v>11507</v>
      </c>
      <c r="AI24" s="270">
        <v>9148</v>
      </c>
      <c r="AJ24" s="22">
        <v>8524</v>
      </c>
      <c r="AK24" s="270">
        <v>25290</v>
      </c>
      <c r="AL24" s="270">
        <v>91080</v>
      </c>
      <c r="AM24" s="270">
        <v>66830</v>
      </c>
      <c r="AN24" s="270">
        <v>36866</v>
      </c>
      <c r="AO24" s="270">
        <v>16173</v>
      </c>
      <c r="AP24" s="271">
        <v>178274</v>
      </c>
      <c r="AQ24" s="270">
        <v>210665</v>
      </c>
      <c r="AR24" s="22">
        <f t="shared" si="11"/>
        <v>210665</v>
      </c>
      <c r="AS24" s="23"/>
      <c r="AT24" s="270">
        <v>121075</v>
      </c>
      <c r="AU24" s="270">
        <v>149376</v>
      </c>
      <c r="AV24" s="270">
        <v>104538</v>
      </c>
      <c r="AW24" s="270">
        <v>105262</v>
      </c>
      <c r="AX24" s="270">
        <v>121073</v>
      </c>
      <c r="AY24" s="270">
        <v>163931</v>
      </c>
      <c r="AZ24" s="270">
        <v>109964</v>
      </c>
      <c r="BA24" s="270">
        <v>148266</v>
      </c>
      <c r="BB24" s="26">
        <v>130697</v>
      </c>
      <c r="BC24" s="270">
        <v>113779</v>
      </c>
      <c r="BD24" s="270">
        <v>91119</v>
      </c>
      <c r="BE24" s="270">
        <v>103286</v>
      </c>
      <c r="BF24" s="22">
        <f t="shared" si="13"/>
        <v>103286</v>
      </c>
      <c r="BG24" s="27"/>
      <c r="BH24" s="270">
        <v>49631</v>
      </c>
      <c r="BI24" s="270">
        <v>52953</v>
      </c>
      <c r="BJ24" s="270">
        <v>28440</v>
      </c>
      <c r="BK24" s="270">
        <v>83601</v>
      </c>
      <c r="BL24" s="22">
        <v>25812</v>
      </c>
      <c r="BM24" s="22">
        <v>59545</v>
      </c>
      <c r="BN24" s="22">
        <v>83435</v>
      </c>
      <c r="BO24" s="22">
        <v>34041</v>
      </c>
      <c r="BP24" s="22">
        <v>22399</v>
      </c>
      <c r="BQ24" s="22">
        <v>24887</v>
      </c>
      <c r="BR24" s="22">
        <v>12183</v>
      </c>
      <c r="BS24" s="22">
        <v>12183</v>
      </c>
      <c r="BT24" s="22">
        <f t="shared" si="30"/>
        <v>12183</v>
      </c>
      <c r="BU24" s="28"/>
      <c r="BV24" s="270"/>
      <c r="BW24" s="270"/>
      <c r="BX24" s="270"/>
      <c r="BY24" s="270"/>
      <c r="BZ24" s="22"/>
      <c r="CA24" s="22"/>
      <c r="CB24" s="22"/>
      <c r="CC24" s="22"/>
      <c r="CD24" s="22">
        <v>6361</v>
      </c>
      <c r="CE24" s="22">
        <v>7759</v>
      </c>
      <c r="CF24" s="22">
        <v>6573</v>
      </c>
      <c r="CG24" s="22">
        <v>9541</v>
      </c>
      <c r="CH24" s="22">
        <f t="shared" si="29"/>
        <v>9541</v>
      </c>
      <c r="CI24">
        <f>CI19+CI22-CI23</f>
        <v>122500</v>
      </c>
      <c r="CJ24" s="270">
        <v>9582</v>
      </c>
      <c r="CK24" s="270">
        <v>7266</v>
      </c>
      <c r="CL24" s="270">
        <v>11364</v>
      </c>
      <c r="CM24" s="270">
        <v>10698</v>
      </c>
      <c r="CN24" s="22"/>
      <c r="CO24" s="22"/>
      <c r="CP24" s="22"/>
      <c r="CQ24" s="22"/>
      <c r="CR24" s="22"/>
      <c r="CS24" s="22">
        <v>2650</v>
      </c>
      <c r="CT24" s="22"/>
      <c r="CU24" s="22"/>
      <c r="CV24" s="22">
        <v>0</v>
      </c>
      <c r="CW24" s="758"/>
      <c r="CX24" s="871">
        <v>13676</v>
      </c>
      <c r="CY24" s="871">
        <v>12313</v>
      </c>
      <c r="CZ24" s="871"/>
      <c r="DA24" s="871"/>
      <c r="DB24" s="870"/>
      <c r="DC24" s="870"/>
      <c r="DD24" s="870"/>
      <c r="DE24" s="870"/>
      <c r="DF24" s="870"/>
      <c r="DG24" s="870"/>
      <c r="DH24" s="870"/>
      <c r="DI24" s="870"/>
      <c r="DJ24" s="22">
        <v>0</v>
      </c>
      <c r="DK24" s="948"/>
      <c r="DL24" s="871"/>
      <c r="DM24" s="871"/>
      <c r="DN24" s="871"/>
      <c r="DO24" s="871"/>
      <c r="DP24" s="870"/>
      <c r="DQ24" s="870"/>
      <c r="DR24" s="870"/>
      <c r="DS24" s="870"/>
      <c r="DT24" s="870"/>
      <c r="DU24" s="870"/>
      <c r="DV24" s="870"/>
      <c r="DW24" s="870"/>
      <c r="DX24" s="22">
        <v>0</v>
      </c>
    </row>
    <row r="25" spans="1:128" ht="18.75" hidden="1">
      <c r="A25" s="19">
        <v>1</v>
      </c>
      <c r="B25" s="904" t="s">
        <v>38</v>
      </c>
      <c r="C25" s="905"/>
      <c r="D25" s="265">
        <v>6409</v>
      </c>
      <c r="E25" s="20">
        <v>6860</v>
      </c>
      <c r="F25" s="20">
        <v>4970</v>
      </c>
      <c r="G25" s="20">
        <v>31203</v>
      </c>
      <c r="H25" s="20">
        <v>31499</v>
      </c>
      <c r="I25" s="20">
        <v>25903</v>
      </c>
      <c r="J25" s="20">
        <v>18606</v>
      </c>
      <c r="K25" s="20">
        <v>16014</v>
      </c>
      <c r="L25" s="20">
        <v>13416</v>
      </c>
      <c r="M25" s="20">
        <v>40079</v>
      </c>
      <c r="N25" s="20"/>
      <c r="O25" s="20">
        <v>0</v>
      </c>
      <c r="P25" s="266"/>
      <c r="Q25" s="21"/>
      <c r="R25" s="265">
        <v>3376</v>
      </c>
      <c r="S25" s="22">
        <v>11736</v>
      </c>
      <c r="T25" s="22">
        <v>22454</v>
      </c>
      <c r="U25" s="22">
        <v>21384</v>
      </c>
      <c r="V25" s="22">
        <v>66870</v>
      </c>
      <c r="W25" s="22">
        <v>73769</v>
      </c>
      <c r="X25" s="22">
        <v>13944</v>
      </c>
      <c r="Y25" s="22">
        <v>32750</v>
      </c>
      <c r="Z25" s="22">
        <v>18536</v>
      </c>
      <c r="AA25" s="22">
        <v>40211</v>
      </c>
      <c r="AB25" s="22">
        <v>44457</v>
      </c>
      <c r="AC25" s="22">
        <v>24504</v>
      </c>
      <c r="AD25" s="267"/>
      <c r="AE25" s="23"/>
      <c r="AF25" s="22">
        <v>18586</v>
      </c>
      <c r="AG25" s="22">
        <v>17539</v>
      </c>
      <c r="AH25" s="22">
        <v>20245</v>
      </c>
      <c r="AI25" s="22">
        <v>17669</v>
      </c>
      <c r="AJ25" s="22">
        <v>16769</v>
      </c>
      <c r="AK25" s="22">
        <v>31134</v>
      </c>
      <c r="AL25" s="22">
        <v>35711</v>
      </c>
      <c r="AM25" s="22">
        <v>29141</v>
      </c>
      <c r="AN25" s="22">
        <v>25307</v>
      </c>
      <c r="AO25" s="22">
        <v>35964</v>
      </c>
      <c r="AP25" s="25">
        <v>37378</v>
      </c>
      <c r="AQ25" s="22">
        <v>22159</v>
      </c>
      <c r="AR25" s="22">
        <f t="shared" si="11"/>
        <v>22159</v>
      </c>
      <c r="AS25" s="23"/>
      <c r="AT25" s="22">
        <v>24034</v>
      </c>
      <c r="AU25" s="270">
        <v>22061</v>
      </c>
      <c r="AV25" s="22">
        <v>22489</v>
      </c>
      <c r="AW25" s="22">
        <v>25124</v>
      </c>
      <c r="AX25" s="22">
        <v>22794</v>
      </c>
      <c r="AY25" s="22">
        <v>17777</v>
      </c>
      <c r="AZ25" s="22">
        <v>34345</v>
      </c>
      <c r="BA25" s="22">
        <v>17580</v>
      </c>
      <c r="BB25" s="26">
        <v>26992</v>
      </c>
      <c r="BC25" s="22">
        <v>21373</v>
      </c>
      <c r="BD25" s="22">
        <v>21202</v>
      </c>
      <c r="BE25" s="22">
        <v>19109</v>
      </c>
      <c r="BF25" s="22">
        <f t="shared" si="13"/>
        <v>19109</v>
      </c>
      <c r="BG25" s="27"/>
      <c r="BH25" s="22">
        <v>22216</v>
      </c>
      <c r="BI25" s="270">
        <v>19102</v>
      </c>
      <c r="BJ25" s="22">
        <v>20676</v>
      </c>
      <c r="BK25" s="22">
        <v>19892</v>
      </c>
      <c r="BL25" s="22">
        <v>48737</v>
      </c>
      <c r="BM25" s="22">
        <v>45521</v>
      </c>
      <c r="BN25" s="22">
        <v>41781</v>
      </c>
      <c r="BO25" s="22">
        <v>48019</v>
      </c>
      <c r="BP25" s="22">
        <v>43955</v>
      </c>
      <c r="BQ25" s="22">
        <v>41505</v>
      </c>
      <c r="BR25" s="22">
        <v>28306</v>
      </c>
      <c r="BS25" s="22">
        <v>23731</v>
      </c>
      <c r="BT25" s="22">
        <f t="shared" si="30"/>
        <v>23731</v>
      </c>
      <c r="BU25" s="28"/>
      <c r="BV25" s="22">
        <v>28505</v>
      </c>
      <c r="BW25" s="270">
        <v>25054</v>
      </c>
      <c r="BX25" s="22">
        <v>24396</v>
      </c>
      <c r="BY25" s="22">
        <v>21708</v>
      </c>
      <c r="BZ25" s="22">
        <v>17857</v>
      </c>
      <c r="CA25" s="22">
        <v>33103</v>
      </c>
      <c r="CB25" s="22">
        <v>29327</v>
      </c>
      <c r="CC25" s="22">
        <v>27562</v>
      </c>
      <c r="CD25" s="22">
        <v>19590</v>
      </c>
      <c r="CE25" s="22">
        <v>11730</v>
      </c>
      <c r="CF25" s="22">
        <v>10529</v>
      </c>
      <c r="CG25" s="22">
        <v>19978</v>
      </c>
      <c r="CH25" s="22">
        <f t="shared" si="29"/>
        <v>19978</v>
      </c>
      <c r="CJ25" s="22">
        <v>18456</v>
      </c>
      <c r="CK25" s="270">
        <v>15409</v>
      </c>
      <c r="CL25" s="22">
        <v>18755</v>
      </c>
      <c r="CM25" s="22">
        <v>15399</v>
      </c>
      <c r="CN25" s="22"/>
      <c r="CO25" s="22"/>
      <c r="CP25" s="22"/>
      <c r="CQ25" s="22"/>
      <c r="CR25" s="22"/>
      <c r="CS25" s="22">
        <v>14419</v>
      </c>
      <c r="CT25" s="22"/>
      <c r="CU25" s="22"/>
      <c r="CV25" s="22">
        <v>0</v>
      </c>
      <c r="CW25" s="758"/>
      <c r="CX25" s="870"/>
      <c r="CY25" s="871"/>
      <c r="CZ25" s="870"/>
      <c r="DA25" s="870"/>
      <c r="DB25" s="870"/>
      <c r="DC25" s="870"/>
      <c r="DD25" s="870"/>
      <c r="DE25" s="870"/>
      <c r="DF25" s="870"/>
      <c r="DG25" s="870"/>
      <c r="DH25" s="870"/>
      <c r="DI25" s="870"/>
      <c r="DJ25" s="22">
        <v>0</v>
      </c>
      <c r="DK25" s="948"/>
      <c r="DL25" s="870"/>
      <c r="DM25" s="871"/>
      <c r="DN25" s="870"/>
      <c r="DO25" s="870"/>
      <c r="DP25" s="870"/>
      <c r="DQ25" s="870"/>
      <c r="DR25" s="870"/>
      <c r="DS25" s="870"/>
      <c r="DT25" s="870"/>
      <c r="DU25" s="870"/>
      <c r="DV25" s="870"/>
      <c r="DW25" s="870"/>
      <c r="DX25" s="22">
        <v>0</v>
      </c>
    </row>
    <row r="26" spans="1:128" ht="18.75" hidden="1">
      <c r="A26" s="19">
        <v>0</v>
      </c>
      <c r="B26" s="904" t="s">
        <v>39</v>
      </c>
      <c r="C26" s="905"/>
      <c r="D26" s="265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66"/>
      <c r="Q26" s="21"/>
      <c r="R26" s="265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67"/>
      <c r="AE26" s="23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5"/>
      <c r="AQ26" s="22"/>
      <c r="AR26" s="22"/>
      <c r="AS26" s="23"/>
      <c r="AT26" s="22"/>
      <c r="AU26" s="270"/>
      <c r="AV26" s="22"/>
      <c r="AW26" s="22"/>
      <c r="AX26" s="22"/>
      <c r="AY26" s="22"/>
      <c r="AZ26" s="22"/>
      <c r="BA26" s="22"/>
      <c r="BB26" s="26"/>
      <c r="BC26" s="22"/>
      <c r="BD26" s="22"/>
      <c r="BE26" s="22"/>
      <c r="BF26" s="22"/>
      <c r="BG26" s="27"/>
      <c r="BH26" s="22"/>
      <c r="BI26" s="270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8"/>
      <c r="BV26" s="22"/>
      <c r="BW26" s="270"/>
      <c r="BX26" s="22"/>
      <c r="BY26" s="22"/>
      <c r="BZ26" s="22"/>
      <c r="CA26" s="22"/>
      <c r="CB26" s="22"/>
      <c r="CC26" s="22"/>
      <c r="CD26" s="22"/>
      <c r="CE26" s="22">
        <v>34501</v>
      </c>
      <c r="CF26" s="22">
        <v>18809</v>
      </c>
      <c r="CG26" s="22">
        <v>12618</v>
      </c>
      <c r="CH26" s="22"/>
      <c r="CJ26" s="22">
        <v>11940</v>
      </c>
      <c r="CK26" s="270">
        <v>19956</v>
      </c>
      <c r="CL26" s="22">
        <v>15650</v>
      </c>
      <c r="CM26" s="22">
        <v>12005</v>
      </c>
      <c r="CN26" s="22"/>
      <c r="CO26" s="22"/>
      <c r="CP26" s="22"/>
      <c r="CQ26" s="22"/>
      <c r="CR26" s="22"/>
      <c r="CS26" s="22">
        <v>6064</v>
      </c>
      <c r="CT26" s="22"/>
      <c r="CU26" s="22"/>
      <c r="CV26" s="22"/>
      <c r="CW26" s="758"/>
      <c r="CX26" s="870"/>
      <c r="CY26" s="871"/>
      <c r="CZ26" s="870"/>
      <c r="DA26" s="870"/>
      <c r="DB26" s="870"/>
      <c r="DC26" s="870"/>
      <c r="DD26" s="870"/>
      <c r="DE26" s="870"/>
      <c r="DF26" s="870"/>
      <c r="DG26" s="870"/>
      <c r="DH26" s="870"/>
      <c r="DI26" s="870"/>
      <c r="DJ26" s="22"/>
      <c r="DK26" s="948"/>
      <c r="DL26" s="870"/>
      <c r="DM26" s="871"/>
      <c r="DN26" s="870"/>
      <c r="DO26" s="870"/>
      <c r="DP26" s="870"/>
      <c r="DQ26" s="870"/>
      <c r="DR26" s="870"/>
      <c r="DS26" s="870"/>
      <c r="DT26" s="870"/>
      <c r="DU26" s="870"/>
      <c r="DV26" s="870"/>
      <c r="DW26" s="870"/>
      <c r="DX26" s="22"/>
    </row>
    <row r="27" spans="1:128" ht="18.75" hidden="1">
      <c r="A27" s="19">
        <v>0</v>
      </c>
      <c r="B27" s="904" t="s">
        <v>40</v>
      </c>
      <c r="C27" s="905"/>
      <c r="D27" s="265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66"/>
      <c r="Q27" s="21"/>
      <c r="R27" s="265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67"/>
      <c r="AE27" s="23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5"/>
      <c r="AQ27" s="22"/>
      <c r="AR27" s="22"/>
      <c r="AS27" s="23"/>
      <c r="AT27" s="22"/>
      <c r="AU27" s="270"/>
      <c r="AV27" s="22"/>
      <c r="AW27" s="22"/>
      <c r="AX27" s="22"/>
      <c r="AY27" s="22"/>
      <c r="AZ27" s="22"/>
      <c r="BA27" s="22"/>
      <c r="BB27" s="26"/>
      <c r="BC27" s="22"/>
      <c r="BD27" s="22"/>
      <c r="BE27" s="22"/>
      <c r="BF27" s="22"/>
      <c r="BG27" s="27"/>
      <c r="BH27" s="22"/>
      <c r="BI27" s="270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8"/>
      <c r="BV27" s="22"/>
      <c r="BW27" s="270"/>
      <c r="BX27" s="22"/>
      <c r="BY27" s="22"/>
      <c r="BZ27" s="22"/>
      <c r="CA27" s="22"/>
      <c r="CB27" s="22"/>
      <c r="CC27" s="22"/>
      <c r="CD27" s="22"/>
      <c r="CE27" s="22">
        <v>12837</v>
      </c>
      <c r="CF27" s="22">
        <v>11839</v>
      </c>
      <c r="CG27" s="22">
        <v>20519</v>
      </c>
      <c r="CH27" s="22"/>
      <c r="CJ27" s="22">
        <v>17816</v>
      </c>
      <c r="CK27" s="270">
        <v>17432</v>
      </c>
      <c r="CL27" s="22">
        <v>21670</v>
      </c>
      <c r="CM27" s="22">
        <v>19092</v>
      </c>
      <c r="CN27" s="22"/>
      <c r="CO27" s="22"/>
      <c r="CP27" s="22"/>
      <c r="CQ27" s="22"/>
      <c r="CR27" s="22"/>
      <c r="CS27" s="22">
        <v>20858</v>
      </c>
      <c r="CT27" s="22"/>
      <c r="CU27" s="22"/>
      <c r="CV27" s="22"/>
      <c r="CW27" s="758"/>
      <c r="CX27" s="870"/>
      <c r="CY27" s="871"/>
      <c r="CZ27" s="870"/>
      <c r="DA27" s="870"/>
      <c r="DB27" s="870"/>
      <c r="DC27" s="870"/>
      <c r="DD27" s="870"/>
      <c r="DE27" s="870"/>
      <c r="DF27" s="870"/>
      <c r="DG27" s="870"/>
      <c r="DH27" s="870"/>
      <c r="DI27" s="870"/>
      <c r="DJ27" s="22"/>
      <c r="DK27" s="948"/>
      <c r="DL27" s="870"/>
      <c r="DM27" s="871"/>
      <c r="DN27" s="870"/>
      <c r="DO27" s="870"/>
      <c r="DP27" s="870"/>
      <c r="DQ27" s="870"/>
      <c r="DR27" s="870"/>
      <c r="DS27" s="870"/>
      <c r="DT27" s="870"/>
      <c r="DU27" s="870"/>
      <c r="DV27" s="870"/>
      <c r="DW27" s="870"/>
      <c r="DX27" s="22"/>
    </row>
    <row r="28" spans="1:128" ht="18.75" hidden="1">
      <c r="A28" s="13" t="s">
        <v>42</v>
      </c>
      <c r="B28" s="908"/>
      <c r="C28" s="909" t="s">
        <v>43</v>
      </c>
      <c r="D28" s="277">
        <f>D19-D23</f>
        <v>162884</v>
      </c>
      <c r="E28" s="33">
        <f>E19+E25-E23-E66</f>
        <v>200610</v>
      </c>
      <c r="F28" s="33">
        <f>F19+F25-F23-F66</f>
        <v>192475</v>
      </c>
      <c r="G28" s="33">
        <f>G19+G25-G23-G66</f>
        <v>231853</v>
      </c>
      <c r="H28" s="33">
        <f>H19+H25-H23-H66</f>
        <v>253292</v>
      </c>
      <c r="I28" s="33">
        <f>I19+I25-I23-I66</f>
        <v>305688</v>
      </c>
      <c r="J28" s="33">
        <f>J19+J25-J23-J66</f>
        <v>355297</v>
      </c>
      <c r="K28" s="33">
        <f>K19+K25-K23-K66</f>
        <v>367201</v>
      </c>
      <c r="L28" s="33">
        <f>L19+L25-L23-L66</f>
        <v>407523</v>
      </c>
      <c r="M28" s="33">
        <f>M19+M25-M23-M66</f>
        <v>297747</v>
      </c>
      <c r="N28" s="33">
        <f>N19+N25-N23-N66</f>
        <v>0</v>
      </c>
      <c r="O28" s="33">
        <f>O19+O25-O23-O66</f>
        <v>143875</v>
      </c>
      <c r="P28" s="262">
        <f>J28</f>
        <v>355297</v>
      </c>
      <c r="Q28" s="15"/>
      <c r="R28" s="277">
        <f>R19-R23</f>
        <v>172568</v>
      </c>
      <c r="S28" s="14">
        <f>S19+S25-S23-S66</f>
        <v>244205</v>
      </c>
      <c r="T28" s="14">
        <f>T19+T25-T23-T66</f>
        <v>237108</v>
      </c>
      <c r="U28" s="14">
        <f>U19+U25-U23-U66</f>
        <v>222510</v>
      </c>
      <c r="V28" s="14">
        <f>V19+V25-V23-V66</f>
        <v>179647</v>
      </c>
      <c r="W28" s="14">
        <f>W19+W25-W23-W66</f>
        <v>289587</v>
      </c>
      <c r="X28" s="14">
        <f>X19+X25-X23-X66</f>
        <v>281331</v>
      </c>
      <c r="Y28" s="14">
        <f>Y19+Y25-Y23-Y66</f>
        <v>325686</v>
      </c>
      <c r="Z28" s="14">
        <f>Z19+Z25-Z23-Z66</f>
        <v>319329</v>
      </c>
      <c r="AA28" s="14">
        <f>AA19+AA25-AA23-AA66</f>
        <v>268663</v>
      </c>
      <c r="AB28" s="14">
        <f>AB19+AB25-AB23-AB66</f>
        <v>187543</v>
      </c>
      <c r="AC28" s="14">
        <f>AC19+AC25-AC23-AC66</f>
        <v>196995</v>
      </c>
      <c r="AD28" s="263">
        <f>X28</f>
        <v>281331</v>
      </c>
      <c r="AE28" s="16"/>
      <c r="AF28" s="14">
        <f t="shared" ref="AF28:AQ28" si="31">AF19+AF23+AF22</f>
        <v>228387</v>
      </c>
      <c r="AG28" s="14">
        <f t="shared" si="31"/>
        <v>263548</v>
      </c>
      <c r="AH28" s="14">
        <f t="shared" si="31"/>
        <v>366224</v>
      </c>
      <c r="AI28" s="14">
        <f t="shared" si="31"/>
        <v>361348</v>
      </c>
      <c r="AJ28" s="14">
        <f t="shared" si="31"/>
        <v>384008</v>
      </c>
      <c r="AK28" s="14">
        <f t="shared" si="31"/>
        <v>434489</v>
      </c>
      <c r="AL28" s="14">
        <f t="shared" si="31"/>
        <v>436438</v>
      </c>
      <c r="AM28" s="14">
        <f t="shared" si="31"/>
        <v>463198</v>
      </c>
      <c r="AN28" s="14">
        <f t="shared" si="31"/>
        <v>425121</v>
      </c>
      <c r="AO28" s="14">
        <f t="shared" si="31"/>
        <v>355477</v>
      </c>
      <c r="AP28" s="14">
        <f t="shared" si="31"/>
        <v>288104</v>
      </c>
      <c r="AQ28" s="14">
        <f t="shared" si="31"/>
        <v>298855</v>
      </c>
      <c r="AR28" s="14">
        <f t="shared" si="11"/>
        <v>298855</v>
      </c>
      <c r="AS28" s="17"/>
      <c r="AT28" s="14">
        <f t="shared" ref="AT28:BE28" si="32">AT19+AT23+AT22</f>
        <v>326269</v>
      </c>
      <c r="AU28" s="14">
        <f t="shared" si="32"/>
        <v>301870</v>
      </c>
      <c r="AV28" s="14">
        <f t="shared" si="32"/>
        <v>285491</v>
      </c>
      <c r="AW28" s="14">
        <f t="shared" si="32"/>
        <v>267653</v>
      </c>
      <c r="AX28" s="14">
        <f t="shared" si="32"/>
        <v>273960</v>
      </c>
      <c r="AY28" s="14">
        <f t="shared" si="32"/>
        <v>326260</v>
      </c>
      <c r="AZ28" s="14">
        <f t="shared" si="32"/>
        <v>333221</v>
      </c>
      <c r="BA28" s="14">
        <f t="shared" si="32"/>
        <v>354862</v>
      </c>
      <c r="BB28" s="14">
        <f t="shared" si="32"/>
        <v>348162</v>
      </c>
      <c r="BC28" s="14">
        <f t="shared" si="32"/>
        <v>319093</v>
      </c>
      <c r="BD28" s="14">
        <f t="shared" si="32"/>
        <v>293379</v>
      </c>
      <c r="BE28" s="14">
        <f t="shared" si="32"/>
        <v>234110</v>
      </c>
      <c r="BF28" s="32">
        <f t="shared" ref="BF28:BF29" si="33">SUM(AT28:BE28)</f>
        <v>3664330</v>
      </c>
      <c r="BG28" s="17"/>
      <c r="BH28" s="14">
        <f t="shared" ref="BH28:BS28" si="34">BH19+BH23+BH22</f>
        <v>285296</v>
      </c>
      <c r="BI28" s="14">
        <f t="shared" si="34"/>
        <v>282956</v>
      </c>
      <c r="BJ28" s="14">
        <f t="shared" si="34"/>
        <v>295165</v>
      </c>
      <c r="BK28" s="14">
        <f t="shared" si="34"/>
        <v>286135</v>
      </c>
      <c r="BL28" s="14">
        <f t="shared" si="34"/>
        <v>250340</v>
      </c>
      <c r="BM28" s="14">
        <f t="shared" si="34"/>
        <v>247600</v>
      </c>
      <c r="BN28" s="14">
        <f t="shared" si="34"/>
        <v>293505</v>
      </c>
      <c r="BO28" s="14">
        <f t="shared" si="34"/>
        <v>274542</v>
      </c>
      <c r="BP28" s="14">
        <f t="shared" si="34"/>
        <v>260352</v>
      </c>
      <c r="BQ28" s="14">
        <f>BQ19+BQ23+BQ22</f>
        <v>238595</v>
      </c>
      <c r="BR28" s="14">
        <f t="shared" si="34"/>
        <v>187546</v>
      </c>
      <c r="BS28" s="14">
        <f t="shared" si="34"/>
        <v>189617</v>
      </c>
      <c r="BT28" s="14">
        <f t="shared" si="30"/>
        <v>189617</v>
      </c>
      <c r="BU28" s="18"/>
      <c r="BV28" s="14">
        <f>BV19+BV23+BV22</f>
        <v>171889</v>
      </c>
      <c r="BW28" s="14">
        <f>BW19+BW25+BW22</f>
        <v>193178</v>
      </c>
      <c r="BX28" s="14">
        <f>BX19+BX23+BX22</f>
        <v>228367</v>
      </c>
      <c r="BY28" s="14">
        <f>BY19+BY23+BY22</f>
        <v>261297</v>
      </c>
      <c r="BZ28" s="14">
        <f>BZ19+BZ23+BZ22</f>
        <v>277757</v>
      </c>
      <c r="CA28" s="14">
        <f>CA19+CA23+CA22</f>
        <v>329719</v>
      </c>
      <c r="CB28" s="14">
        <f>CB19+CB23+CB22</f>
        <v>316656</v>
      </c>
      <c r="CC28" s="14">
        <f>CC19+CC23+CC22</f>
        <v>290388</v>
      </c>
      <c r="CD28" s="14">
        <f>CD19+CD23+CD22</f>
        <v>185778</v>
      </c>
      <c r="CE28" s="14">
        <f>CE19+CE23+CE22</f>
        <v>153110</v>
      </c>
      <c r="CF28" s="14">
        <f>CF19+CF23+CF22</f>
        <v>170562</v>
      </c>
      <c r="CG28" s="14">
        <f>CG19+CG23+CG22</f>
        <v>167396</v>
      </c>
      <c r="CH28" s="14">
        <f t="shared" si="29"/>
        <v>167396</v>
      </c>
      <c r="CJ28" s="14">
        <v>224424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758"/>
      <c r="CX28" s="873">
        <v>224424</v>
      </c>
      <c r="CY28" s="873">
        <v>0</v>
      </c>
      <c r="CZ28" s="873">
        <v>0</v>
      </c>
      <c r="DA28" s="873">
        <v>0</v>
      </c>
      <c r="DB28" s="873">
        <v>0</v>
      </c>
      <c r="DC28" s="873">
        <v>0</v>
      </c>
      <c r="DD28" s="873">
        <v>0</v>
      </c>
      <c r="DE28" s="873">
        <v>0</v>
      </c>
      <c r="DF28" s="873">
        <v>0</v>
      </c>
      <c r="DG28" s="873">
        <v>0</v>
      </c>
      <c r="DH28" s="873">
        <v>0</v>
      </c>
      <c r="DI28" s="873">
        <v>0</v>
      </c>
      <c r="DJ28" s="14">
        <v>0</v>
      </c>
      <c r="DK28" s="948"/>
      <c r="DL28" s="873">
        <v>224424</v>
      </c>
      <c r="DM28" s="873">
        <v>0</v>
      </c>
      <c r="DN28" s="873">
        <v>0</v>
      </c>
      <c r="DO28" s="873">
        <v>0</v>
      </c>
      <c r="DP28" s="873">
        <v>0</v>
      </c>
      <c r="DQ28" s="873">
        <v>0</v>
      </c>
      <c r="DR28" s="873">
        <v>0</v>
      </c>
      <c r="DS28" s="873">
        <v>0</v>
      </c>
      <c r="DT28" s="873">
        <v>0</v>
      </c>
      <c r="DU28" s="873">
        <v>0</v>
      </c>
      <c r="DV28" s="873">
        <v>0</v>
      </c>
      <c r="DW28" s="873">
        <v>0</v>
      </c>
      <c r="DX28" s="14">
        <v>0</v>
      </c>
    </row>
    <row r="29" spans="1:128" ht="18.75" hidden="1">
      <c r="A29" s="34" t="s">
        <v>44</v>
      </c>
      <c r="B29" s="910"/>
      <c r="C29" s="911" t="s">
        <v>45</v>
      </c>
      <c r="D29" s="277">
        <f t="shared" ref="D29:O29" si="35">D10-D25-D23</f>
        <v>264261</v>
      </c>
      <c r="E29" s="33">
        <f t="shared" si="35"/>
        <v>275849</v>
      </c>
      <c r="F29" s="33">
        <f t="shared" si="35"/>
        <v>280253</v>
      </c>
      <c r="G29" s="33">
        <f t="shared" si="35"/>
        <v>256146</v>
      </c>
      <c r="H29" s="33">
        <f t="shared" si="35"/>
        <v>282462</v>
      </c>
      <c r="I29" s="33">
        <f t="shared" si="35"/>
        <v>336508</v>
      </c>
      <c r="J29" s="33">
        <f t="shared" si="35"/>
        <v>394861</v>
      </c>
      <c r="K29" s="33">
        <f t="shared" si="35"/>
        <v>399944</v>
      </c>
      <c r="L29" s="33">
        <f t="shared" si="35"/>
        <v>403515</v>
      </c>
      <c r="M29" s="33">
        <f t="shared" si="35"/>
        <v>254037</v>
      </c>
      <c r="N29" s="33">
        <f t="shared" si="35"/>
        <v>0</v>
      </c>
      <c r="O29" s="33">
        <f t="shared" si="35"/>
        <v>188264</v>
      </c>
      <c r="P29" s="262">
        <f t="shared" ref="P29:P30" si="36">O29</f>
        <v>188264</v>
      </c>
      <c r="Q29" s="15"/>
      <c r="R29" s="277">
        <f t="shared" ref="R29:AC29" si="37">R10-R25-R23</f>
        <v>244467</v>
      </c>
      <c r="S29" s="14">
        <f t="shared" si="37"/>
        <v>295020</v>
      </c>
      <c r="T29" s="14">
        <f t="shared" si="37"/>
        <v>254796</v>
      </c>
      <c r="U29" s="14">
        <f t="shared" si="37"/>
        <v>240747</v>
      </c>
      <c r="V29" s="14">
        <f t="shared" si="37"/>
        <v>104747</v>
      </c>
      <c r="W29" s="14">
        <f t="shared" si="37"/>
        <v>162106</v>
      </c>
      <c r="X29" s="14">
        <f t="shared" si="37"/>
        <v>340068</v>
      </c>
      <c r="Y29" s="14">
        <f t="shared" si="37"/>
        <v>322792</v>
      </c>
      <c r="Z29" s="14">
        <f t="shared" si="37"/>
        <v>330677</v>
      </c>
      <c r="AA29" s="14">
        <f t="shared" si="37"/>
        <v>229141</v>
      </c>
      <c r="AB29" s="14">
        <f t="shared" si="37"/>
        <v>126169</v>
      </c>
      <c r="AC29" s="14">
        <f t="shared" si="37"/>
        <v>173047</v>
      </c>
      <c r="AD29" s="263">
        <f t="shared" ref="AD29:AD30" si="38">AC29</f>
        <v>173047</v>
      </c>
      <c r="AE29" s="16"/>
      <c r="AF29" s="261">
        <f>AF28-AF23</f>
        <v>220021</v>
      </c>
      <c r="AG29" s="261">
        <f>AG28-AG23</f>
        <v>252014</v>
      </c>
      <c r="AH29" s="261">
        <f>AH28-AH23</f>
        <v>354717</v>
      </c>
      <c r="AI29" s="261">
        <f>AI28-AI23</f>
        <v>352200</v>
      </c>
      <c r="AJ29" s="261">
        <f>AJ28-AJ23</f>
        <v>375484</v>
      </c>
      <c r="AK29" s="261">
        <f>AK28-AK23</f>
        <v>409199</v>
      </c>
      <c r="AL29" s="261">
        <f>AL28-AL23</f>
        <v>345358</v>
      </c>
      <c r="AM29" s="261">
        <f>AM28-AM23</f>
        <v>396368</v>
      </c>
      <c r="AN29" s="261">
        <f>AN28-AN23</f>
        <v>388255</v>
      </c>
      <c r="AO29" s="261">
        <f>AO28-AO23</f>
        <v>339304</v>
      </c>
      <c r="AP29" s="261">
        <f>AP28-AP23</f>
        <v>109830</v>
      </c>
      <c r="AQ29" s="261">
        <f>AQ28-AQ23</f>
        <v>88190</v>
      </c>
      <c r="AR29" s="14">
        <f t="shared" si="11"/>
        <v>88190</v>
      </c>
      <c r="AS29" s="17"/>
      <c r="AT29" s="261">
        <f>AT28-AT23</f>
        <v>205194</v>
      </c>
      <c r="AU29" s="261">
        <f>AU28-AU23</f>
        <v>152494</v>
      </c>
      <c r="AV29" s="261">
        <f>AV28-AV23</f>
        <v>180953</v>
      </c>
      <c r="AW29" s="261">
        <f>AW28-AW23</f>
        <v>162391</v>
      </c>
      <c r="AX29" s="261">
        <f>AX28-AX23</f>
        <v>152887</v>
      </c>
      <c r="AY29" s="261">
        <f>AY28-AY23</f>
        <v>162329</v>
      </c>
      <c r="AZ29" s="261">
        <f>AZ28-AZ23</f>
        <v>223257</v>
      </c>
      <c r="BA29" s="261">
        <f>BA28-BA23</f>
        <v>206596</v>
      </c>
      <c r="BB29" s="261">
        <f>BB28-BB23</f>
        <v>217465</v>
      </c>
      <c r="BC29" s="261">
        <f>BC28-BC23</f>
        <v>205314</v>
      </c>
      <c r="BD29" s="261">
        <f>BD28-BD23</f>
        <v>202260</v>
      </c>
      <c r="BE29" s="261">
        <f>BE28-BE23</f>
        <v>130824</v>
      </c>
      <c r="BF29" s="32">
        <f t="shared" si="33"/>
        <v>2201964</v>
      </c>
      <c r="BG29" s="35">
        <f>SUM(AT33:AY33)/SUM(AF67:AK67)-1</f>
        <v>0.2283258050797119</v>
      </c>
      <c r="BH29" s="416">
        <f>BH28-BH23</f>
        <v>235665</v>
      </c>
      <c r="BI29" s="416">
        <f>BI28-BI23</f>
        <v>230003</v>
      </c>
      <c r="BJ29" s="416">
        <f>BJ28-BJ23</f>
        <v>266725</v>
      </c>
      <c r="BK29" s="416">
        <f>BK28-BK23</f>
        <v>202534</v>
      </c>
      <c r="BL29" s="417">
        <f>BL28-BL23</f>
        <v>224528</v>
      </c>
      <c r="BM29" s="417">
        <f>BM28-BM23</f>
        <v>188055</v>
      </c>
      <c r="BN29" s="417">
        <f>BN28-BN23</f>
        <v>210070</v>
      </c>
      <c r="BO29" s="417">
        <f>BO28-BO23</f>
        <v>240501</v>
      </c>
      <c r="BP29" s="417">
        <f>BP28-BP23</f>
        <v>237953</v>
      </c>
      <c r="BQ29" s="417">
        <f>BQ28-BQ23</f>
        <v>213708</v>
      </c>
      <c r="BR29" s="417">
        <f>BR28-BR23</f>
        <v>175363</v>
      </c>
      <c r="BS29" s="417">
        <f>BS28-BS23</f>
        <v>177434</v>
      </c>
      <c r="BT29" s="417">
        <f t="shared" si="30"/>
        <v>177434</v>
      </c>
      <c r="BU29" s="18"/>
      <c r="BV29" s="261">
        <f>BV28-BV23</f>
        <v>166673</v>
      </c>
      <c r="BW29" s="261">
        <f>BW28-BW23</f>
        <v>193178</v>
      </c>
      <c r="BX29" s="261">
        <f>BX28-BX23</f>
        <v>163094</v>
      </c>
      <c r="BY29" s="416">
        <f>BY28-BY23</f>
        <v>191115</v>
      </c>
      <c r="BZ29" s="417">
        <f>BZ28-BZ23</f>
        <v>220098</v>
      </c>
      <c r="CA29" s="417">
        <f>CA28-CA23</f>
        <v>258050</v>
      </c>
      <c r="CB29" s="417">
        <f>CB28-CB23</f>
        <v>243578</v>
      </c>
      <c r="CC29" s="417">
        <f>CC28-CC23</f>
        <v>205086</v>
      </c>
      <c r="CD29" s="417">
        <f>CD28-CD23</f>
        <v>160435</v>
      </c>
      <c r="CE29" s="417">
        <f>CE28-CE23</f>
        <v>134080</v>
      </c>
      <c r="CF29" s="417">
        <f>CF28-CF23</f>
        <v>151140</v>
      </c>
      <c r="CG29" s="417">
        <f>CG28-CG23</f>
        <v>141469</v>
      </c>
      <c r="CH29" s="417">
        <f t="shared" si="29"/>
        <v>141469</v>
      </c>
      <c r="CJ29" s="261">
        <v>219208</v>
      </c>
      <c r="CK29" s="261">
        <v>0</v>
      </c>
      <c r="CL29" s="261">
        <v>0</v>
      </c>
      <c r="CM29" s="416">
        <v>0</v>
      </c>
      <c r="CN29" s="417">
        <v>0</v>
      </c>
      <c r="CO29" s="417">
        <v>0</v>
      </c>
      <c r="CP29" s="417">
        <v>0</v>
      </c>
      <c r="CQ29" s="417">
        <v>0</v>
      </c>
      <c r="CR29" s="417">
        <v>0</v>
      </c>
      <c r="CS29" s="417">
        <v>0</v>
      </c>
      <c r="CT29" s="417">
        <v>0</v>
      </c>
      <c r="CU29" s="417">
        <v>0</v>
      </c>
      <c r="CV29" s="417">
        <v>0</v>
      </c>
      <c r="CW29" s="758"/>
      <c r="CX29" s="874">
        <v>219208</v>
      </c>
      <c r="CY29" s="874">
        <v>0</v>
      </c>
      <c r="CZ29" s="874">
        <v>0</v>
      </c>
      <c r="DA29" s="875">
        <v>0</v>
      </c>
      <c r="DB29" s="876">
        <v>0</v>
      </c>
      <c r="DC29" s="876">
        <v>0</v>
      </c>
      <c r="DD29" s="876">
        <v>0</v>
      </c>
      <c r="DE29" s="876">
        <v>0</v>
      </c>
      <c r="DF29" s="876">
        <v>0</v>
      </c>
      <c r="DG29" s="876">
        <v>0</v>
      </c>
      <c r="DH29" s="876">
        <v>0</v>
      </c>
      <c r="DI29" s="876">
        <v>0</v>
      </c>
      <c r="DJ29" s="417">
        <v>0</v>
      </c>
      <c r="DK29" s="948"/>
      <c r="DL29" s="874">
        <v>219208</v>
      </c>
      <c r="DM29" s="874">
        <v>0</v>
      </c>
      <c r="DN29" s="874">
        <v>0</v>
      </c>
      <c r="DO29" s="875">
        <v>0</v>
      </c>
      <c r="DP29" s="876">
        <v>0</v>
      </c>
      <c r="DQ29" s="876">
        <v>0</v>
      </c>
      <c r="DR29" s="876">
        <v>0</v>
      </c>
      <c r="DS29" s="876">
        <v>0</v>
      </c>
      <c r="DT29" s="876">
        <v>0</v>
      </c>
      <c r="DU29" s="876">
        <v>0</v>
      </c>
      <c r="DV29" s="876">
        <v>0</v>
      </c>
      <c r="DW29" s="876">
        <v>0</v>
      </c>
      <c r="DX29" s="417">
        <v>0</v>
      </c>
    </row>
    <row r="30" spans="1:128" s="748" customFormat="1" ht="18.75" hidden="1">
      <c r="A30" s="739" t="s">
        <v>120</v>
      </c>
      <c r="B30" s="736"/>
      <c r="C30" s="737" t="s">
        <v>47</v>
      </c>
      <c r="D30" s="738">
        <f t="shared" ref="D30:O30" si="39">D10</f>
        <v>304786</v>
      </c>
      <c r="E30" s="740">
        <f t="shared" si="39"/>
        <v>311986</v>
      </c>
      <c r="F30" s="740">
        <f t="shared" si="39"/>
        <v>328231</v>
      </c>
      <c r="G30" s="740">
        <f t="shared" si="39"/>
        <v>317873</v>
      </c>
      <c r="H30" s="740">
        <f t="shared" si="39"/>
        <v>347196</v>
      </c>
      <c r="I30" s="740">
        <f t="shared" si="39"/>
        <v>402253</v>
      </c>
      <c r="J30" s="740">
        <f t="shared" si="39"/>
        <v>454488</v>
      </c>
      <c r="K30" s="740">
        <f t="shared" si="39"/>
        <v>447182</v>
      </c>
      <c r="L30" s="740">
        <f t="shared" si="39"/>
        <v>416931</v>
      </c>
      <c r="M30" s="740">
        <f t="shared" si="39"/>
        <v>304402</v>
      </c>
      <c r="N30" s="740">
        <f t="shared" si="39"/>
        <v>0</v>
      </c>
      <c r="O30" s="740">
        <f t="shared" si="39"/>
        <v>188264</v>
      </c>
      <c r="P30" s="741">
        <f t="shared" si="36"/>
        <v>188264</v>
      </c>
      <c r="Q30" s="742"/>
      <c r="R30" s="743">
        <f t="shared" ref="R30:AC30" si="40">R10</f>
        <v>283359</v>
      </c>
      <c r="S30" s="744">
        <f t="shared" si="40"/>
        <v>342718</v>
      </c>
      <c r="T30" s="744">
        <f t="shared" si="40"/>
        <v>313212</v>
      </c>
      <c r="U30" s="744">
        <f t="shared" si="40"/>
        <v>298093</v>
      </c>
      <c r="V30" s="744">
        <f t="shared" si="40"/>
        <v>206617</v>
      </c>
      <c r="W30" s="744">
        <f t="shared" si="40"/>
        <v>235875</v>
      </c>
      <c r="X30" s="744">
        <f t="shared" si="40"/>
        <v>360135</v>
      </c>
      <c r="Y30" s="744">
        <f t="shared" si="40"/>
        <v>361665</v>
      </c>
      <c r="Z30" s="744">
        <f t="shared" si="40"/>
        <v>353400</v>
      </c>
      <c r="AA30" s="744">
        <f t="shared" si="40"/>
        <v>272097</v>
      </c>
      <c r="AB30" s="744">
        <f t="shared" si="40"/>
        <v>170626</v>
      </c>
      <c r="AC30" s="744">
        <f t="shared" si="40"/>
        <v>197551</v>
      </c>
      <c r="AD30" s="745">
        <f t="shared" si="38"/>
        <v>197551</v>
      </c>
      <c r="AE30" s="746"/>
      <c r="AF30" s="744">
        <f>AF10-AF66</f>
        <v>255339</v>
      </c>
      <c r="AG30" s="744">
        <f>AG10-AG66</f>
        <v>292621</v>
      </c>
      <c r="AH30" s="744">
        <f>AH10-AH66</f>
        <v>397976</v>
      </c>
      <c r="AI30" s="744">
        <f>AI10-AI66</f>
        <v>388165</v>
      </c>
      <c r="AJ30" s="744">
        <f>AJ10-AJ66</f>
        <v>409301</v>
      </c>
      <c r="AK30" s="744">
        <f>AK10-AK66</f>
        <v>490913</v>
      </c>
      <c r="AL30" s="744">
        <f>AL10-AL66</f>
        <v>563229</v>
      </c>
      <c r="AM30" s="744">
        <f>AM10-AM66</f>
        <v>559169</v>
      </c>
      <c r="AN30" s="744">
        <f>AN10-AN66</f>
        <v>487294</v>
      </c>
      <c r="AO30" s="744">
        <f>AO10-AO66</f>
        <v>407614</v>
      </c>
      <c r="AP30" s="744">
        <f>AP10-AP66</f>
        <v>503756</v>
      </c>
      <c r="AQ30" s="744">
        <f>AQ10-AQ66</f>
        <v>522741</v>
      </c>
      <c r="AR30" s="744">
        <f t="shared" si="11"/>
        <v>522741</v>
      </c>
      <c r="AS30" s="746"/>
      <c r="AT30" s="744">
        <f>AT10-AT66</f>
        <v>364736</v>
      </c>
      <c r="AU30" s="744">
        <f>AU10-AU66</f>
        <v>382608</v>
      </c>
      <c r="AV30" s="744">
        <f>AV10-AV66</f>
        <v>322837</v>
      </c>
      <c r="AW30" s="744">
        <f>AW10-AW66</f>
        <v>339249</v>
      </c>
      <c r="AX30" s="744">
        <f>AX10-AX66</f>
        <v>382307</v>
      </c>
      <c r="AY30" s="744">
        <f>AY10-AY66</f>
        <v>446417</v>
      </c>
      <c r="AZ30" s="744">
        <f>AZ10-AZ66</f>
        <v>406019</v>
      </c>
      <c r="BA30" s="744">
        <f>BA10-BA66</f>
        <v>457091</v>
      </c>
      <c r="BB30" s="744">
        <f>BB10-BB66</f>
        <v>439103</v>
      </c>
      <c r="BC30" s="744">
        <f>BB30-BC33+BC80-BC66</f>
        <v>267702.70924434217</v>
      </c>
      <c r="BD30" s="744">
        <f>BC30-BD33+BD80-BD66</f>
        <v>224792.12236286921</v>
      </c>
      <c r="BE30" s="744">
        <f>BD30-BE33+BE80-BE66</f>
        <v>209302.50939777523</v>
      </c>
      <c r="BF30" s="744">
        <f>BE30</f>
        <v>209302.50939777523</v>
      </c>
      <c r="BG30" s="747">
        <f>BG33/AR33</f>
        <v>7.0333736034655189E-2</v>
      </c>
      <c r="BH30" s="744">
        <f>BH10-BH66</f>
        <v>287739</v>
      </c>
      <c r="BI30" s="744">
        <f>BI10-BI66</f>
        <v>274599</v>
      </c>
      <c r="BJ30" s="744">
        <f>BJ10-BJ66</f>
        <v>249895</v>
      </c>
      <c r="BK30" s="744">
        <f>BK10-BK66</f>
        <v>311315</v>
      </c>
      <c r="BL30" s="744">
        <f>BL10-BL66</f>
        <v>277855</v>
      </c>
      <c r="BM30" s="744">
        <f>BM10-BM66</f>
        <v>301815</v>
      </c>
      <c r="BN30" s="744">
        <f>BN10-BN66</f>
        <v>325519</v>
      </c>
      <c r="BO30" s="744">
        <f>BO10-BO66</f>
        <v>255915</v>
      </c>
      <c r="BP30" s="744">
        <f>BP10-BP66</f>
        <v>198711</v>
      </c>
      <c r="BQ30" s="744">
        <f>BQ10-BQ66</f>
        <v>182301</v>
      </c>
      <c r="BR30" s="744">
        <f>BR10-BR66</f>
        <v>228035</v>
      </c>
      <c r="BS30" s="744">
        <f>BS10-BS66</f>
        <v>201165</v>
      </c>
      <c r="BT30" s="744">
        <f t="shared" si="30"/>
        <v>201165</v>
      </c>
      <c r="BU30" s="746"/>
      <c r="BV30" s="744">
        <f>BV10-BV66</f>
        <v>247713</v>
      </c>
      <c r="BW30" s="744">
        <f>BW10-BW66</f>
        <v>278707</v>
      </c>
      <c r="BX30" s="744">
        <f>BX10-BX66</f>
        <v>281829</v>
      </c>
      <c r="BY30" s="744">
        <f>BY10-BY66</f>
        <v>317753</v>
      </c>
      <c r="BZ30" s="744">
        <f>BZ10-BZ66</f>
        <v>270339</v>
      </c>
      <c r="CA30" s="744">
        <f>CA10-CA66</f>
        <v>310383</v>
      </c>
      <c r="CB30" s="744">
        <f>CB10-CB66</f>
        <v>328365</v>
      </c>
      <c r="CC30" s="744">
        <f>CC10-CC66</f>
        <v>333476</v>
      </c>
      <c r="CD30" s="744">
        <f>CD10-CD66</f>
        <v>306264</v>
      </c>
      <c r="CE30" s="744">
        <f>CE10-CE66</f>
        <v>270370</v>
      </c>
      <c r="CF30" s="744">
        <f>CF10-CF66</f>
        <v>194014</v>
      </c>
      <c r="CG30" s="744">
        <f>CG10-CG66</f>
        <v>182266</v>
      </c>
      <c r="CH30" s="744">
        <f t="shared" si="29"/>
        <v>182266</v>
      </c>
      <c r="CJ30" s="744">
        <f t="shared" ref="CJ30:CL30" si="41">CJ27+CJ26+CJ11</f>
        <v>234793</v>
      </c>
      <c r="CK30" s="744">
        <f t="shared" si="41"/>
        <v>267818</v>
      </c>
      <c r="CL30" s="744">
        <f t="shared" si="41"/>
        <v>271663</v>
      </c>
      <c r="CM30" s="744">
        <f>CM27+CM26+CM11</f>
        <v>297485</v>
      </c>
      <c r="CN30" s="744">
        <f>CM30-CN33+CN80</f>
        <v>307923.8879612374</v>
      </c>
      <c r="CO30" s="744">
        <f>CN30-CO33+CO80</f>
        <v>370977.73306000745</v>
      </c>
      <c r="CP30" s="744">
        <f>CO30-CP33+CP80</f>
        <v>403860.22259587242</v>
      </c>
      <c r="CQ30" s="744">
        <f>CP30-CQ33+CQ80</f>
        <v>381854.52867182181</v>
      </c>
      <c r="CR30" s="744">
        <f>CQ30-CR33+CR80</f>
        <v>333996.33782793995</v>
      </c>
      <c r="CS30" s="744">
        <f>CR30-CS33+CS80</f>
        <v>289282.38677308767</v>
      </c>
      <c r="CT30" s="744">
        <f>CS30-CT33+CT80</f>
        <v>280258.78567604127</v>
      </c>
      <c r="CU30" s="744">
        <f>CT30-CU33+CU80</f>
        <v>302607.39327097801</v>
      </c>
      <c r="CV30" s="744">
        <v>116080.10690622788</v>
      </c>
      <c r="CW30" s="758"/>
      <c r="CX30" s="744">
        <f>CU30-CX33+CX80</f>
        <v>220004.58327097795</v>
      </c>
      <c r="CY30" s="744">
        <f>CX30-CY33+CY80</f>
        <v>305100.37327097793</v>
      </c>
      <c r="CZ30" s="744">
        <f t="shared" ref="CZ30:DI30" si="42">CY30-CZ33+CZ80</f>
        <v>214151.09327097793</v>
      </c>
      <c r="DA30" s="744">
        <f t="shared" si="42"/>
        <v>195015.76327097788</v>
      </c>
      <c r="DB30" s="744">
        <f t="shared" si="42"/>
        <v>184501.83327097786</v>
      </c>
      <c r="DC30" s="744">
        <f t="shared" si="42"/>
        <v>164464.55327097786</v>
      </c>
      <c r="DD30" s="744">
        <f t="shared" si="42"/>
        <v>110827.27327097781</v>
      </c>
      <c r="DE30" s="744">
        <f t="shared" si="42"/>
        <v>22900.513270977768</v>
      </c>
      <c r="DF30" s="744">
        <f t="shared" si="42"/>
        <v>-129553.74672902224</v>
      </c>
      <c r="DG30" s="744">
        <f t="shared" si="42"/>
        <v>-241759.92706657498</v>
      </c>
      <c r="DH30" s="744">
        <f t="shared" si="42"/>
        <v>-277112.95381762984</v>
      </c>
      <c r="DI30" s="744">
        <f t="shared" si="42"/>
        <v>-304044.43938725011</v>
      </c>
      <c r="DJ30" s="744">
        <v>116080.10690622788</v>
      </c>
      <c r="DK30" s="951"/>
      <c r="DL30" s="744"/>
      <c r="DM30" s="744"/>
      <c r="DN30" s="744"/>
      <c r="DO30" s="744"/>
      <c r="DP30" s="744"/>
      <c r="DQ30" s="744"/>
      <c r="DR30" s="744"/>
      <c r="DS30" s="744"/>
      <c r="DT30" s="744"/>
      <c r="DU30" s="744"/>
      <c r="DV30" s="744"/>
      <c r="DW30" s="744"/>
      <c r="DX30" s="744"/>
    </row>
    <row r="31" spans="1:128" ht="18.75" hidden="1">
      <c r="A31" s="46"/>
      <c r="B31" s="912" t="s">
        <v>48</v>
      </c>
      <c r="C31" s="913"/>
      <c r="D31" s="283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284"/>
      <c r="Q31" s="49"/>
      <c r="R31" s="283"/>
      <c r="S31" s="50"/>
      <c r="T31" s="50"/>
      <c r="U31" s="50"/>
      <c r="V31" s="51"/>
      <c r="W31" s="51"/>
      <c r="X31" s="51"/>
      <c r="Y31" s="51"/>
      <c r="Z31" s="51"/>
      <c r="AA31" s="51"/>
      <c r="AB31" s="51"/>
      <c r="AC31" s="50"/>
      <c r="AD31" s="285"/>
      <c r="AE31" s="23"/>
      <c r="AF31" s="286">
        <f>AF10/AG33</f>
        <v>1.4346741432881778</v>
      </c>
      <c r="AG31" s="286">
        <f>AG10/AH33</f>
        <v>3.9745327610561771</v>
      </c>
      <c r="AH31" s="286">
        <f>AH10/AI33</f>
        <v>4.4537254638644557</v>
      </c>
      <c r="AI31" s="286">
        <f>AI10/AJ33</f>
        <v>3.1781895295331357</v>
      </c>
      <c r="AJ31" s="286">
        <f>AJ10/AK33</f>
        <v>2.7551225094238019</v>
      </c>
      <c r="AK31" s="286">
        <f>AK10/AL33</f>
        <v>3.2297970327971317</v>
      </c>
      <c r="AL31" s="286">
        <f>AL10/AM33</f>
        <v>2.3575635299682296</v>
      </c>
      <c r="AM31" s="286">
        <f>AM10/AN33</f>
        <v>2.1413160582078121</v>
      </c>
      <c r="AN31" s="286">
        <f>AN10/AO33</f>
        <v>1.9042360296991012</v>
      </c>
      <c r="AO31" s="286">
        <f>AO10/AP33</f>
        <v>3.1686411691542289</v>
      </c>
      <c r="AP31" s="286">
        <f>AP10/AQ33</f>
        <v>5.1487735077677845</v>
      </c>
      <c r="AQ31" s="286">
        <f>AQ10/AT33</f>
        <v>3.4807306746186968</v>
      </c>
      <c r="AR31" s="287">
        <f>AQ31</f>
        <v>3.4807306746186968</v>
      </c>
      <c r="AS31" s="23"/>
      <c r="AT31" s="286">
        <f>AT10/AU33</f>
        <v>2.7971286279646934</v>
      </c>
      <c r="AU31" s="286">
        <f>AU10/AV33</f>
        <v>3.0710063937614676</v>
      </c>
      <c r="AV31" s="286">
        <f>AV10/AW33</f>
        <v>2.5847779910329129</v>
      </c>
      <c r="AW31" s="286">
        <f>AW10/AX33</f>
        <v>3.3142307600651066</v>
      </c>
      <c r="AX31" s="286">
        <f>AX10/AY33</f>
        <v>3.0202081128011216</v>
      </c>
      <c r="AY31" s="286">
        <f>AY10/(AZ63+AZ62)</f>
        <v>3.0375411110446691</v>
      </c>
      <c r="AZ31" s="286">
        <f>AZ10/(BA63+BA62)</f>
        <v>1.7862994390436959</v>
      </c>
      <c r="BA31" s="286">
        <f>BA10/(BB63+BB62)</f>
        <v>2.3917338115287117</v>
      </c>
      <c r="BB31" s="286">
        <f>BB10/(BC63+BC62)</f>
        <v>2.0297186803388318</v>
      </c>
      <c r="BC31" s="286">
        <f>BC10/(BD63+BD62)</f>
        <v>2.9418601583113455</v>
      </c>
      <c r="BD31" s="286">
        <f>BD10/(BE63+BE62)</f>
        <v>5.3595753009100697</v>
      </c>
      <c r="BE31" s="286">
        <f>BE10/BH33</f>
        <v>2.3338657833234047</v>
      </c>
      <c r="BF31" s="52"/>
      <c r="BG31" s="27"/>
      <c r="BH31" s="418">
        <f>BH10/BI33</f>
        <v>2.4324841588586663</v>
      </c>
      <c r="BI31" s="418">
        <f>BI10/BJ33</f>
        <v>2.0694790126570033</v>
      </c>
      <c r="BJ31" s="418">
        <f>BJ10/BK33</f>
        <v>2.1548303749075362</v>
      </c>
      <c r="BK31" s="418">
        <f>BK10/BL33</f>
        <v>2.940658548141605</v>
      </c>
      <c r="BL31" s="418">
        <f>BL10/BM33</f>
        <v>2.5009495450993295</v>
      </c>
      <c r="BM31" s="418">
        <f>BM10/BN33</f>
        <v>2.0577586855214944</v>
      </c>
      <c r="BN31" s="418">
        <f>BN10/BO33</f>
        <v>2.3320530115558045</v>
      </c>
      <c r="BO31" s="419"/>
      <c r="BP31" s="419"/>
      <c r="BQ31" s="419"/>
      <c r="BR31" s="419"/>
      <c r="BS31" s="419"/>
      <c r="BT31" s="419"/>
      <c r="BU31" s="54"/>
      <c r="BV31" s="286">
        <v>0</v>
      </c>
      <c r="BW31" s="286">
        <v>0</v>
      </c>
      <c r="BX31" s="286">
        <v>0</v>
      </c>
      <c r="BY31" s="418">
        <v>0</v>
      </c>
      <c r="BZ31" s="418">
        <v>0</v>
      </c>
      <c r="CA31" s="418">
        <v>0</v>
      </c>
      <c r="CB31" s="418">
        <v>0</v>
      </c>
      <c r="CC31" s="418">
        <v>0</v>
      </c>
      <c r="CD31" s="418">
        <v>0</v>
      </c>
      <c r="CE31" s="418">
        <v>0</v>
      </c>
      <c r="CF31" s="418">
        <v>0</v>
      </c>
      <c r="CG31" s="419"/>
      <c r="CH31" s="419"/>
      <c r="CJ31" s="286">
        <v>0</v>
      </c>
      <c r="CK31" s="286">
        <v>0</v>
      </c>
      <c r="CL31" s="286">
        <v>0</v>
      </c>
      <c r="CM31" s="418">
        <v>0</v>
      </c>
      <c r="CN31" s="418">
        <v>0</v>
      </c>
      <c r="CO31" s="418">
        <v>0</v>
      </c>
      <c r="CP31" s="418">
        <v>0</v>
      </c>
      <c r="CQ31" s="418">
        <v>0</v>
      </c>
      <c r="CR31" s="418">
        <v>0</v>
      </c>
      <c r="CS31" s="418">
        <v>0</v>
      </c>
      <c r="CT31" s="418">
        <v>0</v>
      </c>
      <c r="CU31" s="419"/>
      <c r="CV31" s="419"/>
      <c r="CW31" s="758"/>
      <c r="CX31" s="877">
        <v>0</v>
      </c>
      <c r="CY31" s="877">
        <v>0</v>
      </c>
      <c r="CZ31" s="877">
        <v>0</v>
      </c>
      <c r="DA31" s="878">
        <v>0</v>
      </c>
      <c r="DB31" s="878">
        <v>0</v>
      </c>
      <c r="DC31" s="878">
        <v>0</v>
      </c>
      <c r="DD31" s="878">
        <v>0</v>
      </c>
      <c r="DE31" s="878">
        <v>0</v>
      </c>
      <c r="DF31" s="878">
        <v>0</v>
      </c>
      <c r="DG31" s="878">
        <v>0</v>
      </c>
      <c r="DH31" s="878">
        <v>0</v>
      </c>
      <c r="DI31" s="879"/>
      <c r="DJ31" s="419"/>
      <c r="DK31" s="948"/>
      <c r="DL31" s="877">
        <v>0</v>
      </c>
      <c r="DM31" s="877">
        <v>0</v>
      </c>
      <c r="DN31" s="877">
        <v>0</v>
      </c>
      <c r="DO31" s="878">
        <v>0</v>
      </c>
      <c r="DP31" s="878">
        <v>0</v>
      </c>
      <c r="DQ31" s="878">
        <v>0</v>
      </c>
      <c r="DR31" s="878">
        <v>0</v>
      </c>
      <c r="DS31" s="878">
        <v>0</v>
      </c>
      <c r="DT31" s="878">
        <v>0</v>
      </c>
      <c r="DU31" s="878">
        <v>0</v>
      </c>
      <c r="DV31" s="878">
        <v>0</v>
      </c>
      <c r="DW31" s="879"/>
      <c r="DX31" s="419"/>
    </row>
    <row r="32" spans="1:128" ht="18.75" hidden="1">
      <c r="A32" s="29"/>
      <c r="B32" s="906" t="s">
        <v>41</v>
      </c>
      <c r="C32" s="907"/>
      <c r="D32" s="274">
        <f>D10-D23</f>
        <v>270670</v>
      </c>
      <c r="E32" s="30">
        <f>E10-E23</f>
        <v>282709</v>
      </c>
      <c r="F32" s="30">
        <f>F10-F23</f>
        <v>285223</v>
      </c>
      <c r="G32" s="30">
        <f>G10-G23</f>
        <v>287349</v>
      </c>
      <c r="H32" s="30">
        <f>H10-H23</f>
        <v>313961</v>
      </c>
      <c r="I32" s="30">
        <f>I10-I23</f>
        <v>362411</v>
      </c>
      <c r="J32" s="30">
        <f>J10-J23</f>
        <v>413467</v>
      </c>
      <c r="K32" s="30">
        <f>K10-K23</f>
        <v>415958</v>
      </c>
      <c r="L32" s="30">
        <f>L10-L23</f>
        <v>416931</v>
      </c>
      <c r="M32" s="30">
        <f>M10-M23</f>
        <v>294116</v>
      </c>
      <c r="N32" s="30">
        <f>N10-N23</f>
        <v>0</v>
      </c>
      <c r="O32" s="30">
        <f>O10-O23</f>
        <v>188264</v>
      </c>
      <c r="P32" s="275"/>
      <c r="Q32" s="31"/>
      <c r="R32" s="274">
        <f>R10-R23</f>
        <v>247843</v>
      </c>
      <c r="S32" s="32">
        <f>S10-S23</f>
        <v>306756</v>
      </c>
      <c r="T32" s="32">
        <f>T10-T23</f>
        <v>277250</v>
      </c>
      <c r="U32" s="32">
        <f>U10-U23</f>
        <v>262131</v>
      </c>
      <c r="V32" s="32">
        <f>V10-V23</f>
        <v>171617</v>
      </c>
      <c r="W32" s="32">
        <f>W10-W23</f>
        <v>235875</v>
      </c>
      <c r="X32" s="32">
        <f>X10-X23</f>
        <v>354012</v>
      </c>
      <c r="Y32" s="32">
        <f>Y10-Y23</f>
        <v>355542</v>
      </c>
      <c r="Z32" s="32">
        <f>Z10-Z23</f>
        <v>349213</v>
      </c>
      <c r="AA32" s="32">
        <f>AA10-AA23</f>
        <v>269352</v>
      </c>
      <c r="AB32" s="32">
        <f>AB10-AB23</f>
        <v>170626</v>
      </c>
      <c r="AC32" s="32"/>
      <c r="AD32" s="276"/>
      <c r="AE32" s="17"/>
      <c r="AF32" s="32">
        <f>AF10-AF23</f>
        <v>246973</v>
      </c>
      <c r="AG32" s="32">
        <f>AG10-AG23</f>
        <v>281087</v>
      </c>
      <c r="AH32" s="32">
        <f>AH10-AH23</f>
        <v>386469</v>
      </c>
      <c r="AI32" s="32">
        <f>AI10-AI23</f>
        <v>379017</v>
      </c>
      <c r="AJ32" s="32">
        <f>AJ10-AJ23</f>
        <v>400777</v>
      </c>
      <c r="AK32" s="32">
        <f>AK10-AK23</f>
        <v>465623</v>
      </c>
      <c r="AL32" s="32">
        <f>AL10-AL23</f>
        <v>472149</v>
      </c>
      <c r="AM32" s="32">
        <f>AM10-AM23</f>
        <v>492339</v>
      </c>
      <c r="AN32" s="32">
        <f>AN10-AN23</f>
        <v>450428</v>
      </c>
      <c r="AO32" s="32">
        <f>AO10-AO23</f>
        <v>391441</v>
      </c>
      <c r="AP32" s="32">
        <f>AP10-AP23</f>
        <v>325482</v>
      </c>
      <c r="AQ32" s="32">
        <f>AQ10-AQ23</f>
        <v>321014</v>
      </c>
      <c r="AR32" s="32">
        <f>AQ32</f>
        <v>321014</v>
      </c>
      <c r="AS32" s="17"/>
      <c r="AT32" s="32">
        <f>AT10-AT23</f>
        <v>350303</v>
      </c>
      <c r="AU32" s="32">
        <f>AU10-AU23</f>
        <v>323931</v>
      </c>
      <c r="AV32" s="32">
        <f>AV10-AV23</f>
        <v>307980</v>
      </c>
      <c r="AW32" s="32">
        <f>AW10-AW23</f>
        <v>292777</v>
      </c>
      <c r="AX32" s="32">
        <f>AX10-AX23</f>
        <v>296754</v>
      </c>
      <c r="AY32" s="32">
        <f>AY10-AY23</f>
        <v>344037</v>
      </c>
      <c r="AZ32" s="32">
        <f>AZ10-AZ23</f>
        <v>367566</v>
      </c>
      <c r="BA32" s="32">
        <f>BA10-BA23</f>
        <v>372442</v>
      </c>
      <c r="BB32" s="32">
        <f>BB10-BB23</f>
        <v>375154</v>
      </c>
      <c r="BC32" s="32">
        <f>BC10-BC23</f>
        <v>340466</v>
      </c>
      <c r="BD32" s="32">
        <f>BD10-BD23</f>
        <v>314581</v>
      </c>
      <c r="BE32" s="32">
        <f>BE10-BE23</f>
        <v>253219</v>
      </c>
      <c r="BF32" s="32">
        <f>BE32</f>
        <v>253219</v>
      </c>
      <c r="BG32" s="17"/>
      <c r="BH32" s="32">
        <f>BH10-BH23</f>
        <v>307512</v>
      </c>
      <c r="BI32" s="32">
        <f>BI10-BI23</f>
        <v>302058</v>
      </c>
      <c r="BJ32" s="32">
        <f>BJ10-BJ23</f>
        <v>315841</v>
      </c>
      <c r="BK32" s="32">
        <f>BK10-BK23</f>
        <v>306027</v>
      </c>
      <c r="BL32" s="32">
        <f>BL10-BL23</f>
        <v>299077</v>
      </c>
      <c r="BM32" s="32">
        <f>BM10-BM23</f>
        <v>293121</v>
      </c>
      <c r="BN32" s="32">
        <f>BN10-BN23</f>
        <v>335286</v>
      </c>
      <c r="BO32" s="32">
        <f>BO10-BO23</f>
        <v>322561</v>
      </c>
      <c r="BP32" s="32">
        <f>BP10-BP23</f>
        <v>304307</v>
      </c>
      <c r="BQ32" s="32">
        <f>BQ10-BQ23</f>
        <v>280100</v>
      </c>
      <c r="BR32" s="32">
        <f>BR10-BR23</f>
        <v>215852</v>
      </c>
      <c r="BS32" s="32">
        <f>BS10-BS23</f>
        <v>188982</v>
      </c>
      <c r="BT32" s="32">
        <f>BS32</f>
        <v>188982</v>
      </c>
      <c r="BU32" s="28"/>
      <c r="BV32" s="32">
        <f>BV19-BV23-BV24</f>
        <v>146255</v>
      </c>
      <c r="BW32" s="32">
        <f>BW19-BW23-BW24</f>
        <v>155653</v>
      </c>
      <c r="BX32" s="32">
        <f>BX19-BX23-BX24</f>
        <v>86338</v>
      </c>
      <c r="BY32" s="32">
        <f>BY19-BY23-BY24</f>
        <v>106862</v>
      </c>
      <c r="BZ32" s="32">
        <f>BZ19-BZ23-BZ24</f>
        <v>112822</v>
      </c>
      <c r="CA32" s="32">
        <f>CA19-CA23-CA24</f>
        <v>149996</v>
      </c>
      <c r="CB32" s="32">
        <f>CB19-CB23-CB24</f>
        <v>145027</v>
      </c>
      <c r="CC32" s="32">
        <f>CC19-CC23-CC24</f>
        <v>102851</v>
      </c>
      <c r="CD32" s="32">
        <f>CD19-CD23-CD24</f>
        <v>116047</v>
      </c>
      <c r="CE32" s="32">
        <f>CE19-CE23-CE24</f>
        <v>86207</v>
      </c>
      <c r="CF32" s="32">
        <f>CF19-CF23-CF24</f>
        <v>109973</v>
      </c>
      <c r="CG32" s="32">
        <f>CG19-CG23-CG24</f>
        <v>94532</v>
      </c>
      <c r="CH32" s="32">
        <f>CH19-CH23-CH24</f>
        <v>94532</v>
      </c>
      <c r="CJ32" s="32">
        <f>CJ19-CJ23-CJ24</f>
        <v>78423</v>
      </c>
      <c r="CK32" s="32">
        <f>CK19-CK23-CK24</f>
        <v>78497</v>
      </c>
      <c r="CL32" s="32">
        <f>CL19-CL23-CL24</f>
        <v>75052</v>
      </c>
      <c r="CM32" s="32">
        <f>CM19-CM23-CM24</f>
        <v>121130</v>
      </c>
      <c r="CN32" s="32">
        <f>CN19-CN23-CN24</f>
        <v>175907.8879612374</v>
      </c>
      <c r="CO32" s="32">
        <f>CO19-CO23-CO24</f>
        <v>238961.73306000742</v>
      </c>
      <c r="CP32" s="32">
        <f>CP19-CP23-CP24</f>
        <v>271844.22259587242</v>
      </c>
      <c r="CQ32" s="32">
        <f>CQ19-CQ23-CQ24</f>
        <v>249838.52867182181</v>
      </c>
      <c r="CR32" s="32">
        <f>CR19-CR23-CR24</f>
        <v>201980.33782793995</v>
      </c>
      <c r="CS32" s="32">
        <f>CS19-CS23-CS24</f>
        <v>62966</v>
      </c>
      <c r="CT32" s="32">
        <f>CT19-CT23-CT24</f>
        <v>101848.14995780593</v>
      </c>
      <c r="CU32" s="32">
        <f>CU19-CU23-CU24</f>
        <v>111197.32717299581</v>
      </c>
      <c r="CV32" s="32">
        <v>116080.10690622788</v>
      </c>
      <c r="CW32" s="758"/>
      <c r="CX32" s="872">
        <v>242497</v>
      </c>
      <c r="CY32" s="872">
        <v>234422.08006563294</v>
      </c>
      <c r="CZ32" s="872">
        <v>194348.7132915963</v>
      </c>
      <c r="DA32" s="872">
        <v>223062.99421980139</v>
      </c>
      <c r="DB32" s="872">
        <v>228884.86858944659</v>
      </c>
      <c r="DC32" s="872">
        <v>240669.78918926936</v>
      </c>
      <c r="DD32" s="872">
        <v>234679.65868928705</v>
      </c>
      <c r="DE32" s="872">
        <v>197008.01236523816</v>
      </c>
      <c r="DF32" s="872">
        <v>148007.96159444697</v>
      </c>
      <c r="DG32" s="872">
        <v>111276.29521213027</v>
      </c>
      <c r="DH32" s="872">
        <v>93072.105643725808</v>
      </c>
      <c r="DI32" s="872">
        <v>116080.10690622788</v>
      </c>
      <c r="DJ32" s="32">
        <v>116080.10690622788</v>
      </c>
      <c r="DK32" s="948"/>
      <c r="DL32" s="872">
        <v>242497</v>
      </c>
      <c r="DM32" s="872">
        <v>234422.08006563294</v>
      </c>
      <c r="DN32" s="872">
        <v>194348.7132915963</v>
      </c>
      <c r="DO32" s="872">
        <v>223062.99421980139</v>
      </c>
      <c r="DP32" s="872">
        <v>228884.86858944659</v>
      </c>
      <c r="DQ32" s="872">
        <v>240669.78918926936</v>
      </c>
      <c r="DR32" s="872">
        <v>234679.65868928705</v>
      </c>
      <c r="DS32" s="872">
        <v>197008.01236523816</v>
      </c>
      <c r="DT32" s="872">
        <v>148007.96159444697</v>
      </c>
      <c r="DU32" s="872">
        <v>111276.29521213027</v>
      </c>
      <c r="DV32" s="872">
        <v>93072.105643725808</v>
      </c>
      <c r="DW32" s="872">
        <v>116080.10690622788</v>
      </c>
      <c r="DX32" s="32">
        <v>116080.10690622788</v>
      </c>
    </row>
    <row r="33" spans="1:129" ht="18.75">
      <c r="A33" s="55">
        <v>6</v>
      </c>
      <c r="B33" s="958" t="s">
        <v>49</v>
      </c>
      <c r="C33" s="959"/>
      <c r="D33" s="960">
        <f t="shared" ref="D33:P33" si="43">SUM(D37:D60)</f>
        <v>82250</v>
      </c>
      <c r="E33" s="961">
        <f t="shared" si="43"/>
        <v>117000</v>
      </c>
      <c r="F33" s="961">
        <f t="shared" si="43"/>
        <v>121750</v>
      </c>
      <c r="G33" s="961">
        <f t="shared" si="43"/>
        <v>150000</v>
      </c>
      <c r="H33" s="961">
        <f t="shared" si="43"/>
        <v>99500</v>
      </c>
      <c r="I33" s="961">
        <f t="shared" si="43"/>
        <v>102000</v>
      </c>
      <c r="J33" s="961">
        <f t="shared" si="43"/>
        <v>177632</v>
      </c>
      <c r="K33" s="961">
        <f t="shared" si="43"/>
        <v>178158</v>
      </c>
      <c r="L33" s="961">
        <f t="shared" si="43"/>
        <v>199211</v>
      </c>
      <c r="M33" s="961">
        <f t="shared" si="43"/>
        <v>229474</v>
      </c>
      <c r="N33" s="961">
        <f t="shared" si="43"/>
        <v>122368</v>
      </c>
      <c r="O33" s="961">
        <f t="shared" si="43"/>
        <v>38421</v>
      </c>
      <c r="P33" s="962">
        <f t="shared" si="43"/>
        <v>1617764</v>
      </c>
      <c r="Q33" s="963"/>
      <c r="R33" s="960">
        <f t="shared" ref="R33:AC33" si="44">R37+R61</f>
        <v>136177.33998294926</v>
      </c>
      <c r="S33" s="964">
        <f t="shared" si="44"/>
        <v>143840.32639116928</v>
      </c>
      <c r="T33" s="964">
        <f t="shared" si="44"/>
        <v>142553.77192982455</v>
      </c>
      <c r="U33" s="964">
        <f t="shared" si="44"/>
        <v>19814.899999999998</v>
      </c>
      <c r="V33" s="964">
        <f t="shared" si="44"/>
        <v>52085</v>
      </c>
      <c r="W33" s="965">
        <f t="shared" si="44"/>
        <v>70169.381950239796</v>
      </c>
      <c r="X33" s="965">
        <f t="shared" si="44"/>
        <v>144463.33333333299</v>
      </c>
      <c r="Y33" s="965">
        <f t="shared" si="44"/>
        <v>226547.08333333331</v>
      </c>
      <c r="Z33" s="965">
        <f t="shared" si="44"/>
        <v>273187.5</v>
      </c>
      <c r="AA33" s="965">
        <f t="shared" si="44"/>
        <v>172100</v>
      </c>
      <c r="AB33" s="965">
        <f t="shared" si="44"/>
        <v>37500</v>
      </c>
      <c r="AC33" s="965">
        <f t="shared" si="44"/>
        <v>0</v>
      </c>
      <c r="AD33" s="966">
        <f>SUM(R33:AC33)</f>
        <v>1418438.6369208493</v>
      </c>
      <c r="AE33" s="967"/>
      <c r="AF33" s="599">
        <f>AF37+AF61</f>
        <v>128646</v>
      </c>
      <c r="AG33" s="964">
        <f t="shared" ref="AG33:AQ33" si="45">AG37+AG61</f>
        <v>177977</v>
      </c>
      <c r="AH33" s="964">
        <f t="shared" si="45"/>
        <v>73624</v>
      </c>
      <c r="AI33" s="964">
        <f t="shared" si="45"/>
        <v>89358</v>
      </c>
      <c r="AJ33" s="964">
        <f t="shared" si="45"/>
        <v>122134</v>
      </c>
      <c r="AK33" s="964">
        <f t="shared" si="45"/>
        <v>148560</v>
      </c>
      <c r="AL33" s="964">
        <f t="shared" si="45"/>
        <v>151995</v>
      </c>
      <c r="AM33" s="964">
        <f t="shared" si="45"/>
        <v>238903</v>
      </c>
      <c r="AN33" s="964">
        <f t="shared" si="45"/>
        <v>261133.33333333334</v>
      </c>
      <c r="AO33" s="964">
        <f t="shared" si="45"/>
        <v>255900</v>
      </c>
      <c r="AP33" s="964">
        <f t="shared" si="45"/>
        <v>128640</v>
      </c>
      <c r="AQ33" s="964">
        <f t="shared" si="45"/>
        <v>97840</v>
      </c>
      <c r="AR33" s="964">
        <f>SUM(AF33:AQ33)</f>
        <v>1874710.3333333333</v>
      </c>
      <c r="AS33" s="967"/>
      <c r="AT33" s="964">
        <f t="shared" ref="AT33:BD33" si="46">AT37+AT61</f>
        <v>152749.25</v>
      </c>
      <c r="AU33" s="964">
        <f t="shared" si="46"/>
        <v>168522.10344827586</v>
      </c>
      <c r="AV33" s="964">
        <f t="shared" si="46"/>
        <v>154121.13793103449</v>
      </c>
      <c r="AW33" s="964">
        <f t="shared" si="46"/>
        <v>159595.13793103449</v>
      </c>
      <c r="AX33" s="964">
        <f t="shared" si="46"/>
        <v>120099.96551724138</v>
      </c>
      <c r="AY33" s="964">
        <f t="shared" si="46"/>
        <v>138343.77777777778</v>
      </c>
      <c r="AZ33" s="964">
        <f t="shared" si="46"/>
        <v>166673.77777777778</v>
      </c>
      <c r="BA33" s="964">
        <f t="shared" si="46"/>
        <v>242442.29629629629</v>
      </c>
      <c r="BB33" s="964">
        <f t="shared" si="46"/>
        <v>243407.77777777778</v>
      </c>
      <c r="BC33" s="964">
        <f t="shared" si="46"/>
        <v>253368.29075565783</v>
      </c>
      <c r="BD33" s="964">
        <f t="shared" si="46"/>
        <v>134555.58688147296</v>
      </c>
      <c r="BE33" s="964">
        <f>BE37+BE62</f>
        <v>72686.612965093984</v>
      </c>
      <c r="BF33" s="964">
        <f t="shared" ref="BF33:BF35" si="47">SUM(AT33:BE33)</f>
        <v>2006565.7150594404</v>
      </c>
      <c r="BG33" s="967">
        <f>BF33-AR33</f>
        <v>131855.38172610709</v>
      </c>
      <c r="BH33" s="964">
        <f>BH34+BH61</f>
        <v>152753</v>
      </c>
      <c r="BI33" s="964">
        <f t="shared" ref="BI33:BN33" si="48">BI34+BI61</f>
        <v>146822.33333333331</v>
      </c>
      <c r="BJ33" s="964">
        <f t="shared" si="48"/>
        <v>171546.07407407407</v>
      </c>
      <c r="BK33" s="964">
        <f t="shared" si="48"/>
        <v>159771.74074074073</v>
      </c>
      <c r="BL33" s="964">
        <f t="shared" si="48"/>
        <v>132496.85185185185</v>
      </c>
      <c r="BM33" s="964">
        <f t="shared" si="48"/>
        <v>129906.25925925926</v>
      </c>
      <c r="BN33" s="964">
        <f t="shared" si="48"/>
        <v>171383.55555555556</v>
      </c>
      <c r="BO33" s="964">
        <f>BO34+BO62</f>
        <v>179550.37811111109</v>
      </c>
      <c r="BP33" s="964">
        <f>BP34+BP62</f>
        <v>202053.74953703705</v>
      </c>
      <c r="BQ33" s="964">
        <f>BQ34+BQ62</f>
        <v>163865</v>
      </c>
      <c r="BR33" s="964">
        <f>BR34+BR62</f>
        <v>175620.6</v>
      </c>
      <c r="BS33" s="964">
        <v>92285.6</v>
      </c>
      <c r="BT33" s="964">
        <f t="shared" ref="BT33:BT35" si="49">SUM(BH33:BS33)</f>
        <v>1878055.142462963</v>
      </c>
      <c r="BU33" s="968"/>
      <c r="BV33" s="964">
        <f>BV37+(BV62)*$CI$33</f>
        <v>161157.867486095</v>
      </c>
      <c r="BW33" s="964">
        <f t="shared" ref="BW33:CG33" si="50">BW37+(BW62)*$CI$33</f>
        <v>155966.83045180296</v>
      </c>
      <c r="BX33" s="964">
        <f>BX37+(BX62)*$CI$33</f>
        <v>196111.53846153844</v>
      </c>
      <c r="BY33" s="964">
        <f t="shared" si="50"/>
        <v>159169.23076923078</v>
      </c>
      <c r="BZ33" s="964">
        <f>BZ37+(BZ62)*$CI$33</f>
        <v>151482.39341785663</v>
      </c>
      <c r="CA33" s="964">
        <f t="shared" si="50"/>
        <v>141442.12910096842</v>
      </c>
      <c r="CB33" s="964">
        <f>CB37+(CB62)*$CI$33</f>
        <v>176986.21444761599</v>
      </c>
      <c r="CC33" s="964">
        <f t="shared" si="50"/>
        <v>201301.08944885107</v>
      </c>
      <c r="CD33" s="964">
        <f t="shared" si="50"/>
        <v>212833.04013559342</v>
      </c>
      <c r="CE33" s="964">
        <f t="shared" si="50"/>
        <v>215922.30386211892</v>
      </c>
      <c r="CF33" s="964">
        <f>CF37+(CF62)*$CI$33</f>
        <v>171115.84223630186</v>
      </c>
      <c r="CG33" s="964">
        <f t="shared" si="50"/>
        <v>87483.816691710366</v>
      </c>
      <c r="CH33" s="964">
        <f t="shared" ref="CH33:CH34" si="51">SUM(BV33:CG33)</f>
        <v>2030972.2965096838</v>
      </c>
      <c r="CI33" s="969">
        <v>0.95</v>
      </c>
      <c r="CJ33" s="964">
        <f>CJ37+CJ71</f>
        <v>157916.36697726426</v>
      </c>
      <c r="CK33" s="964">
        <f t="shared" ref="CK33:CU33" si="52">CK37+CK71</f>
        <v>174843.65981364145</v>
      </c>
      <c r="CL33" s="964">
        <f t="shared" si="52"/>
        <v>166692.33329854641</v>
      </c>
      <c r="CM33" s="964">
        <f t="shared" si="52"/>
        <v>165624.1587774879</v>
      </c>
      <c r="CN33" s="964">
        <f>CN37+CN71</f>
        <v>167851.1120387626</v>
      </c>
      <c r="CO33" s="964">
        <f>CO37+CO71</f>
        <v>134946.15490122998</v>
      </c>
      <c r="CP33" s="964">
        <f t="shared" si="52"/>
        <v>212117.51046413503</v>
      </c>
      <c r="CQ33" s="964">
        <f t="shared" si="52"/>
        <v>229905.6939240506</v>
      </c>
      <c r="CR33" s="964">
        <f t="shared" si="52"/>
        <v>265658.19084388186</v>
      </c>
      <c r="CS33" s="964">
        <f>CS37+CS71</f>
        <v>250292.95105485231</v>
      </c>
      <c r="CT33" s="964">
        <f>CT37+CT71</f>
        <v>173363.6010970464</v>
      </c>
      <c r="CU33" s="964">
        <f>CU37+CU71</f>
        <v>96311.392405063292</v>
      </c>
      <c r="CV33" s="964">
        <f>SUM(CJ33:CU33)</f>
        <v>2195523.1255959622</v>
      </c>
      <c r="CW33" s="954"/>
      <c r="CX33" s="964">
        <f>CX37+CX71</f>
        <v>214489.91000000003</v>
      </c>
      <c r="CY33" s="964">
        <f>CY37+CY71</f>
        <v>39032.160000000003</v>
      </c>
      <c r="CZ33" s="964">
        <f>CZ37+CZ71</f>
        <v>236313.28</v>
      </c>
      <c r="DA33" s="964">
        <f t="shared" ref="CZ33:DI33" si="53">DA37+DA71</f>
        <v>177359.33000000005</v>
      </c>
      <c r="DB33" s="964">
        <f t="shared" si="53"/>
        <v>174950.25000000003</v>
      </c>
      <c r="DC33" s="964">
        <f t="shared" si="53"/>
        <v>130837.28000000001</v>
      </c>
      <c r="DD33" s="964">
        <f t="shared" si="53"/>
        <v>213451.28000000006</v>
      </c>
      <c r="DE33" s="964">
        <f t="shared" si="53"/>
        <v>225964.96000000002</v>
      </c>
      <c r="DF33" s="964">
        <f t="shared" si="53"/>
        <v>295683.14</v>
      </c>
      <c r="DG33" s="964">
        <f t="shared" si="53"/>
        <v>280435.06033755274</v>
      </c>
      <c r="DH33" s="964">
        <f t="shared" si="53"/>
        <v>190996.78675105487</v>
      </c>
      <c r="DI33" s="964">
        <f t="shared" si="53"/>
        <v>107612.44556962026</v>
      </c>
      <c r="DJ33" s="964">
        <f>SUM(CX33:DI33)</f>
        <v>2287125.8826582283</v>
      </c>
      <c r="DK33" s="952">
        <f>DJ33-CV33</f>
        <v>91602.757062266115</v>
      </c>
      <c r="DL33" s="880">
        <f>DL37+DL71</f>
        <v>214489.91000000003</v>
      </c>
      <c r="DM33" s="880">
        <f>DM37+DM71</f>
        <v>235936.75</v>
      </c>
      <c r="DN33" s="880">
        <f>DN37+DN71</f>
        <v>177381.24000000002</v>
      </c>
      <c r="DO33" s="880">
        <f>DO37+DO71</f>
        <v>177359.33000000005</v>
      </c>
      <c r="DP33" s="880">
        <f t="shared" ref="DN33:DW33" si="54">DP37+DP71</f>
        <v>174950.25000000003</v>
      </c>
      <c r="DQ33" s="880">
        <f t="shared" si="54"/>
        <v>130837.28000000001</v>
      </c>
      <c r="DR33" s="880">
        <f t="shared" si="54"/>
        <v>213451.28000000006</v>
      </c>
      <c r="DS33" s="880">
        <f t="shared" si="54"/>
        <v>225964.96000000002</v>
      </c>
      <c r="DT33" s="880">
        <f t="shared" si="54"/>
        <v>295683.14</v>
      </c>
      <c r="DU33" s="880">
        <f t="shared" si="54"/>
        <v>280435.06033755274</v>
      </c>
      <c r="DV33" s="880">
        <f t="shared" si="54"/>
        <v>190996.78675105487</v>
      </c>
      <c r="DW33" s="880">
        <f t="shared" si="54"/>
        <v>107612.44556962026</v>
      </c>
      <c r="DX33" s="58">
        <f>SUM(DL33:DW33)</f>
        <v>2425098.4326582281</v>
      </c>
      <c r="DY33" s="598">
        <f>DX33-DJ33</f>
        <v>137972.54999999981</v>
      </c>
    </row>
    <row r="34" spans="1:129" ht="18.75">
      <c r="A34" s="61"/>
      <c r="B34" s="914" t="s">
        <v>51</v>
      </c>
      <c r="C34" s="915"/>
      <c r="D34" s="294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295"/>
      <c r="Q34" s="64"/>
      <c r="R34" s="294"/>
      <c r="S34" s="65"/>
      <c r="T34" s="65"/>
      <c r="U34" s="65"/>
      <c r="V34" s="296"/>
      <c r="W34" s="297"/>
      <c r="X34" s="297"/>
      <c r="Y34" s="297"/>
      <c r="Z34" s="297"/>
      <c r="AA34" s="297"/>
      <c r="AB34" s="297"/>
      <c r="AC34" s="66"/>
      <c r="AD34" s="67"/>
      <c r="AE34" s="68"/>
      <c r="AF34" s="298"/>
      <c r="AG34" s="65"/>
      <c r="AH34" s="65"/>
      <c r="AI34" s="65"/>
      <c r="AJ34" s="296"/>
      <c r="AK34" s="296"/>
      <c r="AL34" s="296"/>
      <c r="AM34" s="296"/>
      <c r="AN34" s="65"/>
      <c r="AO34" s="65"/>
      <c r="AP34" s="65"/>
      <c r="AQ34" s="65"/>
      <c r="AR34" s="299"/>
      <c r="AS34" s="68"/>
      <c r="AT34" s="65"/>
      <c r="AU34" s="65"/>
      <c r="AV34" s="65"/>
      <c r="AW34" s="65"/>
      <c r="AX34" s="65"/>
      <c r="AY34" s="69">
        <f t="shared" ref="AY34:BA34" si="55">AY37+AY62</f>
        <v>119777.77777777778</v>
      </c>
      <c r="AZ34" s="69">
        <f t="shared" si="55"/>
        <v>150777.77777777778</v>
      </c>
      <c r="BA34" s="69">
        <f t="shared" si="55"/>
        <v>233098.4962962963</v>
      </c>
      <c r="BB34" s="69">
        <f>BB35/BB36</f>
        <v>210777.77777777778</v>
      </c>
      <c r="BC34" s="69">
        <f>BC37+BC62</f>
        <v>249806.29075565783</v>
      </c>
      <c r="BD34" s="69">
        <f t="shared" ref="BD34:BE34" si="56">BD37+BD62*0.85</f>
        <v>122960.58688147296</v>
      </c>
      <c r="BE34" s="69">
        <f t="shared" si="56"/>
        <v>66386.612965093984</v>
      </c>
      <c r="BF34" s="69">
        <f t="shared" si="47"/>
        <v>1153585.3202318544</v>
      </c>
      <c r="BG34" s="68"/>
      <c r="BH34" s="69">
        <f>BH35/BH36-0.1*BH35/BH36</f>
        <v>116600</v>
      </c>
      <c r="BI34" s="69">
        <f t="shared" ref="BI34" si="57">BI35/BI36-0.1*BI35/BI36</f>
        <v>111533.33333333333</v>
      </c>
      <c r="BJ34" s="69">
        <f t="shared" ref="BJ34:BP34" si="58">BJ35/BJ36-0.05*BJ35/BJ36</f>
        <v>135674.07407407407</v>
      </c>
      <c r="BK34" s="69">
        <f t="shared" si="58"/>
        <v>121740.74074074074</v>
      </c>
      <c r="BL34" s="69">
        <f t="shared" si="58"/>
        <v>93926.851851851854</v>
      </c>
      <c r="BM34" s="69">
        <f t="shared" si="58"/>
        <v>90679.259259259255</v>
      </c>
      <c r="BN34" s="69">
        <f t="shared" si="58"/>
        <v>130255.55555555556</v>
      </c>
      <c r="BO34" s="69">
        <f t="shared" si="58"/>
        <v>150550.37811111109</v>
      </c>
      <c r="BP34" s="69">
        <f t="shared" si="58"/>
        <v>161830.74953703705</v>
      </c>
      <c r="BQ34" s="69">
        <v>127130</v>
      </c>
      <c r="BR34" s="69">
        <v>138687.6</v>
      </c>
      <c r="BS34" s="69">
        <v>43639.199999999997</v>
      </c>
      <c r="BT34" s="69">
        <f t="shared" si="49"/>
        <v>1422247.7424629631</v>
      </c>
      <c r="BU34" s="54"/>
      <c r="BV34" s="69">
        <f>BV37+BV61</f>
        <v>166555.77995873816</v>
      </c>
      <c r="BW34" s="69">
        <f>BW37+BW61</f>
        <v>152835.36924465047</v>
      </c>
      <c r="BX34" s="69">
        <f t="shared" ref="BX34:CG34" si="59">BX37+BX61</f>
        <v>195319.2072937729</v>
      </c>
      <c r="BY34" s="69">
        <f t="shared" si="59"/>
        <v>158396.18906207831</v>
      </c>
      <c r="BZ34" s="69">
        <f t="shared" si="59"/>
        <v>152371.51475009107</v>
      </c>
      <c r="CA34" s="69">
        <f t="shared" si="59"/>
        <v>147696.01107361159</v>
      </c>
      <c r="CB34" s="69">
        <f t="shared" si="59"/>
        <v>189465.0513586243</v>
      </c>
      <c r="CC34" s="69">
        <f t="shared" si="59"/>
        <v>202914.10079748323</v>
      </c>
      <c r="CD34" s="69">
        <f t="shared" si="59"/>
        <v>214499.61628422557</v>
      </c>
      <c r="CE34" s="69">
        <f t="shared" si="59"/>
        <v>217682.99793575107</v>
      </c>
      <c r="CF34" s="69">
        <f t="shared" si="59"/>
        <v>179284.72030485788</v>
      </c>
      <c r="CG34" s="69">
        <f t="shared" si="59"/>
        <v>88389.319383536102</v>
      </c>
      <c r="CH34" s="69">
        <f t="shared" si="51"/>
        <v>2065409.8774474205</v>
      </c>
      <c r="CI34" s="395">
        <f>(CH34-BT68)/BT68</f>
        <v>0.48621753003500767</v>
      </c>
      <c r="CJ34" s="69"/>
      <c r="CK34" s="69"/>
      <c r="CL34" s="69"/>
      <c r="CM34" s="69"/>
      <c r="CN34" s="69"/>
      <c r="CO34" s="69"/>
      <c r="CP34" s="69"/>
      <c r="CQ34" s="69"/>
      <c r="CR34" s="69"/>
      <c r="CS34" s="69"/>
      <c r="CT34" s="69"/>
      <c r="CU34" s="69"/>
      <c r="CV34" s="69"/>
      <c r="CW34" s="758"/>
      <c r="CX34" s="881">
        <v>166555.77995873816</v>
      </c>
      <c r="CY34" s="881">
        <v>152835.36924465047</v>
      </c>
      <c r="CZ34" s="881">
        <v>195319.2072937729</v>
      </c>
      <c r="DA34" s="881">
        <v>158396.18906207831</v>
      </c>
      <c r="DB34" s="881">
        <v>152371.51475009107</v>
      </c>
      <c r="DC34" s="881">
        <v>147696.01107361159</v>
      </c>
      <c r="DD34" s="881">
        <v>189465.0513586243</v>
      </c>
      <c r="DE34" s="881">
        <v>202914.10079748323</v>
      </c>
      <c r="DF34" s="881">
        <v>214499.61628422557</v>
      </c>
      <c r="DG34" s="881">
        <v>217682.99793575107</v>
      </c>
      <c r="DH34" s="881">
        <v>179284.72030485788</v>
      </c>
      <c r="DI34" s="881">
        <v>88389.319383536102</v>
      </c>
      <c r="DJ34" s="69">
        <v>2065409.8774474205</v>
      </c>
      <c r="DK34" s="948"/>
      <c r="DL34" s="881">
        <f>DL109*1.1</f>
        <v>183211.357954612</v>
      </c>
      <c r="DM34" s="881">
        <f t="shared" ref="DM34:DX34" si="60">DM109*1.1</f>
        <v>168118.90616911554</v>
      </c>
      <c r="DN34" s="881">
        <f t="shared" si="60"/>
        <v>214851.1280231502</v>
      </c>
      <c r="DO34" s="881">
        <f t="shared" si="60"/>
        <v>174235.80796828616</v>
      </c>
      <c r="DP34" s="881">
        <f t="shared" si="60"/>
        <v>167608.6662251002</v>
      </c>
      <c r="DQ34" s="881">
        <f t="shared" si="60"/>
        <v>162465.61218097276</v>
      </c>
      <c r="DR34" s="881">
        <f t="shared" si="60"/>
        <v>208411.55649448675</v>
      </c>
      <c r="DS34" s="881">
        <f t="shared" si="60"/>
        <v>223205.51087723157</v>
      </c>
      <c r="DT34" s="881">
        <f t="shared" si="60"/>
        <v>235949.57791264815</v>
      </c>
      <c r="DU34" s="881">
        <f t="shared" si="60"/>
        <v>239451.29772932621</v>
      </c>
      <c r="DV34" s="881">
        <f t="shared" si="60"/>
        <v>197213.19233534369</v>
      </c>
      <c r="DW34" s="881">
        <f t="shared" si="60"/>
        <v>97228.251321889722</v>
      </c>
      <c r="DX34" s="881">
        <f t="shared" si="60"/>
        <v>2271950.8651921628</v>
      </c>
    </row>
    <row r="35" spans="1:129" ht="18.75">
      <c r="A35" s="61"/>
      <c r="B35" s="914" t="s">
        <v>52</v>
      </c>
      <c r="C35" s="915"/>
      <c r="D35" s="294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295"/>
      <c r="Q35" s="64"/>
      <c r="R35" s="294"/>
      <c r="S35" s="65"/>
      <c r="T35" s="65"/>
      <c r="U35" s="65"/>
      <c r="V35" s="296"/>
      <c r="W35" s="297"/>
      <c r="X35" s="297"/>
      <c r="Y35" s="297"/>
      <c r="Z35" s="297"/>
      <c r="AA35" s="297"/>
      <c r="AB35" s="297"/>
      <c r="AC35" s="66"/>
      <c r="AD35" s="67"/>
      <c r="AE35" s="68"/>
      <c r="AF35" s="298"/>
      <c r="AG35" s="65"/>
      <c r="AH35" s="65" t="s">
        <v>53</v>
      </c>
      <c r="AI35" s="65"/>
      <c r="AJ35" s="296"/>
      <c r="AK35" s="296"/>
      <c r="AL35" s="296"/>
      <c r="AM35" s="296"/>
      <c r="AN35" s="65">
        <v>6715000</v>
      </c>
      <c r="AO35" s="65">
        <v>6555000</v>
      </c>
      <c r="AP35" s="65">
        <v>2640000</v>
      </c>
      <c r="AQ35" s="65">
        <v>1302000</v>
      </c>
      <c r="AR35" s="299"/>
      <c r="AS35" s="68"/>
      <c r="AT35" s="65">
        <v>3264695</v>
      </c>
      <c r="AU35" s="65">
        <v>3863760</v>
      </c>
      <c r="AV35" s="65">
        <v>3429225</v>
      </c>
      <c r="AW35" s="65">
        <v>3525360</v>
      </c>
      <c r="AX35" s="65">
        <v>2509485</v>
      </c>
      <c r="AY35" s="65">
        <v>2829000</v>
      </c>
      <c r="AZ35" s="65">
        <v>3666000</v>
      </c>
      <c r="BA35" s="65">
        <v>5705000</v>
      </c>
      <c r="BB35" s="65">
        <v>5691000</v>
      </c>
      <c r="BC35" s="65">
        <v>5600000</v>
      </c>
      <c r="BD35" s="65">
        <v>2430000</v>
      </c>
      <c r="BE35" s="65">
        <v>800000</v>
      </c>
      <c r="BF35" s="69">
        <f t="shared" si="47"/>
        <v>43313525</v>
      </c>
      <c r="BG35" s="68"/>
      <c r="BH35" s="70">
        <v>3498000</v>
      </c>
      <c r="BI35" s="70">
        <v>3346000</v>
      </c>
      <c r="BJ35" s="70">
        <v>3856000</v>
      </c>
      <c r="BK35" s="70">
        <v>3460000</v>
      </c>
      <c r="BL35" s="70">
        <v>2669500</v>
      </c>
      <c r="BM35" s="70">
        <v>2577200</v>
      </c>
      <c r="BN35" s="70">
        <v>3702000</v>
      </c>
      <c r="BO35" s="70">
        <v>4278800.22</v>
      </c>
      <c r="BP35" s="70">
        <v>4599400.25</v>
      </c>
      <c r="BQ35" s="70">
        <f>BQ34*BQ36</f>
        <v>3432510</v>
      </c>
      <c r="BR35" s="70">
        <v>2954493.21</v>
      </c>
      <c r="BS35" s="70">
        <v>984831.07</v>
      </c>
      <c r="BT35" s="65">
        <f t="shared" si="49"/>
        <v>39358734.75</v>
      </c>
      <c r="BU35" s="54"/>
      <c r="BV35" s="70">
        <f>BV36*BV37</f>
        <v>3399704.5546384701</v>
      </c>
      <c r="BW35" s="70">
        <f t="shared" ref="BW35:CG35" si="61">BW36*BW37</f>
        <v>3264737.5917468769</v>
      </c>
      <c r="BX35" s="70">
        <f t="shared" si="61"/>
        <v>4184999.9999999995</v>
      </c>
      <c r="BY35" s="70">
        <f t="shared" si="61"/>
        <v>3348000.0000000005</v>
      </c>
      <c r="BZ35" s="70">
        <f t="shared" si="61"/>
        <v>3074042.2288642721</v>
      </c>
      <c r="CA35" s="70">
        <f t="shared" si="61"/>
        <v>2812995.3566251793</v>
      </c>
      <c r="CB35" s="70">
        <f t="shared" si="61"/>
        <v>3737141.5756380158</v>
      </c>
      <c r="CC35" s="70">
        <f t="shared" si="61"/>
        <v>4437000.7194458414</v>
      </c>
      <c r="CD35" s="70">
        <f t="shared" si="61"/>
        <v>4710370.4261011425</v>
      </c>
      <c r="CE35" s="70">
        <f t="shared" si="61"/>
        <v>4744197.0280408058</v>
      </c>
      <c r="CF35" s="70">
        <f t="shared" si="61"/>
        <v>3461011.8981438484</v>
      </c>
      <c r="CG35" s="70">
        <f t="shared" si="61"/>
        <v>792579.23398446955</v>
      </c>
      <c r="CH35" s="65">
        <f>SUM(BV35:CG35)</f>
        <v>41966780.613228925</v>
      </c>
      <c r="CJ35" s="70">
        <v>3470304</v>
      </c>
      <c r="CK35" s="70">
        <v>4047936</v>
      </c>
      <c r="CL35" s="70">
        <v>3793200</v>
      </c>
      <c r="CM35" s="70">
        <v>3664392</v>
      </c>
      <c r="CN35" s="70">
        <v>3656712</v>
      </c>
      <c r="CO35" s="70">
        <v>2773872</v>
      </c>
      <c r="CP35" s="70">
        <v>5165016</v>
      </c>
      <c r="CQ35" s="70">
        <v>5668920</v>
      </c>
      <c r="CR35" s="70">
        <v>6676728</v>
      </c>
      <c r="CS35" s="70">
        <v>6194424</v>
      </c>
      <c r="CT35" s="70">
        <v>3814800</v>
      </c>
      <c r="CU35" s="70">
        <v>1459296</v>
      </c>
      <c r="CV35" s="70">
        <f>SUM(CJ35:CU35)</f>
        <v>50385600</v>
      </c>
      <c r="CW35" s="758"/>
      <c r="CX35" s="882">
        <v>3399704.5546384701</v>
      </c>
      <c r="CY35" s="882">
        <v>3264737.5917468769</v>
      </c>
      <c r="CZ35" s="882">
        <v>4184999.9999999995</v>
      </c>
      <c r="DA35" s="882">
        <v>3348000.0000000005</v>
      </c>
      <c r="DB35" s="882">
        <v>3074042.2288642721</v>
      </c>
      <c r="DC35" s="882">
        <v>2812995.3566251793</v>
      </c>
      <c r="DD35" s="882">
        <v>3737141.5756380158</v>
      </c>
      <c r="DE35" s="882">
        <v>4437000.7194458414</v>
      </c>
      <c r="DF35" s="882">
        <v>4710370.4261011425</v>
      </c>
      <c r="DG35" s="882">
        <v>4744197.0280408058</v>
      </c>
      <c r="DH35" s="882">
        <v>3461011.8981438484</v>
      </c>
      <c r="DI35" s="882">
        <v>792579.23398446955</v>
      </c>
      <c r="DJ35" s="70">
        <v>41966780.613228925</v>
      </c>
      <c r="DK35" s="948"/>
      <c r="DL35" s="882">
        <v>3399704.5546384701</v>
      </c>
      <c r="DM35" s="882">
        <v>3264737.5917468769</v>
      </c>
      <c r="DN35" s="882">
        <v>4184999.9999999995</v>
      </c>
      <c r="DO35" s="882">
        <v>3348000.0000000005</v>
      </c>
      <c r="DP35" s="882">
        <v>3074042.2288642721</v>
      </c>
      <c r="DQ35" s="882">
        <v>2812995.3566251793</v>
      </c>
      <c r="DR35" s="882">
        <v>3737141.5756380158</v>
      </c>
      <c r="DS35" s="882">
        <v>4437000.7194458414</v>
      </c>
      <c r="DT35" s="882">
        <v>4710370.4261011425</v>
      </c>
      <c r="DU35" s="882">
        <v>4744197.0280408058</v>
      </c>
      <c r="DV35" s="882">
        <v>3461011.8981438484</v>
      </c>
      <c r="DW35" s="882">
        <v>792579.23398446955</v>
      </c>
      <c r="DX35" s="65">
        <v>41966780.613228925</v>
      </c>
    </row>
    <row r="36" spans="1:129" ht="18.75">
      <c r="A36" s="71"/>
      <c r="B36" s="916" t="s">
        <v>54</v>
      </c>
      <c r="C36" s="917"/>
      <c r="D36" s="301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302"/>
      <c r="Q36" s="74"/>
      <c r="R36" s="301"/>
      <c r="S36" s="69"/>
      <c r="T36" s="69"/>
      <c r="U36" s="69"/>
      <c r="V36" s="303"/>
      <c r="W36" s="304"/>
      <c r="X36" s="304"/>
      <c r="Y36" s="304"/>
      <c r="Z36" s="304"/>
      <c r="AA36" s="304"/>
      <c r="AB36" s="304"/>
      <c r="AC36" s="75"/>
      <c r="AD36" s="76"/>
      <c r="AE36" s="77"/>
      <c r="AF36" s="305"/>
      <c r="AG36" s="69"/>
      <c r="AH36" s="69"/>
      <c r="AI36" s="69"/>
      <c r="AJ36" s="303"/>
      <c r="AK36" s="303"/>
      <c r="AL36" s="303"/>
      <c r="AM36" s="303"/>
      <c r="AN36" s="69">
        <f t="shared" ref="AN36:AQ36" si="62">30</f>
        <v>30</v>
      </c>
      <c r="AO36" s="69">
        <f t="shared" si="62"/>
        <v>30</v>
      </c>
      <c r="AP36" s="69">
        <f t="shared" si="62"/>
        <v>30</v>
      </c>
      <c r="AQ36" s="69">
        <f t="shared" si="62"/>
        <v>30</v>
      </c>
      <c r="AR36" s="306"/>
      <c r="AS36" s="77"/>
      <c r="AT36" s="69">
        <v>28</v>
      </c>
      <c r="AU36" s="69">
        <v>29</v>
      </c>
      <c r="AV36" s="69">
        <v>29</v>
      </c>
      <c r="AW36" s="69">
        <v>29</v>
      </c>
      <c r="AX36" s="69">
        <v>29</v>
      </c>
      <c r="AY36" s="69">
        <v>27</v>
      </c>
      <c r="AZ36" s="69">
        <v>27</v>
      </c>
      <c r="BA36" s="69">
        <v>27</v>
      </c>
      <c r="BB36" s="69">
        <v>27</v>
      </c>
      <c r="BC36" s="69">
        <v>26.07</v>
      </c>
      <c r="BD36" s="69">
        <v>26.07</v>
      </c>
      <c r="BE36" s="69">
        <v>26.07</v>
      </c>
      <c r="BF36" s="305"/>
      <c r="BG36" s="78"/>
      <c r="BH36" s="69">
        <v>27</v>
      </c>
      <c r="BI36" s="69">
        <v>27</v>
      </c>
      <c r="BJ36" s="69">
        <v>27</v>
      </c>
      <c r="BK36" s="69">
        <v>27</v>
      </c>
      <c r="BL36" s="69">
        <v>27</v>
      </c>
      <c r="BM36" s="69">
        <v>27</v>
      </c>
      <c r="BN36" s="69">
        <v>27</v>
      </c>
      <c r="BO36" s="69">
        <v>27</v>
      </c>
      <c r="BP36" s="69">
        <v>27</v>
      </c>
      <c r="BQ36" s="69">
        <v>27</v>
      </c>
      <c r="BR36" s="69">
        <v>27</v>
      </c>
      <c r="BS36" s="69">
        <v>27</v>
      </c>
      <c r="BT36" s="69"/>
      <c r="BU36" s="54"/>
      <c r="BV36" s="69">
        <v>26</v>
      </c>
      <c r="BW36" s="69">
        <v>26</v>
      </c>
      <c r="BX36" s="69">
        <v>26</v>
      </c>
      <c r="BY36" s="69">
        <v>26</v>
      </c>
      <c r="BZ36" s="69">
        <v>26</v>
      </c>
      <c r="CA36" s="69">
        <v>26</v>
      </c>
      <c r="CB36" s="69">
        <v>26</v>
      </c>
      <c r="CC36" s="69">
        <v>26</v>
      </c>
      <c r="CD36" s="69">
        <v>26</v>
      </c>
      <c r="CE36" s="69">
        <v>26</v>
      </c>
      <c r="CF36" s="69">
        <v>26</v>
      </c>
      <c r="CG36" s="69">
        <v>26</v>
      </c>
      <c r="CH36" s="69"/>
      <c r="CJ36" s="751">
        <v>26.83</v>
      </c>
      <c r="CK36" s="751">
        <f>CJ36</f>
        <v>26.83</v>
      </c>
      <c r="CL36" s="751">
        <f t="shared" ref="CL36:CV36" si="63">CK36</f>
        <v>26.83</v>
      </c>
      <c r="CM36" s="751">
        <f t="shared" si="63"/>
        <v>26.83</v>
      </c>
      <c r="CN36" s="751">
        <f t="shared" si="63"/>
        <v>26.83</v>
      </c>
      <c r="CO36" s="751">
        <f t="shared" si="63"/>
        <v>26.83</v>
      </c>
      <c r="CP36" s="751">
        <v>28.44</v>
      </c>
      <c r="CQ36" s="751">
        <f t="shared" si="63"/>
        <v>28.44</v>
      </c>
      <c r="CR36" s="751">
        <f t="shared" si="63"/>
        <v>28.44</v>
      </c>
      <c r="CS36" s="751">
        <f t="shared" si="63"/>
        <v>28.44</v>
      </c>
      <c r="CT36" s="751">
        <f t="shared" si="63"/>
        <v>28.44</v>
      </c>
      <c r="CU36" s="751">
        <f t="shared" si="63"/>
        <v>28.44</v>
      </c>
      <c r="CV36" s="69">
        <f t="shared" si="63"/>
        <v>28.44</v>
      </c>
      <c r="CW36" s="758"/>
      <c r="CX36" s="881">
        <v>26</v>
      </c>
      <c r="CY36" s="881">
        <v>26</v>
      </c>
      <c r="CZ36" s="881">
        <v>26</v>
      </c>
      <c r="DA36" s="881">
        <v>26</v>
      </c>
      <c r="DB36" s="881">
        <v>26</v>
      </c>
      <c r="DC36" s="881">
        <v>26</v>
      </c>
      <c r="DD36" s="881">
        <v>26</v>
      </c>
      <c r="DE36" s="881">
        <v>26</v>
      </c>
      <c r="DF36" s="881">
        <v>26</v>
      </c>
      <c r="DG36" s="881">
        <v>26</v>
      </c>
      <c r="DH36" s="881">
        <v>26</v>
      </c>
      <c r="DI36" s="881">
        <v>26</v>
      </c>
      <c r="DJ36" s="69"/>
      <c r="DK36" s="948"/>
      <c r="DL36" s="881">
        <v>26</v>
      </c>
      <c r="DM36" s="881">
        <v>26</v>
      </c>
      <c r="DN36" s="881">
        <v>26</v>
      </c>
      <c r="DO36" s="881">
        <v>26</v>
      </c>
      <c r="DP36" s="881">
        <v>26</v>
      </c>
      <c r="DQ36" s="881">
        <v>26</v>
      </c>
      <c r="DR36" s="881">
        <v>26</v>
      </c>
      <c r="DS36" s="881">
        <v>26</v>
      </c>
      <c r="DT36" s="881">
        <v>26</v>
      </c>
      <c r="DU36" s="881">
        <v>26</v>
      </c>
      <c r="DV36" s="881">
        <v>26</v>
      </c>
      <c r="DW36" s="881">
        <v>26</v>
      </c>
      <c r="DX36" s="69"/>
    </row>
    <row r="37" spans="1:129" ht="18.75">
      <c r="A37" s="79"/>
      <c r="B37" s="80" t="s">
        <v>121</v>
      </c>
      <c r="C37" s="81"/>
      <c r="D37" s="288">
        <v>82250</v>
      </c>
      <c r="E37" s="57">
        <v>117000</v>
      </c>
      <c r="F37" s="57">
        <v>121750</v>
      </c>
      <c r="G37" s="57">
        <v>150000</v>
      </c>
      <c r="H37" s="57">
        <v>99500</v>
      </c>
      <c r="I37" s="57">
        <v>102000</v>
      </c>
      <c r="J37" s="57">
        <v>177632</v>
      </c>
      <c r="K37" s="57">
        <v>178158</v>
      </c>
      <c r="L37" s="57">
        <v>199211</v>
      </c>
      <c r="M37" s="57">
        <v>229474</v>
      </c>
      <c r="N37" s="57">
        <v>122368</v>
      </c>
      <c r="O37" s="57">
        <v>38421</v>
      </c>
      <c r="P37" s="289">
        <f>SUM(D37:O37)</f>
        <v>1617764</v>
      </c>
      <c r="Q37" s="39"/>
      <c r="R37" s="288">
        <v>115619.79612330014</v>
      </c>
      <c r="S37" s="58">
        <v>123327.78253152016</v>
      </c>
      <c r="T37" s="58">
        <v>128854</v>
      </c>
      <c r="U37" s="58">
        <f>126016*0.15</f>
        <v>18902.399999999998</v>
      </c>
      <c r="V37" s="58">
        <v>35234</v>
      </c>
      <c r="W37" s="290">
        <v>56469.381950239796</v>
      </c>
      <c r="X37" s="290">
        <v>118413.33333333299</v>
      </c>
      <c r="Y37" s="290">
        <v>198797.08333333331</v>
      </c>
      <c r="Z37" s="290">
        <v>242087.5</v>
      </c>
      <c r="AA37" s="290">
        <v>140000</v>
      </c>
      <c r="AB37" s="290">
        <v>0</v>
      </c>
      <c r="AC37" s="290">
        <v>-45300</v>
      </c>
      <c r="AD37" s="291">
        <f>SUM(R37:AC37)</f>
        <v>1132405.2772717264</v>
      </c>
      <c r="AE37" s="59"/>
      <c r="AF37" s="292">
        <v>90146</v>
      </c>
      <c r="AG37" s="58">
        <v>155577</v>
      </c>
      <c r="AH37" s="58">
        <v>62953</v>
      </c>
      <c r="AI37" s="58">
        <v>73261</v>
      </c>
      <c r="AJ37" s="58">
        <v>91856</v>
      </c>
      <c r="AK37" s="58">
        <v>120000</v>
      </c>
      <c r="AL37" s="58">
        <v>110295</v>
      </c>
      <c r="AM37" s="58">
        <v>200203</v>
      </c>
      <c r="AN37" s="58">
        <f t="shared" ref="AN37:AQ37" si="64">AN35/AN36</f>
        <v>223833.33333333334</v>
      </c>
      <c r="AO37" s="58">
        <f t="shared" si="64"/>
        <v>218500</v>
      </c>
      <c r="AP37" s="58">
        <f t="shared" si="64"/>
        <v>88000</v>
      </c>
      <c r="AQ37" s="58">
        <f t="shared" si="64"/>
        <v>43400</v>
      </c>
      <c r="AR37" s="58">
        <f>SUM(AF37:AQ37)</f>
        <v>1478024.3333333333</v>
      </c>
      <c r="AS37" s="59"/>
      <c r="AT37" s="58">
        <f t="shared" ref="AT37:BE37" si="65">AT35/AT36</f>
        <v>116596.25</v>
      </c>
      <c r="AU37" s="58">
        <f t="shared" si="65"/>
        <v>133233.10344827586</v>
      </c>
      <c r="AV37" s="58">
        <f t="shared" si="65"/>
        <v>118249.13793103448</v>
      </c>
      <c r="AW37" s="58">
        <f t="shared" si="65"/>
        <v>121564.13793103448</v>
      </c>
      <c r="AX37" s="58">
        <f t="shared" si="65"/>
        <v>86533.965517241377</v>
      </c>
      <c r="AY37" s="58">
        <f t="shared" si="65"/>
        <v>104777.77777777778</v>
      </c>
      <c r="AZ37" s="58">
        <f t="shared" si="65"/>
        <v>135777.77777777778</v>
      </c>
      <c r="BA37" s="58">
        <f t="shared" si="65"/>
        <v>211296.29629629629</v>
      </c>
      <c r="BB37" s="58">
        <f t="shared" si="65"/>
        <v>210777.77777777778</v>
      </c>
      <c r="BC37" s="58">
        <f t="shared" si="65"/>
        <v>214806.29075565783</v>
      </c>
      <c r="BD37" s="58">
        <f t="shared" si="65"/>
        <v>93210.586881472962</v>
      </c>
      <c r="BE37" s="58">
        <f t="shared" si="65"/>
        <v>30686.612965093977</v>
      </c>
      <c r="BF37" s="58">
        <f>SUM(AT37:BE37)</f>
        <v>1577509.7150594404</v>
      </c>
      <c r="BG37" s="59">
        <f>BF37-AR37</f>
        <v>99485.381726107094</v>
      </c>
      <c r="BH37" s="58">
        <f>BH34</f>
        <v>116600</v>
      </c>
      <c r="BI37" s="58">
        <f t="shared" ref="BI37:BT37" si="66">BI34</f>
        <v>111533.33333333333</v>
      </c>
      <c r="BJ37" s="58">
        <f t="shared" si="66"/>
        <v>135674.07407407407</v>
      </c>
      <c r="BK37" s="58">
        <f t="shared" si="66"/>
        <v>121740.74074074074</v>
      </c>
      <c r="BL37" s="58">
        <f t="shared" si="66"/>
        <v>93926.851851851854</v>
      </c>
      <c r="BM37" s="58">
        <f t="shared" si="66"/>
        <v>90679.259259259255</v>
      </c>
      <c r="BN37" s="58">
        <f t="shared" si="66"/>
        <v>130255.55555555556</v>
      </c>
      <c r="BO37" s="58">
        <f t="shared" si="66"/>
        <v>150550.37811111109</v>
      </c>
      <c r="BP37" s="58">
        <f t="shared" si="66"/>
        <v>161830.74953703705</v>
      </c>
      <c r="BQ37" s="58">
        <f t="shared" si="66"/>
        <v>127130</v>
      </c>
      <c r="BR37" s="58">
        <f>BR34</f>
        <v>138687.6</v>
      </c>
      <c r="BS37" s="58">
        <f t="shared" si="66"/>
        <v>43639.199999999997</v>
      </c>
      <c r="BT37" s="58">
        <f t="shared" si="66"/>
        <v>1422247.7424629631</v>
      </c>
      <c r="BU37" s="60"/>
      <c r="BV37" s="58">
        <f>'META  EM PEÇAS'!S73</f>
        <v>130757.867486095</v>
      </c>
      <c r="BW37" s="58">
        <f>'META  EM PEÇAS'!T73</f>
        <v>125566.83045180296</v>
      </c>
      <c r="BX37" s="58">
        <f>'META  EM PEÇAS'!U73</f>
        <v>160961.53846153844</v>
      </c>
      <c r="BY37" s="58">
        <f>'META  EM PEÇAS'!V73</f>
        <v>128769.23076923078</v>
      </c>
      <c r="BZ37" s="58">
        <f>'META  EM PEÇAS'!W73</f>
        <v>118232.39341785663</v>
      </c>
      <c r="CA37" s="58">
        <f>'META  EM PEÇAS'!X73</f>
        <v>108192.12910096844</v>
      </c>
      <c r="CB37" s="58">
        <f>'META  EM PEÇAS'!Y73</f>
        <v>143736.21444761599</v>
      </c>
      <c r="CC37" s="58">
        <f>'META  EM PEÇAS'!Z73</f>
        <v>170653.87382484006</v>
      </c>
      <c r="CD37" s="58">
        <f>'META  EM PEÇAS'!AA73</f>
        <v>181168.0933115824</v>
      </c>
      <c r="CE37" s="58">
        <f>'META  EM PEÇAS'!AB73</f>
        <v>182469.1164631079</v>
      </c>
      <c r="CF37" s="58">
        <f>'META  EM PEÇAS'!AC73</f>
        <v>133115.84223630186</v>
      </c>
      <c r="CG37" s="58">
        <f>'META  EM PEÇAS'!AD73</f>
        <v>30483.816691710366</v>
      </c>
      <c r="CH37" s="58">
        <v>45</v>
      </c>
      <c r="CI37">
        <f>CH37*26</f>
        <v>1170</v>
      </c>
      <c r="CJ37" s="58">
        <f>CJ35/CJ36</f>
        <v>129344.16697726426</v>
      </c>
      <c r="CK37" s="58">
        <f t="shared" ref="CK37:CU37" si="67">CK35/CK36</f>
        <v>150873.49981364145</v>
      </c>
      <c r="CL37" s="58">
        <f t="shared" si="67"/>
        <v>141379.05329854641</v>
      </c>
      <c r="CM37" s="58">
        <f t="shared" si="67"/>
        <v>136578.1587774879</v>
      </c>
      <c r="CN37" s="58">
        <f>CN35/CN36</f>
        <v>136291.91203876259</v>
      </c>
      <c r="CO37" s="58">
        <f t="shared" si="67"/>
        <v>103386.95490122997</v>
      </c>
      <c r="CP37" s="58">
        <f>CP35/CP36</f>
        <v>181610.97046413503</v>
      </c>
      <c r="CQ37" s="58">
        <f t="shared" si="67"/>
        <v>199329.11392405062</v>
      </c>
      <c r="CR37" s="58">
        <f t="shared" si="67"/>
        <v>234765.40084388186</v>
      </c>
      <c r="CS37" s="58">
        <f>CS35/CS36</f>
        <v>217806.7510548523</v>
      </c>
      <c r="CT37" s="58">
        <f t="shared" si="67"/>
        <v>134135.02109704641</v>
      </c>
      <c r="CU37" s="58">
        <f t="shared" si="67"/>
        <v>51311.392405063292</v>
      </c>
      <c r="CV37" s="58">
        <f>SUM(CJ37:CU37)</f>
        <v>1816812.3955959619</v>
      </c>
      <c r="CW37" s="758"/>
      <c r="CX37" s="880">
        <f>CX38*1.1</f>
        <v>185917.71000000002</v>
      </c>
      <c r="CY37" s="880">
        <v>15062</v>
      </c>
      <c r="CZ37" s="880">
        <v>211000</v>
      </c>
      <c r="DA37" s="880">
        <f t="shared" ref="CY37:DI37" si="68">DA38*1.1</f>
        <v>148313.33000000005</v>
      </c>
      <c r="DB37" s="880">
        <f t="shared" si="68"/>
        <v>143391.05000000002</v>
      </c>
      <c r="DC37" s="880">
        <f t="shared" si="68"/>
        <v>99278.080000000016</v>
      </c>
      <c r="DD37" s="880">
        <f t="shared" si="68"/>
        <v>182944.74000000005</v>
      </c>
      <c r="DE37" s="880">
        <f t="shared" si="68"/>
        <v>195388.38</v>
      </c>
      <c r="DF37" s="880">
        <f>DF38*1.1</f>
        <v>264790.35000000003</v>
      </c>
      <c r="DG37" s="880">
        <f>DG38*1.1</f>
        <v>247948.86033755276</v>
      </c>
      <c r="DH37" s="880">
        <f t="shared" si="68"/>
        <v>151768.20675105488</v>
      </c>
      <c r="DI37" s="880">
        <f t="shared" si="68"/>
        <v>62612.445569620257</v>
      </c>
      <c r="DJ37" s="58">
        <f>SUM(CX37:DI37)</f>
        <v>1908415.1526582281</v>
      </c>
      <c r="DK37" s="952">
        <f>DJ37-CV37</f>
        <v>91602.757062266115</v>
      </c>
      <c r="DL37" s="880">
        <f>DL38*1.1</f>
        <v>185917.71000000002</v>
      </c>
      <c r="DM37" s="880">
        <f t="shared" ref="DM37:DW37" si="69">DM38*1.1</f>
        <v>211966.59</v>
      </c>
      <c r="DN37" s="880">
        <f t="shared" si="69"/>
        <v>152067.96000000002</v>
      </c>
      <c r="DO37" s="880">
        <f t="shared" si="69"/>
        <v>148313.33000000005</v>
      </c>
      <c r="DP37" s="880">
        <f t="shared" si="69"/>
        <v>143391.05000000002</v>
      </c>
      <c r="DQ37" s="880">
        <f t="shared" si="69"/>
        <v>99278.080000000016</v>
      </c>
      <c r="DR37" s="880">
        <f t="shared" si="69"/>
        <v>182944.74000000005</v>
      </c>
      <c r="DS37" s="880">
        <f t="shared" si="69"/>
        <v>195388.38</v>
      </c>
      <c r="DT37" s="880">
        <f t="shared" si="69"/>
        <v>264790.35000000003</v>
      </c>
      <c r="DU37" s="880">
        <f t="shared" si="69"/>
        <v>247948.86033755276</v>
      </c>
      <c r="DV37" s="880">
        <f t="shared" si="69"/>
        <v>151768.20675105488</v>
      </c>
      <c r="DW37" s="880">
        <f t="shared" si="69"/>
        <v>62612.445569620257</v>
      </c>
      <c r="DX37" s="58">
        <f>SUM(DL37:DW37)</f>
        <v>2046387.7026582283</v>
      </c>
      <c r="DY37" s="598">
        <f>DX37-DJ37</f>
        <v>137972.55000000028</v>
      </c>
    </row>
    <row r="38" spans="1:129" ht="18.75" hidden="1">
      <c r="A38" s="307"/>
      <c r="B38" s="918"/>
      <c r="C38" s="919" t="s">
        <v>122</v>
      </c>
      <c r="D38" s="309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310"/>
      <c r="Q38" s="84"/>
      <c r="R38" s="309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311"/>
      <c r="AE38" s="23"/>
      <c r="AF38" s="312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6"/>
      <c r="AS38" s="23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2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54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J38" s="87">
        <f t="shared" ref="CJ38:CT38" si="70">(CJ37*0.95)-2000</f>
        <v>120876.95862840104</v>
      </c>
      <c r="CK38" s="87">
        <f t="shared" si="70"/>
        <v>141329.82482295937</v>
      </c>
      <c r="CL38" s="87">
        <f t="shared" si="70"/>
        <v>132310.10063361909</v>
      </c>
      <c r="CM38" s="87">
        <f t="shared" si="70"/>
        <v>127749.2508386135</v>
      </c>
      <c r="CN38" s="87">
        <f t="shared" si="70"/>
        <v>127477.31643682445</v>
      </c>
      <c r="CO38" s="87">
        <f t="shared" si="70"/>
        <v>96217.607156168466</v>
      </c>
      <c r="CP38" s="87">
        <f>(CP37*0.95)-2000</f>
        <v>170530.42194092827</v>
      </c>
      <c r="CQ38" s="87">
        <f t="shared" si="70"/>
        <v>187362.65822784806</v>
      </c>
      <c r="CR38" s="87">
        <f t="shared" si="70"/>
        <v>221027.13080168774</v>
      </c>
      <c r="CS38" s="87">
        <f t="shared" si="70"/>
        <v>204916.41350210967</v>
      </c>
      <c r="CT38" s="87">
        <f t="shared" si="70"/>
        <v>125428.27004219408</v>
      </c>
      <c r="CU38" s="87">
        <f>(CU37*0.95)-2000</f>
        <v>46745.822784810123</v>
      </c>
      <c r="CV38" s="87">
        <f>SUM(CJ38:CU38)</f>
        <v>1701971.775816164</v>
      </c>
      <c r="CW38" s="758"/>
      <c r="CX38" s="883">
        <v>169016.1</v>
      </c>
      <c r="CY38" s="883">
        <v>192696.9</v>
      </c>
      <c r="CZ38" s="883">
        <v>138243.6</v>
      </c>
      <c r="DA38" s="883">
        <v>134830.30000000002</v>
      </c>
      <c r="DB38" s="883">
        <v>130355.5</v>
      </c>
      <c r="DC38" s="883">
        <v>90252.800000000003</v>
      </c>
      <c r="DD38" s="883">
        <v>166313.40000000002</v>
      </c>
      <c r="DE38" s="883">
        <v>177625.8</v>
      </c>
      <c r="DF38" s="883">
        <v>240718.5</v>
      </c>
      <c r="DG38" s="883">
        <v>225408.05485232067</v>
      </c>
      <c r="DH38" s="883">
        <v>137971.09704641352</v>
      </c>
      <c r="DI38" s="883">
        <v>56920.405063291139</v>
      </c>
      <c r="DJ38" s="87">
        <f>SUM(CX38:DI38)</f>
        <v>1860352.4569620253</v>
      </c>
      <c r="DK38" s="948"/>
      <c r="DL38" s="883">
        <v>169016.1</v>
      </c>
      <c r="DM38" s="883">
        <v>192696.9</v>
      </c>
      <c r="DN38" s="883">
        <v>138243.6</v>
      </c>
      <c r="DO38" s="883">
        <v>134830.30000000002</v>
      </c>
      <c r="DP38" s="883">
        <v>130355.5</v>
      </c>
      <c r="DQ38" s="883">
        <v>90252.800000000003</v>
      </c>
      <c r="DR38" s="883">
        <v>166313.40000000002</v>
      </c>
      <c r="DS38" s="883">
        <v>177625.8</v>
      </c>
      <c r="DT38" s="883">
        <v>240718.5</v>
      </c>
      <c r="DU38" s="883">
        <v>225408.05485232067</v>
      </c>
      <c r="DV38" s="883">
        <v>137971.09704641352</v>
      </c>
      <c r="DW38" s="883">
        <v>56920.405063291139</v>
      </c>
      <c r="DX38" s="87">
        <f>SUM(DL38:DW38)</f>
        <v>1860352.4569620253</v>
      </c>
    </row>
    <row r="39" spans="1:129" ht="18.75" hidden="1">
      <c r="A39" s="709"/>
      <c r="B39" s="920"/>
      <c r="C39" s="920"/>
      <c r="D39" s="309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310"/>
      <c r="Q39" s="84"/>
      <c r="R39" s="309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311"/>
      <c r="AE39" s="23"/>
      <c r="AF39" s="312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6"/>
      <c r="AS39" s="23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2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54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J39" s="711">
        <f>(CJ37-CJ38)/CJ38</f>
        <v>7.0048158432683957E-2</v>
      </c>
      <c r="CK39" s="711">
        <f t="shared" ref="CK39:CU39" si="71">(CK37-CK38)/CK38</f>
        <v>6.7527678624361279E-2</v>
      </c>
      <c r="CL39" s="711">
        <f t="shared" si="71"/>
        <v>6.8543162022378201E-2</v>
      </c>
      <c r="CM39" s="711">
        <f t="shared" si="71"/>
        <v>6.911123064062441E-2</v>
      </c>
      <c r="CN39" s="711">
        <f t="shared" si="71"/>
        <v>6.9146385006516056E-2</v>
      </c>
      <c r="CO39" s="711">
        <f t="shared" si="71"/>
        <v>7.4511806694850649E-2</v>
      </c>
      <c r="CP39" s="711">
        <f t="shared" si="71"/>
        <v>6.4976960691770641E-2</v>
      </c>
      <c r="CQ39" s="711">
        <f t="shared" si="71"/>
        <v>6.3867879594504795E-2</v>
      </c>
      <c r="CR39" s="711">
        <f t="shared" si="71"/>
        <v>6.2156487270879454E-2</v>
      </c>
      <c r="CS39" s="711">
        <f t="shared" si="71"/>
        <v>6.2905344342316025E-2</v>
      </c>
      <c r="CT39" s="711">
        <f t="shared" si="71"/>
        <v>6.94161774847359E-2</v>
      </c>
      <c r="CU39" s="711">
        <f t="shared" si="71"/>
        <v>9.7667970061631554E-2</v>
      </c>
      <c r="CV39" s="87"/>
      <c r="CW39" s="758"/>
      <c r="CX39" s="883"/>
      <c r="CY39" s="883"/>
      <c r="CZ39" s="883"/>
      <c r="DA39" s="883"/>
      <c r="DB39" s="883"/>
      <c r="DC39" s="883"/>
      <c r="DD39" s="883"/>
      <c r="DE39" s="883"/>
      <c r="DF39" s="883"/>
      <c r="DG39" s="883"/>
      <c r="DH39" s="883"/>
      <c r="DI39" s="883"/>
      <c r="DJ39" s="87"/>
      <c r="DK39" s="948"/>
      <c r="DL39" s="883"/>
      <c r="DM39" s="883"/>
      <c r="DN39" s="883"/>
      <c r="DO39" s="883"/>
      <c r="DP39" s="883"/>
      <c r="DQ39" s="883"/>
      <c r="DR39" s="883"/>
      <c r="DS39" s="883"/>
      <c r="DT39" s="883"/>
      <c r="DU39" s="883"/>
      <c r="DV39" s="883"/>
      <c r="DW39" s="883"/>
      <c r="DX39" s="87"/>
    </row>
    <row r="40" spans="1:129" ht="15" hidden="1" customHeight="1" outlineLevel="1">
      <c r="A40" s="88">
        <v>1</v>
      </c>
      <c r="B40" s="1078" t="s">
        <v>56</v>
      </c>
      <c r="C40" s="1119"/>
      <c r="D40" s="313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314">
        <f t="shared" ref="P40:P52" si="72">SUM(D40:O40)</f>
        <v>0</v>
      </c>
      <c r="Q40" s="90"/>
      <c r="R40" s="313">
        <v>7017.5438596491231</v>
      </c>
      <c r="S40" s="91">
        <v>7017.5438596491231</v>
      </c>
      <c r="T40" s="91">
        <f>7017.54385964912/2</f>
        <v>3508.7719298245602</v>
      </c>
      <c r="U40" s="91">
        <f>96*U7</f>
        <v>96</v>
      </c>
      <c r="V40" s="91">
        <v>3000</v>
      </c>
      <c r="W40" s="91">
        <v>7200</v>
      </c>
      <c r="X40" s="91">
        <v>8500</v>
      </c>
      <c r="Y40" s="91">
        <v>8500</v>
      </c>
      <c r="Z40" s="91">
        <v>8500</v>
      </c>
      <c r="AA40" s="91">
        <v>9000</v>
      </c>
      <c r="AB40" s="91">
        <v>9500</v>
      </c>
      <c r="AC40" s="91">
        <v>8500</v>
      </c>
      <c r="AD40" s="315">
        <f t="shared" ref="AD40:AD54" si="73">SUM(R40:AC40)</f>
        <v>80339.859649122809</v>
      </c>
      <c r="AE40" s="23"/>
      <c r="AF40" s="316">
        <v>8000</v>
      </c>
      <c r="AG40" s="91">
        <v>4000</v>
      </c>
      <c r="AH40" s="91">
        <v>5673</v>
      </c>
      <c r="AI40" s="91">
        <v>4500</v>
      </c>
      <c r="AJ40" s="91">
        <v>7892</v>
      </c>
      <c r="AK40" s="91">
        <v>6400</v>
      </c>
      <c r="AL40" s="91">
        <v>8000</v>
      </c>
      <c r="AM40" s="91">
        <v>8000</v>
      </c>
      <c r="AN40" s="91">
        <v>8000</v>
      </c>
      <c r="AO40" s="91">
        <v>8000</v>
      </c>
      <c r="AP40" s="91">
        <v>8800</v>
      </c>
      <c r="AQ40" s="91">
        <v>6400</v>
      </c>
      <c r="AR40" s="92">
        <f t="shared" ref="AR40:AR58" si="74">SUM(AF40:AQ40)</f>
        <v>83665</v>
      </c>
      <c r="AS40" s="23"/>
      <c r="AT40" s="91">
        <v>4861</v>
      </c>
      <c r="AU40" s="91">
        <v>5809</v>
      </c>
      <c r="AV40" s="91">
        <v>5072</v>
      </c>
      <c r="AW40" s="91">
        <v>4725</v>
      </c>
      <c r="AX40" s="317">
        <v>5832</v>
      </c>
      <c r="AY40" s="317">
        <v>5832</v>
      </c>
      <c r="AZ40" s="317">
        <v>5567</v>
      </c>
      <c r="BA40" s="317">
        <v>5567</v>
      </c>
      <c r="BB40" s="317">
        <v>5832</v>
      </c>
      <c r="BC40" s="317">
        <v>6892</v>
      </c>
      <c r="BD40" s="317">
        <v>7422</v>
      </c>
      <c r="BE40" s="317">
        <v>4241</v>
      </c>
      <c r="BF40" s="91">
        <f t="shared" ref="BF40:BF72" si="75">SUM(AT40:BE40)</f>
        <v>67652</v>
      </c>
      <c r="BG40" s="93">
        <f t="shared" ref="BG40:BG58" si="76">BF40/AR40-1</f>
        <v>-0.19139425088149165</v>
      </c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>
        <v>36051</v>
      </c>
      <c r="BU40" s="54"/>
      <c r="BV40" s="91">
        <v>4782.99</v>
      </c>
      <c r="BW40" s="91">
        <v>2945.31</v>
      </c>
      <c r="BX40" s="91">
        <f>'META  EM PEÇAS'!U26-('META  EM PEÇAS'!U26*0.05)</f>
        <v>7080.3689999999997</v>
      </c>
      <c r="BY40" s="91">
        <f>'META  EM PEÇAS'!V26-('META  EM PEÇAS'!V26*0.05)</f>
        <v>4355.6549999999997</v>
      </c>
      <c r="BZ40" s="91">
        <f>'META  EM PEÇAS'!W26-('META  EM PEÇAS'!W26*0.05)</f>
        <v>5839.9349999999995</v>
      </c>
      <c r="CA40" s="91">
        <f>'META  EM PEÇAS'!X26-('META  EM PEÇAS'!X26*0.05)</f>
        <v>5900.8964999999989</v>
      </c>
      <c r="CB40" s="91">
        <f>'META  EM PEÇAS'!Y26-('META  EM PEÇAS'!Y26*0.05)</f>
        <v>5279.7959999999994</v>
      </c>
      <c r="CC40" s="91">
        <f>'META  EM PEÇAS'!Z26-('META  EM PEÇAS'!Z26*0.05)</f>
        <v>4897.2404999999999</v>
      </c>
      <c r="CD40" s="91">
        <f>'META  EM PEÇAS'!AA26-('META  EM PEÇAS'!AA26*0.05)</f>
        <v>5018.28</v>
      </c>
      <c r="CE40" s="91">
        <f>'META  EM PEÇAS'!AB26-('META  EM PEÇAS'!AB26*0.05)</f>
        <v>4641.0254999999997</v>
      </c>
      <c r="CF40" s="91">
        <f>'META  EM PEÇAS'!AC26-('META  EM PEÇAS'!AC26*0.05)</f>
        <v>6521.1134999999995</v>
      </c>
      <c r="CG40" s="91">
        <f>'META  EM PEÇAS'!AD26-('META  EM PEÇAS'!AD26*0.05)</f>
        <v>3929.8079999999995</v>
      </c>
      <c r="CH40" s="91">
        <v>4136.6400000000003</v>
      </c>
      <c r="CJ40" s="91">
        <v>4782.99</v>
      </c>
      <c r="CK40" s="91">
        <v>2945.31</v>
      </c>
      <c r="CL40" s="91">
        <v>7080.3689999999997</v>
      </c>
      <c r="CM40" s="91">
        <v>4355.6549999999997</v>
      </c>
      <c r="CN40" s="91">
        <v>5839.9349999999995</v>
      </c>
      <c r="CO40" s="91">
        <v>5900.8964999999989</v>
      </c>
      <c r="CP40" s="91">
        <v>5279.7959999999994</v>
      </c>
      <c r="CQ40" s="91">
        <v>4897.2404999999999</v>
      </c>
      <c r="CR40" s="91">
        <v>5018.28</v>
      </c>
      <c r="CS40" s="91">
        <v>4641.0254999999997</v>
      </c>
      <c r="CT40" s="91">
        <v>6521.1134999999995</v>
      </c>
      <c r="CU40" s="91">
        <v>3929.8079999999995</v>
      </c>
      <c r="CV40" s="91">
        <v>4136.6400000000003</v>
      </c>
      <c r="CW40" s="758"/>
      <c r="CX40" s="884">
        <v>4782.99</v>
      </c>
      <c r="CY40" s="884">
        <v>2945.31</v>
      </c>
      <c r="CZ40" s="884">
        <v>7080.3689999999997</v>
      </c>
      <c r="DA40" s="884">
        <v>4355.6549999999997</v>
      </c>
      <c r="DB40" s="884">
        <v>5839.9349999999995</v>
      </c>
      <c r="DC40" s="884">
        <v>5900.8964999999989</v>
      </c>
      <c r="DD40" s="884">
        <v>5279.7959999999994</v>
      </c>
      <c r="DE40" s="884">
        <v>4897.2404999999999</v>
      </c>
      <c r="DF40" s="884">
        <v>5018.28</v>
      </c>
      <c r="DG40" s="884">
        <v>4641.0254999999997</v>
      </c>
      <c r="DH40" s="884">
        <v>6521.1134999999995</v>
      </c>
      <c r="DI40" s="884">
        <v>3929.8079999999995</v>
      </c>
      <c r="DJ40" s="91">
        <v>4136.6400000000003</v>
      </c>
      <c r="DK40" s="948"/>
      <c r="DL40" s="884">
        <v>4782.99</v>
      </c>
      <c r="DM40" s="884">
        <v>2945.31</v>
      </c>
      <c r="DN40" s="884">
        <v>7080.3689999999997</v>
      </c>
      <c r="DO40" s="884">
        <v>4355.6549999999997</v>
      </c>
      <c r="DP40" s="884">
        <v>5839.9349999999995</v>
      </c>
      <c r="DQ40" s="884">
        <v>5900.8964999999989</v>
      </c>
      <c r="DR40" s="884">
        <v>5279.7959999999994</v>
      </c>
      <c r="DS40" s="884">
        <v>4897.2404999999999</v>
      </c>
      <c r="DT40" s="884">
        <v>5018.28</v>
      </c>
      <c r="DU40" s="884">
        <v>4641.0254999999997</v>
      </c>
      <c r="DV40" s="884">
        <v>6521.1134999999995</v>
      </c>
      <c r="DW40" s="884">
        <v>3929.8079999999995</v>
      </c>
      <c r="DX40" s="91">
        <v>4136.6400000000003</v>
      </c>
    </row>
    <row r="41" spans="1:129" ht="15" hidden="1" customHeight="1" outlineLevel="1">
      <c r="A41" s="94">
        <v>2</v>
      </c>
      <c r="B41" s="1079" t="s">
        <v>57</v>
      </c>
      <c r="C41" s="1120"/>
      <c r="D41" s="313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314">
        <f t="shared" si="72"/>
        <v>0</v>
      </c>
      <c r="Q41" s="90"/>
      <c r="R41" s="313">
        <v>2909</v>
      </c>
      <c r="S41" s="91">
        <v>2545</v>
      </c>
      <c r="T41" s="91">
        <f>2727/1.2</f>
        <v>2272.5</v>
      </c>
      <c r="U41" s="91">
        <f>2*U7</f>
        <v>2</v>
      </c>
      <c r="V41" s="91">
        <v>500</v>
      </c>
      <c r="W41" s="91">
        <v>1300</v>
      </c>
      <c r="X41" s="91">
        <v>3200</v>
      </c>
      <c r="Y41" s="91">
        <v>3200</v>
      </c>
      <c r="Z41" s="91">
        <v>3600</v>
      </c>
      <c r="AA41" s="91">
        <v>3600</v>
      </c>
      <c r="AB41" s="91">
        <v>3600</v>
      </c>
      <c r="AC41" s="91">
        <v>4500</v>
      </c>
      <c r="AD41" s="315">
        <f t="shared" si="73"/>
        <v>31228.5</v>
      </c>
      <c r="AE41" s="23"/>
      <c r="AF41" s="316">
        <v>4000</v>
      </c>
      <c r="AG41" s="91">
        <v>1500</v>
      </c>
      <c r="AH41" s="91">
        <v>189</v>
      </c>
      <c r="AI41" s="91">
        <v>1842</v>
      </c>
      <c r="AJ41" s="91">
        <v>3764</v>
      </c>
      <c r="AK41" s="91">
        <v>3200</v>
      </c>
      <c r="AL41" s="91">
        <v>6000</v>
      </c>
      <c r="AM41" s="91">
        <v>5000</v>
      </c>
      <c r="AN41" s="91">
        <v>5000</v>
      </c>
      <c r="AO41" s="91">
        <v>5000</v>
      </c>
      <c r="AP41" s="91">
        <v>5000</v>
      </c>
      <c r="AQ41" s="91">
        <v>9000</v>
      </c>
      <c r="AR41" s="92">
        <f t="shared" si="74"/>
        <v>49495</v>
      </c>
      <c r="AS41" s="23"/>
      <c r="AT41" s="91">
        <v>5468</v>
      </c>
      <c r="AU41" s="91">
        <v>5468</v>
      </c>
      <c r="AV41" s="91">
        <v>6249</v>
      </c>
      <c r="AW41" s="91">
        <v>6249</v>
      </c>
      <c r="AX41" s="317">
        <v>3923</v>
      </c>
      <c r="AY41" s="317">
        <v>3923</v>
      </c>
      <c r="AZ41" s="317">
        <v>3745</v>
      </c>
      <c r="BA41" s="317">
        <v>3745</v>
      </c>
      <c r="BB41" s="317">
        <v>3923</v>
      </c>
      <c r="BC41" s="317">
        <v>4636</v>
      </c>
      <c r="BD41" s="317">
        <v>4993</v>
      </c>
      <c r="BE41" s="317">
        <v>7133</v>
      </c>
      <c r="BF41" s="91">
        <f t="shared" si="75"/>
        <v>59455</v>
      </c>
      <c r="BG41" s="93">
        <f t="shared" si="76"/>
        <v>0.20123244772199222</v>
      </c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>
        <v>40562</v>
      </c>
      <c r="BU41" s="54"/>
      <c r="BV41" s="91">
        <v>4442.6099999999997</v>
      </c>
      <c r="BW41" s="91">
        <v>3433.56</v>
      </c>
      <c r="BX41" s="91">
        <f>'META  EM PEÇAS'!U27-('META  EM PEÇAS'!U27*0.05)</f>
        <v>3860.0114999999996</v>
      </c>
      <c r="BY41" s="91">
        <f>'META  EM PEÇAS'!V27-('META  EM PEÇAS'!V27*0.05)</f>
        <v>3578.1749999999997</v>
      </c>
      <c r="BZ41" s="91">
        <f>'META  EM PEÇAS'!W27-('META  EM PEÇAS'!W27*0.05)</f>
        <v>4015.5074999999997</v>
      </c>
      <c r="CA41" s="91">
        <f>'META  EM PEÇAS'!X27-('META  EM PEÇAS'!X27*0.05)</f>
        <v>4835.3954999999996</v>
      </c>
      <c r="CB41" s="91">
        <f>'META  EM PEÇAS'!Y27-('META  EM PEÇAS'!Y27*0.05)</f>
        <v>5815.1969999999992</v>
      </c>
      <c r="CC41" s="91">
        <f>'META  EM PEÇAS'!Z27-('META  EM PEÇAS'!Z27*0.05)</f>
        <v>3888.2835</v>
      </c>
      <c r="CD41" s="91">
        <f>'META  EM PEÇAS'!AA27-('META  EM PEÇAS'!AA27*0.05)</f>
        <v>4032.2939999999994</v>
      </c>
      <c r="CE41" s="91">
        <f>'META  EM PEÇAS'!AB27-('META  EM PEÇAS'!AB27*0.05)</f>
        <v>4375.0919999999996</v>
      </c>
      <c r="CF41" s="91">
        <f>'META  EM PEÇAS'!AC27-('META  EM PEÇAS'!AC27*0.05)</f>
        <v>5604.9239999999991</v>
      </c>
      <c r="CG41" s="91">
        <f>'META  EM PEÇAS'!AD27-('META  EM PEÇAS'!AD27*0.05)</f>
        <v>7897.606499999999</v>
      </c>
      <c r="CH41" s="91">
        <f>SUM(BV41:CG41)</f>
        <v>55778.656499999997</v>
      </c>
      <c r="CJ41" s="91">
        <v>4442.6099999999997</v>
      </c>
      <c r="CK41" s="91">
        <v>3433.56</v>
      </c>
      <c r="CL41" s="91">
        <v>3860.0114999999996</v>
      </c>
      <c r="CM41" s="91">
        <v>3578.1749999999997</v>
      </c>
      <c r="CN41" s="91">
        <v>4015.5074999999997</v>
      </c>
      <c r="CO41" s="91">
        <v>4835.3954999999996</v>
      </c>
      <c r="CP41" s="91">
        <v>5815.1969999999992</v>
      </c>
      <c r="CQ41" s="91">
        <v>3888.2835</v>
      </c>
      <c r="CR41" s="91">
        <v>4032.2939999999994</v>
      </c>
      <c r="CS41" s="91">
        <v>4375.0919999999996</v>
      </c>
      <c r="CT41" s="91">
        <v>5604.9239999999991</v>
      </c>
      <c r="CU41" s="91">
        <v>7897.606499999999</v>
      </c>
      <c r="CV41" s="91">
        <v>55778.656499999997</v>
      </c>
      <c r="CW41" s="758"/>
      <c r="CX41" s="884">
        <v>4442.6099999999997</v>
      </c>
      <c r="CY41" s="884">
        <v>3433.56</v>
      </c>
      <c r="CZ41" s="884">
        <v>3860.0114999999996</v>
      </c>
      <c r="DA41" s="884">
        <v>3578.1749999999997</v>
      </c>
      <c r="DB41" s="884">
        <v>4015.5074999999997</v>
      </c>
      <c r="DC41" s="884">
        <v>4835.3954999999996</v>
      </c>
      <c r="DD41" s="884">
        <v>5815.1969999999992</v>
      </c>
      <c r="DE41" s="884">
        <v>3888.2835</v>
      </c>
      <c r="DF41" s="884">
        <v>4032.2939999999994</v>
      </c>
      <c r="DG41" s="884">
        <v>4375.0919999999996</v>
      </c>
      <c r="DH41" s="884">
        <v>5604.9239999999991</v>
      </c>
      <c r="DI41" s="884">
        <v>7897.606499999999</v>
      </c>
      <c r="DJ41" s="91">
        <v>55778.656499999997</v>
      </c>
      <c r="DK41" s="948"/>
      <c r="DL41" s="884">
        <v>4442.6099999999997</v>
      </c>
      <c r="DM41" s="884">
        <v>3433.56</v>
      </c>
      <c r="DN41" s="884">
        <v>3860.0114999999996</v>
      </c>
      <c r="DO41" s="884">
        <v>3578.1749999999997</v>
      </c>
      <c r="DP41" s="884">
        <v>4015.5074999999997</v>
      </c>
      <c r="DQ41" s="884">
        <v>4835.3954999999996</v>
      </c>
      <c r="DR41" s="884">
        <v>5815.1969999999992</v>
      </c>
      <c r="DS41" s="884">
        <v>3888.2835</v>
      </c>
      <c r="DT41" s="884">
        <v>4032.2939999999994</v>
      </c>
      <c r="DU41" s="884">
        <v>4375.0919999999996</v>
      </c>
      <c r="DV41" s="884">
        <v>5604.9239999999991</v>
      </c>
      <c r="DW41" s="884">
        <v>7897.606499999999</v>
      </c>
      <c r="DX41" s="91">
        <v>55778.656499999997</v>
      </c>
    </row>
    <row r="42" spans="1:129" ht="15" hidden="1" customHeight="1" outlineLevel="1">
      <c r="A42" s="94">
        <v>3</v>
      </c>
      <c r="B42" s="1079" t="s">
        <v>58</v>
      </c>
      <c r="C42" s="1120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si="72"/>
        <v>0</v>
      </c>
      <c r="Q42" s="90"/>
      <c r="R42" s="313">
        <v>746</v>
      </c>
      <c r="S42" s="91">
        <v>653</v>
      </c>
      <c r="T42" s="91">
        <v>700</v>
      </c>
      <c r="U42" s="91">
        <v>0</v>
      </c>
      <c r="V42" s="91">
        <v>200</v>
      </c>
      <c r="W42" s="91">
        <v>400</v>
      </c>
      <c r="X42" s="91">
        <v>900</v>
      </c>
      <c r="Y42" s="91">
        <v>900</v>
      </c>
      <c r="Z42" s="91">
        <v>900</v>
      </c>
      <c r="AA42" s="91">
        <v>900</v>
      </c>
      <c r="AB42" s="91">
        <v>900</v>
      </c>
      <c r="AC42" s="91">
        <v>1200</v>
      </c>
      <c r="AD42" s="315">
        <f t="shared" si="73"/>
        <v>8399</v>
      </c>
      <c r="AE42" s="23"/>
      <c r="AF42" s="316">
        <v>1800</v>
      </c>
      <c r="AG42" s="91">
        <v>1200</v>
      </c>
      <c r="AH42" s="91">
        <v>230</v>
      </c>
      <c r="AI42" s="91">
        <v>472</v>
      </c>
      <c r="AJ42" s="91">
        <v>1495</v>
      </c>
      <c r="AK42" s="91">
        <v>1200</v>
      </c>
      <c r="AL42" s="91">
        <v>1500</v>
      </c>
      <c r="AM42" s="91">
        <v>1500</v>
      </c>
      <c r="AN42" s="91">
        <v>1500</v>
      </c>
      <c r="AO42" s="91">
        <v>1500</v>
      </c>
      <c r="AP42" s="91">
        <v>1650</v>
      </c>
      <c r="AQ42" s="91">
        <v>2400</v>
      </c>
      <c r="AR42" s="92">
        <f t="shared" si="74"/>
        <v>16447</v>
      </c>
      <c r="AS42" s="23"/>
      <c r="AT42" s="91">
        <v>2438</v>
      </c>
      <c r="AU42" s="91">
        <v>1501</v>
      </c>
      <c r="AV42" s="91">
        <v>1566</v>
      </c>
      <c r="AW42" s="91">
        <v>2127</v>
      </c>
      <c r="AX42" s="317">
        <v>1928</v>
      </c>
      <c r="AY42" s="317">
        <v>1928</v>
      </c>
      <c r="AZ42" s="317">
        <v>1840</v>
      </c>
      <c r="BA42" s="317">
        <v>1840</v>
      </c>
      <c r="BB42" s="317">
        <v>1928</v>
      </c>
      <c r="BC42" s="317">
        <v>2278</v>
      </c>
      <c r="BD42" s="317">
        <v>2454</v>
      </c>
      <c r="BE42" s="317">
        <v>3505</v>
      </c>
      <c r="BF42" s="91">
        <f t="shared" si="75"/>
        <v>25333</v>
      </c>
      <c r="BG42" s="93">
        <f t="shared" si="76"/>
        <v>0.54028090229221126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7784</v>
      </c>
      <c r="BU42" s="54"/>
      <c r="BV42" s="91">
        <v>450.99999999999989</v>
      </c>
      <c r="BW42" s="91">
        <v>348.59999999999991</v>
      </c>
      <c r="BX42" s="91">
        <f>'META  EM PEÇAS'!U28-('META  EM PEÇAS'!U28*0.05)</f>
        <v>391.96999999999991</v>
      </c>
      <c r="BY42" s="91">
        <f>'META  EM PEÇAS'!V28-('META  EM PEÇAS'!V28*0.05)</f>
        <v>363.27999999999992</v>
      </c>
      <c r="BZ42" s="91">
        <f>'META  EM PEÇAS'!W28-('META  EM PEÇAS'!W28*0.05)</f>
        <v>407.5499999999999</v>
      </c>
      <c r="CA42" s="91">
        <f>'META  EM PEÇAS'!X28-('META  EM PEÇAS'!X28*0.05)</f>
        <v>490.76999999999992</v>
      </c>
      <c r="CB42" s="91">
        <f>'META  EM PEÇAS'!Y28-('META  EM PEÇAS'!Y28*0.05)</f>
        <v>590.32999999999993</v>
      </c>
      <c r="CC42" s="91">
        <f>'META  EM PEÇAS'!Z28-('META  EM PEÇAS'!Z28*0.05)</f>
        <v>394.62999999999994</v>
      </c>
      <c r="CD42" s="91">
        <f>'META  EM PEÇAS'!AA28-('META  EM PEÇAS'!AA28*0.05)</f>
        <v>409.25999999999988</v>
      </c>
      <c r="CE42" s="91">
        <f>'META  EM PEÇAS'!AB28-('META  EM PEÇAS'!AB28*0.05)</f>
        <v>444.21999999999991</v>
      </c>
      <c r="CF42" s="91">
        <f>'META  EM PEÇAS'!AC28-('META  EM PEÇAS'!AC28*0.05)</f>
        <v>569.04999999999984</v>
      </c>
      <c r="CG42" s="91">
        <f>'META  EM PEÇAS'!AD28-('META  EM PEÇAS'!AD28*0.05)</f>
        <v>801.79999999999973</v>
      </c>
      <c r="CH42" s="91">
        <f t="shared" ref="CH42:CH55" si="77">SUM(BV42:CG42)</f>
        <v>5662.4599999999991</v>
      </c>
      <c r="CJ42" s="91">
        <v>450.99999999999989</v>
      </c>
      <c r="CK42" s="91">
        <v>348.59999999999991</v>
      </c>
      <c r="CL42" s="91">
        <v>391.96999999999991</v>
      </c>
      <c r="CM42" s="91">
        <v>363.27999999999992</v>
      </c>
      <c r="CN42" s="91">
        <v>407.5499999999999</v>
      </c>
      <c r="CO42" s="91">
        <v>490.76999999999992</v>
      </c>
      <c r="CP42" s="91">
        <v>590.32999999999993</v>
      </c>
      <c r="CQ42" s="91">
        <v>394.62999999999994</v>
      </c>
      <c r="CR42" s="91">
        <v>409.25999999999988</v>
      </c>
      <c r="CS42" s="91">
        <v>444.21999999999991</v>
      </c>
      <c r="CT42" s="91">
        <v>569.04999999999984</v>
      </c>
      <c r="CU42" s="91">
        <v>801.79999999999973</v>
      </c>
      <c r="CV42" s="91">
        <v>5662.4599999999991</v>
      </c>
      <c r="CW42" s="758"/>
      <c r="CX42" s="884">
        <v>450.99999999999989</v>
      </c>
      <c r="CY42" s="884">
        <v>348.59999999999991</v>
      </c>
      <c r="CZ42" s="884">
        <v>391.96999999999991</v>
      </c>
      <c r="DA42" s="884">
        <v>363.27999999999992</v>
      </c>
      <c r="DB42" s="884">
        <v>407.5499999999999</v>
      </c>
      <c r="DC42" s="884">
        <v>490.76999999999992</v>
      </c>
      <c r="DD42" s="884">
        <v>590.32999999999993</v>
      </c>
      <c r="DE42" s="884">
        <v>394.62999999999994</v>
      </c>
      <c r="DF42" s="884">
        <v>409.25999999999988</v>
      </c>
      <c r="DG42" s="884">
        <v>444.21999999999991</v>
      </c>
      <c r="DH42" s="884">
        <v>569.04999999999984</v>
      </c>
      <c r="DI42" s="884">
        <v>801.79999999999973</v>
      </c>
      <c r="DJ42" s="91">
        <v>5662.4599999999991</v>
      </c>
      <c r="DK42" s="948"/>
      <c r="DL42" s="884">
        <v>450.99999999999989</v>
      </c>
      <c r="DM42" s="884">
        <v>348.59999999999991</v>
      </c>
      <c r="DN42" s="884">
        <v>391.96999999999991</v>
      </c>
      <c r="DO42" s="884">
        <v>363.27999999999992</v>
      </c>
      <c r="DP42" s="884">
        <v>407.5499999999999</v>
      </c>
      <c r="DQ42" s="884">
        <v>490.76999999999992</v>
      </c>
      <c r="DR42" s="884">
        <v>590.32999999999993</v>
      </c>
      <c r="DS42" s="884">
        <v>394.62999999999994</v>
      </c>
      <c r="DT42" s="884">
        <v>409.25999999999988</v>
      </c>
      <c r="DU42" s="884">
        <v>444.21999999999991</v>
      </c>
      <c r="DV42" s="884">
        <v>569.04999999999984</v>
      </c>
      <c r="DW42" s="884">
        <v>801.79999999999973</v>
      </c>
      <c r="DX42" s="91">
        <v>5662.4599999999991</v>
      </c>
    </row>
    <row r="43" spans="1:129" ht="15" hidden="1" customHeight="1" outlineLevel="1">
      <c r="A43" s="94">
        <v>4</v>
      </c>
      <c r="B43" s="1079" t="s">
        <v>59</v>
      </c>
      <c r="C43" s="1120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>
        <f t="shared" si="72"/>
        <v>0</v>
      </c>
      <c r="Q43" s="90"/>
      <c r="R43" s="313">
        <v>1455</v>
      </c>
      <c r="S43" s="91">
        <f>2036</f>
        <v>2036</v>
      </c>
      <c r="T43" s="91">
        <f>2182/2</f>
        <v>1091</v>
      </c>
      <c r="U43" s="91">
        <v>0</v>
      </c>
      <c r="V43" s="91">
        <v>200</v>
      </c>
      <c r="W43" s="91">
        <v>900</v>
      </c>
      <c r="X43" s="91">
        <v>1600</v>
      </c>
      <c r="Y43" s="91">
        <v>1600</v>
      </c>
      <c r="Z43" s="91">
        <v>1600</v>
      </c>
      <c r="AA43" s="91">
        <v>1600</v>
      </c>
      <c r="AB43" s="91">
        <v>2200</v>
      </c>
      <c r="AC43" s="91">
        <v>2500</v>
      </c>
      <c r="AD43" s="315">
        <f t="shared" si="73"/>
        <v>16782</v>
      </c>
      <c r="AE43" s="23"/>
      <c r="AF43" s="316">
        <v>2200</v>
      </c>
      <c r="AG43" s="91">
        <v>1500</v>
      </c>
      <c r="AH43" s="91">
        <v>121</v>
      </c>
      <c r="AI43" s="91">
        <v>565</v>
      </c>
      <c r="AJ43" s="91">
        <v>1514</v>
      </c>
      <c r="AK43" s="91">
        <v>1760</v>
      </c>
      <c r="AL43" s="91">
        <v>1800</v>
      </c>
      <c r="AM43" s="91">
        <v>2200</v>
      </c>
      <c r="AN43" s="91">
        <v>2200</v>
      </c>
      <c r="AO43" s="91">
        <v>2200</v>
      </c>
      <c r="AP43" s="91">
        <v>2420</v>
      </c>
      <c r="AQ43" s="91">
        <v>3520</v>
      </c>
      <c r="AR43" s="92">
        <f t="shared" si="74"/>
        <v>22000</v>
      </c>
      <c r="AS43" s="23"/>
      <c r="AT43" s="91">
        <v>1529</v>
      </c>
      <c r="AU43" s="91">
        <v>1516</v>
      </c>
      <c r="AV43" s="91">
        <v>1586</v>
      </c>
      <c r="AW43" s="91">
        <v>1979</v>
      </c>
      <c r="AX43" s="317">
        <v>1283</v>
      </c>
      <c r="AY43" s="317">
        <v>1283</v>
      </c>
      <c r="AZ43" s="317">
        <v>1224</v>
      </c>
      <c r="BA43" s="317">
        <v>1224</v>
      </c>
      <c r="BB43" s="317">
        <v>1283</v>
      </c>
      <c r="BC43" s="317">
        <v>1516</v>
      </c>
      <c r="BD43" s="317">
        <v>1632</v>
      </c>
      <c r="BE43" s="317">
        <v>2332</v>
      </c>
      <c r="BF43" s="91">
        <f t="shared" si="75"/>
        <v>18387</v>
      </c>
      <c r="BG43" s="93">
        <f t="shared" si="76"/>
        <v>-0.16422727272727278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9018</v>
      </c>
      <c r="BU43" s="54"/>
      <c r="BV43" s="91">
        <v>1143.8999999999999</v>
      </c>
      <c r="BW43" s="91">
        <v>884.43</v>
      </c>
      <c r="BX43" s="91">
        <f>'META  EM PEÇAS'!U29-('META  EM PEÇAS'!U29*0.05)</f>
        <v>993.9375</v>
      </c>
      <c r="BY43" s="91">
        <f>'META  EM PEÇAS'!V29-('META  EM PEÇAS'!V29*0.05)</f>
        <v>921.49049999999988</v>
      </c>
      <c r="BZ43" s="91">
        <f>'META  EM PEÇAS'!W29-('META  EM PEÇAS'!W29*0.05)</f>
        <v>1033.6949999999999</v>
      </c>
      <c r="CA43" s="91">
        <f>'META  EM PEÇAS'!X29-('META  EM PEÇAS'!X29*0.05)</f>
        <v>1244.8515</v>
      </c>
      <c r="CB43" s="91">
        <f>'META  EM PEÇAS'!Y29-('META  EM PEÇAS'!Y29*0.05)</f>
        <v>1497.5324999999998</v>
      </c>
      <c r="CC43" s="91">
        <f>'META  EM PEÇAS'!Z29-('META  EM PEÇAS'!Z29*0.05)</f>
        <v>1001.0054999999999</v>
      </c>
      <c r="CD43" s="91">
        <f>'META  EM PEÇAS'!AA29-('META  EM PEÇAS'!AA29*0.05)</f>
        <v>1038.1125</v>
      </c>
      <c r="CE43" s="91">
        <f>'META  EM PEÇAS'!AB29-('META  EM PEÇAS'!AB29*0.05)</f>
        <v>1126.4625000000001</v>
      </c>
      <c r="CF43" s="91">
        <f>'META  EM PEÇAS'!AC29-('META  EM PEÇAS'!AC29*0.05)</f>
        <v>1443.6389999999999</v>
      </c>
      <c r="CG43" s="91">
        <f>'META  EM PEÇAS'!AD29-('META  EM PEÇAS'!AD29*0.05)</f>
        <v>2033.8169999999998</v>
      </c>
      <c r="CH43" s="91">
        <f t="shared" si="77"/>
        <v>14362.873499999996</v>
      </c>
      <c r="CJ43" s="91">
        <v>1143.8999999999999</v>
      </c>
      <c r="CK43" s="91">
        <v>884.43</v>
      </c>
      <c r="CL43" s="91">
        <v>993.9375</v>
      </c>
      <c r="CM43" s="91">
        <v>921.49049999999988</v>
      </c>
      <c r="CN43" s="91">
        <v>1033.6949999999999</v>
      </c>
      <c r="CO43" s="91">
        <v>1244.8515</v>
      </c>
      <c r="CP43" s="91">
        <v>1497.5324999999998</v>
      </c>
      <c r="CQ43" s="91">
        <v>1001.0054999999999</v>
      </c>
      <c r="CR43" s="91">
        <v>1038.1125</v>
      </c>
      <c r="CS43" s="91">
        <v>1126.4625000000001</v>
      </c>
      <c r="CT43" s="91">
        <v>1443.6389999999999</v>
      </c>
      <c r="CU43" s="91">
        <v>2033.8169999999998</v>
      </c>
      <c r="CV43" s="91">
        <v>14362.873499999996</v>
      </c>
      <c r="CW43" s="758"/>
      <c r="CX43" s="884">
        <v>1143.8999999999999</v>
      </c>
      <c r="CY43" s="884">
        <v>884.43</v>
      </c>
      <c r="CZ43" s="884">
        <v>993.9375</v>
      </c>
      <c r="DA43" s="884">
        <v>921.49049999999988</v>
      </c>
      <c r="DB43" s="884">
        <v>1033.6949999999999</v>
      </c>
      <c r="DC43" s="884">
        <v>1244.8515</v>
      </c>
      <c r="DD43" s="884">
        <v>1497.5324999999998</v>
      </c>
      <c r="DE43" s="884">
        <v>1001.0054999999999</v>
      </c>
      <c r="DF43" s="884">
        <v>1038.1125</v>
      </c>
      <c r="DG43" s="884">
        <v>1126.4625000000001</v>
      </c>
      <c r="DH43" s="884">
        <v>1443.6389999999999</v>
      </c>
      <c r="DI43" s="884">
        <v>2033.8169999999998</v>
      </c>
      <c r="DJ43" s="91">
        <v>14362.873499999996</v>
      </c>
      <c r="DK43" s="948"/>
      <c r="DL43" s="884">
        <v>1143.8999999999999</v>
      </c>
      <c r="DM43" s="884">
        <v>884.43</v>
      </c>
      <c r="DN43" s="884">
        <v>993.9375</v>
      </c>
      <c r="DO43" s="884">
        <v>921.49049999999988</v>
      </c>
      <c r="DP43" s="884">
        <v>1033.6949999999999</v>
      </c>
      <c r="DQ43" s="884">
        <v>1244.8515</v>
      </c>
      <c r="DR43" s="884">
        <v>1497.5324999999998</v>
      </c>
      <c r="DS43" s="884">
        <v>1001.0054999999999</v>
      </c>
      <c r="DT43" s="884">
        <v>1038.1125</v>
      </c>
      <c r="DU43" s="884">
        <v>1126.4625000000001</v>
      </c>
      <c r="DV43" s="884">
        <v>1443.6389999999999</v>
      </c>
      <c r="DW43" s="884">
        <v>2033.8169999999998</v>
      </c>
      <c r="DX43" s="91">
        <v>14362.873499999996</v>
      </c>
    </row>
    <row r="44" spans="1:129" ht="15" hidden="1" customHeight="1" outlineLevel="1">
      <c r="A44" s="94">
        <v>5</v>
      </c>
      <c r="B44" s="1079" t="s">
        <v>60</v>
      </c>
      <c r="C44" s="1120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>
        <f t="shared" si="72"/>
        <v>0</v>
      </c>
      <c r="Q44" s="90"/>
      <c r="R44" s="313">
        <v>1353</v>
      </c>
      <c r="S44" s="91">
        <v>1184</v>
      </c>
      <c r="T44" s="91">
        <v>1268</v>
      </c>
      <c r="U44" s="91">
        <f t="shared" ref="U44:V44" si="78">10*U7</f>
        <v>10</v>
      </c>
      <c r="V44" s="91">
        <f t="shared" si="78"/>
        <v>120</v>
      </c>
      <c r="W44" s="91">
        <v>600</v>
      </c>
      <c r="X44" s="91">
        <v>1600</v>
      </c>
      <c r="Y44" s="91">
        <v>1600</v>
      </c>
      <c r="Z44" s="91">
        <v>1600</v>
      </c>
      <c r="AA44" s="91">
        <v>1600</v>
      </c>
      <c r="AB44" s="91">
        <v>1600</v>
      </c>
      <c r="AC44" s="91">
        <v>2200</v>
      </c>
      <c r="AD44" s="315">
        <f t="shared" si="73"/>
        <v>14735</v>
      </c>
      <c r="AE44" s="23"/>
      <c r="AF44" s="316">
        <v>1800</v>
      </c>
      <c r="AG44" s="91">
        <v>1200</v>
      </c>
      <c r="AH44" s="91">
        <v>181</v>
      </c>
      <c r="AI44" s="91">
        <v>628</v>
      </c>
      <c r="AJ44" s="91">
        <v>1169</v>
      </c>
      <c r="AK44" s="91">
        <v>960</v>
      </c>
      <c r="AL44" s="91">
        <v>1500</v>
      </c>
      <c r="AM44" s="91">
        <v>1200</v>
      </c>
      <c r="AN44" s="91">
        <v>1200</v>
      </c>
      <c r="AO44" s="91">
        <v>1200</v>
      </c>
      <c r="AP44" s="91">
        <v>1320</v>
      </c>
      <c r="AQ44" s="91">
        <v>1920</v>
      </c>
      <c r="AR44" s="92">
        <f t="shared" si="74"/>
        <v>14278</v>
      </c>
      <c r="AS44" s="23"/>
      <c r="AT44" s="91">
        <v>1496</v>
      </c>
      <c r="AU44" s="91">
        <v>1200</v>
      </c>
      <c r="AV44" s="91">
        <v>1227</v>
      </c>
      <c r="AW44" s="91">
        <v>1655</v>
      </c>
      <c r="AX44" s="317">
        <v>1141</v>
      </c>
      <c r="AY44" s="317">
        <v>1141</v>
      </c>
      <c r="AZ44" s="317">
        <v>1089</v>
      </c>
      <c r="BA44" s="317">
        <v>1089</v>
      </c>
      <c r="BB44" s="317">
        <v>1141</v>
      </c>
      <c r="BC44" s="317">
        <v>1349</v>
      </c>
      <c r="BD44" s="317">
        <v>1453</v>
      </c>
      <c r="BE44" s="317">
        <v>2075</v>
      </c>
      <c r="BF44" s="91">
        <f t="shared" si="75"/>
        <v>16056</v>
      </c>
      <c r="BG44" s="93">
        <f t="shared" si="76"/>
        <v>0.1245272447121446</v>
      </c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>
        <v>10591</v>
      </c>
      <c r="BU44" s="54"/>
      <c r="BV44" s="91">
        <v>1474.9799999999998</v>
      </c>
      <c r="BW44" s="91">
        <v>1140.1799999999998</v>
      </c>
      <c r="BX44" s="91">
        <f>'META  EM PEÇAS'!U30-('META  EM PEÇAS'!U30*0.05)</f>
        <v>1281.9584999999997</v>
      </c>
      <c r="BY44" s="91">
        <f>'META  EM PEÇAS'!V30-('META  EM PEÇAS'!V30*0.05)</f>
        <v>1188.3074999999999</v>
      </c>
      <c r="BZ44" s="91">
        <f>'META  EM PEÇAS'!W30-('META  EM PEÇAS'!W30*0.05)</f>
        <v>1333.2014999999999</v>
      </c>
      <c r="CA44" s="91">
        <f>'META  EM PEÇAS'!X30-('META  EM PEÇAS'!X30*0.05)</f>
        <v>1606.2029999999997</v>
      </c>
      <c r="CB44" s="91">
        <f>'META  EM PEÇAS'!Y30-('META  EM PEÇAS'!Y30*0.05)</f>
        <v>1931.3309999999997</v>
      </c>
      <c r="CC44" s="91">
        <f>'META  EM PEÇAS'!Z30-('META  EM PEÇAS'!Z30*0.05)</f>
        <v>1291.6769999999999</v>
      </c>
      <c r="CD44" s="91">
        <f>'META  EM PEÇAS'!AA30-('META  EM PEÇAS'!AA30*0.05)</f>
        <v>1339.386</v>
      </c>
      <c r="CE44" s="91">
        <f>'META  EM PEÇAS'!AB30-('META  EM PEÇAS'!AB30*0.05)</f>
        <v>1453.3574999999998</v>
      </c>
      <c r="CF44" s="91">
        <f>'META  EM PEÇAS'!AC30-('META  EM PEÇAS'!AC30*0.05)</f>
        <v>1861.5344999999998</v>
      </c>
      <c r="CG44" s="91">
        <f>'META  EM PEÇAS'!AD30-('META  EM PEÇAS'!AD30*0.05)</f>
        <v>2623.1114999999995</v>
      </c>
      <c r="CH44" s="91">
        <f t="shared" si="77"/>
        <v>18525.227999999999</v>
      </c>
      <c r="CI44" s="450"/>
      <c r="CJ44" s="91">
        <v>1474.9799999999998</v>
      </c>
      <c r="CK44" s="91">
        <v>1140.1799999999998</v>
      </c>
      <c r="CL44" s="91">
        <v>1281.9584999999997</v>
      </c>
      <c r="CM44" s="91">
        <v>1188.3074999999999</v>
      </c>
      <c r="CN44" s="91">
        <v>1333.2014999999999</v>
      </c>
      <c r="CO44" s="91">
        <v>1606.2029999999997</v>
      </c>
      <c r="CP44" s="91">
        <v>1931.3309999999997</v>
      </c>
      <c r="CQ44" s="91">
        <v>1291.6769999999999</v>
      </c>
      <c r="CR44" s="91">
        <v>1339.386</v>
      </c>
      <c r="CS44" s="91">
        <v>1453.3574999999998</v>
      </c>
      <c r="CT44" s="91">
        <v>1861.5344999999998</v>
      </c>
      <c r="CU44" s="91">
        <v>2623.1114999999995</v>
      </c>
      <c r="CV44" s="91">
        <v>18525.227999999999</v>
      </c>
      <c r="CW44" s="758"/>
      <c r="CX44" s="884">
        <v>1474.9799999999998</v>
      </c>
      <c r="CY44" s="884">
        <v>1140.1799999999998</v>
      </c>
      <c r="CZ44" s="884">
        <v>1281.9584999999997</v>
      </c>
      <c r="DA44" s="884">
        <v>1188.3074999999999</v>
      </c>
      <c r="DB44" s="884">
        <v>1333.2014999999999</v>
      </c>
      <c r="DC44" s="884">
        <v>1606.2029999999997</v>
      </c>
      <c r="DD44" s="884">
        <v>1931.3309999999997</v>
      </c>
      <c r="DE44" s="884">
        <v>1291.6769999999999</v>
      </c>
      <c r="DF44" s="884">
        <v>1339.386</v>
      </c>
      <c r="DG44" s="884">
        <v>1453.3574999999998</v>
      </c>
      <c r="DH44" s="884">
        <v>1861.5344999999998</v>
      </c>
      <c r="DI44" s="884">
        <v>2623.1114999999995</v>
      </c>
      <c r="DJ44" s="91">
        <v>18525.227999999999</v>
      </c>
      <c r="DK44" s="948"/>
      <c r="DL44" s="884">
        <v>1474.9799999999998</v>
      </c>
      <c r="DM44" s="884">
        <v>1140.1799999999998</v>
      </c>
      <c r="DN44" s="884">
        <v>1281.9584999999997</v>
      </c>
      <c r="DO44" s="884">
        <v>1188.3074999999999</v>
      </c>
      <c r="DP44" s="884">
        <v>1333.2014999999999</v>
      </c>
      <c r="DQ44" s="884">
        <v>1606.2029999999997</v>
      </c>
      <c r="DR44" s="884">
        <v>1931.3309999999997</v>
      </c>
      <c r="DS44" s="884">
        <v>1291.6769999999999</v>
      </c>
      <c r="DT44" s="884">
        <v>1339.386</v>
      </c>
      <c r="DU44" s="884">
        <v>1453.3574999999998</v>
      </c>
      <c r="DV44" s="884">
        <v>1861.5344999999998</v>
      </c>
      <c r="DW44" s="884">
        <v>2623.1114999999995</v>
      </c>
      <c r="DX44" s="91">
        <v>18525.227999999999</v>
      </c>
    </row>
    <row r="45" spans="1:129" ht="15" hidden="1" customHeight="1" outlineLevel="1">
      <c r="A45" s="94">
        <v>6</v>
      </c>
      <c r="B45" s="1079" t="s">
        <v>61</v>
      </c>
      <c r="C45" s="1120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>
        <f t="shared" si="72"/>
        <v>0</v>
      </c>
      <c r="Q45" s="90"/>
      <c r="R45" s="313">
        <v>1455</v>
      </c>
      <c r="S45" s="91">
        <v>1273</v>
      </c>
      <c r="T45" s="91">
        <v>1364</v>
      </c>
      <c r="U45" s="91">
        <v>0</v>
      </c>
      <c r="V45" s="91">
        <v>200</v>
      </c>
      <c r="W45" s="91">
        <v>800</v>
      </c>
      <c r="X45" s="91">
        <v>1600</v>
      </c>
      <c r="Y45" s="91">
        <v>1600</v>
      </c>
      <c r="Z45" s="91">
        <v>1600</v>
      </c>
      <c r="AA45" s="91">
        <v>1600</v>
      </c>
      <c r="AB45" s="91">
        <v>1800</v>
      </c>
      <c r="AC45" s="91">
        <v>2400</v>
      </c>
      <c r="AD45" s="315">
        <f t="shared" si="73"/>
        <v>15692</v>
      </c>
      <c r="AE45" s="23"/>
      <c r="AF45" s="316">
        <v>1500</v>
      </c>
      <c r="AG45" s="91">
        <v>1200</v>
      </c>
      <c r="AH45" s="91">
        <v>127</v>
      </c>
      <c r="AI45" s="91">
        <v>426</v>
      </c>
      <c r="AJ45" s="91">
        <v>1063</v>
      </c>
      <c r="AK45" s="91">
        <v>960</v>
      </c>
      <c r="AL45" s="91">
        <v>1500</v>
      </c>
      <c r="AM45" s="91">
        <v>1200</v>
      </c>
      <c r="AN45" s="91">
        <v>1200</v>
      </c>
      <c r="AO45" s="91">
        <v>1200</v>
      </c>
      <c r="AP45" s="91">
        <v>1320</v>
      </c>
      <c r="AQ45" s="91">
        <v>1920</v>
      </c>
      <c r="AR45" s="92">
        <f t="shared" si="74"/>
        <v>13616</v>
      </c>
      <c r="AS45" s="23"/>
      <c r="AT45" s="91">
        <v>1222</v>
      </c>
      <c r="AU45" s="91">
        <v>1200</v>
      </c>
      <c r="AV45" s="91">
        <v>1117</v>
      </c>
      <c r="AW45" s="91">
        <v>1463</v>
      </c>
      <c r="AX45" s="317">
        <v>1087</v>
      </c>
      <c r="AY45" s="317">
        <v>1087</v>
      </c>
      <c r="AZ45" s="317">
        <v>1038</v>
      </c>
      <c r="BA45" s="317">
        <v>1038</v>
      </c>
      <c r="BB45" s="317">
        <v>1087</v>
      </c>
      <c r="BC45" s="317">
        <v>1285</v>
      </c>
      <c r="BD45" s="317">
        <v>1384</v>
      </c>
      <c r="BE45" s="317">
        <v>1977</v>
      </c>
      <c r="BF45" s="91">
        <f t="shared" si="75"/>
        <v>14985</v>
      </c>
      <c r="BG45" s="93">
        <f t="shared" si="76"/>
        <v>0.10054347826086962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>
        <v>10087</v>
      </c>
      <c r="BU45" s="54"/>
      <c r="BV45" s="91">
        <v>1214.58</v>
      </c>
      <c r="BW45" s="91">
        <v>939.3</v>
      </c>
      <c r="BX45" s="91">
        <f>'META  EM PEÇAS'!U31-('META  EM PEÇAS'!U31*0.05)</f>
        <v>1055.7824999999998</v>
      </c>
      <c r="BY45" s="91">
        <f>'META  EM PEÇAS'!V31-('META  EM PEÇAS'!V31*0.05)</f>
        <v>978.03449999999998</v>
      </c>
      <c r="BZ45" s="91">
        <f>'META  EM PEÇAS'!W31-('META  EM PEÇAS'!W31*0.05)</f>
        <v>1098.1904999999999</v>
      </c>
      <c r="CA45" s="91">
        <f>'META  EM PEÇAS'!X31-('META  EM PEÇAS'!X31*0.05)</f>
        <v>1322.5994999999998</v>
      </c>
      <c r="CB45" s="91">
        <f>'META  EM PEÇAS'!Y31-('META  EM PEÇAS'!Y31*0.05)</f>
        <v>1590.3</v>
      </c>
      <c r="CC45" s="91">
        <f>'META  EM PEÇAS'!Z31-('META  EM PEÇAS'!Z31*0.05)</f>
        <v>1062.8505</v>
      </c>
      <c r="CD45" s="91">
        <f>'META  EM PEÇAS'!AA31-('META  EM PEÇAS'!AA31*0.05)</f>
        <v>1102.6079999999999</v>
      </c>
      <c r="CE45" s="91">
        <f>'META  EM PEÇAS'!AB31-('META  EM PEÇAS'!AB31*0.05)</f>
        <v>1196.259</v>
      </c>
      <c r="CF45" s="91">
        <f>'META  EM PEÇAS'!AC31-('META  EM PEÇAS'!AC31*0.05)</f>
        <v>1532.8724999999999</v>
      </c>
      <c r="CG45" s="91">
        <f>'META  EM PEÇAS'!AD31-('META  EM PEÇAS'!AD31*0.05)</f>
        <v>2160.1574999999998</v>
      </c>
      <c r="CH45" s="91">
        <f t="shared" si="77"/>
        <v>15253.534499999998</v>
      </c>
      <c r="CJ45" s="91">
        <v>1214.58</v>
      </c>
      <c r="CK45" s="91">
        <v>939.3</v>
      </c>
      <c r="CL45" s="91">
        <v>1055.7824999999998</v>
      </c>
      <c r="CM45" s="91">
        <v>978.03449999999998</v>
      </c>
      <c r="CN45" s="91">
        <v>1098.1904999999999</v>
      </c>
      <c r="CO45" s="91">
        <v>1322.5994999999998</v>
      </c>
      <c r="CP45" s="91">
        <v>1590.3</v>
      </c>
      <c r="CQ45" s="91">
        <v>1062.8505</v>
      </c>
      <c r="CR45" s="91">
        <v>1102.6079999999999</v>
      </c>
      <c r="CS45" s="91">
        <v>1196.259</v>
      </c>
      <c r="CT45" s="91">
        <v>1532.8724999999999</v>
      </c>
      <c r="CU45" s="91">
        <v>2160.1574999999998</v>
      </c>
      <c r="CV45" s="91">
        <v>15253.534499999998</v>
      </c>
      <c r="CW45" s="758"/>
      <c r="CX45" s="884">
        <v>1214.58</v>
      </c>
      <c r="CY45" s="884">
        <v>939.3</v>
      </c>
      <c r="CZ45" s="884">
        <v>1055.7824999999998</v>
      </c>
      <c r="DA45" s="884">
        <v>978.03449999999998</v>
      </c>
      <c r="DB45" s="884">
        <v>1098.1904999999999</v>
      </c>
      <c r="DC45" s="884">
        <v>1322.5994999999998</v>
      </c>
      <c r="DD45" s="884">
        <v>1590.3</v>
      </c>
      <c r="DE45" s="884">
        <v>1062.8505</v>
      </c>
      <c r="DF45" s="884">
        <v>1102.6079999999999</v>
      </c>
      <c r="DG45" s="884">
        <v>1196.259</v>
      </c>
      <c r="DH45" s="884">
        <v>1532.8724999999999</v>
      </c>
      <c r="DI45" s="884">
        <v>2160.1574999999998</v>
      </c>
      <c r="DJ45" s="91">
        <v>15253.534499999998</v>
      </c>
      <c r="DK45" s="948"/>
      <c r="DL45" s="884">
        <v>1214.58</v>
      </c>
      <c r="DM45" s="884">
        <v>939.3</v>
      </c>
      <c r="DN45" s="884">
        <v>1055.7824999999998</v>
      </c>
      <c r="DO45" s="884">
        <v>978.03449999999998</v>
      </c>
      <c r="DP45" s="884">
        <v>1098.1904999999999</v>
      </c>
      <c r="DQ45" s="884">
        <v>1322.5994999999998</v>
      </c>
      <c r="DR45" s="884">
        <v>1590.3</v>
      </c>
      <c r="DS45" s="884">
        <v>1062.8505</v>
      </c>
      <c r="DT45" s="884">
        <v>1102.6079999999999</v>
      </c>
      <c r="DU45" s="884">
        <v>1196.259</v>
      </c>
      <c r="DV45" s="884">
        <v>1532.8724999999999</v>
      </c>
      <c r="DW45" s="884">
        <v>2160.1574999999998</v>
      </c>
      <c r="DX45" s="91">
        <v>15253.534499999998</v>
      </c>
    </row>
    <row r="46" spans="1:129" ht="15" hidden="1" customHeight="1" outlineLevel="1">
      <c r="A46" s="94">
        <v>7</v>
      </c>
      <c r="B46" s="1079" t="s">
        <v>62</v>
      </c>
      <c r="C46" s="1120"/>
      <c r="D46" s="313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314">
        <f t="shared" si="72"/>
        <v>0</v>
      </c>
      <c r="Q46" s="90"/>
      <c r="R46" s="313">
        <v>2000</v>
      </c>
      <c r="S46" s="91">
        <f>2182</f>
        <v>2182</v>
      </c>
      <c r="T46" s="91">
        <f>2455/2</f>
        <v>1227.5</v>
      </c>
      <c r="U46" s="91">
        <f>4*U7</f>
        <v>4</v>
      </c>
      <c r="V46" s="91">
        <v>200</v>
      </c>
      <c r="W46" s="91">
        <v>700</v>
      </c>
      <c r="X46" s="91">
        <v>1600</v>
      </c>
      <c r="Y46" s="91">
        <v>1600</v>
      </c>
      <c r="Z46" s="91">
        <v>1600</v>
      </c>
      <c r="AA46" s="91">
        <v>1600</v>
      </c>
      <c r="AB46" s="91">
        <v>2500</v>
      </c>
      <c r="AC46" s="91">
        <v>3200</v>
      </c>
      <c r="AD46" s="315">
        <f t="shared" si="73"/>
        <v>18413.5</v>
      </c>
      <c r="AE46" s="23"/>
      <c r="AF46" s="316">
        <v>2600</v>
      </c>
      <c r="AG46" s="91">
        <v>1000</v>
      </c>
      <c r="AH46" s="91">
        <v>195</v>
      </c>
      <c r="AI46" s="91">
        <v>844</v>
      </c>
      <c r="AJ46" s="91">
        <v>1973</v>
      </c>
      <c r="AK46" s="91">
        <v>1840</v>
      </c>
      <c r="AL46" s="91">
        <v>2000</v>
      </c>
      <c r="AM46" s="91">
        <v>2300</v>
      </c>
      <c r="AN46" s="91">
        <v>2300</v>
      </c>
      <c r="AO46" s="91">
        <v>2300</v>
      </c>
      <c r="AP46" s="91">
        <v>2530</v>
      </c>
      <c r="AQ46" s="91">
        <v>3680</v>
      </c>
      <c r="AR46" s="92">
        <f t="shared" si="74"/>
        <v>23562</v>
      </c>
      <c r="AS46" s="23"/>
      <c r="AT46" s="91">
        <v>1888</v>
      </c>
      <c r="AU46" s="91">
        <v>1414</v>
      </c>
      <c r="AV46" s="91">
        <v>2073</v>
      </c>
      <c r="AW46" s="91">
        <v>2338</v>
      </c>
      <c r="AX46" s="317">
        <v>1857</v>
      </c>
      <c r="AY46" s="317">
        <v>1857</v>
      </c>
      <c r="AZ46" s="317">
        <v>1772</v>
      </c>
      <c r="BA46" s="317">
        <v>1772</v>
      </c>
      <c r="BB46" s="317">
        <v>1857</v>
      </c>
      <c r="BC46" s="317">
        <v>2194</v>
      </c>
      <c r="BD46" s="317">
        <v>2363</v>
      </c>
      <c r="BE46" s="317">
        <v>3376</v>
      </c>
      <c r="BF46" s="91">
        <f t="shared" si="75"/>
        <v>24761</v>
      </c>
      <c r="BG46" s="93">
        <f t="shared" si="76"/>
        <v>5.0887021475256811E-2</v>
      </c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>
        <v>22941</v>
      </c>
      <c r="BU46" s="54"/>
      <c r="BV46" s="91">
        <v>3211.29</v>
      </c>
      <c r="BW46" s="91">
        <v>2482.1699999999996</v>
      </c>
      <c r="BX46" s="91">
        <f>'META  EM PEÇAS'!U32-('META  EM PEÇAS'!U32*0.05)</f>
        <v>2790.0929999999998</v>
      </c>
      <c r="BY46" s="91">
        <f>'META  EM PEÇAS'!V32-('META  EM PEÇAS'!V32*0.05)</f>
        <v>2586.0044999999996</v>
      </c>
      <c r="BZ46" s="91">
        <f>'META  EM PEÇAS'!W32-('META  EM PEÇAS'!W32*0.05)</f>
        <v>2902.2974999999997</v>
      </c>
      <c r="CA46" s="91">
        <f>'META  EM PEÇAS'!X32-('META  EM PEÇAS'!X32*0.05)</f>
        <v>3495.1259999999997</v>
      </c>
      <c r="CB46" s="91">
        <f>'META  EM PEÇAS'!Y32-('META  EM PEÇAS'!Y32*0.05)</f>
        <v>4203.6929999999993</v>
      </c>
      <c r="CC46" s="91">
        <f>'META  EM PEÇAS'!Z32-('META  EM PEÇAS'!Z32*0.05)</f>
        <v>2810.4135000000001</v>
      </c>
      <c r="CD46" s="91">
        <f>'META  EM PEÇAS'!AA32-('META  EM PEÇAS'!AA32*0.05)</f>
        <v>2914.6664999999998</v>
      </c>
      <c r="CE46" s="91">
        <f>'META  EM PEÇAS'!AB32-('META  EM PEÇAS'!AB32*0.05)</f>
        <v>3162.93</v>
      </c>
      <c r="CF46" s="91">
        <f>'META  EM PEÇAS'!AC32-('META  EM PEÇAS'!AC32*0.05)</f>
        <v>4051.7309999999998</v>
      </c>
      <c r="CG46" s="91">
        <f>'META  EM PEÇAS'!AD32-('META  EM PEÇAS'!AD32*0.05)</f>
        <v>5709.1769999999997</v>
      </c>
      <c r="CH46" s="91">
        <f t="shared" si="77"/>
        <v>40319.59199999999</v>
      </c>
      <c r="CJ46" s="91">
        <v>3211.29</v>
      </c>
      <c r="CK46" s="91">
        <v>2482.1699999999996</v>
      </c>
      <c r="CL46" s="91">
        <v>2790.0929999999998</v>
      </c>
      <c r="CM46" s="91">
        <v>2586.0044999999996</v>
      </c>
      <c r="CN46" s="91">
        <v>2902.2974999999997</v>
      </c>
      <c r="CO46" s="91">
        <v>3495.1259999999997</v>
      </c>
      <c r="CP46" s="91">
        <v>4203.6929999999993</v>
      </c>
      <c r="CQ46" s="91">
        <v>2810.4135000000001</v>
      </c>
      <c r="CR46" s="91">
        <v>2914.6664999999998</v>
      </c>
      <c r="CS46" s="91">
        <v>3162.93</v>
      </c>
      <c r="CT46" s="91">
        <v>4051.7309999999998</v>
      </c>
      <c r="CU46" s="91">
        <v>5709.1769999999997</v>
      </c>
      <c r="CV46" s="91">
        <v>40319.59199999999</v>
      </c>
      <c r="CW46" s="758"/>
      <c r="CX46" s="884">
        <v>3211.29</v>
      </c>
      <c r="CY46" s="884">
        <v>2482.1699999999996</v>
      </c>
      <c r="CZ46" s="884">
        <v>2790.0929999999998</v>
      </c>
      <c r="DA46" s="884">
        <v>2586.0044999999996</v>
      </c>
      <c r="DB46" s="884">
        <v>2902.2974999999997</v>
      </c>
      <c r="DC46" s="884">
        <v>3495.1259999999997</v>
      </c>
      <c r="DD46" s="884">
        <v>4203.6929999999993</v>
      </c>
      <c r="DE46" s="884">
        <v>2810.4135000000001</v>
      </c>
      <c r="DF46" s="884">
        <v>2914.6664999999998</v>
      </c>
      <c r="DG46" s="884">
        <v>3162.93</v>
      </c>
      <c r="DH46" s="884">
        <v>4051.7309999999998</v>
      </c>
      <c r="DI46" s="884">
        <v>5709.1769999999997</v>
      </c>
      <c r="DJ46" s="91">
        <v>40319.59199999999</v>
      </c>
      <c r="DK46" s="948"/>
      <c r="DL46" s="884">
        <v>3211.29</v>
      </c>
      <c r="DM46" s="884">
        <v>2482.1699999999996</v>
      </c>
      <c r="DN46" s="884">
        <v>2790.0929999999998</v>
      </c>
      <c r="DO46" s="884">
        <v>2586.0044999999996</v>
      </c>
      <c r="DP46" s="884">
        <v>2902.2974999999997</v>
      </c>
      <c r="DQ46" s="884">
        <v>3495.1259999999997</v>
      </c>
      <c r="DR46" s="884">
        <v>4203.6929999999993</v>
      </c>
      <c r="DS46" s="884">
        <v>2810.4135000000001</v>
      </c>
      <c r="DT46" s="884">
        <v>2914.6664999999998</v>
      </c>
      <c r="DU46" s="884">
        <v>3162.93</v>
      </c>
      <c r="DV46" s="884">
        <v>4051.7309999999998</v>
      </c>
      <c r="DW46" s="884">
        <v>5709.1769999999997</v>
      </c>
      <c r="DX46" s="91">
        <v>40319.59199999999</v>
      </c>
    </row>
    <row r="47" spans="1:129" ht="15" hidden="1" customHeight="1" outlineLevel="1">
      <c r="A47" s="94">
        <v>9</v>
      </c>
      <c r="B47" s="1079" t="s">
        <v>63</v>
      </c>
      <c r="C47" s="1120"/>
      <c r="D47" s="313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314">
        <f t="shared" si="72"/>
        <v>0</v>
      </c>
      <c r="Q47" s="90"/>
      <c r="R47" s="313">
        <v>1636</v>
      </c>
      <c r="S47" s="91">
        <v>1636</v>
      </c>
      <c r="T47" s="91">
        <f t="shared" ref="T47:T48" si="79">1818/2</f>
        <v>909</v>
      </c>
      <c r="U47" s="91">
        <v>0</v>
      </c>
      <c r="V47" s="91">
        <v>200</v>
      </c>
      <c r="W47" s="91">
        <v>300</v>
      </c>
      <c r="X47" s="91">
        <v>1000</v>
      </c>
      <c r="Y47" s="91">
        <v>1200</v>
      </c>
      <c r="Z47" s="91">
        <v>1600</v>
      </c>
      <c r="AA47" s="91">
        <v>1600</v>
      </c>
      <c r="AB47" s="91">
        <v>1800</v>
      </c>
      <c r="AC47" s="91">
        <v>2300</v>
      </c>
      <c r="AD47" s="315">
        <f t="shared" si="73"/>
        <v>14181</v>
      </c>
      <c r="AE47" s="23"/>
      <c r="AF47" s="316">
        <v>1500</v>
      </c>
      <c r="AG47" s="91">
        <v>1000</v>
      </c>
      <c r="AH47" s="91">
        <v>126</v>
      </c>
      <c r="AI47" s="91">
        <v>387</v>
      </c>
      <c r="AJ47" s="91">
        <v>895</v>
      </c>
      <c r="AK47" s="91">
        <v>800</v>
      </c>
      <c r="AL47" s="91">
        <v>1500</v>
      </c>
      <c r="AM47" s="91">
        <v>1000</v>
      </c>
      <c r="AN47" s="91">
        <v>1000</v>
      </c>
      <c r="AO47" s="91">
        <v>1000</v>
      </c>
      <c r="AP47" s="91">
        <v>1100</v>
      </c>
      <c r="AQ47" s="91">
        <v>1600</v>
      </c>
      <c r="AR47" s="92">
        <f t="shared" si="74"/>
        <v>11908</v>
      </c>
      <c r="AS47" s="23"/>
      <c r="AT47" s="91">
        <v>1182</v>
      </c>
      <c r="AU47" s="91">
        <v>1200</v>
      </c>
      <c r="AV47" s="91">
        <v>932</v>
      </c>
      <c r="AW47" s="91">
        <v>1020</v>
      </c>
      <c r="AX47" s="317">
        <v>0</v>
      </c>
      <c r="AY47" s="317">
        <v>0</v>
      </c>
      <c r="AZ47" s="317">
        <v>0</v>
      </c>
      <c r="BA47" s="317">
        <v>0</v>
      </c>
      <c r="BB47" s="317">
        <v>0</v>
      </c>
      <c r="BC47" s="317">
        <v>0</v>
      </c>
      <c r="BD47" s="317">
        <v>0</v>
      </c>
      <c r="BE47" s="317">
        <v>0</v>
      </c>
      <c r="BF47" s="91">
        <f t="shared" si="75"/>
        <v>4334</v>
      </c>
      <c r="BG47" s="93">
        <f t="shared" si="76"/>
        <v>-0.63604299630500505</v>
      </c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>
        <v>7070</v>
      </c>
      <c r="BU47" s="54"/>
      <c r="BV47" s="91">
        <v>928.14</v>
      </c>
      <c r="BW47" s="91">
        <v>717.95999999999992</v>
      </c>
      <c r="BX47" s="91">
        <f>'META  EM PEÇAS'!U37-('META  EM PEÇAS'!U37*0.05)</f>
        <v>806.63549999999987</v>
      </c>
      <c r="BY47" s="91">
        <f>'META  EM PEÇAS'!V37-('META  EM PEÇAS'!V37*0.05)</f>
        <v>747.44100000000003</v>
      </c>
      <c r="BZ47" s="91">
        <f>'META  EM PEÇAS'!W37-('META  EM PEÇAS'!W37*0.05)</f>
        <v>839.32499999999993</v>
      </c>
      <c r="CA47" s="91">
        <f>'META  EM PEÇAS'!X37-('META  EM PEÇAS'!X37*0.05)</f>
        <v>1010.7239999999998</v>
      </c>
      <c r="CB47" s="91">
        <f>'META  EM PEÇAS'!Y37-('META  EM PEÇAS'!Y37*0.05)</f>
        <v>1214.8125</v>
      </c>
      <c r="CC47" s="91">
        <f>'META  EM PEÇAS'!Z37-('META  EM PEÇAS'!Z37*0.05)</f>
        <v>812.81999999999994</v>
      </c>
      <c r="CD47" s="91">
        <f>'META  EM PEÇAS'!AA37-('META  EM PEÇAS'!AA37*0.05)</f>
        <v>842.85899999999992</v>
      </c>
      <c r="CE47" s="91">
        <f>'META  EM PEÇAS'!AB37-('META  EM PEÇAS'!AB37*0.05)</f>
        <v>914.4224999999999</v>
      </c>
      <c r="CF47" s="91">
        <f>'META  EM PEÇAS'!AC37-('META  EM PEÇAS'!AC37*0.05)</f>
        <v>1171.5209999999997</v>
      </c>
      <c r="CG47" s="91">
        <f>'META  EM PEÇAS'!AD37-('META  EM PEÇAS'!AD37*0.05)</f>
        <v>1650.3779999999997</v>
      </c>
      <c r="CH47" s="91">
        <f t="shared" si="77"/>
        <v>11657.038499999999</v>
      </c>
      <c r="CJ47" s="91">
        <v>928.14</v>
      </c>
      <c r="CK47" s="91">
        <v>717.95999999999992</v>
      </c>
      <c r="CL47" s="91">
        <v>806.63549999999987</v>
      </c>
      <c r="CM47" s="91">
        <v>747.44100000000003</v>
      </c>
      <c r="CN47" s="91">
        <v>839.32499999999993</v>
      </c>
      <c r="CO47" s="91">
        <v>1010.7239999999998</v>
      </c>
      <c r="CP47" s="91">
        <v>1214.8125</v>
      </c>
      <c r="CQ47" s="91">
        <v>812.81999999999994</v>
      </c>
      <c r="CR47" s="91">
        <v>842.85899999999992</v>
      </c>
      <c r="CS47" s="91">
        <v>914.4224999999999</v>
      </c>
      <c r="CT47" s="91">
        <v>1171.5209999999997</v>
      </c>
      <c r="CU47" s="91">
        <v>1650.3779999999997</v>
      </c>
      <c r="CV47" s="91">
        <v>11657.038499999999</v>
      </c>
      <c r="CW47" s="758"/>
      <c r="CX47" s="884">
        <v>928.14</v>
      </c>
      <c r="CY47" s="884">
        <v>717.95999999999992</v>
      </c>
      <c r="CZ47" s="884">
        <v>806.63549999999987</v>
      </c>
      <c r="DA47" s="884">
        <v>747.44100000000003</v>
      </c>
      <c r="DB47" s="884">
        <v>839.32499999999993</v>
      </c>
      <c r="DC47" s="884">
        <v>1010.7239999999998</v>
      </c>
      <c r="DD47" s="884">
        <v>1214.8125</v>
      </c>
      <c r="DE47" s="884">
        <v>812.81999999999994</v>
      </c>
      <c r="DF47" s="884">
        <v>842.85899999999992</v>
      </c>
      <c r="DG47" s="884">
        <v>914.4224999999999</v>
      </c>
      <c r="DH47" s="884">
        <v>1171.5209999999997</v>
      </c>
      <c r="DI47" s="884">
        <v>1650.3779999999997</v>
      </c>
      <c r="DJ47" s="91">
        <v>11657.038499999999</v>
      </c>
      <c r="DK47" s="948"/>
      <c r="DL47" s="884">
        <v>928.14</v>
      </c>
      <c r="DM47" s="884">
        <v>717.95999999999992</v>
      </c>
      <c r="DN47" s="884">
        <v>806.63549999999987</v>
      </c>
      <c r="DO47" s="884">
        <v>747.44100000000003</v>
      </c>
      <c r="DP47" s="884">
        <v>839.32499999999993</v>
      </c>
      <c r="DQ47" s="884">
        <v>1010.7239999999998</v>
      </c>
      <c r="DR47" s="884">
        <v>1214.8125</v>
      </c>
      <c r="DS47" s="884">
        <v>812.81999999999994</v>
      </c>
      <c r="DT47" s="884">
        <v>842.85899999999992</v>
      </c>
      <c r="DU47" s="884">
        <v>914.4224999999999</v>
      </c>
      <c r="DV47" s="884">
        <v>1171.5209999999997</v>
      </c>
      <c r="DW47" s="884">
        <v>1650.3779999999997</v>
      </c>
      <c r="DX47" s="91">
        <v>11657.038499999999</v>
      </c>
    </row>
    <row r="48" spans="1:129" ht="15" hidden="1" customHeight="1" outlineLevel="1">
      <c r="A48" s="94">
        <v>10</v>
      </c>
      <c r="B48" s="1079" t="s">
        <v>64</v>
      </c>
      <c r="C48" s="1120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314">
        <f t="shared" si="72"/>
        <v>0</v>
      </c>
      <c r="Q48" s="90"/>
      <c r="R48" s="313">
        <v>1636</v>
      </c>
      <c r="S48" s="91">
        <v>1636</v>
      </c>
      <c r="T48" s="91">
        <f t="shared" si="79"/>
        <v>909</v>
      </c>
      <c r="U48" s="91">
        <f>0.5*U7</f>
        <v>0.5</v>
      </c>
      <c r="V48" s="91">
        <v>200</v>
      </c>
      <c r="W48" s="91">
        <v>300</v>
      </c>
      <c r="X48" s="91">
        <v>1000</v>
      </c>
      <c r="Y48" s="91">
        <v>1200</v>
      </c>
      <c r="Z48" s="91">
        <v>1600</v>
      </c>
      <c r="AA48" s="91">
        <v>1600</v>
      </c>
      <c r="AB48" s="91">
        <v>1800</v>
      </c>
      <c r="AC48" s="91">
        <v>2300</v>
      </c>
      <c r="AD48" s="315">
        <f t="shared" si="73"/>
        <v>14181.5</v>
      </c>
      <c r="AE48" s="23"/>
      <c r="AF48" s="316">
        <v>1500</v>
      </c>
      <c r="AG48" s="91">
        <v>1000</v>
      </c>
      <c r="AH48" s="91">
        <v>764</v>
      </c>
      <c r="AI48" s="91">
        <v>561</v>
      </c>
      <c r="AJ48" s="91">
        <v>1353</v>
      </c>
      <c r="AK48" s="91">
        <v>960</v>
      </c>
      <c r="AL48" s="91">
        <v>1500</v>
      </c>
      <c r="AM48" s="91">
        <v>1200</v>
      </c>
      <c r="AN48" s="91">
        <v>1200</v>
      </c>
      <c r="AO48" s="91">
        <v>1200</v>
      </c>
      <c r="AP48" s="91">
        <v>1320</v>
      </c>
      <c r="AQ48" s="91">
        <v>1920</v>
      </c>
      <c r="AR48" s="92">
        <f t="shared" si="74"/>
        <v>14478</v>
      </c>
      <c r="AS48" s="23"/>
      <c r="AT48" s="91">
        <v>1285</v>
      </c>
      <c r="AU48" s="91">
        <v>957</v>
      </c>
      <c r="AV48" s="91">
        <v>1426</v>
      </c>
      <c r="AW48" s="91">
        <v>1595</v>
      </c>
      <c r="AX48" s="317">
        <v>1767</v>
      </c>
      <c r="AY48" s="317">
        <v>1767</v>
      </c>
      <c r="AZ48" s="317">
        <v>1686</v>
      </c>
      <c r="BA48" s="317">
        <v>1686</v>
      </c>
      <c r="BB48" s="317">
        <v>1767</v>
      </c>
      <c r="BC48" s="317">
        <v>2088</v>
      </c>
      <c r="BD48" s="317">
        <v>2248</v>
      </c>
      <c r="BE48" s="317">
        <v>3212</v>
      </c>
      <c r="BF48" s="91">
        <f t="shared" si="75"/>
        <v>21484</v>
      </c>
      <c r="BG48" s="93">
        <f t="shared" si="76"/>
        <v>0.48390661693604087</v>
      </c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>
        <v>16952</v>
      </c>
      <c r="BU48" s="54"/>
      <c r="BV48" s="91">
        <v>2631.8999999999996</v>
      </c>
      <c r="BW48" s="91">
        <v>2034.84</v>
      </c>
      <c r="BX48" s="91">
        <f>'META  EM PEÇAS'!U33-('META  EM PEÇAS'!U33*0.05)</f>
        <v>2287.3815</v>
      </c>
      <c r="BY48" s="91">
        <f>'META  EM PEÇAS'!V33-('META  EM PEÇAS'!V33*0.05)</f>
        <v>2119.5164999999997</v>
      </c>
      <c r="BZ48" s="91">
        <f>'META  EM PEÇAS'!W33-('META  EM PEÇAS'!W33*0.05)</f>
        <v>2379.2655</v>
      </c>
      <c r="CA48" s="91">
        <f>'META  EM PEÇAS'!X33-('META  EM PEÇAS'!X33*0.05)</f>
        <v>2865.1904999999997</v>
      </c>
      <c r="CB48" s="91">
        <f>'META  EM PEÇAS'!Y33-('META  EM PEÇAS'!Y33*0.05)</f>
        <v>3445.6499999999996</v>
      </c>
      <c r="CC48" s="91">
        <f>'META  EM PEÇAS'!Z33-('META  EM PEÇAS'!Z33*0.05)</f>
        <v>2303.2844999999998</v>
      </c>
      <c r="CD48" s="91">
        <f>'META  EM PEÇAS'!AA33-('META  EM PEÇAS'!AA33*0.05)</f>
        <v>2388.9839999999999</v>
      </c>
      <c r="CE48" s="91">
        <f>'META  EM PEÇAS'!AB33-('META  EM PEÇAS'!AB33*0.05)</f>
        <v>2592.1889999999999</v>
      </c>
      <c r="CF48" s="91">
        <f>'META  EM PEÇAS'!AC33-('META  EM PEÇAS'!AC33*0.05)</f>
        <v>3321.0765000000001</v>
      </c>
      <c r="CG48" s="91">
        <f>'META  EM PEÇAS'!AD33-('META  EM PEÇAS'!AD33*0.05)</f>
        <v>4679.8995000000004</v>
      </c>
      <c r="CH48" s="91">
        <f t="shared" si="77"/>
        <v>33049.177499999998</v>
      </c>
      <c r="CJ48" s="91">
        <v>2631.8999999999996</v>
      </c>
      <c r="CK48" s="91">
        <v>2034.84</v>
      </c>
      <c r="CL48" s="91">
        <v>2287.3815</v>
      </c>
      <c r="CM48" s="91">
        <v>2119.5164999999997</v>
      </c>
      <c r="CN48" s="91">
        <v>2379.2655</v>
      </c>
      <c r="CO48" s="91">
        <v>2865.1904999999997</v>
      </c>
      <c r="CP48" s="91">
        <v>3445.6499999999996</v>
      </c>
      <c r="CQ48" s="91">
        <v>2303.2844999999998</v>
      </c>
      <c r="CR48" s="91">
        <v>2388.9839999999999</v>
      </c>
      <c r="CS48" s="91">
        <v>2592.1889999999999</v>
      </c>
      <c r="CT48" s="91">
        <v>3321.0765000000001</v>
      </c>
      <c r="CU48" s="91">
        <v>4679.8995000000004</v>
      </c>
      <c r="CV48" s="91">
        <v>33049.177499999998</v>
      </c>
      <c r="CW48" s="758"/>
      <c r="CX48" s="884">
        <v>2631.8999999999996</v>
      </c>
      <c r="CY48" s="884">
        <v>2034.84</v>
      </c>
      <c r="CZ48" s="884">
        <v>2287.3815</v>
      </c>
      <c r="DA48" s="884">
        <v>2119.5164999999997</v>
      </c>
      <c r="DB48" s="884">
        <v>2379.2655</v>
      </c>
      <c r="DC48" s="884">
        <v>2865.1904999999997</v>
      </c>
      <c r="DD48" s="884">
        <v>3445.6499999999996</v>
      </c>
      <c r="DE48" s="884">
        <v>2303.2844999999998</v>
      </c>
      <c r="DF48" s="884">
        <v>2388.9839999999999</v>
      </c>
      <c r="DG48" s="884">
        <v>2592.1889999999999</v>
      </c>
      <c r="DH48" s="884">
        <v>3321.0765000000001</v>
      </c>
      <c r="DI48" s="884">
        <v>4679.8995000000004</v>
      </c>
      <c r="DJ48" s="91">
        <v>33049.177499999998</v>
      </c>
      <c r="DK48" s="948"/>
      <c r="DL48" s="884">
        <v>2631.8999999999996</v>
      </c>
      <c r="DM48" s="884">
        <v>2034.84</v>
      </c>
      <c r="DN48" s="884">
        <v>2287.3815</v>
      </c>
      <c r="DO48" s="884">
        <v>2119.5164999999997</v>
      </c>
      <c r="DP48" s="884">
        <v>2379.2655</v>
      </c>
      <c r="DQ48" s="884">
        <v>2865.1904999999997</v>
      </c>
      <c r="DR48" s="884">
        <v>3445.6499999999996</v>
      </c>
      <c r="DS48" s="884">
        <v>2303.2844999999998</v>
      </c>
      <c r="DT48" s="884">
        <v>2388.9839999999999</v>
      </c>
      <c r="DU48" s="884">
        <v>2592.1889999999999</v>
      </c>
      <c r="DV48" s="884">
        <v>3321.0765000000001</v>
      </c>
      <c r="DW48" s="884">
        <v>4679.8995000000004</v>
      </c>
      <c r="DX48" s="91">
        <v>33049.177499999998</v>
      </c>
    </row>
    <row r="49" spans="1:128" ht="15" hidden="1" customHeight="1" outlineLevel="1">
      <c r="A49" s="94">
        <v>10</v>
      </c>
      <c r="B49" s="1079" t="s">
        <v>65</v>
      </c>
      <c r="C49" s="1120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>
        <f t="shared" si="72"/>
        <v>0</v>
      </c>
      <c r="Q49" s="90"/>
      <c r="R49" s="313">
        <v>0</v>
      </c>
      <c r="S49" s="91">
        <v>0</v>
      </c>
      <c r="T49" s="91">
        <v>0</v>
      </c>
      <c r="U49" s="91">
        <v>0</v>
      </c>
      <c r="V49" s="91">
        <v>3500</v>
      </c>
      <c r="W49" s="91">
        <v>350</v>
      </c>
      <c r="X49" s="91">
        <v>800</v>
      </c>
      <c r="Y49" s="91">
        <v>1000</v>
      </c>
      <c r="Z49" s="91">
        <v>1600</v>
      </c>
      <c r="AA49" s="91">
        <v>2000</v>
      </c>
      <c r="AB49" s="91">
        <v>2400</v>
      </c>
      <c r="AC49" s="91">
        <v>3000</v>
      </c>
      <c r="AD49" s="315">
        <f t="shared" si="73"/>
        <v>14650</v>
      </c>
      <c r="AE49" s="23"/>
      <c r="AF49" s="316">
        <v>2500</v>
      </c>
      <c r="AG49" s="91">
        <v>1000</v>
      </c>
      <c r="AH49" s="91">
        <f>2500*0.15</f>
        <v>375</v>
      </c>
      <c r="AI49" s="91">
        <v>787</v>
      </c>
      <c r="AJ49" s="91">
        <v>1569</v>
      </c>
      <c r="AK49" s="91">
        <v>2000</v>
      </c>
      <c r="AL49" s="91">
        <v>2500</v>
      </c>
      <c r="AM49" s="91">
        <v>2500</v>
      </c>
      <c r="AN49" s="91">
        <v>2500</v>
      </c>
      <c r="AO49" s="91">
        <v>2500</v>
      </c>
      <c r="AP49" s="91">
        <v>2750</v>
      </c>
      <c r="AQ49" s="91">
        <v>4000</v>
      </c>
      <c r="AR49" s="92">
        <f t="shared" si="74"/>
        <v>24981</v>
      </c>
      <c r="AS49" s="23"/>
      <c r="AT49" s="91">
        <v>1806</v>
      </c>
      <c r="AU49" s="91">
        <v>2046</v>
      </c>
      <c r="AV49" s="91">
        <v>1646</v>
      </c>
      <c r="AW49" s="91">
        <v>1902</v>
      </c>
      <c r="AX49" s="317">
        <v>1545</v>
      </c>
      <c r="AY49" s="317">
        <v>1545</v>
      </c>
      <c r="AZ49" s="317">
        <v>1475</v>
      </c>
      <c r="BA49" s="317">
        <v>1475</v>
      </c>
      <c r="BB49" s="317">
        <v>1545</v>
      </c>
      <c r="BC49" s="317">
        <v>1826</v>
      </c>
      <c r="BD49" s="317">
        <v>0</v>
      </c>
      <c r="BE49" s="317">
        <v>0</v>
      </c>
      <c r="BF49" s="91">
        <f t="shared" si="75"/>
        <v>16811</v>
      </c>
      <c r="BG49" s="93">
        <f t="shared" si="76"/>
        <v>-0.32704855690324641</v>
      </c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>
        <v>10230</v>
      </c>
      <c r="BU49" s="54"/>
      <c r="BV49" s="91">
        <v>1335.48</v>
      </c>
      <c r="BW49" s="91">
        <v>1032.3</v>
      </c>
      <c r="BX49" s="91">
        <f>'META  EM PEÇAS'!U39-('META  EM PEÇAS'!U39*0.05)</f>
        <v>1160.0355</v>
      </c>
      <c r="BY49" s="91">
        <f>'META  EM PEÇAS'!V39-('META  EM PEÇAS'!V39*0.05)</f>
        <v>1075.2194999999999</v>
      </c>
      <c r="BZ49" s="91">
        <f>'META  EM PEÇAS'!W39-('META  EM PEÇAS'!W39*0.05)</f>
        <v>1206.8609999999999</v>
      </c>
      <c r="CA49" s="91">
        <f>'META  EM PEÇAS'!X39-('META  EM PEÇAS'!X39*0.05)</f>
        <v>1453.3574999999998</v>
      </c>
      <c r="CB49" s="91">
        <f>'META  EM PEÇAS'!Y39-('META  EM PEÇAS'!Y39*0.05)</f>
        <v>1747.5629999999999</v>
      </c>
      <c r="CC49" s="91">
        <f>'META  EM PEÇAS'!Z39-('META  EM PEÇAS'!Z39*0.05)</f>
        <v>1168.8705</v>
      </c>
      <c r="CD49" s="91">
        <f>'META  EM PEÇAS'!AA39-('META  EM PEÇAS'!AA39*0.05)</f>
        <v>1212.1619999999998</v>
      </c>
      <c r="CE49" s="91">
        <f>'META  EM PEÇAS'!AB39-('META  EM PEÇAS'!AB39*0.05)</f>
        <v>1314.6479999999999</v>
      </c>
      <c r="CF49" s="91">
        <f>'META  EM PEÇAS'!AC39-('META  EM PEÇAS'!AC39*0.05)</f>
        <v>1684.8344999999999</v>
      </c>
      <c r="CG49" s="91">
        <f>'META  EM PEÇAS'!AD39-('META  EM PEÇAS'!AD39*0.05)</f>
        <v>2373.9645</v>
      </c>
      <c r="CH49" s="91">
        <f t="shared" si="77"/>
        <v>16765.295999999995</v>
      </c>
      <c r="CJ49" s="91">
        <v>1335.48</v>
      </c>
      <c r="CK49" s="91">
        <v>1032.3</v>
      </c>
      <c r="CL49" s="91">
        <v>1160.0355</v>
      </c>
      <c r="CM49" s="91">
        <v>1075.2194999999999</v>
      </c>
      <c r="CN49" s="91">
        <v>1206.8609999999999</v>
      </c>
      <c r="CO49" s="91">
        <v>1453.3574999999998</v>
      </c>
      <c r="CP49" s="91">
        <v>1747.5629999999999</v>
      </c>
      <c r="CQ49" s="91">
        <v>1168.8705</v>
      </c>
      <c r="CR49" s="91">
        <v>1212.1619999999998</v>
      </c>
      <c r="CS49" s="91">
        <v>1314.6479999999999</v>
      </c>
      <c r="CT49" s="91">
        <v>1684.8344999999999</v>
      </c>
      <c r="CU49" s="91">
        <v>2373.9645</v>
      </c>
      <c r="CV49" s="91">
        <v>16765.295999999995</v>
      </c>
      <c r="CW49" s="758"/>
      <c r="CX49" s="884">
        <v>1335.48</v>
      </c>
      <c r="CY49" s="884">
        <v>1032.3</v>
      </c>
      <c r="CZ49" s="884">
        <v>1160.0355</v>
      </c>
      <c r="DA49" s="884">
        <v>1075.2194999999999</v>
      </c>
      <c r="DB49" s="884">
        <v>1206.8609999999999</v>
      </c>
      <c r="DC49" s="884">
        <v>1453.3574999999998</v>
      </c>
      <c r="DD49" s="884">
        <v>1747.5629999999999</v>
      </c>
      <c r="DE49" s="884">
        <v>1168.8705</v>
      </c>
      <c r="DF49" s="884">
        <v>1212.1619999999998</v>
      </c>
      <c r="DG49" s="884">
        <v>1314.6479999999999</v>
      </c>
      <c r="DH49" s="884">
        <v>1684.8344999999999</v>
      </c>
      <c r="DI49" s="884">
        <v>2373.9645</v>
      </c>
      <c r="DJ49" s="91">
        <v>16765.295999999995</v>
      </c>
      <c r="DK49" s="948"/>
      <c r="DL49" s="884">
        <v>1335.48</v>
      </c>
      <c r="DM49" s="884">
        <v>1032.3</v>
      </c>
      <c r="DN49" s="884">
        <v>1160.0355</v>
      </c>
      <c r="DO49" s="884">
        <v>1075.2194999999999</v>
      </c>
      <c r="DP49" s="884">
        <v>1206.8609999999999</v>
      </c>
      <c r="DQ49" s="884">
        <v>1453.3574999999998</v>
      </c>
      <c r="DR49" s="884">
        <v>1747.5629999999999</v>
      </c>
      <c r="DS49" s="884">
        <v>1168.8705</v>
      </c>
      <c r="DT49" s="884">
        <v>1212.1619999999998</v>
      </c>
      <c r="DU49" s="884">
        <v>1314.6479999999999</v>
      </c>
      <c r="DV49" s="884">
        <v>1684.8344999999999</v>
      </c>
      <c r="DW49" s="884">
        <v>2373.9645</v>
      </c>
      <c r="DX49" s="91">
        <v>16765.295999999995</v>
      </c>
    </row>
    <row r="50" spans="1:128" ht="15" hidden="1" customHeight="1" outlineLevel="1">
      <c r="A50" s="94">
        <v>11</v>
      </c>
      <c r="B50" s="921" t="s">
        <v>66</v>
      </c>
      <c r="C50" s="922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>
        <f t="shared" si="72"/>
        <v>0</v>
      </c>
      <c r="Q50" s="90"/>
      <c r="R50" s="313">
        <v>0</v>
      </c>
      <c r="S50" s="91">
        <v>0</v>
      </c>
      <c r="T50" s="91">
        <v>0</v>
      </c>
      <c r="U50" s="91">
        <v>0</v>
      </c>
      <c r="V50" s="91">
        <v>4000</v>
      </c>
      <c r="W50" s="91">
        <v>100</v>
      </c>
      <c r="X50" s="91">
        <v>800</v>
      </c>
      <c r="Y50" s="91">
        <v>800</v>
      </c>
      <c r="Z50" s="91">
        <v>1200</v>
      </c>
      <c r="AA50" s="91">
        <v>1200</v>
      </c>
      <c r="AB50" s="91">
        <v>1800</v>
      </c>
      <c r="AC50" s="91">
        <v>2300</v>
      </c>
      <c r="AD50" s="315">
        <f t="shared" si="73"/>
        <v>12200</v>
      </c>
      <c r="AE50" s="23"/>
      <c r="AF50" s="316">
        <v>1500</v>
      </c>
      <c r="AG50" s="91">
        <v>1000</v>
      </c>
      <c r="AH50" s="91">
        <f t="shared" ref="AH50:AH51" si="80">1500*0.15</f>
        <v>225</v>
      </c>
      <c r="AI50" s="91">
        <v>324</v>
      </c>
      <c r="AJ50" s="91">
        <v>869</v>
      </c>
      <c r="AK50" s="91">
        <v>800</v>
      </c>
      <c r="AL50" s="91">
        <v>1500</v>
      </c>
      <c r="AM50" s="91">
        <v>1000</v>
      </c>
      <c r="AN50" s="91">
        <v>1000</v>
      </c>
      <c r="AO50" s="91">
        <v>1000</v>
      </c>
      <c r="AP50" s="91">
        <v>1100</v>
      </c>
      <c r="AQ50" s="91">
        <v>1600</v>
      </c>
      <c r="AR50" s="92">
        <f t="shared" si="74"/>
        <v>11918</v>
      </c>
      <c r="AS50" s="23"/>
      <c r="AT50" s="91">
        <v>1191</v>
      </c>
      <c r="AU50" s="91">
        <v>1191</v>
      </c>
      <c r="AV50" s="91">
        <v>1191</v>
      </c>
      <c r="AW50" s="91">
        <v>1191</v>
      </c>
      <c r="AX50" s="317">
        <v>876</v>
      </c>
      <c r="AY50" s="317">
        <v>876</v>
      </c>
      <c r="AZ50" s="317">
        <v>836</v>
      </c>
      <c r="BA50" s="317">
        <v>836</v>
      </c>
      <c r="BB50" s="317">
        <v>876</v>
      </c>
      <c r="BC50" s="317">
        <v>1035</v>
      </c>
      <c r="BD50" s="317">
        <v>0</v>
      </c>
      <c r="BE50" s="317">
        <v>0</v>
      </c>
      <c r="BF50" s="91">
        <f t="shared" si="75"/>
        <v>10099</v>
      </c>
      <c r="BG50" s="93">
        <f t="shared" si="76"/>
        <v>-0.15262627957711028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>
        <v>7342</v>
      </c>
      <c r="BU50" s="54"/>
      <c r="BV50" s="91">
        <v>1643.31</v>
      </c>
      <c r="BW50" s="91">
        <v>1270.3799999999999</v>
      </c>
      <c r="BX50" s="91">
        <f>'META  EM PEÇAS'!U40-('META  EM PEÇAS'!U40*0.05)</f>
        <v>1427.7359999999999</v>
      </c>
      <c r="BY50" s="91">
        <f>'META  EM PEÇAS'!V40-('META  EM PEÇAS'!V40*0.05)</f>
        <v>1323.4829999999999</v>
      </c>
      <c r="BZ50" s="91">
        <f>'META  EM PEÇAS'!W40-('META  EM PEÇAS'!W40*0.05)</f>
        <v>1485.1634999999999</v>
      </c>
      <c r="CA50" s="91">
        <f>'META  EM PEÇAS'!X40-('META  EM PEÇAS'!X40*0.05)</f>
        <v>1788.204</v>
      </c>
      <c r="CB50" s="91">
        <f>'META  EM PEÇAS'!Y40-('META  EM PEÇAS'!Y40*0.05)</f>
        <v>2151.3224999999998</v>
      </c>
      <c r="CC50" s="91">
        <f>'META  EM PEÇAS'!Z40-('META  EM PEÇAS'!Z40*0.05)</f>
        <v>1438.338</v>
      </c>
      <c r="CD50" s="91">
        <f>'META  EM PEÇAS'!AA40-('META  EM PEÇAS'!AA40*0.05)</f>
        <v>1491.348</v>
      </c>
      <c r="CE50" s="91">
        <f>'META  EM PEÇAS'!AB40-('META  EM PEÇAS'!AB40*0.05)</f>
        <v>1618.5719999999999</v>
      </c>
      <c r="CF50" s="91">
        <f>'META  EM PEÇAS'!AC40-('META  EM PEÇAS'!AC40*0.05)</f>
        <v>2073.5745000000002</v>
      </c>
      <c r="CG50" s="91">
        <f>'META  EM PEÇAS'!AD40-('META  EM PEÇAS'!AD40*0.05)</f>
        <v>2921.7344999999996</v>
      </c>
      <c r="CH50" s="91">
        <f t="shared" si="77"/>
        <v>20633.165999999997</v>
      </c>
      <c r="CJ50" s="91">
        <v>1643.31</v>
      </c>
      <c r="CK50" s="91">
        <v>1270.3799999999999</v>
      </c>
      <c r="CL50" s="91">
        <v>1427.7359999999999</v>
      </c>
      <c r="CM50" s="91">
        <v>1323.4829999999999</v>
      </c>
      <c r="CN50" s="91">
        <v>1485.1634999999999</v>
      </c>
      <c r="CO50" s="91">
        <v>1788.204</v>
      </c>
      <c r="CP50" s="91">
        <v>2151.3224999999998</v>
      </c>
      <c r="CQ50" s="91">
        <v>1438.338</v>
      </c>
      <c r="CR50" s="91">
        <v>1491.348</v>
      </c>
      <c r="CS50" s="91">
        <v>1618.5719999999999</v>
      </c>
      <c r="CT50" s="91">
        <v>2073.5745000000002</v>
      </c>
      <c r="CU50" s="91">
        <v>2921.7344999999996</v>
      </c>
      <c r="CV50" s="91">
        <v>20633.165999999997</v>
      </c>
      <c r="CW50" s="758"/>
      <c r="CX50" s="884">
        <v>1643.31</v>
      </c>
      <c r="CY50" s="884">
        <v>1270.3799999999999</v>
      </c>
      <c r="CZ50" s="884">
        <v>1427.7359999999999</v>
      </c>
      <c r="DA50" s="884">
        <v>1323.4829999999999</v>
      </c>
      <c r="DB50" s="884">
        <v>1485.1634999999999</v>
      </c>
      <c r="DC50" s="884">
        <v>1788.204</v>
      </c>
      <c r="DD50" s="884">
        <v>2151.3224999999998</v>
      </c>
      <c r="DE50" s="884">
        <v>1438.338</v>
      </c>
      <c r="DF50" s="884">
        <v>1491.348</v>
      </c>
      <c r="DG50" s="884">
        <v>1618.5719999999999</v>
      </c>
      <c r="DH50" s="884">
        <v>2073.5745000000002</v>
      </c>
      <c r="DI50" s="884">
        <v>2921.7344999999996</v>
      </c>
      <c r="DJ50" s="91">
        <v>20633.165999999997</v>
      </c>
      <c r="DK50" s="948"/>
      <c r="DL50" s="884">
        <v>1643.31</v>
      </c>
      <c r="DM50" s="884">
        <v>1270.3799999999999</v>
      </c>
      <c r="DN50" s="884">
        <v>1427.7359999999999</v>
      </c>
      <c r="DO50" s="884">
        <v>1323.4829999999999</v>
      </c>
      <c r="DP50" s="884">
        <v>1485.1634999999999</v>
      </c>
      <c r="DQ50" s="884">
        <v>1788.204</v>
      </c>
      <c r="DR50" s="884">
        <v>2151.3224999999998</v>
      </c>
      <c r="DS50" s="884">
        <v>1438.338</v>
      </c>
      <c r="DT50" s="884">
        <v>1491.348</v>
      </c>
      <c r="DU50" s="884">
        <v>1618.5719999999999</v>
      </c>
      <c r="DV50" s="884">
        <v>2073.5745000000002</v>
      </c>
      <c r="DW50" s="884">
        <v>2921.7344999999996</v>
      </c>
      <c r="DX50" s="91">
        <v>20633.165999999997</v>
      </c>
    </row>
    <row r="51" spans="1:128" ht="15" hidden="1" customHeight="1" outlineLevel="1">
      <c r="A51" s="94">
        <v>12</v>
      </c>
      <c r="B51" s="921" t="s">
        <v>67</v>
      </c>
      <c r="C51" s="922"/>
      <c r="D51" s="313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314">
        <f t="shared" si="72"/>
        <v>0</v>
      </c>
      <c r="Q51" s="90"/>
      <c r="R51" s="313">
        <v>0</v>
      </c>
      <c r="S51" s="91">
        <v>0</v>
      </c>
      <c r="T51" s="91">
        <v>0</v>
      </c>
      <c r="U51" s="91">
        <v>0</v>
      </c>
      <c r="V51" s="91">
        <v>4000</v>
      </c>
      <c r="W51" s="91">
        <v>0</v>
      </c>
      <c r="X51" s="91">
        <v>800</v>
      </c>
      <c r="Y51" s="91">
        <v>1000</v>
      </c>
      <c r="Z51" s="91">
        <v>1200</v>
      </c>
      <c r="AA51" s="91">
        <v>1200</v>
      </c>
      <c r="AB51" s="91">
        <v>1800</v>
      </c>
      <c r="AC51" s="91">
        <v>2300</v>
      </c>
      <c r="AD51" s="315">
        <f t="shared" si="73"/>
        <v>12300</v>
      </c>
      <c r="AE51" s="23"/>
      <c r="AF51" s="316">
        <v>1500</v>
      </c>
      <c r="AG51" s="91">
        <v>1200</v>
      </c>
      <c r="AH51" s="91">
        <f t="shared" si="80"/>
        <v>225</v>
      </c>
      <c r="AI51" s="91">
        <v>332</v>
      </c>
      <c r="AJ51" s="91">
        <v>945</v>
      </c>
      <c r="AK51" s="91">
        <v>960</v>
      </c>
      <c r="AL51" s="91">
        <v>1500</v>
      </c>
      <c r="AM51" s="91">
        <v>1200</v>
      </c>
      <c r="AN51" s="91">
        <v>1200</v>
      </c>
      <c r="AO51" s="91">
        <v>1200</v>
      </c>
      <c r="AP51" s="91">
        <v>1320</v>
      </c>
      <c r="AQ51" s="91">
        <v>1920</v>
      </c>
      <c r="AR51" s="92">
        <f t="shared" si="74"/>
        <v>13502</v>
      </c>
      <c r="AS51" s="23"/>
      <c r="AT51" s="91">
        <v>1254</v>
      </c>
      <c r="AU51" s="91">
        <v>1254</v>
      </c>
      <c r="AV51" s="91">
        <v>1254</v>
      </c>
      <c r="AW51" s="91">
        <v>1254</v>
      </c>
      <c r="AX51" s="317">
        <v>1236</v>
      </c>
      <c r="AY51" s="317">
        <v>1236</v>
      </c>
      <c r="AZ51" s="317">
        <v>0</v>
      </c>
      <c r="BA51" s="317">
        <v>0</v>
      </c>
      <c r="BB51" s="317">
        <v>0</v>
      </c>
      <c r="BC51" s="317">
        <v>0</v>
      </c>
      <c r="BD51" s="317">
        <v>0</v>
      </c>
      <c r="BE51" s="317">
        <v>0</v>
      </c>
      <c r="BF51" s="91">
        <f t="shared" si="75"/>
        <v>7488</v>
      </c>
      <c r="BG51" s="93">
        <f t="shared" si="76"/>
        <v>-0.44541549400088876</v>
      </c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>
        <v>16899</v>
      </c>
      <c r="BU51" s="54"/>
      <c r="BV51" s="91">
        <v>2552.85</v>
      </c>
      <c r="BW51" s="91">
        <v>1973.4599999999998</v>
      </c>
      <c r="BX51" s="91">
        <f>'META  EM PEÇAS'!U34-('META  EM PEÇAS'!U34*0.05)</f>
        <v>2218.4684999999999</v>
      </c>
      <c r="BY51" s="91">
        <f>'META  EM PEÇAS'!V34-('META  EM PEÇAS'!V34*0.05)</f>
        <v>2056.788</v>
      </c>
      <c r="BZ51" s="91">
        <f>'META  EM PEÇAS'!W34-('META  EM PEÇAS'!W34*0.05)</f>
        <v>2307.7019999999998</v>
      </c>
      <c r="CA51" s="91">
        <f>'META  EM PEÇAS'!X34-('META  EM PEÇAS'!X34*0.05)</f>
        <v>2778.6075000000001</v>
      </c>
      <c r="CB51" s="91">
        <f>'META  EM PEÇAS'!Y34-('META  EM PEÇAS'!Y34*0.05)</f>
        <v>3342.2804999999998</v>
      </c>
      <c r="CC51" s="91">
        <f>'META  EM PEÇAS'!Z34-('META  EM PEÇAS'!Z34*0.05)</f>
        <v>2234.3714999999997</v>
      </c>
      <c r="CD51" s="91">
        <f>'META  EM PEÇAS'!AA34-('META  EM PEÇAS'!AA34*0.05)</f>
        <v>2317.4204999999997</v>
      </c>
      <c r="CE51" s="91">
        <f>'META  EM PEÇAS'!AB34-('META  EM PEÇAS'!AB34*0.05)</f>
        <v>2514.4409999999998</v>
      </c>
      <c r="CF51" s="91">
        <f>'META  EM PEÇAS'!AC34-('META  EM PEÇAS'!AC34*0.05)</f>
        <v>3221.241</v>
      </c>
      <c r="CG51" s="91">
        <f>'META  EM PEÇAS'!AD34-('META  EM PEÇAS'!AD34*0.05)</f>
        <v>4539.4229999999989</v>
      </c>
      <c r="CH51" s="91">
        <f t="shared" si="77"/>
        <v>32057.053499999998</v>
      </c>
      <c r="CJ51" s="91">
        <v>2552.85</v>
      </c>
      <c r="CK51" s="91">
        <v>1973.4599999999998</v>
      </c>
      <c r="CL51" s="91">
        <v>2218.4684999999999</v>
      </c>
      <c r="CM51" s="91">
        <v>2056.788</v>
      </c>
      <c r="CN51" s="91">
        <v>2307.7019999999998</v>
      </c>
      <c r="CO51" s="91">
        <v>2778.6075000000001</v>
      </c>
      <c r="CP51" s="91">
        <v>3342.2804999999998</v>
      </c>
      <c r="CQ51" s="91">
        <v>2234.3714999999997</v>
      </c>
      <c r="CR51" s="91">
        <v>2317.4204999999997</v>
      </c>
      <c r="CS51" s="91">
        <v>2514.4409999999998</v>
      </c>
      <c r="CT51" s="91">
        <v>3221.241</v>
      </c>
      <c r="CU51" s="91">
        <v>4539.4229999999989</v>
      </c>
      <c r="CV51" s="91">
        <v>32057.053499999998</v>
      </c>
      <c r="CW51" s="758"/>
      <c r="CX51" s="884">
        <v>2552.85</v>
      </c>
      <c r="CY51" s="884">
        <v>1973.4599999999998</v>
      </c>
      <c r="CZ51" s="884">
        <v>2218.4684999999999</v>
      </c>
      <c r="DA51" s="884">
        <v>2056.788</v>
      </c>
      <c r="DB51" s="884">
        <v>2307.7019999999998</v>
      </c>
      <c r="DC51" s="884">
        <v>2778.6075000000001</v>
      </c>
      <c r="DD51" s="884">
        <v>3342.2804999999998</v>
      </c>
      <c r="DE51" s="884">
        <v>2234.3714999999997</v>
      </c>
      <c r="DF51" s="884">
        <v>2317.4204999999997</v>
      </c>
      <c r="DG51" s="884">
        <v>2514.4409999999998</v>
      </c>
      <c r="DH51" s="884">
        <v>3221.241</v>
      </c>
      <c r="DI51" s="884">
        <v>4539.4229999999989</v>
      </c>
      <c r="DJ51" s="91">
        <v>32057.053499999998</v>
      </c>
      <c r="DK51" s="948"/>
      <c r="DL51" s="884">
        <v>2552.85</v>
      </c>
      <c r="DM51" s="884">
        <v>1973.4599999999998</v>
      </c>
      <c r="DN51" s="884">
        <v>2218.4684999999999</v>
      </c>
      <c r="DO51" s="884">
        <v>2056.788</v>
      </c>
      <c r="DP51" s="884">
        <v>2307.7019999999998</v>
      </c>
      <c r="DQ51" s="884">
        <v>2778.6075000000001</v>
      </c>
      <c r="DR51" s="884">
        <v>3342.2804999999998</v>
      </c>
      <c r="DS51" s="884">
        <v>2234.3714999999997</v>
      </c>
      <c r="DT51" s="884">
        <v>2317.4204999999997</v>
      </c>
      <c r="DU51" s="884">
        <v>2514.4409999999998</v>
      </c>
      <c r="DV51" s="884">
        <v>3221.241</v>
      </c>
      <c r="DW51" s="884">
        <v>4539.4229999999989</v>
      </c>
      <c r="DX51" s="91">
        <v>32057.053499999998</v>
      </c>
    </row>
    <row r="52" spans="1:128" ht="15" hidden="1" customHeight="1" outlineLevel="1">
      <c r="A52" s="94">
        <v>13</v>
      </c>
      <c r="B52" s="921" t="s">
        <v>68</v>
      </c>
      <c r="C52" s="923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>
        <f t="shared" si="72"/>
        <v>0</v>
      </c>
      <c r="Q52" s="90"/>
      <c r="R52" s="313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2000</v>
      </c>
      <c r="Y52" s="91">
        <v>800</v>
      </c>
      <c r="Z52" s="91">
        <v>800</v>
      </c>
      <c r="AA52" s="91">
        <v>1200</v>
      </c>
      <c r="AB52" s="91">
        <v>1800</v>
      </c>
      <c r="AC52" s="91">
        <v>2300</v>
      </c>
      <c r="AD52" s="315">
        <f t="shared" si="73"/>
        <v>8900</v>
      </c>
      <c r="AE52" s="23"/>
      <c r="AF52" s="316">
        <v>1800</v>
      </c>
      <c r="AG52" s="91">
        <v>1200</v>
      </c>
      <c r="AH52" s="91">
        <f>1800*0.15</f>
        <v>270</v>
      </c>
      <c r="AI52" s="91">
        <v>896</v>
      </c>
      <c r="AJ52" s="91">
        <v>1339</v>
      </c>
      <c r="AK52" s="91">
        <v>1600</v>
      </c>
      <c r="AL52" s="91">
        <v>1800</v>
      </c>
      <c r="AM52" s="91">
        <v>2000</v>
      </c>
      <c r="AN52" s="91">
        <v>2000</v>
      </c>
      <c r="AO52" s="91">
        <v>2000</v>
      </c>
      <c r="AP52" s="91">
        <v>2200</v>
      </c>
      <c r="AQ52" s="91">
        <v>3200</v>
      </c>
      <c r="AR52" s="92">
        <f t="shared" si="74"/>
        <v>20305</v>
      </c>
      <c r="AS52" s="23"/>
      <c r="AT52" s="91">
        <v>1980</v>
      </c>
      <c r="AU52" s="91">
        <v>1980</v>
      </c>
      <c r="AV52" s="91">
        <v>1980</v>
      </c>
      <c r="AW52" s="91">
        <v>1980</v>
      </c>
      <c r="AX52" s="317">
        <v>1409</v>
      </c>
      <c r="AY52" s="317">
        <v>1409</v>
      </c>
      <c r="AZ52" s="317">
        <v>1345</v>
      </c>
      <c r="BA52" s="317">
        <v>1345</v>
      </c>
      <c r="BB52" s="317">
        <v>1409</v>
      </c>
      <c r="BC52" s="317">
        <v>1665</v>
      </c>
      <c r="BD52" s="317">
        <v>1793</v>
      </c>
      <c r="BE52" s="317">
        <v>2562</v>
      </c>
      <c r="BF52" s="91">
        <f t="shared" si="75"/>
        <v>20857</v>
      </c>
      <c r="BG52" s="93">
        <f t="shared" si="76"/>
        <v>2.7185422309775831E-2</v>
      </c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>
        <v>11555</v>
      </c>
      <c r="BU52" s="54"/>
      <c r="BV52" s="91">
        <v>1903.7099999999998</v>
      </c>
      <c r="BW52" s="91">
        <v>1471.26</v>
      </c>
      <c r="BX52" s="91">
        <f>'META  EM PEÇAS'!U35-('META  EM PEÇAS'!U35*0.05)</f>
        <v>1654.7954999999999</v>
      </c>
      <c r="BY52" s="91">
        <f>'META  EM PEÇAS'!V35-('META  EM PEÇAS'!V35*0.05)</f>
        <v>1533.7559999999999</v>
      </c>
      <c r="BZ52" s="91">
        <f>'META  EM PEÇAS'!W35-('META  EM PEÇAS'!W35*0.05)</f>
        <v>1721.058</v>
      </c>
      <c r="CA52" s="91">
        <f>'META  EM PEÇAS'!X35-('META  EM PEÇAS'!X35*0.05)</f>
        <v>2071.8074999999999</v>
      </c>
      <c r="CB52" s="91">
        <f>'META  EM PEÇAS'!Y35-('META  EM PEÇAS'!Y35*0.05)</f>
        <v>2492.3534999999997</v>
      </c>
      <c r="CC52" s="91">
        <f>'META  EM PEÇAS'!Z35-('META  EM PEÇAS'!Z35*0.05)</f>
        <v>1666.2809999999997</v>
      </c>
      <c r="CD52" s="91">
        <f>'META  EM PEÇAS'!AA35-('META  EM PEÇAS'!AA35*0.05)</f>
        <v>1728.126</v>
      </c>
      <c r="CE52" s="91">
        <f>'META  EM PEÇAS'!AB35-('META  EM PEÇAS'!AB35*0.05)</f>
        <v>1874.7869999999998</v>
      </c>
      <c r="CF52" s="91">
        <f>'META  EM PEÇAS'!AC35-('META  EM PEÇAS'!AC35*0.05)</f>
        <v>2402.2364999999995</v>
      </c>
      <c r="CG52" s="91">
        <f>'META  EM PEÇAS'!AD35-('META  EM PEÇAS'!AD35*0.05)</f>
        <v>3384.6884999999997</v>
      </c>
      <c r="CH52" s="91">
        <f t="shared" si="77"/>
        <v>23904.859499999995</v>
      </c>
      <c r="CJ52" s="91">
        <v>1903.7099999999998</v>
      </c>
      <c r="CK52" s="91">
        <v>1471.26</v>
      </c>
      <c r="CL52" s="91">
        <v>1654.7954999999999</v>
      </c>
      <c r="CM52" s="91">
        <v>1533.7559999999999</v>
      </c>
      <c r="CN52" s="91">
        <v>1721.058</v>
      </c>
      <c r="CO52" s="91">
        <v>2071.8074999999999</v>
      </c>
      <c r="CP52" s="91">
        <v>2492.3534999999997</v>
      </c>
      <c r="CQ52" s="91">
        <v>1666.2809999999997</v>
      </c>
      <c r="CR52" s="91">
        <v>1728.126</v>
      </c>
      <c r="CS52" s="91">
        <v>1874.7869999999998</v>
      </c>
      <c r="CT52" s="91">
        <v>2402.2364999999995</v>
      </c>
      <c r="CU52" s="91">
        <v>3384.6884999999997</v>
      </c>
      <c r="CV52" s="91">
        <v>23904.859499999995</v>
      </c>
      <c r="CW52" s="758"/>
      <c r="CX52" s="884">
        <v>1903.7099999999998</v>
      </c>
      <c r="CY52" s="884">
        <v>1471.26</v>
      </c>
      <c r="CZ52" s="884">
        <v>1654.7954999999999</v>
      </c>
      <c r="DA52" s="884">
        <v>1533.7559999999999</v>
      </c>
      <c r="DB52" s="884">
        <v>1721.058</v>
      </c>
      <c r="DC52" s="884">
        <v>2071.8074999999999</v>
      </c>
      <c r="DD52" s="884">
        <v>2492.3534999999997</v>
      </c>
      <c r="DE52" s="884">
        <v>1666.2809999999997</v>
      </c>
      <c r="DF52" s="884">
        <v>1728.126</v>
      </c>
      <c r="DG52" s="884">
        <v>1874.7869999999998</v>
      </c>
      <c r="DH52" s="884">
        <v>2402.2364999999995</v>
      </c>
      <c r="DI52" s="884">
        <v>3384.6884999999997</v>
      </c>
      <c r="DJ52" s="91">
        <v>23904.859499999995</v>
      </c>
      <c r="DK52" s="948"/>
      <c r="DL52" s="884">
        <v>1903.7099999999998</v>
      </c>
      <c r="DM52" s="884">
        <v>1471.26</v>
      </c>
      <c r="DN52" s="884">
        <v>1654.7954999999999</v>
      </c>
      <c r="DO52" s="884">
        <v>1533.7559999999999</v>
      </c>
      <c r="DP52" s="884">
        <v>1721.058</v>
      </c>
      <c r="DQ52" s="884">
        <v>2071.8074999999999</v>
      </c>
      <c r="DR52" s="884">
        <v>2492.3534999999997</v>
      </c>
      <c r="DS52" s="884">
        <v>1666.2809999999997</v>
      </c>
      <c r="DT52" s="884">
        <v>1728.126</v>
      </c>
      <c r="DU52" s="884">
        <v>1874.7869999999998</v>
      </c>
      <c r="DV52" s="884">
        <v>2402.2364999999995</v>
      </c>
      <c r="DW52" s="884">
        <v>3384.6884999999997</v>
      </c>
      <c r="DX52" s="91">
        <v>23904.859499999995</v>
      </c>
    </row>
    <row r="53" spans="1:128" ht="15" hidden="1" customHeight="1" outlineLevel="1">
      <c r="A53" s="94">
        <v>14</v>
      </c>
      <c r="B53" s="921" t="s">
        <v>69</v>
      </c>
      <c r="C53" s="923"/>
      <c r="D53" s="313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314"/>
      <c r="Q53" s="90"/>
      <c r="R53" s="313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91">
        <v>2000</v>
      </c>
      <c r="Z53" s="91">
        <v>800</v>
      </c>
      <c r="AA53" s="91">
        <v>800</v>
      </c>
      <c r="AB53" s="91">
        <v>1200</v>
      </c>
      <c r="AC53" s="91">
        <v>1800</v>
      </c>
      <c r="AD53" s="315">
        <f t="shared" si="73"/>
        <v>6600</v>
      </c>
      <c r="AE53" s="23"/>
      <c r="AF53" s="316">
        <v>1500</v>
      </c>
      <c r="AG53" s="91">
        <v>1200</v>
      </c>
      <c r="AH53" s="91">
        <f>1500*0.15</f>
        <v>225</v>
      </c>
      <c r="AI53" s="91">
        <v>374</v>
      </c>
      <c r="AJ53" s="91">
        <v>990</v>
      </c>
      <c r="AK53" s="91">
        <v>960</v>
      </c>
      <c r="AL53" s="91">
        <v>1800</v>
      </c>
      <c r="AM53" s="91">
        <v>1200</v>
      </c>
      <c r="AN53" s="91">
        <v>1200</v>
      </c>
      <c r="AO53" s="91">
        <v>1200</v>
      </c>
      <c r="AP53" s="91">
        <v>1320</v>
      </c>
      <c r="AQ53" s="91">
        <v>1920</v>
      </c>
      <c r="AR53" s="92">
        <f t="shared" si="74"/>
        <v>13889</v>
      </c>
      <c r="AS53" s="23"/>
      <c r="AT53" s="91">
        <v>1518</v>
      </c>
      <c r="AU53" s="91">
        <v>1518</v>
      </c>
      <c r="AV53" s="91">
        <v>1518</v>
      </c>
      <c r="AW53" s="91">
        <v>1518</v>
      </c>
      <c r="AX53" s="317">
        <v>1276</v>
      </c>
      <c r="AY53" s="317">
        <v>1276</v>
      </c>
      <c r="AZ53" s="317">
        <v>1218</v>
      </c>
      <c r="BA53" s="317">
        <v>1218</v>
      </c>
      <c r="BB53" s="317">
        <v>1276</v>
      </c>
      <c r="BC53" s="317">
        <v>1508</v>
      </c>
      <c r="BD53" s="317">
        <v>1624</v>
      </c>
      <c r="BE53" s="317">
        <v>2320</v>
      </c>
      <c r="BF53" s="91">
        <f t="shared" si="75"/>
        <v>17788</v>
      </c>
      <c r="BG53" s="93">
        <f t="shared" si="76"/>
        <v>0.2807257541939665</v>
      </c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>
        <v>19018</v>
      </c>
      <c r="BU53" s="54"/>
      <c r="BV53" s="91">
        <v>2737.9199999999996</v>
      </c>
      <c r="BW53" s="91">
        <v>2116.6799999999998</v>
      </c>
      <c r="BX53" s="91">
        <f>'META  EM PEÇAS'!U36-('META  EM PEÇAS'!U36*0.05)</f>
        <v>2379.2655</v>
      </c>
      <c r="BY53" s="91">
        <f>'META  EM PEÇAS'!V36-('META  EM PEÇAS'!V36*0.05)</f>
        <v>2205.2159999999999</v>
      </c>
      <c r="BZ53" s="91">
        <f>'META  EM PEÇAS'!W36-('META  EM PEÇAS'!W36*0.05)</f>
        <v>2474.6834999999996</v>
      </c>
      <c r="CA53" s="91">
        <f>'META  EM PEÇAS'!X36-('META  EM PEÇAS'!X36*0.05)</f>
        <v>2980.0454999999997</v>
      </c>
      <c r="CB53" s="91">
        <f>'META  EM PEÇAS'!Y36-('META  EM PEÇAS'!Y36*0.05)</f>
        <v>3584.3594999999996</v>
      </c>
      <c r="CC53" s="91">
        <f>'META  EM PEÇAS'!Z36-('META  EM PEÇAS'!Z36*0.05)</f>
        <v>2396.0519999999997</v>
      </c>
      <c r="CD53" s="91">
        <f>'META  EM PEÇAS'!AA36-('META  EM PEÇAS'!AA36*0.05)</f>
        <v>2485.2854999999995</v>
      </c>
      <c r="CE53" s="91">
        <f>'META  EM PEÇAS'!AB36-('META  EM PEÇAS'!AB36*0.05)</f>
        <v>2696.4419999999996</v>
      </c>
      <c r="CF53" s="91">
        <f>'META  EM PEÇAS'!AC36-('META  EM PEÇAS'!AC36*0.05)</f>
        <v>3454.4849999999997</v>
      </c>
      <c r="CG53" s="91">
        <f>'META  EM PEÇAS'!AD36-('META  EM PEÇAS'!AD36*0.05)</f>
        <v>4868.0849999999991</v>
      </c>
      <c r="CH53" s="91">
        <f t="shared" si="77"/>
        <v>34378.519499999995</v>
      </c>
      <c r="CJ53" s="91">
        <v>2737.9199999999996</v>
      </c>
      <c r="CK53" s="91">
        <v>2116.6799999999998</v>
      </c>
      <c r="CL53" s="91">
        <v>2379.2655</v>
      </c>
      <c r="CM53" s="91">
        <v>2205.2159999999999</v>
      </c>
      <c r="CN53" s="91">
        <v>2474.6834999999996</v>
      </c>
      <c r="CO53" s="91">
        <v>2980.0454999999997</v>
      </c>
      <c r="CP53" s="91">
        <v>3584.3594999999996</v>
      </c>
      <c r="CQ53" s="91">
        <v>2396.0519999999997</v>
      </c>
      <c r="CR53" s="91">
        <v>2485.2854999999995</v>
      </c>
      <c r="CS53" s="91">
        <v>2696.4419999999996</v>
      </c>
      <c r="CT53" s="91">
        <v>3454.4849999999997</v>
      </c>
      <c r="CU53" s="91">
        <v>4868.0849999999991</v>
      </c>
      <c r="CV53" s="91">
        <v>34378.519499999995</v>
      </c>
      <c r="CW53" s="758"/>
      <c r="CX53" s="884">
        <v>2737.9199999999996</v>
      </c>
      <c r="CY53" s="884">
        <v>2116.6799999999998</v>
      </c>
      <c r="CZ53" s="884">
        <v>2379.2655</v>
      </c>
      <c r="DA53" s="884">
        <v>2205.2159999999999</v>
      </c>
      <c r="DB53" s="884">
        <v>2474.6834999999996</v>
      </c>
      <c r="DC53" s="884">
        <v>2980.0454999999997</v>
      </c>
      <c r="DD53" s="884">
        <v>3584.3594999999996</v>
      </c>
      <c r="DE53" s="884">
        <v>2396.0519999999997</v>
      </c>
      <c r="DF53" s="884">
        <v>2485.2854999999995</v>
      </c>
      <c r="DG53" s="884">
        <v>2696.4419999999996</v>
      </c>
      <c r="DH53" s="884">
        <v>3454.4849999999997</v>
      </c>
      <c r="DI53" s="884">
        <v>4868.0849999999991</v>
      </c>
      <c r="DJ53" s="91">
        <v>34378.519499999995</v>
      </c>
      <c r="DK53" s="948"/>
      <c r="DL53" s="884">
        <v>2737.9199999999996</v>
      </c>
      <c r="DM53" s="884">
        <v>2116.6799999999998</v>
      </c>
      <c r="DN53" s="884">
        <v>2379.2655</v>
      </c>
      <c r="DO53" s="884">
        <v>2205.2159999999999</v>
      </c>
      <c r="DP53" s="884">
        <v>2474.6834999999996</v>
      </c>
      <c r="DQ53" s="884">
        <v>2980.0454999999997</v>
      </c>
      <c r="DR53" s="884">
        <v>3584.3594999999996</v>
      </c>
      <c r="DS53" s="884">
        <v>2396.0519999999997</v>
      </c>
      <c r="DT53" s="884">
        <v>2485.2854999999995</v>
      </c>
      <c r="DU53" s="884">
        <v>2696.4419999999996</v>
      </c>
      <c r="DV53" s="884">
        <v>3454.4849999999997</v>
      </c>
      <c r="DW53" s="884">
        <v>4868.0849999999991</v>
      </c>
      <c r="DX53" s="91">
        <v>34378.519499999995</v>
      </c>
    </row>
    <row r="54" spans="1:128" ht="15" hidden="1" customHeight="1" outlineLevel="1">
      <c r="A54" s="94">
        <v>15</v>
      </c>
      <c r="B54" s="921" t="s">
        <v>70</v>
      </c>
      <c r="C54" s="923"/>
      <c r="D54" s="313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314"/>
      <c r="Q54" s="90"/>
      <c r="R54" s="313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0</v>
      </c>
      <c r="Z54" s="91">
        <v>2000</v>
      </c>
      <c r="AA54" s="91">
        <v>800</v>
      </c>
      <c r="AB54" s="91">
        <v>800</v>
      </c>
      <c r="AC54" s="91">
        <v>1500</v>
      </c>
      <c r="AD54" s="315">
        <f t="shared" si="73"/>
        <v>5100</v>
      </c>
      <c r="AE54" s="23"/>
      <c r="AF54" s="316">
        <v>1800</v>
      </c>
      <c r="AG54" s="91">
        <v>1200</v>
      </c>
      <c r="AH54" s="91">
        <f>1800*0.4</f>
        <v>720</v>
      </c>
      <c r="AI54" s="91">
        <v>1147</v>
      </c>
      <c r="AJ54" s="91">
        <v>1155</v>
      </c>
      <c r="AK54" s="91">
        <v>1600</v>
      </c>
      <c r="AL54" s="91">
        <v>1800</v>
      </c>
      <c r="AM54" s="91">
        <v>2000</v>
      </c>
      <c r="AN54" s="91">
        <v>2000</v>
      </c>
      <c r="AO54" s="91">
        <v>2000</v>
      </c>
      <c r="AP54" s="91">
        <v>2200</v>
      </c>
      <c r="AQ54" s="91">
        <v>3200</v>
      </c>
      <c r="AR54" s="92">
        <f t="shared" si="74"/>
        <v>20822</v>
      </c>
      <c r="AS54" s="23"/>
      <c r="AT54" s="91">
        <v>1544</v>
      </c>
      <c r="AU54" s="91">
        <v>1544</v>
      </c>
      <c r="AV54" s="91">
        <v>1544</v>
      </c>
      <c r="AW54" s="91">
        <v>1544</v>
      </c>
      <c r="AX54" s="317">
        <v>862</v>
      </c>
      <c r="AY54" s="317">
        <v>862</v>
      </c>
      <c r="AZ54" s="317">
        <v>823</v>
      </c>
      <c r="BA54" s="317">
        <v>823</v>
      </c>
      <c r="BB54" s="317">
        <v>862</v>
      </c>
      <c r="BC54" s="317">
        <v>1019</v>
      </c>
      <c r="BD54" s="317">
        <v>1098</v>
      </c>
      <c r="BE54" s="317">
        <v>1568</v>
      </c>
      <c r="BF54" s="91">
        <f t="shared" si="75"/>
        <v>14093</v>
      </c>
      <c r="BG54" s="93">
        <f t="shared" si="76"/>
        <v>-0.32316780328498707</v>
      </c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>
        <v>21133</v>
      </c>
      <c r="BU54" s="54"/>
      <c r="BV54" s="91">
        <v>3593.52</v>
      </c>
      <c r="BW54" s="91">
        <v>2776.98</v>
      </c>
      <c r="BX54" s="91">
        <f>'META  EM PEÇAS'!U38-('META  EM PEÇAS'!U38*0.05)</f>
        <v>3122.2889999999998</v>
      </c>
      <c r="BY54" s="91">
        <f>'META  EM PEÇAS'!V38-('META  EM PEÇAS'!V38*0.05)</f>
        <v>2893.4625000000001</v>
      </c>
      <c r="BZ54" s="91">
        <f>'META  EM PEÇAS'!W38-('META  EM PEÇAS'!W38*0.05)</f>
        <v>3247.7459999999996</v>
      </c>
      <c r="CA54" s="91">
        <f>'META  EM PEÇAS'!X38-('META  EM PEÇAS'!X38*0.05)</f>
        <v>3910.3709999999992</v>
      </c>
      <c r="CB54" s="91">
        <f>'META  EM PEÇAS'!Y38-('META  EM PEÇAS'!Y38*0.05)</f>
        <v>4703.7539999999999</v>
      </c>
      <c r="CC54" s="91">
        <f>'META  EM PEÇAS'!Z38-('META  EM PEÇAS'!Z38*0.05)</f>
        <v>3144.3764999999999</v>
      </c>
      <c r="CD54" s="91">
        <f>'META  EM PEÇAS'!AA38-('META  EM PEÇAS'!AA38*0.05)</f>
        <v>3260.9984999999997</v>
      </c>
      <c r="CE54" s="91">
        <f>'META  EM PEÇAS'!AB38-('META  EM PEÇAS'!AB38*0.05)</f>
        <v>3539.3009999999999</v>
      </c>
      <c r="CF54" s="91">
        <f>'META  EM PEÇAS'!AC38-('META  EM PEÇAS'!AC38*0.05)</f>
        <v>4533.2384999999995</v>
      </c>
      <c r="CG54" s="91">
        <f>'META  EM PEÇAS'!AD38-('META  EM PEÇAS'!AD38*0.05)</f>
        <v>6387.7049999999999</v>
      </c>
      <c r="CH54" s="91">
        <f t="shared" si="77"/>
        <v>45113.741999999998</v>
      </c>
      <c r="CJ54" s="91">
        <v>3593.52</v>
      </c>
      <c r="CK54" s="91">
        <v>2776.98</v>
      </c>
      <c r="CL54" s="91">
        <v>3122.2889999999998</v>
      </c>
      <c r="CM54" s="91">
        <v>2893.4625000000001</v>
      </c>
      <c r="CN54" s="91">
        <v>3247.7459999999996</v>
      </c>
      <c r="CO54" s="91">
        <v>3910.3709999999992</v>
      </c>
      <c r="CP54" s="91">
        <v>4703.7539999999999</v>
      </c>
      <c r="CQ54" s="91">
        <v>3144.3764999999999</v>
      </c>
      <c r="CR54" s="91">
        <v>3260.9984999999997</v>
      </c>
      <c r="CS54" s="91">
        <v>3539.3009999999999</v>
      </c>
      <c r="CT54" s="91">
        <v>4533.2384999999995</v>
      </c>
      <c r="CU54" s="91">
        <v>6387.7049999999999</v>
      </c>
      <c r="CV54" s="91">
        <v>45113.741999999998</v>
      </c>
      <c r="CW54" s="758"/>
      <c r="CX54" s="884">
        <v>3593.52</v>
      </c>
      <c r="CY54" s="884">
        <v>2776.98</v>
      </c>
      <c r="CZ54" s="884">
        <v>3122.2889999999998</v>
      </c>
      <c r="DA54" s="884">
        <v>2893.4625000000001</v>
      </c>
      <c r="DB54" s="884">
        <v>3247.7459999999996</v>
      </c>
      <c r="DC54" s="884">
        <v>3910.3709999999992</v>
      </c>
      <c r="DD54" s="884">
        <v>4703.7539999999999</v>
      </c>
      <c r="DE54" s="884">
        <v>3144.3764999999999</v>
      </c>
      <c r="DF54" s="884">
        <v>3260.9984999999997</v>
      </c>
      <c r="DG54" s="884">
        <v>3539.3009999999999</v>
      </c>
      <c r="DH54" s="884">
        <v>4533.2384999999995</v>
      </c>
      <c r="DI54" s="884">
        <v>6387.7049999999999</v>
      </c>
      <c r="DJ54" s="91">
        <v>45113.741999999998</v>
      </c>
      <c r="DK54" s="948"/>
      <c r="DL54" s="884">
        <v>3593.52</v>
      </c>
      <c r="DM54" s="884">
        <v>2776.98</v>
      </c>
      <c r="DN54" s="884">
        <v>3122.2889999999998</v>
      </c>
      <c r="DO54" s="884">
        <v>2893.4625000000001</v>
      </c>
      <c r="DP54" s="884">
        <v>3247.7459999999996</v>
      </c>
      <c r="DQ54" s="884">
        <v>3910.3709999999992</v>
      </c>
      <c r="DR54" s="884">
        <v>4703.7539999999999</v>
      </c>
      <c r="DS54" s="884">
        <v>3144.3764999999999</v>
      </c>
      <c r="DT54" s="884">
        <v>3260.9984999999997</v>
      </c>
      <c r="DU54" s="884">
        <v>3539.3009999999999</v>
      </c>
      <c r="DV54" s="884">
        <v>4533.2384999999995</v>
      </c>
      <c r="DW54" s="884">
        <v>6387.7049999999999</v>
      </c>
      <c r="DX54" s="91">
        <v>45113.741999999998</v>
      </c>
    </row>
    <row r="55" spans="1:128" ht="15" hidden="1" customHeight="1" outlineLevel="1">
      <c r="A55" s="94">
        <v>16</v>
      </c>
      <c r="B55" s="924" t="s">
        <v>71</v>
      </c>
      <c r="C55" s="923"/>
      <c r="D55" s="313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314"/>
      <c r="Q55" s="90"/>
      <c r="R55" s="313"/>
      <c r="S55" s="91"/>
      <c r="T55" s="91"/>
      <c r="U55" s="91"/>
      <c r="V55" s="91"/>
      <c r="W55" s="91"/>
      <c r="X55" s="91"/>
      <c r="Y55" s="91"/>
      <c r="Z55" s="91"/>
      <c r="AA55" s="91">
        <v>800</v>
      </c>
      <c r="AB55" s="91">
        <v>800</v>
      </c>
      <c r="AC55" s="91">
        <v>1500</v>
      </c>
      <c r="AD55" s="315"/>
      <c r="AE55" s="23"/>
      <c r="AF55" s="316">
        <v>1500</v>
      </c>
      <c r="AG55" s="91">
        <v>1200</v>
      </c>
      <c r="AH55" s="91">
        <f>1500*0.15</f>
        <v>225</v>
      </c>
      <c r="AI55" s="91">
        <v>192</v>
      </c>
      <c r="AJ55" s="91">
        <v>663</v>
      </c>
      <c r="AK55" s="91">
        <v>800</v>
      </c>
      <c r="AL55" s="91">
        <v>1500</v>
      </c>
      <c r="AM55" s="91">
        <v>1000</v>
      </c>
      <c r="AN55" s="91">
        <v>1000</v>
      </c>
      <c r="AO55" s="91">
        <v>1000</v>
      </c>
      <c r="AP55" s="91">
        <v>1100</v>
      </c>
      <c r="AQ55" s="91">
        <v>1600</v>
      </c>
      <c r="AR55" s="92">
        <f t="shared" si="74"/>
        <v>11780</v>
      </c>
      <c r="AS55" s="23"/>
      <c r="AT55" s="91">
        <v>960</v>
      </c>
      <c r="AU55" s="91">
        <v>960</v>
      </c>
      <c r="AV55" s="91">
        <v>960</v>
      </c>
      <c r="AW55" s="91">
        <v>960</v>
      </c>
      <c r="AX55" s="317">
        <v>1414</v>
      </c>
      <c r="AY55" s="317">
        <v>1414</v>
      </c>
      <c r="AZ55" s="317">
        <v>1350</v>
      </c>
      <c r="BA55" s="317">
        <v>1350</v>
      </c>
      <c r="BB55" s="317">
        <v>1414</v>
      </c>
      <c r="BC55" s="317">
        <v>1671</v>
      </c>
      <c r="BD55" s="317">
        <v>1800</v>
      </c>
      <c r="BE55" s="317">
        <v>2571</v>
      </c>
      <c r="BF55" s="91">
        <f t="shared" si="75"/>
        <v>16824</v>
      </c>
      <c r="BG55" s="93">
        <f t="shared" si="76"/>
        <v>0.42818336162988113</v>
      </c>
      <c r="BH55" s="91">
        <v>900</v>
      </c>
      <c r="BI55" s="91">
        <v>643</v>
      </c>
      <c r="BJ55" s="91">
        <v>891</v>
      </c>
      <c r="BK55" s="91">
        <v>679</v>
      </c>
      <c r="BL55" s="91">
        <v>940</v>
      </c>
      <c r="BM55" s="91">
        <v>948</v>
      </c>
      <c r="BN55" s="91">
        <v>1124</v>
      </c>
      <c r="BO55" s="91">
        <v>913</v>
      </c>
      <c r="BP55" s="91">
        <v>911</v>
      </c>
      <c r="BQ55" s="91">
        <v>898</v>
      </c>
      <c r="BR55" s="91">
        <v>1465</v>
      </c>
      <c r="BS55" s="91">
        <v>1278</v>
      </c>
      <c r="BT55" s="91">
        <f>SUM(BH55:BS55)</f>
        <v>11590</v>
      </c>
      <c r="BU55" s="54"/>
      <c r="BV55" s="91">
        <f>'META  EM PEÇAS'!T47</f>
        <v>1749.7324726431702</v>
      </c>
      <c r="BW55" s="91">
        <f>'META  EM PEÇAS'!T48</f>
        <v>1701.1287928475265</v>
      </c>
      <c r="BX55" s="91">
        <f>'META  EM PEÇAS'!T49</f>
        <v>1846.9398322344578</v>
      </c>
      <c r="BY55" s="91">
        <f>'META  EM PEÇAS'!T50</f>
        <v>1701.1287928475265</v>
      </c>
      <c r="BZ55" s="91">
        <f>'META  EM PEÇAS'!T51</f>
        <v>1846.9398322344578</v>
      </c>
      <c r="CA55" s="91">
        <f>'META  EM PEÇAS'!T52</f>
        <v>1749.7324726431702</v>
      </c>
      <c r="CB55" s="91">
        <f>'META  EM PEÇAS'!T53</f>
        <v>2138.5619110083194</v>
      </c>
      <c r="CC55" s="91">
        <f>'META  EM PEÇAS'!T54</f>
        <v>1749.7324726431702</v>
      </c>
      <c r="CD55" s="91">
        <f>'META  EM PEÇAS'!T55</f>
        <v>1749.7324726431702</v>
      </c>
      <c r="CE55" s="91">
        <f>'META  EM PEÇAS'!T56</f>
        <v>1749.7324726431702</v>
      </c>
      <c r="CF55" s="91">
        <f>'META  EM PEÇAS'!T57</f>
        <v>2721.8060685560426</v>
      </c>
      <c r="CG55" s="91">
        <f>'META  EM PEÇAS'!T58</f>
        <v>1944.1471918257448</v>
      </c>
      <c r="CH55" s="91">
        <f t="shared" si="77"/>
        <v>22649.314784769926</v>
      </c>
      <c r="CJ55" s="91">
        <v>1749.7324726431702</v>
      </c>
      <c r="CK55" s="91">
        <v>1701.1287928475265</v>
      </c>
      <c r="CL55" s="91">
        <v>1846.9398322344578</v>
      </c>
      <c r="CM55" s="91">
        <v>1701.1287928475265</v>
      </c>
      <c r="CN55" s="91">
        <v>1846.9398322344578</v>
      </c>
      <c r="CO55" s="91">
        <v>1749.7324726431702</v>
      </c>
      <c r="CP55" s="91">
        <v>2138.5619110083194</v>
      </c>
      <c r="CQ55" s="91">
        <v>1749.7324726431702</v>
      </c>
      <c r="CR55" s="91">
        <v>1749.7324726431702</v>
      </c>
      <c r="CS55" s="91">
        <v>1749.7324726431702</v>
      </c>
      <c r="CT55" s="91">
        <v>2721.8060685560426</v>
      </c>
      <c r="CU55" s="91">
        <v>1944.1471918257448</v>
      </c>
      <c r="CV55" s="91">
        <v>22649.314784769926</v>
      </c>
      <c r="CW55" s="758"/>
      <c r="CX55" s="884">
        <v>1749.7324726431702</v>
      </c>
      <c r="CY55" s="884">
        <v>1701.1287928475265</v>
      </c>
      <c r="CZ55" s="884">
        <v>1846.9398322344578</v>
      </c>
      <c r="DA55" s="884">
        <v>1701.1287928475265</v>
      </c>
      <c r="DB55" s="884">
        <v>1846.9398322344578</v>
      </c>
      <c r="DC55" s="884">
        <v>1749.7324726431702</v>
      </c>
      <c r="DD55" s="884">
        <v>2138.5619110083194</v>
      </c>
      <c r="DE55" s="884">
        <v>1749.7324726431702</v>
      </c>
      <c r="DF55" s="884">
        <v>1749.7324726431702</v>
      </c>
      <c r="DG55" s="884">
        <v>1749.7324726431702</v>
      </c>
      <c r="DH55" s="884">
        <v>2721.8060685560426</v>
      </c>
      <c r="DI55" s="884">
        <v>1944.1471918257448</v>
      </c>
      <c r="DJ55" s="91">
        <v>22649.314784769926</v>
      </c>
      <c r="DK55" s="948"/>
      <c r="DL55" s="884">
        <v>1749.7324726431702</v>
      </c>
      <c r="DM55" s="884">
        <v>1701.1287928475265</v>
      </c>
      <c r="DN55" s="884">
        <v>1846.9398322344578</v>
      </c>
      <c r="DO55" s="884">
        <v>1701.1287928475265</v>
      </c>
      <c r="DP55" s="884">
        <v>1846.9398322344578</v>
      </c>
      <c r="DQ55" s="884">
        <v>1749.7324726431702</v>
      </c>
      <c r="DR55" s="884">
        <v>2138.5619110083194</v>
      </c>
      <c r="DS55" s="884">
        <v>1749.7324726431702</v>
      </c>
      <c r="DT55" s="884">
        <v>1749.7324726431702</v>
      </c>
      <c r="DU55" s="884">
        <v>1749.7324726431702</v>
      </c>
      <c r="DV55" s="884">
        <v>2721.8060685560426</v>
      </c>
      <c r="DW55" s="884">
        <v>1944.1471918257448</v>
      </c>
      <c r="DX55" s="91">
        <v>22649.314784769926</v>
      </c>
    </row>
    <row r="56" spans="1:128" ht="15" hidden="1" customHeight="1" outlineLevel="1">
      <c r="A56" s="94"/>
      <c r="B56" s="921"/>
      <c r="C56" s="925"/>
      <c r="D56" s="313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314"/>
      <c r="Q56" s="90"/>
      <c r="R56" s="313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315"/>
      <c r="AE56" s="23"/>
      <c r="AF56" s="316">
        <v>0</v>
      </c>
      <c r="AG56" s="91">
        <v>0</v>
      </c>
      <c r="AH56" s="91">
        <v>0</v>
      </c>
      <c r="AI56" s="91">
        <v>0</v>
      </c>
      <c r="AJ56" s="91">
        <v>0</v>
      </c>
      <c r="AK56" s="91">
        <v>400</v>
      </c>
      <c r="AL56" s="91">
        <v>500</v>
      </c>
      <c r="AM56" s="91">
        <v>500</v>
      </c>
      <c r="AN56" s="91">
        <v>600</v>
      </c>
      <c r="AO56" s="91">
        <v>600</v>
      </c>
      <c r="AP56" s="91">
        <v>660</v>
      </c>
      <c r="AQ56" s="91">
        <v>960</v>
      </c>
      <c r="AR56" s="92">
        <f t="shared" si="74"/>
        <v>4220</v>
      </c>
      <c r="AS56" s="23"/>
      <c r="AT56" s="91">
        <v>960</v>
      </c>
      <c r="AU56" s="91">
        <v>960</v>
      </c>
      <c r="AV56" s="91">
        <v>960</v>
      </c>
      <c r="AW56" s="91">
        <v>960</v>
      </c>
      <c r="AX56" s="317">
        <v>580</v>
      </c>
      <c r="AY56" s="317">
        <v>580</v>
      </c>
      <c r="AZ56" s="317">
        <v>554</v>
      </c>
      <c r="BA56" s="317">
        <v>554</v>
      </c>
      <c r="BB56" s="317">
        <v>580</v>
      </c>
      <c r="BC56" s="317">
        <v>686</v>
      </c>
      <c r="BD56" s="317">
        <v>739</v>
      </c>
      <c r="BE56" s="317">
        <v>1055</v>
      </c>
      <c r="BF56" s="91">
        <f t="shared" si="75"/>
        <v>9168</v>
      </c>
      <c r="BG56" s="93">
        <f t="shared" si="76"/>
        <v>1.172511848341232</v>
      </c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54"/>
      <c r="BV56" s="91"/>
      <c r="BW56" s="91"/>
      <c r="BX56" s="91"/>
      <c r="BY56" s="91"/>
      <c r="BZ56" s="91"/>
      <c r="CA56" s="91"/>
      <c r="CB56" s="91"/>
      <c r="CC56" s="91"/>
      <c r="CD56" s="91"/>
      <c r="CE56" s="91"/>
      <c r="CF56" s="91"/>
      <c r="CG56" s="91"/>
      <c r="CH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91"/>
      <c r="CV56" s="91"/>
      <c r="CW56" s="758"/>
      <c r="CX56" s="884"/>
      <c r="CY56" s="884"/>
      <c r="CZ56" s="884"/>
      <c r="DA56" s="884"/>
      <c r="DB56" s="884"/>
      <c r="DC56" s="884"/>
      <c r="DD56" s="884"/>
      <c r="DE56" s="884"/>
      <c r="DF56" s="884"/>
      <c r="DG56" s="884"/>
      <c r="DH56" s="884"/>
      <c r="DI56" s="884"/>
      <c r="DJ56" s="91"/>
      <c r="DK56" s="948"/>
      <c r="DL56" s="884"/>
      <c r="DM56" s="884"/>
      <c r="DN56" s="884"/>
      <c r="DO56" s="884"/>
      <c r="DP56" s="884"/>
      <c r="DQ56" s="884"/>
      <c r="DR56" s="884"/>
      <c r="DS56" s="884"/>
      <c r="DT56" s="884"/>
      <c r="DU56" s="884"/>
      <c r="DV56" s="884"/>
      <c r="DW56" s="884"/>
      <c r="DX56" s="91"/>
    </row>
    <row r="57" spans="1:128" ht="15" hidden="1" customHeight="1" outlineLevel="1">
      <c r="A57" s="95"/>
      <c r="B57" s="924"/>
      <c r="C57" s="926"/>
      <c r="D57" s="421"/>
      <c r="E57" s="422"/>
      <c r="F57" s="422"/>
      <c r="G57" s="422"/>
      <c r="H57" s="422"/>
      <c r="I57" s="422"/>
      <c r="J57" s="422"/>
      <c r="K57" s="422"/>
      <c r="L57" s="422"/>
      <c r="M57" s="422"/>
      <c r="N57" s="422"/>
      <c r="O57" s="422"/>
      <c r="P57" s="423"/>
      <c r="Q57" s="424"/>
      <c r="R57" s="421"/>
      <c r="S57" s="425"/>
      <c r="T57" s="425"/>
      <c r="U57" s="425"/>
      <c r="V57" s="425"/>
      <c r="W57" s="425"/>
      <c r="X57" s="425"/>
      <c r="Y57" s="425"/>
      <c r="Z57" s="425"/>
      <c r="AA57" s="425"/>
      <c r="AB57" s="425"/>
      <c r="AC57" s="425"/>
      <c r="AD57" s="426"/>
      <c r="AE57" s="427"/>
      <c r="AF57" s="428">
        <v>0</v>
      </c>
      <c r="AG57" s="425">
        <v>0</v>
      </c>
      <c r="AH57" s="425">
        <v>0</v>
      </c>
      <c r="AI57" s="425">
        <v>0</v>
      </c>
      <c r="AJ57" s="425">
        <v>0</v>
      </c>
      <c r="AK57" s="425">
        <v>0</v>
      </c>
      <c r="AL57" s="425">
        <v>2500</v>
      </c>
      <c r="AM57" s="425">
        <v>2000</v>
      </c>
      <c r="AN57" s="425">
        <v>500</v>
      </c>
      <c r="AO57" s="425">
        <v>600</v>
      </c>
      <c r="AP57" s="425">
        <v>660</v>
      </c>
      <c r="AQ57" s="425">
        <v>960</v>
      </c>
      <c r="AR57" s="429">
        <f t="shared" si="74"/>
        <v>7220</v>
      </c>
      <c r="AS57" s="23"/>
      <c r="AT57" s="425">
        <v>1518</v>
      </c>
      <c r="AU57" s="425">
        <v>1518</v>
      </c>
      <c r="AV57" s="425">
        <v>1518</v>
      </c>
      <c r="AW57" s="425">
        <v>1518</v>
      </c>
      <c r="AX57" s="317">
        <v>1943</v>
      </c>
      <c r="AY57" s="317">
        <v>1943</v>
      </c>
      <c r="AZ57" s="317">
        <v>1854</v>
      </c>
      <c r="BA57" s="317">
        <v>1854</v>
      </c>
      <c r="BB57" s="317">
        <v>1943</v>
      </c>
      <c r="BC57" s="317">
        <v>2296</v>
      </c>
      <c r="BD57" s="317">
        <v>2472</v>
      </c>
      <c r="BE57" s="317">
        <v>3532</v>
      </c>
      <c r="BF57" s="425">
        <f t="shared" si="75"/>
        <v>23909</v>
      </c>
      <c r="BG57" s="93">
        <f t="shared" si="76"/>
        <v>2.3114958448753464</v>
      </c>
      <c r="BH57" s="425"/>
      <c r="BI57" s="425"/>
      <c r="BJ57" s="425"/>
      <c r="BK57" s="425"/>
      <c r="BL57" s="91"/>
      <c r="BM57" s="91"/>
      <c r="BN57" s="91"/>
      <c r="BO57" s="91"/>
      <c r="BP57" s="91"/>
      <c r="BQ57" s="91"/>
      <c r="BR57" s="91"/>
      <c r="BS57" s="91"/>
      <c r="BT57" s="91"/>
      <c r="BU57" s="54"/>
      <c r="BV57" s="425"/>
      <c r="BW57" s="425"/>
      <c r="BX57" s="425"/>
      <c r="BY57" s="425"/>
      <c r="BZ57" s="91"/>
      <c r="CA57" s="91"/>
      <c r="CB57" s="91"/>
      <c r="CC57" s="91"/>
      <c r="CD57" s="91"/>
      <c r="CE57" s="91"/>
      <c r="CF57" s="91"/>
      <c r="CG57" s="91"/>
      <c r="CH57" s="91"/>
      <c r="CJ57" s="425"/>
      <c r="CK57" s="425"/>
      <c r="CL57" s="425"/>
      <c r="CM57" s="425"/>
      <c r="CN57" s="91"/>
      <c r="CO57" s="91"/>
      <c r="CP57" s="91"/>
      <c r="CQ57" s="91"/>
      <c r="CR57" s="91"/>
      <c r="CS57" s="91"/>
      <c r="CT57" s="91"/>
      <c r="CU57" s="91"/>
      <c r="CV57" s="91"/>
      <c r="CW57" s="758"/>
      <c r="CX57" s="885"/>
      <c r="CY57" s="885"/>
      <c r="CZ57" s="885"/>
      <c r="DA57" s="885"/>
      <c r="DB57" s="884"/>
      <c r="DC57" s="884"/>
      <c r="DD57" s="884"/>
      <c r="DE57" s="884"/>
      <c r="DF57" s="884"/>
      <c r="DG57" s="884"/>
      <c r="DH57" s="884"/>
      <c r="DI57" s="884"/>
      <c r="DJ57" s="91"/>
      <c r="DK57" s="948"/>
      <c r="DL57" s="885"/>
      <c r="DM57" s="885"/>
      <c r="DN57" s="885"/>
      <c r="DO57" s="885"/>
      <c r="DP57" s="884"/>
      <c r="DQ57" s="884"/>
      <c r="DR57" s="884"/>
      <c r="DS57" s="884"/>
      <c r="DT57" s="884"/>
      <c r="DU57" s="884"/>
      <c r="DV57" s="884"/>
      <c r="DW57" s="884"/>
      <c r="DX57" s="91"/>
    </row>
    <row r="58" spans="1:128" ht="15" hidden="1" customHeight="1" outlineLevel="1">
      <c r="A58" s="434"/>
      <c r="B58" s="1075"/>
      <c r="C58" s="1076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6"/>
      <c r="AF58" s="437">
        <v>0</v>
      </c>
      <c r="AG58" s="437">
        <v>0</v>
      </c>
      <c r="AH58" s="437">
        <v>0</v>
      </c>
      <c r="AI58" s="437">
        <v>0</v>
      </c>
      <c r="AJ58" s="437">
        <v>0</v>
      </c>
      <c r="AK58" s="437">
        <v>0</v>
      </c>
      <c r="AL58" s="437">
        <v>0</v>
      </c>
      <c r="AM58" s="437">
        <v>0</v>
      </c>
      <c r="AN58" s="437">
        <v>0</v>
      </c>
      <c r="AO58" s="437">
        <v>0</v>
      </c>
      <c r="AP58" s="437">
        <v>0</v>
      </c>
      <c r="AQ58" s="437">
        <v>0</v>
      </c>
      <c r="AR58" s="438">
        <f t="shared" si="74"/>
        <v>0</v>
      </c>
      <c r="AS58" s="322"/>
      <c r="AT58" s="437">
        <v>0</v>
      </c>
      <c r="AU58" s="437">
        <v>0</v>
      </c>
      <c r="AV58" s="437">
        <v>0</v>
      </c>
      <c r="AW58" s="437">
        <v>0</v>
      </c>
      <c r="AX58" s="439">
        <v>800</v>
      </c>
      <c r="AY58" s="317">
        <v>800</v>
      </c>
      <c r="AZ58" s="317">
        <v>800</v>
      </c>
      <c r="BA58" s="317">
        <v>1050</v>
      </c>
      <c r="BB58" s="317">
        <v>1100</v>
      </c>
      <c r="BC58" s="317">
        <v>1300</v>
      </c>
      <c r="BD58" s="317">
        <v>1400</v>
      </c>
      <c r="BE58" s="440">
        <v>2000</v>
      </c>
      <c r="BF58" s="437">
        <f t="shared" si="75"/>
        <v>9250</v>
      </c>
      <c r="BG58" s="325" t="e">
        <f t="shared" si="76"/>
        <v>#DIV/0!</v>
      </c>
      <c r="BH58" s="437"/>
      <c r="BI58" s="437"/>
      <c r="BJ58" s="437"/>
      <c r="BK58" s="437"/>
      <c r="BL58" s="439"/>
      <c r="BM58" s="317"/>
      <c r="BN58" s="317"/>
      <c r="BO58" s="317"/>
      <c r="BP58" s="317"/>
      <c r="BQ58" s="317"/>
      <c r="BR58" s="317"/>
      <c r="BS58" s="317"/>
      <c r="BT58" s="317"/>
      <c r="BU58" s="326"/>
      <c r="BV58" s="443"/>
      <c r="BW58" s="443"/>
      <c r="BX58" s="443"/>
      <c r="BY58" s="443"/>
      <c r="BZ58" s="444"/>
      <c r="CA58" s="317"/>
      <c r="CB58" s="317"/>
      <c r="CC58" s="317"/>
      <c r="CD58" s="317"/>
      <c r="CE58" s="317"/>
      <c r="CF58" s="317"/>
      <c r="CG58" s="317"/>
      <c r="CH58" s="317"/>
      <c r="CJ58" s="443"/>
      <c r="CK58" s="443"/>
      <c r="CL58" s="443"/>
      <c r="CM58" s="443"/>
      <c r="CN58" s="444"/>
      <c r="CO58" s="317"/>
      <c r="CP58" s="317"/>
      <c r="CQ58" s="317"/>
      <c r="CR58" s="317"/>
      <c r="CS58" s="317"/>
      <c r="CT58" s="317"/>
      <c r="CU58" s="317"/>
      <c r="CV58" s="317"/>
      <c r="CW58" s="758"/>
      <c r="CX58" s="886"/>
      <c r="CY58" s="886"/>
      <c r="CZ58" s="886"/>
      <c r="DA58" s="886"/>
      <c r="DB58" s="887"/>
      <c r="DC58" s="888"/>
      <c r="DD58" s="888"/>
      <c r="DE58" s="888"/>
      <c r="DF58" s="888"/>
      <c r="DG58" s="888"/>
      <c r="DH58" s="888"/>
      <c r="DI58" s="888"/>
      <c r="DJ58" s="317"/>
      <c r="DK58" s="948"/>
      <c r="DL58" s="886"/>
      <c r="DM58" s="886"/>
      <c r="DN58" s="886"/>
      <c r="DO58" s="886"/>
      <c r="DP58" s="887"/>
      <c r="DQ58" s="888"/>
      <c r="DR58" s="888"/>
      <c r="DS58" s="888"/>
      <c r="DT58" s="888"/>
      <c r="DU58" s="888"/>
      <c r="DV58" s="888"/>
      <c r="DW58" s="888"/>
      <c r="DX58" s="317"/>
    </row>
    <row r="59" spans="1:128" ht="15" hidden="1" customHeight="1" outlineLevel="1">
      <c r="A59" s="430"/>
      <c r="B59" s="927"/>
      <c r="C59" s="928"/>
      <c r="D59" s="424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32"/>
      <c r="T59" s="432"/>
      <c r="U59" s="432"/>
      <c r="V59" s="432"/>
      <c r="W59" s="432"/>
      <c r="X59" s="432"/>
      <c r="Y59" s="432"/>
      <c r="Z59" s="432"/>
      <c r="AA59" s="432"/>
      <c r="AB59" s="432"/>
      <c r="AC59" s="432"/>
      <c r="AD59" s="432"/>
      <c r="AE59" s="427"/>
      <c r="AF59" s="432"/>
      <c r="AG59" s="432"/>
      <c r="AH59" s="432"/>
      <c r="AI59" s="432"/>
      <c r="AJ59" s="432"/>
      <c r="AK59" s="432"/>
      <c r="AL59" s="432"/>
      <c r="AM59" s="432"/>
      <c r="AN59" s="432"/>
      <c r="AO59" s="432"/>
      <c r="AP59" s="432"/>
      <c r="AQ59" s="432"/>
      <c r="AR59" s="433"/>
      <c r="AS59" s="23"/>
      <c r="AT59" s="97"/>
      <c r="AU59" s="97"/>
      <c r="AV59" s="97"/>
      <c r="AW59" s="97"/>
      <c r="AX59" s="91"/>
      <c r="AY59" s="91"/>
      <c r="AZ59" s="91"/>
      <c r="BA59" s="91"/>
      <c r="BB59" s="91"/>
      <c r="BC59" s="91"/>
      <c r="BD59" s="91">
        <v>600</v>
      </c>
      <c r="BE59" s="315">
        <v>700</v>
      </c>
      <c r="BF59" s="437">
        <f t="shared" si="75"/>
        <v>1300</v>
      </c>
      <c r="BG59" s="93"/>
      <c r="BH59" s="442"/>
      <c r="BI59" s="442"/>
      <c r="BJ59" s="442"/>
      <c r="BK59" s="442"/>
      <c r="BL59" s="316"/>
      <c r="BM59" s="91"/>
      <c r="BN59" s="91"/>
      <c r="BO59" s="91"/>
      <c r="BP59" s="91"/>
      <c r="BQ59" s="91"/>
      <c r="BR59" s="91"/>
      <c r="BS59" s="91"/>
      <c r="BT59" s="91"/>
      <c r="BU59" s="54"/>
      <c r="BV59" s="442"/>
      <c r="BW59" s="442"/>
      <c r="BX59" s="442"/>
      <c r="BY59" s="442"/>
      <c r="BZ59" s="442"/>
      <c r="CA59" s="316"/>
      <c r="CB59" s="91">
        <v>60</v>
      </c>
      <c r="CC59" s="91"/>
      <c r="CD59" s="91"/>
      <c r="CE59" s="91"/>
      <c r="CF59" s="91"/>
      <c r="CG59" s="91"/>
      <c r="CH59" s="91"/>
      <c r="CJ59" s="708">
        <f>(CJ61-CJ60)/CJ60</f>
        <v>0.03</v>
      </c>
      <c r="CK59" s="708">
        <f t="shared" ref="CK59:CU59" si="81">(CK61-CK60)/CK60</f>
        <v>3.0000000000000079E-2</v>
      </c>
      <c r="CL59" s="708">
        <f t="shared" si="81"/>
        <v>3.0000000000000058E-2</v>
      </c>
      <c r="CM59" s="708">
        <f t="shared" si="81"/>
        <v>3.0000000000000034E-2</v>
      </c>
      <c r="CN59" s="708">
        <f t="shared" si="81"/>
        <v>3.000000000000011E-2</v>
      </c>
      <c r="CO59" s="708">
        <f t="shared" si="81"/>
        <v>3.000000000000012E-2</v>
      </c>
      <c r="CP59" s="708">
        <f t="shared" si="81"/>
        <v>3.0000000000000113E-2</v>
      </c>
      <c r="CQ59" s="708">
        <f t="shared" si="81"/>
        <v>3.0000000000000127E-2</v>
      </c>
      <c r="CR59" s="708">
        <f t="shared" si="81"/>
        <v>3.0000000000000068E-2</v>
      </c>
      <c r="CS59" s="708">
        <f t="shared" si="81"/>
        <v>2.9999999999999982E-2</v>
      </c>
      <c r="CT59" s="708">
        <f t="shared" si="81"/>
        <v>2.9999999999999961E-2</v>
      </c>
      <c r="CU59" s="708">
        <f t="shared" si="81"/>
        <v>0.03</v>
      </c>
      <c r="CV59" s="91"/>
      <c r="CW59" s="758"/>
      <c r="CX59" s="889"/>
      <c r="CY59" s="889"/>
      <c r="CZ59" s="889"/>
      <c r="DA59" s="889"/>
      <c r="DB59" s="889"/>
      <c r="DC59" s="890"/>
      <c r="DD59" s="884"/>
      <c r="DE59" s="884"/>
      <c r="DF59" s="884"/>
      <c r="DG59" s="884"/>
      <c r="DH59" s="884"/>
      <c r="DI59" s="884"/>
      <c r="DJ59" s="91"/>
      <c r="DK59" s="948"/>
      <c r="DL59" s="889"/>
      <c r="DM59" s="889"/>
      <c r="DN59" s="889"/>
      <c r="DO59" s="889"/>
      <c r="DP59" s="889"/>
      <c r="DQ59" s="890"/>
      <c r="DR59" s="884"/>
      <c r="DS59" s="884"/>
      <c r="DT59" s="884"/>
      <c r="DU59" s="884"/>
      <c r="DV59" s="884"/>
      <c r="DW59" s="884"/>
      <c r="DX59" s="91"/>
    </row>
    <row r="60" spans="1:128" ht="15" hidden="1" customHeight="1" outlineLevel="1">
      <c r="A60" s="95"/>
      <c r="B60" s="924" t="s">
        <v>71</v>
      </c>
      <c r="C60" s="922"/>
      <c r="D60" s="313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314">
        <f t="shared" ref="P60:P61" si="82">SUM(D60:O60)</f>
        <v>0</v>
      </c>
      <c r="Q60" s="90"/>
      <c r="R60" s="313">
        <v>350</v>
      </c>
      <c r="S60" s="91">
        <v>350</v>
      </c>
      <c r="T60" s="91">
        <v>450</v>
      </c>
      <c r="U60" s="91">
        <v>800</v>
      </c>
      <c r="V60" s="91">
        <v>531</v>
      </c>
      <c r="W60" s="91">
        <v>750</v>
      </c>
      <c r="X60" s="91">
        <v>650</v>
      </c>
      <c r="Y60" s="91">
        <v>750</v>
      </c>
      <c r="Z60" s="91">
        <v>900</v>
      </c>
      <c r="AA60" s="91">
        <v>1000</v>
      </c>
      <c r="AB60" s="91">
        <v>1200</v>
      </c>
      <c r="AC60" s="91">
        <v>1500</v>
      </c>
      <c r="AD60" s="315">
        <f t="shared" ref="AD60:AD61" si="83">SUM(R60:AC60)</f>
        <v>9231</v>
      </c>
      <c r="AE60" s="23"/>
      <c r="AF60" s="316">
        <v>1500</v>
      </c>
      <c r="AG60" s="91">
        <v>800</v>
      </c>
      <c r="AH60" s="91">
        <v>800</v>
      </c>
      <c r="AI60" s="91">
        <v>1820</v>
      </c>
      <c r="AJ60" s="91">
        <v>1630</v>
      </c>
      <c r="AK60" s="91">
        <v>1360</v>
      </c>
      <c r="AL60" s="91">
        <v>1000</v>
      </c>
      <c r="AM60" s="91">
        <v>1700</v>
      </c>
      <c r="AN60" s="91">
        <v>1700</v>
      </c>
      <c r="AO60" s="91">
        <v>1700</v>
      </c>
      <c r="AP60" s="91">
        <v>1870</v>
      </c>
      <c r="AQ60" s="91">
        <v>2720</v>
      </c>
      <c r="AR60" s="92">
        <f t="shared" ref="AR60:AR61" si="84">SUM(AF60:AQ60)</f>
        <v>18600</v>
      </c>
      <c r="AS60" s="23"/>
      <c r="AT60" s="91">
        <v>2053</v>
      </c>
      <c r="AU60" s="91">
        <v>2053</v>
      </c>
      <c r="AV60" s="91">
        <v>2053</v>
      </c>
      <c r="AW60" s="91">
        <v>2053</v>
      </c>
      <c r="AX60" s="91">
        <v>2807</v>
      </c>
      <c r="AY60" s="91">
        <v>2807</v>
      </c>
      <c r="AZ60" s="91">
        <v>2680</v>
      </c>
      <c r="BA60" s="91">
        <v>2680</v>
      </c>
      <c r="BB60" s="91">
        <v>2807</v>
      </c>
      <c r="BC60" s="91">
        <v>3318</v>
      </c>
      <c r="BD60" s="91">
        <v>5870</v>
      </c>
      <c r="BE60" s="91">
        <v>5104</v>
      </c>
      <c r="BF60" s="441">
        <f t="shared" si="75"/>
        <v>36285</v>
      </c>
      <c r="BG60" s="93">
        <f>BF60/AR60-1</f>
        <v>0.95080645161290334</v>
      </c>
      <c r="BH60" s="441"/>
      <c r="BI60" s="441"/>
      <c r="BJ60" s="441"/>
      <c r="BK60" s="441"/>
      <c r="BL60" s="91"/>
      <c r="BM60" s="91"/>
      <c r="BN60" s="91"/>
      <c r="BO60" s="91"/>
      <c r="BP60" s="91"/>
      <c r="BQ60" s="91"/>
      <c r="BR60" s="91"/>
      <c r="BS60" s="91"/>
      <c r="BT60" s="91">
        <f>SUM(BH60:BS60)</f>
        <v>0</v>
      </c>
      <c r="BU60" s="54"/>
      <c r="BV60" s="441"/>
      <c r="BW60" s="441"/>
      <c r="BX60" s="441"/>
      <c r="BY60" s="441"/>
      <c r="BZ60" s="441"/>
      <c r="CA60" s="91"/>
      <c r="CB60" s="91"/>
      <c r="CC60" s="91"/>
      <c r="CD60" s="91"/>
      <c r="CE60" s="91"/>
      <c r="CF60" s="91"/>
      <c r="CG60" s="91"/>
      <c r="CH60" s="91"/>
      <c r="CJ60" s="441">
        <f>BV70</f>
        <v>38900</v>
      </c>
      <c r="CK60" s="441">
        <f t="shared" ref="CK60:CU60" si="85">BW70</f>
        <v>31376</v>
      </c>
      <c r="CL60" s="441">
        <f t="shared" si="85"/>
        <v>29886</v>
      </c>
      <c r="CM60" s="441">
        <f t="shared" si="85"/>
        <v>30671</v>
      </c>
      <c r="CN60" s="441">
        <f t="shared" si="85"/>
        <v>34553</v>
      </c>
      <c r="CO60" s="441">
        <f t="shared" si="85"/>
        <v>36515</v>
      </c>
      <c r="CP60" s="441">
        <f t="shared" si="85"/>
        <v>38915</v>
      </c>
      <c r="CQ60" s="441">
        <f t="shared" si="85"/>
        <v>34615</v>
      </c>
      <c r="CR60" s="441">
        <f t="shared" si="85"/>
        <v>29617</v>
      </c>
      <c r="CS60" s="441">
        <f t="shared" si="85"/>
        <v>34538</v>
      </c>
      <c r="CT60" s="441">
        <f t="shared" si="85"/>
        <v>45914</v>
      </c>
      <c r="CU60" s="441">
        <f t="shared" si="85"/>
        <v>60875</v>
      </c>
      <c r="CV60" s="91"/>
      <c r="CW60" s="758"/>
      <c r="CX60" s="891"/>
      <c r="CY60" s="891"/>
      <c r="CZ60" s="891"/>
      <c r="DA60" s="891"/>
      <c r="DB60" s="891"/>
      <c r="DC60" s="884"/>
      <c r="DD60" s="884"/>
      <c r="DE60" s="884"/>
      <c r="DF60" s="884"/>
      <c r="DG60" s="884"/>
      <c r="DH60" s="884"/>
      <c r="DI60" s="884"/>
      <c r="DJ60" s="91"/>
      <c r="DK60" s="948"/>
      <c r="DL60" s="891"/>
      <c r="DM60" s="891"/>
      <c r="DN60" s="891"/>
      <c r="DO60" s="891"/>
      <c r="DP60" s="891"/>
      <c r="DQ60" s="884"/>
      <c r="DR60" s="884"/>
      <c r="DS60" s="884"/>
      <c r="DT60" s="884"/>
      <c r="DU60" s="884"/>
      <c r="DV60" s="884"/>
      <c r="DW60" s="884"/>
      <c r="DX60" s="91"/>
    </row>
    <row r="61" spans="1:128" ht="18.75" hidden="1" collapsed="1">
      <c r="A61" s="55"/>
      <c r="B61" s="56" t="s">
        <v>123</v>
      </c>
      <c r="C61" s="753"/>
      <c r="D61" s="288">
        <f t="shared" ref="D61:O61" si="86">SUM(D40:D60)</f>
        <v>0</v>
      </c>
      <c r="E61" s="57">
        <f t="shared" si="86"/>
        <v>0</v>
      </c>
      <c r="F61" s="57">
        <f t="shared" si="86"/>
        <v>0</v>
      </c>
      <c r="G61" s="57">
        <f t="shared" si="86"/>
        <v>0</v>
      </c>
      <c r="H61" s="57">
        <f t="shared" si="86"/>
        <v>0</v>
      </c>
      <c r="I61" s="57">
        <f t="shared" si="86"/>
        <v>0</v>
      </c>
      <c r="J61" s="57">
        <f t="shared" si="86"/>
        <v>0</v>
      </c>
      <c r="K61" s="57">
        <f t="shared" si="86"/>
        <v>0</v>
      </c>
      <c r="L61" s="57">
        <f t="shared" si="86"/>
        <v>0</v>
      </c>
      <c r="M61" s="57">
        <f t="shared" si="86"/>
        <v>0</v>
      </c>
      <c r="N61" s="57">
        <f t="shared" si="86"/>
        <v>0</v>
      </c>
      <c r="O61" s="57">
        <f t="shared" si="86"/>
        <v>0</v>
      </c>
      <c r="P61" s="289">
        <f t="shared" si="82"/>
        <v>0</v>
      </c>
      <c r="Q61" s="39"/>
      <c r="R61" s="288">
        <f t="shared" ref="R61:AC61" si="87">SUM(R40:R60)</f>
        <v>20557.543859649122</v>
      </c>
      <c r="S61" s="58">
        <f t="shared" si="87"/>
        <v>20512.543859649122</v>
      </c>
      <c r="T61" s="58">
        <f t="shared" si="87"/>
        <v>13699.771929824561</v>
      </c>
      <c r="U61" s="58">
        <f t="shared" si="87"/>
        <v>912.5</v>
      </c>
      <c r="V61" s="58">
        <f t="shared" si="87"/>
        <v>16851</v>
      </c>
      <c r="W61" s="290">
        <f t="shared" si="87"/>
        <v>13700</v>
      </c>
      <c r="X61" s="290">
        <f t="shared" si="87"/>
        <v>26050</v>
      </c>
      <c r="Y61" s="290">
        <f t="shared" si="87"/>
        <v>27750</v>
      </c>
      <c r="Z61" s="290">
        <f t="shared" si="87"/>
        <v>31100</v>
      </c>
      <c r="AA61" s="290">
        <f t="shared" si="87"/>
        <v>32100</v>
      </c>
      <c r="AB61" s="290">
        <f t="shared" si="87"/>
        <v>37500</v>
      </c>
      <c r="AC61" s="290">
        <f t="shared" si="87"/>
        <v>45300</v>
      </c>
      <c r="AD61" s="291">
        <f t="shared" si="83"/>
        <v>286033.35964912281</v>
      </c>
      <c r="AE61" s="59"/>
      <c r="AF61" s="292">
        <f>SUM(AF40:AF60)</f>
        <v>38500</v>
      </c>
      <c r="AG61" s="58">
        <f t="shared" ref="AG61:AQ61" si="88">SUM(AG40:AG60)</f>
        <v>22400</v>
      </c>
      <c r="AH61" s="58">
        <f t="shared" si="88"/>
        <v>10671</v>
      </c>
      <c r="AI61" s="58">
        <f t="shared" si="88"/>
        <v>16097</v>
      </c>
      <c r="AJ61" s="58">
        <f t="shared" si="88"/>
        <v>30278</v>
      </c>
      <c r="AK61" s="58">
        <f t="shared" si="88"/>
        <v>28560</v>
      </c>
      <c r="AL61" s="58">
        <f t="shared" si="88"/>
        <v>41700</v>
      </c>
      <c r="AM61" s="58">
        <f t="shared" si="88"/>
        <v>38700</v>
      </c>
      <c r="AN61" s="58">
        <f t="shared" si="88"/>
        <v>37300</v>
      </c>
      <c r="AO61" s="58">
        <f t="shared" si="88"/>
        <v>37400</v>
      </c>
      <c r="AP61" s="58">
        <f t="shared" si="88"/>
        <v>40640</v>
      </c>
      <c r="AQ61" s="58">
        <f t="shared" si="88"/>
        <v>54440</v>
      </c>
      <c r="AR61" s="58">
        <f t="shared" si="84"/>
        <v>396686</v>
      </c>
      <c r="AS61" s="59"/>
      <c r="AT61" s="58">
        <f t="shared" ref="AT61:BE61" si="89">SUM(AT40:AT60)</f>
        <v>36153</v>
      </c>
      <c r="AU61" s="58">
        <f>SUM(AU40:AU60)</f>
        <v>35289</v>
      </c>
      <c r="AV61" s="58">
        <f t="shared" si="89"/>
        <v>35872</v>
      </c>
      <c r="AW61" s="58">
        <f t="shared" si="89"/>
        <v>38031</v>
      </c>
      <c r="AX61" s="58">
        <f t="shared" si="89"/>
        <v>33566</v>
      </c>
      <c r="AY61" s="58">
        <f t="shared" si="89"/>
        <v>33566</v>
      </c>
      <c r="AZ61" s="58">
        <f t="shared" si="89"/>
        <v>30896</v>
      </c>
      <c r="BA61" s="58">
        <f t="shared" si="89"/>
        <v>31146</v>
      </c>
      <c r="BB61" s="58">
        <f t="shared" si="89"/>
        <v>32630</v>
      </c>
      <c r="BC61" s="58">
        <f t="shared" si="89"/>
        <v>38562</v>
      </c>
      <c r="BD61" s="58">
        <f t="shared" si="89"/>
        <v>41345</v>
      </c>
      <c r="BE61" s="58">
        <f t="shared" si="89"/>
        <v>49263</v>
      </c>
      <c r="BF61" s="58">
        <f>SUM(AT61:BE61)</f>
        <v>436319</v>
      </c>
      <c r="BG61" s="59">
        <f>BF61-AR61</f>
        <v>39633</v>
      </c>
      <c r="BH61" s="58">
        <v>36153</v>
      </c>
      <c r="BI61" s="58">
        <v>35289</v>
      </c>
      <c r="BJ61" s="58">
        <v>35872</v>
      </c>
      <c r="BK61" s="58">
        <v>38031</v>
      </c>
      <c r="BL61" s="58">
        <v>38570</v>
      </c>
      <c r="BM61" s="58">
        <v>39227</v>
      </c>
      <c r="BN61" s="58">
        <v>41128</v>
      </c>
      <c r="BO61" s="58">
        <v>38191</v>
      </c>
      <c r="BP61" s="58">
        <v>38191</v>
      </c>
      <c r="BQ61" s="58">
        <v>40225</v>
      </c>
      <c r="BR61" s="58">
        <v>43272</v>
      </c>
      <c r="BS61" s="58">
        <v>60327</v>
      </c>
      <c r="BT61" s="58">
        <f t="shared" ref="BT61:BT65" si="90">SUM(BH61:BS61)</f>
        <v>484476</v>
      </c>
      <c r="BU61" s="60"/>
      <c r="BV61" s="58">
        <f>SUM(BV40:BV57)</f>
        <v>35797.912472643162</v>
      </c>
      <c r="BW61" s="58">
        <f t="shared" ref="BW61:CG61" si="91">SUM(BW40:BW57)</f>
        <v>27268.538792847521</v>
      </c>
      <c r="BX61" s="58">
        <f t="shared" si="91"/>
        <v>34357.668832234456</v>
      </c>
      <c r="BY61" s="58">
        <f t="shared" si="91"/>
        <v>29626.958292847525</v>
      </c>
      <c r="BZ61" s="58">
        <f t="shared" si="91"/>
        <v>34139.121332234456</v>
      </c>
      <c r="CA61" s="58">
        <f t="shared" si="91"/>
        <v>39503.881972643161</v>
      </c>
      <c r="CB61" s="58">
        <f t="shared" si="91"/>
        <v>45728.836911008315</v>
      </c>
      <c r="CC61" s="58">
        <f t="shared" si="91"/>
        <v>32260.226972643166</v>
      </c>
      <c r="CD61" s="58">
        <f t="shared" si="91"/>
        <v>33331.522972643164</v>
      </c>
      <c r="CE61" s="58">
        <f t="shared" si="91"/>
        <v>35213.881472643166</v>
      </c>
      <c r="CF61" s="58">
        <f t="shared" si="91"/>
        <v>46168.878068556034</v>
      </c>
      <c r="CG61" s="58">
        <f t="shared" si="91"/>
        <v>57905.502691825735</v>
      </c>
      <c r="CH61" s="58">
        <f>SUM(BV61:CG61)</f>
        <v>451302.93078476982</v>
      </c>
      <c r="CI61" s="395">
        <f>(CH61-BT70)/BT70</f>
        <v>5.1833718555945915E-2</v>
      </c>
      <c r="CJ61" s="58">
        <f>BV70*1.03</f>
        <v>40067</v>
      </c>
      <c r="CK61" s="58">
        <f t="shared" ref="CK61:CU61" si="92">BW70*1.03</f>
        <v>32317.280000000002</v>
      </c>
      <c r="CL61" s="58">
        <f t="shared" si="92"/>
        <v>30782.58</v>
      </c>
      <c r="CM61" s="58">
        <f>BY70*1.03</f>
        <v>31591.13</v>
      </c>
      <c r="CN61" s="58">
        <f t="shared" si="92"/>
        <v>35589.590000000004</v>
      </c>
      <c r="CO61" s="58">
        <f t="shared" si="92"/>
        <v>37610.450000000004</v>
      </c>
      <c r="CP61" s="58">
        <f t="shared" si="92"/>
        <v>40082.450000000004</v>
      </c>
      <c r="CQ61" s="58">
        <f t="shared" si="92"/>
        <v>35653.450000000004</v>
      </c>
      <c r="CR61" s="58">
        <f t="shared" si="92"/>
        <v>30505.510000000002</v>
      </c>
      <c r="CS61" s="58">
        <f>CE70*1.03</f>
        <v>35574.14</v>
      </c>
      <c r="CT61" s="58">
        <f t="shared" si="92"/>
        <v>47291.42</v>
      </c>
      <c r="CU61" s="58">
        <f t="shared" si="92"/>
        <v>62701.25</v>
      </c>
      <c r="CV61" s="58">
        <f>SUM(CJ61:CU61)</f>
        <v>459766.25</v>
      </c>
      <c r="CW61" s="758"/>
      <c r="CX61" s="880">
        <v>25453.360000000001</v>
      </c>
      <c r="CY61" s="880">
        <v>21658.84</v>
      </c>
      <c r="CZ61" s="880">
        <v>25209.25</v>
      </c>
      <c r="DA61" s="880">
        <v>27828.54</v>
      </c>
      <c r="DB61" s="880">
        <v>32049.480000000003</v>
      </c>
      <c r="DC61" s="880">
        <v>32772.54</v>
      </c>
      <c r="DD61" s="880">
        <v>34046.649999999994</v>
      </c>
      <c r="DE61" s="880">
        <v>30567.31</v>
      </c>
      <c r="DF61" s="880">
        <v>29170.629999999997</v>
      </c>
      <c r="DG61" s="880">
        <v>33460.786</v>
      </c>
      <c r="DH61" s="880">
        <v>40405.437400000003</v>
      </c>
      <c r="DI61" s="880">
        <v>57291.782700000003</v>
      </c>
      <c r="DJ61" s="58">
        <f>SUM(CX61:DI61)</f>
        <v>389914.60609999998</v>
      </c>
      <c r="DK61" s="948"/>
      <c r="DL61" s="880">
        <v>25453.360000000001</v>
      </c>
      <c r="DM61" s="880">
        <v>21658.84</v>
      </c>
      <c r="DN61" s="880">
        <v>25209.25</v>
      </c>
      <c r="DO61" s="880">
        <v>27828.54</v>
      </c>
      <c r="DP61" s="880">
        <v>32049.480000000003</v>
      </c>
      <c r="DQ61" s="880">
        <v>32772.54</v>
      </c>
      <c r="DR61" s="880">
        <v>34046.649999999994</v>
      </c>
      <c r="DS61" s="880">
        <v>30567.31</v>
      </c>
      <c r="DT61" s="880">
        <v>29170.629999999997</v>
      </c>
      <c r="DU61" s="880">
        <v>33460.786</v>
      </c>
      <c r="DV61" s="880">
        <v>40405.437400000003</v>
      </c>
      <c r="DW61" s="880">
        <v>57291.782700000003</v>
      </c>
      <c r="DX61" s="58">
        <f>SUM(DL61:DW61)</f>
        <v>389914.60609999998</v>
      </c>
    </row>
    <row r="62" spans="1:128" ht="18.75" hidden="1">
      <c r="A62" s="99"/>
      <c r="B62" s="929" t="s">
        <v>73</v>
      </c>
      <c r="C62" s="930"/>
      <c r="D62" s="301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302"/>
      <c r="Q62" s="74"/>
      <c r="R62" s="301"/>
      <c r="S62" s="69"/>
      <c r="T62" s="69"/>
      <c r="U62" s="69"/>
      <c r="V62" s="303"/>
      <c r="W62" s="304"/>
      <c r="X62" s="304"/>
      <c r="Y62" s="304"/>
      <c r="Z62" s="304"/>
      <c r="AA62" s="304"/>
      <c r="AB62" s="304"/>
      <c r="AC62" s="75"/>
      <c r="AD62" s="76"/>
      <c r="AE62" s="77"/>
      <c r="AF62" s="305"/>
      <c r="AG62" s="69"/>
      <c r="AH62" s="69"/>
      <c r="AI62" s="69"/>
      <c r="AJ62" s="303"/>
      <c r="AK62" s="303"/>
      <c r="AL62" s="303"/>
      <c r="AM62" s="303"/>
      <c r="AN62" s="69"/>
      <c r="AO62" s="69"/>
      <c r="AP62" s="69"/>
      <c r="AQ62" s="69"/>
      <c r="AR62" s="306"/>
      <c r="AS62" s="77"/>
      <c r="AT62" s="69"/>
      <c r="AU62" s="69"/>
      <c r="AV62" s="69"/>
      <c r="AW62" s="69"/>
      <c r="AX62" s="69"/>
      <c r="AY62" s="69">
        <v>15000</v>
      </c>
      <c r="AZ62" s="69">
        <v>15000</v>
      </c>
      <c r="BA62" s="69">
        <f t="shared" ref="BA62:BB62" si="93">BA61*70%</f>
        <v>21802.199999999997</v>
      </c>
      <c r="BB62" s="69">
        <f t="shared" si="93"/>
        <v>22841</v>
      </c>
      <c r="BC62" s="69">
        <v>35000</v>
      </c>
      <c r="BD62" s="69">
        <v>35000</v>
      </c>
      <c r="BE62" s="69">
        <v>42000</v>
      </c>
      <c r="BF62" s="69">
        <f t="shared" si="75"/>
        <v>186643.20000000001</v>
      </c>
      <c r="BG62" s="77"/>
      <c r="BH62" s="69">
        <f t="shared" ref="BH62:BM62" si="94">BH61*0.8</f>
        <v>28922.400000000001</v>
      </c>
      <c r="BI62" s="69">
        <f t="shared" si="94"/>
        <v>28231.200000000001</v>
      </c>
      <c r="BJ62" s="69">
        <f t="shared" si="94"/>
        <v>28697.600000000002</v>
      </c>
      <c r="BK62" s="69">
        <f t="shared" si="94"/>
        <v>30424.800000000003</v>
      </c>
      <c r="BL62" s="69">
        <f t="shared" si="94"/>
        <v>30856</v>
      </c>
      <c r="BM62" s="69">
        <f t="shared" si="94"/>
        <v>31381.600000000002</v>
      </c>
      <c r="BN62" s="69">
        <f>BN61*0.85</f>
        <v>34958.799999999996</v>
      </c>
      <c r="BO62" s="69">
        <v>29000</v>
      </c>
      <c r="BP62" s="69">
        <v>40223</v>
      </c>
      <c r="BQ62" s="69">
        <v>36735</v>
      </c>
      <c r="BR62" s="69">
        <v>36933</v>
      </c>
      <c r="BS62" s="69">
        <v>52283</v>
      </c>
      <c r="BT62" s="69">
        <f t="shared" si="90"/>
        <v>408646.40000000002</v>
      </c>
      <c r="BU62" s="28"/>
      <c r="BV62" s="69">
        <v>32000</v>
      </c>
      <c r="BW62" s="69">
        <v>32000</v>
      </c>
      <c r="BX62" s="69">
        <v>37000</v>
      </c>
      <c r="BY62" s="69">
        <v>32000</v>
      </c>
      <c r="BZ62" s="69">
        <v>35000</v>
      </c>
      <c r="CA62" s="69">
        <v>35000</v>
      </c>
      <c r="CB62" s="69">
        <v>35000</v>
      </c>
      <c r="CC62" s="69">
        <f>CC61*1</f>
        <v>32260.226972643166</v>
      </c>
      <c r="CD62" s="69">
        <f>CD61*1</f>
        <v>33331.522972643164</v>
      </c>
      <c r="CE62" s="69">
        <f>CE61</f>
        <v>35213.881472643166</v>
      </c>
      <c r="CF62" s="69">
        <v>40000</v>
      </c>
      <c r="CG62" s="69">
        <v>60000</v>
      </c>
      <c r="CH62" s="69"/>
      <c r="CI62" s="395"/>
      <c r="CJ62" s="69">
        <v>32000</v>
      </c>
      <c r="CK62" s="69">
        <v>30000</v>
      </c>
      <c r="CL62" s="69">
        <v>31500</v>
      </c>
      <c r="CM62" s="69">
        <v>32000</v>
      </c>
      <c r="CN62" s="69">
        <v>45000</v>
      </c>
      <c r="CO62" s="69">
        <v>35000</v>
      </c>
      <c r="CP62" s="69">
        <v>36000</v>
      </c>
      <c r="CQ62" s="69">
        <v>35000</v>
      </c>
      <c r="CR62" s="69">
        <v>35000</v>
      </c>
      <c r="CS62" s="69">
        <v>40000</v>
      </c>
      <c r="CT62" s="69">
        <v>51000</v>
      </c>
      <c r="CU62" s="69">
        <v>60000</v>
      </c>
      <c r="CV62" s="69">
        <f>SUM(CJ62:CU62)</f>
        <v>462500</v>
      </c>
      <c r="CW62" s="758"/>
      <c r="CX62" s="881">
        <v>28638.329978114532</v>
      </c>
      <c r="CY62" s="881">
        <v>21814.831034278017</v>
      </c>
      <c r="CZ62" s="881">
        <v>27486.135065787566</v>
      </c>
      <c r="DA62" s="881">
        <v>23701.566634278021</v>
      </c>
      <c r="DB62" s="881">
        <v>27311.297065787567</v>
      </c>
      <c r="DC62" s="881">
        <v>31603.10557811453</v>
      </c>
      <c r="DD62" s="881">
        <v>36583.069528806656</v>
      </c>
      <c r="DE62" s="881">
        <v>25808.181578114534</v>
      </c>
      <c r="DF62" s="881">
        <v>26665.218378114532</v>
      </c>
      <c r="DG62" s="881">
        <v>28171.105178114536</v>
      </c>
      <c r="DH62" s="881">
        <v>36935.102454844826</v>
      </c>
      <c r="DI62" s="881">
        <v>46324.402153460593</v>
      </c>
      <c r="DJ62" s="69"/>
      <c r="DK62" s="948"/>
      <c r="DL62" s="881">
        <v>28638.329978114532</v>
      </c>
      <c r="DM62" s="881">
        <v>21814.831034278017</v>
      </c>
      <c r="DN62" s="881">
        <v>27486.135065787566</v>
      </c>
      <c r="DO62" s="881">
        <v>23701.566634278021</v>
      </c>
      <c r="DP62" s="881">
        <v>27311.297065787567</v>
      </c>
      <c r="DQ62" s="881">
        <v>31603.10557811453</v>
      </c>
      <c r="DR62" s="881">
        <v>36583.069528806656</v>
      </c>
      <c r="DS62" s="881">
        <v>25808.181578114534</v>
      </c>
      <c r="DT62" s="881">
        <v>26665.218378114532</v>
      </c>
      <c r="DU62" s="881">
        <v>28171.105178114536</v>
      </c>
      <c r="DV62" s="881">
        <v>36935.102454844826</v>
      </c>
      <c r="DW62" s="881">
        <v>46324.402153460593</v>
      </c>
      <c r="DX62" s="69"/>
    </row>
    <row r="63" spans="1:128" ht="14.25" hidden="1" customHeight="1">
      <c r="A63" s="55" t="s">
        <v>74</v>
      </c>
      <c r="B63" s="56"/>
      <c r="C63" s="280"/>
      <c r="D63" s="288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289"/>
      <c r="Q63" s="39"/>
      <c r="R63" s="288"/>
      <c r="S63" s="58"/>
      <c r="T63" s="58"/>
      <c r="U63" s="58"/>
      <c r="V63" s="58"/>
      <c r="W63" s="290"/>
      <c r="X63" s="290"/>
      <c r="Y63" s="290"/>
      <c r="Z63" s="290"/>
      <c r="AA63" s="290"/>
      <c r="AB63" s="290"/>
      <c r="AC63" s="290"/>
      <c r="AD63" s="291"/>
      <c r="AE63" s="59"/>
      <c r="AF63" s="292"/>
      <c r="AG63" s="58"/>
      <c r="AH63" s="58"/>
      <c r="AI63" s="58"/>
      <c r="AJ63" s="58"/>
      <c r="AK63" s="58"/>
      <c r="AL63" s="58">
        <f>AL61/AVERAGE($AF$61:$AQ$61)</f>
        <v>1.2614511225503295</v>
      </c>
      <c r="AM63" s="58"/>
      <c r="AN63" s="58"/>
      <c r="AO63" s="58"/>
      <c r="AP63" s="58">
        <f t="shared" ref="AP63:AQ63" si="95">AP61/AVERAGE($AF$61:$AQ$61)</f>
        <v>1.2293854585238704</v>
      </c>
      <c r="AQ63" s="58">
        <f t="shared" si="95"/>
        <v>1.6468441033966412</v>
      </c>
      <c r="AR63" s="58"/>
      <c r="AS63" s="59"/>
      <c r="AT63" s="58">
        <v>109190</v>
      </c>
      <c r="AU63" s="58">
        <v>153667</v>
      </c>
      <c r="AV63" s="58">
        <v>178778</v>
      </c>
      <c r="AW63" s="58">
        <v>151970</v>
      </c>
      <c r="AX63" s="58">
        <v>142416</v>
      </c>
      <c r="AY63" s="58">
        <v>177335</v>
      </c>
      <c r="AZ63" s="58">
        <v>152230</v>
      </c>
      <c r="BA63" s="58">
        <v>245527</v>
      </c>
      <c r="BB63" s="58">
        <f>5261504/27</f>
        <v>194870.51851851851</v>
      </c>
      <c r="BC63" s="58">
        <f>5784000/27</f>
        <v>214222.22222222222</v>
      </c>
      <c r="BD63" s="58">
        <f>3224000/27</f>
        <v>119407.4074074074</v>
      </c>
      <c r="BE63" s="58">
        <f>909800/27</f>
        <v>33696.296296296299</v>
      </c>
      <c r="BF63" s="58">
        <f t="shared" si="75"/>
        <v>1873309.4444444445</v>
      </c>
      <c r="BG63" s="59"/>
      <c r="BH63" s="58">
        <v>156208</v>
      </c>
      <c r="BI63" s="58">
        <v>147340</v>
      </c>
      <c r="BJ63" s="58">
        <v>166759</v>
      </c>
      <c r="BK63" s="58">
        <v>152352</v>
      </c>
      <c r="BL63" s="58">
        <v>128446</v>
      </c>
      <c r="BM63" s="58">
        <v>126790</v>
      </c>
      <c r="BN63" s="58">
        <v>173761</v>
      </c>
      <c r="BO63" s="58">
        <f>144510.599073001+BO62</f>
        <v>173510.59907300101</v>
      </c>
      <c r="BP63" s="58">
        <f>162574.422556972+BP62</f>
        <v>202797.42255697199</v>
      </c>
      <c r="BQ63" s="58">
        <f>166187.186558517+BQ62</f>
        <v>202922.18655851699</v>
      </c>
      <c r="BR63" s="58">
        <f>BQ37+BR33*0.6</f>
        <v>232502.36</v>
      </c>
      <c r="BS63" s="58">
        <f>BR33*0.4+BS33*0.5</f>
        <v>116391.04000000001</v>
      </c>
      <c r="BT63" s="58">
        <f t="shared" si="90"/>
        <v>1979779.6081884899</v>
      </c>
      <c r="BU63" s="60"/>
      <c r="BV63" s="58">
        <f t="shared" ref="BV63:CC63" si="96">BV37+BV62</f>
        <v>162757.867486095</v>
      </c>
      <c r="BW63" s="58">
        <f t="shared" si="96"/>
        <v>157566.83045180296</v>
      </c>
      <c r="BX63" s="58">
        <f t="shared" si="96"/>
        <v>197961.53846153844</v>
      </c>
      <c r="BY63" s="58">
        <f t="shared" si="96"/>
        <v>160769.23076923078</v>
      </c>
      <c r="BZ63" s="58">
        <f t="shared" si="96"/>
        <v>153232.39341785663</v>
      </c>
      <c r="CA63" s="58">
        <f t="shared" si="96"/>
        <v>143192.12910096842</v>
      </c>
      <c r="CB63" s="58">
        <f t="shared" si="96"/>
        <v>178736.21444761599</v>
      </c>
      <c r="CC63" s="58">
        <f t="shared" si="96"/>
        <v>202914.10079748323</v>
      </c>
      <c r="CD63" s="58">
        <f>CD37+CD62</f>
        <v>214499.61628422557</v>
      </c>
      <c r="CE63" s="58">
        <f>CE37+CE62</f>
        <v>217682.99793575107</v>
      </c>
      <c r="CF63" s="58">
        <f>CF37+CF62</f>
        <v>173115.84223630186</v>
      </c>
      <c r="CG63" s="58">
        <f t="shared" ref="CG63" si="97">BS63</f>
        <v>116391.04000000001</v>
      </c>
      <c r="CH63" s="58"/>
      <c r="CJ63" s="58">
        <f>CJ37+CJ62</f>
        <v>161344.16697726428</v>
      </c>
      <c r="CK63" s="58">
        <f t="shared" ref="CK63:CU63" si="98">CK37+CK62</f>
        <v>180873.49981364145</v>
      </c>
      <c r="CL63" s="58">
        <f t="shared" si="98"/>
        <v>172879.05329854641</v>
      </c>
      <c r="CM63" s="58">
        <f t="shared" si="98"/>
        <v>168578.1587774879</v>
      </c>
      <c r="CN63" s="58">
        <f t="shared" si="98"/>
        <v>181291.91203876259</v>
      </c>
      <c r="CO63" s="58">
        <f t="shared" si="98"/>
        <v>138386.95490122997</v>
      </c>
      <c r="CP63" s="58">
        <f t="shared" si="98"/>
        <v>217610.97046413503</v>
      </c>
      <c r="CQ63" s="58">
        <f>CQ37+CQ62</f>
        <v>234329.11392405062</v>
      </c>
      <c r="CR63" s="58">
        <f t="shared" si="98"/>
        <v>269765.40084388189</v>
      </c>
      <c r="CS63" s="58">
        <f t="shared" si="98"/>
        <v>257806.7510548523</v>
      </c>
      <c r="CT63" s="58">
        <f>CT37+CT62</f>
        <v>185135.02109704641</v>
      </c>
      <c r="CU63" s="58">
        <f t="shared" si="98"/>
        <v>111311.39240506329</v>
      </c>
      <c r="CV63" s="58">
        <f>SUM(CJ63:CU63)</f>
        <v>2279312.3955959622</v>
      </c>
      <c r="CW63" s="758"/>
      <c r="CX63" s="880">
        <v>98000</v>
      </c>
      <c r="CY63" s="880">
        <v>147381.66148608096</v>
      </c>
      <c r="CZ63" s="880">
        <v>188447.673527326</v>
      </c>
      <c r="DA63" s="880">
        <v>152352</v>
      </c>
      <c r="DB63" s="880">
        <v>128446</v>
      </c>
      <c r="DC63" s="880">
        <v>126790</v>
      </c>
      <c r="DD63" s="880">
        <v>173761</v>
      </c>
      <c r="DE63" s="880">
        <v>173510.59907300101</v>
      </c>
      <c r="DF63" s="880">
        <v>202797.42255697199</v>
      </c>
      <c r="DG63" s="880">
        <v>202922.18655851699</v>
      </c>
      <c r="DH63" s="880">
        <v>232502.36</v>
      </c>
      <c r="DI63" s="880">
        <v>116391.04000000001</v>
      </c>
      <c r="DJ63" s="58"/>
      <c r="DK63" s="948"/>
      <c r="DL63" s="880">
        <v>98000</v>
      </c>
      <c r="DM63" s="880">
        <v>147381.66148608096</v>
      </c>
      <c r="DN63" s="880">
        <v>188447.673527326</v>
      </c>
      <c r="DO63" s="880">
        <v>152352</v>
      </c>
      <c r="DP63" s="880">
        <v>128446</v>
      </c>
      <c r="DQ63" s="880">
        <v>126790</v>
      </c>
      <c r="DR63" s="880">
        <v>173761</v>
      </c>
      <c r="DS63" s="880">
        <v>173510.59907300101</v>
      </c>
      <c r="DT63" s="880">
        <v>202797.42255697199</v>
      </c>
      <c r="DU63" s="880">
        <v>202922.18655851699</v>
      </c>
      <c r="DV63" s="880">
        <v>232502.36</v>
      </c>
      <c r="DW63" s="880">
        <v>116391.04000000001</v>
      </c>
      <c r="DX63" s="58"/>
    </row>
    <row r="64" spans="1:128" ht="18.75" hidden="1">
      <c r="A64" s="101" t="s">
        <v>75</v>
      </c>
      <c r="B64" s="931"/>
      <c r="C64" s="909"/>
      <c r="D64" s="277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262"/>
      <c r="Q64" s="15"/>
      <c r="R64" s="277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263"/>
      <c r="AE64" s="16"/>
      <c r="AF64" s="261">
        <v>133791</v>
      </c>
      <c r="AG64" s="14">
        <v>166459</v>
      </c>
      <c r="AH64" s="14">
        <v>149450</v>
      </c>
      <c r="AI64" s="14">
        <v>151073</v>
      </c>
      <c r="AJ64" s="14">
        <v>192944</v>
      </c>
      <c r="AK64" s="14">
        <v>166139</v>
      </c>
      <c r="AL64" s="14">
        <v>151874</v>
      </c>
      <c r="AM64" s="14">
        <v>157771</v>
      </c>
      <c r="AN64" s="14">
        <v>200312</v>
      </c>
      <c r="AO64" s="14">
        <v>202691</v>
      </c>
      <c r="AP64" s="14">
        <v>207768</v>
      </c>
      <c r="AQ64" s="14">
        <v>113286</v>
      </c>
      <c r="AR64" s="14">
        <f>SUM(AF64:AK64)</f>
        <v>959856</v>
      </c>
      <c r="AS64" s="17"/>
      <c r="AT64" s="14">
        <v>89680</v>
      </c>
      <c r="AU64" s="14">
        <v>128308</v>
      </c>
      <c r="AV64" s="14">
        <v>144871</v>
      </c>
      <c r="AW64" s="32">
        <v>161772</v>
      </c>
      <c r="AX64" s="32">
        <v>144516</v>
      </c>
      <c r="AY64" s="32">
        <v>103667</v>
      </c>
      <c r="AZ64" s="32">
        <v>141023</v>
      </c>
      <c r="BA64" s="32">
        <v>172093</v>
      </c>
      <c r="BB64" s="32">
        <f>166606+10000</f>
        <v>176606</v>
      </c>
      <c r="BC64" s="32">
        <v>181091</v>
      </c>
      <c r="BD64" s="32">
        <v>169802</v>
      </c>
      <c r="BE64" s="32">
        <v>120406</v>
      </c>
      <c r="BF64" s="32">
        <f t="shared" si="75"/>
        <v>1733835</v>
      </c>
      <c r="BG64" s="17">
        <f>BG61/AR61</f>
        <v>9.9910256474894502E-2</v>
      </c>
      <c r="BH64" s="14">
        <v>78906</v>
      </c>
      <c r="BI64" s="14">
        <v>119296</v>
      </c>
      <c r="BJ64" s="14">
        <v>165286</v>
      </c>
      <c r="BK64" s="14">
        <v>144532</v>
      </c>
      <c r="BL64" s="32">
        <v>157691</v>
      </c>
      <c r="BM64" s="32">
        <v>129096</v>
      </c>
      <c r="BN64" s="32">
        <v>125800</v>
      </c>
      <c r="BO64" s="32">
        <v>176354</v>
      </c>
      <c r="BP64" s="32">
        <v>173554</v>
      </c>
      <c r="BQ64" s="32">
        <v>185766</v>
      </c>
      <c r="BR64" s="32"/>
      <c r="BS64" s="32"/>
      <c r="BT64" s="32">
        <f t="shared" si="90"/>
        <v>1456281</v>
      </c>
      <c r="BU64" s="28"/>
      <c r="BV64" s="14"/>
      <c r="BW64" s="14"/>
      <c r="BX64" s="14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J64" s="14"/>
      <c r="CK64" s="14"/>
      <c r="CL64" s="14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758"/>
      <c r="CX64" s="873"/>
      <c r="CY64" s="873"/>
      <c r="CZ64" s="873"/>
      <c r="DA64" s="872"/>
      <c r="DB64" s="872"/>
      <c r="DC64" s="872"/>
      <c r="DD64" s="872"/>
      <c r="DE64" s="872"/>
      <c r="DF64" s="872"/>
      <c r="DG64" s="872"/>
      <c r="DH64" s="872"/>
      <c r="DI64" s="872"/>
      <c r="DJ64" s="32"/>
      <c r="DK64" s="948"/>
      <c r="DL64" s="873"/>
      <c r="DM64" s="873"/>
      <c r="DN64" s="873"/>
      <c r="DO64" s="872"/>
      <c r="DP64" s="872"/>
      <c r="DQ64" s="872"/>
      <c r="DR64" s="872"/>
      <c r="DS64" s="872"/>
      <c r="DT64" s="872"/>
      <c r="DU64" s="872"/>
      <c r="DV64" s="872"/>
      <c r="DW64" s="872"/>
      <c r="DX64" s="32"/>
    </row>
    <row r="65" spans="1:129" ht="18.75" hidden="1">
      <c r="A65" s="103"/>
      <c r="B65" s="932" t="s">
        <v>76</v>
      </c>
      <c r="C65" s="933"/>
      <c r="D65" s="331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332"/>
      <c r="Q65" s="105"/>
      <c r="R65" s="333"/>
      <c r="S65" s="333"/>
      <c r="T65" s="333"/>
      <c r="U65" s="333"/>
      <c r="V65" s="333"/>
      <c r="W65" s="333"/>
      <c r="X65" s="333"/>
      <c r="Y65" s="333"/>
      <c r="Z65" s="333"/>
      <c r="AA65" s="333"/>
      <c r="AB65" s="333"/>
      <c r="AC65" s="333"/>
      <c r="AD65" s="334"/>
      <c r="AE65" s="106"/>
      <c r="AF65" s="333">
        <f t="shared" ref="AF65:AQ65" si="99">AF64-AF31</f>
        <v>133789.5653258567</v>
      </c>
      <c r="AG65" s="333">
        <f t="shared" si="99"/>
        <v>166455.02546723894</v>
      </c>
      <c r="AH65" s="333">
        <f t="shared" si="99"/>
        <v>149445.54627453614</v>
      </c>
      <c r="AI65" s="333">
        <f t="shared" si="99"/>
        <v>151069.82181047046</v>
      </c>
      <c r="AJ65" s="333">
        <f t="shared" si="99"/>
        <v>192941.24487749056</v>
      </c>
      <c r="AK65" s="333">
        <f t="shared" si="99"/>
        <v>166135.77020296719</v>
      </c>
      <c r="AL65" s="333">
        <f t="shared" si="99"/>
        <v>151871.64243647002</v>
      </c>
      <c r="AM65" s="333">
        <f t="shared" si="99"/>
        <v>157768.8586839418</v>
      </c>
      <c r="AN65" s="333">
        <f t="shared" si="99"/>
        <v>200310.09576397031</v>
      </c>
      <c r="AO65" s="333">
        <f t="shared" si="99"/>
        <v>202687.83135883085</v>
      </c>
      <c r="AP65" s="333">
        <f t="shared" si="99"/>
        <v>207762.85122649223</v>
      </c>
      <c r="AQ65" s="333">
        <f t="shared" si="99"/>
        <v>113282.51926932538</v>
      </c>
      <c r="AR65" s="107">
        <f t="shared" ref="AR65:AR73" si="100">SUM(AF65:AQ65)</f>
        <v>1993520.772697591</v>
      </c>
      <c r="AS65" s="106"/>
      <c r="AT65" s="333">
        <f t="shared" ref="AT65:BE65" si="101">AT64-AT63</f>
        <v>-19510</v>
      </c>
      <c r="AU65" s="333">
        <f t="shared" si="101"/>
        <v>-25359</v>
      </c>
      <c r="AV65" s="333">
        <f t="shared" si="101"/>
        <v>-33907</v>
      </c>
      <c r="AW65" s="333">
        <f t="shared" si="101"/>
        <v>9802</v>
      </c>
      <c r="AX65" s="333">
        <f t="shared" si="101"/>
        <v>2100</v>
      </c>
      <c r="AY65" s="333">
        <f t="shared" si="101"/>
        <v>-73668</v>
      </c>
      <c r="AZ65" s="333">
        <f t="shared" si="101"/>
        <v>-11207</v>
      </c>
      <c r="BA65" s="333">
        <f t="shared" si="101"/>
        <v>-73434</v>
      </c>
      <c r="BB65" s="333">
        <f t="shared" si="101"/>
        <v>-18264.518518518511</v>
      </c>
      <c r="BC65" s="333">
        <f t="shared" si="101"/>
        <v>-33131.222222222219</v>
      </c>
      <c r="BD65" s="333">
        <f t="shared" si="101"/>
        <v>50394.592592592599</v>
      </c>
      <c r="BE65" s="333">
        <f t="shared" si="101"/>
        <v>86709.703703703708</v>
      </c>
      <c r="BF65" s="108">
        <f t="shared" si="75"/>
        <v>-139474.44444444444</v>
      </c>
      <c r="BG65" s="106"/>
      <c r="BH65" s="333">
        <f t="shared" ref="BH65:BQ65" si="102">BH64-BH63</f>
        <v>-77302</v>
      </c>
      <c r="BI65" s="333">
        <f t="shared" si="102"/>
        <v>-28044</v>
      </c>
      <c r="BJ65" s="333">
        <f t="shared" si="102"/>
        <v>-1473</v>
      </c>
      <c r="BK65" s="333">
        <f t="shared" si="102"/>
        <v>-7820</v>
      </c>
      <c r="BL65" s="333">
        <f t="shared" si="102"/>
        <v>29245</v>
      </c>
      <c r="BM65" s="333">
        <f t="shared" si="102"/>
        <v>2306</v>
      </c>
      <c r="BN65" s="333">
        <f t="shared" si="102"/>
        <v>-47961</v>
      </c>
      <c r="BO65" s="333">
        <f t="shared" si="102"/>
        <v>2843.4009269989911</v>
      </c>
      <c r="BP65" s="333">
        <f t="shared" si="102"/>
        <v>-29243.422556971986</v>
      </c>
      <c r="BQ65" s="333">
        <f t="shared" si="102"/>
        <v>-17156.186558516987</v>
      </c>
      <c r="BR65" s="108"/>
      <c r="BS65" s="108"/>
      <c r="BT65" s="108">
        <f t="shared" si="90"/>
        <v>-174605.20818848998</v>
      </c>
      <c r="BU65" s="28"/>
      <c r="BV65" s="333"/>
      <c r="BW65" s="333"/>
      <c r="BX65" s="333"/>
      <c r="BY65" s="333"/>
      <c r="BZ65" s="108"/>
      <c r="CA65" s="108"/>
      <c r="CB65" s="108"/>
      <c r="CC65" s="108"/>
      <c r="CD65" s="108"/>
      <c r="CE65" s="108"/>
      <c r="CF65" s="108"/>
      <c r="CG65" s="108"/>
      <c r="CH65" s="108"/>
      <c r="CJ65" s="333"/>
      <c r="CK65" s="333"/>
      <c r="CL65" s="333"/>
      <c r="CM65" s="333"/>
      <c r="CN65" s="108"/>
      <c r="CO65" s="108"/>
      <c r="CP65" s="108"/>
      <c r="CQ65" s="108"/>
      <c r="CR65" s="108"/>
      <c r="CS65" s="108"/>
      <c r="CT65" s="108"/>
      <c r="CU65" s="108"/>
      <c r="CV65" s="108"/>
      <c r="CW65" s="758"/>
      <c r="CX65" s="892"/>
      <c r="CY65" s="892"/>
      <c r="CZ65" s="892"/>
      <c r="DA65" s="892"/>
      <c r="DB65" s="893"/>
      <c r="DC65" s="893"/>
      <c r="DD65" s="893"/>
      <c r="DE65" s="893"/>
      <c r="DF65" s="893"/>
      <c r="DG65" s="893"/>
      <c r="DH65" s="893"/>
      <c r="DI65" s="893"/>
      <c r="DJ65" s="108"/>
      <c r="DK65" s="948"/>
      <c r="DL65" s="892"/>
      <c r="DM65" s="892"/>
      <c r="DN65" s="892"/>
      <c r="DO65" s="892"/>
      <c r="DP65" s="893"/>
      <c r="DQ65" s="893"/>
      <c r="DR65" s="893"/>
      <c r="DS65" s="893"/>
      <c r="DT65" s="893"/>
      <c r="DU65" s="893"/>
      <c r="DV65" s="893"/>
      <c r="DW65" s="893"/>
      <c r="DX65" s="108"/>
    </row>
    <row r="66" spans="1:129" ht="15.75" hidden="1" customHeight="1">
      <c r="A66" s="94">
        <v>5</v>
      </c>
      <c r="B66" s="921" t="s">
        <v>77</v>
      </c>
      <c r="C66" s="934"/>
      <c r="D66" s="313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>
        <v>0</v>
      </c>
      <c r="P66" s="314">
        <f>SUM(D66:O66)</f>
        <v>0</v>
      </c>
      <c r="Q66" s="90"/>
      <c r="R66" s="313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315">
        <f>SUM(R66:AC66)</f>
        <v>0</v>
      </c>
      <c r="AE66" s="23"/>
      <c r="AF66" s="316">
        <v>0</v>
      </c>
      <c r="AG66" s="91">
        <v>0</v>
      </c>
      <c r="AH66" s="91">
        <v>0</v>
      </c>
      <c r="AI66" s="91">
        <v>0</v>
      </c>
      <c r="AJ66" s="91">
        <v>0</v>
      </c>
      <c r="AK66" s="91">
        <v>0</v>
      </c>
      <c r="AL66" s="91">
        <v>0</v>
      </c>
      <c r="AM66" s="91">
        <v>0</v>
      </c>
      <c r="AN66" s="91">
        <v>0</v>
      </c>
      <c r="AO66" s="91">
        <v>0</v>
      </c>
      <c r="AP66" s="91"/>
      <c r="AQ66" s="91">
        <v>8938</v>
      </c>
      <c r="AR66" s="92">
        <f t="shared" si="100"/>
        <v>8938</v>
      </c>
      <c r="AS66" s="23"/>
      <c r="AT66" s="91">
        <v>106642</v>
      </c>
      <c r="AU66" s="91">
        <v>90699</v>
      </c>
      <c r="AV66" s="91">
        <v>89681</v>
      </c>
      <c r="AW66" s="91">
        <v>58790</v>
      </c>
      <c r="AX66" s="91">
        <v>35520</v>
      </c>
      <c r="AY66" s="91">
        <v>61551</v>
      </c>
      <c r="AZ66" s="91">
        <v>71511</v>
      </c>
      <c r="BA66" s="91">
        <v>63617</v>
      </c>
      <c r="BB66" s="91">
        <v>66748</v>
      </c>
      <c r="BC66" s="91">
        <v>75532</v>
      </c>
      <c r="BD66" s="91">
        <v>37786</v>
      </c>
      <c r="BE66" s="91">
        <v>4503</v>
      </c>
      <c r="BF66" s="91">
        <f t="shared" si="75"/>
        <v>762580</v>
      </c>
      <c r="BG66" s="27"/>
      <c r="BH66" s="91">
        <v>69404</v>
      </c>
      <c r="BI66" s="91">
        <v>80412</v>
      </c>
      <c r="BJ66" s="91">
        <v>94386</v>
      </c>
      <c r="BK66" s="91">
        <v>78313</v>
      </c>
      <c r="BL66" s="91">
        <v>47034</v>
      </c>
      <c r="BM66" s="91">
        <v>50851</v>
      </c>
      <c r="BN66" s="91">
        <v>93202</v>
      </c>
      <c r="BO66" s="91">
        <v>100687</v>
      </c>
      <c r="BP66" s="91">
        <v>127995</v>
      </c>
      <c r="BQ66" s="91">
        <v>122686</v>
      </c>
      <c r="BR66" s="91"/>
      <c r="BS66" s="91"/>
      <c r="BT66" s="91"/>
      <c r="BU66" s="28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91"/>
      <c r="CV66" s="91"/>
      <c r="CW66" s="758"/>
      <c r="CX66" s="884"/>
      <c r="CY66" s="884"/>
      <c r="CZ66" s="884"/>
      <c r="DA66" s="884"/>
      <c r="DB66" s="884"/>
      <c r="DC66" s="884"/>
      <c r="DD66" s="884"/>
      <c r="DE66" s="884"/>
      <c r="DF66" s="884"/>
      <c r="DG66" s="884"/>
      <c r="DH66" s="884"/>
      <c r="DI66" s="884"/>
      <c r="DJ66" s="91"/>
      <c r="DK66" s="948"/>
      <c r="DL66" s="884"/>
      <c r="DM66" s="884"/>
      <c r="DN66" s="884"/>
      <c r="DO66" s="884"/>
      <c r="DP66" s="884"/>
      <c r="DQ66" s="884"/>
      <c r="DR66" s="884"/>
      <c r="DS66" s="884"/>
      <c r="DT66" s="884"/>
      <c r="DU66" s="884"/>
      <c r="DV66" s="884"/>
      <c r="DW66" s="884"/>
      <c r="DX66" s="91"/>
    </row>
    <row r="67" spans="1:129" ht="18.75" hidden="1">
      <c r="A67" s="13" t="s">
        <v>78</v>
      </c>
      <c r="B67" s="908"/>
      <c r="C67" s="909"/>
      <c r="D67" s="277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262"/>
      <c r="Q67" s="15"/>
      <c r="R67" s="277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263"/>
      <c r="AE67" s="16"/>
      <c r="AF67" s="261">
        <f t="shared" ref="AF67:AQ67" si="103">AF68+AF70</f>
        <v>118364</v>
      </c>
      <c r="AG67" s="261">
        <f t="shared" si="103"/>
        <v>173742</v>
      </c>
      <c r="AH67" s="261">
        <f t="shared" si="103"/>
        <v>73470</v>
      </c>
      <c r="AI67" s="261">
        <f t="shared" si="103"/>
        <v>87377</v>
      </c>
      <c r="AJ67" s="261">
        <f t="shared" si="103"/>
        <v>119657</v>
      </c>
      <c r="AK67" s="261">
        <f t="shared" si="103"/>
        <v>154747</v>
      </c>
      <c r="AL67" s="261">
        <f t="shared" si="103"/>
        <v>138073</v>
      </c>
      <c r="AM67" s="261">
        <f t="shared" si="103"/>
        <v>180773</v>
      </c>
      <c r="AN67" s="261">
        <f t="shared" si="103"/>
        <v>194598</v>
      </c>
      <c r="AO67" s="261">
        <f t="shared" si="103"/>
        <v>242931</v>
      </c>
      <c r="AP67" s="261">
        <f t="shared" si="103"/>
        <v>107346</v>
      </c>
      <c r="AQ67" s="261">
        <f t="shared" si="103"/>
        <v>87384</v>
      </c>
      <c r="AR67" s="14">
        <f t="shared" si="100"/>
        <v>1678462</v>
      </c>
      <c r="AS67" s="17"/>
      <c r="AT67" s="261">
        <f t="shared" ref="AT67:BE67" si="104">AT68+AT70</f>
        <v>155346</v>
      </c>
      <c r="AU67" s="261">
        <f t="shared" si="104"/>
        <v>123370</v>
      </c>
      <c r="AV67" s="261">
        <f t="shared" si="104"/>
        <v>144065</v>
      </c>
      <c r="AW67" s="261">
        <f t="shared" si="104"/>
        <v>127865</v>
      </c>
      <c r="AX67" s="261">
        <f t="shared" si="104"/>
        <v>123461</v>
      </c>
      <c r="AY67" s="261">
        <f t="shared" si="104"/>
        <v>121196</v>
      </c>
      <c r="AZ67" s="261">
        <f t="shared" si="104"/>
        <v>168029</v>
      </c>
      <c r="BA67" s="261">
        <f t="shared" si="104"/>
        <v>164268</v>
      </c>
      <c r="BB67" s="261">
        <f t="shared" si="104"/>
        <v>185112</v>
      </c>
      <c r="BC67" s="261">
        <f t="shared" si="104"/>
        <v>147235</v>
      </c>
      <c r="BD67" s="261">
        <f t="shared" si="104"/>
        <v>135608</v>
      </c>
      <c r="BE67" s="261">
        <f t="shared" si="104"/>
        <v>90194</v>
      </c>
      <c r="BF67" s="32">
        <f t="shared" si="75"/>
        <v>1685749</v>
      </c>
      <c r="BG67" s="35">
        <f t="shared" ref="BG67:BG68" si="105">BF67/AR67-1</f>
        <v>4.3414745165515356E-3</v>
      </c>
      <c r="BH67" s="261">
        <f>BH68+BH70</f>
        <v>144332</v>
      </c>
      <c r="BI67" s="261">
        <f t="shared" ref="BI67:BQ67" si="106">BI68+BI70</f>
        <v>128781</v>
      </c>
      <c r="BJ67" s="261">
        <f t="shared" si="106"/>
        <v>193129</v>
      </c>
      <c r="BK67" s="261">
        <f t="shared" si="106"/>
        <v>106092</v>
      </c>
      <c r="BL67" s="261">
        <f t="shared" si="106"/>
        <v>132638</v>
      </c>
      <c r="BM67" s="261">
        <f t="shared" si="106"/>
        <v>139193</v>
      </c>
      <c r="BN67" s="261">
        <f t="shared" si="106"/>
        <v>173703</v>
      </c>
      <c r="BO67" s="261">
        <f t="shared" si="106"/>
        <v>186902</v>
      </c>
      <c r="BP67" s="261">
        <f t="shared" si="106"/>
        <v>200686</v>
      </c>
      <c r="BQ67" s="261">
        <f t="shared" si="106"/>
        <v>191324</v>
      </c>
      <c r="BR67" s="14"/>
      <c r="BS67" s="14"/>
      <c r="BT67" s="14">
        <f t="shared" ref="BT67:BT72" si="107">SUM(BH67:BS67)</f>
        <v>1596780</v>
      </c>
      <c r="BU67" s="18"/>
      <c r="BV67" s="261"/>
      <c r="BW67" s="261"/>
      <c r="BX67" s="261"/>
      <c r="BY67" s="261"/>
      <c r="BZ67" s="14"/>
      <c r="CA67" s="14"/>
      <c r="CB67" s="14"/>
      <c r="CC67" s="14"/>
      <c r="CD67" s="14"/>
      <c r="CE67" s="14"/>
      <c r="CF67" s="14"/>
      <c r="CG67" s="14"/>
      <c r="CH67" s="14"/>
      <c r="CJ67" s="261">
        <f>CJ68+CJ70</f>
        <v>204853</v>
      </c>
      <c r="CK67" s="261">
        <f t="shared" ref="CK67:CM67" si="108">CK68+CK70</f>
        <v>0</v>
      </c>
      <c r="CL67" s="261">
        <f t="shared" si="108"/>
        <v>0</v>
      </c>
      <c r="CM67" s="261">
        <f t="shared" si="108"/>
        <v>0</v>
      </c>
      <c r="CN67" s="14"/>
      <c r="CO67" s="14"/>
      <c r="CP67" s="14"/>
      <c r="CQ67" s="14"/>
      <c r="CR67" s="14"/>
      <c r="CS67" s="14"/>
      <c r="CT67" s="14"/>
      <c r="CU67" s="14"/>
      <c r="CV67" s="14"/>
      <c r="CW67" s="758"/>
      <c r="CX67" s="874"/>
      <c r="CY67" s="874"/>
      <c r="CZ67" s="874"/>
      <c r="DA67" s="874"/>
      <c r="DB67" s="873"/>
      <c r="DC67" s="873"/>
      <c r="DD67" s="873"/>
      <c r="DE67" s="873"/>
      <c r="DF67" s="873"/>
      <c r="DG67" s="873"/>
      <c r="DH67" s="873"/>
      <c r="DI67" s="873"/>
      <c r="DJ67" s="14"/>
      <c r="DK67" s="948"/>
      <c r="DL67" s="874"/>
      <c r="DM67" s="874"/>
      <c r="DN67" s="874"/>
      <c r="DO67" s="874"/>
      <c r="DP67" s="873"/>
      <c r="DQ67" s="873"/>
      <c r="DR67" s="873"/>
      <c r="DS67" s="873"/>
      <c r="DT67" s="873"/>
      <c r="DU67" s="873"/>
      <c r="DV67" s="873"/>
      <c r="DW67" s="873"/>
      <c r="DX67" s="14"/>
    </row>
    <row r="68" spans="1:129" ht="15.75" hidden="1" customHeight="1">
      <c r="A68" s="210"/>
      <c r="B68" s="921" t="s">
        <v>79</v>
      </c>
      <c r="C68" s="890"/>
      <c r="D68" s="313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314"/>
      <c r="Q68" s="90"/>
      <c r="R68" s="313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315"/>
      <c r="AE68" s="23"/>
      <c r="AF68" s="316">
        <v>92193</v>
      </c>
      <c r="AG68" s="91">
        <v>152006</v>
      </c>
      <c r="AH68" s="91">
        <v>62734</v>
      </c>
      <c r="AI68" s="91">
        <v>71526</v>
      </c>
      <c r="AJ68" s="91">
        <v>89409</v>
      </c>
      <c r="AK68" s="91">
        <v>120675</v>
      </c>
      <c r="AL68" s="91">
        <v>100592</v>
      </c>
      <c r="AM68" s="91">
        <v>148128</v>
      </c>
      <c r="AN68" s="91">
        <v>164346</v>
      </c>
      <c r="AO68" s="91">
        <v>203437</v>
      </c>
      <c r="AP68" s="91">
        <v>64957</v>
      </c>
      <c r="AQ68" s="91">
        <v>31837</v>
      </c>
      <c r="AR68" s="92">
        <f t="shared" si="100"/>
        <v>1301840</v>
      </c>
      <c r="AS68" s="23"/>
      <c r="AT68" s="91">
        <v>125048</v>
      </c>
      <c r="AU68" s="91">
        <v>96006</v>
      </c>
      <c r="AV68" s="91">
        <v>111470</v>
      </c>
      <c r="AW68" s="91">
        <v>99222</v>
      </c>
      <c r="AX68" s="91">
        <v>91253</v>
      </c>
      <c r="AY68" s="91">
        <v>90595</v>
      </c>
      <c r="AZ68" s="91">
        <v>129147</v>
      </c>
      <c r="BA68" s="91">
        <v>133525</v>
      </c>
      <c r="BB68" s="91">
        <v>159291</v>
      </c>
      <c r="BC68" s="91">
        <v>115573</v>
      </c>
      <c r="BD68" s="91">
        <v>98386</v>
      </c>
      <c r="BE68" s="91">
        <v>36527</v>
      </c>
      <c r="BF68" s="91">
        <f t="shared" si="75"/>
        <v>1286043</v>
      </c>
      <c r="BG68" s="93">
        <f t="shared" si="105"/>
        <v>-1.2134363669882631E-2</v>
      </c>
      <c r="BH68" s="91">
        <v>110235</v>
      </c>
      <c r="BI68" s="91">
        <v>103047</v>
      </c>
      <c r="BJ68" s="91">
        <v>158855</v>
      </c>
      <c r="BK68" s="91">
        <v>77254</v>
      </c>
      <c r="BL68" s="91">
        <v>99853</v>
      </c>
      <c r="BM68" s="91">
        <v>100723</v>
      </c>
      <c r="BN68" s="91">
        <v>125338</v>
      </c>
      <c r="BO68" s="91">
        <v>153622</v>
      </c>
      <c r="BP68" s="91">
        <v>166483</v>
      </c>
      <c r="BQ68" s="91">
        <v>156140</v>
      </c>
      <c r="BR68" s="91">
        <v>111391</v>
      </c>
      <c r="BS68" s="91">
        <v>26768</v>
      </c>
      <c r="BT68" s="91">
        <f t="shared" si="107"/>
        <v>1389709</v>
      </c>
      <c r="BU68" s="28"/>
      <c r="BV68" s="91">
        <v>128446</v>
      </c>
      <c r="BW68" s="91">
        <v>119229</v>
      </c>
      <c r="BX68" s="91">
        <v>134860</v>
      </c>
      <c r="BY68" s="91">
        <v>111992</v>
      </c>
      <c r="BZ68" s="91">
        <v>102725</v>
      </c>
      <c r="CA68" s="91">
        <v>74472</v>
      </c>
      <c r="CB68" s="91">
        <v>164045</v>
      </c>
      <c r="CC68" s="91">
        <v>148167</v>
      </c>
      <c r="CD68" s="91">
        <v>189715</v>
      </c>
      <c r="CE68" s="91">
        <v>165488</v>
      </c>
      <c r="CF68" s="91">
        <v>103829</v>
      </c>
      <c r="CG68" s="91">
        <v>39967</v>
      </c>
      <c r="CH68" s="91">
        <f t="shared" ref="CH68:CH71" si="109">SUM(BV68:CG68)</f>
        <v>1482935</v>
      </c>
      <c r="CJ68" s="91">
        <v>167136</v>
      </c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758"/>
      <c r="CX68" s="884">
        <v>54245</v>
      </c>
      <c r="CY68" s="884"/>
      <c r="CZ68" s="884"/>
      <c r="DA68" s="884"/>
      <c r="DB68" s="884"/>
      <c r="DC68" s="884"/>
      <c r="DD68" s="884"/>
      <c r="DE68" s="884"/>
      <c r="DF68" s="884"/>
      <c r="DG68" s="884"/>
      <c r="DH68" s="884"/>
      <c r="DI68" s="884"/>
      <c r="DJ68" s="91"/>
      <c r="DK68" s="948"/>
      <c r="DL68" s="884">
        <v>54245</v>
      </c>
      <c r="DM68" s="884"/>
      <c r="DN68" s="884"/>
      <c r="DO68" s="884"/>
      <c r="DP68" s="884"/>
      <c r="DQ68" s="884"/>
      <c r="DR68" s="884"/>
      <c r="DS68" s="884"/>
      <c r="DT68" s="884"/>
      <c r="DU68" s="884"/>
      <c r="DV68" s="884"/>
      <c r="DW68" s="884"/>
      <c r="DX68" s="91"/>
    </row>
    <row r="69" spans="1:129" ht="18.75" hidden="1">
      <c r="A69" s="103"/>
      <c r="B69" s="932" t="s">
        <v>80</v>
      </c>
      <c r="C69" s="933"/>
      <c r="D69" s="331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332"/>
      <c r="Q69" s="105"/>
      <c r="R69" s="333"/>
      <c r="S69" s="333"/>
      <c r="T69" s="333"/>
      <c r="U69" s="333"/>
      <c r="V69" s="333"/>
      <c r="W69" s="333"/>
      <c r="X69" s="333"/>
      <c r="Y69" s="333"/>
      <c r="Z69" s="333"/>
      <c r="AA69" s="333"/>
      <c r="AB69" s="333"/>
      <c r="AC69" s="333"/>
      <c r="AD69" s="334"/>
      <c r="AE69" s="106"/>
      <c r="AF69" s="333">
        <f t="shared" ref="AF69:AQ69" si="110">AF68-AF37</f>
        <v>2047</v>
      </c>
      <c r="AG69" s="333">
        <f t="shared" si="110"/>
        <v>-3571</v>
      </c>
      <c r="AH69" s="333">
        <f t="shared" si="110"/>
        <v>-219</v>
      </c>
      <c r="AI69" s="333">
        <f t="shared" si="110"/>
        <v>-1735</v>
      </c>
      <c r="AJ69" s="333">
        <f t="shared" si="110"/>
        <v>-2447</v>
      </c>
      <c r="AK69" s="333">
        <f t="shared" si="110"/>
        <v>675</v>
      </c>
      <c r="AL69" s="333">
        <f t="shared" si="110"/>
        <v>-9703</v>
      </c>
      <c r="AM69" s="333">
        <f t="shared" si="110"/>
        <v>-52075</v>
      </c>
      <c r="AN69" s="333">
        <f t="shared" si="110"/>
        <v>-59487.333333333343</v>
      </c>
      <c r="AO69" s="333">
        <f t="shared" si="110"/>
        <v>-15063</v>
      </c>
      <c r="AP69" s="333">
        <f t="shared" si="110"/>
        <v>-23043</v>
      </c>
      <c r="AQ69" s="333">
        <f t="shared" si="110"/>
        <v>-11563</v>
      </c>
      <c r="AR69" s="107">
        <f t="shared" si="100"/>
        <v>-176184.33333333334</v>
      </c>
      <c r="AS69" s="106"/>
      <c r="AT69" s="333">
        <f t="shared" ref="AT69:BE69" si="111">AT68-AT37</f>
        <v>8451.75</v>
      </c>
      <c r="AU69" s="333">
        <f t="shared" si="111"/>
        <v>-37227.103448275855</v>
      </c>
      <c r="AV69" s="333">
        <f t="shared" si="111"/>
        <v>-6779.1379310344782</v>
      </c>
      <c r="AW69" s="333">
        <f t="shared" si="111"/>
        <v>-22342.137931034478</v>
      </c>
      <c r="AX69" s="333">
        <f t="shared" si="111"/>
        <v>4719.0344827586232</v>
      </c>
      <c r="AY69" s="333">
        <f t="shared" si="111"/>
        <v>-14182.777777777781</v>
      </c>
      <c r="AZ69" s="333">
        <f t="shared" si="111"/>
        <v>-6630.777777777781</v>
      </c>
      <c r="BA69" s="333">
        <f t="shared" si="111"/>
        <v>-77771.296296296292</v>
      </c>
      <c r="BB69" s="333">
        <f t="shared" si="111"/>
        <v>-51486.777777777781</v>
      </c>
      <c r="BC69" s="333">
        <f t="shared" si="111"/>
        <v>-99233.290755657828</v>
      </c>
      <c r="BD69" s="333">
        <f t="shared" si="111"/>
        <v>5175.413118527038</v>
      </c>
      <c r="BE69" s="333">
        <f t="shared" si="111"/>
        <v>5840.3870349060235</v>
      </c>
      <c r="BF69" s="108">
        <f t="shared" si="75"/>
        <v>-291466.71505944064</v>
      </c>
      <c r="BG69" s="106"/>
      <c r="BH69" s="333">
        <f t="shared" ref="BH69:BQ69" si="112">BH68-BH34</f>
        <v>-6365</v>
      </c>
      <c r="BI69" s="333">
        <f t="shared" si="112"/>
        <v>-8486.3333333333285</v>
      </c>
      <c r="BJ69" s="333">
        <f t="shared" si="112"/>
        <v>23180.925925925927</v>
      </c>
      <c r="BK69" s="333">
        <f t="shared" si="112"/>
        <v>-44486.740740740745</v>
      </c>
      <c r="BL69" s="333">
        <f t="shared" si="112"/>
        <v>5926.148148148146</v>
      </c>
      <c r="BM69" s="333">
        <f t="shared" si="112"/>
        <v>10043.740740740745</v>
      </c>
      <c r="BN69" s="333">
        <f t="shared" si="112"/>
        <v>-4917.555555555562</v>
      </c>
      <c r="BO69" s="333">
        <f t="shared" si="112"/>
        <v>3071.6218888889125</v>
      </c>
      <c r="BP69" s="333">
        <f t="shared" si="112"/>
        <v>4652.2504629629548</v>
      </c>
      <c r="BQ69" s="333">
        <f t="shared" si="112"/>
        <v>29010</v>
      </c>
      <c r="BR69" s="108"/>
      <c r="BS69" s="108"/>
      <c r="BT69" s="108">
        <f t="shared" si="107"/>
        <v>11629.05753703705</v>
      </c>
      <c r="BU69" s="28"/>
      <c r="BV69" s="333">
        <v>124435</v>
      </c>
      <c r="BW69" s="333">
        <v>117564</v>
      </c>
      <c r="BX69" s="333">
        <v>133262</v>
      </c>
      <c r="BY69" s="333">
        <v>110312</v>
      </c>
      <c r="BZ69" s="108">
        <v>101441</v>
      </c>
      <c r="CA69" s="108">
        <v>67535</v>
      </c>
      <c r="CB69" s="108">
        <v>155594</v>
      </c>
      <c r="CC69" s="108"/>
      <c r="CD69" s="108"/>
      <c r="CE69" s="108"/>
      <c r="CF69" s="108"/>
      <c r="CG69" s="108"/>
      <c r="CH69" s="108">
        <f t="shared" si="109"/>
        <v>810143</v>
      </c>
      <c r="CJ69" s="333">
        <v>159683</v>
      </c>
      <c r="CK69" s="333">
        <v>182683</v>
      </c>
      <c r="CL69" s="333">
        <v>137562</v>
      </c>
      <c r="CM69" s="333">
        <v>131937</v>
      </c>
      <c r="CN69" s="108"/>
      <c r="CO69" s="108"/>
      <c r="CP69" s="108"/>
      <c r="CQ69" s="108"/>
      <c r="CR69" s="108"/>
      <c r="CS69" s="108"/>
      <c r="CT69" s="108"/>
      <c r="CU69" s="108"/>
      <c r="CV69" s="108"/>
      <c r="CW69" s="758"/>
      <c r="CX69" s="892"/>
      <c r="CY69" s="892"/>
      <c r="CZ69" s="892"/>
      <c r="DA69" s="892"/>
      <c r="DB69" s="893"/>
      <c r="DC69" s="893"/>
      <c r="DD69" s="893"/>
      <c r="DE69" s="893"/>
      <c r="DF69" s="893"/>
      <c r="DG69" s="893"/>
      <c r="DH69" s="893"/>
      <c r="DI69" s="893"/>
      <c r="DJ69" s="108"/>
      <c r="DK69" s="948"/>
      <c r="DL69" s="892"/>
      <c r="DM69" s="892"/>
      <c r="DN69" s="892"/>
      <c r="DO69" s="892"/>
      <c r="DP69" s="893"/>
      <c r="DQ69" s="893"/>
      <c r="DR69" s="893"/>
      <c r="DS69" s="893"/>
      <c r="DT69" s="893"/>
      <c r="DU69" s="893"/>
      <c r="DV69" s="893"/>
      <c r="DW69" s="893"/>
      <c r="DX69" s="108"/>
    </row>
    <row r="70" spans="1:129" ht="15.75" hidden="1" customHeight="1">
      <c r="A70" s="94"/>
      <c r="B70" s="935" t="s">
        <v>81</v>
      </c>
      <c r="C70" s="934"/>
      <c r="D70" s="313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314"/>
      <c r="Q70" s="90"/>
      <c r="R70" s="316"/>
      <c r="S70" s="316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5"/>
      <c r="AE70" s="23"/>
      <c r="AF70" s="316">
        <v>26171</v>
      </c>
      <c r="AG70" s="316">
        <v>21736</v>
      </c>
      <c r="AH70" s="316">
        <v>10736</v>
      </c>
      <c r="AI70" s="316">
        <v>15851</v>
      </c>
      <c r="AJ70" s="316">
        <v>30248</v>
      </c>
      <c r="AK70" s="316">
        <v>34072</v>
      </c>
      <c r="AL70" s="316">
        <v>37481</v>
      </c>
      <c r="AM70" s="91">
        <v>32645</v>
      </c>
      <c r="AN70" s="91">
        <v>30252</v>
      </c>
      <c r="AO70" s="91">
        <v>39494</v>
      </c>
      <c r="AP70" s="91">
        <v>42389</v>
      </c>
      <c r="AQ70" s="91">
        <v>55547</v>
      </c>
      <c r="AR70" s="92">
        <f t="shared" si="100"/>
        <v>376622</v>
      </c>
      <c r="AS70" s="23"/>
      <c r="AT70" s="91">
        <v>30298</v>
      </c>
      <c r="AU70" s="91">
        <v>27364</v>
      </c>
      <c r="AV70" s="91">
        <v>32595</v>
      </c>
      <c r="AW70" s="91">
        <v>28643</v>
      </c>
      <c r="AX70" s="91">
        <v>32208</v>
      </c>
      <c r="AY70" s="91">
        <v>30601</v>
      </c>
      <c r="AZ70" s="91">
        <v>38882</v>
      </c>
      <c r="BA70" s="91">
        <v>30743</v>
      </c>
      <c r="BB70" s="91">
        <f>24621+1200</f>
        <v>25821</v>
      </c>
      <c r="BC70" s="91">
        <v>31662</v>
      </c>
      <c r="BD70" s="91">
        <v>37222</v>
      </c>
      <c r="BE70" s="91">
        <v>53667</v>
      </c>
      <c r="BF70" s="91">
        <f t="shared" si="75"/>
        <v>399706</v>
      </c>
      <c r="BG70" s="93">
        <f>BF70/AR70-1</f>
        <v>6.1292224033646425E-2</v>
      </c>
      <c r="BH70" s="91">
        <v>34097</v>
      </c>
      <c r="BI70" s="91">
        <v>25734</v>
      </c>
      <c r="BJ70" s="91">
        <v>34274</v>
      </c>
      <c r="BK70" s="91">
        <v>28838</v>
      </c>
      <c r="BL70" s="91">
        <v>32785</v>
      </c>
      <c r="BM70" s="91">
        <v>38470</v>
      </c>
      <c r="BN70" s="91">
        <v>48365</v>
      </c>
      <c r="BO70" s="91">
        <v>33280</v>
      </c>
      <c r="BP70" s="91">
        <v>34203</v>
      </c>
      <c r="BQ70" s="91">
        <v>35184</v>
      </c>
      <c r="BR70" s="91">
        <v>34873</v>
      </c>
      <c r="BS70" s="91">
        <v>48960</v>
      </c>
      <c r="BT70" s="91">
        <f t="shared" si="107"/>
        <v>429063</v>
      </c>
      <c r="BU70" s="28"/>
      <c r="BV70" s="91">
        <v>38900</v>
      </c>
      <c r="BW70" s="91">
        <v>31376</v>
      </c>
      <c r="BX70" s="91">
        <v>29886</v>
      </c>
      <c r="BY70" s="91">
        <v>30671</v>
      </c>
      <c r="BZ70" s="91">
        <v>34553</v>
      </c>
      <c r="CA70" s="91">
        <v>36515</v>
      </c>
      <c r="CB70" s="91">
        <v>38915</v>
      </c>
      <c r="CC70" s="91">
        <v>34615</v>
      </c>
      <c r="CD70" s="91">
        <v>29617</v>
      </c>
      <c r="CE70" s="91">
        <v>34538</v>
      </c>
      <c r="CF70" s="91">
        <v>45914</v>
      </c>
      <c r="CG70" s="91">
        <v>60875</v>
      </c>
      <c r="CH70" s="91">
        <f t="shared" si="109"/>
        <v>446375</v>
      </c>
      <c r="CJ70" s="91">
        <v>37717</v>
      </c>
      <c r="CK70" s="91"/>
      <c r="CL70" s="91"/>
      <c r="CM70" s="91"/>
      <c r="CN70" s="91"/>
      <c r="CO70" s="91"/>
      <c r="CP70" s="91"/>
      <c r="CQ70" s="91"/>
      <c r="CR70" s="91"/>
      <c r="CS70" s="91"/>
      <c r="CT70" s="91"/>
      <c r="CU70" s="91"/>
      <c r="CV70" s="91"/>
      <c r="CW70" s="758"/>
      <c r="CX70" s="884">
        <v>22115</v>
      </c>
      <c r="CY70" s="884"/>
      <c r="CZ70" s="884"/>
      <c r="DA70" s="884"/>
      <c r="DB70" s="884"/>
      <c r="DC70" s="884"/>
      <c r="DD70" s="884"/>
      <c r="DE70" s="884"/>
      <c r="DF70" s="884"/>
      <c r="DG70" s="884"/>
      <c r="DH70" s="884"/>
      <c r="DI70" s="884"/>
      <c r="DJ70" s="91"/>
      <c r="DK70" s="948"/>
      <c r="DL70" s="884">
        <v>22115</v>
      </c>
      <c r="DM70" s="884"/>
      <c r="DN70" s="884"/>
      <c r="DO70" s="884"/>
      <c r="DP70" s="884"/>
      <c r="DQ70" s="884"/>
      <c r="DR70" s="884"/>
      <c r="DS70" s="884"/>
      <c r="DT70" s="884"/>
      <c r="DU70" s="884"/>
      <c r="DV70" s="884"/>
      <c r="DW70" s="884"/>
      <c r="DX70" s="91"/>
    </row>
    <row r="71" spans="1:129" ht="18.75">
      <c r="A71" s="103"/>
      <c r="B71" s="932" t="s">
        <v>82</v>
      </c>
      <c r="C71" s="933"/>
      <c r="D71" s="331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332"/>
      <c r="Q71" s="105"/>
      <c r="R71" s="333"/>
      <c r="S71" s="333"/>
      <c r="T71" s="333"/>
      <c r="U71" s="333"/>
      <c r="V71" s="333"/>
      <c r="W71" s="333"/>
      <c r="X71" s="333"/>
      <c r="Y71" s="333"/>
      <c r="Z71" s="333"/>
      <c r="AA71" s="333"/>
      <c r="AB71" s="333"/>
      <c r="AC71" s="333"/>
      <c r="AD71" s="334"/>
      <c r="AE71" s="106"/>
      <c r="AF71" s="333">
        <f t="shared" ref="AF71:AQ71" si="113">AF70-AF61</f>
        <v>-12329</v>
      </c>
      <c r="AG71" s="333">
        <f t="shared" si="113"/>
        <v>-664</v>
      </c>
      <c r="AH71" s="333">
        <f t="shared" si="113"/>
        <v>65</v>
      </c>
      <c r="AI71" s="333">
        <f t="shared" si="113"/>
        <v>-246</v>
      </c>
      <c r="AJ71" s="333">
        <f t="shared" si="113"/>
        <v>-30</v>
      </c>
      <c r="AK71" s="333">
        <f t="shared" si="113"/>
        <v>5512</v>
      </c>
      <c r="AL71" s="333">
        <f t="shared" si="113"/>
        <v>-4219</v>
      </c>
      <c r="AM71" s="333">
        <f t="shared" si="113"/>
        <v>-6055</v>
      </c>
      <c r="AN71" s="333">
        <f t="shared" si="113"/>
        <v>-7048</v>
      </c>
      <c r="AO71" s="333">
        <f t="shared" si="113"/>
        <v>2094</v>
      </c>
      <c r="AP71" s="333">
        <f t="shared" si="113"/>
        <v>1749</v>
      </c>
      <c r="AQ71" s="333">
        <f t="shared" si="113"/>
        <v>1107</v>
      </c>
      <c r="AR71" s="107">
        <f t="shared" si="100"/>
        <v>-20064</v>
      </c>
      <c r="AS71" s="106"/>
      <c r="AT71" s="333">
        <f t="shared" ref="AT71:BE71" si="114">AT70-AT61</f>
        <v>-5855</v>
      </c>
      <c r="AU71" s="333">
        <f t="shared" si="114"/>
        <v>-7925</v>
      </c>
      <c r="AV71" s="333">
        <f t="shared" si="114"/>
        <v>-3277</v>
      </c>
      <c r="AW71" s="333">
        <f t="shared" si="114"/>
        <v>-9388</v>
      </c>
      <c r="AX71" s="333">
        <f t="shared" si="114"/>
        <v>-1358</v>
      </c>
      <c r="AY71" s="333">
        <f t="shared" si="114"/>
        <v>-2965</v>
      </c>
      <c r="AZ71" s="333">
        <f t="shared" si="114"/>
        <v>7986</v>
      </c>
      <c r="BA71" s="333">
        <f t="shared" si="114"/>
        <v>-403</v>
      </c>
      <c r="BB71" s="333">
        <f t="shared" si="114"/>
        <v>-6809</v>
      </c>
      <c r="BC71" s="333">
        <f t="shared" si="114"/>
        <v>-6900</v>
      </c>
      <c r="BD71" s="333">
        <f t="shared" si="114"/>
        <v>-4123</v>
      </c>
      <c r="BE71" s="333">
        <f t="shared" si="114"/>
        <v>4404</v>
      </c>
      <c r="BF71" s="108">
        <f t="shared" si="75"/>
        <v>-36613</v>
      </c>
      <c r="BG71" s="106"/>
      <c r="BH71" s="333">
        <f t="shared" ref="BH71:BQ71" si="115">BH70-BH61</f>
        <v>-2056</v>
      </c>
      <c r="BI71" s="333">
        <f t="shared" si="115"/>
        <v>-9555</v>
      </c>
      <c r="BJ71" s="333">
        <f t="shared" si="115"/>
        <v>-1598</v>
      </c>
      <c r="BK71" s="333">
        <f t="shared" si="115"/>
        <v>-9193</v>
      </c>
      <c r="BL71" s="333">
        <f t="shared" si="115"/>
        <v>-5785</v>
      </c>
      <c r="BM71" s="333">
        <f t="shared" si="115"/>
        <v>-757</v>
      </c>
      <c r="BN71" s="333">
        <f t="shared" si="115"/>
        <v>7237</v>
      </c>
      <c r="BO71" s="333">
        <f t="shared" si="115"/>
        <v>-4911</v>
      </c>
      <c r="BP71" s="333">
        <f t="shared" si="115"/>
        <v>-3988</v>
      </c>
      <c r="BQ71" s="333">
        <f t="shared" si="115"/>
        <v>-5041</v>
      </c>
      <c r="BR71" s="108"/>
      <c r="BS71" s="108"/>
      <c r="BT71" s="108">
        <f t="shared" si="107"/>
        <v>-35647</v>
      </c>
      <c r="BU71" s="28"/>
      <c r="BV71" s="333">
        <v>27740</v>
      </c>
      <c r="BW71" s="333">
        <v>23272</v>
      </c>
      <c r="BX71" s="333">
        <v>24576</v>
      </c>
      <c r="BY71" s="108">
        <v>26006</v>
      </c>
      <c r="BZ71" s="108">
        <v>30640</v>
      </c>
      <c r="CA71" s="108">
        <v>30640</v>
      </c>
      <c r="CB71" s="108">
        <v>29618</v>
      </c>
      <c r="CC71" s="108">
        <v>29686</v>
      </c>
      <c r="CD71" s="108">
        <v>29993</v>
      </c>
      <c r="CE71" s="108">
        <v>31540</v>
      </c>
      <c r="CF71" s="108">
        <v>38086</v>
      </c>
      <c r="CG71" s="108">
        <v>54003</v>
      </c>
      <c r="CH71" s="108">
        <f t="shared" si="109"/>
        <v>375800</v>
      </c>
      <c r="CJ71" s="333">
        <f>BV71*1.03</f>
        <v>28572.2</v>
      </c>
      <c r="CK71" s="333">
        <f>BW71*1.03</f>
        <v>23970.16</v>
      </c>
      <c r="CL71" s="333">
        <f t="shared" ref="CL71:CU71" si="116">BX71*1.03</f>
        <v>25313.279999999999</v>
      </c>
      <c r="CM71" s="333">
        <v>29046</v>
      </c>
      <c r="CN71" s="333">
        <f t="shared" si="116"/>
        <v>31559.200000000001</v>
      </c>
      <c r="CO71" s="333">
        <f t="shared" si="116"/>
        <v>31559.200000000001</v>
      </c>
      <c r="CP71" s="333">
        <f t="shared" si="116"/>
        <v>30506.54</v>
      </c>
      <c r="CQ71" s="333">
        <f t="shared" si="116"/>
        <v>30576.58</v>
      </c>
      <c r="CR71" s="333">
        <f t="shared" si="116"/>
        <v>30892.79</v>
      </c>
      <c r="CS71" s="333">
        <f t="shared" si="116"/>
        <v>32486.2</v>
      </c>
      <c r="CT71" s="333">
        <f t="shared" si="116"/>
        <v>39228.58</v>
      </c>
      <c r="CU71" s="333">
        <v>45000</v>
      </c>
      <c r="CV71" s="108">
        <f>SUM(CJ71:CU71)</f>
        <v>378710.73000000004</v>
      </c>
      <c r="CW71" s="758"/>
      <c r="CX71" s="892">
        <f>CJ71</f>
        <v>28572.2</v>
      </c>
      <c r="CY71" s="892">
        <f>CK71</f>
        <v>23970.16</v>
      </c>
      <c r="CZ71" s="892">
        <f t="shared" ref="CY71:DI71" si="117">CL71</f>
        <v>25313.279999999999</v>
      </c>
      <c r="DA71" s="892">
        <f t="shared" si="117"/>
        <v>29046</v>
      </c>
      <c r="DB71" s="892">
        <f t="shared" si="117"/>
        <v>31559.200000000001</v>
      </c>
      <c r="DC71" s="892">
        <f t="shared" si="117"/>
        <v>31559.200000000001</v>
      </c>
      <c r="DD71" s="892">
        <f t="shared" si="117"/>
        <v>30506.54</v>
      </c>
      <c r="DE71" s="892">
        <f t="shared" si="117"/>
        <v>30576.58</v>
      </c>
      <c r="DF71" s="892">
        <f t="shared" si="117"/>
        <v>30892.79</v>
      </c>
      <c r="DG71" s="892">
        <f t="shared" si="117"/>
        <v>32486.2</v>
      </c>
      <c r="DH71" s="892">
        <f t="shared" si="117"/>
        <v>39228.58</v>
      </c>
      <c r="DI71" s="892">
        <f t="shared" si="117"/>
        <v>45000</v>
      </c>
      <c r="DJ71" s="108">
        <f>SUM(CX71:DI71)</f>
        <v>378710.73000000004</v>
      </c>
      <c r="DK71" s="952">
        <f>DJ71-CV71</f>
        <v>0</v>
      </c>
      <c r="DL71" s="892">
        <f>CX71</f>
        <v>28572.2</v>
      </c>
      <c r="DM71" s="892">
        <f>CY71</f>
        <v>23970.16</v>
      </c>
      <c r="DN71" s="892">
        <f t="shared" ref="DN71" si="118">CZ71</f>
        <v>25313.279999999999</v>
      </c>
      <c r="DO71" s="892">
        <f t="shared" ref="DO71" si="119">DA71</f>
        <v>29046</v>
      </c>
      <c r="DP71" s="892">
        <f t="shared" ref="DP71" si="120">DB71</f>
        <v>31559.200000000001</v>
      </c>
      <c r="DQ71" s="892">
        <f t="shared" ref="DQ71" si="121">DC71</f>
        <v>31559.200000000001</v>
      </c>
      <c r="DR71" s="892">
        <f t="shared" ref="DR71" si="122">DD71</f>
        <v>30506.54</v>
      </c>
      <c r="DS71" s="892">
        <f t="shared" ref="DS71" si="123">DE71</f>
        <v>30576.58</v>
      </c>
      <c r="DT71" s="892">
        <f t="shared" ref="DT71" si="124">DF71</f>
        <v>30892.79</v>
      </c>
      <c r="DU71" s="892">
        <f t="shared" ref="DU71" si="125">DG71</f>
        <v>32486.2</v>
      </c>
      <c r="DV71" s="892">
        <f t="shared" ref="DV71" si="126">DH71</f>
        <v>39228.58</v>
      </c>
      <c r="DW71" s="892">
        <f t="shared" ref="DW71" si="127">DI71</f>
        <v>45000</v>
      </c>
      <c r="DX71" s="108">
        <f>SUM(DL71:DW71)</f>
        <v>378710.73000000004</v>
      </c>
      <c r="DY71" s="598">
        <f>DX71-DJ71</f>
        <v>0</v>
      </c>
    </row>
    <row r="72" spans="1:129" ht="18.75" hidden="1">
      <c r="A72" s="103" t="s">
        <v>83</v>
      </c>
      <c r="B72" s="932" t="s">
        <v>84</v>
      </c>
      <c r="C72" s="933"/>
      <c r="D72" s="331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332"/>
      <c r="Q72" s="105"/>
      <c r="R72" s="333"/>
      <c r="S72" s="333"/>
      <c r="T72" s="333"/>
      <c r="U72" s="333"/>
      <c r="V72" s="333"/>
      <c r="W72" s="333"/>
      <c r="X72" s="333"/>
      <c r="Y72" s="333"/>
      <c r="Z72" s="333"/>
      <c r="AA72" s="333"/>
      <c r="AB72" s="333"/>
      <c r="AC72" s="333"/>
      <c r="AD72" s="334"/>
      <c r="AE72" s="106"/>
      <c r="AF72" s="333">
        <f>AF67-AF33</f>
        <v>-10282</v>
      </c>
      <c r="AG72" s="333">
        <f>AG67-AG33</f>
        <v>-4235</v>
      </c>
      <c r="AH72" s="333">
        <f>AH67-AH33</f>
        <v>-154</v>
      </c>
      <c r="AI72" s="333">
        <f>AI67-AI33</f>
        <v>-1981</v>
      </c>
      <c r="AJ72" s="333">
        <f>AJ67-AJ33</f>
        <v>-2477</v>
      </c>
      <c r="AK72" s="333">
        <f>AK67-AK33</f>
        <v>6187</v>
      </c>
      <c r="AL72" s="333">
        <f>AL67-AL33</f>
        <v>-13922</v>
      </c>
      <c r="AM72" s="333">
        <f>AM67-AM33</f>
        <v>-58130</v>
      </c>
      <c r="AN72" s="333">
        <f>AN67-AN33</f>
        <v>-66535.333333333343</v>
      </c>
      <c r="AO72" s="333">
        <f>AO67-AO33</f>
        <v>-12969</v>
      </c>
      <c r="AP72" s="333">
        <f>AP67-AP33</f>
        <v>-21294</v>
      </c>
      <c r="AQ72" s="333">
        <f>AQ67-AQ33</f>
        <v>-10456</v>
      </c>
      <c r="AR72" s="107">
        <f t="shared" si="100"/>
        <v>-196248.33333333334</v>
      </c>
      <c r="AS72" s="106"/>
      <c r="AT72" s="333">
        <f t="shared" ref="AT72:BE72" si="128">AT67-AT33</f>
        <v>2596.75</v>
      </c>
      <c r="AU72" s="333">
        <f t="shared" si="128"/>
        <v>-45152.103448275855</v>
      </c>
      <c r="AV72" s="333">
        <f t="shared" si="128"/>
        <v>-10056.137931034493</v>
      </c>
      <c r="AW72" s="333">
        <f t="shared" si="128"/>
        <v>-31730.137931034493</v>
      </c>
      <c r="AX72" s="333">
        <f t="shared" si="128"/>
        <v>3361.0344827586232</v>
      </c>
      <c r="AY72" s="333">
        <f t="shared" si="128"/>
        <v>-17147.777777777781</v>
      </c>
      <c r="AZ72" s="333">
        <f t="shared" si="128"/>
        <v>1355.222222222219</v>
      </c>
      <c r="BA72" s="333">
        <f t="shared" si="128"/>
        <v>-78174.296296296292</v>
      </c>
      <c r="BB72" s="333">
        <f t="shared" si="128"/>
        <v>-58295.777777777781</v>
      </c>
      <c r="BC72" s="333">
        <f t="shared" si="128"/>
        <v>-106133.29075565783</v>
      </c>
      <c r="BD72" s="333">
        <f t="shared" si="128"/>
        <v>1052.413118527038</v>
      </c>
      <c r="BE72" s="333">
        <f t="shared" si="128"/>
        <v>17507.387034906016</v>
      </c>
      <c r="BF72" s="108">
        <f t="shared" si="75"/>
        <v>-320816.71505944064</v>
      </c>
      <c r="BG72" s="106"/>
      <c r="BH72" s="333">
        <f t="shared" ref="BH72:BQ72" si="129">BH67-BH33</f>
        <v>-8421</v>
      </c>
      <c r="BI72" s="333">
        <f t="shared" si="129"/>
        <v>-18041.333333333314</v>
      </c>
      <c r="BJ72" s="333">
        <f t="shared" si="129"/>
        <v>21582.925925925927</v>
      </c>
      <c r="BK72" s="333">
        <f t="shared" si="129"/>
        <v>-53679.74074074073</v>
      </c>
      <c r="BL72" s="333">
        <f t="shared" si="129"/>
        <v>141.14814814814599</v>
      </c>
      <c r="BM72" s="333">
        <f t="shared" si="129"/>
        <v>9286.7407407407445</v>
      </c>
      <c r="BN72" s="333">
        <f t="shared" si="129"/>
        <v>2319.444444444438</v>
      </c>
      <c r="BO72" s="333">
        <f t="shared" si="129"/>
        <v>7351.6218888889125</v>
      </c>
      <c r="BP72" s="333">
        <f t="shared" si="129"/>
        <v>-1367.7495370370452</v>
      </c>
      <c r="BQ72" s="333">
        <f t="shared" si="129"/>
        <v>27459</v>
      </c>
      <c r="BR72" s="108"/>
      <c r="BS72" s="108"/>
      <c r="BT72" s="108">
        <f t="shared" si="107"/>
        <v>-13368.942462962921</v>
      </c>
      <c r="BU72" s="28"/>
      <c r="BV72" s="333"/>
      <c r="BW72" s="333"/>
      <c r="BX72" s="333"/>
      <c r="BY72" s="333"/>
      <c r="BZ72" s="108"/>
      <c r="CA72" s="108"/>
      <c r="CB72" s="108">
        <f>CB71+CB68</f>
        <v>193663</v>
      </c>
      <c r="CC72" s="108">
        <f>CC71+CC68</f>
        <v>177853</v>
      </c>
      <c r="CD72" s="108">
        <f t="shared" ref="CD72:CH72" si="130">CD71+CD68</f>
        <v>219708</v>
      </c>
      <c r="CE72" s="108">
        <f t="shared" si="130"/>
        <v>197028</v>
      </c>
      <c r="CF72" s="108">
        <f t="shared" si="130"/>
        <v>141915</v>
      </c>
      <c r="CG72" s="108">
        <f t="shared" si="130"/>
        <v>93970</v>
      </c>
      <c r="CH72" s="108"/>
      <c r="CJ72" s="333">
        <v>27785</v>
      </c>
      <c r="CK72" s="333">
        <v>23447</v>
      </c>
      <c r="CL72" s="333">
        <v>26944</v>
      </c>
      <c r="CM72" s="333"/>
      <c r="CN72" s="108"/>
      <c r="CO72" s="108"/>
      <c r="CP72" s="108"/>
      <c r="CQ72" s="108"/>
      <c r="CR72" s="108"/>
      <c r="CS72" s="108"/>
      <c r="CT72" s="108"/>
      <c r="CU72" s="108"/>
      <c r="CV72" s="108"/>
      <c r="CW72" s="758"/>
      <c r="CX72" s="892"/>
      <c r="CY72" s="892"/>
      <c r="CZ72" s="892"/>
      <c r="DA72" s="892"/>
      <c r="DB72" s="893"/>
      <c r="DC72" s="893"/>
      <c r="DD72" s="893"/>
      <c r="DE72" s="893"/>
      <c r="DF72" s="893"/>
      <c r="DG72" s="893"/>
      <c r="DH72" s="893"/>
      <c r="DI72" s="893"/>
      <c r="DJ72" s="108"/>
      <c r="DK72" s="948"/>
      <c r="DL72" s="892"/>
      <c r="DM72" s="892"/>
      <c r="DN72" s="892"/>
      <c r="DO72" s="892"/>
      <c r="DP72" s="893"/>
      <c r="DQ72" s="893"/>
      <c r="DR72" s="893"/>
      <c r="DS72" s="893"/>
      <c r="DT72" s="893"/>
      <c r="DU72" s="893"/>
      <c r="DV72" s="893"/>
      <c r="DW72" s="893"/>
      <c r="DX72" s="108"/>
    </row>
    <row r="73" spans="1:129" ht="18.75" hidden="1">
      <c r="A73" s="103" t="s">
        <v>85</v>
      </c>
      <c r="B73" s="932"/>
      <c r="C73" s="933"/>
      <c r="D73" s="331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332"/>
      <c r="Q73" s="105"/>
      <c r="R73" s="333"/>
      <c r="S73" s="333"/>
      <c r="T73" s="333"/>
      <c r="U73" s="333"/>
      <c r="V73" s="333"/>
      <c r="W73" s="333"/>
      <c r="X73" s="333"/>
      <c r="Y73" s="333"/>
      <c r="Z73" s="333"/>
      <c r="AA73" s="333"/>
      <c r="AB73" s="333"/>
      <c r="AC73" s="333"/>
      <c r="AD73" s="334"/>
      <c r="AE73" s="106"/>
      <c r="AF73" s="333">
        <f>AF68-AF34</f>
        <v>92193</v>
      </c>
      <c r="AG73" s="333">
        <f>AG68-AG34</f>
        <v>152006</v>
      </c>
      <c r="AH73" s="333">
        <f>AH68-AH34</f>
        <v>62734</v>
      </c>
      <c r="AI73" s="333">
        <f>AI68-AI34</f>
        <v>71526</v>
      </c>
      <c r="AJ73" s="333">
        <f>AJ68-AJ34</f>
        <v>89409</v>
      </c>
      <c r="AK73" s="333">
        <f>AK68-AK34</f>
        <v>120675</v>
      </c>
      <c r="AL73" s="333">
        <f>AL68-AL34</f>
        <v>100592</v>
      </c>
      <c r="AM73" s="333">
        <f>AM68-AM34</f>
        <v>148128</v>
      </c>
      <c r="AN73" s="333">
        <f>AN68-AN34</f>
        <v>164346</v>
      </c>
      <c r="AO73" s="333">
        <f>AO68-AO34</f>
        <v>203437</v>
      </c>
      <c r="AP73" s="333">
        <f>AP68-AP34</f>
        <v>64957</v>
      </c>
      <c r="AQ73" s="333">
        <f>AQ68-AQ34</f>
        <v>31837</v>
      </c>
      <c r="AR73" s="107">
        <f t="shared" si="100"/>
        <v>1301840</v>
      </c>
      <c r="AS73" s="106"/>
      <c r="AT73" s="338">
        <f t="shared" ref="AT73:BE73" si="131">AT72/AT33</f>
        <v>1.7000083470131603E-2</v>
      </c>
      <c r="AU73" s="338">
        <f t="shared" si="131"/>
        <v>-0.26792985919579565</v>
      </c>
      <c r="AV73" s="338">
        <f t="shared" si="131"/>
        <v>-6.5248272015318062E-2</v>
      </c>
      <c r="AW73" s="338">
        <f t="shared" si="131"/>
        <v>-0.19881644480138216</v>
      </c>
      <c r="AX73" s="338">
        <f t="shared" si="131"/>
        <v>2.798530764170884E-2</v>
      </c>
      <c r="AY73" s="338">
        <f t="shared" si="131"/>
        <v>-0.12395048084722922</v>
      </c>
      <c r="AZ73" s="338">
        <f t="shared" si="131"/>
        <v>8.1309864112464342E-3</v>
      </c>
      <c r="BA73" s="338">
        <f t="shared" si="131"/>
        <v>-0.32244495902957893</v>
      </c>
      <c r="BB73" s="338">
        <f t="shared" si="131"/>
        <v>-0.23949841829212068</v>
      </c>
      <c r="BC73" s="338">
        <f t="shared" si="131"/>
        <v>-0.41888939787658819</v>
      </c>
      <c r="BD73" s="338">
        <f t="shared" si="131"/>
        <v>7.8214003811977375E-3</v>
      </c>
      <c r="BE73" s="338">
        <f t="shared" si="131"/>
        <v>0.24086123043473662</v>
      </c>
      <c r="BF73" s="109">
        <f>AVERAGE(AT73:BE73)</f>
        <v>-0.11124823530991597</v>
      </c>
      <c r="BG73" s="106"/>
      <c r="BH73" s="338">
        <f t="shared" ref="BH73:BQ73" si="132">BH72/BH33</f>
        <v>-5.512821352117471E-2</v>
      </c>
      <c r="BI73" s="338">
        <f t="shared" si="132"/>
        <v>-0.12287867195499311</v>
      </c>
      <c r="BJ73" s="338">
        <f t="shared" si="132"/>
        <v>0.12581416416796784</v>
      </c>
      <c r="BK73" s="338">
        <f t="shared" si="132"/>
        <v>-0.33597769224938256</v>
      </c>
      <c r="BL73" s="338">
        <f t="shared" si="132"/>
        <v>1.0652943536044719E-3</v>
      </c>
      <c r="BM73" s="338">
        <f t="shared" si="132"/>
        <v>7.1488016002422286E-2</v>
      </c>
      <c r="BN73" s="338">
        <f t="shared" si="132"/>
        <v>1.3533646427895287E-2</v>
      </c>
      <c r="BO73" s="338">
        <f t="shared" si="132"/>
        <v>4.0944619366602007E-2</v>
      </c>
      <c r="BP73" s="338">
        <f t="shared" si="132"/>
        <v>-6.7692361075750926E-3</v>
      </c>
      <c r="BQ73" s="338">
        <f t="shared" si="132"/>
        <v>0.16757086626186191</v>
      </c>
      <c r="BR73" s="109"/>
      <c r="BS73" s="109"/>
      <c r="BT73" s="338">
        <f>BT72/BT33</f>
        <v>-7.1185036907011742E-3</v>
      </c>
      <c r="BU73" s="54"/>
      <c r="BV73" s="338"/>
      <c r="BW73" s="338"/>
      <c r="BX73" s="338"/>
      <c r="BY73" s="338"/>
      <c r="BZ73" s="109"/>
      <c r="CA73" s="109"/>
      <c r="CB73" s="109"/>
      <c r="CC73" s="109"/>
      <c r="CD73" s="109"/>
      <c r="CE73" s="109"/>
      <c r="CF73" s="109"/>
      <c r="CG73" s="109"/>
      <c r="CH73" s="109"/>
      <c r="CJ73" s="338"/>
      <c r="CK73" s="338"/>
      <c r="CL73" s="338"/>
      <c r="CM73" s="338"/>
      <c r="CN73" s="109"/>
      <c r="CO73" s="109"/>
      <c r="CP73" s="109"/>
      <c r="CQ73" s="109"/>
      <c r="CR73" s="109"/>
      <c r="CS73" s="109"/>
      <c r="CT73" s="109"/>
      <c r="CU73" s="109"/>
      <c r="CV73" s="109"/>
      <c r="CW73" s="758"/>
      <c r="CX73" s="894"/>
      <c r="CY73" s="894"/>
      <c r="CZ73" s="894"/>
      <c r="DA73" s="894"/>
      <c r="DB73" s="895"/>
      <c r="DC73" s="895"/>
      <c r="DD73" s="895"/>
      <c r="DE73" s="895"/>
      <c r="DF73" s="895"/>
      <c r="DG73" s="895"/>
      <c r="DH73" s="895"/>
      <c r="DI73" s="895"/>
      <c r="DJ73" s="109"/>
      <c r="DK73" s="948"/>
      <c r="DL73" s="894"/>
      <c r="DM73" s="894"/>
      <c r="DN73" s="894"/>
      <c r="DO73" s="894"/>
      <c r="DP73" s="895"/>
      <c r="DQ73" s="895"/>
      <c r="DR73" s="895"/>
      <c r="DS73" s="895"/>
      <c r="DT73" s="895"/>
      <c r="DU73" s="895"/>
      <c r="DV73" s="895"/>
      <c r="DW73" s="895"/>
      <c r="DX73" s="109"/>
    </row>
    <row r="74" spans="1:129" ht="14.25" hidden="1" customHeight="1">
      <c r="A74" s="55" t="s">
        <v>86</v>
      </c>
      <c r="B74" s="958" t="s">
        <v>124</v>
      </c>
      <c r="C74" s="959"/>
      <c r="D74" s="960"/>
      <c r="E74" s="961"/>
      <c r="F74" s="961"/>
      <c r="G74" s="961"/>
      <c r="H74" s="961"/>
      <c r="I74" s="961"/>
      <c r="J74" s="961"/>
      <c r="K74" s="961"/>
      <c r="L74" s="961"/>
      <c r="M74" s="961"/>
      <c r="N74" s="961"/>
      <c r="O74" s="961"/>
      <c r="P74" s="962"/>
      <c r="Q74" s="963"/>
      <c r="R74" s="960"/>
      <c r="S74" s="964"/>
      <c r="T74" s="964"/>
      <c r="U74" s="964"/>
      <c r="V74" s="964"/>
      <c r="W74" s="965"/>
      <c r="X74" s="965"/>
      <c r="Y74" s="965"/>
      <c r="Z74" s="965"/>
      <c r="AA74" s="965"/>
      <c r="AB74" s="965"/>
      <c r="AC74" s="965"/>
      <c r="AD74" s="966"/>
      <c r="AE74" s="967"/>
      <c r="AF74" s="599"/>
      <c r="AG74" s="964"/>
      <c r="AH74" s="964"/>
      <c r="AI74" s="964"/>
      <c r="AJ74" s="964"/>
      <c r="AK74" s="964"/>
      <c r="AL74" s="964"/>
      <c r="AM74" s="964"/>
      <c r="AN74" s="964"/>
      <c r="AO74" s="964"/>
      <c r="AP74" s="964"/>
      <c r="AQ74" s="964"/>
      <c r="AR74" s="964"/>
      <c r="AS74" s="967"/>
      <c r="AT74" s="964"/>
      <c r="AU74" s="964"/>
      <c r="AV74" s="964"/>
      <c r="AW74" s="964"/>
      <c r="AX74" s="964"/>
      <c r="AY74" s="964"/>
      <c r="AZ74" s="964"/>
      <c r="BA74" s="964"/>
      <c r="BB74" s="964"/>
      <c r="BC74" s="964"/>
      <c r="BD74" s="964"/>
      <c r="BE74" s="964"/>
      <c r="BF74" s="964"/>
      <c r="BG74" s="967"/>
      <c r="BH74" s="964"/>
      <c r="BI74" s="964"/>
      <c r="BJ74" s="964"/>
      <c r="BK74" s="964"/>
      <c r="BL74" s="964"/>
      <c r="BM74" s="964"/>
      <c r="BN74" s="964"/>
      <c r="BO74" s="964"/>
      <c r="BP74" s="964"/>
      <c r="BQ74" s="964"/>
      <c r="BR74" s="964"/>
      <c r="BS74" s="964"/>
      <c r="BT74" s="964"/>
      <c r="BU74" s="968"/>
      <c r="BV74" s="964"/>
      <c r="BW74" s="964"/>
      <c r="BX74" s="964"/>
      <c r="BY74" s="964"/>
      <c r="BZ74" s="964"/>
      <c r="CA74" s="964"/>
      <c r="CB74" s="964"/>
      <c r="CC74" s="964"/>
      <c r="CD74" s="964"/>
      <c r="CE74" s="964"/>
      <c r="CF74" s="964"/>
      <c r="CG74" s="964"/>
      <c r="CH74" s="964"/>
      <c r="CI74" s="969"/>
      <c r="CJ74" s="964"/>
      <c r="CK74" s="964"/>
      <c r="CL74" s="964"/>
      <c r="CM74" s="964"/>
      <c r="CN74" s="964"/>
      <c r="CO74" s="964"/>
      <c r="CP74" s="964"/>
      <c r="CQ74" s="964"/>
      <c r="CR74" s="964"/>
      <c r="CS74" s="964"/>
      <c r="CT74" s="964">
        <f>SUM(CT76:CT78)</f>
        <v>164656.85004219407</v>
      </c>
      <c r="CU74" s="964">
        <f>SUM(CU76:CU78)</f>
        <v>91745.822784810123</v>
      </c>
      <c r="CV74" s="964"/>
      <c r="CW74" s="956">
        <f>SUM(CX74:DC74)</f>
        <v>996971.73999999987</v>
      </c>
      <c r="CX74" s="964">
        <f>SUM(CX76:CX78)</f>
        <v>194469.46000000002</v>
      </c>
      <c r="CY74" s="964">
        <f t="shared" ref="CX74:DI74" si="133">SUM(CY76:CY78)</f>
        <v>159466.88999999998</v>
      </c>
      <c r="CZ74" s="964">
        <f t="shared" si="133"/>
        <v>208203.57</v>
      </c>
      <c r="DA74" s="964">
        <f t="shared" si="133"/>
        <v>158532.44</v>
      </c>
      <c r="DB74" s="964">
        <f t="shared" si="133"/>
        <v>157404.75999999998</v>
      </c>
      <c r="DC74" s="964">
        <f t="shared" si="133"/>
        <v>118894.62</v>
      </c>
      <c r="DD74" s="964">
        <f t="shared" si="133"/>
        <v>211625.73</v>
      </c>
      <c r="DE74" s="964">
        <f t="shared" si="133"/>
        <v>208193.11</v>
      </c>
      <c r="DF74" s="964">
        <f t="shared" si="133"/>
        <v>269889.13</v>
      </c>
      <c r="DG74" s="964">
        <f t="shared" si="133"/>
        <v>258868.84085232066</v>
      </c>
      <c r="DH74" s="964">
        <f t="shared" si="133"/>
        <v>178376.53444641351</v>
      </c>
      <c r="DI74" s="964">
        <f t="shared" si="133"/>
        <v>114212.18776329115</v>
      </c>
      <c r="DJ74" s="599">
        <f>SUM(CX74:DI74)</f>
        <v>2238137.2730620252</v>
      </c>
      <c r="DK74" s="948"/>
      <c r="DL74" s="896">
        <f>SUM(DL76:DL78)</f>
        <v>213916.40600000005</v>
      </c>
      <c r="DM74" s="896">
        <f t="shared" ref="DM74:DX74" si="134">SUM(DM76:DM78)</f>
        <v>175413.579</v>
      </c>
      <c r="DN74" s="896">
        <f t="shared" si="134"/>
        <v>229023.92700000003</v>
      </c>
      <c r="DO74" s="896">
        <f t="shared" si="134"/>
        <v>174385.68400000001</v>
      </c>
      <c r="DP74" s="896">
        <f t="shared" si="134"/>
        <v>173145.236</v>
      </c>
      <c r="DQ74" s="896">
        <f t="shared" si="134"/>
        <v>130784.08200000001</v>
      </c>
      <c r="DR74" s="896">
        <f t="shared" si="134"/>
        <v>232788.30300000004</v>
      </c>
      <c r="DS74" s="896">
        <f t="shared" si="134"/>
        <v>229012.421</v>
      </c>
      <c r="DT74" s="896">
        <f t="shared" si="134"/>
        <v>296878.04300000001</v>
      </c>
      <c r="DU74" s="896">
        <f t="shared" si="134"/>
        <v>284755.72493755276</v>
      </c>
      <c r="DV74" s="896">
        <f t="shared" si="134"/>
        <v>196214.18789105487</v>
      </c>
      <c r="DW74" s="896">
        <f t="shared" si="134"/>
        <v>125633.40653962028</v>
      </c>
      <c r="DX74" s="778">
        <f>SUM(DL74:DW74)</f>
        <v>2461951.0003682282</v>
      </c>
    </row>
    <row r="75" spans="1:129" ht="21" hidden="1" customHeight="1">
      <c r="A75" s="55"/>
      <c r="B75" s="766" t="s">
        <v>87</v>
      </c>
      <c r="C75" s="767"/>
      <c r="D75" s="768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71"/>
      <c r="R75" s="768"/>
      <c r="S75" s="772"/>
      <c r="T75" s="772"/>
      <c r="U75" s="772"/>
      <c r="V75" s="772"/>
      <c r="W75" s="773"/>
      <c r="X75" s="773"/>
      <c r="Y75" s="773"/>
      <c r="Z75" s="773"/>
      <c r="AA75" s="773"/>
      <c r="AB75" s="773"/>
      <c r="AC75" s="773"/>
      <c r="AD75" s="774"/>
      <c r="AE75" s="775"/>
      <c r="AF75" s="776"/>
      <c r="AG75" s="776"/>
      <c r="AH75" s="776"/>
      <c r="AI75" s="776"/>
      <c r="AJ75" s="776"/>
      <c r="AK75" s="776"/>
      <c r="AL75" s="776"/>
      <c r="AM75" s="776"/>
      <c r="AN75" s="776"/>
      <c r="AO75" s="776"/>
      <c r="AP75" s="776"/>
      <c r="AQ75" s="776"/>
      <c r="AR75" s="772"/>
      <c r="AS75" s="775"/>
      <c r="AT75" s="776"/>
      <c r="AU75" s="776"/>
      <c r="AV75" s="776"/>
      <c r="AW75" s="776"/>
      <c r="AX75" s="776"/>
      <c r="AY75" s="776"/>
      <c r="AZ75" s="776"/>
      <c r="BA75" s="776"/>
      <c r="BB75" s="776"/>
      <c r="BC75" s="776"/>
      <c r="BD75" s="776"/>
      <c r="BE75" s="776"/>
      <c r="BF75" s="772"/>
      <c r="BG75" s="775"/>
      <c r="BH75" s="776"/>
      <c r="BI75" s="776"/>
      <c r="BJ75" s="776"/>
      <c r="BK75" s="776"/>
      <c r="BL75" s="776"/>
      <c r="BM75" s="776"/>
      <c r="BN75" s="776"/>
      <c r="BO75" s="776"/>
      <c r="BP75" s="776"/>
      <c r="BQ75" s="776"/>
      <c r="BR75" s="776"/>
      <c r="BS75" s="776"/>
      <c r="BT75" s="776"/>
      <c r="BU75" s="777"/>
      <c r="BV75" s="778">
        <v>152642</v>
      </c>
      <c r="BW75" s="778">
        <v>141495</v>
      </c>
      <c r="BX75" s="778">
        <v>158268</v>
      </c>
      <c r="BY75" s="778">
        <v>135742</v>
      </c>
      <c r="BZ75" s="778">
        <v>130614</v>
      </c>
      <c r="CA75" s="778">
        <v>97296</v>
      </c>
      <c r="CB75" s="778">
        <v>180319</v>
      </c>
      <c r="CC75" s="778">
        <v>175137</v>
      </c>
      <c r="CD75" s="778">
        <v>216035</v>
      </c>
      <c r="CE75" s="778">
        <v>188049</v>
      </c>
      <c r="CF75" s="778">
        <v>139782</v>
      </c>
      <c r="CG75" s="778">
        <v>90604</v>
      </c>
      <c r="CH75" s="776">
        <f>SUM(BV75:CG75)</f>
        <v>1805983</v>
      </c>
      <c r="CI75" s="779"/>
      <c r="CJ75" s="778" t="s">
        <v>88</v>
      </c>
      <c r="CK75" s="778">
        <f t="shared" ref="CK75:CV75" si="135">BW75</f>
        <v>141495</v>
      </c>
      <c r="CL75" s="778">
        <f t="shared" si="135"/>
        <v>158268</v>
      </c>
      <c r="CM75" s="778">
        <f t="shared" si="135"/>
        <v>135742</v>
      </c>
      <c r="CN75" s="778">
        <f t="shared" si="135"/>
        <v>130614</v>
      </c>
      <c r="CO75" s="778">
        <f t="shared" si="135"/>
        <v>97296</v>
      </c>
      <c r="CP75" s="778">
        <f t="shared" si="135"/>
        <v>180319</v>
      </c>
      <c r="CQ75" s="778">
        <f t="shared" si="135"/>
        <v>175137</v>
      </c>
      <c r="CR75" s="778">
        <f t="shared" si="135"/>
        <v>216035</v>
      </c>
      <c r="CS75" s="778">
        <f>CS76</f>
        <v>237402.61350210969</v>
      </c>
      <c r="CT75" s="778">
        <f>CT76</f>
        <v>113946.85004219407</v>
      </c>
      <c r="CU75" s="778">
        <f t="shared" ref="CU75:CV75" si="136">CU76</f>
        <v>79742.822784810123</v>
      </c>
      <c r="CV75" s="778">
        <f t="shared" si="135"/>
        <v>1805983</v>
      </c>
      <c r="CW75" s="758"/>
      <c r="CX75" s="897"/>
      <c r="CY75" s="897"/>
      <c r="CZ75" s="897"/>
      <c r="DA75" s="897"/>
      <c r="DB75" s="897"/>
      <c r="DC75" s="897"/>
      <c r="DD75" s="897"/>
      <c r="DE75" s="897"/>
      <c r="DF75" s="897"/>
      <c r="DG75" s="897"/>
      <c r="DH75" s="897"/>
      <c r="DI75" s="897">
        <v>114212.18776329115</v>
      </c>
      <c r="DJ75" s="778"/>
      <c r="DK75" s="948"/>
      <c r="DL75" s="897"/>
      <c r="DM75" s="897"/>
      <c r="DN75" s="897"/>
      <c r="DO75" s="897"/>
      <c r="DP75" s="897"/>
      <c r="DQ75" s="897"/>
      <c r="DR75" s="897"/>
      <c r="DS75" s="897"/>
      <c r="DT75" s="897"/>
      <c r="DU75" s="897"/>
      <c r="DV75" s="897"/>
      <c r="DW75" s="897">
        <v>114212.18776329115</v>
      </c>
      <c r="DX75" s="778"/>
    </row>
    <row r="76" spans="1:129" ht="22.5" customHeight="1">
      <c r="A76" s="765"/>
      <c r="B76" s="766" t="s">
        <v>125</v>
      </c>
      <c r="C76" s="767"/>
      <c r="D76" s="768"/>
      <c r="E76" s="769"/>
      <c r="F76" s="769"/>
      <c r="G76" s="769"/>
      <c r="H76" s="769"/>
      <c r="I76" s="769"/>
      <c r="J76" s="769"/>
      <c r="K76" s="769"/>
      <c r="L76" s="769"/>
      <c r="M76" s="769"/>
      <c r="N76" s="769"/>
      <c r="O76" s="769"/>
      <c r="P76" s="770"/>
      <c r="Q76" s="771"/>
      <c r="R76" s="768"/>
      <c r="S76" s="772"/>
      <c r="T76" s="772"/>
      <c r="U76" s="772"/>
      <c r="V76" s="772"/>
      <c r="W76" s="773"/>
      <c r="X76" s="773"/>
      <c r="Y76" s="773"/>
      <c r="Z76" s="773"/>
      <c r="AA76" s="773"/>
      <c r="AB76" s="773"/>
      <c r="AC76" s="773"/>
      <c r="AD76" s="774"/>
      <c r="AE76" s="775"/>
      <c r="AF76" s="776"/>
      <c r="AG76" s="776"/>
      <c r="AH76" s="776"/>
      <c r="AI76" s="776"/>
      <c r="AJ76" s="776"/>
      <c r="AK76" s="776"/>
      <c r="AL76" s="776"/>
      <c r="AM76" s="776"/>
      <c r="AN76" s="776"/>
      <c r="AO76" s="776"/>
      <c r="AP76" s="776"/>
      <c r="AQ76" s="776"/>
      <c r="AR76" s="772"/>
      <c r="AS76" s="775"/>
      <c r="AT76" s="776"/>
      <c r="AU76" s="776"/>
      <c r="AV76" s="776"/>
      <c r="AW76" s="776"/>
      <c r="AX76" s="776"/>
      <c r="AY76" s="776"/>
      <c r="AZ76" s="776"/>
      <c r="BA76" s="776"/>
      <c r="BB76" s="776"/>
      <c r="BC76" s="776"/>
      <c r="BD76" s="776"/>
      <c r="BE76" s="776"/>
      <c r="BF76" s="772"/>
      <c r="BG76" s="775"/>
      <c r="BH76" s="776"/>
      <c r="BI76" s="776"/>
      <c r="BJ76" s="776"/>
      <c r="BK76" s="776"/>
      <c r="BL76" s="776"/>
      <c r="BM76" s="776"/>
      <c r="BN76" s="776"/>
      <c r="BO76" s="776"/>
      <c r="BP76" s="776"/>
      <c r="BQ76" s="776"/>
      <c r="BR76" s="776"/>
      <c r="BS76" s="776"/>
      <c r="BT76" s="776"/>
      <c r="BU76" s="777"/>
      <c r="BV76" s="778">
        <f>BV33</f>
        <v>161157.867486095</v>
      </c>
      <c r="BW76" s="778">
        <f>BW33</f>
        <v>155966.83045180296</v>
      </c>
      <c r="BX76" s="778">
        <f t="shared" ref="BX76:CH76" si="137">BX33</f>
        <v>196111.53846153844</v>
      </c>
      <c r="BY76" s="778">
        <f t="shared" si="137"/>
        <v>159169.23076923078</v>
      </c>
      <c r="BZ76" s="778">
        <f t="shared" si="137"/>
        <v>151482.39341785663</v>
      </c>
      <c r="CA76" s="778">
        <f t="shared" si="137"/>
        <v>141442.12910096842</v>
      </c>
      <c r="CB76" s="778">
        <f t="shared" si="137"/>
        <v>176986.21444761599</v>
      </c>
      <c r="CC76" s="778">
        <f t="shared" si="137"/>
        <v>201301.08944885107</v>
      </c>
      <c r="CD76" s="778">
        <f t="shared" si="137"/>
        <v>212833.04013559342</v>
      </c>
      <c r="CE76" s="778">
        <f t="shared" si="137"/>
        <v>215922.30386211892</v>
      </c>
      <c r="CF76" s="778">
        <f t="shared" si="137"/>
        <v>171115.84223630186</v>
      </c>
      <c r="CG76" s="778">
        <f t="shared" si="137"/>
        <v>87483.816691710366</v>
      </c>
      <c r="CH76" s="776">
        <f>SUM(BV76:CG76)</f>
        <v>2030972.2965096838</v>
      </c>
      <c r="CI76" s="779"/>
      <c r="CJ76" s="778">
        <f>CJ71+CJ38</f>
        <v>149449.15862840106</v>
      </c>
      <c r="CK76" s="778">
        <f t="shared" ref="CK76:CU76" si="138">CK71+CK38</f>
        <v>165299.98482295938</v>
      </c>
      <c r="CL76" s="778">
        <f t="shared" si="138"/>
        <v>157623.38063361909</v>
      </c>
      <c r="CM76" s="778">
        <f t="shared" si="138"/>
        <v>156795.25083861349</v>
      </c>
      <c r="CN76" s="778">
        <f>CN71+CN38</f>
        <v>159036.51643682446</v>
      </c>
      <c r="CO76" s="778">
        <f t="shared" si="138"/>
        <v>127776.80715616846</v>
      </c>
      <c r="CP76" s="778">
        <f t="shared" si="138"/>
        <v>201036.96194092827</v>
      </c>
      <c r="CQ76" s="778">
        <f t="shared" si="138"/>
        <v>217939.23822784808</v>
      </c>
      <c r="CR76" s="778">
        <f>CR71+CR38</f>
        <v>251919.92080168775</v>
      </c>
      <c r="CS76" s="778">
        <f>CS71+CS38</f>
        <v>237402.61350210969</v>
      </c>
      <c r="CT76" s="778">
        <f>CT71+CT38-CT78-CT77</f>
        <v>113946.85004219407</v>
      </c>
      <c r="CU76" s="778">
        <f>CU71+CU38-CU78-CU77</f>
        <v>79742.822784810123</v>
      </c>
      <c r="CV76" s="778"/>
      <c r="CW76" s="758"/>
      <c r="CX76" s="897">
        <f>CX96-CX99-CX77</f>
        <v>137996.46000000002</v>
      </c>
      <c r="CY76" s="897">
        <f t="shared" ref="CY76:DI76" si="139">CY96-CY99-CY77</f>
        <v>109115.58999999998</v>
      </c>
      <c r="CZ76" s="897">
        <f t="shared" si="139"/>
        <v>159971.47</v>
      </c>
      <c r="DA76" s="897">
        <f t="shared" si="139"/>
        <v>111340.64</v>
      </c>
      <c r="DB76" s="897">
        <f t="shared" si="139"/>
        <v>123131.75999999998</v>
      </c>
      <c r="DC76" s="897">
        <f t="shared" si="139"/>
        <v>93542.01999999999</v>
      </c>
      <c r="DD76" s="897">
        <f t="shared" si="139"/>
        <v>143602.83000000002</v>
      </c>
      <c r="DE76" s="897">
        <f t="shared" si="139"/>
        <v>139580.60999999999</v>
      </c>
      <c r="DF76" s="897">
        <f>DF96-DF99-DF77</f>
        <v>185916.23</v>
      </c>
      <c r="DG76" s="897">
        <f t="shared" si="139"/>
        <v>212260.74085232065</v>
      </c>
      <c r="DH76" s="897">
        <f t="shared" si="139"/>
        <v>147017.18444641351</v>
      </c>
      <c r="DI76" s="897">
        <f t="shared" si="139"/>
        <v>100014.48776329115</v>
      </c>
      <c r="DJ76" s="778">
        <f>SUM(CX76:DI76)</f>
        <v>1663490.0230620254</v>
      </c>
      <c r="DK76" s="952">
        <f>AVERAGE(CX76:DI76)</f>
        <v>138624.16858850213</v>
      </c>
      <c r="DL76" s="897">
        <f>DL96-DL99-DL77</f>
        <v>157443.40600000005</v>
      </c>
      <c r="DM76" s="897">
        <f t="shared" ref="DM76:DW76" si="140">DM96-DM99-DM77</f>
        <v>125062.27899999999</v>
      </c>
      <c r="DN76" s="897">
        <f t="shared" si="140"/>
        <v>180791.82700000002</v>
      </c>
      <c r="DO76" s="897">
        <f t="shared" si="140"/>
        <v>127193.88400000001</v>
      </c>
      <c r="DP76" s="897">
        <f t="shared" si="140"/>
        <v>138872.236</v>
      </c>
      <c r="DQ76" s="897">
        <f t="shared" si="140"/>
        <v>105431.482</v>
      </c>
      <c r="DR76" s="897">
        <f t="shared" si="140"/>
        <v>164765.40300000005</v>
      </c>
      <c r="DS76" s="897">
        <f t="shared" si="140"/>
        <v>160399.921</v>
      </c>
      <c r="DT76" s="897">
        <f t="shared" si="140"/>
        <v>212905.14300000001</v>
      </c>
      <c r="DU76" s="897">
        <f t="shared" si="140"/>
        <v>238147.62493755276</v>
      </c>
      <c r="DV76" s="897">
        <f t="shared" si="140"/>
        <v>164854.83789105486</v>
      </c>
      <c r="DW76" s="897">
        <f t="shared" si="140"/>
        <v>111435.70653962028</v>
      </c>
      <c r="DX76" s="778">
        <f>SUM(DL76:DW76)</f>
        <v>1887303.7503682277</v>
      </c>
      <c r="DY76" s="598">
        <f>AVERAGE(DL76:DW76)</f>
        <v>157275.31253068565</v>
      </c>
    </row>
    <row r="77" spans="1:129" ht="22.5" customHeight="1">
      <c r="A77" s="765"/>
      <c r="B77" s="766" t="s">
        <v>126</v>
      </c>
      <c r="C77" s="767"/>
      <c r="D77" s="768"/>
      <c r="E77" s="769"/>
      <c r="F77" s="769"/>
      <c r="G77" s="769"/>
      <c r="H77" s="769"/>
      <c r="I77" s="769"/>
      <c r="J77" s="769"/>
      <c r="K77" s="769"/>
      <c r="L77" s="769"/>
      <c r="M77" s="769"/>
      <c r="N77" s="769"/>
      <c r="O77" s="769"/>
      <c r="P77" s="770"/>
      <c r="Q77" s="771"/>
      <c r="R77" s="768"/>
      <c r="S77" s="772"/>
      <c r="T77" s="772"/>
      <c r="U77" s="772"/>
      <c r="V77" s="772"/>
      <c r="W77" s="773"/>
      <c r="X77" s="773"/>
      <c r="Y77" s="773"/>
      <c r="Z77" s="773"/>
      <c r="AA77" s="773"/>
      <c r="AB77" s="773"/>
      <c r="AC77" s="773"/>
      <c r="AD77" s="774"/>
      <c r="AE77" s="775"/>
      <c r="AF77" s="776"/>
      <c r="AG77" s="776"/>
      <c r="AH77" s="776"/>
      <c r="AI77" s="776"/>
      <c r="AJ77" s="776"/>
      <c r="AK77" s="776"/>
      <c r="AL77" s="776"/>
      <c r="AM77" s="776"/>
      <c r="AN77" s="776"/>
      <c r="AO77" s="776"/>
      <c r="AP77" s="776"/>
      <c r="AQ77" s="776"/>
      <c r="AR77" s="772"/>
      <c r="AS77" s="775"/>
      <c r="AT77" s="776"/>
      <c r="AU77" s="776"/>
      <c r="AV77" s="776"/>
      <c r="AW77" s="776"/>
      <c r="AX77" s="776"/>
      <c r="AY77" s="776"/>
      <c r="AZ77" s="776"/>
      <c r="BA77" s="776"/>
      <c r="BB77" s="776"/>
      <c r="BC77" s="776"/>
      <c r="BD77" s="776"/>
      <c r="BE77" s="776"/>
      <c r="BF77" s="772"/>
      <c r="BG77" s="775"/>
      <c r="BH77" s="776"/>
      <c r="BI77" s="776"/>
      <c r="BJ77" s="776"/>
      <c r="BK77" s="776"/>
      <c r="BL77" s="776"/>
      <c r="BM77" s="776"/>
      <c r="BN77" s="776"/>
      <c r="BO77" s="776"/>
      <c r="BP77" s="776"/>
      <c r="BQ77" s="776"/>
      <c r="BR77" s="776"/>
      <c r="BS77" s="776"/>
      <c r="BT77" s="776"/>
      <c r="BU77" s="777"/>
      <c r="BV77" s="778"/>
      <c r="BW77" s="778"/>
      <c r="BX77" s="778"/>
      <c r="BY77" s="778"/>
      <c r="BZ77" s="778"/>
      <c r="CA77" s="778"/>
      <c r="CB77" s="778"/>
      <c r="CC77" s="778"/>
      <c r="CD77" s="778"/>
      <c r="CE77" s="778"/>
      <c r="CF77" s="778"/>
      <c r="CG77" s="778"/>
      <c r="CH77" s="776"/>
      <c r="CI77" s="779"/>
      <c r="CJ77" s="778"/>
      <c r="CK77" s="778"/>
      <c r="CL77" s="778"/>
      <c r="CM77" s="778"/>
      <c r="CN77" s="778"/>
      <c r="CO77" s="778"/>
      <c r="CP77" s="778"/>
      <c r="CQ77" s="778"/>
      <c r="CR77" s="778"/>
      <c r="CS77" s="778"/>
      <c r="CT77" s="778">
        <v>15710</v>
      </c>
      <c r="CU77" s="778">
        <v>9907</v>
      </c>
      <c r="CV77" s="778"/>
      <c r="CW77" s="758">
        <f>CW78/6</f>
        <v>21501.271666666667</v>
      </c>
      <c r="CX77" s="897">
        <f>CX108*1.1</f>
        <v>16863</v>
      </c>
      <c r="CY77" s="897">
        <f t="shared" ref="CY77:DI77" si="141">CY108*1.1</f>
        <v>13357.300000000001</v>
      </c>
      <c r="CZ77" s="897">
        <f t="shared" si="141"/>
        <v>18888.100000000002</v>
      </c>
      <c r="DA77" s="897">
        <f t="shared" si="141"/>
        <v>13813.800000000001</v>
      </c>
      <c r="DB77" s="897">
        <f t="shared" si="141"/>
        <v>14784.000000000002</v>
      </c>
      <c r="DC77" s="897">
        <f t="shared" si="141"/>
        <v>10588.6</v>
      </c>
      <c r="DD77" s="897">
        <f t="shared" si="141"/>
        <v>18337</v>
      </c>
      <c r="DE77" s="897">
        <f t="shared" si="141"/>
        <v>20026.600000000002</v>
      </c>
      <c r="DF77" s="897">
        <f>DF108*1.1</f>
        <v>28050.000000000004</v>
      </c>
      <c r="DG77" s="897">
        <f t="shared" si="141"/>
        <v>18451.400000000001</v>
      </c>
      <c r="DH77" s="897">
        <f t="shared" si="141"/>
        <v>17281</v>
      </c>
      <c r="DI77" s="897">
        <f t="shared" si="141"/>
        <v>10897.7</v>
      </c>
      <c r="DJ77" s="778">
        <f>SUM(CX77:DI77)</f>
        <v>201338.50000000003</v>
      </c>
      <c r="DK77" s="952">
        <f>AVERAGE(CX77:DI77)</f>
        <v>16778.208333333336</v>
      </c>
      <c r="DL77" s="897">
        <f>DL108*1.1</f>
        <v>16863</v>
      </c>
      <c r="DM77" s="897">
        <f t="shared" ref="DM77:DW77" si="142">DM108*1.1</f>
        <v>13357.300000000001</v>
      </c>
      <c r="DN77" s="897">
        <f t="shared" si="142"/>
        <v>18888.100000000002</v>
      </c>
      <c r="DO77" s="897">
        <f t="shared" si="142"/>
        <v>13813.800000000001</v>
      </c>
      <c r="DP77" s="897">
        <f t="shared" si="142"/>
        <v>14784.000000000002</v>
      </c>
      <c r="DQ77" s="897">
        <f t="shared" si="142"/>
        <v>10588.6</v>
      </c>
      <c r="DR77" s="897">
        <f t="shared" si="142"/>
        <v>18337</v>
      </c>
      <c r="DS77" s="897">
        <f t="shared" si="142"/>
        <v>20026.600000000002</v>
      </c>
      <c r="DT77" s="897">
        <f>DT108*1.1</f>
        <v>28050.000000000004</v>
      </c>
      <c r="DU77" s="897">
        <f t="shared" ref="DU77:DY77" si="143">DU108*1.1</f>
        <v>18451.400000000001</v>
      </c>
      <c r="DV77" s="897">
        <f t="shared" si="143"/>
        <v>17281</v>
      </c>
      <c r="DW77" s="897">
        <f t="shared" si="143"/>
        <v>10897.7</v>
      </c>
      <c r="DX77" s="778">
        <f>SUM(DL77:DW77)</f>
        <v>201338.50000000003</v>
      </c>
      <c r="DY77" s="598">
        <f>AVERAGE(DL77:DW77)</f>
        <v>16778.208333333336</v>
      </c>
    </row>
    <row r="78" spans="1:129" ht="18" customHeight="1">
      <c r="A78" s="765"/>
      <c r="B78" s="766" t="s">
        <v>127</v>
      </c>
      <c r="C78" s="767"/>
      <c r="D78" s="768"/>
      <c r="E78" s="769"/>
      <c r="F78" s="769"/>
      <c r="G78" s="769"/>
      <c r="H78" s="769"/>
      <c r="I78" s="769"/>
      <c r="J78" s="769"/>
      <c r="K78" s="769"/>
      <c r="L78" s="769"/>
      <c r="M78" s="769"/>
      <c r="N78" s="769"/>
      <c r="O78" s="769"/>
      <c r="P78" s="770"/>
      <c r="Q78" s="771"/>
      <c r="R78" s="768"/>
      <c r="S78" s="772"/>
      <c r="T78" s="772"/>
      <c r="U78" s="772"/>
      <c r="V78" s="772"/>
      <c r="W78" s="773"/>
      <c r="X78" s="773"/>
      <c r="Y78" s="773"/>
      <c r="Z78" s="773"/>
      <c r="AA78" s="773"/>
      <c r="AB78" s="773"/>
      <c r="AC78" s="773"/>
      <c r="AD78" s="774"/>
      <c r="AE78" s="775"/>
      <c r="AF78" s="776"/>
      <c r="AG78" s="776"/>
      <c r="AH78" s="776"/>
      <c r="AI78" s="776"/>
      <c r="AJ78" s="776"/>
      <c r="AK78" s="776"/>
      <c r="AL78" s="776"/>
      <c r="AM78" s="776"/>
      <c r="AN78" s="776"/>
      <c r="AO78" s="776"/>
      <c r="AP78" s="776"/>
      <c r="AQ78" s="776"/>
      <c r="AR78" s="772"/>
      <c r="AS78" s="775"/>
      <c r="AT78" s="776"/>
      <c r="AU78" s="776"/>
      <c r="AV78" s="776"/>
      <c r="AW78" s="776"/>
      <c r="AX78" s="776"/>
      <c r="AY78" s="776"/>
      <c r="AZ78" s="776"/>
      <c r="BA78" s="776"/>
      <c r="BB78" s="776"/>
      <c r="BC78" s="776"/>
      <c r="BD78" s="776"/>
      <c r="BE78" s="776"/>
      <c r="BF78" s="772"/>
      <c r="BG78" s="775"/>
      <c r="BH78" s="776"/>
      <c r="BI78" s="776"/>
      <c r="BJ78" s="776"/>
      <c r="BK78" s="776"/>
      <c r="BL78" s="776"/>
      <c r="BM78" s="776"/>
      <c r="BN78" s="776"/>
      <c r="BO78" s="776"/>
      <c r="BP78" s="776"/>
      <c r="BQ78" s="776"/>
      <c r="BR78" s="776"/>
      <c r="BS78" s="776"/>
      <c r="BT78" s="776"/>
      <c r="BU78" s="777"/>
      <c r="BV78" s="778"/>
      <c r="BW78" s="778"/>
      <c r="BX78" s="778"/>
      <c r="BY78" s="778"/>
      <c r="BZ78" s="778"/>
      <c r="CA78" s="778"/>
      <c r="CB78" s="778"/>
      <c r="CC78" s="778"/>
      <c r="CD78" s="778"/>
      <c r="CE78" s="778"/>
      <c r="CF78" s="778"/>
      <c r="CG78" s="778"/>
      <c r="CH78" s="776"/>
      <c r="CI78" s="779"/>
      <c r="CJ78" s="778"/>
      <c r="CK78" s="778"/>
      <c r="CL78" s="778"/>
      <c r="CM78" s="778"/>
      <c r="CN78" s="778"/>
      <c r="CO78" s="778"/>
      <c r="CP78" s="778"/>
      <c r="CQ78" s="778"/>
      <c r="CR78" s="778"/>
      <c r="CS78" s="778">
        <v>28812</v>
      </c>
      <c r="CT78" s="778">
        <f>CT99</f>
        <v>35000</v>
      </c>
      <c r="CU78" s="778">
        <f>CU99</f>
        <v>2096</v>
      </c>
      <c r="CV78" s="778"/>
      <c r="CW78" s="869">
        <f>CW79-CW74</f>
        <v>129007.63</v>
      </c>
      <c r="CX78" s="897">
        <f>CX99</f>
        <v>39610</v>
      </c>
      <c r="CY78" s="897">
        <f t="shared" ref="CY78:DC78" si="144">CY99</f>
        <v>36994</v>
      </c>
      <c r="CZ78" s="897">
        <f t="shared" si="144"/>
        <v>29344</v>
      </c>
      <c r="DA78" s="897">
        <f t="shared" si="144"/>
        <v>33378</v>
      </c>
      <c r="DB78" s="897">
        <f t="shared" si="144"/>
        <v>19489</v>
      </c>
      <c r="DC78" s="897">
        <f t="shared" si="144"/>
        <v>14764</v>
      </c>
      <c r="DD78" s="897">
        <f>DD99</f>
        <v>49685.9</v>
      </c>
      <c r="DE78" s="897">
        <f t="shared" ref="DD78:DI78" si="145">DE99</f>
        <v>48585.9</v>
      </c>
      <c r="DF78" s="897">
        <f t="shared" si="145"/>
        <v>55922.9</v>
      </c>
      <c r="DG78" s="897">
        <f t="shared" si="145"/>
        <v>28156.7</v>
      </c>
      <c r="DH78" s="897">
        <f t="shared" si="145"/>
        <v>14078.35</v>
      </c>
      <c r="DI78" s="897">
        <f t="shared" si="145"/>
        <v>3300.0000000000005</v>
      </c>
      <c r="DJ78" s="778">
        <f>SUM(CX78:DI78)</f>
        <v>373308.75</v>
      </c>
      <c r="DK78" s="948"/>
      <c r="DL78" s="897">
        <f>DL99</f>
        <v>39610</v>
      </c>
      <c r="DM78" s="897">
        <f t="shared" ref="DM78:DQ78" si="146">DM99</f>
        <v>36994</v>
      </c>
      <c r="DN78" s="897">
        <f t="shared" si="146"/>
        <v>29344</v>
      </c>
      <c r="DO78" s="897">
        <f t="shared" si="146"/>
        <v>33378</v>
      </c>
      <c r="DP78" s="897">
        <f t="shared" si="146"/>
        <v>19489</v>
      </c>
      <c r="DQ78" s="897">
        <f t="shared" si="146"/>
        <v>14764</v>
      </c>
      <c r="DR78" s="897">
        <f>DR99</f>
        <v>49685.9</v>
      </c>
      <c r="DS78" s="897">
        <f t="shared" ref="DS78:DX78" si="147">DS99</f>
        <v>48585.9</v>
      </c>
      <c r="DT78" s="897">
        <f t="shared" si="147"/>
        <v>55922.9</v>
      </c>
      <c r="DU78" s="897">
        <f t="shared" si="147"/>
        <v>28156.7</v>
      </c>
      <c r="DV78" s="897">
        <f t="shared" si="147"/>
        <v>14078.35</v>
      </c>
      <c r="DW78" s="897">
        <f t="shared" si="147"/>
        <v>3300.0000000000005</v>
      </c>
      <c r="DX78" s="778">
        <f>SUM(DL78:DW78)</f>
        <v>373308.75</v>
      </c>
    </row>
    <row r="79" spans="1:129" ht="15" customHeight="1">
      <c r="A79" s="55"/>
      <c r="B79" s="958" t="s">
        <v>128</v>
      </c>
      <c r="C79" s="959"/>
      <c r="D79" s="960"/>
      <c r="E79" s="961"/>
      <c r="F79" s="961"/>
      <c r="G79" s="961"/>
      <c r="H79" s="961"/>
      <c r="I79" s="961"/>
      <c r="J79" s="961"/>
      <c r="K79" s="961"/>
      <c r="L79" s="961"/>
      <c r="M79" s="961"/>
      <c r="N79" s="961"/>
      <c r="O79" s="961"/>
      <c r="P79" s="962"/>
      <c r="Q79" s="963"/>
      <c r="R79" s="960"/>
      <c r="S79" s="964"/>
      <c r="T79" s="964"/>
      <c r="U79" s="964"/>
      <c r="V79" s="964"/>
      <c r="W79" s="965"/>
      <c r="X79" s="965"/>
      <c r="Y79" s="965"/>
      <c r="Z79" s="965"/>
      <c r="AA79" s="965"/>
      <c r="AB79" s="965"/>
      <c r="AC79" s="965"/>
      <c r="AD79" s="966"/>
      <c r="AE79" s="967"/>
      <c r="AF79" s="599"/>
      <c r="AG79" s="964"/>
      <c r="AH79" s="964"/>
      <c r="AI79" s="964"/>
      <c r="AJ79" s="964"/>
      <c r="AK79" s="964"/>
      <c r="AL79" s="964"/>
      <c r="AM79" s="964"/>
      <c r="AN79" s="964"/>
      <c r="AO79" s="964"/>
      <c r="AP79" s="964"/>
      <c r="AQ79" s="964"/>
      <c r="AR79" s="964"/>
      <c r="AS79" s="967"/>
      <c r="AT79" s="964"/>
      <c r="AU79" s="964"/>
      <c r="AV79" s="964"/>
      <c r="AW79" s="964"/>
      <c r="AX79" s="964"/>
      <c r="AY79" s="964"/>
      <c r="AZ79" s="964"/>
      <c r="BA79" s="964"/>
      <c r="BB79" s="964"/>
      <c r="BC79" s="964"/>
      <c r="BD79" s="964"/>
      <c r="BE79" s="964"/>
      <c r="BF79" s="964"/>
      <c r="BG79" s="967"/>
      <c r="BH79" s="964"/>
      <c r="BI79" s="964"/>
      <c r="BJ79" s="964"/>
      <c r="BK79" s="964"/>
      <c r="BL79" s="964"/>
      <c r="BM79" s="964"/>
      <c r="BN79" s="964"/>
      <c r="BO79" s="964"/>
      <c r="BP79" s="964"/>
      <c r="BQ79" s="964"/>
      <c r="BR79" s="964"/>
      <c r="BS79" s="964"/>
      <c r="BT79" s="964"/>
      <c r="BU79" s="968"/>
      <c r="BV79" s="964"/>
      <c r="BW79" s="964"/>
      <c r="BX79" s="964"/>
      <c r="BY79" s="964"/>
      <c r="BZ79" s="964"/>
      <c r="CA79" s="964"/>
      <c r="CB79" s="964"/>
      <c r="CC79" s="964"/>
      <c r="CD79" s="964"/>
      <c r="CE79" s="964"/>
      <c r="CF79" s="964"/>
      <c r="CG79" s="964"/>
      <c r="CH79" s="964"/>
      <c r="CI79" s="969"/>
      <c r="CJ79" s="964"/>
      <c r="CK79" s="964"/>
      <c r="CL79" s="964"/>
      <c r="CM79" s="964"/>
      <c r="CN79" s="964"/>
      <c r="CO79" s="964"/>
      <c r="CP79" s="964"/>
      <c r="CQ79" s="964"/>
      <c r="CR79" s="964"/>
      <c r="CS79" s="964"/>
      <c r="CT79" s="964">
        <f>SUM(CT80:CT82)</f>
        <v>210269</v>
      </c>
      <c r="CU79" s="964">
        <f>SUM(CU80:CU82)</f>
        <v>172780</v>
      </c>
      <c r="CV79" s="964"/>
      <c r="CW79" s="956">
        <f>SUM(CX79:DC79)</f>
        <v>1125979.3699999999</v>
      </c>
      <c r="CX79" s="964">
        <f>SUM(CX80:CX82)</f>
        <v>194767.09999999998</v>
      </c>
      <c r="CY79" s="964">
        <f t="shared" ref="CY79:DC79" si="148">SUM(CY80:CY82)</f>
        <v>168207.94999999998</v>
      </c>
      <c r="CZ79" s="964">
        <f>SUM(CZ80:CZ82)</f>
        <v>197384</v>
      </c>
      <c r="DA79" s="964">
        <f>SUM(DA80:DA82)</f>
        <v>197384</v>
      </c>
      <c r="DB79" s="964">
        <f t="shared" si="148"/>
        <v>193436.32</v>
      </c>
      <c r="DC79" s="964">
        <f t="shared" si="148"/>
        <v>174800</v>
      </c>
      <c r="DD79" s="964">
        <f t="shared" ref="DD79" si="149">SUM(DD80:DD82)</f>
        <v>219814</v>
      </c>
      <c r="DE79" s="964">
        <f t="shared" ref="DE79" si="150">SUM(DE80:DE82)</f>
        <v>196038.19999999998</v>
      </c>
      <c r="DF79" s="964">
        <f>SUM(DF80:DF82)</f>
        <v>202228.88</v>
      </c>
      <c r="DG79" s="964">
        <f t="shared" ref="DG79" si="151">SUM(DG80:DG82)</f>
        <v>202228.88</v>
      </c>
      <c r="DH79" s="964">
        <f t="shared" ref="DH79" si="152">SUM(DH80:DH82)</f>
        <v>184643.76</v>
      </c>
      <c r="DI79" s="964">
        <f t="shared" ref="DI79" si="153">SUM(DI80:DI82)</f>
        <v>140680.95999999999</v>
      </c>
      <c r="DJ79" s="599">
        <f>SUM(CX79:DI79)</f>
        <v>2271614.0499999998</v>
      </c>
      <c r="DK79" s="948"/>
      <c r="DL79" s="898">
        <f>SUM(DL80:DL82)</f>
        <v>187514.8</v>
      </c>
      <c r="DM79" s="898">
        <f t="shared" ref="DM79:DQ79" si="154">SUM(DM80:DM82)</f>
        <v>161944.6</v>
      </c>
      <c r="DN79" s="898">
        <f>SUM(DN80:DN82)</f>
        <v>197384</v>
      </c>
      <c r="DO79" s="898">
        <f>SUM(DO80:DO82)</f>
        <v>197384</v>
      </c>
      <c r="DP79" s="898">
        <f t="shared" ref="DP79:DW79" si="155">SUM(DP80:DP82)</f>
        <v>175851.19999999998</v>
      </c>
      <c r="DQ79" s="898">
        <f t="shared" si="155"/>
        <v>178991.4</v>
      </c>
      <c r="DR79" s="898">
        <f t="shared" si="155"/>
        <v>202228.88</v>
      </c>
      <c r="DS79" s="898">
        <f t="shared" si="155"/>
        <v>178991.4</v>
      </c>
      <c r="DT79" s="898">
        <f t="shared" si="155"/>
        <v>202228.88</v>
      </c>
      <c r="DU79" s="898">
        <f t="shared" si="155"/>
        <v>202228.88</v>
      </c>
      <c r="DV79" s="898">
        <f t="shared" si="155"/>
        <v>184643.76</v>
      </c>
      <c r="DW79" s="898">
        <f t="shared" si="155"/>
        <v>140680.95999999999</v>
      </c>
      <c r="DX79" s="801">
        <f>SUM(DL79:DW79)</f>
        <v>2210072.7599999998</v>
      </c>
    </row>
    <row r="80" spans="1:129" ht="15.75" customHeight="1" outlineLevel="1">
      <c r="A80" s="719">
        <v>7</v>
      </c>
      <c r="B80" s="936" t="s">
        <v>129</v>
      </c>
      <c r="C80" s="781"/>
      <c r="D80" s="793">
        <v>98048</v>
      </c>
      <c r="E80" s="794">
        <v>128688</v>
      </c>
      <c r="F80" s="794">
        <v>124704</v>
      </c>
      <c r="G80" s="794">
        <v>157500</v>
      </c>
      <c r="H80" s="794">
        <v>182600</v>
      </c>
      <c r="I80" s="794">
        <v>157700</v>
      </c>
      <c r="J80" s="794">
        <v>181700</v>
      </c>
      <c r="K80" s="794">
        <v>165900</v>
      </c>
      <c r="L80" s="794">
        <v>174300</v>
      </c>
      <c r="M80" s="794">
        <v>215800</v>
      </c>
      <c r="N80" s="794">
        <v>180000</v>
      </c>
      <c r="O80" s="794">
        <v>112500</v>
      </c>
      <c r="P80" s="795">
        <f t="shared" ref="P80:P83" si="156">SUM(D80:O80)</f>
        <v>1879440</v>
      </c>
      <c r="Q80" s="796"/>
      <c r="R80" s="793">
        <v>158400</v>
      </c>
      <c r="S80" s="797">
        <v>161000</v>
      </c>
      <c r="T80" s="797">
        <v>117800</v>
      </c>
      <c r="U80" s="797">
        <v>2000</v>
      </c>
      <c r="V80" s="797">
        <v>53800</v>
      </c>
      <c r="W80" s="797">
        <v>190600</v>
      </c>
      <c r="X80" s="797">
        <v>187900</v>
      </c>
      <c r="Y80" s="797">
        <v>196800</v>
      </c>
      <c r="Z80" s="797">
        <v>192300</v>
      </c>
      <c r="AA80" s="797">
        <v>182300</v>
      </c>
      <c r="AB80" s="797">
        <v>175000</v>
      </c>
      <c r="AC80" s="797">
        <v>134100</v>
      </c>
      <c r="AD80" s="798">
        <f>SUM(R80:AC80)</f>
        <v>1752000</v>
      </c>
      <c r="AE80" s="799"/>
      <c r="AF80" s="800">
        <f t="shared" ref="AF80:AL80" si="157">SUM(AF83,AF85)</f>
        <v>161400</v>
      </c>
      <c r="AG80" s="800">
        <f t="shared" si="157"/>
        <v>166000</v>
      </c>
      <c r="AH80" s="800">
        <f t="shared" si="157"/>
        <v>150471</v>
      </c>
      <c r="AI80" s="800">
        <f t="shared" si="157"/>
        <v>149040</v>
      </c>
      <c r="AJ80" s="800">
        <f t="shared" si="157"/>
        <v>196360</v>
      </c>
      <c r="AK80" s="800">
        <f t="shared" si="157"/>
        <v>163300</v>
      </c>
      <c r="AL80" s="800">
        <f t="shared" si="157"/>
        <v>190000</v>
      </c>
      <c r="AM80" s="800">
        <f t="shared" ref="AM80:AQ80" si="158">SUM(AM83,AM85,AM86)</f>
        <v>167000</v>
      </c>
      <c r="AN80" s="800">
        <f t="shared" si="158"/>
        <v>170500</v>
      </c>
      <c r="AO80" s="800">
        <f t="shared" si="158"/>
        <v>140000</v>
      </c>
      <c r="AP80" s="800">
        <f t="shared" si="158"/>
        <v>130000</v>
      </c>
      <c r="AQ80" s="800">
        <f t="shared" si="158"/>
        <v>100000</v>
      </c>
      <c r="AR80" s="786">
        <f t="shared" ref="AR80:AR83" si="159">SUM(AF80:AQ80)</f>
        <v>1884071</v>
      </c>
      <c r="AS80" s="799"/>
      <c r="AT80" s="800">
        <f t="shared" ref="AT80:BC80" si="160">SUM(AT83,AT85,AT86)</f>
        <v>133000</v>
      </c>
      <c r="AU80" s="800">
        <f t="shared" si="160"/>
        <v>125180</v>
      </c>
      <c r="AV80" s="800">
        <f t="shared" si="160"/>
        <v>117228</v>
      </c>
      <c r="AW80" s="800">
        <f t="shared" si="160"/>
        <v>127500</v>
      </c>
      <c r="AX80" s="800">
        <f t="shared" si="160"/>
        <v>140000</v>
      </c>
      <c r="AY80" s="800">
        <f t="shared" si="160"/>
        <v>158342.99999899999</v>
      </c>
      <c r="AZ80" s="800">
        <f t="shared" si="160"/>
        <v>152409</v>
      </c>
      <c r="BA80" s="800">
        <f t="shared" si="160"/>
        <v>173520</v>
      </c>
      <c r="BB80" s="800">
        <f t="shared" si="160"/>
        <v>165000</v>
      </c>
      <c r="BC80" s="800">
        <f t="shared" si="160"/>
        <v>157500</v>
      </c>
      <c r="BD80" s="800">
        <v>129431</v>
      </c>
      <c r="BE80" s="800">
        <v>61700</v>
      </c>
      <c r="BF80" s="797">
        <f t="shared" ref="BF80:BF83" si="161">SUM(AT80:BE80)</f>
        <v>1640810.999999</v>
      </c>
      <c r="BG80" s="799">
        <f>BF80-AR80</f>
        <v>-243260.00000100001</v>
      </c>
      <c r="BH80" s="790">
        <f>SUM(BH83,BH85,BH86)</f>
        <v>139760</v>
      </c>
      <c r="BI80" s="790">
        <f t="shared" ref="BI80:BP80" si="162">SUM(BI83,BI85,BI86)</f>
        <v>116580</v>
      </c>
      <c r="BJ80" s="790">
        <f t="shared" si="162"/>
        <v>148340</v>
      </c>
      <c r="BK80" s="790">
        <f t="shared" si="162"/>
        <v>112360</v>
      </c>
      <c r="BL80" s="790">
        <f t="shared" si="162"/>
        <v>108660</v>
      </c>
      <c r="BM80" s="790">
        <f t="shared" si="162"/>
        <v>153416</v>
      </c>
      <c r="BN80" s="790">
        <f t="shared" si="162"/>
        <v>137676</v>
      </c>
      <c r="BO80" s="790">
        <f t="shared" si="162"/>
        <v>160654</v>
      </c>
      <c r="BP80" s="790">
        <f t="shared" si="162"/>
        <v>157000</v>
      </c>
      <c r="BQ80" s="790">
        <v>156725</v>
      </c>
      <c r="BR80" s="790">
        <v>182069</v>
      </c>
      <c r="BS80" s="790">
        <f>BS83+BS86</f>
        <v>156420</v>
      </c>
      <c r="BT80" s="790">
        <f t="shared" ref="BT80:BT83" si="163">SUM(BH80:BS80)</f>
        <v>1729660</v>
      </c>
      <c r="BU80" s="791"/>
      <c r="BV80" s="801">
        <f>BV7*BV84</f>
        <v>133000</v>
      </c>
      <c r="BW80" s="801">
        <f>BW7*BW84</f>
        <v>133000</v>
      </c>
      <c r="BX80" s="801">
        <f>BX7*BX84</f>
        <v>147000</v>
      </c>
      <c r="BY80" s="801">
        <f>BY7*BY84</f>
        <v>172800</v>
      </c>
      <c r="BZ80" s="801">
        <f>BZ7*BZ84</f>
        <v>165600</v>
      </c>
      <c r="CA80" s="801">
        <f>CA7*CA84</f>
        <v>158400</v>
      </c>
      <c r="CB80" s="801">
        <f>CB7*CB84</f>
        <v>180000</v>
      </c>
      <c r="CC80" s="801">
        <f>CC7*CC84</f>
        <v>172800</v>
      </c>
      <c r="CD80" s="801">
        <f>CD7*CD84</f>
        <v>172800</v>
      </c>
      <c r="CE80" s="801">
        <f>CE7*CE84</f>
        <v>172800</v>
      </c>
      <c r="CF80" s="801">
        <f>CF7*CF84</f>
        <v>167200</v>
      </c>
      <c r="CG80" s="801">
        <f>CG7*CG84</f>
        <v>98800</v>
      </c>
      <c r="CH80" s="801">
        <f t="shared" ref="CH80:CH85" si="164">SUM(BV80:CG80)</f>
        <v>1874200</v>
      </c>
      <c r="CI80" s="801"/>
      <c r="CJ80" s="801">
        <f>CJ7*CJ84</f>
        <v>165000</v>
      </c>
      <c r="CK80" s="801">
        <f>CK7*CK84</f>
        <v>188600</v>
      </c>
      <c r="CL80" s="801">
        <f>CL7*CL84</f>
        <v>171000</v>
      </c>
      <c r="CM80" s="801">
        <f>CM7*CM84</f>
        <v>200000</v>
      </c>
      <c r="CN80" s="801">
        <f>CN7*CN84</f>
        <v>178290</v>
      </c>
      <c r="CO80" s="801">
        <f>CO7*CO84</f>
        <v>198000</v>
      </c>
      <c r="CP80" s="801">
        <f>CP7*CP84</f>
        <v>245000</v>
      </c>
      <c r="CQ80" s="801">
        <f>CQ7*CQ84</f>
        <v>207900</v>
      </c>
      <c r="CR80" s="801">
        <f>CR7*CR84</f>
        <v>217800</v>
      </c>
      <c r="CS80" s="801">
        <v>205579</v>
      </c>
      <c r="CT80" s="801">
        <f>(CT7*CT84)-CT82</f>
        <v>164340</v>
      </c>
      <c r="CU80" s="801">
        <f>(CU7*CU84)-CU82</f>
        <v>118660</v>
      </c>
      <c r="CV80" s="790">
        <f>SUM(CJ80:CU80)</f>
        <v>2260169</v>
      </c>
      <c r="CW80" s="758"/>
      <c r="CX80" s="899">
        <f>(CX7*CX84)*0.95-CX82-CX81</f>
        <v>131887.09999999998</v>
      </c>
      <c r="CY80" s="899">
        <f>(CY7*CY84)*0.95-CY82-CY81</f>
        <v>124127.94999999998</v>
      </c>
      <c r="CZ80" s="899">
        <f>(CZ7*CZ84)*1-CZ82-CZ81</f>
        <v>145364</v>
      </c>
      <c r="DA80" s="899">
        <f>(DA7*DA84)*1-DA82-DA81</f>
        <v>158224</v>
      </c>
      <c r="DB80" s="899">
        <f>(DB7*DB84)*0.98-DB82-DB81</f>
        <v>164436.32</v>
      </c>
      <c r="DC80" s="899">
        <f>(DC7*DC84)*0.95-DC82-DC81</f>
        <v>110800</v>
      </c>
      <c r="DD80" s="899">
        <f>(DD7*DD84)*0.98-DD82-DD81</f>
        <v>159814</v>
      </c>
      <c r="DE80" s="899">
        <f>(DE7*DE84)*0.95-DE82-DE81</f>
        <v>138038.19999999998</v>
      </c>
      <c r="DF80" s="899">
        <f>(DF7*DF84)*0.98-DF82-DF81</f>
        <v>143228.88</v>
      </c>
      <c r="DG80" s="899">
        <f>(DG7*DG84)*0.98-DG82-DG81</f>
        <v>168228.88</v>
      </c>
      <c r="DH80" s="899">
        <f>(DH7*DH84)*0.98-DH82-DH81</f>
        <v>155643.76</v>
      </c>
      <c r="DI80" s="899">
        <f>(DI7*DI84)*0.98-DI82-DI81</f>
        <v>80680.959999999992</v>
      </c>
      <c r="DJ80" s="801">
        <f>SUM(CX80:DI80)</f>
        <v>1680474.0499999996</v>
      </c>
      <c r="DK80" s="952">
        <f>AVERAGE(CX80:DI80)</f>
        <v>140039.50416666662</v>
      </c>
      <c r="DL80" s="899">
        <f>(DL7*DL84)*0.95-DL82-DL81</f>
        <v>124634.79999999999</v>
      </c>
      <c r="DM80" s="899">
        <f>(DM7*DM84)*0.95-DM82-DM81</f>
        <v>117864.6</v>
      </c>
      <c r="DN80" s="899">
        <f>(DN7*DN84)*1-DN82-DN81</f>
        <v>145364</v>
      </c>
      <c r="DO80" s="899">
        <f>(DO7*DO84)*1-DO82-DO81</f>
        <v>158224</v>
      </c>
      <c r="DP80" s="899">
        <f>(DP7*DP84)*0.98-DP82-DP81</f>
        <v>146851.19999999998</v>
      </c>
      <c r="DQ80" s="899">
        <f>(DQ7*DQ84)*0.95-DQ82-DQ81</f>
        <v>114991.4</v>
      </c>
      <c r="DR80" s="899">
        <f>(DR7*DR84)*0.98-DR82-DR81</f>
        <v>142228.88</v>
      </c>
      <c r="DS80" s="899">
        <f>(DS7*DS84)*0.95-DS82-DS81</f>
        <v>120991.4</v>
      </c>
      <c r="DT80" s="899">
        <f>(DT7*DT84)*0.98-DT82-DT81</f>
        <v>143228.88</v>
      </c>
      <c r="DU80" s="899">
        <f>(DU7*DU84)*0.98-DU82-DU81</f>
        <v>168228.88</v>
      </c>
      <c r="DV80" s="899">
        <f>(DV7*DV84)*0.98-DV82-DV81</f>
        <v>155643.76</v>
      </c>
      <c r="DW80" s="899">
        <f>(DW7*DW84)*0.98-DW82-DW81</f>
        <v>80680.959999999992</v>
      </c>
      <c r="DX80" s="801">
        <f>SUM(DL80:DW80)</f>
        <v>1618932.76</v>
      </c>
      <c r="DY80" s="598">
        <f>AVERAGE(DL80:DW80)</f>
        <v>134911.06333333332</v>
      </c>
    </row>
    <row r="81" spans="1:129" ht="15.75" customHeight="1" outlineLevel="1">
      <c r="A81" s="719"/>
      <c r="B81" s="936" t="s">
        <v>130</v>
      </c>
      <c r="C81" s="781"/>
      <c r="D81" s="793"/>
      <c r="E81" s="794"/>
      <c r="F81" s="794"/>
      <c r="G81" s="794"/>
      <c r="H81" s="794"/>
      <c r="I81" s="794"/>
      <c r="J81" s="794"/>
      <c r="K81" s="794"/>
      <c r="L81" s="794"/>
      <c r="M81" s="794"/>
      <c r="N81" s="794"/>
      <c r="O81" s="794"/>
      <c r="P81" s="795"/>
      <c r="Q81" s="796"/>
      <c r="R81" s="793"/>
      <c r="S81" s="797"/>
      <c r="T81" s="797"/>
      <c r="U81" s="797"/>
      <c r="V81" s="797"/>
      <c r="W81" s="797"/>
      <c r="X81" s="797"/>
      <c r="Y81" s="797"/>
      <c r="Z81" s="797"/>
      <c r="AA81" s="797"/>
      <c r="AB81" s="797"/>
      <c r="AC81" s="797"/>
      <c r="AD81" s="798"/>
      <c r="AE81" s="799"/>
      <c r="AF81" s="800"/>
      <c r="AG81" s="800"/>
      <c r="AH81" s="800"/>
      <c r="AI81" s="800"/>
      <c r="AJ81" s="800"/>
      <c r="AK81" s="800"/>
      <c r="AL81" s="800"/>
      <c r="AM81" s="800"/>
      <c r="AN81" s="800"/>
      <c r="AO81" s="800"/>
      <c r="AP81" s="800"/>
      <c r="AQ81" s="800"/>
      <c r="AR81" s="786"/>
      <c r="AS81" s="799"/>
      <c r="AT81" s="800"/>
      <c r="AU81" s="800"/>
      <c r="AV81" s="800"/>
      <c r="AW81" s="800"/>
      <c r="AX81" s="800"/>
      <c r="AY81" s="800"/>
      <c r="AZ81" s="800"/>
      <c r="BA81" s="800"/>
      <c r="BB81" s="800"/>
      <c r="BC81" s="800"/>
      <c r="BD81" s="800"/>
      <c r="BE81" s="800"/>
      <c r="BF81" s="797"/>
      <c r="BG81" s="799"/>
      <c r="BH81" s="790"/>
      <c r="BI81" s="790"/>
      <c r="BJ81" s="790"/>
      <c r="BK81" s="790"/>
      <c r="BL81" s="790"/>
      <c r="BM81" s="790"/>
      <c r="BN81" s="790"/>
      <c r="BO81" s="790"/>
      <c r="BP81" s="790"/>
      <c r="BQ81" s="790"/>
      <c r="BR81" s="790"/>
      <c r="BS81" s="790"/>
      <c r="BT81" s="790"/>
      <c r="BU81" s="791"/>
      <c r="BV81" s="801"/>
      <c r="BW81" s="801"/>
      <c r="BX81" s="801"/>
      <c r="BY81" s="801"/>
      <c r="BZ81" s="801"/>
      <c r="CA81" s="801"/>
      <c r="CB81" s="801"/>
      <c r="CC81" s="801"/>
      <c r="CD81" s="801"/>
      <c r="CE81" s="801"/>
      <c r="CF81" s="801"/>
      <c r="CG81" s="801"/>
      <c r="CH81" s="801"/>
      <c r="CI81" s="802"/>
      <c r="CJ81" s="801"/>
      <c r="CK81" s="801"/>
      <c r="CL81" s="801"/>
      <c r="CM81" s="801"/>
      <c r="CN81" s="801"/>
      <c r="CO81" s="801"/>
      <c r="CP81" s="801"/>
      <c r="CQ81" s="801"/>
      <c r="CR81" s="801"/>
      <c r="CS81" s="801"/>
      <c r="CT81" s="801">
        <v>25469</v>
      </c>
      <c r="CU81" s="801">
        <v>14680</v>
      </c>
      <c r="CV81" s="790"/>
      <c r="CW81" s="758"/>
      <c r="CX81" s="900">
        <v>9000</v>
      </c>
      <c r="CY81" s="900">
        <v>14000</v>
      </c>
      <c r="CZ81" s="900">
        <v>18000</v>
      </c>
      <c r="DA81" s="900">
        <v>18000</v>
      </c>
      <c r="DB81" s="900">
        <v>19000</v>
      </c>
      <c r="DC81" s="900">
        <v>14000</v>
      </c>
      <c r="DD81" s="900">
        <v>20000</v>
      </c>
      <c r="DE81" s="900">
        <v>18000</v>
      </c>
      <c r="DF81" s="900">
        <v>24000</v>
      </c>
      <c r="DG81" s="900">
        <v>14000</v>
      </c>
      <c r="DH81" s="900">
        <v>19000</v>
      </c>
      <c r="DI81" s="900">
        <v>10000</v>
      </c>
      <c r="DJ81" s="801">
        <f t="shared" ref="DJ81:DJ82" si="165">SUM(CX81:DI81)</f>
        <v>197000</v>
      </c>
      <c r="DK81" s="952">
        <f>AVERAGE(CX81:DI81)</f>
        <v>16416.666666666668</v>
      </c>
      <c r="DL81" s="900">
        <v>9000</v>
      </c>
      <c r="DM81" s="900">
        <v>14000</v>
      </c>
      <c r="DN81" s="900">
        <v>18000</v>
      </c>
      <c r="DO81" s="900">
        <v>18000</v>
      </c>
      <c r="DP81" s="900">
        <v>19000</v>
      </c>
      <c r="DQ81" s="900">
        <v>14000</v>
      </c>
      <c r="DR81" s="900">
        <v>20000</v>
      </c>
      <c r="DS81" s="900">
        <v>18000</v>
      </c>
      <c r="DT81" s="900">
        <v>24000</v>
      </c>
      <c r="DU81" s="900">
        <v>14000</v>
      </c>
      <c r="DV81" s="900">
        <v>19000</v>
      </c>
      <c r="DW81" s="900">
        <v>10000</v>
      </c>
      <c r="DX81" s="801">
        <f t="shared" ref="DX81:DX82" si="166">SUM(DL81:DW81)</f>
        <v>197000</v>
      </c>
      <c r="DY81" s="598">
        <f>AVERAGE(DL81:DW81)</f>
        <v>16416.666666666668</v>
      </c>
    </row>
    <row r="82" spans="1:129" ht="15.75" customHeight="1" outlineLevel="1">
      <c r="A82" s="719"/>
      <c r="B82" s="936" t="s">
        <v>131</v>
      </c>
      <c r="C82" s="781"/>
      <c r="D82" s="793"/>
      <c r="E82" s="794"/>
      <c r="F82" s="794"/>
      <c r="G82" s="794"/>
      <c r="H82" s="794"/>
      <c r="I82" s="794"/>
      <c r="J82" s="794"/>
      <c r="K82" s="794"/>
      <c r="L82" s="794"/>
      <c r="M82" s="794"/>
      <c r="N82" s="794"/>
      <c r="O82" s="794"/>
      <c r="P82" s="795"/>
      <c r="Q82" s="796"/>
      <c r="R82" s="793"/>
      <c r="S82" s="797"/>
      <c r="T82" s="797"/>
      <c r="U82" s="797"/>
      <c r="V82" s="797"/>
      <c r="W82" s="797"/>
      <c r="X82" s="797"/>
      <c r="Y82" s="797"/>
      <c r="Z82" s="797"/>
      <c r="AA82" s="797"/>
      <c r="AB82" s="797"/>
      <c r="AC82" s="797"/>
      <c r="AD82" s="798"/>
      <c r="AE82" s="799"/>
      <c r="AF82" s="800"/>
      <c r="AG82" s="800"/>
      <c r="AH82" s="800"/>
      <c r="AI82" s="800"/>
      <c r="AJ82" s="800"/>
      <c r="AK82" s="800"/>
      <c r="AL82" s="800"/>
      <c r="AM82" s="800"/>
      <c r="AN82" s="800"/>
      <c r="AO82" s="800"/>
      <c r="AP82" s="800"/>
      <c r="AQ82" s="800"/>
      <c r="AR82" s="786"/>
      <c r="AS82" s="799"/>
      <c r="AT82" s="800"/>
      <c r="AU82" s="800"/>
      <c r="AV82" s="800"/>
      <c r="AW82" s="800"/>
      <c r="AX82" s="800"/>
      <c r="AY82" s="800"/>
      <c r="AZ82" s="800"/>
      <c r="BA82" s="800"/>
      <c r="BB82" s="800"/>
      <c r="BC82" s="800"/>
      <c r="BD82" s="800"/>
      <c r="BE82" s="800"/>
      <c r="BF82" s="797"/>
      <c r="BG82" s="799"/>
      <c r="BH82" s="790"/>
      <c r="BI82" s="790"/>
      <c r="BJ82" s="790"/>
      <c r="BK82" s="790"/>
      <c r="BL82" s="790"/>
      <c r="BM82" s="790"/>
      <c r="BN82" s="790"/>
      <c r="BO82" s="790"/>
      <c r="BP82" s="790"/>
      <c r="BQ82" s="790"/>
      <c r="BR82" s="790"/>
      <c r="BS82" s="790"/>
      <c r="BT82" s="790"/>
      <c r="BU82" s="791"/>
      <c r="BV82" s="801"/>
      <c r="BW82" s="801"/>
      <c r="BX82" s="801"/>
      <c r="BY82" s="801"/>
      <c r="BZ82" s="801"/>
      <c r="CA82" s="801"/>
      <c r="CB82" s="801"/>
      <c r="CC82" s="801"/>
      <c r="CD82" s="801"/>
      <c r="CE82" s="801"/>
      <c r="CF82" s="801"/>
      <c r="CG82" s="801"/>
      <c r="CH82" s="801"/>
      <c r="CI82" s="802"/>
      <c r="CJ82" s="801"/>
      <c r="CK82" s="801"/>
      <c r="CL82" s="801"/>
      <c r="CM82" s="801"/>
      <c r="CN82" s="801"/>
      <c r="CO82" s="801"/>
      <c r="CP82" s="801"/>
      <c r="CQ82" s="801"/>
      <c r="CR82" s="801"/>
      <c r="CS82" s="801"/>
      <c r="CT82" s="801">
        <f>CT98</f>
        <v>20460</v>
      </c>
      <c r="CU82" s="801">
        <f>CU98</f>
        <v>39440</v>
      </c>
      <c r="CV82" s="790"/>
      <c r="CW82" s="758"/>
      <c r="CX82" s="900">
        <f>CX98</f>
        <v>53880</v>
      </c>
      <c r="CY82" s="900">
        <f t="shared" ref="CY82:DI82" si="167">CY98</f>
        <v>30080</v>
      </c>
      <c r="CZ82" s="900">
        <f t="shared" si="167"/>
        <v>34020</v>
      </c>
      <c r="DA82" s="900">
        <f t="shared" si="167"/>
        <v>21160</v>
      </c>
      <c r="DB82" s="900">
        <f t="shared" si="167"/>
        <v>10000</v>
      </c>
      <c r="DC82" s="900">
        <f t="shared" si="167"/>
        <v>50000</v>
      </c>
      <c r="DD82" s="900">
        <f t="shared" si="167"/>
        <v>40000</v>
      </c>
      <c r="DE82" s="900">
        <f t="shared" si="167"/>
        <v>40000</v>
      </c>
      <c r="DF82" s="900">
        <f>DF98</f>
        <v>35000</v>
      </c>
      <c r="DG82" s="900">
        <f t="shared" si="167"/>
        <v>20000</v>
      </c>
      <c r="DH82" s="900">
        <f t="shared" si="167"/>
        <v>10000</v>
      </c>
      <c r="DI82" s="900">
        <f t="shared" si="167"/>
        <v>50000</v>
      </c>
      <c r="DJ82" s="801">
        <f t="shared" si="165"/>
        <v>394140</v>
      </c>
      <c r="DK82" s="948"/>
      <c r="DL82" s="900">
        <f>DL98</f>
        <v>53880</v>
      </c>
      <c r="DM82" s="900">
        <f t="shared" ref="DM82:DW82" si="168">DM98</f>
        <v>30080</v>
      </c>
      <c r="DN82" s="900">
        <f t="shared" si="168"/>
        <v>34020</v>
      </c>
      <c r="DO82" s="900">
        <f t="shared" si="168"/>
        <v>21160</v>
      </c>
      <c r="DP82" s="900">
        <f t="shared" si="168"/>
        <v>10000</v>
      </c>
      <c r="DQ82" s="900">
        <f t="shared" si="168"/>
        <v>50000</v>
      </c>
      <c r="DR82" s="900">
        <f t="shared" si="168"/>
        <v>40000</v>
      </c>
      <c r="DS82" s="900">
        <f t="shared" si="168"/>
        <v>40000</v>
      </c>
      <c r="DT82" s="900">
        <f t="shared" si="168"/>
        <v>35000</v>
      </c>
      <c r="DU82" s="900">
        <f t="shared" si="168"/>
        <v>20000</v>
      </c>
      <c r="DV82" s="900">
        <f t="shared" si="168"/>
        <v>10000</v>
      </c>
      <c r="DW82" s="900">
        <f t="shared" si="168"/>
        <v>50000</v>
      </c>
      <c r="DX82" s="801">
        <f t="shared" si="166"/>
        <v>394140</v>
      </c>
    </row>
    <row r="83" spans="1:129" ht="18.75" hidden="1" outlineLevel="1">
      <c r="A83" s="94"/>
      <c r="B83" s="921" t="s">
        <v>91</v>
      </c>
      <c r="C83" s="934"/>
      <c r="D83" s="313">
        <v>98048</v>
      </c>
      <c r="E83" s="89">
        <v>128688</v>
      </c>
      <c r="F83" s="89">
        <v>124704</v>
      </c>
      <c r="G83" s="89">
        <v>157500</v>
      </c>
      <c r="H83" s="89">
        <v>182600</v>
      </c>
      <c r="I83" s="89">
        <v>157700</v>
      </c>
      <c r="J83" s="89">
        <v>181700</v>
      </c>
      <c r="K83" s="89">
        <v>165900</v>
      </c>
      <c r="L83" s="89">
        <v>174300</v>
      </c>
      <c r="M83" s="89">
        <v>215800</v>
      </c>
      <c r="N83" s="89">
        <v>180000</v>
      </c>
      <c r="O83" s="89">
        <v>112500</v>
      </c>
      <c r="P83" s="314">
        <f t="shared" si="156"/>
        <v>1879440</v>
      </c>
      <c r="Q83" s="90"/>
      <c r="R83" s="313">
        <v>158400</v>
      </c>
      <c r="S83" s="91">
        <v>146000</v>
      </c>
      <c r="T83" s="91">
        <v>102200</v>
      </c>
      <c r="U83" s="91">
        <v>0</v>
      </c>
      <c r="V83" s="91">
        <v>43800</v>
      </c>
      <c r="W83" s="91">
        <v>160600</v>
      </c>
      <c r="X83" s="91">
        <v>167900</v>
      </c>
      <c r="Y83" s="91">
        <v>153300</v>
      </c>
      <c r="Z83" s="91">
        <v>153300</v>
      </c>
      <c r="AA83" s="91">
        <v>153300</v>
      </c>
      <c r="AB83" s="91">
        <v>146000</v>
      </c>
      <c r="AC83" s="91">
        <v>124100</v>
      </c>
      <c r="AD83" s="315"/>
      <c r="AE83" s="23"/>
      <c r="AF83" s="316">
        <v>131400</v>
      </c>
      <c r="AG83" s="91">
        <v>146000</v>
      </c>
      <c r="AH83" s="91">
        <v>125511</v>
      </c>
      <c r="AI83" s="91">
        <v>135000</v>
      </c>
      <c r="AJ83" s="91">
        <v>177320</v>
      </c>
      <c r="AK83" s="91">
        <v>151300</v>
      </c>
      <c r="AL83" s="91">
        <v>176000</v>
      </c>
      <c r="AM83" s="91">
        <f>AM84*AM7</f>
        <v>154000</v>
      </c>
      <c r="AN83" s="91">
        <f>AN84*AN7</f>
        <v>157500</v>
      </c>
      <c r="AO83" s="91">
        <f>AO84*AO7</f>
        <v>140000</v>
      </c>
      <c r="AP83" s="91">
        <f>AP84*AP7</f>
        <v>130000</v>
      </c>
      <c r="AQ83" s="91">
        <f>AQ84*AQ7+16000</f>
        <v>100000</v>
      </c>
      <c r="AR83" s="92">
        <f t="shared" si="159"/>
        <v>1724031</v>
      </c>
      <c r="AS83" s="23"/>
      <c r="AT83" s="91">
        <f>AT84*AT7</f>
        <v>133000</v>
      </c>
      <c r="AU83" s="91">
        <f>125180</f>
        <v>125180</v>
      </c>
      <c r="AV83" s="91">
        <f>AV84*AV7+7428</f>
        <v>117228</v>
      </c>
      <c r="AW83" s="91">
        <f>AW84*AW7</f>
        <v>123500</v>
      </c>
      <c r="AX83" s="91">
        <f>AX84*AX7</f>
        <v>132000</v>
      </c>
      <c r="AY83" s="91">
        <f>AY84*AY7</f>
        <v>153342.99999899999</v>
      </c>
      <c r="AZ83" s="91">
        <v>142409</v>
      </c>
      <c r="BA83" s="91">
        <v>163520</v>
      </c>
      <c r="BB83" s="91">
        <f>BB84*BB7</f>
        <v>165000</v>
      </c>
      <c r="BC83" s="91">
        <f>BC84*BC7</f>
        <v>157500</v>
      </c>
      <c r="BD83" s="316">
        <v>129431</v>
      </c>
      <c r="BE83" s="316">
        <v>61700</v>
      </c>
      <c r="BF83" s="91">
        <f t="shared" si="161"/>
        <v>1603810.999999</v>
      </c>
      <c r="BG83" s="27">
        <f>BF83+BF86-AR83-AR86</f>
        <v>-113040.00000100001</v>
      </c>
      <c r="BH83" s="91">
        <v>136760</v>
      </c>
      <c r="BI83" s="91">
        <v>116580</v>
      </c>
      <c r="BJ83" s="91">
        <v>148340</v>
      </c>
      <c r="BK83" s="91">
        <v>112360</v>
      </c>
      <c r="BL83" s="91">
        <v>108660</v>
      </c>
      <c r="BM83" s="91">
        <v>153416</v>
      </c>
      <c r="BN83" s="91">
        <v>137676</v>
      </c>
      <c r="BO83" s="91">
        <v>150654</v>
      </c>
      <c r="BP83" s="91">
        <f>7100*BP7</f>
        <v>142000</v>
      </c>
      <c r="BQ83" s="91">
        <f t="shared" ref="BQ83:BR83" si="169">BQ80-BQ86</f>
        <v>136725</v>
      </c>
      <c r="BR83" s="91">
        <f t="shared" si="169"/>
        <v>167069</v>
      </c>
      <c r="BS83" s="91">
        <v>124020</v>
      </c>
      <c r="BT83" s="91">
        <f t="shared" si="163"/>
        <v>1634260</v>
      </c>
      <c r="BU83" s="28"/>
      <c r="BV83" s="397">
        <f>BV84*BV85-24551</f>
        <v>108449</v>
      </c>
      <c r="BW83" s="397">
        <f>BW84*BW85</f>
        <v>133000</v>
      </c>
      <c r="BX83" s="397">
        <f t="shared" ref="BX83:CG83" si="170">BX84*BX85</f>
        <v>147000</v>
      </c>
      <c r="BY83" s="397">
        <f>BY84*BY85</f>
        <v>172800</v>
      </c>
      <c r="BZ83" s="397">
        <f>BZ84*BZ85</f>
        <v>165600</v>
      </c>
      <c r="CA83" s="397">
        <f>CA84*CA85</f>
        <v>158400</v>
      </c>
      <c r="CB83" s="397">
        <f>CB84*CB85</f>
        <v>180000</v>
      </c>
      <c r="CC83" s="397">
        <f t="shared" si="170"/>
        <v>172800</v>
      </c>
      <c r="CD83" s="397">
        <f t="shared" si="170"/>
        <v>172800</v>
      </c>
      <c r="CE83" s="397">
        <f t="shared" si="170"/>
        <v>172800</v>
      </c>
      <c r="CF83" s="397">
        <f t="shared" si="170"/>
        <v>167200</v>
      </c>
      <c r="CG83" s="397">
        <f t="shared" si="170"/>
        <v>98800</v>
      </c>
      <c r="CH83" s="91">
        <f t="shared" si="164"/>
        <v>1849649</v>
      </c>
      <c r="CI83" s="395">
        <f>(CH83-BT89)/BT89</f>
        <v>0.29391868731173409</v>
      </c>
      <c r="CJ83" s="397">
        <f>CJ80</f>
        <v>165000</v>
      </c>
      <c r="CK83" s="397">
        <f t="shared" ref="CK83:CO83" si="171">CK80</f>
        <v>188600</v>
      </c>
      <c r="CL83" s="397">
        <f t="shared" si="171"/>
        <v>171000</v>
      </c>
      <c r="CM83" s="397">
        <f t="shared" si="171"/>
        <v>200000</v>
      </c>
      <c r="CN83" s="397">
        <f t="shared" si="171"/>
        <v>178290</v>
      </c>
      <c r="CO83" s="397">
        <f t="shared" si="171"/>
        <v>198000</v>
      </c>
      <c r="CP83" s="397">
        <v>168760</v>
      </c>
      <c r="CQ83" s="397">
        <v>194340</v>
      </c>
      <c r="CR83" s="397">
        <v>208000</v>
      </c>
      <c r="CS83" s="397">
        <v>201780</v>
      </c>
      <c r="CT83" s="397">
        <v>154060</v>
      </c>
      <c r="CU83" s="397">
        <v>96720</v>
      </c>
      <c r="CV83" s="91">
        <v>1949109</v>
      </c>
      <c r="CW83" s="758"/>
      <c r="CX83" s="397">
        <f>CX80</f>
        <v>131887.09999999998</v>
      </c>
      <c r="CY83" s="397">
        <f t="shared" ref="CY83:DC83" si="172">CY80</f>
        <v>124127.94999999998</v>
      </c>
      <c r="CZ83" s="397">
        <f t="shared" si="172"/>
        <v>145364</v>
      </c>
      <c r="DA83" s="397">
        <f t="shared" si="172"/>
        <v>158224</v>
      </c>
      <c r="DB83" s="397">
        <f t="shared" si="172"/>
        <v>164436.32</v>
      </c>
      <c r="DC83" s="397">
        <f t="shared" si="172"/>
        <v>110800</v>
      </c>
      <c r="DD83" s="397">
        <v>168760</v>
      </c>
      <c r="DE83" s="397">
        <v>194340</v>
      </c>
      <c r="DF83" s="397">
        <v>208000</v>
      </c>
      <c r="DG83" s="397">
        <v>201780</v>
      </c>
      <c r="DH83" s="397">
        <v>154060</v>
      </c>
      <c r="DI83" s="397">
        <v>96720</v>
      </c>
      <c r="DJ83" s="91">
        <v>1949109</v>
      </c>
      <c r="DK83" s="948"/>
      <c r="DL83" s="397">
        <f>DL80</f>
        <v>124634.79999999999</v>
      </c>
      <c r="DM83" s="397">
        <f t="shared" ref="DM83:DQ83" si="173">DM80</f>
        <v>117864.6</v>
      </c>
      <c r="DN83" s="397">
        <f t="shared" si="173"/>
        <v>145364</v>
      </c>
      <c r="DO83" s="397">
        <f t="shared" si="173"/>
        <v>158224</v>
      </c>
      <c r="DP83" s="397">
        <f t="shared" si="173"/>
        <v>146851.19999999998</v>
      </c>
      <c r="DQ83" s="397">
        <f t="shared" si="173"/>
        <v>114991.4</v>
      </c>
      <c r="DR83" s="397">
        <v>168760</v>
      </c>
      <c r="DS83" s="397">
        <v>194340</v>
      </c>
      <c r="DT83" s="397">
        <v>208000</v>
      </c>
      <c r="DU83" s="397">
        <v>201780</v>
      </c>
      <c r="DV83" s="397">
        <v>154060</v>
      </c>
      <c r="DW83" s="397">
        <v>96720</v>
      </c>
      <c r="DX83" s="91">
        <v>1949109</v>
      </c>
    </row>
    <row r="84" spans="1:129" ht="15.75" customHeight="1" outlineLevel="1">
      <c r="A84" s="821"/>
      <c r="B84" s="937" t="s">
        <v>92</v>
      </c>
      <c r="C84" s="902"/>
      <c r="D84" s="804"/>
      <c r="E84" s="805"/>
      <c r="F84" s="805"/>
      <c r="G84" s="805"/>
      <c r="H84" s="805"/>
      <c r="I84" s="805"/>
      <c r="J84" s="805"/>
      <c r="K84" s="805"/>
      <c r="L84" s="805"/>
      <c r="M84" s="805"/>
      <c r="N84" s="805"/>
      <c r="O84" s="805"/>
      <c r="P84" s="806"/>
      <c r="Q84" s="807"/>
      <c r="R84" s="808">
        <f>R83/R7</f>
        <v>7200</v>
      </c>
      <c r="S84" s="808">
        <f>S83/S7</f>
        <v>7300</v>
      </c>
      <c r="T84" s="808">
        <f>T83/T7</f>
        <v>7300</v>
      </c>
      <c r="U84" s="808">
        <f>U83/U7</f>
        <v>0</v>
      </c>
      <c r="V84" s="808">
        <f>V83/V7</f>
        <v>3650</v>
      </c>
      <c r="W84" s="808">
        <f>W83/W7</f>
        <v>7300</v>
      </c>
      <c r="X84" s="808">
        <f>X83/X7</f>
        <v>7300</v>
      </c>
      <c r="Y84" s="808">
        <f>Y83/Y7</f>
        <v>7300</v>
      </c>
      <c r="Z84" s="808">
        <f>Z83/Z7</f>
        <v>7300</v>
      </c>
      <c r="AA84" s="808">
        <f>AA83/AA7</f>
        <v>7300</v>
      </c>
      <c r="AB84" s="808">
        <f>AB83/AB7</f>
        <v>7300</v>
      </c>
      <c r="AC84" s="808">
        <f>AC83/AC7</f>
        <v>7300</v>
      </c>
      <c r="AD84" s="809"/>
      <c r="AE84" s="28"/>
      <c r="AF84" s="808">
        <f>AF83/AF7</f>
        <v>7300</v>
      </c>
      <c r="AG84" s="808">
        <f>AG83/AG7</f>
        <v>7300</v>
      </c>
      <c r="AH84" s="808">
        <f>AH83/AH7</f>
        <v>6275.55</v>
      </c>
      <c r="AI84" s="808">
        <f>AI83/AI7</f>
        <v>6750</v>
      </c>
      <c r="AJ84" s="808">
        <f>AJ83/AJ7</f>
        <v>8060</v>
      </c>
      <c r="AK84" s="808">
        <f>AK83/AK7</f>
        <v>7565</v>
      </c>
      <c r="AL84" s="808">
        <f>AL83/AL7</f>
        <v>8000</v>
      </c>
      <c r="AM84" s="596">
        <v>7000</v>
      </c>
      <c r="AN84" s="596">
        <v>7500</v>
      </c>
      <c r="AO84" s="596">
        <v>7000</v>
      </c>
      <c r="AP84" s="596">
        <v>6500</v>
      </c>
      <c r="AQ84" s="596">
        <v>7000</v>
      </c>
      <c r="AR84" s="810">
        <f>AVERAGE(AF84:AQ84)</f>
        <v>7187.5458333333336</v>
      </c>
      <c r="AS84" s="28"/>
      <c r="AT84" s="596">
        <v>7000</v>
      </c>
      <c r="AU84" s="596">
        <f>AU83/AU7</f>
        <v>6588.4210526315792</v>
      </c>
      <c r="AV84" s="596">
        <v>6100</v>
      </c>
      <c r="AW84" s="596">
        <v>6500</v>
      </c>
      <c r="AX84" s="596">
        <v>6000</v>
      </c>
      <c r="AY84" s="596">
        <v>7302.0476189999999</v>
      </c>
      <c r="AZ84" s="596">
        <v>7000</v>
      </c>
      <c r="BA84" s="596">
        <f>BA83/BA7</f>
        <v>7432.727272727273</v>
      </c>
      <c r="BB84" s="596">
        <v>7500</v>
      </c>
      <c r="BC84" s="596">
        <v>7500</v>
      </c>
      <c r="BD84" s="596">
        <f>BD83/BD7</f>
        <v>6471.55</v>
      </c>
      <c r="BE84" s="596">
        <f>BE83/BE7</f>
        <v>6170</v>
      </c>
      <c r="BF84" s="596">
        <f>AVERAGE(AT84:BE84)</f>
        <v>6797.0621620299053</v>
      </c>
      <c r="BG84" s="28"/>
      <c r="BH84" s="596">
        <f>BH83/BH7</f>
        <v>6838</v>
      </c>
      <c r="BI84" s="596">
        <f>BI83/BI7</f>
        <v>6857.6470588235297</v>
      </c>
      <c r="BJ84" s="596">
        <f>BJ83/BJ7</f>
        <v>6449.565217391304</v>
      </c>
      <c r="BK84" s="596">
        <f>BK83/BK7</f>
        <v>6242.2222222222226</v>
      </c>
      <c r="BL84" s="596">
        <f>BL83/BL7</f>
        <v>4939.090909090909</v>
      </c>
      <c r="BM84" s="596">
        <f>BM83/BM7</f>
        <v>6670.260869565217</v>
      </c>
      <c r="BN84" s="596">
        <f>BN83/BN7</f>
        <v>6556</v>
      </c>
      <c r="BO84" s="596">
        <f>BO83/BO7</f>
        <v>7174</v>
      </c>
      <c r="BP84" s="596">
        <f>BP83/BP7</f>
        <v>7100</v>
      </c>
      <c r="BQ84" s="596">
        <f>BQ83/BQ7</f>
        <v>6510.7142857142853</v>
      </c>
      <c r="BR84" s="596">
        <f>BR83/BR7</f>
        <v>8353.4500000000007</v>
      </c>
      <c r="BS84" s="596">
        <f>BS83/BS7</f>
        <v>8858.5714285714294</v>
      </c>
      <c r="BT84" s="596">
        <f>AVERAGE(BH84:BS84)</f>
        <v>6879.1268326149084</v>
      </c>
      <c r="BU84" s="28"/>
      <c r="BV84" s="596">
        <v>7000</v>
      </c>
      <c r="BW84" s="596">
        <v>7000</v>
      </c>
      <c r="BX84" s="596">
        <v>7000</v>
      </c>
      <c r="BY84" s="596">
        <v>7200</v>
      </c>
      <c r="BZ84" s="596">
        <v>7200</v>
      </c>
      <c r="CA84" s="596">
        <v>7200</v>
      </c>
      <c r="CB84" s="596">
        <v>7200</v>
      </c>
      <c r="CC84" s="596">
        <f t="shared" ref="CC84" si="174">CB84</f>
        <v>7200</v>
      </c>
      <c r="CD84" s="596">
        <v>7200</v>
      </c>
      <c r="CE84" s="596">
        <v>7200</v>
      </c>
      <c r="CF84" s="596">
        <v>7600</v>
      </c>
      <c r="CG84" s="596">
        <v>7600</v>
      </c>
      <c r="CH84" s="596"/>
      <c r="CI84" s="596"/>
      <c r="CJ84" s="596">
        <v>7500</v>
      </c>
      <c r="CK84" s="596">
        <v>8200</v>
      </c>
      <c r="CL84" s="596">
        <v>9000</v>
      </c>
      <c r="CM84" s="596">
        <v>10000</v>
      </c>
      <c r="CN84" s="596">
        <v>8490</v>
      </c>
      <c r="CO84" s="596">
        <v>9000</v>
      </c>
      <c r="CP84" s="596">
        <v>9800</v>
      </c>
      <c r="CQ84" s="596">
        <v>9900</v>
      </c>
      <c r="CR84" s="596">
        <f t="shared" ref="CR84:CU84" si="175">CQ84</f>
        <v>9900</v>
      </c>
      <c r="CS84" s="596">
        <v>9300</v>
      </c>
      <c r="CT84" s="596">
        <v>8400</v>
      </c>
      <c r="CU84" s="596">
        <v>9300</v>
      </c>
      <c r="CV84" s="596"/>
      <c r="CW84" s="758"/>
      <c r="CX84" s="596">
        <v>9319</v>
      </c>
      <c r="CY84" s="596">
        <f>CX84</f>
        <v>9319</v>
      </c>
      <c r="CZ84" s="596">
        <v>8972</v>
      </c>
      <c r="DA84" s="596">
        <f t="shared" ref="CZ84:DI84" si="176">CZ84</f>
        <v>8972</v>
      </c>
      <c r="DB84" s="596">
        <f t="shared" si="176"/>
        <v>8972</v>
      </c>
      <c r="DC84" s="596">
        <v>8000</v>
      </c>
      <c r="DD84" s="596">
        <v>8972</v>
      </c>
      <c r="DE84" s="596">
        <f t="shared" si="176"/>
        <v>8972</v>
      </c>
      <c r="DF84" s="596">
        <f t="shared" si="176"/>
        <v>8972</v>
      </c>
      <c r="DG84" s="596">
        <f t="shared" si="176"/>
        <v>8972</v>
      </c>
      <c r="DH84" s="596">
        <f t="shared" si="176"/>
        <v>8972</v>
      </c>
      <c r="DI84" s="596">
        <f t="shared" si="176"/>
        <v>8972</v>
      </c>
      <c r="DJ84" s="596"/>
      <c r="DK84" s="948"/>
      <c r="DL84" s="596">
        <f>DI84</f>
        <v>8972</v>
      </c>
      <c r="DM84" s="596">
        <f>DL84</f>
        <v>8972</v>
      </c>
      <c r="DN84" s="596">
        <f t="shared" ref="DN84" si="177">DM84</f>
        <v>8972</v>
      </c>
      <c r="DO84" s="596">
        <f t="shared" ref="DO84" si="178">DN84</f>
        <v>8972</v>
      </c>
      <c r="DP84" s="596">
        <f t="shared" ref="DP84" si="179">DO84</f>
        <v>8972</v>
      </c>
      <c r="DQ84" s="596">
        <f t="shared" ref="DQ84" si="180">DP84</f>
        <v>8972</v>
      </c>
      <c r="DR84" s="596">
        <f t="shared" ref="DR84" si="181">DQ84</f>
        <v>8972</v>
      </c>
      <c r="DS84" s="596">
        <f t="shared" ref="DS84" si="182">DR84</f>
        <v>8972</v>
      </c>
      <c r="DT84" s="596">
        <f t="shared" ref="DT84" si="183">DS84</f>
        <v>8972</v>
      </c>
      <c r="DU84" s="596">
        <f t="shared" ref="DU84" si="184">DT84</f>
        <v>8972</v>
      </c>
      <c r="DV84" s="596">
        <f t="shared" ref="DV84" si="185">DU84</f>
        <v>8972</v>
      </c>
      <c r="DW84" s="596">
        <f t="shared" ref="DW84" si="186">DV84</f>
        <v>8972</v>
      </c>
      <c r="DX84" s="596"/>
    </row>
    <row r="85" spans="1:129" ht="15.75" customHeight="1" outlineLevel="1">
      <c r="A85" s="821"/>
      <c r="B85" s="822" t="s">
        <v>93</v>
      </c>
      <c r="C85" s="803"/>
      <c r="D85" s="804"/>
      <c r="E85" s="805"/>
      <c r="F85" s="805"/>
      <c r="G85" s="805"/>
      <c r="H85" s="805"/>
      <c r="I85" s="805"/>
      <c r="J85" s="805"/>
      <c r="K85" s="805"/>
      <c r="L85" s="805"/>
      <c r="M85" s="805"/>
      <c r="N85" s="805"/>
      <c r="O85" s="805"/>
      <c r="P85" s="806"/>
      <c r="Q85" s="807"/>
      <c r="R85" s="804"/>
      <c r="S85" s="596">
        <v>15000</v>
      </c>
      <c r="T85" s="596">
        <v>15600</v>
      </c>
      <c r="U85" s="596">
        <v>2000</v>
      </c>
      <c r="V85" s="596">
        <v>10000</v>
      </c>
      <c r="W85" s="596">
        <v>30000</v>
      </c>
      <c r="X85" s="596">
        <v>20000</v>
      </c>
      <c r="Y85" s="596">
        <v>30000</v>
      </c>
      <c r="Z85" s="596">
        <v>30000</v>
      </c>
      <c r="AA85" s="596">
        <v>20000</v>
      </c>
      <c r="AB85" s="596">
        <v>20000</v>
      </c>
      <c r="AC85" s="596">
        <v>10000</v>
      </c>
      <c r="AD85" s="809"/>
      <c r="AE85" s="28"/>
      <c r="AF85" s="808">
        <v>30000</v>
      </c>
      <c r="AG85" s="596">
        <v>20000</v>
      </c>
      <c r="AH85" s="596">
        <v>24960</v>
      </c>
      <c r="AI85" s="596">
        <v>14040</v>
      </c>
      <c r="AJ85" s="596">
        <v>19040</v>
      </c>
      <c r="AK85" s="596">
        <v>12000</v>
      </c>
      <c r="AL85" s="596">
        <v>14000</v>
      </c>
      <c r="AM85" s="596">
        <v>13000</v>
      </c>
      <c r="AN85" s="596">
        <v>13000</v>
      </c>
      <c r="AO85" s="596">
        <v>0</v>
      </c>
      <c r="AP85" s="596">
        <v>0</v>
      </c>
      <c r="AQ85" s="596">
        <v>0</v>
      </c>
      <c r="AR85" s="810">
        <f t="shared" ref="AR85:AR86" si="187">SUM(AF85:AQ85)</f>
        <v>160040</v>
      </c>
      <c r="AS85" s="28"/>
      <c r="AT85" s="596">
        <v>0</v>
      </c>
      <c r="AU85" s="596">
        <v>0</v>
      </c>
      <c r="AV85" s="596"/>
      <c r="AW85" s="596"/>
      <c r="AX85" s="596"/>
      <c r="AY85" s="596"/>
      <c r="AZ85" s="596"/>
      <c r="BA85" s="596"/>
      <c r="BB85" s="596"/>
      <c r="BC85" s="596"/>
      <c r="BD85" s="596"/>
      <c r="BE85" s="596"/>
      <c r="BF85" s="596">
        <f t="shared" ref="BF85:BF86" si="188">SUM(AT85:BE85)</f>
        <v>0</v>
      </c>
      <c r="BG85" s="28">
        <f>BF85-AR85</f>
        <v>-160040</v>
      </c>
      <c r="BH85" s="596"/>
      <c r="BI85" s="596"/>
      <c r="BJ85" s="596"/>
      <c r="BK85" s="596"/>
      <c r="BL85" s="596"/>
      <c r="BM85" s="596"/>
      <c r="BN85" s="596"/>
      <c r="BO85" s="596"/>
      <c r="BP85" s="596"/>
      <c r="BQ85" s="596"/>
      <c r="BR85" s="596"/>
      <c r="BS85" s="596"/>
      <c r="BT85" s="596">
        <f t="shared" ref="BT85" si="189">SUM(BH85:BS85)</f>
        <v>0</v>
      </c>
      <c r="BU85" s="28"/>
      <c r="BV85" s="811">
        <f t="shared" ref="BV85:BZ85" si="190">BV7</f>
        <v>19</v>
      </c>
      <c r="BW85" s="811">
        <f t="shared" si="190"/>
        <v>19</v>
      </c>
      <c r="BX85" s="811">
        <f t="shared" si="190"/>
        <v>21</v>
      </c>
      <c r="BY85" s="811">
        <f t="shared" si="190"/>
        <v>24</v>
      </c>
      <c r="BZ85" s="811">
        <f t="shared" si="190"/>
        <v>23</v>
      </c>
      <c r="CA85" s="811">
        <f>CA7</f>
        <v>22</v>
      </c>
      <c r="CB85" s="811">
        <f t="shared" ref="CB85:CG85" si="191">CB7</f>
        <v>25</v>
      </c>
      <c r="CC85" s="811">
        <f t="shared" si="191"/>
        <v>24</v>
      </c>
      <c r="CD85" s="811">
        <f t="shared" si="191"/>
        <v>24</v>
      </c>
      <c r="CE85" s="811">
        <f t="shared" si="191"/>
        <v>24</v>
      </c>
      <c r="CF85" s="811">
        <f t="shared" si="191"/>
        <v>22</v>
      </c>
      <c r="CG85" s="811">
        <f t="shared" si="191"/>
        <v>13</v>
      </c>
      <c r="CH85" s="596">
        <f t="shared" ref="CH85" si="192">SUM(BV85:CG85)</f>
        <v>260</v>
      </c>
      <c r="CJ85" s="812">
        <f>CJ7</f>
        <v>22</v>
      </c>
      <c r="CK85" s="812">
        <f t="shared" ref="CK85:CO85" si="193">CK7</f>
        <v>23</v>
      </c>
      <c r="CL85" s="812">
        <f t="shared" si="193"/>
        <v>19</v>
      </c>
      <c r="CM85" s="812">
        <f t="shared" si="193"/>
        <v>20</v>
      </c>
      <c r="CN85" s="812">
        <f t="shared" si="193"/>
        <v>21</v>
      </c>
      <c r="CO85" s="812">
        <f t="shared" si="193"/>
        <v>22</v>
      </c>
      <c r="CP85" s="596"/>
      <c r="CQ85" s="596"/>
      <c r="CR85" s="596"/>
      <c r="CS85" s="596"/>
      <c r="CT85" s="596"/>
      <c r="CU85" s="596"/>
      <c r="CV85" s="596">
        <v>131</v>
      </c>
      <c r="CW85" s="758"/>
      <c r="CX85" s="812">
        <f>CX7</f>
        <v>22</v>
      </c>
      <c r="CY85" s="812">
        <f t="shared" ref="CY85:DC85" si="194">CY7</f>
        <v>19</v>
      </c>
      <c r="CZ85" s="812">
        <f t="shared" si="194"/>
        <v>22</v>
      </c>
      <c r="DA85" s="812">
        <f t="shared" si="194"/>
        <v>22</v>
      </c>
      <c r="DB85" s="812">
        <f t="shared" si="194"/>
        <v>22</v>
      </c>
      <c r="DC85" s="812">
        <f>DC7</f>
        <v>23</v>
      </c>
      <c r="DD85" s="812">
        <f t="shared" ref="DD85:DI85" si="195">DD7</f>
        <v>25</v>
      </c>
      <c r="DE85" s="812">
        <f t="shared" si="195"/>
        <v>23</v>
      </c>
      <c r="DF85" s="812">
        <f t="shared" si="195"/>
        <v>23</v>
      </c>
      <c r="DG85" s="812">
        <f t="shared" si="195"/>
        <v>23</v>
      </c>
      <c r="DH85" s="812">
        <f t="shared" si="195"/>
        <v>21</v>
      </c>
      <c r="DI85" s="812">
        <f t="shared" si="195"/>
        <v>16</v>
      </c>
      <c r="DJ85" s="596">
        <v>131</v>
      </c>
      <c r="DK85" s="948"/>
      <c r="DL85" s="812">
        <f>DL7</f>
        <v>22</v>
      </c>
      <c r="DM85" s="812">
        <f t="shared" ref="DM85:DQ85" si="196">DM7</f>
        <v>19</v>
      </c>
      <c r="DN85" s="812">
        <f t="shared" si="196"/>
        <v>22</v>
      </c>
      <c r="DO85" s="812">
        <f t="shared" si="196"/>
        <v>22</v>
      </c>
      <c r="DP85" s="812">
        <f t="shared" si="196"/>
        <v>20</v>
      </c>
      <c r="DQ85" s="812">
        <f>DQ7</f>
        <v>21</v>
      </c>
      <c r="DR85" s="812">
        <f t="shared" ref="DR85:DW85" si="197">DR7</f>
        <v>23</v>
      </c>
      <c r="DS85" s="812">
        <f t="shared" si="197"/>
        <v>21</v>
      </c>
      <c r="DT85" s="812">
        <f t="shared" si="197"/>
        <v>23</v>
      </c>
      <c r="DU85" s="812">
        <f t="shared" si="197"/>
        <v>23</v>
      </c>
      <c r="DV85" s="812">
        <f t="shared" si="197"/>
        <v>21</v>
      </c>
      <c r="DW85" s="812">
        <f t="shared" si="197"/>
        <v>16</v>
      </c>
      <c r="DX85" s="596">
        <v>131</v>
      </c>
    </row>
    <row r="86" spans="1:129" ht="15.75" customHeight="1" outlineLevel="1">
      <c r="A86" s="821"/>
      <c r="B86" s="970" t="s">
        <v>132</v>
      </c>
      <c r="C86" s="955"/>
      <c r="D86" s="971"/>
      <c r="E86" s="972"/>
      <c r="F86" s="972"/>
      <c r="G86" s="972"/>
      <c r="H86" s="972"/>
      <c r="I86" s="972"/>
      <c r="J86" s="972"/>
      <c r="K86" s="972"/>
      <c r="L86" s="972"/>
      <c r="M86" s="972"/>
      <c r="N86" s="972"/>
      <c r="O86" s="972"/>
      <c r="P86" s="973"/>
      <c r="Q86" s="974"/>
      <c r="R86" s="971"/>
      <c r="S86" s="975"/>
      <c r="T86" s="975">
        <v>0</v>
      </c>
      <c r="U86" s="975">
        <v>0</v>
      </c>
      <c r="V86" s="975">
        <v>0</v>
      </c>
      <c r="W86" s="975">
        <v>0</v>
      </c>
      <c r="X86" s="975">
        <v>0</v>
      </c>
      <c r="Y86" s="975">
        <v>13500</v>
      </c>
      <c r="Z86" s="975">
        <v>9000</v>
      </c>
      <c r="AA86" s="975">
        <v>9000</v>
      </c>
      <c r="AB86" s="975">
        <v>9000</v>
      </c>
      <c r="AC86" s="975">
        <v>0</v>
      </c>
      <c r="AD86" s="976"/>
      <c r="AE86" s="977"/>
      <c r="AF86" s="975">
        <v>13500</v>
      </c>
      <c r="AG86" s="975">
        <v>13500</v>
      </c>
      <c r="AH86" s="975">
        <v>2820</v>
      </c>
      <c r="AI86" s="975">
        <v>0</v>
      </c>
      <c r="AJ86" s="975">
        <v>0</v>
      </c>
      <c r="AK86" s="975">
        <v>0</v>
      </c>
      <c r="AL86" s="975">
        <v>0</v>
      </c>
      <c r="AM86" s="975"/>
      <c r="AN86" s="975"/>
      <c r="AO86" s="975"/>
      <c r="AP86" s="975"/>
      <c r="AQ86" s="975"/>
      <c r="AR86" s="957">
        <f t="shared" si="187"/>
        <v>29820</v>
      </c>
      <c r="AS86" s="977"/>
      <c r="AT86" s="975"/>
      <c r="AU86" s="975"/>
      <c r="AV86" s="975"/>
      <c r="AW86" s="975">
        <v>4000</v>
      </c>
      <c r="AX86" s="975">
        <v>8000</v>
      </c>
      <c r="AY86" s="975">
        <v>5000</v>
      </c>
      <c r="AZ86" s="975">
        <v>10000</v>
      </c>
      <c r="BA86" s="975">
        <v>10000</v>
      </c>
      <c r="BB86" s="975">
        <v>0</v>
      </c>
      <c r="BC86" s="975">
        <v>0</v>
      </c>
      <c r="BD86" s="975">
        <v>0</v>
      </c>
      <c r="BE86" s="975"/>
      <c r="BF86" s="975">
        <f t="shared" si="188"/>
        <v>37000</v>
      </c>
      <c r="BG86" s="977"/>
      <c r="BH86" s="975">
        <v>3000</v>
      </c>
      <c r="BI86" s="975"/>
      <c r="BJ86" s="975"/>
      <c r="BK86" s="975"/>
      <c r="BL86" s="975"/>
      <c r="BM86" s="975"/>
      <c r="BN86" s="975"/>
      <c r="BO86" s="975">
        <v>10000</v>
      </c>
      <c r="BP86" s="975">
        <v>15000</v>
      </c>
      <c r="BQ86" s="975">
        <v>20000</v>
      </c>
      <c r="BR86" s="975">
        <v>15000</v>
      </c>
      <c r="BS86" s="975">
        <f>7200*9/2</f>
        <v>32400</v>
      </c>
      <c r="BT86" s="975">
        <f>SUM(BH86:BS86)</f>
        <v>95400</v>
      </c>
      <c r="BU86" s="977"/>
      <c r="BV86" s="975">
        <f>BV89-BV80</f>
        <v>21584</v>
      </c>
      <c r="BW86" s="975">
        <f t="shared" ref="BW86:CG86" si="198">BW89-BW80</f>
        <v>18963</v>
      </c>
      <c r="BX86" s="975">
        <f t="shared" si="198"/>
        <v>-2354</v>
      </c>
      <c r="BY86" s="975">
        <f t="shared" si="198"/>
        <v>5998</v>
      </c>
      <c r="BZ86" s="975">
        <f t="shared" si="198"/>
        <v>-13737</v>
      </c>
      <c r="CA86" s="975">
        <f t="shared" si="198"/>
        <v>-6090</v>
      </c>
      <c r="CB86" s="975">
        <f t="shared" si="198"/>
        <v>-2176</v>
      </c>
      <c r="CC86" s="975">
        <f t="shared" si="198"/>
        <v>-17344</v>
      </c>
      <c r="CD86" s="975">
        <f t="shared" si="198"/>
        <v>-13369</v>
      </c>
      <c r="CE86" s="975">
        <f t="shared" si="198"/>
        <v>793</v>
      </c>
      <c r="CF86" s="975">
        <f t="shared" si="198"/>
        <v>-12350</v>
      </c>
      <c r="CG86" s="975">
        <f t="shared" si="198"/>
        <v>-98800</v>
      </c>
      <c r="CH86" s="957">
        <f>SUM(CD86:CG86)</f>
        <v>-123726</v>
      </c>
      <c r="CI86" s="748"/>
      <c r="CJ86" s="975">
        <f>BV89</f>
        <v>154584</v>
      </c>
      <c r="CK86" s="975">
        <f t="shared" ref="CK86:CS86" si="199">BW89</f>
        <v>151963</v>
      </c>
      <c r="CL86" s="975">
        <f>BX89</f>
        <v>144646</v>
      </c>
      <c r="CM86" s="975">
        <f t="shared" si="199"/>
        <v>178798</v>
      </c>
      <c r="CN86" s="975">
        <f t="shared" si="199"/>
        <v>151863</v>
      </c>
      <c r="CO86" s="975">
        <f t="shared" si="199"/>
        <v>152310</v>
      </c>
      <c r="CP86" s="975">
        <f t="shared" si="199"/>
        <v>177824</v>
      </c>
      <c r="CQ86" s="975">
        <f t="shared" si="199"/>
        <v>155456</v>
      </c>
      <c r="CR86" s="975">
        <f t="shared" si="199"/>
        <v>159431</v>
      </c>
      <c r="CS86" s="975">
        <f t="shared" si="199"/>
        <v>173593</v>
      </c>
      <c r="CT86" s="975">
        <v>146546</v>
      </c>
      <c r="CU86" s="975">
        <v>111901</v>
      </c>
      <c r="CV86" s="975">
        <v>127800</v>
      </c>
      <c r="CW86" s="978"/>
      <c r="CX86" s="975">
        <v>155428</v>
      </c>
      <c r="CY86" s="975">
        <v>182691</v>
      </c>
      <c r="CZ86" s="975">
        <v>176747</v>
      </c>
      <c r="DA86" s="975">
        <v>190424</v>
      </c>
      <c r="DB86" s="975">
        <v>214788</v>
      </c>
      <c r="DC86" s="975">
        <v>143727</v>
      </c>
      <c r="DD86" s="975">
        <v>191217</v>
      </c>
      <c r="DE86" s="975">
        <v>180648</v>
      </c>
      <c r="DF86" s="975">
        <v>180874</v>
      </c>
      <c r="DG86" s="975">
        <v>208228</v>
      </c>
      <c r="DH86" s="975">
        <v>184911</v>
      </c>
      <c r="DI86" s="975">
        <v>135942</v>
      </c>
      <c r="DJ86" s="599">
        <f>SUM(CX86:DI86)</f>
        <v>2145625</v>
      </c>
      <c r="DK86" s="948"/>
      <c r="DL86" s="596">
        <f>CX86</f>
        <v>155428</v>
      </c>
      <c r="DM86" s="596">
        <f t="shared" ref="DM86" si="200">CY86</f>
        <v>182691</v>
      </c>
      <c r="DN86" s="596">
        <f t="shared" ref="DN86" si="201">CZ86</f>
        <v>176747</v>
      </c>
      <c r="DO86" s="596">
        <f t="shared" ref="DO86" si="202">DA86</f>
        <v>190424</v>
      </c>
      <c r="DP86" s="596">
        <f t="shared" ref="DP86" si="203">DB86</f>
        <v>214788</v>
      </c>
      <c r="DQ86" s="596">
        <f t="shared" ref="DQ86" si="204">DC86</f>
        <v>143727</v>
      </c>
      <c r="DR86" s="596">
        <f t="shared" ref="DR86" si="205">DD86</f>
        <v>191217</v>
      </c>
      <c r="DS86" s="596">
        <f t="shared" ref="DS86" si="206">DE86</f>
        <v>180648</v>
      </c>
      <c r="DT86" s="596">
        <f t="shared" ref="DT86" si="207">DF86</f>
        <v>180874</v>
      </c>
      <c r="DU86" s="596">
        <f t="shared" ref="DU86" si="208">DG86</f>
        <v>208228</v>
      </c>
      <c r="DV86" s="596">
        <f t="shared" ref="DV86" si="209">DH86</f>
        <v>184911</v>
      </c>
      <c r="DW86" s="596">
        <f t="shared" ref="DW86" si="210">DI86</f>
        <v>135942</v>
      </c>
      <c r="DX86" s="596">
        <v>127800</v>
      </c>
    </row>
    <row r="87" spans="1:129" ht="15.75" hidden="1" customHeight="1" outlineLevel="1">
      <c r="A87" s="821"/>
      <c r="B87" s="822" t="s">
        <v>105</v>
      </c>
      <c r="C87" s="803"/>
      <c r="D87" s="804"/>
      <c r="E87" s="805"/>
      <c r="F87" s="805"/>
      <c r="G87" s="805"/>
      <c r="H87" s="805"/>
      <c r="I87" s="805"/>
      <c r="J87" s="805"/>
      <c r="K87" s="805"/>
      <c r="L87" s="805"/>
      <c r="M87" s="805"/>
      <c r="N87" s="805"/>
      <c r="O87" s="805"/>
      <c r="P87" s="806"/>
      <c r="Q87" s="807"/>
      <c r="R87" s="804"/>
      <c r="S87" s="596"/>
      <c r="T87" s="596"/>
      <c r="U87" s="596"/>
      <c r="V87" s="596"/>
      <c r="W87" s="596"/>
      <c r="X87" s="596"/>
      <c r="Y87" s="596"/>
      <c r="Z87" s="596"/>
      <c r="AA87" s="596"/>
      <c r="AB87" s="596"/>
      <c r="AC87" s="596"/>
      <c r="AD87" s="809"/>
      <c r="AE87" s="28"/>
      <c r="AF87" s="596"/>
      <c r="AG87" s="596"/>
      <c r="AH87" s="596"/>
      <c r="AI87" s="596"/>
      <c r="AJ87" s="596"/>
      <c r="AK87" s="596"/>
      <c r="AL87" s="596"/>
      <c r="AM87" s="596"/>
      <c r="AN87" s="596"/>
      <c r="AO87" s="596">
        <f t="shared" ref="AO87:AQ87" si="211">AO80*9.68</f>
        <v>1355200</v>
      </c>
      <c r="AP87" s="596">
        <f t="shared" si="211"/>
        <v>1258400</v>
      </c>
      <c r="AQ87" s="596">
        <f t="shared" si="211"/>
        <v>968000</v>
      </c>
      <c r="AR87" s="810"/>
      <c r="AS87" s="28"/>
      <c r="AT87" s="596">
        <f t="shared" ref="AT87:BF87" si="212">AT80*9.68</f>
        <v>1287440</v>
      </c>
      <c r="AU87" s="596">
        <f t="shared" si="212"/>
        <v>1211742.3999999999</v>
      </c>
      <c r="AV87" s="596">
        <f t="shared" si="212"/>
        <v>1134767.04</v>
      </c>
      <c r="AW87" s="596">
        <f t="shared" si="212"/>
        <v>1234200</v>
      </c>
      <c r="AX87" s="596">
        <f t="shared" si="212"/>
        <v>1355200</v>
      </c>
      <c r="AY87" s="596">
        <f t="shared" si="212"/>
        <v>1532760.2399903198</v>
      </c>
      <c r="AZ87" s="596">
        <f t="shared" si="212"/>
        <v>1475319.1199999999</v>
      </c>
      <c r="BA87" s="596">
        <f t="shared" si="212"/>
        <v>1679673.5999999999</v>
      </c>
      <c r="BB87" s="596">
        <f t="shared" si="212"/>
        <v>1597200</v>
      </c>
      <c r="BC87" s="596">
        <f t="shared" si="212"/>
        <v>1524600</v>
      </c>
      <c r="BD87" s="596">
        <f t="shared" si="212"/>
        <v>1252892.08</v>
      </c>
      <c r="BE87" s="596">
        <f t="shared" si="212"/>
        <v>597256</v>
      </c>
      <c r="BF87" s="596">
        <f t="shared" si="212"/>
        <v>15883050.47999032</v>
      </c>
      <c r="BG87" s="28"/>
      <c r="BH87" s="596"/>
      <c r="BI87" s="596"/>
      <c r="BJ87" s="596"/>
      <c r="BK87" s="596"/>
      <c r="BL87" s="596"/>
      <c r="BM87" s="596"/>
      <c r="BN87" s="596"/>
      <c r="BO87" s="596"/>
      <c r="BP87" s="596"/>
      <c r="BQ87" s="596"/>
      <c r="BR87" s="596"/>
      <c r="BS87" s="596"/>
      <c r="BT87" s="596"/>
      <c r="BU87" s="28"/>
      <c r="BV87" s="596"/>
      <c r="BW87" s="596"/>
      <c r="BX87" s="596"/>
      <c r="BY87" s="596"/>
      <c r="BZ87" s="596"/>
      <c r="CA87" s="596"/>
      <c r="CB87" s="596"/>
      <c r="CC87" s="596"/>
      <c r="CD87" s="596" t="s">
        <v>96</v>
      </c>
      <c r="CE87" s="596"/>
      <c r="CF87" s="813" t="s">
        <v>97</v>
      </c>
      <c r="CG87" s="596"/>
      <c r="CH87" s="596"/>
      <c r="CJ87" s="596"/>
      <c r="CK87" s="596"/>
      <c r="CL87" s="596"/>
      <c r="CM87" s="596">
        <v>61884.012959999985</v>
      </c>
      <c r="CN87" s="596">
        <f>CM87</f>
        <v>61884.012959999985</v>
      </c>
      <c r="CO87" s="596">
        <f t="shared" ref="CO87:CU87" si="213">CN87</f>
        <v>61884.012959999985</v>
      </c>
      <c r="CP87" s="596">
        <f t="shared" si="213"/>
        <v>61884.012959999985</v>
      </c>
      <c r="CQ87" s="596">
        <f t="shared" si="213"/>
        <v>61884.012959999985</v>
      </c>
      <c r="CR87" s="596">
        <f t="shared" si="213"/>
        <v>61884.012959999985</v>
      </c>
      <c r="CS87" s="596">
        <f t="shared" si="213"/>
        <v>61884.012959999985</v>
      </c>
      <c r="CT87" s="596">
        <f t="shared" si="213"/>
        <v>61884.012959999985</v>
      </c>
      <c r="CU87" s="596">
        <f t="shared" si="213"/>
        <v>61884.012959999985</v>
      </c>
      <c r="CV87" s="596"/>
      <c r="CW87" s="758"/>
      <c r="CX87" s="596" t="s">
        <v>133</v>
      </c>
      <c r="CY87" s="596"/>
      <c r="CZ87" s="596"/>
      <c r="DA87" s="596"/>
      <c r="DB87" s="596"/>
      <c r="DC87" s="596"/>
      <c r="DD87" s="596"/>
      <c r="DE87" s="596"/>
      <c r="DF87" s="596"/>
      <c r="DG87" s="596"/>
      <c r="DH87" s="596"/>
      <c r="DI87" s="596"/>
      <c r="DJ87" s="596"/>
      <c r="DK87" s="948"/>
      <c r="DL87" s="596" t="s">
        <v>133</v>
      </c>
      <c r="DM87" s="596"/>
      <c r="DN87" s="596"/>
      <c r="DO87" s="596"/>
      <c r="DP87" s="596"/>
      <c r="DQ87" s="596"/>
      <c r="DR87" s="596"/>
      <c r="DS87" s="596"/>
      <c r="DT87" s="596"/>
      <c r="DU87" s="596"/>
      <c r="DV87" s="596"/>
      <c r="DW87" s="596"/>
      <c r="DX87" s="596"/>
    </row>
    <row r="88" spans="1:129" ht="15.75" hidden="1" customHeight="1" outlineLevel="1">
      <c r="A88" s="821"/>
      <c r="B88" s="822" t="s">
        <v>98</v>
      </c>
      <c r="C88" s="803"/>
      <c r="D88" s="804"/>
      <c r="E88" s="805"/>
      <c r="F88" s="805"/>
      <c r="G88" s="805"/>
      <c r="H88" s="805"/>
      <c r="I88" s="805"/>
      <c r="J88" s="805"/>
      <c r="K88" s="805"/>
      <c r="L88" s="805"/>
      <c r="M88" s="805"/>
      <c r="N88" s="805"/>
      <c r="O88" s="805"/>
      <c r="P88" s="806"/>
      <c r="Q88" s="807"/>
      <c r="R88" s="804"/>
      <c r="S88" s="596"/>
      <c r="T88" s="596"/>
      <c r="U88" s="596"/>
      <c r="V88" s="596"/>
      <c r="W88" s="596"/>
      <c r="X88" s="596"/>
      <c r="Y88" s="596"/>
      <c r="Z88" s="596"/>
      <c r="AA88" s="596"/>
      <c r="AB88" s="596"/>
      <c r="AC88" s="596"/>
      <c r="AD88" s="809"/>
      <c r="AE88" s="28"/>
      <c r="AF88" s="808"/>
      <c r="AG88" s="596"/>
      <c r="AH88" s="596"/>
      <c r="AI88" s="596"/>
      <c r="AJ88" s="596"/>
      <c r="AK88" s="596"/>
      <c r="AL88" s="596"/>
      <c r="AM88" s="596"/>
      <c r="AN88" s="596"/>
      <c r="AO88" s="596"/>
      <c r="AP88" s="596"/>
      <c r="AQ88" s="596"/>
      <c r="AR88" s="810"/>
      <c r="AS88" s="28"/>
      <c r="AT88" s="596"/>
      <c r="AU88" s="596"/>
      <c r="AV88" s="596"/>
      <c r="AW88" s="596"/>
      <c r="AX88" s="596"/>
      <c r="AY88" s="596"/>
      <c r="AZ88" s="596"/>
      <c r="BA88" s="596"/>
      <c r="BB88" s="596"/>
      <c r="BC88" s="596"/>
      <c r="BD88" s="596"/>
      <c r="BE88" s="596"/>
      <c r="BF88" s="596"/>
      <c r="BG88" s="28"/>
      <c r="BH88" s="596"/>
      <c r="BI88" s="596"/>
      <c r="BJ88" s="596"/>
      <c r="BK88" s="596"/>
      <c r="BL88" s="596"/>
      <c r="BM88" s="596"/>
      <c r="BN88" s="596"/>
      <c r="BO88" s="596"/>
      <c r="BP88" s="596"/>
      <c r="BQ88" s="596"/>
      <c r="BR88" s="596"/>
      <c r="BS88" s="596"/>
      <c r="BT88" s="596"/>
      <c r="BU88" s="28"/>
      <c r="BV88" s="596"/>
      <c r="BW88" s="596"/>
      <c r="BX88" s="596"/>
      <c r="BY88" s="596"/>
      <c r="BZ88" s="596"/>
      <c r="CA88" s="596"/>
      <c r="CB88" s="596"/>
      <c r="CC88" s="596"/>
      <c r="CD88" s="596"/>
      <c r="CE88" s="596"/>
      <c r="CF88" s="813"/>
      <c r="CG88" s="596"/>
      <c r="CH88" s="596"/>
      <c r="CJ88" s="596"/>
      <c r="CK88" s="596"/>
      <c r="CL88" s="596"/>
      <c r="CM88" s="596">
        <f>CM87*CM7</f>
        <v>1237680.2591999997</v>
      </c>
      <c r="CN88" s="596">
        <f>CN87*CN7</f>
        <v>1299564.2721599997</v>
      </c>
      <c r="CO88" s="596">
        <f>CO87*CO7</f>
        <v>1361448.2851199997</v>
      </c>
      <c r="CP88" s="596">
        <f>CP87*CP7</f>
        <v>1547100.3239999996</v>
      </c>
      <c r="CQ88" s="596">
        <f>CQ87*CQ7</f>
        <v>1299564.2721599997</v>
      </c>
      <c r="CR88" s="596">
        <f>CR87*CR7</f>
        <v>1361448.2851199997</v>
      </c>
      <c r="CS88" s="596">
        <f>CS87*CS7</f>
        <v>1423332.2980799996</v>
      </c>
      <c r="CT88" s="596">
        <f>CT87*CT7</f>
        <v>1361448.2851199997</v>
      </c>
      <c r="CU88" s="596">
        <f>CU87*CU7</f>
        <v>1052028.2203199998</v>
      </c>
      <c r="CV88" s="596"/>
      <c r="CW88" s="758"/>
      <c r="CX88" s="596"/>
      <c r="CY88" s="596"/>
      <c r="CZ88" s="596"/>
      <c r="DA88" s="596"/>
      <c r="DB88" s="596"/>
      <c r="DC88" s="596"/>
      <c r="DD88" s="596"/>
      <c r="DE88" s="596"/>
      <c r="DF88" s="596"/>
      <c r="DG88" s="596"/>
      <c r="DH88" s="596"/>
      <c r="DI88" s="596"/>
      <c r="DJ88" s="596"/>
      <c r="DK88" s="948"/>
      <c r="DL88" s="596"/>
      <c r="DM88" s="596"/>
      <c r="DN88" s="596"/>
      <c r="DO88" s="596"/>
      <c r="DP88" s="596"/>
      <c r="DQ88" s="596"/>
      <c r="DR88" s="596"/>
      <c r="DS88" s="596"/>
      <c r="DT88" s="596"/>
      <c r="DU88" s="596"/>
      <c r="DV88" s="596"/>
      <c r="DW88" s="596"/>
      <c r="DX88" s="596"/>
    </row>
    <row r="89" spans="1:129" ht="18.75">
      <c r="A89" s="821" t="s">
        <v>99</v>
      </c>
      <c r="B89" s="823" t="s">
        <v>100</v>
      </c>
      <c r="C89" s="814"/>
      <c r="D89" s="815">
        <v>95972</v>
      </c>
      <c r="E89" s="816">
        <v>130805</v>
      </c>
      <c r="F89" s="816">
        <v>121914</v>
      </c>
      <c r="G89" s="816">
        <v>165455</v>
      </c>
      <c r="H89" s="816">
        <v>192013</v>
      </c>
      <c r="I89" s="816">
        <v>167281</v>
      </c>
      <c r="J89" s="816">
        <v>181409</v>
      </c>
      <c r="K89" s="816">
        <v>163138</v>
      </c>
      <c r="L89" s="816">
        <v>169051</v>
      </c>
      <c r="M89" s="816">
        <v>183254</v>
      </c>
      <c r="N89" s="816"/>
      <c r="O89" s="816"/>
      <c r="P89" s="817">
        <f>SUM(D89:O89)</f>
        <v>1570292</v>
      </c>
      <c r="Q89" s="818"/>
      <c r="R89" s="815">
        <v>149582</v>
      </c>
      <c r="S89" s="810">
        <v>152735</v>
      </c>
      <c r="T89" s="810">
        <v>107681</v>
      </c>
      <c r="U89" s="810">
        <v>2974</v>
      </c>
      <c r="V89" s="810">
        <v>32639</v>
      </c>
      <c r="W89" s="810">
        <v>153121</v>
      </c>
      <c r="X89" s="810">
        <v>198635</v>
      </c>
      <c r="Y89" s="810">
        <v>160489</v>
      </c>
      <c r="Z89" s="810">
        <v>160893</v>
      </c>
      <c r="AA89" s="810">
        <v>180999</v>
      </c>
      <c r="AB89" s="810">
        <v>167265</v>
      </c>
      <c r="AC89" s="810">
        <v>135424</v>
      </c>
      <c r="AD89" s="819">
        <f>SUM(R89:AC89)</f>
        <v>1602437</v>
      </c>
      <c r="AE89" s="18"/>
      <c r="AF89" s="820">
        <v>145616</v>
      </c>
      <c r="AG89" s="810">
        <v>168450</v>
      </c>
      <c r="AH89" s="810">
        <v>153291</v>
      </c>
      <c r="AI89" s="810">
        <v>149378</v>
      </c>
      <c r="AJ89" s="810">
        <v>196360</v>
      </c>
      <c r="AK89" s="810">
        <v>170558</v>
      </c>
      <c r="AL89" s="810">
        <v>171758</v>
      </c>
      <c r="AM89" s="810">
        <f t="shared" ref="AM89:AQ89" si="214">SUM(AM90:AM91)</f>
        <v>168974</v>
      </c>
      <c r="AN89" s="810">
        <f t="shared" si="214"/>
        <v>144792</v>
      </c>
      <c r="AO89" s="810">
        <f t="shared" si="214"/>
        <v>141375</v>
      </c>
      <c r="AP89" s="810">
        <f t="shared" si="214"/>
        <v>143221</v>
      </c>
      <c r="AQ89" s="810">
        <f t="shared" si="214"/>
        <v>85543</v>
      </c>
      <c r="AR89" s="810">
        <f t="shared" ref="AR89:AR93" si="215">SUM(AF89:AQ89)</f>
        <v>1839316</v>
      </c>
      <c r="AS89" s="28"/>
      <c r="AT89" s="810">
        <f t="shared" ref="AT89:BE89" si="216">SUM(AT90:AT91)</f>
        <v>120211</v>
      </c>
      <c r="AU89" s="810">
        <f t="shared" si="216"/>
        <v>120216</v>
      </c>
      <c r="AV89" s="810">
        <f t="shared" si="216"/>
        <v>101053</v>
      </c>
      <c r="AW89" s="810">
        <f t="shared" si="216"/>
        <v>137388</v>
      </c>
      <c r="AX89" s="810">
        <f t="shared" si="216"/>
        <v>137400</v>
      </c>
      <c r="AY89" s="810">
        <f t="shared" si="216"/>
        <v>135412</v>
      </c>
      <c r="AZ89" s="810">
        <f t="shared" si="216"/>
        <v>157032</v>
      </c>
      <c r="BA89" s="810">
        <f t="shared" si="216"/>
        <v>173287</v>
      </c>
      <c r="BB89" s="596">
        <f t="shared" si="216"/>
        <v>166815</v>
      </c>
      <c r="BC89" s="596">
        <f t="shared" si="216"/>
        <v>153816</v>
      </c>
      <c r="BD89" s="596">
        <f t="shared" si="216"/>
        <v>138051</v>
      </c>
      <c r="BE89" s="596">
        <f t="shared" si="216"/>
        <v>55950</v>
      </c>
      <c r="BF89" s="596">
        <f t="shared" ref="BF89:BF93" si="217">SUM(AT89:BE89)</f>
        <v>1596631</v>
      </c>
      <c r="BG89" s="54">
        <f>BF89/AR89-1</f>
        <v>-0.1319430701412917</v>
      </c>
      <c r="BH89" s="810">
        <f t="shared" ref="BH89:BQ89" si="218">SUM(BH90:BH91)</f>
        <v>138562</v>
      </c>
      <c r="BI89" s="810">
        <f t="shared" si="218"/>
        <v>109391</v>
      </c>
      <c r="BJ89" s="810">
        <f t="shared" si="218"/>
        <v>160056</v>
      </c>
      <c r="BK89" s="810">
        <f t="shared" si="218"/>
        <v>124826</v>
      </c>
      <c r="BL89" s="810">
        <f t="shared" si="218"/>
        <v>151185</v>
      </c>
      <c r="BM89" s="810">
        <f t="shared" si="218"/>
        <v>134688</v>
      </c>
      <c r="BN89" s="810">
        <f t="shared" si="218"/>
        <v>157005</v>
      </c>
      <c r="BO89" s="810">
        <f t="shared" si="218"/>
        <v>151231</v>
      </c>
      <c r="BP89" s="810">
        <f t="shared" si="218"/>
        <v>143335</v>
      </c>
      <c r="BQ89" s="810">
        <f t="shared" si="218"/>
        <v>159215</v>
      </c>
      <c r="BR89" s="810"/>
      <c r="BS89" s="810"/>
      <c r="BT89" s="810">
        <f t="shared" ref="BT89:BT93" si="219">SUM(BH89:BS89)</f>
        <v>1429494</v>
      </c>
      <c r="BU89" s="18"/>
      <c r="BV89" s="810">
        <v>154584</v>
      </c>
      <c r="BW89" s="810">
        <v>151963</v>
      </c>
      <c r="BX89" s="810">
        <v>144646</v>
      </c>
      <c r="BY89" s="810">
        <v>178798</v>
      </c>
      <c r="BZ89" s="810">
        <v>151863</v>
      </c>
      <c r="CA89" s="810">
        <v>152310</v>
      </c>
      <c r="CB89" s="810">
        <f>CB90+CB91</f>
        <v>177824</v>
      </c>
      <c r="CC89" s="810">
        <f t="shared" ref="CC89:CJ89" si="220">CC90+CC91</f>
        <v>155456</v>
      </c>
      <c r="CD89" s="810">
        <f t="shared" si="220"/>
        <v>159431</v>
      </c>
      <c r="CE89" s="810">
        <v>173593</v>
      </c>
      <c r="CF89" s="810">
        <v>154850</v>
      </c>
      <c r="CG89" s="810">
        <f t="shared" si="220"/>
        <v>0</v>
      </c>
      <c r="CH89" s="810">
        <f t="shared" ref="CH89" si="221">SUM(BV89:CG89)</f>
        <v>1755318</v>
      </c>
      <c r="CJ89" s="810">
        <v>155428</v>
      </c>
      <c r="CK89" s="810">
        <f>SUM(CK90:CK91)</f>
        <v>182595</v>
      </c>
      <c r="CL89" s="810">
        <f>SUM(CL90:CL91)</f>
        <v>175111</v>
      </c>
      <c r="CM89" s="810">
        <f>SUM(CM90:CM91)</f>
        <v>192052</v>
      </c>
      <c r="CN89" s="810">
        <v>214788</v>
      </c>
      <c r="CO89" s="810">
        <v>143727</v>
      </c>
      <c r="CP89" s="810">
        <v>191217</v>
      </c>
      <c r="CQ89" s="810">
        <v>180648</v>
      </c>
      <c r="CR89" s="810">
        <v>180874</v>
      </c>
      <c r="CS89" s="810"/>
      <c r="CT89" s="810"/>
      <c r="CU89" s="810"/>
      <c r="CV89" s="810"/>
      <c r="CW89" s="758"/>
      <c r="CX89" s="810">
        <v>191345</v>
      </c>
      <c r="CY89" s="810">
        <v>145396</v>
      </c>
      <c r="CZ89" s="810">
        <f t="shared" ref="CY89:DI89" si="222">CL89</f>
        <v>175111</v>
      </c>
      <c r="DA89" s="810">
        <f t="shared" si="222"/>
        <v>192052</v>
      </c>
      <c r="DB89" s="810">
        <f t="shared" si="222"/>
        <v>214788</v>
      </c>
      <c r="DC89" s="810">
        <f t="shared" si="222"/>
        <v>143727</v>
      </c>
      <c r="DD89" s="810">
        <f t="shared" si="222"/>
        <v>191217</v>
      </c>
      <c r="DE89" s="810">
        <f t="shared" si="222"/>
        <v>180648</v>
      </c>
      <c r="DF89" s="810">
        <f t="shared" si="222"/>
        <v>180874</v>
      </c>
      <c r="DG89" s="810">
        <f t="shared" si="222"/>
        <v>0</v>
      </c>
      <c r="DH89" s="810">
        <f t="shared" si="222"/>
        <v>0</v>
      </c>
      <c r="DI89" s="810">
        <f t="shared" si="222"/>
        <v>0</v>
      </c>
      <c r="DJ89" s="810"/>
      <c r="DK89" s="948"/>
      <c r="DL89" s="810">
        <f>CX89</f>
        <v>191345</v>
      </c>
      <c r="DM89" s="810">
        <f t="shared" ref="DM89" si="223">CY89</f>
        <v>145396</v>
      </c>
      <c r="DN89" s="810">
        <f t="shared" ref="DN89" si="224">CZ89</f>
        <v>175111</v>
      </c>
      <c r="DO89" s="810">
        <f t="shared" ref="DO89" si="225">DA89</f>
        <v>192052</v>
      </c>
      <c r="DP89" s="810">
        <f t="shared" ref="DP89" si="226">DB89</f>
        <v>214788</v>
      </c>
      <c r="DQ89" s="810">
        <f t="shared" ref="DQ89" si="227">DC89</f>
        <v>143727</v>
      </c>
      <c r="DR89" s="810">
        <f t="shared" ref="DR89" si="228">DD89</f>
        <v>191217</v>
      </c>
      <c r="DS89" s="810">
        <f t="shared" ref="DS89" si="229">DE89</f>
        <v>180648</v>
      </c>
      <c r="DT89" s="810">
        <f t="shared" ref="DT89" si="230">DF89</f>
        <v>180874</v>
      </c>
      <c r="DU89" s="810">
        <f t="shared" ref="DU89" si="231">DG89</f>
        <v>0</v>
      </c>
      <c r="DV89" s="810">
        <f t="shared" ref="DV89" si="232">DH89</f>
        <v>0</v>
      </c>
      <c r="DW89" s="810">
        <f t="shared" ref="DW89" si="233">DI89</f>
        <v>0</v>
      </c>
      <c r="DX89" s="810"/>
    </row>
    <row r="90" spans="1:129" ht="15.75" customHeight="1">
      <c r="A90" s="821"/>
      <c r="B90" s="823" t="s">
        <v>134</v>
      </c>
      <c r="C90" s="814"/>
      <c r="D90" s="804"/>
      <c r="E90" s="805"/>
      <c r="F90" s="805"/>
      <c r="G90" s="805"/>
      <c r="H90" s="805"/>
      <c r="I90" s="805"/>
      <c r="J90" s="805"/>
      <c r="K90" s="805"/>
      <c r="L90" s="805"/>
      <c r="M90" s="805"/>
      <c r="N90" s="805"/>
      <c r="O90" s="805"/>
      <c r="P90" s="806"/>
      <c r="Q90" s="807"/>
      <c r="R90" s="804"/>
      <c r="S90" s="596"/>
      <c r="T90" s="596"/>
      <c r="U90" s="596"/>
      <c r="V90" s="596"/>
      <c r="W90" s="596"/>
      <c r="X90" s="596"/>
      <c r="Y90" s="596"/>
      <c r="Z90" s="596"/>
      <c r="AA90" s="596"/>
      <c r="AB90" s="596"/>
      <c r="AC90" s="596"/>
      <c r="AD90" s="809"/>
      <c r="AE90" s="28"/>
      <c r="AF90" s="808">
        <v>126362</v>
      </c>
      <c r="AG90" s="596">
        <v>153970</v>
      </c>
      <c r="AH90" s="596">
        <v>128331</v>
      </c>
      <c r="AI90" s="596">
        <v>135338</v>
      </c>
      <c r="AJ90" s="596">
        <v>177312</v>
      </c>
      <c r="AK90" s="596">
        <v>150818</v>
      </c>
      <c r="AL90" s="596">
        <v>158858</v>
      </c>
      <c r="AM90" s="596">
        <v>153933</v>
      </c>
      <c r="AN90" s="596">
        <v>134244</v>
      </c>
      <c r="AO90" s="596">
        <v>137435</v>
      </c>
      <c r="AP90" s="596">
        <v>143221</v>
      </c>
      <c r="AQ90" s="596">
        <v>85543</v>
      </c>
      <c r="AR90" s="810">
        <f t="shared" si="215"/>
        <v>1685365</v>
      </c>
      <c r="AS90" s="28"/>
      <c r="AT90" s="596">
        <v>120211</v>
      </c>
      <c r="AU90" s="596">
        <v>120216</v>
      </c>
      <c r="AV90" s="596">
        <v>101053</v>
      </c>
      <c r="AW90" s="596">
        <v>137388</v>
      </c>
      <c r="AX90" s="596">
        <v>137400</v>
      </c>
      <c r="AY90" s="596">
        <v>135412</v>
      </c>
      <c r="AZ90" s="596">
        <v>157032</v>
      </c>
      <c r="BA90" s="596">
        <v>172227</v>
      </c>
      <c r="BB90" s="596">
        <f>157995+8500</f>
        <v>166495</v>
      </c>
      <c r="BC90" s="596">
        <v>153816</v>
      </c>
      <c r="BD90" s="596">
        <v>138051</v>
      </c>
      <c r="BE90" s="596">
        <v>55950</v>
      </c>
      <c r="BF90" s="596">
        <f t="shared" si="217"/>
        <v>1595251</v>
      </c>
      <c r="BG90" s="28"/>
      <c r="BH90" s="596">
        <v>138562</v>
      </c>
      <c r="BI90" s="596">
        <v>109391</v>
      </c>
      <c r="BJ90" s="596">
        <v>160056</v>
      </c>
      <c r="BK90" s="596">
        <v>124826</v>
      </c>
      <c r="BL90" s="596">
        <v>151185</v>
      </c>
      <c r="BM90" s="596">
        <v>134688</v>
      </c>
      <c r="BN90" s="596">
        <v>157005</v>
      </c>
      <c r="BO90" s="596">
        <v>151231</v>
      </c>
      <c r="BP90" s="596">
        <v>143335</v>
      </c>
      <c r="BQ90" s="596">
        <v>159215</v>
      </c>
      <c r="BR90" s="596"/>
      <c r="BS90" s="596"/>
      <c r="BT90" s="596">
        <f t="shared" si="219"/>
        <v>1429494</v>
      </c>
      <c r="BU90" s="28"/>
      <c r="BV90" s="596">
        <v>154584</v>
      </c>
      <c r="BW90" s="596">
        <v>151963</v>
      </c>
      <c r="BX90" s="596">
        <v>144646</v>
      </c>
      <c r="BY90" s="596">
        <v>178798</v>
      </c>
      <c r="BZ90" s="596">
        <v>151863</v>
      </c>
      <c r="CA90" s="596">
        <v>152310</v>
      </c>
      <c r="CB90" s="596">
        <v>177824</v>
      </c>
      <c r="CC90" s="596">
        <v>155456</v>
      </c>
      <c r="CD90" s="596">
        <v>159431</v>
      </c>
      <c r="CE90" s="596"/>
      <c r="CF90" s="596"/>
      <c r="CG90" s="596"/>
      <c r="CH90" s="596"/>
      <c r="CJ90" s="596">
        <v>145276</v>
      </c>
      <c r="CK90" s="596">
        <v>157921</v>
      </c>
      <c r="CL90" s="596">
        <v>147905</v>
      </c>
      <c r="CM90" s="596">
        <v>157807</v>
      </c>
      <c r="CN90" s="596"/>
      <c r="CO90" s="596"/>
      <c r="CP90" s="596"/>
      <c r="CQ90" s="596"/>
      <c r="CR90" s="596"/>
      <c r="CS90" s="596"/>
      <c r="CT90" s="596"/>
      <c r="CU90" s="596"/>
      <c r="CV90" s="596"/>
      <c r="CW90" s="758"/>
      <c r="CX90" s="940"/>
      <c r="CY90" s="940"/>
      <c r="CZ90" s="596">
        <v>6339</v>
      </c>
      <c r="DA90" s="940"/>
      <c r="DB90" s="940"/>
      <c r="DC90" s="940"/>
      <c r="DD90" s="940"/>
      <c r="DE90" s="940"/>
      <c r="DF90" s="940"/>
      <c r="DG90" s="940"/>
      <c r="DH90" s="940"/>
      <c r="DI90" s="940"/>
      <c r="DJ90" s="596"/>
      <c r="DK90" s="948"/>
      <c r="DL90" s="940">
        <f>DL18-DL17</f>
        <v>8.2236634411736231E-2</v>
      </c>
      <c r="DM90" s="940">
        <f t="shared" ref="DM90:DW90" si="234">DM18-DM17</f>
        <v>0.17246452581298133</v>
      </c>
      <c r="DN90" s="940">
        <f t="shared" si="234"/>
        <v>0.37510023402527959</v>
      </c>
      <c r="DO90" s="940">
        <f t="shared" si="234"/>
        <v>0.40075896273712963</v>
      </c>
      <c r="DP90" s="940">
        <f t="shared" si="234"/>
        <v>0.59447903656110146</v>
      </c>
      <c r="DQ90" s="940">
        <f t="shared" si="234"/>
        <v>0.72883944380829568</v>
      </c>
      <c r="DR90" s="940">
        <f t="shared" si="234"/>
        <v>0.99052893270860232</v>
      </c>
      <c r="DS90" s="940">
        <f t="shared" si="234"/>
        <v>1.1540244949427207</v>
      </c>
      <c r="DT90" s="940">
        <f t="shared" si="234"/>
        <v>1.4152670548225443</v>
      </c>
      <c r="DU90" s="940">
        <f t="shared" si="234"/>
        <v>1.6543349292408052</v>
      </c>
      <c r="DV90" s="940">
        <f t="shared" si="234"/>
        <v>1.8232356604219548</v>
      </c>
      <c r="DW90" s="940">
        <f t="shared" si="234"/>
        <v>1.9497270841393228</v>
      </c>
      <c r="DX90" s="596"/>
    </row>
    <row r="91" spans="1:129" ht="15.75" customHeight="1">
      <c r="A91" s="821"/>
      <c r="B91" s="823" t="s">
        <v>135</v>
      </c>
      <c r="C91" s="814"/>
      <c r="D91" s="804"/>
      <c r="E91" s="805"/>
      <c r="F91" s="805"/>
      <c r="G91" s="805"/>
      <c r="H91" s="805"/>
      <c r="I91" s="805"/>
      <c r="J91" s="805"/>
      <c r="K91" s="805"/>
      <c r="L91" s="805"/>
      <c r="M91" s="805"/>
      <c r="N91" s="805"/>
      <c r="O91" s="805"/>
      <c r="P91" s="806"/>
      <c r="Q91" s="807"/>
      <c r="R91" s="804"/>
      <c r="S91" s="596"/>
      <c r="T91" s="596"/>
      <c r="U91" s="596"/>
      <c r="V91" s="596"/>
      <c r="W91" s="596"/>
      <c r="X91" s="596"/>
      <c r="Y91" s="596"/>
      <c r="Z91" s="596"/>
      <c r="AA91" s="596"/>
      <c r="AB91" s="596"/>
      <c r="AC91" s="596"/>
      <c r="AD91" s="809"/>
      <c r="AE91" s="28"/>
      <c r="AF91" s="596">
        <f t="shared" ref="AF91:AL91" si="235">AF89-AF90</f>
        <v>19254</v>
      </c>
      <c r="AG91" s="596">
        <f t="shared" si="235"/>
        <v>14480</v>
      </c>
      <c r="AH91" s="596">
        <f t="shared" si="235"/>
        <v>24960</v>
      </c>
      <c r="AI91" s="596">
        <f t="shared" si="235"/>
        <v>14040</v>
      </c>
      <c r="AJ91" s="596">
        <f t="shared" si="235"/>
        <v>19048</v>
      </c>
      <c r="AK91" s="596">
        <f t="shared" si="235"/>
        <v>19740</v>
      </c>
      <c r="AL91" s="596">
        <f t="shared" si="235"/>
        <v>12900</v>
      </c>
      <c r="AM91" s="596">
        <v>15041</v>
      </c>
      <c r="AN91" s="596">
        <v>10548</v>
      </c>
      <c r="AO91" s="596">
        <v>3940</v>
      </c>
      <c r="AP91" s="596">
        <v>0</v>
      </c>
      <c r="AQ91" s="596">
        <v>0</v>
      </c>
      <c r="AR91" s="810">
        <f t="shared" si="215"/>
        <v>153951</v>
      </c>
      <c r="AS91" s="28"/>
      <c r="AT91" s="596">
        <v>0</v>
      </c>
      <c r="AU91" s="596">
        <v>0</v>
      </c>
      <c r="AV91" s="596">
        <v>0</v>
      </c>
      <c r="AW91" s="596">
        <v>0</v>
      </c>
      <c r="AX91" s="596">
        <v>0</v>
      </c>
      <c r="AY91" s="596">
        <v>0</v>
      </c>
      <c r="AZ91" s="596">
        <v>0</v>
      </c>
      <c r="BA91" s="596">
        <v>1060</v>
      </c>
      <c r="BB91" s="596">
        <v>320</v>
      </c>
      <c r="BC91" s="596">
        <v>0</v>
      </c>
      <c r="BD91" s="596">
        <v>0</v>
      </c>
      <c r="BE91" s="596"/>
      <c r="BF91" s="596">
        <f t="shared" si="217"/>
        <v>1380</v>
      </c>
      <c r="BG91" s="28"/>
      <c r="BH91" s="596"/>
      <c r="BI91" s="596"/>
      <c r="BJ91" s="596"/>
      <c r="BK91" s="596"/>
      <c r="BL91" s="596"/>
      <c r="BM91" s="596"/>
      <c r="BN91" s="596"/>
      <c r="BO91" s="596"/>
      <c r="BP91" s="596"/>
      <c r="BQ91" s="596"/>
      <c r="BR91" s="596"/>
      <c r="BS91" s="596"/>
      <c r="BT91" s="596">
        <f t="shared" si="219"/>
        <v>0</v>
      </c>
      <c r="BU91" s="28"/>
      <c r="BV91" s="596"/>
      <c r="BW91" s="596"/>
      <c r="BX91" s="596"/>
      <c r="BY91" s="596"/>
      <c r="BZ91" s="596"/>
      <c r="CA91" s="596"/>
      <c r="CB91" s="596"/>
      <c r="CC91" s="596"/>
      <c r="CD91" s="596"/>
      <c r="CE91" s="596"/>
      <c r="CF91" s="596"/>
      <c r="CG91" s="596"/>
      <c r="CH91" s="596"/>
      <c r="CJ91" s="596">
        <v>14444</v>
      </c>
      <c r="CK91" s="596">
        <v>24674</v>
      </c>
      <c r="CL91" s="596">
        <v>27206</v>
      </c>
      <c r="CM91" s="596">
        <v>34245</v>
      </c>
      <c r="CN91" s="596"/>
      <c r="CO91" s="596"/>
      <c r="CP91" s="596"/>
      <c r="CQ91" s="596"/>
      <c r="CR91" s="596"/>
      <c r="CS91" s="596"/>
      <c r="CT91" s="596"/>
      <c r="CU91" s="596"/>
      <c r="CV91" s="596"/>
      <c r="CW91" s="758"/>
      <c r="CX91" s="596">
        <v>2341</v>
      </c>
      <c r="CY91" s="596">
        <v>2341</v>
      </c>
      <c r="CZ91" s="596">
        <v>2469</v>
      </c>
      <c r="DA91" s="596"/>
      <c r="DB91" s="596"/>
      <c r="DC91" s="596"/>
      <c r="DD91" s="596"/>
      <c r="DE91" s="596"/>
      <c r="DF91" s="596"/>
      <c r="DG91" s="596"/>
      <c r="DH91" s="596"/>
      <c r="DI91" s="596"/>
      <c r="DJ91" s="596"/>
      <c r="DK91" s="948"/>
      <c r="DL91" s="596"/>
      <c r="DM91" s="596"/>
      <c r="DN91" s="596"/>
      <c r="DO91" s="596"/>
      <c r="DP91" s="596"/>
      <c r="DQ91" s="596"/>
      <c r="DR91" s="596"/>
      <c r="DS91" s="596"/>
      <c r="DT91" s="596"/>
      <c r="DU91" s="596"/>
      <c r="DV91" s="596"/>
      <c r="DW91" s="596"/>
      <c r="DX91" s="596"/>
    </row>
    <row r="92" spans="1:129" ht="18.75">
      <c r="A92" s="103" t="s">
        <v>103</v>
      </c>
      <c r="B92" s="337"/>
      <c r="C92" s="330"/>
      <c r="D92" s="331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332"/>
      <c r="Q92" s="105"/>
      <c r="R92" s="333"/>
      <c r="S92" s="333"/>
      <c r="T92" s="333"/>
      <c r="U92" s="333"/>
      <c r="V92" s="333"/>
      <c r="W92" s="333"/>
      <c r="X92" s="333"/>
      <c r="Y92" s="333"/>
      <c r="Z92" s="333"/>
      <c r="AA92" s="333"/>
      <c r="AB92" s="333"/>
      <c r="AC92" s="333"/>
      <c r="AD92" s="334"/>
      <c r="AE92" s="106"/>
      <c r="AF92" s="333">
        <f t="shared" ref="AF92:AQ92" si="236">AF89-AF80</f>
        <v>-15784</v>
      </c>
      <c r="AG92" s="333">
        <f t="shared" si="236"/>
        <v>2450</v>
      </c>
      <c r="AH92" s="333">
        <f t="shared" si="236"/>
        <v>2820</v>
      </c>
      <c r="AI92" s="333">
        <f t="shared" si="236"/>
        <v>338</v>
      </c>
      <c r="AJ92" s="333">
        <f t="shared" si="236"/>
        <v>0</v>
      </c>
      <c r="AK92" s="333">
        <f t="shared" si="236"/>
        <v>7258</v>
      </c>
      <c r="AL92" s="333">
        <f t="shared" si="236"/>
        <v>-18242</v>
      </c>
      <c r="AM92" s="333">
        <f t="shared" si="236"/>
        <v>1974</v>
      </c>
      <c r="AN92" s="333">
        <f t="shared" si="236"/>
        <v>-25708</v>
      </c>
      <c r="AO92" s="333">
        <f t="shared" si="236"/>
        <v>1375</v>
      </c>
      <c r="AP92" s="333">
        <f t="shared" si="236"/>
        <v>13221</v>
      </c>
      <c r="AQ92" s="333">
        <f t="shared" si="236"/>
        <v>-14457</v>
      </c>
      <c r="AR92" s="107">
        <f t="shared" si="215"/>
        <v>-44755</v>
      </c>
      <c r="AS92" s="106"/>
      <c r="AT92" s="333">
        <f t="shared" ref="AT92:BE92" si="237">AT89-AT80</f>
        <v>-12789</v>
      </c>
      <c r="AU92" s="333">
        <f t="shared" si="237"/>
        <v>-4964</v>
      </c>
      <c r="AV92" s="333">
        <f t="shared" si="237"/>
        <v>-16175</v>
      </c>
      <c r="AW92" s="333">
        <f t="shared" si="237"/>
        <v>9888</v>
      </c>
      <c r="AX92" s="333">
        <f t="shared" si="237"/>
        <v>-2600</v>
      </c>
      <c r="AY92" s="333">
        <f t="shared" si="237"/>
        <v>-22930.999998999992</v>
      </c>
      <c r="AZ92" s="333">
        <f t="shared" si="237"/>
        <v>4623</v>
      </c>
      <c r="BA92" s="333">
        <f t="shared" si="237"/>
        <v>-233</v>
      </c>
      <c r="BB92" s="333">
        <f t="shared" si="237"/>
        <v>1815</v>
      </c>
      <c r="BC92" s="333">
        <f t="shared" si="237"/>
        <v>-3684</v>
      </c>
      <c r="BD92" s="333">
        <f t="shared" si="237"/>
        <v>8620</v>
      </c>
      <c r="BE92" s="333">
        <f t="shared" si="237"/>
        <v>-5750</v>
      </c>
      <c r="BF92" s="108">
        <f t="shared" si="217"/>
        <v>-44179.999998999992</v>
      </c>
      <c r="BG92" s="106"/>
      <c r="BH92" s="333">
        <f t="shared" ref="BH92:BQ92" si="238">BH89-BH80</f>
        <v>-1198</v>
      </c>
      <c r="BI92" s="333">
        <f t="shared" si="238"/>
        <v>-7189</v>
      </c>
      <c r="BJ92" s="333">
        <f t="shared" si="238"/>
        <v>11716</v>
      </c>
      <c r="BK92" s="333">
        <f t="shared" si="238"/>
        <v>12466</v>
      </c>
      <c r="BL92" s="333">
        <f t="shared" si="238"/>
        <v>42525</v>
      </c>
      <c r="BM92" s="333">
        <f t="shared" si="238"/>
        <v>-18728</v>
      </c>
      <c r="BN92" s="333">
        <f t="shared" si="238"/>
        <v>19329</v>
      </c>
      <c r="BO92" s="333">
        <f t="shared" si="238"/>
        <v>-9423</v>
      </c>
      <c r="BP92" s="333">
        <f t="shared" si="238"/>
        <v>-13665</v>
      </c>
      <c r="BQ92" s="333">
        <f t="shared" si="238"/>
        <v>2490</v>
      </c>
      <c r="BR92" s="108"/>
      <c r="BS92" s="108"/>
      <c r="BT92" s="108">
        <f t="shared" si="219"/>
        <v>38323</v>
      </c>
      <c r="BU92" s="28"/>
      <c r="BV92" s="333"/>
      <c r="BW92" s="333"/>
      <c r="BX92" s="333"/>
      <c r="BY92" s="333">
        <f>BY89-BY80</f>
        <v>5998</v>
      </c>
      <c r="BZ92" s="333">
        <f t="shared" ref="BZ92:CG92" si="239">BZ89-BZ80</f>
        <v>-13737</v>
      </c>
      <c r="CA92" s="333">
        <f t="shared" si="239"/>
        <v>-6090</v>
      </c>
      <c r="CB92" s="333">
        <f t="shared" si="239"/>
        <v>-2176</v>
      </c>
      <c r="CC92" s="333">
        <f t="shared" si="239"/>
        <v>-17344</v>
      </c>
      <c r="CD92" s="333">
        <f t="shared" si="239"/>
        <v>-13369</v>
      </c>
      <c r="CE92" s="333">
        <f t="shared" si="239"/>
        <v>793</v>
      </c>
      <c r="CF92" s="333">
        <f t="shared" si="239"/>
        <v>-12350</v>
      </c>
      <c r="CG92" s="333">
        <f t="shared" si="239"/>
        <v>-98800</v>
      </c>
      <c r="CH92" s="333">
        <f>CH89-CH80</f>
        <v>-118882</v>
      </c>
      <c r="CJ92" s="333">
        <f t="shared" ref="CJ92:CV92" si="240">CJ89-CJ80</f>
        <v>-9572</v>
      </c>
      <c r="CK92" s="333">
        <f>CK89-CK80</f>
        <v>-6005</v>
      </c>
      <c r="CL92" s="333">
        <f t="shared" si="240"/>
        <v>4111</v>
      </c>
      <c r="CM92" s="333">
        <f t="shared" si="240"/>
        <v>-7948</v>
      </c>
      <c r="CN92" s="333">
        <f t="shared" si="240"/>
        <v>36498</v>
      </c>
      <c r="CO92" s="333">
        <f t="shared" si="240"/>
        <v>-54273</v>
      </c>
      <c r="CP92" s="333">
        <f t="shared" si="240"/>
        <v>-53783</v>
      </c>
      <c r="CQ92" s="333">
        <f t="shared" si="240"/>
        <v>-27252</v>
      </c>
      <c r="CR92" s="333">
        <f t="shared" si="240"/>
        <v>-36926</v>
      </c>
      <c r="CS92" s="333">
        <f t="shared" si="240"/>
        <v>-205579</v>
      </c>
      <c r="CT92" s="333">
        <f t="shared" si="240"/>
        <v>-164340</v>
      </c>
      <c r="CU92" s="333">
        <f t="shared" si="240"/>
        <v>-118660</v>
      </c>
      <c r="CV92" s="333">
        <f t="shared" si="240"/>
        <v>-2260169</v>
      </c>
      <c r="CW92" s="758"/>
      <c r="CX92" s="333">
        <f>CX89-CX79</f>
        <v>-3422.0999999999767</v>
      </c>
      <c r="CY92" s="333">
        <f t="shared" ref="CX92:DJ92" si="241">CY89-CY80</f>
        <v>21268.050000000017</v>
      </c>
      <c r="CZ92" s="333">
        <f t="shared" si="241"/>
        <v>29747</v>
      </c>
      <c r="DA92" s="333">
        <f t="shared" si="241"/>
        <v>33828</v>
      </c>
      <c r="DB92" s="333">
        <f t="shared" si="241"/>
        <v>50351.679999999993</v>
      </c>
      <c r="DC92" s="333">
        <f t="shared" si="241"/>
        <v>32927</v>
      </c>
      <c r="DD92" s="333">
        <f t="shared" si="241"/>
        <v>31403</v>
      </c>
      <c r="DE92" s="333">
        <f t="shared" si="241"/>
        <v>42609.800000000017</v>
      </c>
      <c r="DF92" s="333">
        <f t="shared" si="241"/>
        <v>37645.119999999995</v>
      </c>
      <c r="DG92" s="333">
        <f t="shared" si="241"/>
        <v>-168228.88</v>
      </c>
      <c r="DH92" s="333">
        <f t="shared" si="241"/>
        <v>-155643.76</v>
      </c>
      <c r="DI92" s="333">
        <f t="shared" si="241"/>
        <v>-80680.959999999992</v>
      </c>
      <c r="DJ92" s="333">
        <f t="shared" si="241"/>
        <v>-1680474.0499999996</v>
      </c>
      <c r="DK92" s="948"/>
      <c r="DL92" s="333">
        <f t="shared" ref="DL92:DX92" si="242">DL89-DL80</f>
        <v>66710.200000000012</v>
      </c>
      <c r="DM92" s="333">
        <f t="shared" si="242"/>
        <v>27531.399999999994</v>
      </c>
      <c r="DN92" s="333">
        <f t="shared" si="242"/>
        <v>29747</v>
      </c>
      <c r="DO92" s="333">
        <f t="shared" si="242"/>
        <v>33828</v>
      </c>
      <c r="DP92" s="333">
        <f t="shared" si="242"/>
        <v>67936.800000000017</v>
      </c>
      <c r="DQ92" s="333">
        <f t="shared" si="242"/>
        <v>28735.600000000006</v>
      </c>
      <c r="DR92" s="333">
        <f t="shared" si="242"/>
        <v>48988.119999999995</v>
      </c>
      <c r="DS92" s="333">
        <f t="shared" si="242"/>
        <v>59656.600000000006</v>
      </c>
      <c r="DT92" s="333">
        <f t="shared" si="242"/>
        <v>37645.119999999995</v>
      </c>
      <c r="DU92" s="333">
        <f t="shared" si="242"/>
        <v>-168228.88</v>
      </c>
      <c r="DV92" s="333">
        <f t="shared" si="242"/>
        <v>-155643.76</v>
      </c>
      <c r="DW92" s="333">
        <f t="shared" si="242"/>
        <v>-80680.959999999992</v>
      </c>
      <c r="DX92" s="333">
        <f t="shared" si="242"/>
        <v>-1618932.76</v>
      </c>
    </row>
    <row r="93" spans="1:129" ht="14.25" customHeight="1">
      <c r="A93" s="55" t="s">
        <v>104</v>
      </c>
      <c r="B93" s="56"/>
      <c r="C93" s="280"/>
      <c r="D93" s="288" t="e">
        <f t="shared" ref="D93:F93" si="243">#REF!-#REF!</f>
        <v>#REF!</v>
      </c>
      <c r="E93" s="57" t="e">
        <f t="shared" si="243"/>
        <v>#REF!</v>
      </c>
      <c r="F93" s="57" t="e">
        <f t="shared" si="243"/>
        <v>#REF!</v>
      </c>
      <c r="G93" s="57" t="e">
        <f t="shared" ref="G93:I93" si="244">G80-#REF!</f>
        <v>#REF!</v>
      </c>
      <c r="H93" s="57" t="e">
        <f t="shared" si="244"/>
        <v>#REF!</v>
      </c>
      <c r="I93" s="57" t="e">
        <f t="shared" si="244"/>
        <v>#REF!</v>
      </c>
      <c r="J93" s="57" t="e">
        <f t="shared" ref="J93:K93" si="245">#REF!-#REF!</f>
        <v>#REF!</v>
      </c>
      <c r="K93" s="57" t="e">
        <f t="shared" si="245"/>
        <v>#REF!</v>
      </c>
      <c r="L93" s="57">
        <f>L80-L33</f>
        <v>-24911</v>
      </c>
      <c r="M93" s="57">
        <f>M80-M33</f>
        <v>-13674</v>
      </c>
      <c r="N93" s="57">
        <f>N80-N33</f>
        <v>57632</v>
      </c>
      <c r="O93" s="57">
        <f>O80-O33</f>
        <v>74079</v>
      </c>
      <c r="P93" s="289" t="e">
        <f>SUM(D93:O93)</f>
        <v>#REF!</v>
      </c>
      <c r="Q93" s="39"/>
      <c r="R93" s="288">
        <f t="shared" ref="R93:AD93" si="246">R80-R33</f>
        <v>22222.660017050745</v>
      </c>
      <c r="S93" s="58">
        <f t="shared" si="246"/>
        <v>17159.673608830723</v>
      </c>
      <c r="T93" s="58">
        <f t="shared" si="246"/>
        <v>-24753.77192982455</v>
      </c>
      <c r="U93" s="58">
        <f t="shared" si="246"/>
        <v>-17814.899999999998</v>
      </c>
      <c r="V93" s="58">
        <f t="shared" si="246"/>
        <v>1715</v>
      </c>
      <c r="W93" s="290">
        <f t="shared" si="246"/>
        <v>120430.6180497602</v>
      </c>
      <c r="X93" s="290">
        <f t="shared" si="246"/>
        <v>43436.666666667006</v>
      </c>
      <c r="Y93" s="290">
        <f t="shared" si="246"/>
        <v>-29747.083333333314</v>
      </c>
      <c r="Z93" s="290">
        <f t="shared" si="246"/>
        <v>-80887.5</v>
      </c>
      <c r="AA93" s="290">
        <f t="shared" si="246"/>
        <v>10200</v>
      </c>
      <c r="AB93" s="290">
        <f t="shared" si="246"/>
        <v>137500</v>
      </c>
      <c r="AC93" s="290">
        <f t="shared" si="246"/>
        <v>134100</v>
      </c>
      <c r="AD93" s="291">
        <f t="shared" si="246"/>
        <v>333561.36307915067</v>
      </c>
      <c r="AE93" s="59"/>
      <c r="AF93" s="292">
        <f t="shared" ref="AF93:AQ93" si="247">AF80-AF33</f>
        <v>32754</v>
      </c>
      <c r="AG93" s="58">
        <f t="shared" si="247"/>
        <v>-11977</v>
      </c>
      <c r="AH93" s="58">
        <f t="shared" si="247"/>
        <v>76847</v>
      </c>
      <c r="AI93" s="58">
        <f t="shared" si="247"/>
        <v>59682</v>
      </c>
      <c r="AJ93" s="58">
        <f t="shared" si="247"/>
        <v>74226</v>
      </c>
      <c r="AK93" s="58">
        <f t="shared" si="247"/>
        <v>14740</v>
      </c>
      <c r="AL93" s="58">
        <f t="shared" si="247"/>
        <v>38005</v>
      </c>
      <c r="AM93" s="58">
        <f t="shared" si="247"/>
        <v>-71903</v>
      </c>
      <c r="AN93" s="58">
        <f t="shared" si="247"/>
        <v>-90633.333333333343</v>
      </c>
      <c r="AO93" s="58">
        <f t="shared" si="247"/>
        <v>-115900</v>
      </c>
      <c r="AP93" s="58">
        <f t="shared" si="247"/>
        <v>1360</v>
      </c>
      <c r="AQ93" s="58">
        <f t="shared" si="247"/>
        <v>2160</v>
      </c>
      <c r="AR93" s="58">
        <f t="shared" si="215"/>
        <v>9360.666666666657</v>
      </c>
      <c r="AS93" s="59"/>
      <c r="AT93" s="58">
        <f t="shared" ref="AT93:BE93" si="248">AT80-AT33</f>
        <v>-19749.25</v>
      </c>
      <c r="AU93" s="58">
        <f t="shared" si="248"/>
        <v>-43342.103448275855</v>
      </c>
      <c r="AV93" s="58">
        <f t="shared" si="248"/>
        <v>-36893.137931034493</v>
      </c>
      <c r="AW93" s="58">
        <f t="shared" si="248"/>
        <v>-32095.137931034493</v>
      </c>
      <c r="AX93" s="58">
        <f t="shared" si="248"/>
        <v>19900.034482758623</v>
      </c>
      <c r="AY93" s="58">
        <f t="shared" si="248"/>
        <v>19999.222221222211</v>
      </c>
      <c r="AZ93" s="58">
        <f t="shared" si="248"/>
        <v>-14264.777777777781</v>
      </c>
      <c r="BA93" s="58">
        <f t="shared" si="248"/>
        <v>-68922.296296296292</v>
      </c>
      <c r="BB93" s="58">
        <f t="shared" si="248"/>
        <v>-78407.777777777781</v>
      </c>
      <c r="BC93" s="58">
        <f t="shared" si="248"/>
        <v>-95868.290755657828</v>
      </c>
      <c r="BD93" s="58">
        <f t="shared" si="248"/>
        <v>-5124.586881472962</v>
      </c>
      <c r="BE93" s="58">
        <f t="shared" si="248"/>
        <v>-10986.612965093984</v>
      </c>
      <c r="BF93" s="58">
        <f t="shared" si="217"/>
        <v>-365754.71506044065</v>
      </c>
      <c r="BG93" s="59"/>
      <c r="BH93" s="58">
        <f t="shared" ref="BH93:BQ93" si="249">BH80-BH33</f>
        <v>-12993</v>
      </c>
      <c r="BI93" s="58">
        <f t="shared" si="249"/>
        <v>-30242.333333333314</v>
      </c>
      <c r="BJ93" s="58">
        <f t="shared" si="249"/>
        <v>-23206.074074074073</v>
      </c>
      <c r="BK93" s="58">
        <f t="shared" si="249"/>
        <v>-47411.74074074073</v>
      </c>
      <c r="BL93" s="58">
        <f t="shared" si="249"/>
        <v>-23836.851851851854</v>
      </c>
      <c r="BM93" s="58">
        <f t="shared" si="249"/>
        <v>23509.740740740745</v>
      </c>
      <c r="BN93" s="58">
        <f t="shared" si="249"/>
        <v>-33707.555555555562</v>
      </c>
      <c r="BO93" s="58">
        <f t="shared" si="249"/>
        <v>-18896.378111111087</v>
      </c>
      <c r="BP93" s="58">
        <f t="shared" si="249"/>
        <v>-45053.749537037045</v>
      </c>
      <c r="BQ93" s="58">
        <f t="shared" si="249"/>
        <v>-7140</v>
      </c>
      <c r="BR93" s="58"/>
      <c r="BS93" s="58"/>
      <c r="BT93" s="58">
        <f t="shared" si="219"/>
        <v>-218977.94246296291</v>
      </c>
      <c r="BU93" s="60"/>
      <c r="BV93" s="58"/>
      <c r="BW93" s="58"/>
      <c r="BX93" s="58"/>
      <c r="BY93" s="58">
        <f>BY80-BY33</f>
        <v>13630.76923076922</v>
      </c>
      <c r="BZ93" s="58">
        <f t="shared" ref="BZ93:CG93" si="250">BZ80-BZ33</f>
        <v>14117.606582143373</v>
      </c>
      <c r="CA93" s="58">
        <f t="shared" si="250"/>
        <v>16957.870899031579</v>
      </c>
      <c r="CB93" s="58">
        <f t="shared" si="250"/>
        <v>3013.7855523840117</v>
      </c>
      <c r="CC93" s="58">
        <f t="shared" si="250"/>
        <v>-28501.089448851068</v>
      </c>
      <c r="CD93" s="58">
        <f t="shared" si="250"/>
        <v>-40033.040135593415</v>
      </c>
      <c r="CE93" s="58">
        <f t="shared" si="250"/>
        <v>-43122.303862118919</v>
      </c>
      <c r="CF93" s="58">
        <f t="shared" si="250"/>
        <v>-3915.8422363018617</v>
      </c>
      <c r="CG93" s="58">
        <f t="shared" si="250"/>
        <v>11316.183308289634</v>
      </c>
      <c r="CH93" s="58">
        <f>CH89-CH75</f>
        <v>-50665</v>
      </c>
      <c r="CJ93" s="58">
        <f t="shared" ref="CJ93:CV93" si="251">CJ80-CJ33</f>
        <v>7083.6330227357394</v>
      </c>
      <c r="CK93" s="58">
        <f t="shared" si="251"/>
        <v>13756.340186358546</v>
      </c>
      <c r="CL93" s="58">
        <f t="shared" si="251"/>
        <v>4307.6667014535924</v>
      </c>
      <c r="CM93" s="58">
        <f t="shared" si="251"/>
        <v>34375.841222512099</v>
      </c>
      <c r="CN93" s="58">
        <f t="shared" si="251"/>
        <v>10438.8879612374</v>
      </c>
      <c r="CO93" s="58">
        <f t="shared" si="251"/>
        <v>63053.84509877002</v>
      </c>
      <c r="CP93" s="58">
        <f t="shared" si="251"/>
        <v>32882.489535864966</v>
      </c>
      <c r="CQ93" s="58">
        <f t="shared" si="251"/>
        <v>-22005.693924050604</v>
      </c>
      <c r="CR93" s="58">
        <f t="shared" si="251"/>
        <v>-47858.190843881865</v>
      </c>
      <c r="CS93" s="58">
        <f t="shared" si="251"/>
        <v>-44713.95105485231</v>
      </c>
      <c r="CT93" s="58">
        <f t="shared" si="251"/>
        <v>-9023.6010970463976</v>
      </c>
      <c r="CU93" s="58">
        <f t="shared" si="251"/>
        <v>22348.607594936708</v>
      </c>
      <c r="CV93" s="58">
        <f t="shared" si="251"/>
        <v>64645.874404037837</v>
      </c>
      <c r="CW93" s="758"/>
      <c r="CX93" s="58">
        <f>CX80-CX33</f>
        <v>-82602.810000000056</v>
      </c>
      <c r="CY93" s="58">
        <f t="shared" ref="CX93:DJ93" si="252">CY80-CY33</f>
        <v>85095.789999999979</v>
      </c>
      <c r="CZ93" s="58">
        <f t="shared" si="252"/>
        <v>-90949.28</v>
      </c>
      <c r="DA93" s="58">
        <f t="shared" si="252"/>
        <v>-19135.330000000045</v>
      </c>
      <c r="DB93" s="58">
        <f t="shared" si="252"/>
        <v>-10513.930000000022</v>
      </c>
      <c r="DC93" s="58">
        <f t="shared" si="252"/>
        <v>-20037.280000000013</v>
      </c>
      <c r="DD93" s="58">
        <f t="shared" si="252"/>
        <v>-53637.280000000057</v>
      </c>
      <c r="DE93" s="58">
        <f t="shared" si="252"/>
        <v>-87926.760000000038</v>
      </c>
      <c r="DF93" s="58">
        <f t="shared" si="252"/>
        <v>-152454.26</v>
      </c>
      <c r="DG93" s="58">
        <f t="shared" si="252"/>
        <v>-112206.18033755274</v>
      </c>
      <c r="DH93" s="58">
        <f t="shared" si="252"/>
        <v>-35353.026751054858</v>
      </c>
      <c r="DI93" s="58">
        <f t="shared" si="252"/>
        <v>-26931.485569620272</v>
      </c>
      <c r="DJ93" s="58">
        <f t="shared" si="252"/>
        <v>-606651.8326582287</v>
      </c>
      <c r="DK93" s="948"/>
      <c r="DL93" s="58">
        <f>DL80-DL33</f>
        <v>-89855.110000000044</v>
      </c>
      <c r="DM93" s="58">
        <f t="shared" ref="DL93:DX93" si="253">DM80-DM33</f>
        <v>-118072.15</v>
      </c>
      <c r="DN93" s="58">
        <f t="shared" si="253"/>
        <v>-32017.24000000002</v>
      </c>
      <c r="DO93" s="58">
        <f t="shared" si="253"/>
        <v>-19135.330000000045</v>
      </c>
      <c r="DP93" s="58">
        <f t="shared" si="253"/>
        <v>-28099.050000000047</v>
      </c>
      <c r="DQ93" s="58">
        <f t="shared" si="253"/>
        <v>-15845.880000000019</v>
      </c>
      <c r="DR93" s="58">
        <f t="shared" si="253"/>
        <v>-71222.400000000052</v>
      </c>
      <c r="DS93" s="58">
        <f t="shared" si="253"/>
        <v>-104973.56000000003</v>
      </c>
      <c r="DT93" s="58">
        <f t="shared" si="253"/>
        <v>-152454.26</v>
      </c>
      <c r="DU93" s="58">
        <f t="shared" si="253"/>
        <v>-112206.18033755274</v>
      </c>
      <c r="DV93" s="58">
        <f t="shared" si="253"/>
        <v>-35353.026751054858</v>
      </c>
      <c r="DW93" s="58">
        <f t="shared" si="253"/>
        <v>-26931.485569620272</v>
      </c>
      <c r="DX93" s="58">
        <f t="shared" si="253"/>
        <v>-806165.67265822808</v>
      </c>
    </row>
    <row r="94" spans="1:129" ht="15" hidden="1" customHeight="1">
      <c r="B94" t="s">
        <v>106</v>
      </c>
      <c r="BZ94" s="598"/>
      <c r="CA94" s="598">
        <f>BZ94+CA93</f>
        <v>16957.870899031579</v>
      </c>
      <c r="CB94" s="598">
        <f t="shared" ref="CB94:CG94" si="254">CA94+CB93</f>
        <v>19971.656451415591</v>
      </c>
      <c r="CC94" s="598">
        <f t="shared" si="254"/>
        <v>-8529.4329974354769</v>
      </c>
      <c r="CD94" s="598">
        <f t="shared" si="254"/>
        <v>-48562.473133028892</v>
      </c>
      <c r="CE94" s="598">
        <f t="shared" si="254"/>
        <v>-91684.776995147811</v>
      </c>
      <c r="CF94" s="598">
        <f t="shared" si="254"/>
        <v>-95600.619231449673</v>
      </c>
      <c r="CG94" s="598">
        <f t="shared" si="254"/>
        <v>-84284.435923160039</v>
      </c>
      <c r="CN94">
        <v>147</v>
      </c>
      <c r="CO94">
        <v>147</v>
      </c>
      <c r="CP94">
        <v>147</v>
      </c>
      <c r="CQ94">
        <v>147</v>
      </c>
      <c r="CR94">
        <v>147</v>
      </c>
      <c r="CS94">
        <v>147</v>
      </c>
      <c r="CT94">
        <v>147</v>
      </c>
      <c r="CU94">
        <v>147</v>
      </c>
      <c r="CW94" s="758"/>
      <c r="CX94">
        <f>CX77/(CX76+CX77)</f>
        <v>0.10889228207304867</v>
      </c>
      <c r="CY94">
        <f t="shared" ref="CY94:DI94" si="255">CY77/(CY76+CY77)</f>
        <v>0.10906332005393196</v>
      </c>
      <c r="CZ94">
        <f t="shared" si="255"/>
        <v>0.10560295990871499</v>
      </c>
      <c r="DA94">
        <f t="shared" si="255"/>
        <v>0.1103740306776172</v>
      </c>
      <c r="DB94">
        <f t="shared" si="255"/>
        <v>0.10719587087074026</v>
      </c>
      <c r="DC94">
        <f t="shared" si="255"/>
        <v>0.10168574814977574</v>
      </c>
      <c r="DD94">
        <f t="shared" si="255"/>
        <v>0.11323341515178816</v>
      </c>
      <c r="DE94">
        <f t="shared" si="255"/>
        <v>0.12547428151898654</v>
      </c>
      <c r="DF94">
        <f t="shared" si="255"/>
        <v>0.13109545370781175</v>
      </c>
      <c r="DG94">
        <f t="shared" si="255"/>
        <v>7.9975851863863481E-2</v>
      </c>
      <c r="DH94">
        <f t="shared" si="255"/>
        <v>0.10518071187595056</v>
      </c>
      <c r="DI94">
        <f t="shared" si="255"/>
        <v>9.825520729297918E-2</v>
      </c>
      <c r="DK94" s="948"/>
      <c r="DL94">
        <f>DL77/(DL76+DL77)</f>
        <v>9.6743432367023818E-2</v>
      </c>
      <c r="DM94">
        <f t="shared" ref="DM94:DW94" si="256">DM77/(DM76+DM77)</f>
        <v>9.6498631887906555E-2</v>
      </c>
      <c r="DN94">
        <f t="shared" si="256"/>
        <v>9.4591881536495157E-2</v>
      </c>
      <c r="DO94">
        <f t="shared" si="256"/>
        <v>9.7964874027716115E-2</v>
      </c>
      <c r="DP94">
        <f t="shared" si="256"/>
        <v>9.6214773867036557E-2</v>
      </c>
      <c r="DQ94">
        <f t="shared" si="256"/>
        <v>9.1265234582406166E-2</v>
      </c>
      <c r="DR94">
        <f t="shared" si="256"/>
        <v>0.10014614608853602</v>
      </c>
      <c r="DS94">
        <f t="shared" si="256"/>
        <v>0.11099587737436893</v>
      </c>
      <c r="DT94">
        <f t="shared" si="256"/>
        <v>0.1164117090457787</v>
      </c>
      <c r="DU94">
        <f t="shared" si="256"/>
        <v>7.1907521879673655E-2</v>
      </c>
      <c r="DV94">
        <f t="shared" si="256"/>
        <v>9.4879734818233225E-2</v>
      </c>
      <c r="DW94">
        <f t="shared" si="256"/>
        <v>8.908196304065602E-2</v>
      </c>
    </row>
    <row r="95" spans="1:129" ht="15" hidden="1" customHeight="1">
      <c r="B95" t="s">
        <v>107</v>
      </c>
      <c r="CN95" s="735">
        <f>CN88/CN94</f>
        <v>8840.5732799999987</v>
      </c>
      <c r="CO95" s="735">
        <f t="shared" ref="CO95:CU95" si="257">CO88/CO94</f>
        <v>9261.5529599999973</v>
      </c>
      <c r="CP95" s="735">
        <f t="shared" si="257"/>
        <v>10524.491999999997</v>
      </c>
      <c r="CQ95" s="735">
        <f t="shared" si="257"/>
        <v>8840.5732799999987</v>
      </c>
      <c r="CR95" s="735">
        <f t="shared" si="257"/>
        <v>9261.5529599999973</v>
      </c>
      <c r="CS95" s="735">
        <f t="shared" si="257"/>
        <v>9682.5326399999976</v>
      </c>
      <c r="CT95" s="735">
        <f t="shared" si="257"/>
        <v>9261.5529599999973</v>
      </c>
      <c r="CU95" s="735">
        <f t="shared" si="257"/>
        <v>7156.654559999999</v>
      </c>
      <c r="CW95" s="758"/>
      <c r="CX95">
        <f>ROUND(CX94*CX80,0)</f>
        <v>14361</v>
      </c>
      <c r="CY95">
        <f t="shared" ref="CY95:DI95" si="258">ROUND(CY94*CY80,0)</f>
        <v>13538</v>
      </c>
      <c r="CZ95">
        <f t="shared" si="258"/>
        <v>15351</v>
      </c>
      <c r="DA95">
        <f t="shared" si="258"/>
        <v>17464</v>
      </c>
      <c r="DB95">
        <f t="shared" si="258"/>
        <v>17627</v>
      </c>
      <c r="DC95">
        <f t="shared" si="258"/>
        <v>11267</v>
      </c>
      <c r="DD95">
        <f t="shared" si="258"/>
        <v>18096</v>
      </c>
      <c r="DE95">
        <f t="shared" si="258"/>
        <v>17320</v>
      </c>
      <c r="DF95">
        <f t="shared" si="258"/>
        <v>18777</v>
      </c>
      <c r="DG95">
        <f t="shared" si="258"/>
        <v>13454</v>
      </c>
      <c r="DH95">
        <f t="shared" si="258"/>
        <v>16371</v>
      </c>
      <c r="DI95">
        <f t="shared" si="258"/>
        <v>7927</v>
      </c>
      <c r="DK95" s="948"/>
      <c r="DL95">
        <f>ROUND(DL94*DL80,0)</f>
        <v>12058</v>
      </c>
      <c r="DM95">
        <f t="shared" ref="DM95:DW95" si="259">ROUND(DM94*DM80,0)</f>
        <v>11374</v>
      </c>
      <c r="DN95">
        <f t="shared" si="259"/>
        <v>13750</v>
      </c>
      <c r="DO95">
        <f t="shared" si="259"/>
        <v>15500</v>
      </c>
      <c r="DP95">
        <f t="shared" si="259"/>
        <v>14129</v>
      </c>
      <c r="DQ95">
        <f t="shared" si="259"/>
        <v>10495</v>
      </c>
      <c r="DR95">
        <f t="shared" si="259"/>
        <v>14244</v>
      </c>
      <c r="DS95">
        <f t="shared" si="259"/>
        <v>13430</v>
      </c>
      <c r="DT95">
        <f t="shared" si="259"/>
        <v>16674</v>
      </c>
      <c r="DU95">
        <f t="shared" si="259"/>
        <v>12097</v>
      </c>
      <c r="DV95">
        <f t="shared" si="259"/>
        <v>14767</v>
      </c>
      <c r="DW95">
        <f t="shared" si="259"/>
        <v>7187</v>
      </c>
    </row>
    <row r="96" spans="1:129" ht="15" hidden="1" customHeight="1">
      <c r="CO96" s="598">
        <f>CO84</f>
        <v>9000</v>
      </c>
      <c r="CP96" s="598">
        <f t="shared" ref="CP96:CU96" si="260">CP84</f>
        <v>9800</v>
      </c>
      <c r="CQ96" s="598">
        <f t="shared" si="260"/>
        <v>9900</v>
      </c>
      <c r="CR96" s="598">
        <f t="shared" si="260"/>
        <v>9900</v>
      </c>
      <c r="CS96" s="598">
        <f t="shared" si="260"/>
        <v>9300</v>
      </c>
      <c r="CT96" s="598">
        <f t="shared" si="260"/>
        <v>8400</v>
      </c>
      <c r="CU96" s="598">
        <f t="shared" si="260"/>
        <v>9300</v>
      </c>
      <c r="CW96" s="758"/>
      <c r="CX96" s="413">
        <v>194469.46000000002</v>
      </c>
      <c r="CY96" s="413">
        <v>159466.88999999998</v>
      </c>
      <c r="CZ96" s="413">
        <v>208203.57</v>
      </c>
      <c r="DA96" s="413">
        <v>158532.44</v>
      </c>
      <c r="DB96" s="413">
        <v>157404.75999999998</v>
      </c>
      <c r="DC96" s="413">
        <v>118894.62</v>
      </c>
      <c r="DD96" s="413">
        <v>211625.73</v>
      </c>
      <c r="DE96" s="413">
        <v>208193.11</v>
      </c>
      <c r="DF96" s="413">
        <v>269889.13</v>
      </c>
      <c r="DG96" s="413">
        <v>258868.84085232066</v>
      </c>
      <c r="DH96" s="413">
        <v>178376.53444641351</v>
      </c>
      <c r="DI96" s="413">
        <v>114212.18776329115</v>
      </c>
      <c r="DK96" s="948"/>
      <c r="DL96" s="413">
        <f>DL97*1.1</f>
        <v>213916.40600000005</v>
      </c>
      <c r="DM96" s="413">
        <f t="shared" ref="DM96:DW96" si="261">DM97*1.1</f>
        <v>175413.579</v>
      </c>
      <c r="DN96" s="413">
        <f t="shared" si="261"/>
        <v>229023.92700000003</v>
      </c>
      <c r="DO96" s="413">
        <f t="shared" si="261"/>
        <v>174385.68400000001</v>
      </c>
      <c r="DP96" s="413">
        <f t="shared" si="261"/>
        <v>173145.236</v>
      </c>
      <c r="DQ96" s="413">
        <f t="shared" si="261"/>
        <v>130784.08200000001</v>
      </c>
      <c r="DR96" s="413">
        <f t="shared" si="261"/>
        <v>232788.30300000004</v>
      </c>
      <c r="DS96" s="413">
        <f t="shared" si="261"/>
        <v>229012.421</v>
      </c>
      <c r="DT96" s="413">
        <f t="shared" si="261"/>
        <v>296878.04300000001</v>
      </c>
      <c r="DU96" s="413">
        <f t="shared" si="261"/>
        <v>284755.72493755276</v>
      </c>
      <c r="DV96" s="413">
        <f t="shared" si="261"/>
        <v>196214.18789105487</v>
      </c>
      <c r="DW96" s="413">
        <f t="shared" si="261"/>
        <v>125633.40653962028</v>
      </c>
    </row>
    <row r="97" spans="1:128" ht="15" hidden="1" customHeight="1">
      <c r="B97" s="576"/>
      <c r="C97" s="576"/>
      <c r="D97" s="576"/>
      <c r="E97" s="576"/>
      <c r="F97" s="576"/>
      <c r="G97" s="576"/>
      <c r="H97" s="576"/>
      <c r="I97" s="576"/>
      <c r="J97" s="576"/>
      <c r="K97" s="576"/>
      <c r="L97" s="576"/>
      <c r="M97" s="576"/>
      <c r="N97" s="576"/>
      <c r="O97" s="576"/>
      <c r="P97" s="576"/>
      <c r="Q97" s="576"/>
      <c r="R97" s="576"/>
      <c r="S97" s="576"/>
      <c r="T97" s="576"/>
      <c r="U97" s="576"/>
      <c r="V97" s="576"/>
      <c r="W97" s="576"/>
      <c r="X97" s="576"/>
      <c r="Y97" s="576"/>
      <c r="Z97" s="576"/>
      <c r="AA97" s="576"/>
      <c r="AB97" s="576"/>
      <c r="AC97" s="576"/>
      <c r="AD97" s="576"/>
      <c r="AE97" s="576"/>
      <c r="AF97" s="576"/>
      <c r="AG97" s="576"/>
      <c r="AH97" s="576"/>
      <c r="AI97" s="576"/>
      <c r="AJ97" s="576"/>
      <c r="AK97" s="576"/>
      <c r="AL97" s="576"/>
      <c r="AM97" s="576"/>
      <c r="AN97" s="576"/>
      <c r="AO97" s="576"/>
      <c r="AP97" s="576"/>
      <c r="AQ97" s="576"/>
      <c r="AR97" s="576"/>
      <c r="AS97" s="576"/>
      <c r="AT97" s="576"/>
      <c r="AU97" s="576"/>
      <c r="AV97" s="576"/>
      <c r="AW97" s="576"/>
      <c r="AX97" s="576"/>
      <c r="AY97" s="576"/>
      <c r="AZ97" s="576"/>
      <c r="BA97" s="576"/>
      <c r="BB97" s="576"/>
      <c r="BC97" s="576"/>
      <c r="BD97" s="576"/>
      <c r="BE97" s="576"/>
      <c r="BF97" s="576"/>
      <c r="BG97" s="576"/>
      <c r="BH97" s="576"/>
      <c r="BI97" s="576"/>
      <c r="BJ97" s="576"/>
      <c r="BK97" s="576"/>
      <c r="BL97" s="576"/>
      <c r="BM97" s="576"/>
      <c r="BN97" s="576"/>
      <c r="BO97" s="576"/>
      <c r="BP97" s="576"/>
      <c r="BQ97" s="576"/>
      <c r="BR97" s="576"/>
      <c r="BS97" s="576"/>
      <c r="BT97" s="576"/>
      <c r="BU97" s="576"/>
      <c r="BV97" s="576"/>
      <c r="BW97" s="576"/>
      <c r="BX97" s="576"/>
      <c r="BY97" s="576"/>
      <c r="BZ97" s="576"/>
      <c r="CA97" s="576"/>
      <c r="CB97" s="576"/>
      <c r="CC97" s="576"/>
      <c r="CD97" s="576"/>
      <c r="CE97" s="576"/>
      <c r="CF97" s="576"/>
      <c r="CG97" s="576"/>
      <c r="CH97" s="576"/>
      <c r="CI97" s="576"/>
      <c r="CJ97" s="576"/>
      <c r="CK97" s="576"/>
      <c r="CL97" s="576"/>
      <c r="CM97" s="576"/>
      <c r="CN97" s="576"/>
      <c r="CO97" s="576">
        <f>CO80*0.95</f>
        <v>188100</v>
      </c>
      <c r="CP97" s="576">
        <f t="shared" ref="CP97:CU97" si="262">CP80*0.95</f>
        <v>232750</v>
      </c>
      <c r="CQ97" s="576">
        <f t="shared" si="262"/>
        <v>197505</v>
      </c>
      <c r="CR97" s="576">
        <f t="shared" si="262"/>
        <v>206910</v>
      </c>
      <c r="CS97" s="576">
        <f t="shared" si="262"/>
        <v>195300.05</v>
      </c>
      <c r="CT97" s="576">
        <f t="shared" si="262"/>
        <v>156123</v>
      </c>
      <c r="CU97" s="576">
        <f t="shared" si="262"/>
        <v>112727</v>
      </c>
      <c r="CV97" s="576"/>
      <c r="CW97" s="758"/>
      <c r="CX97" s="576"/>
      <c r="CY97" s="576"/>
      <c r="CZ97" s="576"/>
      <c r="DA97" s="576"/>
      <c r="DB97" s="576"/>
      <c r="DC97" s="576"/>
      <c r="DD97" s="576"/>
      <c r="DE97" s="576"/>
      <c r="DF97" s="576"/>
      <c r="DG97" s="576"/>
      <c r="DH97" s="576"/>
      <c r="DI97" s="576"/>
      <c r="DK97" s="948"/>
      <c r="DL97" s="413">
        <v>194469.46000000002</v>
      </c>
      <c r="DM97" s="413">
        <v>159466.88999999998</v>
      </c>
      <c r="DN97" s="413">
        <v>208203.57</v>
      </c>
      <c r="DO97" s="413">
        <v>158532.44</v>
      </c>
      <c r="DP97" s="413">
        <v>157404.75999999998</v>
      </c>
      <c r="DQ97" s="413">
        <v>118894.62</v>
      </c>
      <c r="DR97" s="413">
        <v>211625.73</v>
      </c>
      <c r="DS97" s="413">
        <v>208193.11</v>
      </c>
      <c r="DT97" s="413">
        <v>269889.13</v>
      </c>
      <c r="DU97" s="413">
        <v>258868.84085232066</v>
      </c>
      <c r="DV97" s="413">
        <v>178376.53444641351</v>
      </c>
      <c r="DW97" s="413">
        <v>114212.18776329115</v>
      </c>
    </row>
    <row r="98" spans="1:128" ht="15" hidden="1" customHeight="1">
      <c r="A98" s="576"/>
      <c r="B98" s="760" t="s">
        <v>136</v>
      </c>
      <c r="C98" s="761"/>
      <c r="D98" s="761"/>
      <c r="E98" s="761"/>
      <c r="F98" s="761"/>
      <c r="G98" s="761"/>
      <c r="H98" s="761"/>
      <c r="I98" s="761"/>
      <c r="J98" s="761"/>
      <c r="K98" s="761"/>
      <c r="L98" s="761"/>
      <c r="M98" s="761"/>
      <c r="N98" s="761"/>
      <c r="O98" s="761"/>
      <c r="P98" s="761"/>
      <c r="Q98" s="761"/>
      <c r="R98" s="761"/>
      <c r="S98" s="761"/>
      <c r="T98" s="761"/>
      <c r="U98" s="761"/>
      <c r="V98" s="761"/>
      <c r="W98" s="761"/>
      <c r="X98" s="761"/>
      <c r="Y98" s="761"/>
      <c r="Z98" s="761"/>
      <c r="AA98" s="761"/>
      <c r="AB98" s="761"/>
      <c r="AC98" s="761"/>
      <c r="AD98" s="761"/>
      <c r="AE98" s="761"/>
      <c r="AF98" s="761"/>
      <c r="AG98" s="761"/>
      <c r="AH98" s="761"/>
      <c r="AI98" s="761"/>
      <c r="AJ98" s="761"/>
      <c r="AK98" s="761"/>
      <c r="AL98" s="761"/>
      <c r="AM98" s="761"/>
      <c r="AN98" s="761"/>
      <c r="AO98" s="761"/>
      <c r="AP98" s="761"/>
      <c r="AQ98" s="761"/>
      <c r="AR98" s="761"/>
      <c r="AS98" s="761"/>
      <c r="AT98" s="761"/>
      <c r="AU98" s="761"/>
      <c r="AV98" s="761"/>
      <c r="AW98" s="761"/>
      <c r="AX98" s="761"/>
      <c r="AY98" s="761"/>
      <c r="AZ98" s="761"/>
      <c r="BA98" s="761"/>
      <c r="BB98" s="761"/>
      <c r="BC98" s="761"/>
      <c r="BD98" s="761"/>
      <c r="BE98" s="761"/>
      <c r="BF98" s="761"/>
      <c r="BG98" s="761"/>
      <c r="BH98" s="761"/>
      <c r="BI98" s="761"/>
      <c r="BJ98" s="761"/>
      <c r="BK98" s="761"/>
      <c r="BL98" s="761"/>
      <c r="BM98" s="761"/>
      <c r="BN98" s="761"/>
      <c r="BO98" s="761"/>
      <c r="BP98" s="761"/>
      <c r="BQ98" s="761"/>
      <c r="BR98" s="761"/>
      <c r="BS98" s="761"/>
      <c r="BT98" s="761"/>
      <c r="BU98" s="761"/>
      <c r="BV98" s="761"/>
      <c r="BW98" s="761"/>
      <c r="BX98" s="761"/>
      <c r="BY98" s="761"/>
      <c r="BZ98" s="761"/>
      <c r="CA98" s="761"/>
      <c r="CB98" s="761"/>
      <c r="CC98" s="761"/>
      <c r="CD98" s="761"/>
      <c r="CE98" s="761"/>
      <c r="CF98" s="761"/>
      <c r="CG98" s="761"/>
      <c r="CH98" s="761"/>
      <c r="CI98" s="761"/>
      <c r="CJ98" s="761"/>
      <c r="CK98" s="761"/>
      <c r="CL98" s="761"/>
      <c r="CM98" s="761"/>
      <c r="CN98" s="761"/>
      <c r="CO98" s="761"/>
      <c r="CP98" s="761"/>
      <c r="CQ98" s="761"/>
      <c r="CR98" s="761"/>
      <c r="CS98" s="761">
        <v>0</v>
      </c>
      <c r="CT98" s="761">
        <v>20460</v>
      </c>
      <c r="CU98" s="761">
        <f>CU104-CU103</f>
        <v>39440</v>
      </c>
      <c r="CV98" s="761"/>
      <c r="CW98" s="758"/>
      <c r="CX98" s="761">
        <f>CX104-CX103</f>
        <v>53880</v>
      </c>
      <c r="CY98" s="761">
        <f t="shared" ref="CX98:DA98" si="263">CY104-CY103</f>
        <v>30080</v>
      </c>
      <c r="CZ98" s="761">
        <f t="shared" si="263"/>
        <v>34020</v>
      </c>
      <c r="DA98" s="761">
        <f t="shared" si="263"/>
        <v>21160</v>
      </c>
      <c r="DB98" s="761">
        <v>10000</v>
      </c>
      <c r="DC98" s="761">
        <v>50000</v>
      </c>
      <c r="DD98" s="761">
        <v>40000</v>
      </c>
      <c r="DE98" s="761">
        <v>40000</v>
      </c>
      <c r="DF98" s="761">
        <v>35000</v>
      </c>
      <c r="DG98" s="761">
        <v>20000</v>
      </c>
      <c r="DH98" s="761">
        <v>10000</v>
      </c>
      <c r="DI98" s="761">
        <f>DC98</f>
        <v>50000</v>
      </c>
      <c r="DJ98" s="576"/>
      <c r="DK98" s="948"/>
      <c r="DL98" s="761">
        <f>DL104-DL103</f>
        <v>53880</v>
      </c>
      <c r="DM98" s="761">
        <f t="shared" ref="DM98:DP98" si="264">DM104-DM103</f>
        <v>30080</v>
      </c>
      <c r="DN98" s="761">
        <f t="shared" si="264"/>
        <v>34020</v>
      </c>
      <c r="DO98" s="761">
        <f t="shared" si="264"/>
        <v>21160</v>
      </c>
      <c r="DP98" s="761">
        <v>10000</v>
      </c>
      <c r="DQ98" s="761">
        <v>50000</v>
      </c>
      <c r="DR98" s="761">
        <v>40000</v>
      </c>
      <c r="DS98" s="761">
        <v>40000</v>
      </c>
      <c r="DT98" s="761">
        <v>35000</v>
      </c>
      <c r="DU98" s="761">
        <v>20000</v>
      </c>
      <c r="DV98" s="761">
        <v>10000</v>
      </c>
      <c r="DW98" s="761">
        <f>DQ98</f>
        <v>50000</v>
      </c>
      <c r="DX98" s="576"/>
    </row>
    <row r="99" spans="1:128" ht="15" hidden="1" customHeight="1">
      <c r="A99" s="576"/>
      <c r="B99" s="762" t="s">
        <v>137</v>
      </c>
      <c r="C99" s="763"/>
      <c r="D99" s="763"/>
      <c r="E99" s="763"/>
      <c r="F99" s="763"/>
      <c r="G99" s="763"/>
      <c r="H99" s="763"/>
      <c r="I99" s="763"/>
      <c r="J99" s="763"/>
      <c r="K99" s="763"/>
      <c r="L99" s="763"/>
      <c r="M99" s="763"/>
      <c r="N99" s="763"/>
      <c r="O99" s="763"/>
      <c r="P99" s="763"/>
      <c r="Q99" s="763"/>
      <c r="R99" s="763"/>
      <c r="S99" s="763"/>
      <c r="T99" s="763"/>
      <c r="U99" s="763"/>
      <c r="V99" s="763"/>
      <c r="W99" s="763"/>
      <c r="X99" s="763"/>
      <c r="Y99" s="763"/>
      <c r="Z99" s="763"/>
      <c r="AA99" s="763"/>
      <c r="AB99" s="763"/>
      <c r="AC99" s="763"/>
      <c r="AD99" s="763"/>
      <c r="AE99" s="763"/>
      <c r="AF99" s="763"/>
      <c r="AG99" s="763"/>
      <c r="AH99" s="763"/>
      <c r="AI99" s="763"/>
      <c r="AJ99" s="763"/>
      <c r="AK99" s="763"/>
      <c r="AL99" s="763"/>
      <c r="AM99" s="763"/>
      <c r="AN99" s="763"/>
      <c r="AO99" s="763"/>
      <c r="AP99" s="763"/>
      <c r="AQ99" s="763"/>
      <c r="AR99" s="763"/>
      <c r="AS99" s="763"/>
      <c r="AT99" s="763"/>
      <c r="AU99" s="763"/>
      <c r="AV99" s="763"/>
      <c r="AW99" s="763"/>
      <c r="AX99" s="763"/>
      <c r="AY99" s="763"/>
      <c r="AZ99" s="763"/>
      <c r="BA99" s="763"/>
      <c r="BB99" s="763"/>
      <c r="BC99" s="763"/>
      <c r="BD99" s="763"/>
      <c r="BE99" s="763"/>
      <c r="BF99" s="763"/>
      <c r="BG99" s="763"/>
      <c r="BH99" s="763"/>
      <c r="BI99" s="763"/>
      <c r="BJ99" s="763"/>
      <c r="BK99" s="763"/>
      <c r="BL99" s="763"/>
      <c r="BM99" s="763"/>
      <c r="BN99" s="763"/>
      <c r="BO99" s="763"/>
      <c r="BP99" s="763"/>
      <c r="BQ99" s="763"/>
      <c r="BR99" s="763"/>
      <c r="BS99" s="763"/>
      <c r="BT99" s="763"/>
      <c r="BU99" s="763"/>
      <c r="BV99" s="763"/>
      <c r="BW99" s="763"/>
      <c r="BX99" s="763"/>
      <c r="BY99" s="763"/>
      <c r="BZ99" s="763"/>
      <c r="CA99" s="763"/>
      <c r="CB99" s="763"/>
      <c r="CC99" s="763"/>
      <c r="CD99" s="763"/>
      <c r="CE99" s="763"/>
      <c r="CF99" s="763"/>
      <c r="CG99" s="763"/>
      <c r="CH99" s="763"/>
      <c r="CI99" s="763"/>
      <c r="CJ99" s="763"/>
      <c r="CK99" s="763"/>
      <c r="CL99" s="763"/>
      <c r="CM99" s="763"/>
      <c r="CN99" s="763"/>
      <c r="CO99" s="763"/>
      <c r="CP99" s="763"/>
      <c r="CQ99" s="763"/>
      <c r="CR99" s="763"/>
      <c r="CS99" s="763"/>
      <c r="CT99" s="763">
        <v>35000</v>
      </c>
      <c r="CU99" s="763">
        <v>2096</v>
      </c>
      <c r="CV99" s="763"/>
      <c r="CW99" s="758"/>
      <c r="CX99" s="764">
        <f>CX106-CX105</f>
        <v>39610</v>
      </c>
      <c r="CY99" s="764">
        <f t="shared" ref="CY99:DC99" si="265">CY106-CY105</f>
        <v>36994</v>
      </c>
      <c r="CZ99" s="764">
        <f t="shared" si="265"/>
        <v>29344</v>
      </c>
      <c r="DA99" s="764">
        <f t="shared" si="265"/>
        <v>33378</v>
      </c>
      <c r="DB99" s="764">
        <f t="shared" si="265"/>
        <v>19489</v>
      </c>
      <c r="DC99" s="764">
        <f t="shared" si="265"/>
        <v>14764</v>
      </c>
      <c r="DD99" s="763">
        <f>DD100*1.1</f>
        <v>49685.9</v>
      </c>
      <c r="DE99" s="763">
        <f t="shared" ref="DE99:DI99" si="266">DE100*1.1</f>
        <v>48585.9</v>
      </c>
      <c r="DF99" s="763">
        <f t="shared" si="266"/>
        <v>55922.9</v>
      </c>
      <c r="DG99" s="763">
        <f t="shared" si="266"/>
        <v>28156.7</v>
      </c>
      <c r="DH99" s="763">
        <f t="shared" si="266"/>
        <v>14078.35</v>
      </c>
      <c r="DI99" s="763">
        <f t="shared" si="266"/>
        <v>3300.0000000000005</v>
      </c>
      <c r="DJ99" s="576"/>
      <c r="DK99" s="948"/>
      <c r="DL99" s="764">
        <f>DL106-DL105</f>
        <v>39610</v>
      </c>
      <c r="DM99" s="764">
        <f t="shared" ref="DM99:DQ99" si="267">DM106-DM105</f>
        <v>36994</v>
      </c>
      <c r="DN99" s="764">
        <f t="shared" si="267"/>
        <v>29344</v>
      </c>
      <c r="DO99" s="764">
        <f t="shared" si="267"/>
        <v>33378</v>
      </c>
      <c r="DP99" s="764">
        <f t="shared" si="267"/>
        <v>19489</v>
      </c>
      <c r="DQ99" s="764">
        <f t="shared" si="267"/>
        <v>14764</v>
      </c>
      <c r="DR99" s="763">
        <f>DR100*1.1</f>
        <v>49685.9</v>
      </c>
      <c r="DS99" s="763">
        <f t="shared" ref="DS99:DW99" si="268">DS100*1.1</f>
        <v>48585.9</v>
      </c>
      <c r="DT99" s="763">
        <f t="shared" si="268"/>
        <v>55922.9</v>
      </c>
      <c r="DU99" s="763">
        <f t="shared" si="268"/>
        <v>28156.7</v>
      </c>
      <c r="DV99" s="763">
        <f t="shared" si="268"/>
        <v>14078.35</v>
      </c>
      <c r="DW99" s="763">
        <f t="shared" si="268"/>
        <v>3300.0000000000005</v>
      </c>
      <c r="DX99" s="576"/>
    </row>
    <row r="100" spans="1:128" ht="15" hidden="1" customHeight="1">
      <c r="B100" s="576"/>
      <c r="C100" s="576"/>
      <c r="D100" s="576"/>
      <c r="E100" s="576"/>
      <c r="F100" s="576"/>
      <c r="G100" s="576"/>
      <c r="H100" s="576"/>
      <c r="I100" s="576"/>
      <c r="J100" s="576"/>
      <c r="K100" s="576"/>
      <c r="L100" s="576"/>
      <c r="M100" s="576"/>
      <c r="N100" s="576"/>
      <c r="O100" s="576"/>
      <c r="P100" s="576"/>
      <c r="Q100" s="576"/>
      <c r="R100" s="576"/>
      <c r="S100" s="576"/>
      <c r="T100" s="576"/>
      <c r="U100" s="576"/>
      <c r="V100" s="576"/>
      <c r="W100" s="576"/>
      <c r="X100" s="576"/>
      <c r="Y100" s="576"/>
      <c r="Z100" s="576"/>
      <c r="AA100" s="576"/>
      <c r="AB100" s="576"/>
      <c r="AC100" s="576"/>
      <c r="AD100" s="576"/>
      <c r="AE100" s="576"/>
      <c r="AF100" s="576"/>
      <c r="AG100" s="576"/>
      <c r="AH100" s="576"/>
      <c r="AI100" s="576"/>
      <c r="AJ100" s="576"/>
      <c r="AK100" s="576"/>
      <c r="AL100" s="576"/>
      <c r="AM100" s="576"/>
      <c r="AN100" s="576"/>
      <c r="AO100" s="576"/>
      <c r="AP100" s="576"/>
      <c r="AQ100" s="576"/>
      <c r="AR100" s="576"/>
      <c r="AS100" s="576"/>
      <c r="AT100" s="576"/>
      <c r="AU100" s="576"/>
      <c r="AV100" s="576"/>
      <c r="AW100" s="576"/>
      <c r="AX100" s="576"/>
      <c r="AY100" s="576"/>
      <c r="AZ100" s="576"/>
      <c r="BA100" s="576"/>
      <c r="BB100" s="576"/>
      <c r="BC100" s="576"/>
      <c r="BD100" s="576"/>
      <c r="BE100" s="576"/>
      <c r="BF100" s="576"/>
      <c r="BG100" s="576"/>
      <c r="BH100" s="576"/>
      <c r="BI100" s="576"/>
      <c r="BJ100" s="576"/>
      <c r="BK100" s="576"/>
      <c r="BL100" s="576"/>
      <c r="BM100" s="576"/>
      <c r="BN100" s="576"/>
      <c r="BO100" s="576"/>
      <c r="BP100" s="576"/>
      <c r="BQ100" s="576"/>
      <c r="BR100" s="576"/>
      <c r="BS100" s="576"/>
      <c r="BT100" s="576"/>
      <c r="BU100" s="576"/>
      <c r="BV100" s="576"/>
      <c r="BW100" s="576"/>
      <c r="BX100" s="576"/>
      <c r="BY100" s="576"/>
      <c r="BZ100" s="576"/>
      <c r="CA100" s="576"/>
      <c r="CB100" s="576"/>
      <c r="CC100" s="576"/>
      <c r="CD100" s="576"/>
      <c r="CE100" s="576"/>
      <c r="CF100" s="576"/>
      <c r="CG100" s="576"/>
      <c r="CH100" s="576"/>
      <c r="CI100" s="576"/>
      <c r="CJ100" s="576"/>
      <c r="CK100" s="576"/>
      <c r="CL100" s="576"/>
      <c r="CM100" s="576"/>
      <c r="CN100" s="576"/>
      <c r="CO100" s="576"/>
      <c r="CP100" s="576"/>
      <c r="CQ100" s="576"/>
      <c r="CR100" s="576"/>
      <c r="CS100" s="576"/>
      <c r="CT100" s="576"/>
      <c r="CU100" s="576"/>
      <c r="CV100" s="576"/>
      <c r="CW100" s="758"/>
      <c r="CX100" s="576"/>
      <c r="CY100" s="576"/>
      <c r="CZ100" s="576"/>
      <c r="DA100" s="576"/>
      <c r="DB100" s="576"/>
      <c r="DC100" s="576"/>
      <c r="DD100" s="576">
        <v>45169</v>
      </c>
      <c r="DE100" s="576">
        <v>44169</v>
      </c>
      <c r="DF100" s="576">
        <v>50839</v>
      </c>
      <c r="DG100" s="576">
        <v>25597</v>
      </c>
      <c r="DH100" s="763">
        <f>DG100/2</f>
        <v>12798.5</v>
      </c>
      <c r="DI100" s="763">
        <v>3000</v>
      </c>
      <c r="DK100" s="948"/>
      <c r="DL100" s="576"/>
      <c r="DM100" s="576"/>
      <c r="DN100" s="576"/>
      <c r="DO100" s="576"/>
      <c r="DP100" s="576"/>
      <c r="DQ100" s="576"/>
      <c r="DR100" s="576">
        <v>45169</v>
      </c>
      <c r="DS100" s="576">
        <v>44169</v>
      </c>
      <c r="DT100" s="576">
        <v>50839</v>
      </c>
      <c r="DU100" s="576">
        <v>25597</v>
      </c>
      <c r="DV100" s="763">
        <f>DU100/2</f>
        <v>12798.5</v>
      </c>
      <c r="DW100" s="763">
        <v>3000</v>
      </c>
    </row>
    <row r="101" spans="1:128" ht="15" hidden="1" customHeight="1">
      <c r="CU101">
        <v>50000</v>
      </c>
      <c r="CX101">
        <v>40000</v>
      </c>
      <c r="CY101">
        <v>40000</v>
      </c>
      <c r="CZ101">
        <v>35000</v>
      </c>
      <c r="DA101">
        <v>20000</v>
      </c>
      <c r="DL101">
        <v>40000</v>
      </c>
      <c r="DM101">
        <v>40000</v>
      </c>
      <c r="DN101">
        <v>35000</v>
      </c>
      <c r="DO101">
        <v>20000</v>
      </c>
    </row>
    <row r="102" spans="1:128" ht="15" hidden="1" customHeight="1"/>
    <row r="103" spans="1:128" ht="15" hidden="1" customHeight="1">
      <c r="CT103" s="682" t="s">
        <v>138</v>
      </c>
      <c r="CU103">
        <v>31560</v>
      </c>
      <c r="CX103">
        <v>26320</v>
      </c>
      <c r="CY103">
        <v>21280</v>
      </c>
      <c r="CZ103">
        <v>19180</v>
      </c>
      <c r="DA103">
        <v>14700</v>
      </c>
      <c r="DL103">
        <v>26320</v>
      </c>
      <c r="DM103">
        <v>21280</v>
      </c>
      <c r="DN103">
        <v>19180</v>
      </c>
      <c r="DO103">
        <v>14700</v>
      </c>
    </row>
    <row r="104" spans="1:128" ht="15" hidden="1" customHeight="1">
      <c r="CU104" s="761">
        <v>71000</v>
      </c>
      <c r="CV104" s="761"/>
      <c r="CW104" s="761"/>
      <c r="CX104" s="761">
        <v>80200</v>
      </c>
      <c r="CY104" s="761">
        <v>51360</v>
      </c>
      <c r="CZ104" s="761">
        <v>53200</v>
      </c>
      <c r="DA104" s="761">
        <v>35860</v>
      </c>
      <c r="DL104" s="761">
        <v>80200</v>
      </c>
      <c r="DM104" s="761">
        <v>51360</v>
      </c>
      <c r="DN104" s="761">
        <v>53200</v>
      </c>
      <c r="DO104" s="761">
        <v>35860</v>
      </c>
    </row>
    <row r="105" spans="1:128" ht="15" customHeight="1">
      <c r="B105" s="576"/>
      <c r="C105" s="576"/>
      <c r="CT105" t="s">
        <v>139</v>
      </c>
      <c r="CX105" s="764">
        <v>24332</v>
      </c>
      <c r="CY105" s="764">
        <v>18419</v>
      </c>
      <c r="CZ105" s="764">
        <v>19179</v>
      </c>
      <c r="DA105" s="764">
        <v>17338</v>
      </c>
      <c r="DB105" s="764">
        <v>12064</v>
      </c>
      <c r="DC105" s="764">
        <v>9136</v>
      </c>
      <c r="DL105" s="764">
        <v>24332</v>
      </c>
      <c r="DM105" s="764">
        <v>18419</v>
      </c>
      <c r="DN105" s="764">
        <v>19179</v>
      </c>
      <c r="DO105" s="764">
        <v>17338</v>
      </c>
      <c r="DP105" s="764">
        <v>12064</v>
      </c>
      <c r="DQ105" s="764">
        <v>9136</v>
      </c>
    </row>
    <row r="106" spans="1:128" ht="15" customHeight="1">
      <c r="A106" s="576"/>
      <c r="B106" s="946" t="s">
        <v>140</v>
      </c>
      <c r="C106" s="947" t="s">
        <v>141</v>
      </c>
      <c r="D106" s="576"/>
      <c r="CX106" s="764">
        <v>63942</v>
      </c>
      <c r="CY106" s="764">
        <v>55413</v>
      </c>
      <c r="CZ106" s="764">
        <v>48523</v>
      </c>
      <c r="DA106" s="764">
        <v>50716</v>
      </c>
      <c r="DB106" s="764">
        <v>31553</v>
      </c>
      <c r="DC106" s="764">
        <v>23900</v>
      </c>
      <c r="DL106" s="764">
        <v>63942</v>
      </c>
      <c r="DM106" s="764">
        <v>55413</v>
      </c>
      <c r="DN106" s="764">
        <v>48523</v>
      </c>
      <c r="DO106" s="764">
        <v>50716</v>
      </c>
      <c r="DP106" s="764">
        <v>31553</v>
      </c>
      <c r="DQ106" s="764">
        <v>23900</v>
      </c>
    </row>
    <row r="107" spans="1:128" ht="15" customHeight="1">
      <c r="A107" s="576"/>
      <c r="B107" s="944" t="s">
        <v>142</v>
      </c>
      <c r="C107" s="945">
        <f>COUNTIFS(grupos!C:C,B107)</f>
        <v>1</v>
      </c>
      <c r="D107" s="576"/>
    </row>
    <row r="108" spans="1:128" ht="15" customHeight="1">
      <c r="A108" s="576"/>
      <c r="B108" s="941" t="s">
        <v>143</v>
      </c>
      <c r="C108" s="942">
        <f>COUNTIFS(grupos!C:C,B108)</f>
        <v>10</v>
      </c>
      <c r="D108" s="576"/>
      <c r="CV108" t="s">
        <v>144</v>
      </c>
      <c r="CX108">
        <v>15330</v>
      </c>
      <c r="CY108">
        <v>12143</v>
      </c>
      <c r="CZ108">
        <v>17171</v>
      </c>
      <c r="DA108">
        <v>12558</v>
      </c>
      <c r="DB108">
        <v>13440</v>
      </c>
      <c r="DC108">
        <v>9626</v>
      </c>
      <c r="DD108">
        <v>16670</v>
      </c>
      <c r="DE108">
        <v>18206</v>
      </c>
      <c r="DF108">
        <v>25500</v>
      </c>
      <c r="DG108">
        <v>16774</v>
      </c>
      <c r="DH108">
        <v>15710</v>
      </c>
      <c r="DI108">
        <v>9907</v>
      </c>
      <c r="DL108">
        <v>15330</v>
      </c>
      <c r="DM108">
        <v>12143</v>
      </c>
      <c r="DN108">
        <v>17171</v>
      </c>
      <c r="DO108">
        <v>12558</v>
      </c>
      <c r="DP108">
        <v>13440</v>
      </c>
      <c r="DQ108">
        <v>9626</v>
      </c>
      <c r="DR108">
        <v>16670</v>
      </c>
      <c r="DS108">
        <v>18206</v>
      </c>
      <c r="DT108">
        <v>25500</v>
      </c>
      <c r="DU108">
        <v>16774</v>
      </c>
      <c r="DV108">
        <v>15710</v>
      </c>
      <c r="DW108">
        <v>9907</v>
      </c>
    </row>
    <row r="109" spans="1:128" ht="15" customHeight="1">
      <c r="A109" s="576"/>
      <c r="B109" s="941" t="s">
        <v>145</v>
      </c>
      <c r="C109" s="942">
        <f>COUNTIFS(grupos!C:C,B109)</f>
        <v>1</v>
      </c>
      <c r="D109" s="576"/>
      <c r="DL109" s="881">
        <v>166555.77995873816</v>
      </c>
      <c r="DM109" s="881">
        <v>152835.36924465047</v>
      </c>
      <c r="DN109" s="881">
        <v>195319.2072937729</v>
      </c>
      <c r="DO109" s="881">
        <v>158396.18906207831</v>
      </c>
      <c r="DP109" s="881">
        <v>152371.51475009107</v>
      </c>
      <c r="DQ109" s="881">
        <v>147696.01107361159</v>
      </c>
      <c r="DR109" s="881">
        <v>189465.0513586243</v>
      </c>
      <c r="DS109" s="881">
        <v>202914.10079748323</v>
      </c>
      <c r="DT109" s="881">
        <v>214499.61628422557</v>
      </c>
      <c r="DU109" s="881">
        <v>217682.99793575107</v>
      </c>
      <c r="DV109" s="881">
        <v>179284.72030485788</v>
      </c>
      <c r="DW109" s="881">
        <v>88389.319383536102</v>
      </c>
      <c r="DX109" s="69">
        <v>2065409.8774474205</v>
      </c>
    </row>
    <row r="110" spans="1:128" ht="15" customHeight="1">
      <c r="A110" s="576"/>
      <c r="B110" s="941" t="s">
        <v>146</v>
      </c>
      <c r="C110" s="942">
        <v>4</v>
      </c>
      <c r="D110" s="576"/>
    </row>
    <row r="111" spans="1:128" ht="15" customHeight="1">
      <c r="A111" s="576"/>
      <c r="B111" s="762" t="s">
        <v>147</v>
      </c>
      <c r="C111" s="943">
        <v>4</v>
      </c>
      <c r="D111" s="576"/>
    </row>
    <row r="112" spans="1:128" ht="15" customHeight="1">
      <c r="B112" s="576"/>
      <c r="C112" s="602">
        <f>SUM(C107:C111)</f>
        <v>20</v>
      </c>
    </row>
    <row r="113" spans="2:103" s="594" customFormat="1" ht="15" customHeight="1">
      <c r="B113" s="594" t="s">
        <v>148</v>
      </c>
      <c r="CX113" s="953">
        <v>191345</v>
      </c>
      <c r="CY113" s="953">
        <v>145396</v>
      </c>
    </row>
    <row r="114" spans="2:103" ht="15" customHeight="1">
      <c r="B114" t="s">
        <v>149</v>
      </c>
      <c r="CX114" s="862">
        <v>27823</v>
      </c>
      <c r="CY114" s="862">
        <v>27550</v>
      </c>
    </row>
    <row r="115" spans="2:103" ht="15" customHeight="1">
      <c r="B115" t="s">
        <v>150</v>
      </c>
      <c r="CX115" s="862">
        <v>14235</v>
      </c>
      <c r="CY115" s="862">
        <v>15739</v>
      </c>
    </row>
  </sheetData>
  <mergeCells count="28">
    <mergeCell ref="DL1:DW1"/>
    <mergeCell ref="DL2:DW2"/>
    <mergeCell ref="B46:C46"/>
    <mergeCell ref="B47:C47"/>
    <mergeCell ref="B48:C48"/>
    <mergeCell ref="CX1:DI1"/>
    <mergeCell ref="D2:P2"/>
    <mergeCell ref="R2:AD2"/>
    <mergeCell ref="AF2:AR2"/>
    <mergeCell ref="AT2:BF2"/>
    <mergeCell ref="BH2:BS2"/>
    <mergeCell ref="BV2:CG2"/>
    <mergeCell ref="CJ2:CU2"/>
    <mergeCell ref="CX2:DI2"/>
    <mergeCell ref="R1:AD1"/>
    <mergeCell ref="AF1:AR1"/>
    <mergeCell ref="B58:C58"/>
    <mergeCell ref="B40:C40"/>
    <mergeCell ref="B41:C41"/>
    <mergeCell ref="B42:C42"/>
    <mergeCell ref="B43:C43"/>
    <mergeCell ref="B44:C44"/>
    <mergeCell ref="B45:C45"/>
    <mergeCell ref="AT1:BF1"/>
    <mergeCell ref="BH1:BS1"/>
    <mergeCell ref="BV1:CG1"/>
    <mergeCell ref="CJ1:CU1"/>
    <mergeCell ref="B49:C49"/>
  </mergeCells>
  <pageMargins left="0.25" right="0.25" top="0.75" bottom="0.75" header="0" footer="0"/>
  <pageSetup paperSize="9" scale="55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9A99-65B7-460F-A16F-2C8B7080E3A6}">
  <sheetPr>
    <tabColor rgb="FF00B050"/>
  </sheetPr>
  <dimension ref="A1:DY112"/>
  <sheetViews>
    <sheetView showGridLines="0" zoomScale="80" zoomScaleNormal="80" workbookViewId="0">
      <pane xSplit="3" ySplit="9" topLeftCell="Q17" activePane="bottomRight" state="frozen"/>
      <selection pane="bottomRight" activeCell="Q32" sqref="Q32:AE32"/>
      <selection pane="bottomLeft"/>
      <selection pane="topRight"/>
    </sheetView>
  </sheetViews>
  <sheetFormatPr defaultColWidth="14.42578125" defaultRowHeight="15" customHeight="1" outlineLevelRow="1" outlineLevelCol="1"/>
  <cols>
    <col min="1" max="1" width="3" customWidth="1"/>
    <col min="2" max="2" width="17.85546875" customWidth="1"/>
    <col min="3" max="3" width="18.4257812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3.140625" customWidth="1" collapsed="1"/>
    <col min="74" max="87" width="12.28515625" hidden="1" customWidth="1"/>
    <col min="88" max="88" width="12.28515625" hidden="1" customWidth="1" collapsed="1"/>
    <col min="89" max="99" width="12.28515625" hidden="1" customWidth="1"/>
    <col min="100" max="100" width="16.85546875" hidden="1" customWidth="1"/>
    <col min="101" max="101" width="12" hidden="1" customWidth="1"/>
    <col min="102" max="103" width="13" customWidth="1"/>
    <col min="104" max="104" width="12.140625" customWidth="1"/>
    <col min="105" max="105" width="13.5703125" customWidth="1"/>
    <col min="106" max="106" width="12.28515625" customWidth="1"/>
    <col min="107" max="107" width="12.85546875" customWidth="1"/>
    <col min="108" max="108" width="13.5703125" customWidth="1"/>
    <col min="109" max="109" width="12.42578125" customWidth="1"/>
    <col min="110" max="110" width="13.28515625" customWidth="1"/>
    <col min="111" max="111" width="13.140625" customWidth="1"/>
    <col min="112" max="112" width="13.85546875" customWidth="1"/>
    <col min="113" max="113" width="12.28515625" customWidth="1"/>
    <col min="114" max="114" width="15.42578125" bestFit="1" customWidth="1"/>
    <col min="115" max="115" width="2.7109375" customWidth="1"/>
    <col min="116" max="127" width="9.140625"/>
    <col min="128" max="128" width="17.7109375" customWidth="1"/>
  </cols>
  <sheetData>
    <row r="1" spans="1:128" ht="12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s="699" t="s">
        <v>1</v>
      </c>
      <c r="CJ1" s="1089" t="s">
        <v>2</v>
      </c>
      <c r="CK1" s="1090"/>
      <c r="CL1" s="1090"/>
      <c r="CM1" s="1090"/>
      <c r="CN1" s="1090"/>
      <c r="CO1" s="1090"/>
      <c r="CP1" s="1090"/>
      <c r="CQ1" s="1090"/>
      <c r="CR1" s="1090"/>
      <c r="CS1" s="1090"/>
      <c r="CT1" s="1090"/>
      <c r="CU1" s="1091"/>
      <c r="CX1" s="1081" t="s">
        <v>0</v>
      </c>
      <c r="CY1" s="1113"/>
      <c r="CZ1" s="1113"/>
      <c r="DA1" s="1113"/>
      <c r="DB1" s="1113"/>
      <c r="DC1" s="1113"/>
      <c r="DD1" s="1113"/>
      <c r="DE1" s="1113"/>
      <c r="DF1" s="1113"/>
      <c r="DG1" s="1113"/>
      <c r="DH1" s="1113"/>
      <c r="DI1" s="1114"/>
      <c r="DK1" s="948"/>
      <c r="DL1" s="1081" t="s">
        <v>0</v>
      </c>
      <c r="DM1" s="1113"/>
      <c r="DN1" s="1113"/>
      <c r="DO1" s="1113"/>
      <c r="DP1" s="1113"/>
      <c r="DQ1" s="1113"/>
      <c r="DR1" s="1113"/>
      <c r="DS1" s="1113"/>
      <c r="DT1" s="1113"/>
      <c r="DU1" s="1113"/>
      <c r="DV1" s="1113"/>
      <c r="DW1" s="1114"/>
    </row>
    <row r="2" spans="1:128" ht="15" customHeight="1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H2" s="700" t="s">
        <v>3</v>
      </c>
      <c r="CJ2" s="1085" t="s">
        <v>4</v>
      </c>
      <c r="CK2" s="1086"/>
      <c r="CL2" s="1086"/>
      <c r="CM2" s="1086"/>
      <c r="CN2" s="1086"/>
      <c r="CO2" s="1086"/>
      <c r="CP2" s="1086"/>
      <c r="CQ2" s="1086"/>
      <c r="CR2" s="1086"/>
      <c r="CS2" s="1086"/>
      <c r="CT2" s="1086"/>
      <c r="CU2" s="1087"/>
      <c r="CX2" s="1077">
        <v>2026</v>
      </c>
      <c r="CY2" s="1115"/>
      <c r="CZ2" s="1115"/>
      <c r="DA2" s="1115"/>
      <c r="DB2" s="1115"/>
      <c r="DC2" s="1115"/>
      <c r="DD2" s="1115"/>
      <c r="DE2" s="1115"/>
      <c r="DF2" s="1115"/>
      <c r="DG2" s="1115"/>
      <c r="DH2" s="1115"/>
      <c r="DI2" s="1116"/>
      <c r="DK2" s="948"/>
      <c r="DL2" s="1077" t="s">
        <v>108</v>
      </c>
      <c r="DM2" s="1115"/>
      <c r="DN2" s="1115"/>
      <c r="DO2" s="1115"/>
      <c r="DP2" s="1115"/>
      <c r="DQ2" s="1115"/>
      <c r="DR2" s="1115"/>
      <c r="DS2" s="1115"/>
      <c r="DT2" s="1115"/>
      <c r="DU2" s="1115"/>
      <c r="DV2" s="1115"/>
      <c r="DW2" s="1116"/>
    </row>
    <row r="3" spans="1:128" ht="15.75">
      <c r="A3" s="703" t="s">
        <v>5</v>
      </c>
      <c r="B3" s="4"/>
      <c r="C3" s="4" t="str">
        <f>A3</f>
        <v>Dias Uteis Produção</v>
      </c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H3" t="s">
        <v>6</v>
      </c>
      <c r="CJ3" s="253">
        <v>23</v>
      </c>
      <c r="CK3" s="566">
        <v>20</v>
      </c>
      <c r="CL3" s="566">
        <v>21</v>
      </c>
      <c r="CM3" s="252">
        <v>22</v>
      </c>
      <c r="CN3" s="248">
        <v>22</v>
      </c>
      <c r="CO3" s="248">
        <v>21</v>
      </c>
      <c r="CP3" s="248">
        <v>23</v>
      </c>
      <c r="CQ3" s="248">
        <v>21</v>
      </c>
      <c r="CR3" s="248">
        <v>22</v>
      </c>
      <c r="CS3" s="248">
        <v>23</v>
      </c>
      <c r="CT3" s="248">
        <v>20</v>
      </c>
      <c r="CU3" s="248">
        <v>13</v>
      </c>
      <c r="CX3" s="253">
        <v>22</v>
      </c>
      <c r="CY3" s="252">
        <v>20</v>
      </c>
      <c r="CZ3" s="252">
        <v>22</v>
      </c>
      <c r="DA3" s="252">
        <v>22</v>
      </c>
      <c r="DB3" s="248">
        <v>21</v>
      </c>
      <c r="DC3" s="248">
        <v>22</v>
      </c>
      <c r="DD3" s="248">
        <v>23</v>
      </c>
      <c r="DE3" s="248">
        <v>21</v>
      </c>
      <c r="DF3" s="248">
        <v>22</v>
      </c>
      <c r="DG3" s="248">
        <v>22</v>
      </c>
      <c r="DH3" s="248">
        <v>21</v>
      </c>
      <c r="DI3" s="248">
        <v>21</v>
      </c>
      <c r="DK3" s="948"/>
      <c r="DL3" s="253">
        <v>22</v>
      </c>
      <c r="DM3" s="252">
        <v>20</v>
      </c>
      <c r="DN3" s="252">
        <v>22</v>
      </c>
      <c r="DO3" s="252">
        <v>22</v>
      </c>
      <c r="DP3" s="248">
        <v>21</v>
      </c>
      <c r="DQ3" s="248">
        <v>22</v>
      </c>
      <c r="DR3" s="248">
        <v>23</v>
      </c>
      <c r="DS3" s="248">
        <v>21</v>
      </c>
      <c r="DT3" s="248">
        <v>22</v>
      </c>
      <c r="DU3" s="248">
        <v>22</v>
      </c>
      <c r="DV3" s="248">
        <v>21</v>
      </c>
      <c r="DW3" s="248">
        <v>21</v>
      </c>
    </row>
    <row r="4" spans="1:128" ht="11.25" customHeight="1">
      <c r="A4" s="703" t="s">
        <v>7</v>
      </c>
      <c r="B4" s="4"/>
      <c r="C4" s="4" t="str">
        <f t="shared" ref="C4:C7" si="0">A4</f>
        <v>(-) FÉRIAS</v>
      </c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H4" t="s">
        <v>8</v>
      </c>
      <c r="CJ4" s="253">
        <v>3</v>
      </c>
      <c r="CK4" s="566"/>
      <c r="CL4" s="566">
        <v>1.5</v>
      </c>
      <c r="CM4" s="252"/>
      <c r="CN4" s="248"/>
      <c r="CO4" s="248"/>
      <c r="CP4" s="248" t="s">
        <v>109</v>
      </c>
      <c r="CQ4" s="248"/>
      <c r="CR4" s="248"/>
      <c r="CS4" s="248"/>
      <c r="CT4" s="248" t="s">
        <v>110</v>
      </c>
      <c r="CU4" s="248"/>
      <c r="CX4" s="253">
        <v>2</v>
      </c>
      <c r="CY4" s="252">
        <v>0</v>
      </c>
      <c r="CZ4" s="252"/>
      <c r="DA4" s="252"/>
      <c r="DB4" s="248"/>
      <c r="DC4" s="248"/>
      <c r="DD4" s="248"/>
      <c r="DE4" s="248"/>
      <c r="DF4" s="248"/>
      <c r="DG4" s="248"/>
      <c r="DH4" s="248"/>
      <c r="DI4" s="248">
        <v>5</v>
      </c>
      <c r="DK4" s="948"/>
      <c r="DL4" s="253">
        <v>2</v>
      </c>
      <c r="DM4" s="252">
        <v>0</v>
      </c>
      <c r="DN4" s="252"/>
      <c r="DO4" s="252"/>
      <c r="DP4" s="248"/>
      <c r="DQ4" s="248"/>
      <c r="DR4" s="248"/>
      <c r="DS4" s="248"/>
      <c r="DT4" s="248"/>
      <c r="DU4" s="248"/>
      <c r="DV4" s="248"/>
      <c r="DW4" s="248">
        <v>5</v>
      </c>
    </row>
    <row r="5" spans="1:128" ht="15.75" customHeight="1">
      <c r="A5" s="703" t="s">
        <v>9</v>
      </c>
      <c r="B5" s="4"/>
      <c r="C5" s="4" t="str">
        <f t="shared" si="0"/>
        <v>(+) SABADO</v>
      </c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H5" t="s">
        <v>10</v>
      </c>
      <c r="CJ5" s="701">
        <v>2</v>
      </c>
      <c r="CK5" s="701">
        <v>3</v>
      </c>
      <c r="CL5" s="701">
        <v>1.5</v>
      </c>
      <c r="CM5" s="733">
        <v>0</v>
      </c>
      <c r="CN5" s="733">
        <v>0</v>
      </c>
      <c r="CO5" s="733">
        <v>2</v>
      </c>
      <c r="CP5" s="750">
        <v>2</v>
      </c>
      <c r="CQ5" s="679">
        <v>0</v>
      </c>
      <c r="CR5" s="679">
        <v>0</v>
      </c>
      <c r="CS5" s="679">
        <v>0</v>
      </c>
      <c r="CT5" s="679">
        <v>3</v>
      </c>
      <c r="CU5" s="643"/>
      <c r="CV5" s="682" t="s">
        <v>111</v>
      </c>
      <c r="CX5" s="701">
        <v>2</v>
      </c>
      <c r="CY5" s="733">
        <v>2</v>
      </c>
      <c r="CZ5" s="733">
        <v>2</v>
      </c>
      <c r="DA5" s="938">
        <v>2</v>
      </c>
      <c r="DB5" s="938"/>
      <c r="DC5" s="938"/>
      <c r="DD5" s="938"/>
      <c r="DE5" s="938"/>
      <c r="DF5" s="938">
        <v>2</v>
      </c>
      <c r="DG5" s="938">
        <v>2</v>
      </c>
      <c r="DH5" s="938">
        <v>2</v>
      </c>
      <c r="DI5" s="939"/>
      <c r="DK5" s="948"/>
      <c r="DL5" s="701">
        <v>2</v>
      </c>
      <c r="DM5" s="733">
        <v>2</v>
      </c>
      <c r="DN5" s="733">
        <v>2</v>
      </c>
      <c r="DO5" s="938">
        <v>2</v>
      </c>
      <c r="DP5" s="938"/>
      <c r="DQ5" s="938"/>
      <c r="DR5" s="938"/>
      <c r="DS5" s="938"/>
      <c r="DT5" s="938">
        <v>2</v>
      </c>
      <c r="DU5" s="938">
        <v>2</v>
      </c>
      <c r="DV5" s="938">
        <v>2</v>
      </c>
      <c r="DW5" s="939"/>
    </row>
    <row r="6" spans="1:128" ht="9.75" customHeight="1">
      <c r="A6" s="703" t="s">
        <v>11</v>
      </c>
      <c r="B6" s="4"/>
      <c r="C6" s="4" t="str">
        <f t="shared" si="0"/>
        <v>(-)FERIADO</v>
      </c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 t="s">
        <v>12</v>
      </c>
      <c r="CJ6" s="644"/>
      <c r="CK6" s="679"/>
      <c r="CL6" s="679">
        <v>2</v>
      </c>
      <c r="CM6" s="679">
        <v>2</v>
      </c>
      <c r="CN6" s="679">
        <v>1</v>
      </c>
      <c r="CO6" s="679">
        <v>1</v>
      </c>
      <c r="CP6" s="679"/>
      <c r="CQ6" s="679"/>
      <c r="CR6" s="679">
        <v>0</v>
      </c>
      <c r="CS6" s="643">
        <v>0</v>
      </c>
      <c r="CT6" s="643">
        <v>1</v>
      </c>
      <c r="CU6" s="643"/>
      <c r="CX6" s="644"/>
      <c r="CY6" s="938">
        <v>3</v>
      </c>
      <c r="CZ6" s="938">
        <v>2</v>
      </c>
      <c r="DA6" s="938">
        <v>2</v>
      </c>
      <c r="DB6" s="938">
        <v>1</v>
      </c>
      <c r="DC6" s="938">
        <v>1</v>
      </c>
      <c r="DD6" s="938"/>
      <c r="DE6" s="938">
        <v>0</v>
      </c>
      <c r="DF6" s="938">
        <v>1</v>
      </c>
      <c r="DG6" s="938">
        <v>1</v>
      </c>
      <c r="DH6" s="938">
        <v>2</v>
      </c>
      <c r="DI6" s="939">
        <v>5</v>
      </c>
      <c r="DK6" s="948"/>
      <c r="DL6" s="644"/>
      <c r="DM6" s="938">
        <v>3</v>
      </c>
      <c r="DN6" s="938">
        <v>2</v>
      </c>
      <c r="DO6" s="938">
        <v>2</v>
      </c>
      <c r="DP6" s="938">
        <v>1</v>
      </c>
      <c r="DQ6" s="938">
        <v>1</v>
      </c>
      <c r="DR6" s="938"/>
      <c r="DS6" s="938">
        <v>0</v>
      </c>
      <c r="DT6" s="938">
        <v>1</v>
      </c>
      <c r="DU6" s="938">
        <v>1</v>
      </c>
      <c r="DV6" s="938">
        <v>2</v>
      </c>
      <c r="DW6" s="939">
        <v>5</v>
      </c>
    </row>
    <row r="7" spans="1:128">
      <c r="A7" s="704" t="s">
        <v>13</v>
      </c>
      <c r="B7" s="3"/>
      <c r="C7" s="3" t="str">
        <f t="shared" si="0"/>
        <v>Dias Trabalhados</v>
      </c>
      <c r="D7" s="252">
        <v>16</v>
      </c>
      <c r="E7" s="252">
        <v>21</v>
      </c>
      <c r="F7" s="252">
        <v>18</v>
      </c>
      <c r="G7" s="252">
        <v>21</v>
      </c>
      <c r="H7" s="252">
        <v>22</v>
      </c>
      <c r="I7" s="252">
        <v>19</v>
      </c>
      <c r="J7" s="252">
        <v>23</v>
      </c>
      <c r="K7" s="252">
        <v>21</v>
      </c>
      <c r="L7" s="252">
        <v>21</v>
      </c>
      <c r="M7" s="252">
        <v>26</v>
      </c>
      <c r="N7" s="252">
        <v>24</v>
      </c>
      <c r="O7" s="252">
        <v>15</v>
      </c>
      <c r="P7" s="4"/>
      <c r="Q7" s="247"/>
      <c r="R7" s="252">
        <v>22</v>
      </c>
      <c r="S7" s="252">
        <v>20</v>
      </c>
      <c r="T7" s="252">
        <v>14</v>
      </c>
      <c r="U7" s="252">
        <v>1</v>
      </c>
      <c r="V7" s="252">
        <v>12</v>
      </c>
      <c r="W7" s="252">
        <v>22</v>
      </c>
      <c r="X7" s="252">
        <v>23</v>
      </c>
      <c r="Y7" s="252">
        <v>21</v>
      </c>
      <c r="Z7" s="252">
        <v>21</v>
      </c>
      <c r="AA7" s="252">
        <v>21</v>
      </c>
      <c r="AB7" s="252">
        <v>20</v>
      </c>
      <c r="AC7" s="252">
        <v>17</v>
      </c>
      <c r="AD7" s="2"/>
      <c r="AE7" s="253"/>
      <c r="AF7" s="254">
        <v>18</v>
      </c>
      <c r="AG7" s="252">
        <v>20</v>
      </c>
      <c r="AH7" s="248">
        <v>20</v>
      </c>
      <c r="AI7" s="248">
        <v>20</v>
      </c>
      <c r="AJ7" s="252">
        <v>22</v>
      </c>
      <c r="AK7" s="252">
        <v>20</v>
      </c>
      <c r="AL7" s="252">
        <v>22</v>
      </c>
      <c r="AM7" s="252">
        <v>22</v>
      </c>
      <c r="AN7" s="252">
        <v>21</v>
      </c>
      <c r="AO7" s="252">
        <v>20</v>
      </c>
      <c r="AP7" s="252">
        <v>20</v>
      </c>
      <c r="AQ7" s="248">
        <v>12</v>
      </c>
      <c r="AR7" s="2"/>
      <c r="AS7" s="124"/>
      <c r="AT7" s="253">
        <v>19</v>
      </c>
      <c r="AU7" s="248">
        <v>19</v>
      </c>
      <c r="AV7" s="248">
        <v>18</v>
      </c>
      <c r="AW7" s="248">
        <v>19</v>
      </c>
      <c r="AX7" s="248">
        <v>22</v>
      </c>
      <c r="AY7" s="248">
        <v>21</v>
      </c>
      <c r="AZ7" s="248">
        <v>21</v>
      </c>
      <c r="BA7" s="248">
        <v>22</v>
      </c>
      <c r="BB7" s="248">
        <v>22</v>
      </c>
      <c r="BC7" s="248">
        <v>21</v>
      </c>
      <c r="BD7" s="248">
        <v>20</v>
      </c>
      <c r="BE7" s="248">
        <v>10</v>
      </c>
      <c r="BF7" s="2"/>
      <c r="BG7" s="125"/>
      <c r="BH7" s="253">
        <v>20</v>
      </c>
      <c r="BI7" s="248">
        <v>17</v>
      </c>
      <c r="BJ7" s="248">
        <v>23</v>
      </c>
      <c r="BK7" s="248">
        <v>18</v>
      </c>
      <c r="BL7" s="248">
        <v>22</v>
      </c>
      <c r="BM7" s="248">
        <v>23</v>
      </c>
      <c r="BN7" s="248">
        <v>21</v>
      </c>
      <c r="BO7" s="248">
        <v>21</v>
      </c>
      <c r="BP7" s="248">
        <v>20</v>
      </c>
      <c r="BQ7" s="248">
        <v>21</v>
      </c>
      <c r="BR7" s="248">
        <v>20</v>
      </c>
      <c r="BS7" s="248">
        <v>14</v>
      </c>
      <c r="BT7" s="253">
        <v>20</v>
      </c>
      <c r="BU7" s="252"/>
      <c r="BV7" s="253">
        <v>19</v>
      </c>
      <c r="BW7" s="248">
        <v>19</v>
      </c>
      <c r="BX7" s="566">
        <v>21</v>
      </c>
      <c r="BY7" s="566">
        <f>22+2</f>
        <v>24</v>
      </c>
      <c r="BZ7" s="248">
        <f>21+2</f>
        <v>23</v>
      </c>
      <c r="CA7" s="567">
        <f>20+2</f>
        <v>22</v>
      </c>
      <c r="CB7" s="567">
        <f>23+2</f>
        <v>25</v>
      </c>
      <c r="CC7" s="252">
        <f>21+3</f>
        <v>24</v>
      </c>
      <c r="CD7" s="252">
        <f>21+3</f>
        <v>24</v>
      </c>
      <c r="CE7" s="248">
        <f>23+1</f>
        <v>24</v>
      </c>
      <c r="CF7" s="248">
        <f>19+3</f>
        <v>22</v>
      </c>
      <c r="CG7" s="248">
        <f>12+1</f>
        <v>13</v>
      </c>
      <c r="CH7" s="248"/>
      <c r="CJ7" s="253">
        <f>CJ3+CJ5-CJ6-CJ4</f>
        <v>22</v>
      </c>
      <c r="CK7" s="253">
        <f>CK3+CK5-CK6-CK4</f>
        <v>23</v>
      </c>
      <c r="CL7" s="253">
        <v>19</v>
      </c>
      <c r="CM7" s="734">
        <f t="shared" ref="CM7:CQ7" si="1">CM3+CM5-CM6-CM4</f>
        <v>20</v>
      </c>
      <c r="CN7" s="734">
        <f>CN3+CN5-CN6-CN4</f>
        <v>21</v>
      </c>
      <c r="CO7" s="734">
        <f>CO3+CO5-CO6-CO4</f>
        <v>22</v>
      </c>
      <c r="CP7" s="734">
        <f t="shared" ref="CP7:CU7" si="2">CP3+CP5-CP6</f>
        <v>25</v>
      </c>
      <c r="CQ7" s="734">
        <f>CQ3+CQ5-CQ6</f>
        <v>21</v>
      </c>
      <c r="CR7" s="734">
        <f t="shared" si="2"/>
        <v>22</v>
      </c>
      <c r="CS7" s="734">
        <f>CS3+CS5-CS6</f>
        <v>23</v>
      </c>
      <c r="CT7" s="734">
        <f>CT3+CT5-CT6</f>
        <v>22</v>
      </c>
      <c r="CU7" s="734">
        <v>17</v>
      </c>
      <c r="CV7" s="248"/>
      <c r="CX7" s="253">
        <f>CX3+CX5-CX6-CX4</f>
        <v>22</v>
      </c>
      <c r="CY7" s="253">
        <f t="shared" ref="CY7:DC7" si="3">CY3+CY5-CY6-CY4</f>
        <v>19</v>
      </c>
      <c r="CZ7" s="253">
        <f>CZ3+CZ5-CZ6-CZ4</f>
        <v>22</v>
      </c>
      <c r="DA7" s="253">
        <f>DA3+DA5-DA6-DA4</f>
        <v>22</v>
      </c>
      <c r="DB7" s="253">
        <f t="shared" si="3"/>
        <v>20</v>
      </c>
      <c r="DC7" s="253">
        <f t="shared" si="3"/>
        <v>21</v>
      </c>
      <c r="DD7" s="253">
        <f t="shared" ref="DD7:DI7" si="4">DD3+DD5-DD6</f>
        <v>23</v>
      </c>
      <c r="DE7" s="253">
        <f>DE3+DE5-DE6</f>
        <v>21</v>
      </c>
      <c r="DF7" s="253">
        <f>DF3+DF5-DF6</f>
        <v>23</v>
      </c>
      <c r="DG7" s="253">
        <f>DG3+DG5-DG6</f>
        <v>23</v>
      </c>
      <c r="DH7" s="253">
        <f>DH3+DH5-DH6</f>
        <v>21</v>
      </c>
      <c r="DI7" s="253">
        <f>DI3+DI5-DI6</f>
        <v>16</v>
      </c>
      <c r="DJ7" s="248"/>
      <c r="DK7" s="948"/>
      <c r="DL7" s="253">
        <f>DL3+DL5-DL6-DL4</f>
        <v>22</v>
      </c>
      <c r="DM7" s="253">
        <f t="shared" ref="DM7:DQ7" si="5">DM3+DM5-DM6-DM4</f>
        <v>19</v>
      </c>
      <c r="DN7" s="253">
        <f>DN3+DN5-DN6-DN4</f>
        <v>22</v>
      </c>
      <c r="DO7" s="253">
        <f>DO3+DO5-DO6-DO4</f>
        <v>22</v>
      </c>
      <c r="DP7" s="253">
        <f t="shared" ref="DP7:DT7" si="6">DP3+DP5-DP6-DP4</f>
        <v>20</v>
      </c>
      <c r="DQ7" s="253">
        <f t="shared" si="6"/>
        <v>21</v>
      </c>
      <c r="DR7" s="253">
        <f t="shared" ref="DR7:DW7" si="7">DR3+DR5-DR6</f>
        <v>23</v>
      </c>
      <c r="DS7" s="253">
        <f>DS3+DS5-DS6</f>
        <v>21</v>
      </c>
      <c r="DT7" s="253">
        <f>DT3+DT5-DT6</f>
        <v>23</v>
      </c>
      <c r="DU7" s="253">
        <f>DU3+DU5-DU6</f>
        <v>23</v>
      </c>
      <c r="DV7" s="253">
        <f>DV3+DV5-DV6</f>
        <v>21</v>
      </c>
      <c r="DW7" s="253">
        <f>DW3+DW5-DW6</f>
        <v>16</v>
      </c>
      <c r="DX7" s="248"/>
    </row>
    <row r="8" spans="1:128" ht="18" customHeight="1">
      <c r="A8" s="8"/>
      <c r="B8" s="255"/>
      <c r="C8" s="256"/>
      <c r="D8" s="257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258" t="s">
        <v>26</v>
      </c>
      <c r="Q8" s="10"/>
      <c r="R8" s="257" t="s">
        <v>14</v>
      </c>
      <c r="S8" s="9" t="s">
        <v>15</v>
      </c>
      <c r="T8" s="9" t="s">
        <v>16</v>
      </c>
      <c r="U8" s="9" t="s">
        <v>17</v>
      </c>
      <c r="V8" s="9" t="s">
        <v>18</v>
      </c>
      <c r="W8" s="9" t="s">
        <v>19</v>
      </c>
      <c r="X8" s="9" t="s">
        <v>20</v>
      </c>
      <c r="Y8" s="9" t="s">
        <v>21</v>
      </c>
      <c r="Z8" s="9" t="s">
        <v>22</v>
      </c>
      <c r="AA8" s="9" t="s">
        <v>23</v>
      </c>
      <c r="AB8" s="9" t="s">
        <v>24</v>
      </c>
      <c r="AC8" s="9" t="s">
        <v>25</v>
      </c>
      <c r="AD8" s="258" t="s">
        <v>26</v>
      </c>
      <c r="AE8" s="11"/>
      <c r="AF8" s="257" t="s">
        <v>14</v>
      </c>
      <c r="AG8" s="9" t="s">
        <v>15</v>
      </c>
      <c r="AH8" s="9" t="s">
        <v>16</v>
      </c>
      <c r="AI8" s="9" t="s">
        <v>17</v>
      </c>
      <c r="AJ8" s="9" t="s">
        <v>18</v>
      </c>
      <c r="AK8" s="9" t="s">
        <v>19</v>
      </c>
      <c r="AL8" s="9" t="s">
        <v>20</v>
      </c>
      <c r="AM8" s="9" t="s">
        <v>21</v>
      </c>
      <c r="AN8" s="9" t="s">
        <v>22</v>
      </c>
      <c r="AO8" s="9" t="s">
        <v>23</v>
      </c>
      <c r="AP8" s="9" t="s">
        <v>24</v>
      </c>
      <c r="AQ8" s="9" t="s">
        <v>25</v>
      </c>
      <c r="AR8" s="9" t="s">
        <v>26</v>
      </c>
      <c r="AS8" s="11"/>
      <c r="AT8" s="9" t="s">
        <v>14</v>
      </c>
      <c r="AU8" s="9" t="s">
        <v>15</v>
      </c>
      <c r="AV8" s="9" t="s">
        <v>16</v>
      </c>
      <c r="AW8" s="9" t="s">
        <v>17</v>
      </c>
      <c r="AX8" s="9" t="s">
        <v>18</v>
      </c>
      <c r="AY8" s="9" t="s">
        <v>19</v>
      </c>
      <c r="AZ8" s="9" t="s">
        <v>20</v>
      </c>
      <c r="BA8" s="9" t="s">
        <v>21</v>
      </c>
      <c r="BB8" s="9" t="s">
        <v>22</v>
      </c>
      <c r="BC8" s="9" t="s">
        <v>23</v>
      </c>
      <c r="BD8" s="9" t="s">
        <v>24</v>
      </c>
      <c r="BE8" s="9" t="s">
        <v>25</v>
      </c>
      <c r="BF8" s="9" t="s">
        <v>26</v>
      </c>
      <c r="BG8" s="10"/>
      <c r="BH8" s="9" t="s">
        <v>14</v>
      </c>
      <c r="BI8" s="9" t="s">
        <v>15</v>
      </c>
      <c r="BJ8" s="9" t="s">
        <v>16</v>
      </c>
      <c r="BK8" s="9" t="s">
        <v>17</v>
      </c>
      <c r="BL8" s="9" t="s">
        <v>18</v>
      </c>
      <c r="BM8" s="9" t="s">
        <v>19</v>
      </c>
      <c r="BN8" s="9" t="s">
        <v>20</v>
      </c>
      <c r="BO8" s="9" t="s">
        <v>21</v>
      </c>
      <c r="BP8" s="9" t="s">
        <v>22</v>
      </c>
      <c r="BQ8" s="9" t="s">
        <v>23</v>
      </c>
      <c r="BR8" s="9" t="s">
        <v>24</v>
      </c>
      <c r="BS8" s="9" t="s">
        <v>25</v>
      </c>
      <c r="BT8" s="9" t="s">
        <v>26</v>
      </c>
      <c r="BU8" s="12"/>
      <c r="BV8" s="9" t="s">
        <v>14</v>
      </c>
      <c r="BW8" s="9" t="s">
        <v>15</v>
      </c>
      <c r="BX8" s="9" t="s">
        <v>16</v>
      </c>
      <c r="BY8" s="9" t="s">
        <v>17</v>
      </c>
      <c r="BZ8" s="9" t="s">
        <v>18</v>
      </c>
      <c r="CA8" s="9" t="s">
        <v>19</v>
      </c>
      <c r="CB8" s="9" t="s">
        <v>20</v>
      </c>
      <c r="CC8" s="9" t="s">
        <v>21</v>
      </c>
      <c r="CD8" s="9" t="s">
        <v>22</v>
      </c>
      <c r="CE8" s="9" t="s">
        <v>23</v>
      </c>
      <c r="CF8" s="9" t="s">
        <v>24</v>
      </c>
      <c r="CG8" s="9" t="s">
        <v>25</v>
      </c>
      <c r="CH8" s="9" t="s">
        <v>26</v>
      </c>
      <c r="CJ8" s="9" t="s">
        <v>14</v>
      </c>
      <c r="CK8" s="9" t="s">
        <v>15</v>
      </c>
      <c r="CL8" s="9" t="s">
        <v>16</v>
      </c>
      <c r="CM8" s="9" t="s">
        <v>17</v>
      </c>
      <c r="CN8" s="9" t="s">
        <v>18</v>
      </c>
      <c r="CO8" s="9" t="s">
        <v>19</v>
      </c>
      <c r="CP8" s="9" t="s">
        <v>20</v>
      </c>
      <c r="CQ8" s="9" t="s">
        <v>21</v>
      </c>
      <c r="CR8" s="9" t="s">
        <v>22</v>
      </c>
      <c r="CS8" s="9" t="s">
        <v>23</v>
      </c>
      <c r="CT8" s="9" t="s">
        <v>24</v>
      </c>
      <c r="CU8" s="9" t="s">
        <v>25</v>
      </c>
      <c r="CV8" s="9" t="s">
        <v>26</v>
      </c>
      <c r="CX8" s="9" t="s">
        <v>14</v>
      </c>
      <c r="CY8" s="9" t="s">
        <v>15</v>
      </c>
      <c r="CZ8" s="9" t="s">
        <v>16</v>
      </c>
      <c r="DA8" s="9" t="s">
        <v>17</v>
      </c>
      <c r="DB8" s="9" t="s">
        <v>18</v>
      </c>
      <c r="DC8" s="9" t="s">
        <v>19</v>
      </c>
      <c r="DD8" s="9" t="s">
        <v>20</v>
      </c>
      <c r="DE8" s="9" t="s">
        <v>21</v>
      </c>
      <c r="DF8" s="9" t="s">
        <v>22</v>
      </c>
      <c r="DG8" s="9" t="s">
        <v>23</v>
      </c>
      <c r="DH8" s="9" t="s">
        <v>24</v>
      </c>
      <c r="DI8" s="9" t="s">
        <v>25</v>
      </c>
      <c r="DJ8" s="9" t="s">
        <v>26</v>
      </c>
      <c r="DK8" s="948"/>
      <c r="DL8" s="9" t="s">
        <v>14</v>
      </c>
      <c r="DM8" s="9" t="s">
        <v>15</v>
      </c>
      <c r="DN8" s="9" t="s">
        <v>16</v>
      </c>
      <c r="DO8" s="9" t="s">
        <v>17</v>
      </c>
      <c r="DP8" s="9" t="s">
        <v>18</v>
      </c>
      <c r="DQ8" s="9" t="s">
        <v>19</v>
      </c>
      <c r="DR8" s="9" t="s">
        <v>20</v>
      </c>
      <c r="DS8" s="9" t="s">
        <v>21</v>
      </c>
      <c r="DT8" s="9" t="s">
        <v>22</v>
      </c>
      <c r="DU8" s="9" t="s">
        <v>23</v>
      </c>
      <c r="DV8" s="9" t="s">
        <v>24</v>
      </c>
      <c r="DW8" s="9" t="s">
        <v>25</v>
      </c>
      <c r="DX8" s="9" t="s">
        <v>26</v>
      </c>
    </row>
    <row r="9" spans="1:128" ht="10.5" hidden="1" customHeight="1">
      <c r="A9" s="13"/>
      <c r="B9" s="259"/>
      <c r="C9" s="260"/>
      <c r="D9" s="26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62"/>
      <c r="Q9" s="15"/>
      <c r="R9" s="261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263"/>
      <c r="AE9" s="16"/>
      <c r="AF9" s="261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7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7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8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682" t="s">
        <v>27</v>
      </c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682" t="s">
        <v>27</v>
      </c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948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</row>
    <row r="10" spans="1:128" ht="30.75" hidden="1">
      <c r="A10" s="13" t="s">
        <v>28</v>
      </c>
      <c r="B10" s="706" t="s">
        <v>29</v>
      </c>
      <c r="C10" s="260"/>
      <c r="D10" s="261">
        <f t="shared" ref="D10:O10" si="8">SUM(D19:D23)</f>
        <v>304786</v>
      </c>
      <c r="E10" s="14">
        <f t="shared" si="8"/>
        <v>311986</v>
      </c>
      <c r="F10" s="14">
        <f t="shared" si="8"/>
        <v>328231</v>
      </c>
      <c r="G10" s="14">
        <f t="shared" si="8"/>
        <v>317873</v>
      </c>
      <c r="H10" s="14">
        <f t="shared" si="8"/>
        <v>347196</v>
      </c>
      <c r="I10" s="14">
        <f t="shared" si="8"/>
        <v>402253</v>
      </c>
      <c r="J10" s="14">
        <f t="shared" si="8"/>
        <v>454488</v>
      </c>
      <c r="K10" s="14">
        <f t="shared" si="8"/>
        <v>447182</v>
      </c>
      <c r="L10" s="14">
        <f t="shared" si="8"/>
        <v>416931</v>
      </c>
      <c r="M10" s="14">
        <f t="shared" si="8"/>
        <v>304402</v>
      </c>
      <c r="N10" s="14">
        <f t="shared" si="8"/>
        <v>0</v>
      </c>
      <c r="O10" s="14">
        <f t="shared" si="8"/>
        <v>188264</v>
      </c>
      <c r="P10" s="262"/>
      <c r="Q10" s="15"/>
      <c r="R10" s="14">
        <f t="shared" ref="R10:AC10" si="9">SUM(R19:R23)</f>
        <v>283359</v>
      </c>
      <c r="S10" s="14">
        <f t="shared" si="9"/>
        <v>342718</v>
      </c>
      <c r="T10" s="14">
        <f t="shared" si="9"/>
        <v>313212</v>
      </c>
      <c r="U10" s="14">
        <f t="shared" si="9"/>
        <v>298093</v>
      </c>
      <c r="V10" s="14">
        <f t="shared" si="9"/>
        <v>206617</v>
      </c>
      <c r="W10" s="14">
        <f t="shared" si="9"/>
        <v>235875</v>
      </c>
      <c r="X10" s="14">
        <f t="shared" si="9"/>
        <v>360135</v>
      </c>
      <c r="Y10" s="14">
        <f t="shared" si="9"/>
        <v>361665</v>
      </c>
      <c r="Z10" s="14">
        <f t="shared" si="9"/>
        <v>353400</v>
      </c>
      <c r="AA10" s="14">
        <f t="shared" si="9"/>
        <v>272097</v>
      </c>
      <c r="AB10" s="14">
        <f t="shared" si="9"/>
        <v>170626</v>
      </c>
      <c r="AC10" s="14">
        <f t="shared" si="9"/>
        <v>197551</v>
      </c>
      <c r="AD10" s="263"/>
      <c r="AE10" s="16"/>
      <c r="AF10" s="14">
        <f t="shared" ref="AF10:AQ10" si="10">SUM(AF19:AF25)</f>
        <v>255339</v>
      </c>
      <c r="AG10" s="14">
        <f t="shared" si="10"/>
        <v>292621</v>
      </c>
      <c r="AH10" s="14">
        <f t="shared" si="10"/>
        <v>397976</v>
      </c>
      <c r="AI10" s="14">
        <f t="shared" si="10"/>
        <v>388165</v>
      </c>
      <c r="AJ10" s="14">
        <f t="shared" si="10"/>
        <v>409301</v>
      </c>
      <c r="AK10" s="14">
        <f t="shared" si="10"/>
        <v>490913</v>
      </c>
      <c r="AL10" s="14">
        <f t="shared" si="10"/>
        <v>563229</v>
      </c>
      <c r="AM10" s="14">
        <f t="shared" si="10"/>
        <v>559169</v>
      </c>
      <c r="AN10" s="14">
        <f t="shared" si="10"/>
        <v>487294</v>
      </c>
      <c r="AO10" s="14">
        <f t="shared" si="10"/>
        <v>407614</v>
      </c>
      <c r="AP10" s="14">
        <f t="shared" si="10"/>
        <v>503756</v>
      </c>
      <c r="AQ10" s="14">
        <f t="shared" si="10"/>
        <v>531679</v>
      </c>
      <c r="AR10" s="14">
        <f t="shared" ref="AR10:AR31" si="11">AQ10</f>
        <v>531679</v>
      </c>
      <c r="AS10" s="17"/>
      <c r="AT10" s="14">
        <f t="shared" ref="AT10:BE10" si="12">SUM(AT19:AT25)</f>
        <v>471378</v>
      </c>
      <c r="AU10" s="14">
        <f t="shared" si="12"/>
        <v>473307</v>
      </c>
      <c r="AV10" s="14">
        <f t="shared" si="12"/>
        <v>412518</v>
      </c>
      <c r="AW10" s="14">
        <f t="shared" si="12"/>
        <v>398039</v>
      </c>
      <c r="AX10" s="14">
        <f t="shared" si="12"/>
        <v>417827</v>
      </c>
      <c r="AY10" s="14">
        <f t="shared" si="12"/>
        <v>507968</v>
      </c>
      <c r="AZ10" s="14">
        <f t="shared" si="12"/>
        <v>477530</v>
      </c>
      <c r="BA10" s="14">
        <f t="shared" si="12"/>
        <v>520708</v>
      </c>
      <c r="BB10" s="14">
        <f t="shared" si="12"/>
        <v>505851</v>
      </c>
      <c r="BC10" s="14">
        <f t="shared" si="12"/>
        <v>454245</v>
      </c>
      <c r="BD10" s="14">
        <f t="shared" si="12"/>
        <v>405700</v>
      </c>
      <c r="BE10" s="14">
        <f t="shared" si="12"/>
        <v>356505</v>
      </c>
      <c r="BF10" s="14">
        <f t="shared" ref="BF10:BF28" si="13">BE10</f>
        <v>356505</v>
      </c>
      <c r="BG10" s="17"/>
      <c r="BH10" s="14">
        <f t="shared" ref="BH10:BQ10" si="14">SUM(BH19:BH25)</f>
        <v>357143</v>
      </c>
      <c r="BI10" s="14">
        <f t="shared" si="14"/>
        <v>355011</v>
      </c>
      <c r="BJ10" s="14">
        <f t="shared" si="14"/>
        <v>344281</v>
      </c>
      <c r="BK10" s="14">
        <f t="shared" si="14"/>
        <v>389628</v>
      </c>
      <c r="BL10" s="14">
        <f t="shared" si="14"/>
        <v>324889</v>
      </c>
      <c r="BM10" s="14">
        <f t="shared" si="14"/>
        <v>352666</v>
      </c>
      <c r="BN10" s="14">
        <f t="shared" si="14"/>
        <v>418721</v>
      </c>
      <c r="BO10" s="14">
        <f t="shared" si="14"/>
        <v>356602</v>
      </c>
      <c r="BP10" s="14">
        <f t="shared" si="14"/>
        <v>326706</v>
      </c>
      <c r="BQ10" s="14">
        <f t="shared" si="14"/>
        <v>304987</v>
      </c>
      <c r="BR10" s="14">
        <f>SUM(BR19:BR25)</f>
        <v>228035</v>
      </c>
      <c r="BS10" s="14">
        <f>BS19+BS22+BS25</f>
        <v>201165</v>
      </c>
      <c r="BT10" s="14">
        <f>BS10</f>
        <v>201165</v>
      </c>
      <c r="BU10" s="18"/>
      <c r="BV10" s="14">
        <f>BV11+BV22+BV25</f>
        <v>247713</v>
      </c>
      <c r="BW10" s="14">
        <f t="shared" ref="BW10:CF10" si="15">BW11+BW22+BW25</f>
        <v>278707</v>
      </c>
      <c r="BX10" s="14">
        <f t="shared" si="15"/>
        <v>281829</v>
      </c>
      <c r="BY10" s="14">
        <f t="shared" si="15"/>
        <v>317753</v>
      </c>
      <c r="BZ10" s="14">
        <f t="shared" si="15"/>
        <v>270339</v>
      </c>
      <c r="CA10" s="14">
        <f t="shared" si="15"/>
        <v>310383</v>
      </c>
      <c r="CB10" s="14">
        <f t="shared" si="15"/>
        <v>328365</v>
      </c>
      <c r="CC10" s="14">
        <f t="shared" si="15"/>
        <v>333476</v>
      </c>
      <c r="CD10" s="14">
        <f>CD11+CD22+CD25</f>
        <v>306264</v>
      </c>
      <c r="CE10" s="14">
        <f t="shared" si="15"/>
        <v>270370</v>
      </c>
      <c r="CF10" s="14">
        <f t="shared" si="15"/>
        <v>194014</v>
      </c>
      <c r="CG10" s="14">
        <f>CG11+CG22+CG25</f>
        <v>182266</v>
      </c>
      <c r="CH10" s="14">
        <f t="shared" ref="CH10" si="16">CH19+CH22+CH25</f>
        <v>161447</v>
      </c>
      <c r="CJ10" s="14">
        <f>CH10+CJ80-CJ33</f>
        <v>168530.63302273574</v>
      </c>
      <c r="CK10" s="14">
        <f>CJ10+CK80-CK33</f>
        <v>182286.97320909426</v>
      </c>
      <c r="CL10" s="14">
        <f>CL19+CL22</f>
        <v>127909</v>
      </c>
      <c r="CM10" s="14">
        <f>CM19+CM22</f>
        <v>174007</v>
      </c>
      <c r="CN10" s="14">
        <f>CM10+CN80-CN33</f>
        <v>184445.8879612374</v>
      </c>
      <c r="CO10" s="14">
        <f t="shared" ref="CO10:CT10" si="17">CN10+CO80-CO33</f>
        <v>247499.73306000742</v>
      </c>
      <c r="CP10" s="14">
        <f t="shared" si="17"/>
        <v>280382.22259587242</v>
      </c>
      <c r="CQ10" s="14">
        <f>CP10+CQ80-CQ33</f>
        <v>258376.52867182181</v>
      </c>
      <c r="CR10" s="14">
        <f t="shared" si="17"/>
        <v>210518.33782793995</v>
      </c>
      <c r="CS10" s="14">
        <f t="shared" si="17"/>
        <v>165804.38677308764</v>
      </c>
      <c r="CT10" s="14">
        <f t="shared" si="17"/>
        <v>156780.78567604127</v>
      </c>
      <c r="CU10" s="14">
        <f>CT10+CU80-CU33</f>
        <v>179129.39327097798</v>
      </c>
      <c r="CV10" s="14">
        <v>116080.10690622788</v>
      </c>
      <c r="CX10" s="14">
        <f>CU10+CX80-CX33</f>
        <v>96526.58327097795</v>
      </c>
      <c r="CY10" s="14">
        <f>CX10+CY80-CY33</f>
        <v>-15282.216729022068</v>
      </c>
      <c r="CZ10" s="14">
        <f>CY10+CZ80-CZ33</f>
        <v>-39665.456729022088</v>
      </c>
      <c r="DA10" s="14">
        <f>CZ10+DA80-DA33</f>
        <v>-51166.786729022133</v>
      </c>
      <c r="DB10" s="14">
        <f>DA10+DB80-DB33</f>
        <v>-72464.636729022168</v>
      </c>
      <c r="DC10" s="14">
        <f t="shared" ref="DC10:DI10" si="18">DB10+DC80-DC33</f>
        <v>-81387.866729022193</v>
      </c>
      <c r="DD10" s="14">
        <f t="shared" si="18"/>
        <v>-144788.88672902226</v>
      </c>
      <c r="DE10" s="14">
        <f t="shared" si="18"/>
        <v>-242839.79672902229</v>
      </c>
      <c r="DF10" s="14">
        <f t="shared" si="18"/>
        <v>-387472.67672902229</v>
      </c>
      <c r="DG10" s="14">
        <f t="shared" si="18"/>
        <v>-491857.47706657503</v>
      </c>
      <c r="DH10" s="14">
        <f t="shared" si="18"/>
        <v>-520069.24381762993</v>
      </c>
      <c r="DI10" s="14">
        <f t="shared" si="18"/>
        <v>-541559.76938725018</v>
      </c>
      <c r="DJ10" s="14">
        <v>116080.10690622788</v>
      </c>
      <c r="DK10" s="948"/>
      <c r="DL10" s="14">
        <f>DI10+DL80-DL33</f>
        <v>-624162.57938725024</v>
      </c>
      <c r="DM10" s="14">
        <f>DL10+DM80-DM33</f>
        <v>-735971.37938725029</v>
      </c>
      <c r="DN10" s="14">
        <f>DM10+DN80-DN33</f>
        <v>-760354.61938725028</v>
      </c>
      <c r="DO10" s="14">
        <f>DN10+DO80-DO33</f>
        <v>-771855.94938725035</v>
      </c>
      <c r="DP10" s="14">
        <f>DO10+DP80-DP33</f>
        <v>-793153.79938725033</v>
      </c>
      <c r="DQ10" s="14">
        <f t="shared" ref="DQ10:DW10" si="19">DP10+DQ80-DQ33</f>
        <v>-802077.02938725031</v>
      </c>
      <c r="DR10" s="14">
        <f t="shared" si="19"/>
        <v>-865478.04938725033</v>
      </c>
      <c r="DS10" s="14">
        <f t="shared" si="19"/>
        <v>-963528.95938725024</v>
      </c>
      <c r="DT10" s="14">
        <f t="shared" si="19"/>
        <v>-1108161.8393872501</v>
      </c>
      <c r="DU10" s="14">
        <f t="shared" si="19"/>
        <v>-1212546.6397248029</v>
      </c>
      <c r="DV10" s="14">
        <f t="shared" si="19"/>
        <v>-1240758.4064758578</v>
      </c>
      <c r="DW10" s="14">
        <f t="shared" si="19"/>
        <v>-1262248.9320454781</v>
      </c>
      <c r="DX10" s="14">
        <v>116080.10690622788</v>
      </c>
    </row>
    <row r="11" spans="1:128" hidden="1">
      <c r="A11" s="19">
        <v>0</v>
      </c>
      <c r="B11" s="158" t="s">
        <v>30</v>
      </c>
      <c r="C11" s="264"/>
      <c r="D11" s="265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66"/>
      <c r="Q11" s="21"/>
      <c r="R11" s="265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67"/>
      <c r="AE11" s="23"/>
      <c r="AF11" s="22"/>
      <c r="AG11" s="22"/>
      <c r="AH11" s="22"/>
      <c r="AI11" s="22"/>
      <c r="AJ11" s="24"/>
      <c r="AK11" s="22"/>
      <c r="AL11" s="22"/>
      <c r="AM11" s="22"/>
      <c r="AN11" s="22"/>
      <c r="AO11" s="22"/>
      <c r="AP11" s="25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6"/>
      <c r="BC11" s="22"/>
      <c r="BD11" s="22"/>
      <c r="BE11" s="22"/>
      <c r="BF11" s="22"/>
      <c r="BG11" s="27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8"/>
      <c r="BV11" s="22">
        <v>204006</v>
      </c>
      <c r="BW11" s="22">
        <v>241182</v>
      </c>
      <c r="BX11" s="22">
        <v>245950</v>
      </c>
      <c r="BY11" s="22">
        <v>281974</v>
      </c>
      <c r="BZ11" s="22">
        <v>202865</v>
      </c>
      <c r="CA11" s="22">
        <v>240895</v>
      </c>
      <c r="CB11" s="22">
        <v>273565</v>
      </c>
      <c r="CC11" s="22">
        <v>288981</v>
      </c>
      <c r="CD11" s="22">
        <v>273990</v>
      </c>
      <c r="CE11" s="22">
        <v>237556</v>
      </c>
      <c r="CF11" s="22">
        <v>168313</v>
      </c>
      <c r="CG11" s="22">
        <v>150819</v>
      </c>
      <c r="CH11" s="22">
        <f>CG11</f>
        <v>150819</v>
      </c>
      <c r="CJ11" s="22">
        <v>205037</v>
      </c>
      <c r="CK11" s="22">
        <v>230430</v>
      </c>
      <c r="CL11" s="22">
        <v>234343</v>
      </c>
      <c r="CM11" s="22">
        <v>266388</v>
      </c>
      <c r="CN11" s="22"/>
      <c r="CO11" s="22"/>
      <c r="CP11" s="22"/>
      <c r="CQ11" s="22"/>
      <c r="CR11" s="22"/>
      <c r="CS11" s="22">
        <v>278269</v>
      </c>
      <c r="CT11" s="22"/>
      <c r="CU11" s="22"/>
      <c r="CV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948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</row>
    <row r="12" spans="1:128" hidden="1">
      <c r="A12" s="19"/>
      <c r="B12" s="158" t="s">
        <v>112</v>
      </c>
      <c r="C12" s="264"/>
      <c r="D12" s="265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66"/>
      <c r="Q12" s="21"/>
      <c r="R12" s="265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67"/>
      <c r="AE12" s="23"/>
      <c r="AF12" s="22"/>
      <c r="AG12" s="22"/>
      <c r="AH12" s="22"/>
      <c r="AI12" s="22"/>
      <c r="AJ12" s="24"/>
      <c r="AK12" s="22"/>
      <c r="AL12" s="22"/>
      <c r="AM12" s="22"/>
      <c r="AN12" s="22"/>
      <c r="AO12" s="22"/>
      <c r="AP12" s="25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6"/>
      <c r="BC12" s="22"/>
      <c r="BD12" s="22"/>
      <c r="BE12" s="22"/>
      <c r="BF12" s="22"/>
      <c r="BG12" s="27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8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>
        <v>40000</v>
      </c>
      <c r="CT12" s="22"/>
      <c r="CU12" s="22"/>
      <c r="CV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948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</row>
    <row r="13" spans="1:128" hidden="1">
      <c r="A13" s="19"/>
      <c r="B13" s="158" t="s">
        <v>151</v>
      </c>
      <c r="C13" s="264"/>
      <c r="D13" s="26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66"/>
      <c r="Q13" s="21"/>
      <c r="R13" s="265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67"/>
      <c r="AE13" s="23"/>
      <c r="AF13" s="22"/>
      <c r="AG13" s="22"/>
      <c r="AH13" s="22"/>
      <c r="AI13" s="22"/>
      <c r="AJ13" s="24"/>
      <c r="AK13" s="22"/>
      <c r="AL13" s="22"/>
      <c r="AM13" s="22"/>
      <c r="AN13" s="22"/>
      <c r="AO13" s="22"/>
      <c r="AP13" s="25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6"/>
      <c r="BC13" s="22"/>
      <c r="BD13" s="22"/>
      <c r="BE13" s="22"/>
      <c r="BF13" s="22"/>
      <c r="BG13" s="27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8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>
        <v>25428</v>
      </c>
      <c r="CT13" s="22"/>
      <c r="CU13" s="22"/>
      <c r="CV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948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</row>
    <row r="14" spans="1:128" hidden="1">
      <c r="A14" s="19">
        <v>0</v>
      </c>
      <c r="B14" s="158" t="s">
        <v>31</v>
      </c>
      <c r="C14" s="264"/>
      <c r="D14" s="26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66"/>
      <c r="Q14" s="21"/>
      <c r="R14" s="265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67"/>
      <c r="AE14" s="23"/>
      <c r="AF14" s="22"/>
      <c r="AG14" s="22"/>
      <c r="AH14" s="22"/>
      <c r="AI14" s="22"/>
      <c r="AJ14" s="24"/>
      <c r="AK14" s="22"/>
      <c r="AL14" s="22"/>
      <c r="AM14" s="22"/>
      <c r="AN14" s="22"/>
      <c r="AO14" s="22"/>
      <c r="AP14" s="25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6"/>
      <c r="BC14" s="22"/>
      <c r="BD14" s="22"/>
      <c r="BE14" s="22"/>
      <c r="BF14" s="22"/>
      <c r="BG14" s="27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8"/>
      <c r="BV14" s="22">
        <v>80956</v>
      </c>
      <c r="BW14" s="22">
        <v>110544</v>
      </c>
      <c r="BX14" s="22">
        <v>134506</v>
      </c>
      <c r="BY14" s="22">
        <v>127959</v>
      </c>
      <c r="BZ14" s="22">
        <v>66136</v>
      </c>
      <c r="CA14" s="22">
        <v>72582</v>
      </c>
      <c r="CB14" s="22">
        <v>94286</v>
      </c>
      <c r="CC14" s="22">
        <v>133081</v>
      </c>
      <c r="CD14" s="22">
        <v>148174</v>
      </c>
      <c r="CE14" s="22">
        <v>154201</v>
      </c>
      <c r="CF14" s="22">
        <v>97365</v>
      </c>
      <c r="CG14" s="22">
        <v>30184</v>
      </c>
      <c r="CH14" s="22"/>
      <c r="CJ14" s="22">
        <v>132209</v>
      </c>
      <c r="CK14" s="22">
        <v>180000</v>
      </c>
      <c r="CL14" s="22">
        <v>177643</v>
      </c>
      <c r="CM14" s="22">
        <v>153210</v>
      </c>
      <c r="CN14" s="22"/>
      <c r="CO14" s="22"/>
      <c r="CP14" s="22"/>
      <c r="CQ14" s="22"/>
      <c r="CR14" s="22"/>
      <c r="CS14" s="22">
        <v>189875</v>
      </c>
      <c r="CT14" s="22"/>
      <c r="CU14" s="22"/>
      <c r="CV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948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</row>
    <row r="15" spans="1:128" hidden="1">
      <c r="A15" s="19">
        <v>0</v>
      </c>
      <c r="B15" s="158" t="s">
        <v>32</v>
      </c>
      <c r="C15" s="264"/>
      <c r="D15" s="26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66"/>
      <c r="Q15" s="21"/>
      <c r="R15" s="265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67"/>
      <c r="AE15" s="23"/>
      <c r="AF15" s="22"/>
      <c r="AG15" s="22"/>
      <c r="AH15" s="22"/>
      <c r="AI15" s="22"/>
      <c r="AJ15" s="24"/>
      <c r="AK15" s="22"/>
      <c r="AL15" s="22"/>
      <c r="AM15" s="22"/>
      <c r="AN15" s="22"/>
      <c r="AO15" s="22"/>
      <c r="AP15" s="25"/>
      <c r="AQ15" s="22"/>
      <c r="AR15" s="22"/>
      <c r="AS15" s="23"/>
      <c r="AT15" s="22"/>
      <c r="AU15" s="22"/>
      <c r="AV15" s="22"/>
      <c r="AW15" s="22"/>
      <c r="AX15" s="22"/>
      <c r="AY15" s="22"/>
      <c r="AZ15" s="22"/>
      <c r="BA15" s="22"/>
      <c r="BB15" s="26"/>
      <c r="BC15" s="22"/>
      <c r="BD15" s="22"/>
      <c r="BE15" s="22"/>
      <c r="BF15" s="22"/>
      <c r="BG15" s="27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8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J15" s="22">
        <v>150321</v>
      </c>
      <c r="CK15" s="22">
        <v>133602</v>
      </c>
      <c r="CL15" s="22">
        <v>135672</v>
      </c>
      <c r="CM15" s="22">
        <v>133268</v>
      </c>
      <c r="CN15" s="22"/>
      <c r="CO15" s="22"/>
      <c r="CP15" s="22"/>
      <c r="CQ15" s="22"/>
      <c r="CR15" s="22"/>
      <c r="CS15" s="22">
        <v>113875</v>
      </c>
      <c r="CT15" s="22"/>
      <c r="CU15" s="22"/>
      <c r="CV15" s="22"/>
      <c r="CX15" s="726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>
        <f t="shared" ref="DI15" si="20">DH15</f>
        <v>0</v>
      </c>
      <c r="DJ15" s="22"/>
      <c r="DK15" s="948"/>
      <c r="DL15" s="726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>
        <f t="shared" ref="DW15" si="21">DV15</f>
        <v>0</v>
      </c>
      <c r="DX15" s="22"/>
    </row>
    <row r="16" spans="1:128" hidden="1">
      <c r="A16" s="19">
        <v>0</v>
      </c>
      <c r="B16" s="717" t="s">
        <v>33</v>
      </c>
      <c r="C16" s="264"/>
      <c r="D16" s="265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66"/>
      <c r="Q16" s="21"/>
      <c r="R16" s="265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67"/>
      <c r="AE16" s="23"/>
      <c r="AF16" s="22"/>
      <c r="AG16" s="22"/>
      <c r="AH16" s="22"/>
      <c r="AI16" s="22"/>
      <c r="AJ16" s="24"/>
      <c r="AK16" s="22"/>
      <c r="AL16" s="22"/>
      <c r="AM16" s="22"/>
      <c r="AN16" s="22"/>
      <c r="AO16" s="22"/>
      <c r="AP16" s="25"/>
      <c r="AQ16" s="22"/>
      <c r="AR16" s="22"/>
      <c r="AS16" s="23"/>
      <c r="AT16" s="22"/>
      <c r="AU16" s="22"/>
      <c r="AV16" s="22"/>
      <c r="AW16" s="22"/>
      <c r="AX16" s="22"/>
      <c r="AY16" s="22"/>
      <c r="AZ16" s="22"/>
      <c r="BA16" s="22"/>
      <c r="BB16" s="26"/>
      <c r="BC16" s="22"/>
      <c r="BD16" s="22"/>
      <c r="BE16" s="22"/>
      <c r="BF16" s="22"/>
      <c r="BG16" s="27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8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J16" s="718">
        <v>36757</v>
      </c>
      <c r="CK16" s="718">
        <v>55826</v>
      </c>
      <c r="CL16" s="718">
        <v>60438</v>
      </c>
      <c r="CM16" s="718">
        <v>52291</v>
      </c>
      <c r="CN16" s="22"/>
      <c r="CO16" s="22"/>
      <c r="CP16" s="22"/>
      <c r="CQ16" s="22"/>
      <c r="CR16" s="22"/>
      <c r="CS16" s="718">
        <v>35740</v>
      </c>
      <c r="CT16" s="22"/>
      <c r="CU16" s="22"/>
      <c r="CV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948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</row>
    <row r="17" spans="1:128" s="758" customFormat="1" ht="18.75">
      <c r="A17" s="839"/>
      <c r="B17" s="901" t="s">
        <v>115</v>
      </c>
      <c r="C17" s="902"/>
      <c r="D17" s="840"/>
      <c r="E17" s="841"/>
      <c r="F17" s="841"/>
      <c r="G17" s="841"/>
      <c r="H17" s="841"/>
      <c r="I17" s="841"/>
      <c r="J17" s="841"/>
      <c r="K17" s="841"/>
      <c r="L17" s="841"/>
      <c r="M17" s="841"/>
      <c r="N17" s="841"/>
      <c r="O17" s="841"/>
      <c r="P17" s="842"/>
      <c r="Q17" s="843"/>
      <c r="R17" s="840"/>
      <c r="S17" s="844"/>
      <c r="T17" s="844"/>
      <c r="U17" s="844"/>
      <c r="V17" s="844"/>
      <c r="W17" s="844"/>
      <c r="X17" s="844"/>
      <c r="Y17" s="844"/>
      <c r="Z17" s="844"/>
      <c r="AA17" s="844"/>
      <c r="AB17" s="844"/>
      <c r="AC17" s="844"/>
      <c r="AD17" s="845"/>
      <c r="AE17" s="846"/>
      <c r="AF17" s="844"/>
      <c r="AG17" s="844"/>
      <c r="AH17" s="844"/>
      <c r="AI17" s="844"/>
      <c r="AJ17" s="846"/>
      <c r="AK17" s="844"/>
      <c r="AL17" s="844"/>
      <c r="AM17" s="844"/>
      <c r="AN17" s="844"/>
      <c r="AO17" s="844"/>
      <c r="AP17" s="844"/>
      <c r="AQ17" s="844"/>
      <c r="AR17" s="844"/>
      <c r="AS17" s="846"/>
      <c r="AT17" s="844"/>
      <c r="AU17" s="844"/>
      <c r="AV17" s="844"/>
      <c r="AW17" s="844"/>
      <c r="AX17" s="844"/>
      <c r="AY17" s="844"/>
      <c r="AZ17" s="844"/>
      <c r="BA17" s="844"/>
      <c r="BB17" s="847"/>
      <c r="BC17" s="844"/>
      <c r="BD17" s="844"/>
      <c r="BE17" s="844"/>
      <c r="BF17" s="844"/>
      <c r="BG17" s="846"/>
      <c r="BH17" s="844"/>
      <c r="BI17" s="844"/>
      <c r="BJ17" s="844"/>
      <c r="BK17" s="844"/>
      <c r="BL17" s="844"/>
      <c r="BM17" s="844"/>
      <c r="BN17" s="844"/>
      <c r="BO17" s="844"/>
      <c r="BP17" s="844"/>
      <c r="BQ17" s="844"/>
      <c r="BR17" s="844"/>
      <c r="BS17" s="844"/>
      <c r="BT17" s="844"/>
      <c r="BU17" s="846"/>
      <c r="BV17" s="844"/>
      <c r="BW17" s="844"/>
      <c r="BX17" s="844"/>
      <c r="BY17" s="844"/>
      <c r="BZ17" s="844"/>
      <c r="CA17" s="844"/>
      <c r="CB17" s="844"/>
      <c r="CC17" s="844"/>
      <c r="CD17" s="844"/>
      <c r="CE17" s="844"/>
      <c r="CF17" s="844"/>
      <c r="CG17" s="844"/>
      <c r="CH17" s="844"/>
      <c r="CJ17" s="848"/>
      <c r="CK17" s="848"/>
      <c r="CL17" s="848"/>
      <c r="CM17" s="848"/>
      <c r="CN17" s="844"/>
      <c r="CO17" s="844"/>
      <c r="CP17" s="844"/>
      <c r="CQ17" s="844"/>
      <c r="CR17" s="844"/>
      <c r="CS17" s="849">
        <f>CS19/$DK$76</f>
        <v>0.55004838460992855</v>
      </c>
      <c r="CT17" s="849">
        <f>CT19/$DK$76</f>
        <v>0.73470702111214314</v>
      </c>
      <c r="CU17" s="849">
        <f>CU19/$DK$76</f>
        <v>0.80214964176325321</v>
      </c>
      <c r="CV17" s="844"/>
      <c r="CX17" s="849">
        <f>CX19/$DK$76</f>
        <v>1.4575091923527559</v>
      </c>
      <c r="CY17" s="849">
        <f t="shared" ref="CY17:DH17" si="22">CY19/$DK$76</f>
        <v>1.5658045938895782</v>
      </c>
      <c r="CZ17" s="849">
        <f t="shared" si="22"/>
        <v>1.5154997295141577</v>
      </c>
      <c r="DA17" s="849">
        <f t="shared" si="22"/>
        <v>1.908774297398721</v>
      </c>
      <c r="DB17" s="849">
        <f t="shared" si="22"/>
        <v>2.1289425430283759</v>
      </c>
      <c r="DC17" s="849">
        <f t="shared" si="22"/>
        <v>2.3336112547608932</v>
      </c>
      <c r="DD17" s="849">
        <f t="shared" si="22"/>
        <v>2.380121398451196</v>
      </c>
      <c r="DE17" s="849">
        <f t="shared" si="22"/>
        <v>2.2959617593435917</v>
      </c>
      <c r="DF17" s="849">
        <f t="shared" si="22"/>
        <v>2.0444473924405333</v>
      </c>
      <c r="DG17" s="849">
        <f t="shared" si="22"/>
        <v>1.7832340613091533</v>
      </c>
      <c r="DH17" s="849">
        <f t="shared" si="22"/>
        <v>1.8969792740966318</v>
      </c>
      <c r="DI17" s="849">
        <f t="shared" ref="DI17:DS17" si="23">DI19/138624</f>
        <v>1.7967639581744481</v>
      </c>
      <c r="DJ17" s="844"/>
      <c r="DK17" s="949"/>
      <c r="DL17" s="849">
        <f>DL19/$DK$76</f>
        <v>1.6124049883500173</v>
      </c>
      <c r="DM17" s="849">
        <f t="shared" ref="DM17:DV17" si="24">DM19/$DK$76</f>
        <v>1.6056649731743555</v>
      </c>
      <c r="DN17" s="849">
        <f t="shared" si="24"/>
        <v>1.4051672729320235</v>
      </c>
      <c r="DO17" s="849">
        <f t="shared" si="24"/>
        <v>1.6840805129080352</v>
      </c>
      <c r="DP17" s="849">
        <f t="shared" si="24"/>
        <v>1.7907009107109177</v>
      </c>
      <c r="DQ17" s="849">
        <f t="shared" si="24"/>
        <v>1.9096020241879448</v>
      </c>
      <c r="DR17" s="849">
        <f t="shared" si="24"/>
        <v>1.8034506715787104</v>
      </c>
      <c r="DS17" s="849">
        <f t="shared" si="24"/>
        <v>1.5691057421859689</v>
      </c>
      <c r="DT17" s="849">
        <f t="shared" si="24"/>
        <v>1.1229001228497575</v>
      </c>
      <c r="DU17" s="849">
        <f t="shared" si="24"/>
        <v>0.67494529960471994</v>
      </c>
      <c r="DV17" s="849">
        <f t="shared" si="24"/>
        <v>0.66001415222883186</v>
      </c>
      <c r="DW17" s="849">
        <f t="shared" ref="DW17:DY17" si="25">DW19/138624</f>
        <v>0.47740742273882303</v>
      </c>
      <c r="DX17" s="844"/>
    </row>
    <row r="18" spans="1:128" s="758" customFormat="1" ht="18.75">
      <c r="A18" s="839"/>
      <c r="B18" s="901" t="s">
        <v>116</v>
      </c>
      <c r="C18" s="902"/>
      <c r="D18" s="840"/>
      <c r="E18" s="841"/>
      <c r="F18" s="841"/>
      <c r="G18" s="841"/>
      <c r="H18" s="841"/>
      <c r="I18" s="841"/>
      <c r="J18" s="841"/>
      <c r="K18" s="841"/>
      <c r="L18" s="841"/>
      <c r="M18" s="841"/>
      <c r="N18" s="841"/>
      <c r="O18" s="841"/>
      <c r="P18" s="842"/>
      <c r="Q18" s="843"/>
      <c r="R18" s="840"/>
      <c r="S18" s="844"/>
      <c r="T18" s="844"/>
      <c r="U18" s="844"/>
      <c r="V18" s="844"/>
      <c r="W18" s="844"/>
      <c r="X18" s="844"/>
      <c r="Y18" s="844"/>
      <c r="Z18" s="844"/>
      <c r="AA18" s="844"/>
      <c r="AB18" s="844"/>
      <c r="AC18" s="844"/>
      <c r="AD18" s="845"/>
      <c r="AE18" s="846"/>
      <c r="AF18" s="844"/>
      <c r="AG18" s="844"/>
      <c r="AH18" s="844"/>
      <c r="AI18" s="844"/>
      <c r="AJ18" s="846"/>
      <c r="AK18" s="844"/>
      <c r="AL18" s="844"/>
      <c r="AM18" s="844"/>
      <c r="AN18" s="844"/>
      <c r="AO18" s="844"/>
      <c r="AP18" s="844"/>
      <c r="AQ18" s="844"/>
      <c r="AR18" s="844"/>
      <c r="AS18" s="846"/>
      <c r="AT18" s="844"/>
      <c r="AU18" s="844"/>
      <c r="AV18" s="844"/>
      <c r="AW18" s="844"/>
      <c r="AX18" s="844"/>
      <c r="AY18" s="844"/>
      <c r="AZ18" s="844"/>
      <c r="BA18" s="844"/>
      <c r="BB18" s="847"/>
      <c r="BC18" s="844"/>
      <c r="BD18" s="844"/>
      <c r="BE18" s="844"/>
      <c r="BF18" s="844"/>
      <c r="BG18" s="846"/>
      <c r="BH18" s="844"/>
      <c r="BI18" s="844"/>
      <c r="BJ18" s="844"/>
      <c r="BK18" s="844"/>
      <c r="BL18" s="844"/>
      <c r="BM18" s="844"/>
      <c r="BN18" s="844"/>
      <c r="BO18" s="844"/>
      <c r="BP18" s="844"/>
      <c r="BQ18" s="844"/>
      <c r="BR18" s="844"/>
      <c r="BS18" s="844"/>
      <c r="BT18" s="844"/>
      <c r="BU18" s="846"/>
      <c r="BV18" s="844"/>
      <c r="BW18" s="844"/>
      <c r="BX18" s="844"/>
      <c r="BY18" s="844"/>
      <c r="BZ18" s="844"/>
      <c r="CA18" s="844"/>
      <c r="CB18" s="844"/>
      <c r="CC18" s="844"/>
      <c r="CD18" s="844"/>
      <c r="CE18" s="844"/>
      <c r="CF18" s="844"/>
      <c r="CG18" s="844"/>
      <c r="CH18" s="844"/>
      <c r="CJ18" s="848"/>
      <c r="CK18" s="848"/>
      <c r="CL18" s="848"/>
      <c r="CM18" s="848"/>
      <c r="CN18" s="844"/>
      <c r="CO18" s="844"/>
      <c r="CP18" s="844"/>
      <c r="CQ18" s="844"/>
      <c r="CR18" s="844"/>
      <c r="CS18" s="849">
        <f>CS20/$DK$77</f>
        <v>0.89616243291769815</v>
      </c>
      <c r="CT18" s="849">
        <f>CT20/$DK$77</f>
        <v>1.4778097581932912</v>
      </c>
      <c r="CU18" s="849">
        <f>CU20/$DK$77</f>
        <v>1.7622859016035182</v>
      </c>
      <c r="CV18" s="844"/>
      <c r="CX18" s="849">
        <f>CX20/$DK$77</f>
        <v>1.3751766304010409</v>
      </c>
      <c r="CY18" s="849">
        <f t="shared" ref="CY18:DH18" si="26">CY20/$DK$77</f>
        <v>1.413482269908636</v>
      </c>
      <c r="CZ18" s="849">
        <f t="shared" si="26"/>
        <v>1.3605505156738522</v>
      </c>
      <c r="DA18" s="849">
        <f t="shared" si="26"/>
        <v>1.6100527221569636</v>
      </c>
      <c r="DB18" s="849">
        <f t="shared" si="26"/>
        <v>1.8613310420014046</v>
      </c>
      <c r="DC18" s="849">
        <f t="shared" si="26"/>
        <v>2.0646543010899547</v>
      </c>
      <c r="DD18" s="849">
        <f t="shared" si="26"/>
        <v>2.1637709628312511</v>
      </c>
      <c r="DE18" s="849">
        <f t="shared" si="26"/>
        <v>2.0429833340369568</v>
      </c>
      <c r="DF18" s="849">
        <f>DF20/$DK$77</f>
        <v>1.801598800030793</v>
      </c>
      <c r="DG18" s="849">
        <f t="shared" si="26"/>
        <v>1.5362903766542406</v>
      </c>
      <c r="DH18" s="849">
        <f t="shared" si="26"/>
        <v>1.6387447010879679</v>
      </c>
      <c r="DI18" s="849">
        <f t="shared" ref="DI18:DS18" si="27">DI20/17313</f>
        <v>1.5362733206261185</v>
      </c>
      <c r="DJ18" s="844"/>
      <c r="DK18" s="949"/>
      <c r="DL18" s="849">
        <f>DL20/$DK$77</f>
        <v>1.1165971734169062</v>
      </c>
      <c r="DM18" s="849">
        <f t="shared" ref="DM18:DV18" si="28">DM20/$DK$77</f>
        <v>1.1549028129245016</v>
      </c>
      <c r="DN18" s="849">
        <f t="shared" si="28"/>
        <v>1.1019710586897178</v>
      </c>
      <c r="DO18" s="849">
        <f t="shared" si="28"/>
        <v>1.3514732651728292</v>
      </c>
      <c r="DP18" s="849">
        <f t="shared" si="28"/>
        <v>1.6027515850172702</v>
      </c>
      <c r="DQ18" s="849">
        <f t="shared" si="28"/>
        <v>1.8060748441058201</v>
      </c>
      <c r="DR18" s="849">
        <f t="shared" si="28"/>
        <v>1.9051915058471165</v>
      </c>
      <c r="DS18" s="849">
        <f t="shared" si="28"/>
        <v>1.7844038770528221</v>
      </c>
      <c r="DT18" s="849">
        <f>DT20/$DK$77</f>
        <v>1.5430193430466583</v>
      </c>
      <c r="DU18" s="849">
        <f t="shared" ref="DU18:DY18" si="29">DU20/$DK$77</f>
        <v>1.2777109196701062</v>
      </c>
      <c r="DV18" s="849">
        <f t="shared" si="29"/>
        <v>1.3801652441038335</v>
      </c>
      <c r="DW18" s="849">
        <f t="shared" ref="DW18:DY18" si="30">DW20/17313</f>
        <v>1.2856812799630322</v>
      </c>
      <c r="DX18" s="844"/>
    </row>
    <row r="19" spans="1:128" s="838" customFormat="1" ht="18.75">
      <c r="A19" s="824">
        <v>1</v>
      </c>
      <c r="B19" s="825" t="s">
        <v>117</v>
      </c>
      <c r="C19" s="826"/>
      <c r="D19" s="827">
        <v>197000</v>
      </c>
      <c r="E19" s="828">
        <v>223027</v>
      </c>
      <c r="F19" s="828">
        <v>230513</v>
      </c>
      <c r="G19" s="828">
        <v>231174</v>
      </c>
      <c r="H19" s="828">
        <v>255028</v>
      </c>
      <c r="I19" s="828">
        <f>316386+3241</f>
        <v>319627</v>
      </c>
      <c r="J19" s="828">
        <v>377712</v>
      </c>
      <c r="K19" s="828">
        <v>382411</v>
      </c>
      <c r="L19" s="828">
        <v>394107</v>
      </c>
      <c r="M19" s="828">
        <v>267954</v>
      </c>
      <c r="N19" s="828"/>
      <c r="O19" s="828">
        <v>143875</v>
      </c>
      <c r="P19" s="829"/>
      <c r="Q19" s="830"/>
      <c r="R19" s="827">
        <v>208084</v>
      </c>
      <c r="S19" s="831">
        <v>268431</v>
      </c>
      <c r="T19" s="831">
        <v>250616</v>
      </c>
      <c r="U19" s="831">
        <v>237088</v>
      </c>
      <c r="V19" s="831">
        <v>147777</v>
      </c>
      <c r="W19" s="831">
        <v>215818</v>
      </c>
      <c r="X19" s="831">
        <v>273510</v>
      </c>
      <c r="Y19" s="831">
        <v>299059</v>
      </c>
      <c r="Z19" s="831">
        <v>304980</v>
      </c>
      <c r="AA19" s="831">
        <v>231197</v>
      </c>
      <c r="AB19" s="831">
        <v>143086</v>
      </c>
      <c r="AC19" s="831">
        <v>172491</v>
      </c>
      <c r="AD19" s="832"/>
      <c r="AE19" s="833"/>
      <c r="AF19" s="831">
        <v>198695</v>
      </c>
      <c r="AG19" s="831">
        <v>234210</v>
      </c>
      <c r="AH19" s="831">
        <v>327560</v>
      </c>
      <c r="AI19" s="831">
        <v>332523</v>
      </c>
      <c r="AJ19" s="833">
        <v>356667</v>
      </c>
      <c r="AK19" s="831">
        <v>384165</v>
      </c>
      <c r="AL19" s="831">
        <v>317268</v>
      </c>
      <c r="AM19" s="831">
        <v>370708</v>
      </c>
      <c r="AN19" s="831">
        <v>354503</v>
      </c>
      <c r="AO19" s="831">
        <v>314605</v>
      </c>
      <c r="AP19" s="831">
        <v>90490</v>
      </c>
      <c r="AQ19" s="831">
        <v>58348</v>
      </c>
      <c r="AR19" s="831">
        <f t="shared" si="11"/>
        <v>58348</v>
      </c>
      <c r="AS19" s="833"/>
      <c r="AT19" s="831">
        <v>158701</v>
      </c>
      <c r="AU19" s="831">
        <v>115369</v>
      </c>
      <c r="AV19" s="831">
        <v>142379</v>
      </c>
      <c r="AW19" s="831">
        <v>118765</v>
      </c>
      <c r="AX19" s="831">
        <v>113246</v>
      </c>
      <c r="AY19" s="831">
        <v>106776</v>
      </c>
      <c r="AZ19" s="831">
        <v>175234</v>
      </c>
      <c r="BA19" s="831">
        <v>151553</v>
      </c>
      <c r="BB19" s="834">
        <v>167082</v>
      </c>
      <c r="BC19" s="831">
        <v>150959</v>
      </c>
      <c r="BD19" s="831">
        <v>119787</v>
      </c>
      <c r="BE19" s="831">
        <v>65426</v>
      </c>
      <c r="BF19" s="831">
        <f t="shared" si="13"/>
        <v>65426</v>
      </c>
      <c r="BG19" s="833"/>
      <c r="BH19" s="831">
        <v>166918</v>
      </c>
      <c r="BI19" s="831">
        <v>167160</v>
      </c>
      <c r="BJ19" s="831">
        <v>204571</v>
      </c>
      <c r="BK19" s="831">
        <v>153197</v>
      </c>
      <c r="BL19" s="831">
        <v>196798</v>
      </c>
      <c r="BM19" s="831">
        <v>145596</v>
      </c>
      <c r="BN19" s="831">
        <v>166021</v>
      </c>
      <c r="BO19" s="831">
        <v>211305</v>
      </c>
      <c r="BP19" s="831">
        <v>201071</v>
      </c>
      <c r="BQ19" s="831">
        <v>177743</v>
      </c>
      <c r="BR19" s="831">
        <v>144020</v>
      </c>
      <c r="BS19" s="831">
        <v>154347</v>
      </c>
      <c r="BT19" s="831">
        <f>BS19</f>
        <v>154347</v>
      </c>
      <c r="BU19" s="833"/>
      <c r="BV19" s="831">
        <v>151471</v>
      </c>
      <c r="BW19" s="831">
        <v>155653</v>
      </c>
      <c r="BX19" s="831">
        <v>151611</v>
      </c>
      <c r="BY19" s="831">
        <v>177044</v>
      </c>
      <c r="BZ19" s="831">
        <v>170481</v>
      </c>
      <c r="CA19" s="831">
        <v>221665</v>
      </c>
      <c r="CB19" s="831">
        <v>218105</v>
      </c>
      <c r="CC19" s="831">
        <v>188153</v>
      </c>
      <c r="CD19" s="831">
        <v>147751</v>
      </c>
      <c r="CE19" s="831">
        <v>112996</v>
      </c>
      <c r="CF19" s="831">
        <v>135968</v>
      </c>
      <c r="CG19" s="831">
        <v>130000</v>
      </c>
      <c r="CH19" s="831">
        <f t="shared" ref="CH19:CH31" si="31">CG19</f>
        <v>130000</v>
      </c>
      <c r="CI19" s="835">
        <v>114000</v>
      </c>
      <c r="CJ19" s="831">
        <v>109585</v>
      </c>
      <c r="CK19" s="831">
        <v>103815</v>
      </c>
      <c r="CL19" s="831">
        <v>117138</v>
      </c>
      <c r="CM19" s="831">
        <v>165469</v>
      </c>
      <c r="CN19" s="831">
        <f>CM19+CN80-CN33</f>
        <v>175907.8879612374</v>
      </c>
      <c r="CO19" s="831">
        <f>CN19+CO80-CO33</f>
        <v>238961.73306000742</v>
      </c>
      <c r="CP19" s="831">
        <f t="shared" ref="CP19:CR19" si="32">CO19+CP80-CP33</f>
        <v>271844.22259587242</v>
      </c>
      <c r="CQ19" s="831">
        <f>CP19+CQ80-CQ33</f>
        <v>249838.52867182181</v>
      </c>
      <c r="CR19" s="831">
        <f t="shared" si="32"/>
        <v>201980.33782793995</v>
      </c>
      <c r="CS19" s="836">
        <f>91286-CS20</f>
        <v>76250</v>
      </c>
      <c r="CT19" s="836">
        <f>CS19+CT80-CT76-CT20</f>
        <v>101848.14995780593</v>
      </c>
      <c r="CU19" s="836">
        <f>CT19+CU80-CU76-CU20</f>
        <v>111197.32717299581</v>
      </c>
      <c r="CV19" s="837"/>
      <c r="CW19" s="758"/>
      <c r="CX19" s="831">
        <v>202046</v>
      </c>
      <c r="CY19" s="831">
        <f>CX19+CY80-CY76+CY15-CY16</f>
        <v>217058.36</v>
      </c>
      <c r="CZ19" s="831">
        <f t="shared" ref="CZ19:DC19" si="33">CY19+CZ80-CZ76+CZ15-CZ16</f>
        <v>210084.88999999998</v>
      </c>
      <c r="DA19" s="831">
        <f>CZ19+DA80-DA76+DA15-DA16</f>
        <v>264602.25</v>
      </c>
      <c r="DB19" s="831">
        <f t="shared" si="33"/>
        <v>295122.89</v>
      </c>
      <c r="DC19" s="831">
        <f t="shared" si="33"/>
        <v>323494.92000000004</v>
      </c>
      <c r="DD19" s="831">
        <f>DC19+DD80-DD76+DD15</f>
        <v>329942.35000000003</v>
      </c>
      <c r="DE19" s="831">
        <f>DD19+DE80-DE76+DE15</f>
        <v>318275.79000000004</v>
      </c>
      <c r="DF19" s="831">
        <f>DE19+DF80-DF76+DF15</f>
        <v>283409.82000000007</v>
      </c>
      <c r="DG19" s="831">
        <f>DF19+DG80-DG76+DG15</f>
        <v>247199.33914767942</v>
      </c>
      <c r="DH19" s="831">
        <f>DG19+DH80-DH76+DH15</f>
        <v>262967.17470126587</v>
      </c>
      <c r="DI19" s="831">
        <f>DH19+DI80-DI76+DI15</f>
        <v>249074.60693797469</v>
      </c>
      <c r="DJ19" s="836"/>
      <c r="DK19" s="950"/>
      <c r="DL19" s="831">
        <f>DI19+DL80-DL76</f>
        <v>223518.30093797462</v>
      </c>
      <c r="DM19" s="831">
        <f>DL19+DM80-DM76+DM15-DM16</f>
        <v>222583.97193797462</v>
      </c>
      <c r="DN19" s="831">
        <f t="shared" ref="DN19" si="34">DM19+DN80-DN76+DN15-DN16</f>
        <v>194790.1449379746</v>
      </c>
      <c r="DO19" s="831">
        <f>DN19+DO80-DO76+DO15-DO16</f>
        <v>233454.26093797461</v>
      </c>
      <c r="DP19" s="831">
        <f t="shared" ref="DP19:DQ19" si="35">DO19+DP80-DP76+DP15-DP16</f>
        <v>248234.42493797457</v>
      </c>
      <c r="DQ19" s="831">
        <f t="shared" si="35"/>
        <v>264716.99293797457</v>
      </c>
      <c r="DR19" s="831">
        <f>DQ19+DR80-DR76+DR15</f>
        <v>250001.84993797453</v>
      </c>
      <c r="DS19" s="831">
        <f>DR19+DS80-DS76+DS15</f>
        <v>217515.97893797452</v>
      </c>
      <c r="DT19" s="831">
        <f>DS19+DT80-DT76+DT15</f>
        <v>155661.09593797455</v>
      </c>
      <c r="DU19" s="831">
        <f>DT19+DU80-DU76+DU15</f>
        <v>93563.731000421772</v>
      </c>
      <c r="DV19" s="831">
        <f>DU19+DV80-DV76+DV15</f>
        <v>91493.913109366898</v>
      </c>
      <c r="DW19" s="831">
        <f>DV19+DW80-DW76+DW15</f>
        <v>66180.126569746601</v>
      </c>
      <c r="DX19" s="836"/>
    </row>
    <row r="20" spans="1:128" s="838" customFormat="1" ht="18.75">
      <c r="A20" s="824"/>
      <c r="B20" s="825" t="s">
        <v>118</v>
      </c>
      <c r="C20" s="826"/>
      <c r="D20" s="827"/>
      <c r="E20" s="828"/>
      <c r="F20" s="828"/>
      <c r="G20" s="828"/>
      <c r="H20" s="828"/>
      <c r="I20" s="828"/>
      <c r="J20" s="828"/>
      <c r="K20" s="828"/>
      <c r="L20" s="828"/>
      <c r="M20" s="828"/>
      <c r="N20" s="828"/>
      <c r="O20" s="828"/>
      <c r="P20" s="829"/>
      <c r="Q20" s="830"/>
      <c r="R20" s="827"/>
      <c r="S20" s="831"/>
      <c r="T20" s="831"/>
      <c r="U20" s="831"/>
      <c r="V20" s="831"/>
      <c r="W20" s="831"/>
      <c r="X20" s="831"/>
      <c r="Y20" s="831"/>
      <c r="Z20" s="831"/>
      <c r="AA20" s="831"/>
      <c r="AB20" s="831"/>
      <c r="AC20" s="831"/>
      <c r="AD20" s="832"/>
      <c r="AE20" s="833"/>
      <c r="AF20" s="831"/>
      <c r="AG20" s="831"/>
      <c r="AH20" s="831"/>
      <c r="AI20" s="831"/>
      <c r="AJ20" s="833"/>
      <c r="AK20" s="831"/>
      <c r="AL20" s="831"/>
      <c r="AM20" s="831"/>
      <c r="AN20" s="831"/>
      <c r="AO20" s="831"/>
      <c r="AP20" s="831"/>
      <c r="AQ20" s="831"/>
      <c r="AR20" s="831"/>
      <c r="AS20" s="833"/>
      <c r="AT20" s="831"/>
      <c r="AU20" s="831"/>
      <c r="AV20" s="831"/>
      <c r="AW20" s="831"/>
      <c r="AX20" s="831"/>
      <c r="AY20" s="831"/>
      <c r="AZ20" s="831"/>
      <c r="BA20" s="831"/>
      <c r="BB20" s="834"/>
      <c r="BC20" s="831"/>
      <c r="BD20" s="831"/>
      <c r="BE20" s="831"/>
      <c r="BF20" s="831"/>
      <c r="BG20" s="833"/>
      <c r="BH20" s="831"/>
      <c r="BI20" s="831"/>
      <c r="BJ20" s="831"/>
      <c r="BK20" s="831"/>
      <c r="BL20" s="831"/>
      <c r="BM20" s="831"/>
      <c r="BN20" s="831"/>
      <c r="BO20" s="831"/>
      <c r="BP20" s="831"/>
      <c r="BQ20" s="831"/>
      <c r="BR20" s="831"/>
      <c r="BS20" s="831"/>
      <c r="BT20" s="831"/>
      <c r="BU20" s="833"/>
      <c r="BV20" s="831"/>
      <c r="BW20" s="831"/>
      <c r="BX20" s="831"/>
      <c r="BY20" s="831"/>
      <c r="BZ20" s="831"/>
      <c r="CA20" s="831"/>
      <c r="CB20" s="831"/>
      <c r="CC20" s="831"/>
      <c r="CD20" s="831"/>
      <c r="CE20" s="831"/>
      <c r="CF20" s="831"/>
      <c r="CG20" s="831"/>
      <c r="CH20" s="831"/>
      <c r="CI20" s="835"/>
      <c r="CJ20" s="831"/>
      <c r="CK20" s="831"/>
      <c r="CL20" s="831"/>
      <c r="CM20" s="831"/>
      <c r="CN20" s="831"/>
      <c r="CO20" s="831"/>
      <c r="CP20" s="831"/>
      <c r="CQ20" s="831"/>
      <c r="CR20" s="831"/>
      <c r="CS20" s="836">
        <v>15036</v>
      </c>
      <c r="CT20" s="836">
        <f>CS20+CT81-CT77</f>
        <v>24795</v>
      </c>
      <c r="CU20" s="836">
        <f>CT20+CU81-CU77</f>
        <v>29568</v>
      </c>
      <c r="CV20" s="837"/>
      <c r="CW20" s="758"/>
      <c r="CX20" s="831">
        <v>23073</v>
      </c>
      <c r="CY20" s="831">
        <f>CX20+CY81-CY77</f>
        <v>23715.699999999997</v>
      </c>
      <c r="CZ20" s="831">
        <f t="shared" ref="CZ20:DI20" si="36">CY20+CZ81-CZ77</f>
        <v>22827.599999999995</v>
      </c>
      <c r="DA20" s="831">
        <f t="shared" si="36"/>
        <v>27013.799999999988</v>
      </c>
      <c r="DB20" s="831">
        <f t="shared" si="36"/>
        <v>31229.799999999988</v>
      </c>
      <c r="DC20" s="831">
        <f t="shared" si="36"/>
        <v>34641.19999999999</v>
      </c>
      <c r="DD20" s="831">
        <f t="shared" si="36"/>
        <v>36304.19999999999</v>
      </c>
      <c r="DE20" s="831">
        <f t="shared" si="36"/>
        <v>34277.599999999991</v>
      </c>
      <c r="DF20" s="831">
        <f t="shared" si="36"/>
        <v>30227.599999999988</v>
      </c>
      <c r="DG20" s="831">
        <f t="shared" si="36"/>
        <v>25776.19999999999</v>
      </c>
      <c r="DH20" s="831">
        <f t="shared" si="36"/>
        <v>27495.19999999999</v>
      </c>
      <c r="DI20" s="831">
        <f t="shared" si="36"/>
        <v>26597.499999999989</v>
      </c>
      <c r="DJ20" s="836"/>
      <c r="DK20" s="950"/>
      <c r="DL20" s="831">
        <f>DI20+DL81-DL77</f>
        <v>18734.499999999985</v>
      </c>
      <c r="DM20" s="831">
        <f>DL20+DM81-DM77</f>
        <v>19377.199999999983</v>
      </c>
      <c r="DN20" s="831">
        <f t="shared" ref="DN20:DW20" si="37">DM20+DN81-DN77</f>
        <v>18489.09999999998</v>
      </c>
      <c r="DO20" s="831">
        <f t="shared" si="37"/>
        <v>22675.299999999974</v>
      </c>
      <c r="DP20" s="831">
        <f t="shared" si="37"/>
        <v>26891.299999999974</v>
      </c>
      <c r="DQ20" s="831">
        <f t="shared" si="37"/>
        <v>30302.699999999975</v>
      </c>
      <c r="DR20" s="831">
        <f t="shared" si="37"/>
        <v>31965.699999999975</v>
      </c>
      <c r="DS20" s="831">
        <f t="shared" si="37"/>
        <v>29939.099999999973</v>
      </c>
      <c r="DT20" s="831">
        <f t="shared" si="37"/>
        <v>25889.099999999973</v>
      </c>
      <c r="DU20" s="831">
        <f t="shared" si="37"/>
        <v>21437.699999999975</v>
      </c>
      <c r="DV20" s="831">
        <f t="shared" si="37"/>
        <v>23156.699999999975</v>
      </c>
      <c r="DW20" s="831">
        <f t="shared" si="37"/>
        <v>22258.999999999975</v>
      </c>
      <c r="DX20" s="836"/>
    </row>
    <row r="21" spans="1:128" s="698" customFormat="1" ht="18.75">
      <c r="A21" s="683"/>
      <c r="B21" s="684" t="s">
        <v>119</v>
      </c>
      <c r="C21" s="685"/>
      <c r="D21" s="686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8"/>
      <c r="Q21" s="689"/>
      <c r="R21" s="686"/>
      <c r="S21" s="690"/>
      <c r="T21" s="690"/>
      <c r="U21" s="690"/>
      <c r="V21" s="690"/>
      <c r="W21" s="690"/>
      <c r="X21" s="690"/>
      <c r="Y21" s="690"/>
      <c r="Z21" s="690"/>
      <c r="AA21" s="690"/>
      <c r="AB21" s="690"/>
      <c r="AC21" s="690"/>
      <c r="AD21" s="691"/>
      <c r="AE21" s="692"/>
      <c r="AF21" s="690"/>
      <c r="AG21" s="690"/>
      <c r="AH21" s="690"/>
      <c r="AI21" s="690"/>
      <c r="AJ21" s="693"/>
      <c r="AK21" s="690"/>
      <c r="AL21" s="690"/>
      <c r="AM21" s="690"/>
      <c r="AN21" s="690"/>
      <c r="AO21" s="690"/>
      <c r="AP21" s="694"/>
      <c r="AQ21" s="690"/>
      <c r="AR21" s="690"/>
      <c r="AS21" s="692"/>
      <c r="AT21" s="690"/>
      <c r="AU21" s="690"/>
      <c r="AV21" s="690"/>
      <c r="AW21" s="690"/>
      <c r="AX21" s="690"/>
      <c r="AY21" s="690"/>
      <c r="AZ21" s="690"/>
      <c r="BA21" s="690"/>
      <c r="BB21" s="695"/>
      <c r="BC21" s="690"/>
      <c r="BD21" s="690"/>
      <c r="BE21" s="690"/>
      <c r="BF21" s="690"/>
      <c r="BG21" s="696"/>
      <c r="BH21" s="690"/>
      <c r="BI21" s="690"/>
      <c r="BJ21" s="690"/>
      <c r="BK21" s="690"/>
      <c r="BL21" s="690"/>
      <c r="BM21" s="690"/>
      <c r="BN21" s="690"/>
      <c r="BO21" s="690"/>
      <c r="BP21" s="690"/>
      <c r="BQ21" s="690"/>
      <c r="BR21" s="690"/>
      <c r="BS21" s="690"/>
      <c r="BT21" s="690"/>
      <c r="BU21" s="697"/>
      <c r="BV21" s="690"/>
      <c r="BW21" s="690"/>
      <c r="BX21" s="690"/>
      <c r="BY21" s="690"/>
      <c r="BZ21" s="690"/>
      <c r="CA21" s="690"/>
      <c r="CB21" s="690"/>
      <c r="CC21" s="690"/>
      <c r="CD21" s="690"/>
      <c r="CE21" s="690"/>
      <c r="CF21" s="690"/>
      <c r="CG21" s="690"/>
      <c r="CH21" s="690"/>
      <c r="CI21" s="707"/>
      <c r="CJ21" s="690"/>
      <c r="CK21" s="690"/>
      <c r="CL21" s="690"/>
      <c r="CM21" s="690"/>
      <c r="CN21" s="690"/>
      <c r="CO21" s="690"/>
      <c r="CP21" s="690"/>
      <c r="CQ21" s="690"/>
      <c r="CR21" s="690"/>
      <c r="CS21" s="756">
        <v>28927</v>
      </c>
      <c r="CT21" s="756">
        <f>CS21+CT82-CT78</f>
        <v>14387</v>
      </c>
      <c r="CU21" s="756">
        <f>CT21+CU82-CU78</f>
        <v>51731</v>
      </c>
      <c r="CV21" s="757"/>
      <c r="CW21" s="758"/>
      <c r="CX21" s="690">
        <v>6233</v>
      </c>
      <c r="CY21" s="690">
        <f>CX21+CY82-CY78+CY16</f>
        <v>-681</v>
      </c>
      <c r="CZ21" s="690">
        <f>CY21+CZ82-CZ78+CZ16</f>
        <v>3995</v>
      </c>
      <c r="DA21" s="690">
        <f t="shared" ref="DA21:DI21" si="38">CZ21+DA82-DA78+DA16</f>
        <v>-8223</v>
      </c>
      <c r="DB21" s="690">
        <f>DA21+DB82-DB78+DB16</f>
        <v>-17712</v>
      </c>
      <c r="DC21" s="690">
        <f t="shared" si="38"/>
        <v>17524</v>
      </c>
      <c r="DD21" s="690">
        <f t="shared" si="38"/>
        <v>7838.0999999999985</v>
      </c>
      <c r="DE21" s="690">
        <f t="shared" si="38"/>
        <v>-747.80000000000291</v>
      </c>
      <c r="DF21" s="690">
        <f t="shared" si="38"/>
        <v>-21670.700000000004</v>
      </c>
      <c r="DG21" s="690">
        <f t="shared" si="38"/>
        <v>-29827.400000000005</v>
      </c>
      <c r="DH21" s="690">
        <f t="shared" si="38"/>
        <v>-33905.750000000007</v>
      </c>
      <c r="DI21" s="690">
        <f t="shared" si="38"/>
        <v>12794.249999999993</v>
      </c>
      <c r="DJ21" s="756"/>
      <c r="DK21" s="950"/>
      <c r="DL21" s="690">
        <f>DI21+DL82-DL78+DL16</f>
        <v>27064.25</v>
      </c>
      <c r="DM21" s="690">
        <f>DL21+DM82-DM78+DM16</f>
        <v>20150.25</v>
      </c>
      <c r="DN21" s="690">
        <f>DM21+DN82-DN78+DN16</f>
        <v>24826.25</v>
      </c>
      <c r="DO21" s="690">
        <f t="shared" ref="DO21" si="39">DN21+DO82-DO78+DO16</f>
        <v>12608.25</v>
      </c>
      <c r="DP21" s="690">
        <f>DO21+DP82-DP78+DP16</f>
        <v>3119.25</v>
      </c>
      <c r="DQ21" s="690">
        <f t="shared" ref="DQ21:DW21" si="40">DP21+DQ82-DQ78+DQ16</f>
        <v>38355.25</v>
      </c>
      <c r="DR21" s="690">
        <f t="shared" si="40"/>
        <v>28669.35</v>
      </c>
      <c r="DS21" s="690">
        <f t="shared" si="40"/>
        <v>20083.450000000004</v>
      </c>
      <c r="DT21" s="690">
        <f t="shared" si="40"/>
        <v>-839.44999999999709</v>
      </c>
      <c r="DU21" s="690">
        <f t="shared" si="40"/>
        <v>-8996.1499999999978</v>
      </c>
      <c r="DV21" s="690">
        <f t="shared" si="40"/>
        <v>-13074.499999999998</v>
      </c>
      <c r="DW21" s="690">
        <f t="shared" si="40"/>
        <v>33625.5</v>
      </c>
      <c r="DX21" s="756"/>
    </row>
    <row r="22" spans="1:128" ht="18.75">
      <c r="A22" s="19">
        <v>2</v>
      </c>
      <c r="B22" s="684" t="s">
        <v>35</v>
      </c>
      <c r="C22" s="903"/>
      <c r="D22" s="265">
        <v>73670</v>
      </c>
      <c r="E22" s="20">
        <v>59682</v>
      </c>
      <c r="F22" s="20">
        <v>54710</v>
      </c>
      <c r="G22" s="20">
        <v>56175</v>
      </c>
      <c r="H22" s="20">
        <v>58933</v>
      </c>
      <c r="I22" s="20">
        <v>42784</v>
      </c>
      <c r="J22" s="20">
        <v>35755</v>
      </c>
      <c r="K22" s="20">
        <v>33547</v>
      </c>
      <c r="L22" s="20">
        <v>22824</v>
      </c>
      <c r="M22" s="20">
        <v>26162</v>
      </c>
      <c r="N22" s="20"/>
      <c r="O22" s="20">
        <v>44389</v>
      </c>
      <c r="P22" s="266"/>
      <c r="Q22" s="21"/>
      <c r="R22" s="265">
        <v>39759</v>
      </c>
      <c r="S22" s="22">
        <v>38325</v>
      </c>
      <c r="T22" s="22">
        <v>26634</v>
      </c>
      <c r="U22" s="22">
        <f>14430+2754+7859</f>
        <v>25043</v>
      </c>
      <c r="V22" s="22">
        <v>23840</v>
      </c>
      <c r="W22" s="22">
        <v>20057</v>
      </c>
      <c r="X22" s="22">
        <v>80502</v>
      </c>
      <c r="Y22" s="22">
        <v>56483</v>
      </c>
      <c r="Z22" s="22">
        <v>44233</v>
      </c>
      <c r="AA22" s="22">
        <v>38155</v>
      </c>
      <c r="AB22" s="22">
        <v>27540</v>
      </c>
      <c r="AC22" s="22">
        <v>25060</v>
      </c>
      <c r="AD22" s="267"/>
      <c r="AE22" s="23"/>
      <c r="AF22" s="22">
        <v>21326</v>
      </c>
      <c r="AG22" s="22">
        <v>17804</v>
      </c>
      <c r="AH22" s="22">
        <v>27157</v>
      </c>
      <c r="AI22" s="22">
        <v>19677</v>
      </c>
      <c r="AJ22" s="22">
        <v>18817</v>
      </c>
      <c r="AK22" s="22">
        <v>25034</v>
      </c>
      <c r="AL22" s="22">
        <v>28090</v>
      </c>
      <c r="AM22" s="22">
        <v>25660</v>
      </c>
      <c r="AN22" s="22">
        <v>33752</v>
      </c>
      <c r="AO22" s="22">
        <v>24699</v>
      </c>
      <c r="AP22" s="25">
        <v>19340</v>
      </c>
      <c r="AQ22" s="22">
        <v>29842</v>
      </c>
      <c r="AR22" s="22">
        <f t="shared" si="11"/>
        <v>29842</v>
      </c>
      <c r="AS22" s="23"/>
      <c r="AT22" s="22">
        <v>46493</v>
      </c>
      <c r="AU22" s="22">
        <v>37125</v>
      </c>
      <c r="AV22" s="22">
        <v>38574</v>
      </c>
      <c r="AW22" s="22">
        <v>43626</v>
      </c>
      <c r="AX22" s="22">
        <v>39641</v>
      </c>
      <c r="AY22" s="22">
        <v>55553</v>
      </c>
      <c r="AZ22" s="22">
        <v>48023</v>
      </c>
      <c r="BA22" s="22">
        <v>55043</v>
      </c>
      <c r="BB22" s="26">
        <v>50383</v>
      </c>
      <c r="BC22" s="22">
        <v>54355</v>
      </c>
      <c r="BD22" s="22">
        <v>82473</v>
      </c>
      <c r="BE22" s="22">
        <v>65398</v>
      </c>
      <c r="BF22" s="22">
        <f t="shared" si="13"/>
        <v>65398</v>
      </c>
      <c r="BG22" s="27"/>
      <c r="BH22" s="22">
        <v>68747</v>
      </c>
      <c r="BI22" s="22">
        <v>62843</v>
      </c>
      <c r="BJ22" s="22">
        <v>62154</v>
      </c>
      <c r="BK22" s="22">
        <v>49337</v>
      </c>
      <c r="BL22" s="22">
        <v>27730</v>
      </c>
      <c r="BM22" s="22">
        <v>42459</v>
      </c>
      <c r="BN22" s="22">
        <v>44049</v>
      </c>
      <c r="BO22" s="22">
        <v>29196</v>
      </c>
      <c r="BP22" s="22">
        <v>36882</v>
      </c>
      <c r="BQ22" s="22">
        <v>35965</v>
      </c>
      <c r="BR22" s="22">
        <v>31343</v>
      </c>
      <c r="BS22" s="22">
        <v>23087</v>
      </c>
      <c r="BT22" s="22">
        <f t="shared" ref="BT22:BT31" si="41">BS22</f>
        <v>23087</v>
      </c>
      <c r="BU22" s="28"/>
      <c r="BV22" s="22">
        <v>15202</v>
      </c>
      <c r="BW22" s="22">
        <v>12471</v>
      </c>
      <c r="BX22" s="22">
        <v>11483</v>
      </c>
      <c r="BY22" s="22">
        <v>14071</v>
      </c>
      <c r="BZ22" s="22">
        <v>49617</v>
      </c>
      <c r="CA22" s="22">
        <v>36385</v>
      </c>
      <c r="CB22" s="22">
        <v>25473</v>
      </c>
      <c r="CC22" s="22">
        <v>16933</v>
      </c>
      <c r="CD22" s="22">
        <v>12684</v>
      </c>
      <c r="CE22" s="22">
        <v>21084</v>
      </c>
      <c r="CF22" s="22">
        <v>15172</v>
      </c>
      <c r="CG22" s="22">
        <v>11469</v>
      </c>
      <c r="CH22" s="22">
        <f>CG22</f>
        <v>11469</v>
      </c>
      <c r="CI22">
        <f>7500*5</f>
        <v>37500</v>
      </c>
      <c r="CJ22" s="22">
        <v>9465</v>
      </c>
      <c r="CK22" s="22">
        <v>13722</v>
      </c>
      <c r="CL22" s="22">
        <v>10771</v>
      </c>
      <c r="CM22" s="22">
        <v>8538</v>
      </c>
      <c r="CN22" s="22"/>
      <c r="CO22" s="22"/>
      <c r="CP22" s="22"/>
      <c r="CQ22" s="22"/>
      <c r="CR22" s="22"/>
      <c r="CS22" s="22">
        <v>4128</v>
      </c>
      <c r="CT22" s="22"/>
      <c r="CU22" s="22"/>
      <c r="CV22" s="22">
        <v>0</v>
      </c>
      <c r="CW22" s="758"/>
      <c r="CX22" s="870"/>
      <c r="CY22" s="870"/>
      <c r="CZ22" s="870"/>
      <c r="DA22" s="870"/>
      <c r="DB22" s="870"/>
      <c r="DC22" s="870"/>
      <c r="DD22" s="870"/>
      <c r="DE22" s="870"/>
      <c r="DF22" s="870"/>
      <c r="DG22" s="870"/>
      <c r="DH22" s="870"/>
      <c r="DI22" s="870"/>
      <c r="DJ22" s="22">
        <v>0</v>
      </c>
      <c r="DK22" s="948"/>
      <c r="DL22" s="870"/>
      <c r="DM22" s="870"/>
      <c r="DN22" s="870"/>
      <c r="DO22" s="870"/>
      <c r="DP22" s="870"/>
      <c r="DQ22" s="870"/>
      <c r="DR22" s="870"/>
      <c r="DS22" s="870"/>
      <c r="DT22" s="870"/>
      <c r="DU22" s="870"/>
      <c r="DV22" s="870"/>
      <c r="DW22" s="870"/>
      <c r="DX22" s="22">
        <v>0</v>
      </c>
    </row>
    <row r="23" spans="1:128" ht="18.75">
      <c r="A23" s="19">
        <v>3</v>
      </c>
      <c r="B23" s="684" t="s">
        <v>36</v>
      </c>
      <c r="C23" s="903"/>
      <c r="D23" s="268">
        <v>34116</v>
      </c>
      <c r="E23" s="269">
        <v>29277</v>
      </c>
      <c r="F23" s="269">
        <v>43008</v>
      </c>
      <c r="G23" s="269">
        <v>30524</v>
      </c>
      <c r="H23" s="269">
        <v>33235</v>
      </c>
      <c r="I23" s="269">
        <v>39842</v>
      </c>
      <c r="J23" s="269">
        <v>41021</v>
      </c>
      <c r="K23" s="269">
        <v>31224</v>
      </c>
      <c r="L23" s="269"/>
      <c r="M23" s="269">
        <v>10286</v>
      </c>
      <c r="N23" s="269"/>
      <c r="O23" s="269"/>
      <c r="P23" s="266"/>
      <c r="Q23" s="21"/>
      <c r="R23" s="268">
        <v>35516</v>
      </c>
      <c r="S23" s="270">
        <v>35962</v>
      </c>
      <c r="T23" s="270">
        <v>35962</v>
      </c>
      <c r="U23" s="270">
        <v>35962</v>
      </c>
      <c r="V23" s="270">
        <v>35000</v>
      </c>
      <c r="W23" s="270"/>
      <c r="X23" s="270">
        <v>6123</v>
      </c>
      <c r="Y23" s="270">
        <v>6123</v>
      </c>
      <c r="Z23" s="270">
        <v>4187</v>
      </c>
      <c r="AA23" s="270">
        <v>2745</v>
      </c>
      <c r="AB23" s="270"/>
      <c r="AC23" s="270"/>
      <c r="AD23" s="267"/>
      <c r="AE23" s="23"/>
      <c r="AF23" s="270">
        <v>8366</v>
      </c>
      <c r="AG23" s="270">
        <v>11534</v>
      </c>
      <c r="AH23" s="270">
        <v>11507</v>
      </c>
      <c r="AI23" s="270">
        <v>9148</v>
      </c>
      <c r="AJ23" s="22">
        <v>8524</v>
      </c>
      <c r="AK23" s="270">
        <v>25290</v>
      </c>
      <c r="AL23" s="270">
        <v>91080</v>
      </c>
      <c r="AM23" s="270">
        <v>66830</v>
      </c>
      <c r="AN23" s="270">
        <v>36866</v>
      </c>
      <c r="AO23" s="270">
        <v>16173</v>
      </c>
      <c r="AP23" s="271">
        <v>178274</v>
      </c>
      <c r="AQ23" s="270">
        <v>210665</v>
      </c>
      <c r="AR23" s="22">
        <f t="shared" si="11"/>
        <v>210665</v>
      </c>
      <c r="AS23" s="23"/>
      <c r="AT23" s="270">
        <v>121075</v>
      </c>
      <c r="AU23" s="270">
        <v>149376</v>
      </c>
      <c r="AV23" s="270">
        <v>104538</v>
      </c>
      <c r="AW23" s="270">
        <v>105262</v>
      </c>
      <c r="AX23" s="270">
        <v>121073</v>
      </c>
      <c r="AY23" s="270">
        <v>163931</v>
      </c>
      <c r="AZ23" s="270">
        <v>109964</v>
      </c>
      <c r="BA23" s="270">
        <v>148266</v>
      </c>
      <c r="BB23" s="26">
        <v>130697</v>
      </c>
      <c r="BC23" s="270">
        <v>113779</v>
      </c>
      <c r="BD23" s="270">
        <v>91119</v>
      </c>
      <c r="BE23" s="270">
        <v>103286</v>
      </c>
      <c r="BF23" s="22">
        <f t="shared" si="13"/>
        <v>103286</v>
      </c>
      <c r="BG23" s="27"/>
      <c r="BH23" s="270">
        <v>49631</v>
      </c>
      <c r="BI23" s="270">
        <v>52953</v>
      </c>
      <c r="BJ23" s="270">
        <v>28440</v>
      </c>
      <c r="BK23" s="270">
        <v>83601</v>
      </c>
      <c r="BL23" s="22">
        <v>25812</v>
      </c>
      <c r="BM23" s="22">
        <v>59545</v>
      </c>
      <c r="BN23" s="22">
        <v>83435</v>
      </c>
      <c r="BO23" s="22">
        <v>34041</v>
      </c>
      <c r="BP23" s="22">
        <v>22399</v>
      </c>
      <c r="BQ23" s="22">
        <v>24887</v>
      </c>
      <c r="BR23" s="22">
        <v>12183</v>
      </c>
      <c r="BS23" s="22">
        <v>12183</v>
      </c>
      <c r="BT23" s="22">
        <f t="shared" si="41"/>
        <v>12183</v>
      </c>
      <c r="BU23" s="28"/>
      <c r="BV23" s="270">
        <v>5216</v>
      </c>
      <c r="BW23" s="270"/>
      <c r="BX23" s="270">
        <v>65273</v>
      </c>
      <c r="BY23" s="270">
        <v>70182</v>
      </c>
      <c r="BZ23" s="22">
        <v>57659</v>
      </c>
      <c r="CA23" s="22">
        <v>71669</v>
      </c>
      <c r="CB23" s="22">
        <v>73078</v>
      </c>
      <c r="CC23" s="22">
        <v>85302</v>
      </c>
      <c r="CD23" s="22">
        <v>25343</v>
      </c>
      <c r="CE23" s="22">
        <v>19030</v>
      </c>
      <c r="CF23" s="22">
        <v>19422</v>
      </c>
      <c r="CG23" s="22">
        <v>25927</v>
      </c>
      <c r="CH23" s="22">
        <f>CG23</f>
        <v>25927</v>
      </c>
      <c r="CI23">
        <v>29000</v>
      </c>
      <c r="CJ23" s="270">
        <v>21580</v>
      </c>
      <c r="CK23" s="270">
        <v>18052</v>
      </c>
      <c r="CL23" s="270">
        <v>30722</v>
      </c>
      <c r="CM23" s="270">
        <v>33641</v>
      </c>
      <c r="CN23" s="22"/>
      <c r="CO23" s="22"/>
      <c r="CP23" s="22"/>
      <c r="CQ23" s="22"/>
      <c r="CR23" s="22"/>
      <c r="CS23" s="22">
        <v>10634</v>
      </c>
      <c r="CT23" s="22"/>
      <c r="CU23" s="22"/>
      <c r="CV23" s="22">
        <v>0</v>
      </c>
      <c r="CW23" s="758"/>
      <c r="CX23" s="871"/>
      <c r="CY23" s="871"/>
      <c r="CZ23" s="871"/>
      <c r="DA23" s="871"/>
      <c r="DB23" s="870"/>
      <c r="DC23" s="870"/>
      <c r="DD23" s="870"/>
      <c r="DE23" s="870"/>
      <c r="DF23" s="870"/>
      <c r="DG23" s="870"/>
      <c r="DH23" s="870"/>
      <c r="DI23" s="870"/>
      <c r="DJ23" s="22">
        <v>0</v>
      </c>
      <c r="DK23" s="948"/>
      <c r="DL23" s="871"/>
      <c r="DM23" s="871"/>
      <c r="DN23" s="871"/>
      <c r="DO23" s="871"/>
      <c r="DP23" s="870"/>
      <c r="DQ23" s="870"/>
      <c r="DR23" s="870"/>
      <c r="DS23" s="870"/>
      <c r="DT23" s="870"/>
      <c r="DU23" s="870"/>
      <c r="DV23" s="870"/>
      <c r="DW23" s="870"/>
      <c r="DX23" s="22">
        <v>0</v>
      </c>
    </row>
    <row r="24" spans="1:128" ht="18.75">
      <c r="A24" s="19">
        <v>4</v>
      </c>
      <c r="B24" s="684" t="s">
        <v>37</v>
      </c>
      <c r="C24" s="903"/>
      <c r="D24" s="268">
        <v>34116</v>
      </c>
      <c r="E24" s="269">
        <v>29277</v>
      </c>
      <c r="F24" s="269">
        <v>43008</v>
      </c>
      <c r="G24" s="269">
        <v>30524</v>
      </c>
      <c r="H24" s="269">
        <v>33235</v>
      </c>
      <c r="I24" s="269">
        <v>39842</v>
      </c>
      <c r="J24" s="269">
        <v>41021</v>
      </c>
      <c r="K24" s="269">
        <v>31224</v>
      </c>
      <c r="L24" s="269"/>
      <c r="M24" s="269">
        <v>10286</v>
      </c>
      <c r="N24" s="269"/>
      <c r="O24" s="269"/>
      <c r="P24" s="266"/>
      <c r="Q24" s="21"/>
      <c r="R24" s="268">
        <v>35516</v>
      </c>
      <c r="S24" s="270">
        <v>35962</v>
      </c>
      <c r="T24" s="270">
        <v>35962</v>
      </c>
      <c r="U24" s="270">
        <v>35962</v>
      </c>
      <c r="V24" s="270">
        <v>35000</v>
      </c>
      <c r="W24" s="270"/>
      <c r="X24" s="270">
        <v>6123</v>
      </c>
      <c r="Y24" s="270">
        <v>6123</v>
      </c>
      <c r="Z24" s="270">
        <v>4187</v>
      </c>
      <c r="AA24" s="270">
        <v>2745</v>
      </c>
      <c r="AB24" s="270"/>
      <c r="AC24" s="270"/>
      <c r="AD24" s="267"/>
      <c r="AE24" s="23"/>
      <c r="AF24" s="270">
        <v>8366</v>
      </c>
      <c r="AG24" s="270">
        <v>11534</v>
      </c>
      <c r="AH24" s="270">
        <v>11507</v>
      </c>
      <c r="AI24" s="270">
        <v>9148</v>
      </c>
      <c r="AJ24" s="22">
        <v>8524</v>
      </c>
      <c r="AK24" s="270">
        <v>25290</v>
      </c>
      <c r="AL24" s="270">
        <v>91080</v>
      </c>
      <c r="AM24" s="270">
        <v>66830</v>
      </c>
      <c r="AN24" s="270">
        <v>36866</v>
      </c>
      <c r="AO24" s="270">
        <v>16173</v>
      </c>
      <c r="AP24" s="271">
        <v>178274</v>
      </c>
      <c r="AQ24" s="270">
        <v>210665</v>
      </c>
      <c r="AR24" s="22">
        <f t="shared" si="11"/>
        <v>210665</v>
      </c>
      <c r="AS24" s="23"/>
      <c r="AT24" s="270">
        <v>121075</v>
      </c>
      <c r="AU24" s="270">
        <v>149376</v>
      </c>
      <c r="AV24" s="270">
        <v>104538</v>
      </c>
      <c r="AW24" s="270">
        <v>105262</v>
      </c>
      <c r="AX24" s="270">
        <v>121073</v>
      </c>
      <c r="AY24" s="270">
        <v>163931</v>
      </c>
      <c r="AZ24" s="270">
        <v>109964</v>
      </c>
      <c r="BA24" s="270">
        <v>148266</v>
      </c>
      <c r="BB24" s="26">
        <v>130697</v>
      </c>
      <c r="BC24" s="270">
        <v>113779</v>
      </c>
      <c r="BD24" s="270">
        <v>91119</v>
      </c>
      <c r="BE24" s="270">
        <v>103286</v>
      </c>
      <c r="BF24" s="22">
        <f t="shared" si="13"/>
        <v>103286</v>
      </c>
      <c r="BG24" s="27"/>
      <c r="BH24" s="270">
        <v>49631</v>
      </c>
      <c r="BI24" s="270">
        <v>52953</v>
      </c>
      <c r="BJ24" s="270">
        <v>28440</v>
      </c>
      <c r="BK24" s="270">
        <v>83601</v>
      </c>
      <c r="BL24" s="22">
        <v>25812</v>
      </c>
      <c r="BM24" s="22">
        <v>59545</v>
      </c>
      <c r="BN24" s="22">
        <v>83435</v>
      </c>
      <c r="BO24" s="22">
        <v>34041</v>
      </c>
      <c r="BP24" s="22">
        <v>22399</v>
      </c>
      <c r="BQ24" s="22">
        <v>24887</v>
      </c>
      <c r="BR24" s="22">
        <v>12183</v>
      </c>
      <c r="BS24" s="22">
        <v>12183</v>
      </c>
      <c r="BT24" s="22">
        <f t="shared" si="41"/>
        <v>12183</v>
      </c>
      <c r="BU24" s="28"/>
      <c r="BV24" s="270"/>
      <c r="BW24" s="270"/>
      <c r="BX24" s="270"/>
      <c r="BY24" s="270"/>
      <c r="BZ24" s="22"/>
      <c r="CA24" s="22"/>
      <c r="CB24" s="22"/>
      <c r="CC24" s="22"/>
      <c r="CD24" s="22">
        <v>6361</v>
      </c>
      <c r="CE24" s="22">
        <v>7759</v>
      </c>
      <c r="CF24" s="22">
        <v>6573</v>
      </c>
      <c r="CG24" s="22">
        <v>9541</v>
      </c>
      <c r="CH24" s="22">
        <f t="shared" si="31"/>
        <v>9541</v>
      </c>
      <c r="CI24">
        <f>CI19+CI22-CI23</f>
        <v>122500</v>
      </c>
      <c r="CJ24" s="270">
        <v>9582</v>
      </c>
      <c r="CK24" s="270">
        <v>7266</v>
      </c>
      <c r="CL24" s="270">
        <v>11364</v>
      </c>
      <c r="CM24" s="270">
        <v>10698</v>
      </c>
      <c r="CN24" s="22"/>
      <c r="CO24" s="22"/>
      <c r="CP24" s="22"/>
      <c r="CQ24" s="22"/>
      <c r="CR24" s="22"/>
      <c r="CS24" s="22">
        <v>2650</v>
      </c>
      <c r="CT24" s="22"/>
      <c r="CU24" s="22"/>
      <c r="CV24" s="22">
        <v>0</v>
      </c>
      <c r="CW24" s="758"/>
      <c r="CX24" s="871"/>
      <c r="CY24" s="871"/>
      <c r="CZ24" s="871"/>
      <c r="DA24" s="871"/>
      <c r="DB24" s="870"/>
      <c r="DC24" s="870"/>
      <c r="DD24" s="870"/>
      <c r="DE24" s="870"/>
      <c r="DF24" s="870"/>
      <c r="DG24" s="870"/>
      <c r="DH24" s="870"/>
      <c r="DI24" s="870"/>
      <c r="DJ24" s="22">
        <v>0</v>
      </c>
      <c r="DK24" s="948"/>
      <c r="DL24" s="871"/>
      <c r="DM24" s="871"/>
      <c r="DN24" s="871"/>
      <c r="DO24" s="871"/>
      <c r="DP24" s="870"/>
      <c r="DQ24" s="870"/>
      <c r="DR24" s="870"/>
      <c r="DS24" s="870"/>
      <c r="DT24" s="870"/>
      <c r="DU24" s="870"/>
      <c r="DV24" s="870"/>
      <c r="DW24" s="870"/>
      <c r="DX24" s="22">
        <v>0</v>
      </c>
    </row>
    <row r="25" spans="1:128" ht="18.75">
      <c r="A25" s="19">
        <v>1</v>
      </c>
      <c r="B25" s="904" t="s">
        <v>38</v>
      </c>
      <c r="C25" s="905"/>
      <c r="D25" s="265">
        <v>6409</v>
      </c>
      <c r="E25" s="20">
        <v>6860</v>
      </c>
      <c r="F25" s="20">
        <v>4970</v>
      </c>
      <c r="G25" s="20">
        <v>31203</v>
      </c>
      <c r="H25" s="20">
        <v>31499</v>
      </c>
      <c r="I25" s="20">
        <v>25903</v>
      </c>
      <c r="J25" s="20">
        <v>18606</v>
      </c>
      <c r="K25" s="20">
        <v>16014</v>
      </c>
      <c r="L25" s="20">
        <v>13416</v>
      </c>
      <c r="M25" s="20">
        <v>40079</v>
      </c>
      <c r="N25" s="20"/>
      <c r="O25" s="20">
        <v>0</v>
      </c>
      <c r="P25" s="266"/>
      <c r="Q25" s="21"/>
      <c r="R25" s="265">
        <v>3376</v>
      </c>
      <c r="S25" s="22">
        <v>11736</v>
      </c>
      <c r="T25" s="22">
        <v>22454</v>
      </c>
      <c r="U25" s="22">
        <v>21384</v>
      </c>
      <c r="V25" s="22">
        <v>66870</v>
      </c>
      <c r="W25" s="22">
        <v>73769</v>
      </c>
      <c r="X25" s="22">
        <v>13944</v>
      </c>
      <c r="Y25" s="22">
        <v>32750</v>
      </c>
      <c r="Z25" s="22">
        <v>18536</v>
      </c>
      <c r="AA25" s="22">
        <v>40211</v>
      </c>
      <c r="AB25" s="22">
        <v>44457</v>
      </c>
      <c r="AC25" s="22">
        <v>24504</v>
      </c>
      <c r="AD25" s="267"/>
      <c r="AE25" s="23"/>
      <c r="AF25" s="22">
        <v>18586</v>
      </c>
      <c r="AG25" s="22">
        <v>17539</v>
      </c>
      <c r="AH25" s="22">
        <v>20245</v>
      </c>
      <c r="AI25" s="22">
        <v>17669</v>
      </c>
      <c r="AJ25" s="22">
        <v>16769</v>
      </c>
      <c r="AK25" s="22">
        <v>31134</v>
      </c>
      <c r="AL25" s="22">
        <v>35711</v>
      </c>
      <c r="AM25" s="22">
        <v>29141</v>
      </c>
      <c r="AN25" s="22">
        <v>25307</v>
      </c>
      <c r="AO25" s="22">
        <v>35964</v>
      </c>
      <c r="AP25" s="25">
        <v>37378</v>
      </c>
      <c r="AQ25" s="22">
        <v>22159</v>
      </c>
      <c r="AR25" s="22">
        <f t="shared" si="11"/>
        <v>22159</v>
      </c>
      <c r="AS25" s="23"/>
      <c r="AT25" s="22">
        <v>24034</v>
      </c>
      <c r="AU25" s="270">
        <v>22061</v>
      </c>
      <c r="AV25" s="22">
        <v>22489</v>
      </c>
      <c r="AW25" s="22">
        <v>25124</v>
      </c>
      <c r="AX25" s="22">
        <v>22794</v>
      </c>
      <c r="AY25" s="22">
        <v>17777</v>
      </c>
      <c r="AZ25" s="22">
        <v>34345</v>
      </c>
      <c r="BA25" s="22">
        <v>17580</v>
      </c>
      <c r="BB25" s="26">
        <v>26992</v>
      </c>
      <c r="BC25" s="22">
        <v>21373</v>
      </c>
      <c r="BD25" s="22">
        <v>21202</v>
      </c>
      <c r="BE25" s="22">
        <v>19109</v>
      </c>
      <c r="BF25" s="22">
        <f t="shared" si="13"/>
        <v>19109</v>
      </c>
      <c r="BG25" s="27"/>
      <c r="BH25" s="22">
        <v>22216</v>
      </c>
      <c r="BI25" s="270">
        <v>19102</v>
      </c>
      <c r="BJ25" s="22">
        <v>20676</v>
      </c>
      <c r="BK25" s="22">
        <v>19892</v>
      </c>
      <c r="BL25" s="22">
        <v>48737</v>
      </c>
      <c r="BM25" s="22">
        <v>45521</v>
      </c>
      <c r="BN25" s="22">
        <v>41781</v>
      </c>
      <c r="BO25" s="22">
        <v>48019</v>
      </c>
      <c r="BP25" s="22">
        <v>43955</v>
      </c>
      <c r="BQ25" s="22">
        <v>41505</v>
      </c>
      <c r="BR25" s="22">
        <v>28306</v>
      </c>
      <c r="BS25" s="22">
        <v>23731</v>
      </c>
      <c r="BT25" s="22">
        <f t="shared" si="41"/>
        <v>23731</v>
      </c>
      <c r="BU25" s="28"/>
      <c r="BV25" s="22">
        <v>28505</v>
      </c>
      <c r="BW25" s="270">
        <v>25054</v>
      </c>
      <c r="BX25" s="22">
        <v>24396</v>
      </c>
      <c r="BY25" s="22">
        <v>21708</v>
      </c>
      <c r="BZ25" s="22">
        <v>17857</v>
      </c>
      <c r="CA25" s="22">
        <v>33103</v>
      </c>
      <c r="CB25" s="22">
        <v>29327</v>
      </c>
      <c r="CC25" s="22">
        <v>27562</v>
      </c>
      <c r="CD25" s="22">
        <v>19590</v>
      </c>
      <c r="CE25" s="22">
        <v>11730</v>
      </c>
      <c r="CF25" s="22">
        <v>10529</v>
      </c>
      <c r="CG25" s="22">
        <v>19978</v>
      </c>
      <c r="CH25" s="22">
        <f t="shared" si="31"/>
        <v>19978</v>
      </c>
      <c r="CJ25" s="22">
        <v>18456</v>
      </c>
      <c r="CK25" s="270">
        <v>15409</v>
      </c>
      <c r="CL25" s="22">
        <v>18755</v>
      </c>
      <c r="CM25" s="22">
        <v>15399</v>
      </c>
      <c r="CN25" s="22"/>
      <c r="CO25" s="22"/>
      <c r="CP25" s="22"/>
      <c r="CQ25" s="22"/>
      <c r="CR25" s="22"/>
      <c r="CS25" s="22">
        <v>14419</v>
      </c>
      <c r="CT25" s="22"/>
      <c r="CU25" s="22"/>
      <c r="CV25" s="22">
        <v>0</v>
      </c>
      <c r="CW25" s="758"/>
      <c r="CX25" s="870"/>
      <c r="CY25" s="871"/>
      <c r="CZ25" s="870"/>
      <c r="DA25" s="870"/>
      <c r="DB25" s="870"/>
      <c r="DC25" s="870"/>
      <c r="DD25" s="870"/>
      <c r="DE25" s="870"/>
      <c r="DF25" s="870"/>
      <c r="DG25" s="870"/>
      <c r="DH25" s="870"/>
      <c r="DI25" s="870"/>
      <c r="DJ25" s="22">
        <v>0</v>
      </c>
      <c r="DK25" s="948"/>
      <c r="DL25" s="870"/>
      <c r="DM25" s="871"/>
      <c r="DN25" s="870"/>
      <c r="DO25" s="870"/>
      <c r="DP25" s="870"/>
      <c r="DQ25" s="870"/>
      <c r="DR25" s="870"/>
      <c r="DS25" s="870"/>
      <c r="DT25" s="870"/>
      <c r="DU25" s="870"/>
      <c r="DV25" s="870"/>
      <c r="DW25" s="870"/>
      <c r="DX25" s="22">
        <v>0</v>
      </c>
    </row>
    <row r="26" spans="1:128" ht="18.75">
      <c r="A26" s="19">
        <v>0</v>
      </c>
      <c r="B26" s="904" t="s">
        <v>39</v>
      </c>
      <c r="C26" s="905"/>
      <c r="D26" s="265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66"/>
      <c r="Q26" s="21"/>
      <c r="R26" s="265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67"/>
      <c r="AE26" s="23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5"/>
      <c r="AQ26" s="22"/>
      <c r="AR26" s="22"/>
      <c r="AS26" s="23"/>
      <c r="AT26" s="22"/>
      <c r="AU26" s="270"/>
      <c r="AV26" s="22"/>
      <c r="AW26" s="22"/>
      <c r="AX26" s="22"/>
      <c r="AY26" s="22"/>
      <c r="AZ26" s="22"/>
      <c r="BA26" s="22"/>
      <c r="BB26" s="26"/>
      <c r="BC26" s="22"/>
      <c r="BD26" s="22"/>
      <c r="BE26" s="22"/>
      <c r="BF26" s="22"/>
      <c r="BG26" s="27"/>
      <c r="BH26" s="22"/>
      <c r="BI26" s="270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8"/>
      <c r="BV26" s="22"/>
      <c r="BW26" s="270"/>
      <c r="BX26" s="22"/>
      <c r="BY26" s="22"/>
      <c r="BZ26" s="22"/>
      <c r="CA26" s="22"/>
      <c r="CB26" s="22"/>
      <c r="CC26" s="22"/>
      <c r="CD26" s="22"/>
      <c r="CE26" s="22">
        <v>34501</v>
      </c>
      <c r="CF26" s="22">
        <v>18809</v>
      </c>
      <c r="CG26" s="22">
        <v>12618</v>
      </c>
      <c r="CH26" s="22"/>
      <c r="CJ26" s="22">
        <v>11940</v>
      </c>
      <c r="CK26" s="270">
        <v>19956</v>
      </c>
      <c r="CL26" s="22">
        <v>15650</v>
      </c>
      <c r="CM26" s="22">
        <v>12005</v>
      </c>
      <c r="CN26" s="22"/>
      <c r="CO26" s="22"/>
      <c r="CP26" s="22"/>
      <c r="CQ26" s="22"/>
      <c r="CR26" s="22"/>
      <c r="CS26" s="22">
        <v>6064</v>
      </c>
      <c r="CT26" s="22"/>
      <c r="CU26" s="22"/>
      <c r="CV26" s="22"/>
      <c r="CW26" s="758"/>
      <c r="CX26" s="870"/>
      <c r="CY26" s="871"/>
      <c r="CZ26" s="870"/>
      <c r="DA26" s="870"/>
      <c r="DB26" s="870"/>
      <c r="DC26" s="870"/>
      <c r="DD26" s="870"/>
      <c r="DE26" s="870"/>
      <c r="DF26" s="870"/>
      <c r="DG26" s="870"/>
      <c r="DH26" s="870"/>
      <c r="DI26" s="870"/>
      <c r="DJ26" s="22"/>
      <c r="DK26" s="948"/>
      <c r="DL26" s="870"/>
      <c r="DM26" s="871"/>
      <c r="DN26" s="870"/>
      <c r="DO26" s="870"/>
      <c r="DP26" s="870"/>
      <c r="DQ26" s="870"/>
      <c r="DR26" s="870"/>
      <c r="DS26" s="870"/>
      <c r="DT26" s="870"/>
      <c r="DU26" s="870"/>
      <c r="DV26" s="870"/>
      <c r="DW26" s="870"/>
      <c r="DX26" s="22"/>
    </row>
    <row r="27" spans="1:128" ht="18.75">
      <c r="A27" s="19">
        <v>0</v>
      </c>
      <c r="B27" s="904" t="s">
        <v>40</v>
      </c>
      <c r="C27" s="905"/>
      <c r="D27" s="265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66"/>
      <c r="Q27" s="21"/>
      <c r="R27" s="265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67"/>
      <c r="AE27" s="23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5"/>
      <c r="AQ27" s="22"/>
      <c r="AR27" s="22"/>
      <c r="AS27" s="23"/>
      <c r="AT27" s="22"/>
      <c r="AU27" s="270"/>
      <c r="AV27" s="22"/>
      <c r="AW27" s="22"/>
      <c r="AX27" s="22"/>
      <c r="AY27" s="22"/>
      <c r="AZ27" s="22"/>
      <c r="BA27" s="22"/>
      <c r="BB27" s="26"/>
      <c r="BC27" s="22"/>
      <c r="BD27" s="22"/>
      <c r="BE27" s="22"/>
      <c r="BF27" s="22"/>
      <c r="BG27" s="27"/>
      <c r="BH27" s="22"/>
      <c r="BI27" s="270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8"/>
      <c r="BV27" s="22"/>
      <c r="BW27" s="270"/>
      <c r="BX27" s="22"/>
      <c r="BY27" s="22"/>
      <c r="BZ27" s="22"/>
      <c r="CA27" s="22"/>
      <c r="CB27" s="22"/>
      <c r="CC27" s="22"/>
      <c r="CD27" s="22"/>
      <c r="CE27" s="22">
        <v>12837</v>
      </c>
      <c r="CF27" s="22">
        <v>11839</v>
      </c>
      <c r="CG27" s="22">
        <v>20519</v>
      </c>
      <c r="CH27" s="22"/>
      <c r="CJ27" s="22">
        <v>17816</v>
      </c>
      <c r="CK27" s="270">
        <v>17432</v>
      </c>
      <c r="CL27" s="22">
        <v>21670</v>
      </c>
      <c r="CM27" s="22">
        <v>19092</v>
      </c>
      <c r="CN27" s="22"/>
      <c r="CO27" s="22"/>
      <c r="CP27" s="22"/>
      <c r="CQ27" s="22"/>
      <c r="CR27" s="22"/>
      <c r="CS27" s="22">
        <v>20858</v>
      </c>
      <c r="CT27" s="22"/>
      <c r="CU27" s="22"/>
      <c r="CV27" s="22"/>
      <c r="CW27" s="758"/>
      <c r="CX27" s="870"/>
      <c r="CY27" s="871"/>
      <c r="CZ27" s="870"/>
      <c r="DA27" s="870"/>
      <c r="DB27" s="870"/>
      <c r="DC27" s="870"/>
      <c r="DD27" s="870"/>
      <c r="DE27" s="870"/>
      <c r="DF27" s="870"/>
      <c r="DG27" s="870"/>
      <c r="DH27" s="870"/>
      <c r="DI27" s="870"/>
      <c r="DJ27" s="22"/>
      <c r="DK27" s="948"/>
      <c r="DL27" s="870"/>
      <c r="DM27" s="871"/>
      <c r="DN27" s="870"/>
      <c r="DO27" s="870"/>
      <c r="DP27" s="870"/>
      <c r="DQ27" s="870"/>
      <c r="DR27" s="870"/>
      <c r="DS27" s="870"/>
      <c r="DT27" s="870"/>
      <c r="DU27" s="870"/>
      <c r="DV27" s="870"/>
      <c r="DW27" s="870"/>
      <c r="DX27" s="22"/>
    </row>
    <row r="28" spans="1:128" ht="18.75">
      <c r="A28" s="29"/>
      <c r="B28" s="906" t="s">
        <v>41</v>
      </c>
      <c r="C28" s="907"/>
      <c r="D28" s="274">
        <f t="shared" ref="D28:O28" si="42">D10-D23</f>
        <v>270670</v>
      </c>
      <c r="E28" s="30">
        <f t="shared" si="42"/>
        <v>282709</v>
      </c>
      <c r="F28" s="30">
        <f t="shared" si="42"/>
        <v>285223</v>
      </c>
      <c r="G28" s="30">
        <f t="shared" si="42"/>
        <v>287349</v>
      </c>
      <c r="H28" s="30">
        <f t="shared" si="42"/>
        <v>313961</v>
      </c>
      <c r="I28" s="30">
        <f t="shared" si="42"/>
        <v>362411</v>
      </c>
      <c r="J28" s="30">
        <f t="shared" si="42"/>
        <v>413467</v>
      </c>
      <c r="K28" s="30">
        <f t="shared" si="42"/>
        <v>415958</v>
      </c>
      <c r="L28" s="30">
        <f t="shared" si="42"/>
        <v>416931</v>
      </c>
      <c r="M28" s="30">
        <f t="shared" si="42"/>
        <v>294116</v>
      </c>
      <c r="N28" s="30">
        <f t="shared" si="42"/>
        <v>0</v>
      </c>
      <c r="O28" s="30">
        <f t="shared" si="42"/>
        <v>188264</v>
      </c>
      <c r="P28" s="275"/>
      <c r="Q28" s="31"/>
      <c r="R28" s="274">
        <f t="shared" ref="R28:AB28" si="43">R10-R23</f>
        <v>247843</v>
      </c>
      <c r="S28" s="32">
        <f t="shared" si="43"/>
        <v>306756</v>
      </c>
      <c r="T28" s="32">
        <f t="shared" si="43"/>
        <v>277250</v>
      </c>
      <c r="U28" s="32">
        <f t="shared" si="43"/>
        <v>262131</v>
      </c>
      <c r="V28" s="32">
        <f t="shared" si="43"/>
        <v>171617</v>
      </c>
      <c r="W28" s="32">
        <f t="shared" si="43"/>
        <v>235875</v>
      </c>
      <c r="X28" s="32">
        <f t="shared" si="43"/>
        <v>354012</v>
      </c>
      <c r="Y28" s="32">
        <f t="shared" si="43"/>
        <v>355542</v>
      </c>
      <c r="Z28" s="32">
        <f t="shared" si="43"/>
        <v>349213</v>
      </c>
      <c r="AA28" s="32">
        <f t="shared" si="43"/>
        <v>269352</v>
      </c>
      <c r="AB28" s="32">
        <f t="shared" si="43"/>
        <v>170626</v>
      </c>
      <c r="AC28" s="32"/>
      <c r="AD28" s="276"/>
      <c r="AE28" s="17"/>
      <c r="AF28" s="32">
        <f t="shared" ref="AF28:AQ28" si="44">AF10-AF23</f>
        <v>246973</v>
      </c>
      <c r="AG28" s="32">
        <f t="shared" si="44"/>
        <v>281087</v>
      </c>
      <c r="AH28" s="32">
        <f t="shared" si="44"/>
        <v>386469</v>
      </c>
      <c r="AI28" s="32">
        <f t="shared" si="44"/>
        <v>379017</v>
      </c>
      <c r="AJ28" s="32">
        <f t="shared" si="44"/>
        <v>400777</v>
      </c>
      <c r="AK28" s="32">
        <f t="shared" si="44"/>
        <v>465623</v>
      </c>
      <c r="AL28" s="32">
        <f t="shared" si="44"/>
        <v>472149</v>
      </c>
      <c r="AM28" s="32">
        <f t="shared" si="44"/>
        <v>492339</v>
      </c>
      <c r="AN28" s="32">
        <f t="shared" si="44"/>
        <v>450428</v>
      </c>
      <c r="AO28" s="32">
        <f t="shared" si="44"/>
        <v>391441</v>
      </c>
      <c r="AP28" s="32">
        <f t="shared" si="44"/>
        <v>325482</v>
      </c>
      <c r="AQ28" s="32">
        <f t="shared" si="44"/>
        <v>321014</v>
      </c>
      <c r="AR28" s="32">
        <f t="shared" si="11"/>
        <v>321014</v>
      </c>
      <c r="AS28" s="17"/>
      <c r="AT28" s="32">
        <f t="shared" ref="AT28:BE28" si="45">AT10-AT23</f>
        <v>350303</v>
      </c>
      <c r="AU28" s="32">
        <f t="shared" si="45"/>
        <v>323931</v>
      </c>
      <c r="AV28" s="32">
        <f t="shared" si="45"/>
        <v>307980</v>
      </c>
      <c r="AW28" s="32">
        <f t="shared" si="45"/>
        <v>292777</v>
      </c>
      <c r="AX28" s="32">
        <f t="shared" si="45"/>
        <v>296754</v>
      </c>
      <c r="AY28" s="32">
        <f t="shared" si="45"/>
        <v>344037</v>
      </c>
      <c r="AZ28" s="32">
        <f t="shared" si="45"/>
        <v>367566</v>
      </c>
      <c r="BA28" s="32">
        <f t="shared" si="45"/>
        <v>372442</v>
      </c>
      <c r="BB28" s="32">
        <f t="shared" si="45"/>
        <v>375154</v>
      </c>
      <c r="BC28" s="32">
        <f t="shared" si="45"/>
        <v>340466</v>
      </c>
      <c r="BD28" s="32">
        <f t="shared" si="45"/>
        <v>314581</v>
      </c>
      <c r="BE28" s="32">
        <f t="shared" si="45"/>
        <v>253219</v>
      </c>
      <c r="BF28" s="32">
        <f t="shared" si="13"/>
        <v>253219</v>
      </c>
      <c r="BG28" s="17"/>
      <c r="BH28" s="32">
        <f t="shared" ref="BH28:BQ28" si="46">BH10-BH23</f>
        <v>307512</v>
      </c>
      <c r="BI28" s="32">
        <f t="shared" si="46"/>
        <v>302058</v>
      </c>
      <c r="BJ28" s="32">
        <f t="shared" si="46"/>
        <v>315841</v>
      </c>
      <c r="BK28" s="32">
        <f t="shared" si="46"/>
        <v>306027</v>
      </c>
      <c r="BL28" s="32">
        <f t="shared" si="46"/>
        <v>299077</v>
      </c>
      <c r="BM28" s="32">
        <f t="shared" si="46"/>
        <v>293121</v>
      </c>
      <c r="BN28" s="32">
        <f t="shared" si="46"/>
        <v>335286</v>
      </c>
      <c r="BO28" s="32">
        <f t="shared" si="46"/>
        <v>322561</v>
      </c>
      <c r="BP28" s="32">
        <f t="shared" si="46"/>
        <v>304307</v>
      </c>
      <c r="BQ28" s="32">
        <f t="shared" si="46"/>
        <v>280100</v>
      </c>
      <c r="BR28" s="32">
        <f>BR10-BR23</f>
        <v>215852</v>
      </c>
      <c r="BS28" s="32">
        <f>BS10-BS23</f>
        <v>188982</v>
      </c>
      <c r="BT28" s="32">
        <f>BS28</f>
        <v>188982</v>
      </c>
      <c r="BU28" s="28"/>
      <c r="BV28" s="32">
        <f t="shared" ref="BV28:CC28" si="47">BV19-BV23-BV24</f>
        <v>146255</v>
      </c>
      <c r="BW28" s="32">
        <f t="shared" si="47"/>
        <v>155653</v>
      </c>
      <c r="BX28" s="32">
        <f t="shared" si="47"/>
        <v>86338</v>
      </c>
      <c r="BY28" s="32">
        <f t="shared" si="47"/>
        <v>106862</v>
      </c>
      <c r="BZ28" s="32">
        <f t="shared" si="47"/>
        <v>112822</v>
      </c>
      <c r="CA28" s="32">
        <f t="shared" si="47"/>
        <v>149996</v>
      </c>
      <c r="CB28" s="32">
        <f t="shared" si="47"/>
        <v>145027</v>
      </c>
      <c r="CC28" s="32">
        <f t="shared" si="47"/>
        <v>102851</v>
      </c>
      <c r="CD28" s="32">
        <f>CD19-CD23-CD24</f>
        <v>116047</v>
      </c>
      <c r="CE28" s="32">
        <f>CE19-CE23-CE24</f>
        <v>86207</v>
      </c>
      <c r="CF28" s="32">
        <f>CF19-CF23-CF24</f>
        <v>109973</v>
      </c>
      <c r="CG28" s="32">
        <f>CG19-CG23-CG24</f>
        <v>94532</v>
      </c>
      <c r="CH28" s="32">
        <f t="shared" ref="CH28" si="48">CH19-CH23-CH24</f>
        <v>94532</v>
      </c>
      <c r="CJ28" s="32">
        <f t="shared" ref="CJ28:CU28" si="49">CJ19-CJ23-CJ24</f>
        <v>78423</v>
      </c>
      <c r="CK28" s="32">
        <f t="shared" si="49"/>
        <v>78497</v>
      </c>
      <c r="CL28" s="32">
        <f t="shared" si="49"/>
        <v>75052</v>
      </c>
      <c r="CM28" s="32">
        <f t="shared" si="49"/>
        <v>121130</v>
      </c>
      <c r="CN28" s="32">
        <f t="shared" si="49"/>
        <v>175907.8879612374</v>
      </c>
      <c r="CO28" s="32">
        <f t="shared" si="49"/>
        <v>238961.73306000742</v>
      </c>
      <c r="CP28" s="32">
        <f t="shared" si="49"/>
        <v>271844.22259587242</v>
      </c>
      <c r="CQ28" s="32">
        <f t="shared" si="49"/>
        <v>249838.52867182181</v>
      </c>
      <c r="CR28" s="32">
        <f t="shared" si="49"/>
        <v>201980.33782793995</v>
      </c>
      <c r="CS28" s="32">
        <f t="shared" si="49"/>
        <v>62966</v>
      </c>
      <c r="CT28" s="32">
        <f t="shared" si="49"/>
        <v>101848.14995780593</v>
      </c>
      <c r="CU28" s="32">
        <f t="shared" si="49"/>
        <v>111197.32717299581</v>
      </c>
      <c r="CV28" s="32">
        <v>116080.10690622788</v>
      </c>
      <c r="CW28" s="758"/>
      <c r="CX28" s="872">
        <v>242497</v>
      </c>
      <c r="CY28" s="872">
        <v>234422.08006563294</v>
      </c>
      <c r="CZ28" s="872">
        <v>194348.7132915963</v>
      </c>
      <c r="DA28" s="872">
        <v>223062.99421980139</v>
      </c>
      <c r="DB28" s="872">
        <v>228884.86858944659</v>
      </c>
      <c r="DC28" s="872">
        <v>240669.78918926936</v>
      </c>
      <c r="DD28" s="872">
        <v>234679.65868928705</v>
      </c>
      <c r="DE28" s="872">
        <v>197008.01236523816</v>
      </c>
      <c r="DF28" s="872">
        <v>148007.96159444697</v>
      </c>
      <c r="DG28" s="872">
        <v>111276.29521213027</v>
      </c>
      <c r="DH28" s="872">
        <v>93072.105643725808</v>
      </c>
      <c r="DI28" s="872">
        <v>116080.10690622788</v>
      </c>
      <c r="DJ28" s="32">
        <v>116080.10690622788</v>
      </c>
      <c r="DK28" s="948"/>
      <c r="DL28" s="872">
        <v>242497</v>
      </c>
      <c r="DM28" s="872">
        <v>234422.08006563294</v>
      </c>
      <c r="DN28" s="872">
        <v>194348.7132915963</v>
      </c>
      <c r="DO28" s="872">
        <v>223062.99421980139</v>
      </c>
      <c r="DP28" s="872">
        <v>228884.86858944659</v>
      </c>
      <c r="DQ28" s="872">
        <v>240669.78918926936</v>
      </c>
      <c r="DR28" s="872">
        <v>234679.65868928705</v>
      </c>
      <c r="DS28" s="872">
        <v>197008.01236523816</v>
      </c>
      <c r="DT28" s="872">
        <v>148007.96159444697</v>
      </c>
      <c r="DU28" s="872">
        <v>111276.29521213027</v>
      </c>
      <c r="DV28" s="872">
        <v>93072.105643725808</v>
      </c>
      <c r="DW28" s="872">
        <v>116080.10690622788</v>
      </c>
      <c r="DX28" s="32">
        <v>116080.10690622788</v>
      </c>
    </row>
    <row r="29" spans="1:128" ht="18.75">
      <c r="A29" s="13" t="s">
        <v>42</v>
      </c>
      <c r="B29" s="908"/>
      <c r="C29" s="909" t="s">
        <v>43</v>
      </c>
      <c r="D29" s="277">
        <f>D19-D23</f>
        <v>162884</v>
      </c>
      <c r="E29" s="33">
        <f t="shared" ref="E29:O29" si="50">E19+E25-E23-E66</f>
        <v>200610</v>
      </c>
      <c r="F29" s="33">
        <f t="shared" si="50"/>
        <v>192475</v>
      </c>
      <c r="G29" s="33">
        <f t="shared" si="50"/>
        <v>231853</v>
      </c>
      <c r="H29" s="33">
        <f t="shared" si="50"/>
        <v>253292</v>
      </c>
      <c r="I29" s="33">
        <f t="shared" si="50"/>
        <v>305688</v>
      </c>
      <c r="J29" s="33">
        <f t="shared" si="50"/>
        <v>355297</v>
      </c>
      <c r="K29" s="33">
        <f t="shared" si="50"/>
        <v>367201</v>
      </c>
      <c r="L29" s="33">
        <f t="shared" si="50"/>
        <v>407523</v>
      </c>
      <c r="M29" s="33">
        <f t="shared" si="50"/>
        <v>297747</v>
      </c>
      <c r="N29" s="33">
        <f t="shared" si="50"/>
        <v>0</v>
      </c>
      <c r="O29" s="33">
        <f t="shared" si="50"/>
        <v>143875</v>
      </c>
      <c r="P29" s="262">
        <f>J29</f>
        <v>355297</v>
      </c>
      <c r="Q29" s="15"/>
      <c r="R29" s="277">
        <f>R19-R23</f>
        <v>172568</v>
      </c>
      <c r="S29" s="14">
        <f t="shared" ref="S29:AC29" si="51">S19+S25-S23-S66</f>
        <v>244205</v>
      </c>
      <c r="T29" s="14">
        <f t="shared" si="51"/>
        <v>237108</v>
      </c>
      <c r="U29" s="14">
        <f t="shared" si="51"/>
        <v>222510</v>
      </c>
      <c r="V29" s="14">
        <f t="shared" si="51"/>
        <v>179647</v>
      </c>
      <c r="W29" s="14">
        <f t="shared" si="51"/>
        <v>289587</v>
      </c>
      <c r="X29" s="14">
        <f t="shared" si="51"/>
        <v>281331</v>
      </c>
      <c r="Y29" s="14">
        <f t="shared" si="51"/>
        <v>325686</v>
      </c>
      <c r="Z29" s="14">
        <f t="shared" si="51"/>
        <v>319329</v>
      </c>
      <c r="AA29" s="14">
        <f t="shared" si="51"/>
        <v>268663</v>
      </c>
      <c r="AB29" s="14">
        <f t="shared" si="51"/>
        <v>187543</v>
      </c>
      <c r="AC29" s="14">
        <f t="shared" si="51"/>
        <v>196995</v>
      </c>
      <c r="AD29" s="263">
        <f>X29</f>
        <v>281331</v>
      </c>
      <c r="AE29" s="16"/>
      <c r="AF29" s="14">
        <f t="shared" ref="AF29:AQ29" si="52">AF19+AF23+AF22</f>
        <v>228387</v>
      </c>
      <c r="AG29" s="14">
        <f t="shared" si="52"/>
        <v>263548</v>
      </c>
      <c r="AH29" s="14">
        <f t="shared" si="52"/>
        <v>366224</v>
      </c>
      <c r="AI29" s="14">
        <f t="shared" si="52"/>
        <v>361348</v>
      </c>
      <c r="AJ29" s="14">
        <f t="shared" si="52"/>
        <v>384008</v>
      </c>
      <c r="AK29" s="14">
        <f t="shared" si="52"/>
        <v>434489</v>
      </c>
      <c r="AL29" s="14">
        <f t="shared" si="52"/>
        <v>436438</v>
      </c>
      <c r="AM29" s="14">
        <f t="shared" si="52"/>
        <v>463198</v>
      </c>
      <c r="AN29" s="14">
        <f t="shared" si="52"/>
        <v>425121</v>
      </c>
      <c r="AO29" s="14">
        <f t="shared" si="52"/>
        <v>355477</v>
      </c>
      <c r="AP29" s="14">
        <f t="shared" si="52"/>
        <v>288104</v>
      </c>
      <c r="AQ29" s="14">
        <f t="shared" si="52"/>
        <v>298855</v>
      </c>
      <c r="AR29" s="14">
        <f t="shared" si="11"/>
        <v>298855</v>
      </c>
      <c r="AS29" s="17"/>
      <c r="AT29" s="14">
        <f t="shared" ref="AT29:BE29" si="53">AT19+AT23+AT22</f>
        <v>326269</v>
      </c>
      <c r="AU29" s="14">
        <f t="shared" si="53"/>
        <v>301870</v>
      </c>
      <c r="AV29" s="14">
        <f t="shared" si="53"/>
        <v>285491</v>
      </c>
      <c r="AW29" s="14">
        <f t="shared" si="53"/>
        <v>267653</v>
      </c>
      <c r="AX29" s="14">
        <f t="shared" si="53"/>
        <v>273960</v>
      </c>
      <c r="AY29" s="14">
        <f t="shared" si="53"/>
        <v>326260</v>
      </c>
      <c r="AZ29" s="14">
        <f t="shared" si="53"/>
        <v>333221</v>
      </c>
      <c r="BA29" s="14">
        <f t="shared" si="53"/>
        <v>354862</v>
      </c>
      <c r="BB29" s="14">
        <f t="shared" si="53"/>
        <v>348162</v>
      </c>
      <c r="BC29" s="14">
        <f t="shared" si="53"/>
        <v>319093</v>
      </c>
      <c r="BD29" s="14">
        <f t="shared" si="53"/>
        <v>293379</v>
      </c>
      <c r="BE29" s="14">
        <f t="shared" si="53"/>
        <v>234110</v>
      </c>
      <c r="BF29" s="32">
        <f t="shared" ref="BF29:BF30" si="54">SUM(AT29:BE29)</f>
        <v>3664330</v>
      </c>
      <c r="BG29" s="17"/>
      <c r="BH29" s="14">
        <f t="shared" ref="BH29:BS29" si="55">BH19+BH23+BH22</f>
        <v>285296</v>
      </c>
      <c r="BI29" s="14">
        <f t="shared" si="55"/>
        <v>282956</v>
      </c>
      <c r="BJ29" s="14">
        <f t="shared" si="55"/>
        <v>295165</v>
      </c>
      <c r="BK29" s="14">
        <f t="shared" si="55"/>
        <v>286135</v>
      </c>
      <c r="BL29" s="14">
        <f t="shared" si="55"/>
        <v>250340</v>
      </c>
      <c r="BM29" s="14">
        <f t="shared" si="55"/>
        <v>247600</v>
      </c>
      <c r="BN29" s="14">
        <f t="shared" si="55"/>
        <v>293505</v>
      </c>
      <c r="BO29" s="14">
        <f t="shared" si="55"/>
        <v>274542</v>
      </c>
      <c r="BP29" s="14">
        <f t="shared" si="55"/>
        <v>260352</v>
      </c>
      <c r="BQ29" s="14">
        <f>BQ19+BQ23+BQ22</f>
        <v>238595</v>
      </c>
      <c r="BR29" s="14">
        <f t="shared" si="55"/>
        <v>187546</v>
      </c>
      <c r="BS29" s="14">
        <f t="shared" si="55"/>
        <v>189617</v>
      </c>
      <c r="BT29" s="14">
        <f t="shared" si="41"/>
        <v>189617</v>
      </c>
      <c r="BU29" s="18"/>
      <c r="BV29" s="14">
        <f>BV19+BV23+BV22</f>
        <v>171889</v>
      </c>
      <c r="BW29" s="14">
        <f>BW19+BW25+BW22</f>
        <v>193178</v>
      </c>
      <c r="BX29" s="14">
        <f>BX19+BX23+BX22</f>
        <v>228367</v>
      </c>
      <c r="BY29" s="14">
        <f>BY19+BY23+BY22</f>
        <v>261297</v>
      </c>
      <c r="BZ29" s="14">
        <f>BZ19+BZ23+BZ22</f>
        <v>277757</v>
      </c>
      <c r="CA29" s="14">
        <f>CA19+CA23+CA22</f>
        <v>329719</v>
      </c>
      <c r="CB29" s="14">
        <f>CB19+CB23+CB22</f>
        <v>316656</v>
      </c>
      <c r="CC29" s="14">
        <f>CC19+CC23+CC22</f>
        <v>290388</v>
      </c>
      <c r="CD29" s="14">
        <f>CD19+CD23+CD22</f>
        <v>185778</v>
      </c>
      <c r="CE29" s="14">
        <f>CE19+CE23+CE22</f>
        <v>153110</v>
      </c>
      <c r="CF29" s="14">
        <f>CF19+CF23+CF22</f>
        <v>170562</v>
      </c>
      <c r="CG29" s="14">
        <f>CG19+CG23+CG22</f>
        <v>167396</v>
      </c>
      <c r="CH29" s="14">
        <f t="shared" si="31"/>
        <v>167396</v>
      </c>
      <c r="CJ29" s="14">
        <v>224424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758"/>
      <c r="CX29" s="873">
        <v>224424</v>
      </c>
      <c r="CY29" s="873">
        <v>0</v>
      </c>
      <c r="CZ29" s="873">
        <v>0</v>
      </c>
      <c r="DA29" s="873">
        <v>0</v>
      </c>
      <c r="DB29" s="873">
        <v>0</v>
      </c>
      <c r="DC29" s="873">
        <v>0</v>
      </c>
      <c r="DD29" s="873">
        <v>0</v>
      </c>
      <c r="DE29" s="873">
        <v>0</v>
      </c>
      <c r="DF29" s="873">
        <v>0</v>
      </c>
      <c r="DG29" s="873">
        <v>0</v>
      </c>
      <c r="DH29" s="873">
        <v>0</v>
      </c>
      <c r="DI29" s="873">
        <v>0</v>
      </c>
      <c r="DJ29" s="14">
        <v>0</v>
      </c>
      <c r="DK29" s="948"/>
      <c r="DL29" s="873">
        <v>224424</v>
      </c>
      <c r="DM29" s="873">
        <v>0</v>
      </c>
      <c r="DN29" s="873">
        <v>0</v>
      </c>
      <c r="DO29" s="873">
        <v>0</v>
      </c>
      <c r="DP29" s="873">
        <v>0</v>
      </c>
      <c r="DQ29" s="873">
        <v>0</v>
      </c>
      <c r="DR29" s="873">
        <v>0</v>
      </c>
      <c r="DS29" s="873">
        <v>0</v>
      </c>
      <c r="DT29" s="873">
        <v>0</v>
      </c>
      <c r="DU29" s="873">
        <v>0</v>
      </c>
      <c r="DV29" s="873">
        <v>0</v>
      </c>
      <c r="DW29" s="873">
        <v>0</v>
      </c>
      <c r="DX29" s="14">
        <v>0</v>
      </c>
    </row>
    <row r="30" spans="1:128" ht="18.75">
      <c r="A30" s="34" t="s">
        <v>44</v>
      </c>
      <c r="B30" s="910"/>
      <c r="C30" s="911" t="s">
        <v>45</v>
      </c>
      <c r="D30" s="277">
        <f t="shared" ref="D30:O30" si="56">D10-D25-D23</f>
        <v>264261</v>
      </c>
      <c r="E30" s="33">
        <f t="shared" si="56"/>
        <v>275849</v>
      </c>
      <c r="F30" s="33">
        <f t="shared" si="56"/>
        <v>280253</v>
      </c>
      <c r="G30" s="33">
        <f t="shared" si="56"/>
        <v>256146</v>
      </c>
      <c r="H30" s="33">
        <f t="shared" si="56"/>
        <v>282462</v>
      </c>
      <c r="I30" s="33">
        <f t="shared" si="56"/>
        <v>336508</v>
      </c>
      <c r="J30" s="33">
        <f t="shared" si="56"/>
        <v>394861</v>
      </c>
      <c r="K30" s="33">
        <f t="shared" si="56"/>
        <v>399944</v>
      </c>
      <c r="L30" s="33">
        <f t="shared" si="56"/>
        <v>403515</v>
      </c>
      <c r="M30" s="33">
        <f t="shared" si="56"/>
        <v>254037</v>
      </c>
      <c r="N30" s="33">
        <f t="shared" si="56"/>
        <v>0</v>
      </c>
      <c r="O30" s="33">
        <f t="shared" si="56"/>
        <v>188264</v>
      </c>
      <c r="P30" s="262">
        <f t="shared" ref="P30:P31" si="57">O30</f>
        <v>188264</v>
      </c>
      <c r="Q30" s="15"/>
      <c r="R30" s="277">
        <f t="shared" ref="R30:AC30" si="58">R10-R25-R23</f>
        <v>244467</v>
      </c>
      <c r="S30" s="14">
        <f t="shared" si="58"/>
        <v>295020</v>
      </c>
      <c r="T30" s="14">
        <f t="shared" si="58"/>
        <v>254796</v>
      </c>
      <c r="U30" s="14">
        <f t="shared" si="58"/>
        <v>240747</v>
      </c>
      <c r="V30" s="14">
        <f t="shared" si="58"/>
        <v>104747</v>
      </c>
      <c r="W30" s="14">
        <f t="shared" si="58"/>
        <v>162106</v>
      </c>
      <c r="X30" s="14">
        <f t="shared" si="58"/>
        <v>340068</v>
      </c>
      <c r="Y30" s="14">
        <f t="shared" si="58"/>
        <v>322792</v>
      </c>
      <c r="Z30" s="14">
        <f t="shared" si="58"/>
        <v>330677</v>
      </c>
      <c r="AA30" s="14">
        <f t="shared" si="58"/>
        <v>229141</v>
      </c>
      <c r="AB30" s="14">
        <f t="shared" si="58"/>
        <v>126169</v>
      </c>
      <c r="AC30" s="14">
        <f t="shared" si="58"/>
        <v>173047</v>
      </c>
      <c r="AD30" s="263">
        <f t="shared" ref="AD30:AD31" si="59">AC30</f>
        <v>173047</v>
      </c>
      <c r="AE30" s="16"/>
      <c r="AF30" s="261">
        <f t="shared" ref="AF30:AQ30" si="60">AF29-AF23</f>
        <v>220021</v>
      </c>
      <c r="AG30" s="261">
        <f t="shared" si="60"/>
        <v>252014</v>
      </c>
      <c r="AH30" s="261">
        <f t="shared" si="60"/>
        <v>354717</v>
      </c>
      <c r="AI30" s="261">
        <f t="shared" si="60"/>
        <v>352200</v>
      </c>
      <c r="AJ30" s="261">
        <f t="shared" si="60"/>
        <v>375484</v>
      </c>
      <c r="AK30" s="261">
        <f t="shared" si="60"/>
        <v>409199</v>
      </c>
      <c r="AL30" s="261">
        <f t="shared" si="60"/>
        <v>345358</v>
      </c>
      <c r="AM30" s="261">
        <f t="shared" si="60"/>
        <v>396368</v>
      </c>
      <c r="AN30" s="261">
        <f t="shared" si="60"/>
        <v>388255</v>
      </c>
      <c r="AO30" s="261">
        <f t="shared" si="60"/>
        <v>339304</v>
      </c>
      <c r="AP30" s="261">
        <f t="shared" si="60"/>
        <v>109830</v>
      </c>
      <c r="AQ30" s="261">
        <f t="shared" si="60"/>
        <v>88190</v>
      </c>
      <c r="AR30" s="14">
        <f t="shared" si="11"/>
        <v>88190</v>
      </c>
      <c r="AS30" s="17"/>
      <c r="AT30" s="261">
        <f t="shared" ref="AT30:BE30" si="61">AT29-AT23</f>
        <v>205194</v>
      </c>
      <c r="AU30" s="261">
        <f t="shared" si="61"/>
        <v>152494</v>
      </c>
      <c r="AV30" s="261">
        <f t="shared" si="61"/>
        <v>180953</v>
      </c>
      <c r="AW30" s="261">
        <f t="shared" si="61"/>
        <v>162391</v>
      </c>
      <c r="AX30" s="261">
        <f t="shared" si="61"/>
        <v>152887</v>
      </c>
      <c r="AY30" s="261">
        <f t="shared" si="61"/>
        <v>162329</v>
      </c>
      <c r="AZ30" s="261">
        <f t="shared" si="61"/>
        <v>223257</v>
      </c>
      <c r="BA30" s="261">
        <f t="shared" si="61"/>
        <v>206596</v>
      </c>
      <c r="BB30" s="261">
        <f t="shared" si="61"/>
        <v>217465</v>
      </c>
      <c r="BC30" s="261">
        <f t="shared" si="61"/>
        <v>205314</v>
      </c>
      <c r="BD30" s="261">
        <f t="shared" si="61"/>
        <v>202260</v>
      </c>
      <c r="BE30" s="261">
        <f t="shared" si="61"/>
        <v>130824</v>
      </c>
      <c r="BF30" s="32">
        <f t="shared" si="54"/>
        <v>2201964</v>
      </c>
      <c r="BG30" s="35">
        <f>SUM(AT33:AY33)/SUM(AF67:AK67)-1</f>
        <v>0.2283258050797119</v>
      </c>
      <c r="BH30" s="416">
        <f t="shared" ref="BH30:BS30" si="62">BH29-BH23</f>
        <v>235665</v>
      </c>
      <c r="BI30" s="416">
        <f t="shared" si="62"/>
        <v>230003</v>
      </c>
      <c r="BJ30" s="416">
        <f t="shared" si="62"/>
        <v>266725</v>
      </c>
      <c r="BK30" s="416">
        <f t="shared" si="62"/>
        <v>202534</v>
      </c>
      <c r="BL30" s="417">
        <f t="shared" si="62"/>
        <v>224528</v>
      </c>
      <c r="BM30" s="417">
        <f t="shared" si="62"/>
        <v>188055</v>
      </c>
      <c r="BN30" s="417">
        <f t="shared" si="62"/>
        <v>210070</v>
      </c>
      <c r="BO30" s="417">
        <f t="shared" si="62"/>
        <v>240501</v>
      </c>
      <c r="BP30" s="417">
        <f t="shared" si="62"/>
        <v>237953</v>
      </c>
      <c r="BQ30" s="417">
        <f t="shared" si="62"/>
        <v>213708</v>
      </c>
      <c r="BR30" s="417">
        <f t="shared" si="62"/>
        <v>175363</v>
      </c>
      <c r="BS30" s="417">
        <f t="shared" si="62"/>
        <v>177434</v>
      </c>
      <c r="BT30" s="417">
        <f t="shared" si="41"/>
        <v>177434</v>
      </c>
      <c r="BU30" s="18"/>
      <c r="BV30" s="261">
        <f>BV29-BV23</f>
        <v>166673</v>
      </c>
      <c r="BW30" s="261">
        <f>BW29-BW23</f>
        <v>193178</v>
      </c>
      <c r="BX30" s="261">
        <f>BX29-BX23</f>
        <v>163094</v>
      </c>
      <c r="BY30" s="416">
        <f>BY29-BY23</f>
        <v>191115</v>
      </c>
      <c r="BZ30" s="417">
        <f>BZ29-BZ23</f>
        <v>220098</v>
      </c>
      <c r="CA30" s="417">
        <f>CA29-CA23</f>
        <v>258050</v>
      </c>
      <c r="CB30" s="417">
        <f>CB29-CB23</f>
        <v>243578</v>
      </c>
      <c r="CC30" s="417">
        <f>CC29-CC23</f>
        <v>205086</v>
      </c>
      <c r="CD30" s="417">
        <f>CD29-CD23</f>
        <v>160435</v>
      </c>
      <c r="CE30" s="417">
        <f>CE29-CE23</f>
        <v>134080</v>
      </c>
      <c r="CF30" s="417">
        <f>CF29-CF23</f>
        <v>151140</v>
      </c>
      <c r="CG30" s="417">
        <f>CG29-CG23</f>
        <v>141469</v>
      </c>
      <c r="CH30" s="417">
        <f t="shared" si="31"/>
        <v>141469</v>
      </c>
      <c r="CJ30" s="261">
        <v>219208</v>
      </c>
      <c r="CK30" s="261">
        <v>0</v>
      </c>
      <c r="CL30" s="261">
        <v>0</v>
      </c>
      <c r="CM30" s="416">
        <v>0</v>
      </c>
      <c r="CN30" s="417">
        <v>0</v>
      </c>
      <c r="CO30" s="417">
        <v>0</v>
      </c>
      <c r="CP30" s="417">
        <v>0</v>
      </c>
      <c r="CQ30" s="417">
        <v>0</v>
      </c>
      <c r="CR30" s="417">
        <v>0</v>
      </c>
      <c r="CS30" s="417">
        <v>0</v>
      </c>
      <c r="CT30" s="417">
        <v>0</v>
      </c>
      <c r="CU30" s="417">
        <v>0</v>
      </c>
      <c r="CV30" s="417">
        <v>0</v>
      </c>
      <c r="CW30" s="758"/>
      <c r="CX30" s="874">
        <v>219208</v>
      </c>
      <c r="CY30" s="874">
        <v>0</v>
      </c>
      <c r="CZ30" s="874">
        <v>0</v>
      </c>
      <c r="DA30" s="875">
        <v>0</v>
      </c>
      <c r="DB30" s="876">
        <v>0</v>
      </c>
      <c r="DC30" s="876">
        <v>0</v>
      </c>
      <c r="DD30" s="876">
        <v>0</v>
      </c>
      <c r="DE30" s="876">
        <v>0</v>
      </c>
      <c r="DF30" s="876">
        <v>0</v>
      </c>
      <c r="DG30" s="876">
        <v>0</v>
      </c>
      <c r="DH30" s="876">
        <v>0</v>
      </c>
      <c r="DI30" s="876">
        <v>0</v>
      </c>
      <c r="DJ30" s="417">
        <v>0</v>
      </c>
      <c r="DK30" s="948"/>
      <c r="DL30" s="874">
        <v>219208</v>
      </c>
      <c r="DM30" s="874">
        <v>0</v>
      </c>
      <c r="DN30" s="874">
        <v>0</v>
      </c>
      <c r="DO30" s="875">
        <v>0</v>
      </c>
      <c r="DP30" s="876">
        <v>0</v>
      </c>
      <c r="DQ30" s="876">
        <v>0</v>
      </c>
      <c r="DR30" s="876">
        <v>0</v>
      </c>
      <c r="DS30" s="876">
        <v>0</v>
      </c>
      <c r="DT30" s="876">
        <v>0</v>
      </c>
      <c r="DU30" s="876">
        <v>0</v>
      </c>
      <c r="DV30" s="876">
        <v>0</v>
      </c>
      <c r="DW30" s="876">
        <v>0</v>
      </c>
      <c r="DX30" s="417">
        <v>0</v>
      </c>
    </row>
    <row r="31" spans="1:128" s="748" customFormat="1" ht="18.75">
      <c r="A31" s="739" t="s">
        <v>120</v>
      </c>
      <c r="B31" s="736"/>
      <c r="C31" s="737" t="s">
        <v>47</v>
      </c>
      <c r="D31" s="738">
        <f t="shared" ref="D31:O31" si="63">D10</f>
        <v>304786</v>
      </c>
      <c r="E31" s="740">
        <f t="shared" si="63"/>
        <v>311986</v>
      </c>
      <c r="F31" s="740">
        <f t="shared" si="63"/>
        <v>328231</v>
      </c>
      <c r="G31" s="740">
        <f t="shared" si="63"/>
        <v>317873</v>
      </c>
      <c r="H31" s="740">
        <f t="shared" si="63"/>
        <v>347196</v>
      </c>
      <c r="I31" s="740">
        <f t="shared" si="63"/>
        <v>402253</v>
      </c>
      <c r="J31" s="740">
        <f t="shared" si="63"/>
        <v>454488</v>
      </c>
      <c r="K31" s="740">
        <f t="shared" si="63"/>
        <v>447182</v>
      </c>
      <c r="L31" s="740">
        <f t="shared" si="63"/>
        <v>416931</v>
      </c>
      <c r="M31" s="740">
        <f t="shared" si="63"/>
        <v>304402</v>
      </c>
      <c r="N31" s="740">
        <f t="shared" si="63"/>
        <v>0</v>
      </c>
      <c r="O31" s="740">
        <f t="shared" si="63"/>
        <v>188264</v>
      </c>
      <c r="P31" s="741">
        <f t="shared" si="57"/>
        <v>188264</v>
      </c>
      <c r="Q31" s="742"/>
      <c r="R31" s="743">
        <f t="shared" ref="R31:AC31" si="64">R10</f>
        <v>283359</v>
      </c>
      <c r="S31" s="744">
        <f t="shared" si="64"/>
        <v>342718</v>
      </c>
      <c r="T31" s="744">
        <f t="shared" si="64"/>
        <v>313212</v>
      </c>
      <c r="U31" s="744">
        <f t="shared" si="64"/>
        <v>298093</v>
      </c>
      <c r="V31" s="744">
        <f t="shared" si="64"/>
        <v>206617</v>
      </c>
      <c r="W31" s="744">
        <f t="shared" si="64"/>
        <v>235875</v>
      </c>
      <c r="X31" s="744">
        <f t="shared" si="64"/>
        <v>360135</v>
      </c>
      <c r="Y31" s="744">
        <f t="shared" si="64"/>
        <v>361665</v>
      </c>
      <c r="Z31" s="744">
        <f t="shared" si="64"/>
        <v>353400</v>
      </c>
      <c r="AA31" s="744">
        <f t="shared" si="64"/>
        <v>272097</v>
      </c>
      <c r="AB31" s="744">
        <f t="shared" si="64"/>
        <v>170626</v>
      </c>
      <c r="AC31" s="744">
        <f t="shared" si="64"/>
        <v>197551</v>
      </c>
      <c r="AD31" s="745">
        <f t="shared" si="59"/>
        <v>197551</v>
      </c>
      <c r="AE31" s="746"/>
      <c r="AF31" s="744">
        <f>AF10-AF66</f>
        <v>255339</v>
      </c>
      <c r="AG31" s="744">
        <f t="shared" ref="AG31:AQ31" si="65">AG10-AG66</f>
        <v>292621</v>
      </c>
      <c r="AH31" s="744">
        <f t="shared" si="65"/>
        <v>397976</v>
      </c>
      <c r="AI31" s="744">
        <f t="shared" si="65"/>
        <v>388165</v>
      </c>
      <c r="AJ31" s="744">
        <f t="shared" si="65"/>
        <v>409301</v>
      </c>
      <c r="AK31" s="744">
        <f t="shared" si="65"/>
        <v>490913</v>
      </c>
      <c r="AL31" s="744">
        <f t="shared" si="65"/>
        <v>563229</v>
      </c>
      <c r="AM31" s="744">
        <f t="shared" si="65"/>
        <v>559169</v>
      </c>
      <c r="AN31" s="744">
        <f t="shared" si="65"/>
        <v>487294</v>
      </c>
      <c r="AO31" s="744">
        <f t="shared" si="65"/>
        <v>407614</v>
      </c>
      <c r="AP31" s="744">
        <f t="shared" si="65"/>
        <v>503756</v>
      </c>
      <c r="AQ31" s="744">
        <f t="shared" si="65"/>
        <v>522741</v>
      </c>
      <c r="AR31" s="744">
        <f t="shared" si="11"/>
        <v>522741</v>
      </c>
      <c r="AS31" s="746"/>
      <c r="AT31" s="744">
        <f t="shared" ref="AT31:BB31" si="66">AT10-AT66</f>
        <v>364736</v>
      </c>
      <c r="AU31" s="744">
        <f t="shared" si="66"/>
        <v>382608</v>
      </c>
      <c r="AV31" s="744">
        <f t="shared" si="66"/>
        <v>322837</v>
      </c>
      <c r="AW31" s="744">
        <f t="shared" si="66"/>
        <v>339249</v>
      </c>
      <c r="AX31" s="744">
        <f t="shared" si="66"/>
        <v>382307</v>
      </c>
      <c r="AY31" s="744">
        <f t="shared" si="66"/>
        <v>446417</v>
      </c>
      <c r="AZ31" s="744">
        <f t="shared" si="66"/>
        <v>406019</v>
      </c>
      <c r="BA31" s="744">
        <f t="shared" si="66"/>
        <v>457091</v>
      </c>
      <c r="BB31" s="744">
        <f t="shared" si="66"/>
        <v>439103</v>
      </c>
      <c r="BC31" s="744">
        <f>BB31-BC33+BC80-BC66</f>
        <v>267702.70924434217</v>
      </c>
      <c r="BD31" s="744">
        <f>BC31-BD33+BD80-BD66</f>
        <v>224792.12236286921</v>
      </c>
      <c r="BE31" s="744">
        <f>BD31-BE33+BE80-BE66</f>
        <v>209302.50939777523</v>
      </c>
      <c r="BF31" s="744">
        <f>BE31</f>
        <v>209302.50939777523</v>
      </c>
      <c r="BG31" s="747">
        <f>BG33/AR33</f>
        <v>7.0333736034655189E-2</v>
      </c>
      <c r="BH31" s="744">
        <f t="shared" ref="BH31:BS31" si="67">BH10-BH66</f>
        <v>287739</v>
      </c>
      <c r="BI31" s="744">
        <f t="shared" si="67"/>
        <v>274599</v>
      </c>
      <c r="BJ31" s="744">
        <f t="shared" si="67"/>
        <v>249895</v>
      </c>
      <c r="BK31" s="744">
        <f t="shared" si="67"/>
        <v>311315</v>
      </c>
      <c r="BL31" s="744">
        <f t="shared" si="67"/>
        <v>277855</v>
      </c>
      <c r="BM31" s="744">
        <f t="shared" si="67"/>
        <v>301815</v>
      </c>
      <c r="BN31" s="744">
        <f t="shared" si="67"/>
        <v>325519</v>
      </c>
      <c r="BO31" s="744">
        <f t="shared" si="67"/>
        <v>255915</v>
      </c>
      <c r="BP31" s="744">
        <f t="shared" si="67"/>
        <v>198711</v>
      </c>
      <c r="BQ31" s="744">
        <f t="shared" si="67"/>
        <v>182301</v>
      </c>
      <c r="BR31" s="744">
        <f t="shared" si="67"/>
        <v>228035</v>
      </c>
      <c r="BS31" s="744">
        <f t="shared" si="67"/>
        <v>201165</v>
      </c>
      <c r="BT31" s="744">
        <f t="shared" si="41"/>
        <v>201165</v>
      </c>
      <c r="BU31" s="746"/>
      <c r="BV31" s="744">
        <f>BV10-BV66</f>
        <v>247713</v>
      </c>
      <c r="BW31" s="744">
        <f>BW10-BW66</f>
        <v>278707</v>
      </c>
      <c r="BX31" s="744">
        <f>BX10-BX66</f>
        <v>281829</v>
      </c>
      <c r="BY31" s="744">
        <f>BY10-BY66</f>
        <v>317753</v>
      </c>
      <c r="BZ31" s="744">
        <f>BZ10-BZ66</f>
        <v>270339</v>
      </c>
      <c r="CA31" s="744">
        <f>CA10-CA66</f>
        <v>310383</v>
      </c>
      <c r="CB31" s="744">
        <f>CB10-CB66</f>
        <v>328365</v>
      </c>
      <c r="CC31" s="744">
        <f>CC10-CC66</f>
        <v>333476</v>
      </c>
      <c r="CD31" s="744">
        <f>CD10-CD66</f>
        <v>306264</v>
      </c>
      <c r="CE31" s="744">
        <f>CE10-CE66</f>
        <v>270370</v>
      </c>
      <c r="CF31" s="744">
        <f>CF10-CF66</f>
        <v>194014</v>
      </c>
      <c r="CG31" s="744">
        <f>CG10-CG66</f>
        <v>182266</v>
      </c>
      <c r="CH31" s="744">
        <f t="shared" si="31"/>
        <v>182266</v>
      </c>
      <c r="CJ31" s="744">
        <f t="shared" ref="CJ31:CL31" si="68">CJ27+CJ26+CJ11</f>
        <v>234793</v>
      </c>
      <c r="CK31" s="744">
        <f t="shared" si="68"/>
        <v>267818</v>
      </c>
      <c r="CL31" s="744">
        <f t="shared" si="68"/>
        <v>271663</v>
      </c>
      <c r="CM31" s="744">
        <f>CM27+CM26+CM11</f>
        <v>297485</v>
      </c>
      <c r="CN31" s="744">
        <f>CM31-CN33+CN80</f>
        <v>307923.8879612374</v>
      </c>
      <c r="CO31" s="744">
        <f>CN31-CO33+CO80</f>
        <v>370977.73306000745</v>
      </c>
      <c r="CP31" s="744">
        <f>CO31-CP33+CP80</f>
        <v>403860.22259587242</v>
      </c>
      <c r="CQ31" s="744">
        <f>CP31-CQ33+CQ80</f>
        <v>381854.52867182181</v>
      </c>
      <c r="CR31" s="744">
        <f>CQ31-CR33+CR80</f>
        <v>333996.33782793995</v>
      </c>
      <c r="CS31" s="744">
        <f>CR31-CS33+CS80</f>
        <v>289282.38677308767</v>
      </c>
      <c r="CT31" s="744">
        <f>CS31-CT33+CT80</f>
        <v>280258.78567604127</v>
      </c>
      <c r="CU31" s="744">
        <f>CT31-CU33+CU80</f>
        <v>302607.39327097801</v>
      </c>
      <c r="CV31" s="744">
        <v>116080.10690622788</v>
      </c>
      <c r="CW31" s="758"/>
      <c r="CX31" s="744">
        <f>CU31-CX33+CX80</f>
        <v>220004.58327097795</v>
      </c>
      <c r="CY31" s="744">
        <f>CX31-CY33+CY80</f>
        <v>108195.78327097793</v>
      </c>
      <c r="CZ31" s="744">
        <f t="shared" ref="CZ31:DI31" si="69">CY31-CZ33+CZ80</f>
        <v>83812.543270977912</v>
      </c>
      <c r="DA31" s="744">
        <f t="shared" si="69"/>
        <v>72311.213270977867</v>
      </c>
      <c r="DB31" s="744">
        <f t="shared" si="69"/>
        <v>51013.363270977832</v>
      </c>
      <c r="DC31" s="744">
        <f t="shared" si="69"/>
        <v>42090.133270977807</v>
      </c>
      <c r="DD31" s="744">
        <f t="shared" si="69"/>
        <v>-21310.886729022255</v>
      </c>
      <c r="DE31" s="744">
        <f t="shared" si="69"/>
        <v>-119361.79672902229</v>
      </c>
      <c r="DF31" s="744">
        <f t="shared" si="69"/>
        <v>-263994.67672902229</v>
      </c>
      <c r="DG31" s="744">
        <f t="shared" si="69"/>
        <v>-368379.47706657508</v>
      </c>
      <c r="DH31" s="744">
        <f t="shared" si="69"/>
        <v>-396591.24381762999</v>
      </c>
      <c r="DI31" s="744">
        <f t="shared" si="69"/>
        <v>-418081.76938725024</v>
      </c>
      <c r="DJ31" s="744">
        <v>116080.10690622788</v>
      </c>
      <c r="DK31" s="951"/>
      <c r="DL31" s="744"/>
      <c r="DM31" s="744"/>
      <c r="DN31" s="744"/>
      <c r="DO31" s="744"/>
      <c r="DP31" s="744"/>
      <c r="DQ31" s="744"/>
      <c r="DR31" s="744"/>
      <c r="DS31" s="744"/>
      <c r="DT31" s="744"/>
      <c r="DU31" s="744"/>
      <c r="DV31" s="744"/>
      <c r="DW31" s="744"/>
      <c r="DX31" s="744"/>
    </row>
    <row r="32" spans="1:128" ht="18.75">
      <c r="A32" s="46"/>
      <c r="B32" s="912" t="s">
        <v>48</v>
      </c>
      <c r="C32" s="913"/>
      <c r="D32" s="283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284"/>
      <c r="Q32" s="49"/>
      <c r="R32" s="283"/>
      <c r="S32" s="50"/>
      <c r="T32" s="50"/>
      <c r="U32" s="50"/>
      <c r="V32" s="51"/>
      <c r="W32" s="51"/>
      <c r="X32" s="51"/>
      <c r="Y32" s="51"/>
      <c r="Z32" s="51"/>
      <c r="AA32" s="51"/>
      <c r="AB32" s="51"/>
      <c r="AC32" s="50"/>
      <c r="AD32" s="285"/>
      <c r="AE32" s="23"/>
      <c r="AF32" s="286">
        <f t="shared" ref="AF32:AP32" si="70">AF10/AG33</f>
        <v>1.4346741432881778</v>
      </c>
      <c r="AG32" s="286">
        <f t="shared" si="70"/>
        <v>3.9745327610561771</v>
      </c>
      <c r="AH32" s="286">
        <f t="shared" si="70"/>
        <v>4.4537254638644557</v>
      </c>
      <c r="AI32" s="286">
        <f t="shared" si="70"/>
        <v>3.1781895295331357</v>
      </c>
      <c r="AJ32" s="286">
        <f t="shared" si="70"/>
        <v>2.7551225094238019</v>
      </c>
      <c r="AK32" s="286">
        <f t="shared" si="70"/>
        <v>3.2297970327971317</v>
      </c>
      <c r="AL32" s="286">
        <f t="shared" si="70"/>
        <v>2.3575635299682296</v>
      </c>
      <c r="AM32" s="286">
        <f t="shared" si="70"/>
        <v>2.1413160582078121</v>
      </c>
      <c r="AN32" s="286">
        <f t="shared" si="70"/>
        <v>1.9042360296991012</v>
      </c>
      <c r="AO32" s="286">
        <f t="shared" si="70"/>
        <v>3.1686411691542289</v>
      </c>
      <c r="AP32" s="286">
        <f t="shared" si="70"/>
        <v>5.1487735077677845</v>
      </c>
      <c r="AQ32" s="286">
        <f>AQ10/AT33</f>
        <v>3.4807306746186968</v>
      </c>
      <c r="AR32" s="287">
        <f>AQ32</f>
        <v>3.4807306746186968</v>
      </c>
      <c r="AS32" s="23"/>
      <c r="AT32" s="286">
        <f>AT10/AU33</f>
        <v>2.7971286279646934</v>
      </c>
      <c r="AU32" s="286">
        <f>AU10/AV33</f>
        <v>3.0710063937614676</v>
      </c>
      <c r="AV32" s="286">
        <f>AV10/AW33</f>
        <v>2.5847779910329129</v>
      </c>
      <c r="AW32" s="286">
        <f>AW10/AX33</f>
        <v>3.3142307600651066</v>
      </c>
      <c r="AX32" s="286">
        <f>AX10/AY33</f>
        <v>3.0202081128011216</v>
      </c>
      <c r="AY32" s="286">
        <f t="shared" ref="AY32:BD32" si="71">AY10/(AZ63+AZ62)</f>
        <v>3.0375411110446691</v>
      </c>
      <c r="AZ32" s="286">
        <f t="shared" si="71"/>
        <v>1.7862994390436959</v>
      </c>
      <c r="BA32" s="286">
        <f t="shared" si="71"/>
        <v>2.3917338115287117</v>
      </c>
      <c r="BB32" s="286">
        <f t="shared" si="71"/>
        <v>2.0297186803388318</v>
      </c>
      <c r="BC32" s="286">
        <f t="shared" si="71"/>
        <v>2.9418601583113455</v>
      </c>
      <c r="BD32" s="286">
        <f t="shared" si="71"/>
        <v>5.3595753009100697</v>
      </c>
      <c r="BE32" s="286">
        <f>BE10/BH33</f>
        <v>2.3338657833234047</v>
      </c>
      <c r="BF32" s="52"/>
      <c r="BG32" s="27"/>
      <c r="BH32" s="418">
        <f t="shared" ref="BH32:BN32" si="72">BH10/BI33</f>
        <v>2.4324841588586663</v>
      </c>
      <c r="BI32" s="418">
        <f t="shared" si="72"/>
        <v>2.0694790126570033</v>
      </c>
      <c r="BJ32" s="418">
        <f t="shared" si="72"/>
        <v>2.1548303749075362</v>
      </c>
      <c r="BK32" s="418">
        <f t="shared" si="72"/>
        <v>2.940658548141605</v>
      </c>
      <c r="BL32" s="418">
        <f t="shared" si="72"/>
        <v>2.5009495450993295</v>
      </c>
      <c r="BM32" s="418">
        <f t="shared" si="72"/>
        <v>2.0577586855214944</v>
      </c>
      <c r="BN32" s="418">
        <f t="shared" si="72"/>
        <v>2.3320530115558045</v>
      </c>
      <c r="BO32" s="419"/>
      <c r="BP32" s="419"/>
      <c r="BQ32" s="419"/>
      <c r="BR32" s="419"/>
      <c r="BS32" s="419"/>
      <c r="BT32" s="419"/>
      <c r="BU32" s="54"/>
      <c r="BV32" s="286">
        <v>0</v>
      </c>
      <c r="BW32" s="286">
        <v>0</v>
      </c>
      <c r="BX32" s="286">
        <v>0</v>
      </c>
      <c r="BY32" s="418">
        <v>0</v>
      </c>
      <c r="BZ32" s="418">
        <v>0</v>
      </c>
      <c r="CA32" s="418">
        <v>0</v>
      </c>
      <c r="CB32" s="418">
        <v>0</v>
      </c>
      <c r="CC32" s="418">
        <v>0</v>
      </c>
      <c r="CD32" s="418">
        <v>0</v>
      </c>
      <c r="CE32" s="418">
        <v>0</v>
      </c>
      <c r="CF32" s="418">
        <v>0</v>
      </c>
      <c r="CG32" s="419"/>
      <c r="CH32" s="419"/>
      <c r="CJ32" s="286">
        <v>0</v>
      </c>
      <c r="CK32" s="286">
        <v>0</v>
      </c>
      <c r="CL32" s="286">
        <v>0</v>
      </c>
      <c r="CM32" s="418">
        <v>0</v>
      </c>
      <c r="CN32" s="418">
        <v>0</v>
      </c>
      <c r="CO32" s="418">
        <v>0</v>
      </c>
      <c r="CP32" s="418">
        <v>0</v>
      </c>
      <c r="CQ32" s="418">
        <v>0</v>
      </c>
      <c r="CR32" s="418">
        <v>0</v>
      </c>
      <c r="CS32" s="418">
        <v>0</v>
      </c>
      <c r="CT32" s="418">
        <v>0</v>
      </c>
      <c r="CU32" s="419"/>
      <c r="CV32" s="419"/>
      <c r="CW32" s="758"/>
      <c r="CX32" s="877">
        <v>0</v>
      </c>
      <c r="CY32" s="877">
        <v>0</v>
      </c>
      <c r="CZ32" s="877">
        <v>0</v>
      </c>
      <c r="DA32" s="878">
        <v>0</v>
      </c>
      <c r="DB32" s="878">
        <v>0</v>
      </c>
      <c r="DC32" s="878">
        <v>0</v>
      </c>
      <c r="DD32" s="878">
        <v>0</v>
      </c>
      <c r="DE32" s="878">
        <v>0</v>
      </c>
      <c r="DF32" s="878">
        <v>0</v>
      </c>
      <c r="DG32" s="878">
        <v>0</v>
      </c>
      <c r="DH32" s="878">
        <v>0</v>
      </c>
      <c r="DI32" s="879"/>
      <c r="DJ32" s="419"/>
      <c r="DK32" s="948"/>
      <c r="DL32" s="877">
        <v>0</v>
      </c>
      <c r="DM32" s="877">
        <v>0</v>
      </c>
      <c r="DN32" s="877">
        <v>0</v>
      </c>
      <c r="DO32" s="878">
        <v>0</v>
      </c>
      <c r="DP32" s="878">
        <v>0</v>
      </c>
      <c r="DQ32" s="878">
        <v>0</v>
      </c>
      <c r="DR32" s="878">
        <v>0</v>
      </c>
      <c r="DS32" s="878">
        <v>0</v>
      </c>
      <c r="DT32" s="878">
        <v>0</v>
      </c>
      <c r="DU32" s="878">
        <v>0</v>
      </c>
      <c r="DV32" s="878">
        <v>0</v>
      </c>
      <c r="DW32" s="879"/>
      <c r="DX32" s="419"/>
    </row>
    <row r="33" spans="1:129" ht="18.75">
      <c r="A33" s="55">
        <v>6</v>
      </c>
      <c r="B33" s="56" t="s">
        <v>49</v>
      </c>
      <c r="C33" s="280"/>
      <c r="D33" s="288">
        <f t="shared" ref="D33:P33" si="73">SUM(D37:D60)</f>
        <v>82250</v>
      </c>
      <c r="E33" s="57">
        <f t="shared" si="73"/>
        <v>117000</v>
      </c>
      <c r="F33" s="57">
        <f t="shared" si="73"/>
        <v>121750</v>
      </c>
      <c r="G33" s="57">
        <f t="shared" si="73"/>
        <v>150000</v>
      </c>
      <c r="H33" s="57">
        <f t="shared" si="73"/>
        <v>99500</v>
      </c>
      <c r="I33" s="57">
        <f t="shared" si="73"/>
        <v>102000</v>
      </c>
      <c r="J33" s="57">
        <f t="shared" si="73"/>
        <v>177632</v>
      </c>
      <c r="K33" s="57">
        <f t="shared" si="73"/>
        <v>178158</v>
      </c>
      <c r="L33" s="57">
        <f t="shared" si="73"/>
        <v>199211</v>
      </c>
      <c r="M33" s="57">
        <f t="shared" si="73"/>
        <v>229474</v>
      </c>
      <c r="N33" s="57">
        <f t="shared" si="73"/>
        <v>122368</v>
      </c>
      <c r="O33" s="57">
        <f t="shared" si="73"/>
        <v>38421</v>
      </c>
      <c r="P33" s="289">
        <f t="shared" si="73"/>
        <v>1617764</v>
      </c>
      <c r="Q33" s="39"/>
      <c r="R33" s="288">
        <f t="shared" ref="R33:AC33" si="74">R37+R61</f>
        <v>136177.33998294926</v>
      </c>
      <c r="S33" s="58">
        <f t="shared" si="74"/>
        <v>143840.32639116928</v>
      </c>
      <c r="T33" s="58">
        <f t="shared" si="74"/>
        <v>142553.77192982455</v>
      </c>
      <c r="U33" s="58">
        <f t="shared" si="74"/>
        <v>19814.899999999998</v>
      </c>
      <c r="V33" s="58">
        <f t="shared" si="74"/>
        <v>52085</v>
      </c>
      <c r="W33" s="290">
        <f t="shared" si="74"/>
        <v>70169.381950239796</v>
      </c>
      <c r="X33" s="290">
        <f t="shared" si="74"/>
        <v>144463.33333333299</v>
      </c>
      <c r="Y33" s="290">
        <f t="shared" si="74"/>
        <v>226547.08333333331</v>
      </c>
      <c r="Z33" s="290">
        <f t="shared" si="74"/>
        <v>273187.5</v>
      </c>
      <c r="AA33" s="290">
        <f t="shared" si="74"/>
        <v>172100</v>
      </c>
      <c r="AB33" s="290">
        <f t="shared" si="74"/>
        <v>37500</v>
      </c>
      <c r="AC33" s="290">
        <f t="shared" si="74"/>
        <v>0</v>
      </c>
      <c r="AD33" s="291">
        <f>SUM(R33:AC33)</f>
        <v>1418438.6369208493</v>
      </c>
      <c r="AE33" s="59"/>
      <c r="AF33" s="292">
        <f>AF37+AF61</f>
        <v>128646</v>
      </c>
      <c r="AG33" s="58">
        <f t="shared" ref="AG33:AQ33" si="75">AG37+AG61</f>
        <v>177977</v>
      </c>
      <c r="AH33" s="58">
        <f t="shared" si="75"/>
        <v>73624</v>
      </c>
      <c r="AI33" s="58">
        <f t="shared" si="75"/>
        <v>89358</v>
      </c>
      <c r="AJ33" s="58">
        <f t="shared" si="75"/>
        <v>122134</v>
      </c>
      <c r="AK33" s="58">
        <f t="shared" si="75"/>
        <v>148560</v>
      </c>
      <c r="AL33" s="58">
        <f t="shared" si="75"/>
        <v>151995</v>
      </c>
      <c r="AM33" s="58">
        <f t="shared" si="75"/>
        <v>238903</v>
      </c>
      <c r="AN33" s="58">
        <f t="shared" si="75"/>
        <v>261133.33333333334</v>
      </c>
      <c r="AO33" s="58">
        <f t="shared" si="75"/>
        <v>255900</v>
      </c>
      <c r="AP33" s="58">
        <f t="shared" si="75"/>
        <v>128640</v>
      </c>
      <c r="AQ33" s="58">
        <f t="shared" si="75"/>
        <v>97840</v>
      </c>
      <c r="AR33" s="58">
        <f>SUM(AF33:AQ33)</f>
        <v>1874710.3333333333</v>
      </c>
      <c r="AS33" s="59"/>
      <c r="AT33" s="58">
        <f t="shared" ref="AT33:BD33" si="76">AT37+AT61</f>
        <v>152749.25</v>
      </c>
      <c r="AU33" s="58">
        <f t="shared" si="76"/>
        <v>168522.10344827586</v>
      </c>
      <c r="AV33" s="58">
        <f t="shared" si="76"/>
        <v>154121.13793103449</v>
      </c>
      <c r="AW33" s="58">
        <f t="shared" si="76"/>
        <v>159595.13793103449</v>
      </c>
      <c r="AX33" s="58">
        <f t="shared" si="76"/>
        <v>120099.96551724138</v>
      </c>
      <c r="AY33" s="58">
        <f t="shared" si="76"/>
        <v>138343.77777777778</v>
      </c>
      <c r="AZ33" s="58">
        <f t="shared" si="76"/>
        <v>166673.77777777778</v>
      </c>
      <c r="BA33" s="58">
        <f t="shared" si="76"/>
        <v>242442.29629629629</v>
      </c>
      <c r="BB33" s="58">
        <f t="shared" si="76"/>
        <v>243407.77777777778</v>
      </c>
      <c r="BC33" s="58">
        <f t="shared" si="76"/>
        <v>253368.29075565783</v>
      </c>
      <c r="BD33" s="58">
        <f t="shared" si="76"/>
        <v>134555.58688147296</v>
      </c>
      <c r="BE33" s="58">
        <f>BE37+BE62</f>
        <v>72686.612965093984</v>
      </c>
      <c r="BF33" s="58">
        <f t="shared" ref="BF33:BF35" si="77">SUM(AT33:BE33)</f>
        <v>2006565.7150594404</v>
      </c>
      <c r="BG33" s="59">
        <f>BF33-AR33</f>
        <v>131855.38172610709</v>
      </c>
      <c r="BH33" s="58">
        <f>BH34+BH61</f>
        <v>152753</v>
      </c>
      <c r="BI33" s="58">
        <f t="shared" ref="BI33:BN33" si="78">BI34+BI61</f>
        <v>146822.33333333331</v>
      </c>
      <c r="BJ33" s="58">
        <f t="shared" si="78"/>
        <v>171546.07407407407</v>
      </c>
      <c r="BK33" s="58">
        <f t="shared" si="78"/>
        <v>159771.74074074073</v>
      </c>
      <c r="BL33" s="58">
        <f t="shared" si="78"/>
        <v>132496.85185185185</v>
      </c>
      <c r="BM33" s="58">
        <f t="shared" si="78"/>
        <v>129906.25925925926</v>
      </c>
      <c r="BN33" s="58">
        <f t="shared" si="78"/>
        <v>171383.55555555556</v>
      </c>
      <c r="BO33" s="58">
        <f>BO34+BO62</f>
        <v>179550.37811111109</v>
      </c>
      <c r="BP33" s="58">
        <f>BP34+BP62</f>
        <v>202053.74953703705</v>
      </c>
      <c r="BQ33" s="58">
        <f>BQ34+BQ62</f>
        <v>163865</v>
      </c>
      <c r="BR33" s="58">
        <f>BR34+BR62</f>
        <v>175620.6</v>
      </c>
      <c r="BS33" s="58">
        <v>92285.6</v>
      </c>
      <c r="BT33" s="58">
        <f t="shared" ref="BT33:BT35" si="79">SUM(BH33:BS33)</f>
        <v>1878055.142462963</v>
      </c>
      <c r="BU33" s="60"/>
      <c r="BV33" s="58">
        <f>BV37+(BV62)*$CI$33</f>
        <v>161157.867486095</v>
      </c>
      <c r="BW33" s="58">
        <f t="shared" ref="BW33:CG33" si="80">BW37+(BW62)*$CI$33</f>
        <v>155966.83045180296</v>
      </c>
      <c r="BX33" s="58">
        <f>BX37+(BX62)*$CI$33</f>
        <v>196111.53846153844</v>
      </c>
      <c r="BY33" s="58">
        <f t="shared" si="80"/>
        <v>159169.23076923078</v>
      </c>
      <c r="BZ33" s="58">
        <f>BZ37+(BZ62)*$CI$33</f>
        <v>151482.39341785663</v>
      </c>
      <c r="CA33" s="58">
        <f t="shared" si="80"/>
        <v>141442.12910096842</v>
      </c>
      <c r="CB33" s="58">
        <f>CB37+(CB62)*$CI$33</f>
        <v>176986.21444761599</v>
      </c>
      <c r="CC33" s="58">
        <f t="shared" si="80"/>
        <v>201301.08944885107</v>
      </c>
      <c r="CD33" s="58">
        <f t="shared" si="80"/>
        <v>212833.04013559342</v>
      </c>
      <c r="CE33" s="58">
        <f t="shared" si="80"/>
        <v>215922.30386211892</v>
      </c>
      <c r="CF33" s="58">
        <f>CF37+(CF62)*$CI$33</f>
        <v>171115.84223630186</v>
      </c>
      <c r="CG33" s="58">
        <f t="shared" si="80"/>
        <v>87483.816691710366</v>
      </c>
      <c r="CH33" s="58">
        <f t="shared" ref="CH33:CH34" si="81">SUM(BV33:CG33)</f>
        <v>2030972.2965096838</v>
      </c>
      <c r="CI33" s="594">
        <v>0.95</v>
      </c>
      <c r="CJ33" s="705">
        <f>CJ37+CJ71</f>
        <v>157916.36697726426</v>
      </c>
      <c r="CK33" s="705">
        <f t="shared" ref="CK33:CU33" si="82">CK37+CK71</f>
        <v>174843.65981364145</v>
      </c>
      <c r="CL33" s="705">
        <f t="shared" si="82"/>
        <v>166692.33329854641</v>
      </c>
      <c r="CM33" s="705">
        <f t="shared" si="82"/>
        <v>165624.1587774879</v>
      </c>
      <c r="CN33" s="705">
        <f>CN37+CN71</f>
        <v>167851.1120387626</v>
      </c>
      <c r="CO33" s="705">
        <f>CO37+CO71</f>
        <v>134946.15490122998</v>
      </c>
      <c r="CP33" s="705">
        <f t="shared" si="82"/>
        <v>212117.51046413503</v>
      </c>
      <c r="CQ33" s="705">
        <f t="shared" si="82"/>
        <v>229905.6939240506</v>
      </c>
      <c r="CR33" s="705">
        <f t="shared" si="82"/>
        <v>265658.19084388186</v>
      </c>
      <c r="CS33" s="705">
        <f>CS37+CS71</f>
        <v>250292.95105485231</v>
      </c>
      <c r="CT33" s="705">
        <f>CT37+CT71</f>
        <v>173363.6010970464</v>
      </c>
      <c r="CU33" s="705">
        <f>CU37+CU71</f>
        <v>96311.392405063292</v>
      </c>
      <c r="CV33" s="705">
        <f>SUM(CJ33:CU33)</f>
        <v>2195523.1255959622</v>
      </c>
      <c r="CW33" s="758"/>
      <c r="CX33" s="880">
        <f>CX37+CX71</f>
        <v>214489.91000000003</v>
      </c>
      <c r="CY33" s="880">
        <f>CY37+CY71</f>
        <v>235936.75</v>
      </c>
      <c r="CZ33" s="880">
        <f>CZ37+CZ71</f>
        <v>177381.24000000002</v>
      </c>
      <c r="DA33" s="880">
        <f t="shared" ref="DA33:DJ33" si="83">DA37+DA71</f>
        <v>177359.33000000005</v>
      </c>
      <c r="DB33" s="880">
        <f t="shared" si="83"/>
        <v>174950.25000000003</v>
      </c>
      <c r="DC33" s="880">
        <f t="shared" si="83"/>
        <v>130837.28000000001</v>
      </c>
      <c r="DD33" s="880">
        <f t="shared" si="83"/>
        <v>213451.28000000006</v>
      </c>
      <c r="DE33" s="880">
        <f t="shared" si="83"/>
        <v>225964.96000000002</v>
      </c>
      <c r="DF33" s="880">
        <f t="shared" si="83"/>
        <v>295683.14</v>
      </c>
      <c r="DG33" s="880">
        <f t="shared" si="83"/>
        <v>280435.06033755274</v>
      </c>
      <c r="DH33" s="880">
        <f t="shared" si="83"/>
        <v>190996.78675105487</v>
      </c>
      <c r="DI33" s="880">
        <f t="shared" si="83"/>
        <v>107612.44556962026</v>
      </c>
      <c r="DJ33" s="58">
        <f>SUM(CX33:DI33)</f>
        <v>2425098.4326582281</v>
      </c>
      <c r="DK33" s="952">
        <f>DJ33-CV33</f>
        <v>229575.30706226593</v>
      </c>
      <c r="DL33" s="880">
        <f>DL37+DL71</f>
        <v>214489.91000000003</v>
      </c>
      <c r="DM33" s="880">
        <f>DM37+DM71</f>
        <v>235936.75</v>
      </c>
      <c r="DN33" s="880">
        <f t="shared" ref="DN33:DW33" si="84">DN37+DN71</f>
        <v>177381.24000000002</v>
      </c>
      <c r="DO33" s="880">
        <f t="shared" si="84"/>
        <v>177359.33000000005</v>
      </c>
      <c r="DP33" s="880">
        <f t="shared" si="84"/>
        <v>174950.25000000003</v>
      </c>
      <c r="DQ33" s="880">
        <f t="shared" si="84"/>
        <v>130837.28000000001</v>
      </c>
      <c r="DR33" s="880">
        <f t="shared" si="84"/>
        <v>213451.28000000006</v>
      </c>
      <c r="DS33" s="880">
        <f t="shared" si="84"/>
        <v>225964.96000000002</v>
      </c>
      <c r="DT33" s="880">
        <f t="shared" si="84"/>
        <v>295683.14</v>
      </c>
      <c r="DU33" s="880">
        <f t="shared" si="84"/>
        <v>280435.06033755274</v>
      </c>
      <c r="DV33" s="880">
        <f t="shared" si="84"/>
        <v>190996.78675105487</v>
      </c>
      <c r="DW33" s="880">
        <f t="shared" si="84"/>
        <v>107612.44556962026</v>
      </c>
      <c r="DX33" s="58">
        <f>SUM(DL33:DW33)</f>
        <v>2425098.4326582281</v>
      </c>
      <c r="DY33" s="598">
        <f>DX33-DJ33</f>
        <v>0</v>
      </c>
    </row>
    <row r="34" spans="1:129" ht="18.75">
      <c r="A34" s="61"/>
      <c r="B34" s="914" t="s">
        <v>51</v>
      </c>
      <c r="C34" s="915"/>
      <c r="D34" s="294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295"/>
      <c r="Q34" s="64"/>
      <c r="R34" s="294"/>
      <c r="S34" s="65"/>
      <c r="T34" s="65"/>
      <c r="U34" s="65"/>
      <c r="V34" s="296"/>
      <c r="W34" s="297"/>
      <c r="X34" s="297"/>
      <c r="Y34" s="297"/>
      <c r="Z34" s="297"/>
      <c r="AA34" s="297"/>
      <c r="AB34" s="297"/>
      <c r="AC34" s="66"/>
      <c r="AD34" s="67"/>
      <c r="AE34" s="68"/>
      <c r="AF34" s="298"/>
      <c r="AG34" s="65"/>
      <c r="AH34" s="65"/>
      <c r="AI34" s="65"/>
      <c r="AJ34" s="296"/>
      <c r="AK34" s="296"/>
      <c r="AL34" s="296"/>
      <c r="AM34" s="296"/>
      <c r="AN34" s="65"/>
      <c r="AO34" s="65"/>
      <c r="AP34" s="65"/>
      <c r="AQ34" s="65"/>
      <c r="AR34" s="299"/>
      <c r="AS34" s="68"/>
      <c r="AT34" s="65"/>
      <c r="AU34" s="65"/>
      <c r="AV34" s="65"/>
      <c r="AW34" s="65"/>
      <c r="AX34" s="65"/>
      <c r="AY34" s="69">
        <f t="shared" ref="AY34:BA34" si="85">AY37+AY62</f>
        <v>119777.77777777778</v>
      </c>
      <c r="AZ34" s="69">
        <f t="shared" si="85"/>
        <v>150777.77777777778</v>
      </c>
      <c r="BA34" s="69">
        <f t="shared" si="85"/>
        <v>233098.4962962963</v>
      </c>
      <c r="BB34" s="69">
        <f>BB35/BB36</f>
        <v>210777.77777777778</v>
      </c>
      <c r="BC34" s="69">
        <f>BC37+BC62</f>
        <v>249806.29075565783</v>
      </c>
      <c r="BD34" s="69">
        <f t="shared" ref="BD34:BE34" si="86">BD37+BD62*0.85</f>
        <v>122960.58688147296</v>
      </c>
      <c r="BE34" s="69">
        <f t="shared" si="86"/>
        <v>66386.612965093984</v>
      </c>
      <c r="BF34" s="69">
        <f t="shared" si="77"/>
        <v>1153585.3202318544</v>
      </c>
      <c r="BG34" s="68"/>
      <c r="BH34" s="69">
        <f>BH35/BH36-0.1*BH35/BH36</f>
        <v>116600</v>
      </c>
      <c r="BI34" s="69">
        <f t="shared" ref="BI34" si="87">BI35/BI36-0.1*BI35/BI36</f>
        <v>111533.33333333333</v>
      </c>
      <c r="BJ34" s="69">
        <f t="shared" ref="BJ34:BP34" si="88">BJ35/BJ36-0.05*BJ35/BJ36</f>
        <v>135674.07407407407</v>
      </c>
      <c r="BK34" s="69">
        <f t="shared" si="88"/>
        <v>121740.74074074074</v>
      </c>
      <c r="BL34" s="69">
        <f t="shared" si="88"/>
        <v>93926.851851851854</v>
      </c>
      <c r="BM34" s="69">
        <f t="shared" si="88"/>
        <v>90679.259259259255</v>
      </c>
      <c r="BN34" s="69">
        <f t="shared" si="88"/>
        <v>130255.55555555556</v>
      </c>
      <c r="BO34" s="69">
        <f t="shared" si="88"/>
        <v>150550.37811111109</v>
      </c>
      <c r="BP34" s="69">
        <f t="shared" si="88"/>
        <v>161830.74953703705</v>
      </c>
      <c r="BQ34" s="69">
        <v>127130</v>
      </c>
      <c r="BR34" s="69">
        <v>138687.6</v>
      </c>
      <c r="BS34" s="69">
        <v>43639.199999999997</v>
      </c>
      <c r="BT34" s="69">
        <f t="shared" si="79"/>
        <v>1422247.7424629631</v>
      </c>
      <c r="BU34" s="54"/>
      <c r="BV34" s="69">
        <f>BV37+BV61</f>
        <v>166555.77995873816</v>
      </c>
      <c r="BW34" s="69">
        <f>BW37+BW61</f>
        <v>152835.36924465047</v>
      </c>
      <c r="BX34" s="69">
        <f t="shared" ref="BX34:CG34" si="89">BX37+BX61</f>
        <v>195319.2072937729</v>
      </c>
      <c r="BY34" s="69">
        <f t="shared" si="89"/>
        <v>158396.18906207831</v>
      </c>
      <c r="BZ34" s="69">
        <f t="shared" si="89"/>
        <v>152371.51475009107</v>
      </c>
      <c r="CA34" s="69">
        <f t="shared" si="89"/>
        <v>147696.01107361159</v>
      </c>
      <c r="CB34" s="69">
        <f t="shared" si="89"/>
        <v>189465.0513586243</v>
      </c>
      <c r="CC34" s="69">
        <f t="shared" si="89"/>
        <v>202914.10079748323</v>
      </c>
      <c r="CD34" s="69">
        <f t="shared" si="89"/>
        <v>214499.61628422557</v>
      </c>
      <c r="CE34" s="69">
        <f t="shared" si="89"/>
        <v>217682.99793575107</v>
      </c>
      <c r="CF34" s="69">
        <f t="shared" si="89"/>
        <v>179284.72030485788</v>
      </c>
      <c r="CG34" s="69">
        <f t="shared" si="89"/>
        <v>88389.319383536102</v>
      </c>
      <c r="CH34" s="69">
        <f t="shared" si="81"/>
        <v>2065409.8774474205</v>
      </c>
      <c r="CI34" s="395">
        <f>(CH34-BT68)/BT68</f>
        <v>0.48621753003500767</v>
      </c>
      <c r="CJ34" s="69"/>
      <c r="CK34" s="69"/>
      <c r="CL34" s="69"/>
      <c r="CM34" s="69"/>
      <c r="CN34" s="69"/>
      <c r="CO34" s="69"/>
      <c r="CP34" s="69"/>
      <c r="CQ34" s="69"/>
      <c r="CR34" s="69"/>
      <c r="CS34" s="69"/>
      <c r="CT34" s="69"/>
      <c r="CU34" s="69"/>
      <c r="CV34" s="69"/>
      <c r="CW34" s="758"/>
      <c r="CX34" s="881">
        <v>166555.77995873816</v>
      </c>
      <c r="CY34" s="881">
        <v>152835.36924465047</v>
      </c>
      <c r="CZ34" s="881">
        <v>195319.2072937729</v>
      </c>
      <c r="DA34" s="881">
        <v>158396.18906207831</v>
      </c>
      <c r="DB34" s="881">
        <v>152371.51475009107</v>
      </c>
      <c r="DC34" s="881">
        <v>147696.01107361159</v>
      </c>
      <c r="DD34" s="881">
        <v>189465.0513586243</v>
      </c>
      <c r="DE34" s="881">
        <v>202914.10079748323</v>
      </c>
      <c r="DF34" s="881">
        <v>214499.61628422557</v>
      </c>
      <c r="DG34" s="881">
        <v>217682.99793575107</v>
      </c>
      <c r="DH34" s="881">
        <v>179284.72030485788</v>
      </c>
      <c r="DI34" s="881">
        <v>88389.319383536102</v>
      </c>
      <c r="DJ34" s="69">
        <v>2065409.8774474205</v>
      </c>
      <c r="DK34" s="948"/>
      <c r="DL34" s="881">
        <f>DL109*1.1</f>
        <v>183211.357954612</v>
      </c>
      <c r="DM34" s="881">
        <f t="shared" ref="DM34:DX34" si="90">DM109*1.1</f>
        <v>168118.90616911554</v>
      </c>
      <c r="DN34" s="881">
        <f t="shared" si="90"/>
        <v>214851.1280231502</v>
      </c>
      <c r="DO34" s="881">
        <f t="shared" si="90"/>
        <v>174235.80796828616</v>
      </c>
      <c r="DP34" s="881">
        <f t="shared" si="90"/>
        <v>167608.6662251002</v>
      </c>
      <c r="DQ34" s="881">
        <f t="shared" si="90"/>
        <v>162465.61218097276</v>
      </c>
      <c r="DR34" s="881">
        <f t="shared" si="90"/>
        <v>208411.55649448675</v>
      </c>
      <c r="DS34" s="881">
        <f t="shared" si="90"/>
        <v>223205.51087723157</v>
      </c>
      <c r="DT34" s="881">
        <f t="shared" si="90"/>
        <v>235949.57791264815</v>
      </c>
      <c r="DU34" s="881">
        <f t="shared" si="90"/>
        <v>239451.29772932621</v>
      </c>
      <c r="DV34" s="881">
        <f t="shared" si="90"/>
        <v>197213.19233534369</v>
      </c>
      <c r="DW34" s="881">
        <f t="shared" si="90"/>
        <v>97228.251321889722</v>
      </c>
      <c r="DX34" s="881">
        <f t="shared" si="90"/>
        <v>2271950.8651921628</v>
      </c>
    </row>
    <row r="35" spans="1:129" ht="18.75">
      <c r="A35" s="61"/>
      <c r="B35" s="914" t="s">
        <v>52</v>
      </c>
      <c r="C35" s="915"/>
      <c r="D35" s="294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295"/>
      <c r="Q35" s="64"/>
      <c r="R35" s="294"/>
      <c r="S35" s="65"/>
      <c r="T35" s="65"/>
      <c r="U35" s="65"/>
      <c r="V35" s="296"/>
      <c r="W35" s="297"/>
      <c r="X35" s="297"/>
      <c r="Y35" s="297"/>
      <c r="Z35" s="297"/>
      <c r="AA35" s="297"/>
      <c r="AB35" s="297"/>
      <c r="AC35" s="66"/>
      <c r="AD35" s="67"/>
      <c r="AE35" s="68"/>
      <c r="AF35" s="298"/>
      <c r="AG35" s="65"/>
      <c r="AH35" s="65" t="s">
        <v>53</v>
      </c>
      <c r="AI35" s="65"/>
      <c r="AJ35" s="296"/>
      <c r="AK35" s="296"/>
      <c r="AL35" s="296"/>
      <c r="AM35" s="296"/>
      <c r="AN35" s="65">
        <v>6715000</v>
      </c>
      <c r="AO35" s="65">
        <v>6555000</v>
      </c>
      <c r="AP35" s="65">
        <v>2640000</v>
      </c>
      <c r="AQ35" s="65">
        <v>1302000</v>
      </c>
      <c r="AR35" s="299"/>
      <c r="AS35" s="68"/>
      <c r="AT35" s="65">
        <v>3264695</v>
      </c>
      <c r="AU35" s="65">
        <v>3863760</v>
      </c>
      <c r="AV35" s="65">
        <v>3429225</v>
      </c>
      <c r="AW35" s="65">
        <v>3525360</v>
      </c>
      <c r="AX35" s="65">
        <v>2509485</v>
      </c>
      <c r="AY35" s="65">
        <v>2829000</v>
      </c>
      <c r="AZ35" s="65">
        <v>3666000</v>
      </c>
      <c r="BA35" s="65">
        <v>5705000</v>
      </c>
      <c r="BB35" s="65">
        <v>5691000</v>
      </c>
      <c r="BC35" s="65">
        <v>5600000</v>
      </c>
      <c r="BD35" s="65">
        <v>2430000</v>
      </c>
      <c r="BE35" s="65">
        <v>800000</v>
      </c>
      <c r="BF35" s="69">
        <f t="shared" si="77"/>
        <v>43313525</v>
      </c>
      <c r="BG35" s="68"/>
      <c r="BH35" s="70">
        <v>3498000</v>
      </c>
      <c r="BI35" s="70">
        <v>3346000</v>
      </c>
      <c r="BJ35" s="70">
        <v>3856000</v>
      </c>
      <c r="BK35" s="70">
        <v>3460000</v>
      </c>
      <c r="BL35" s="70">
        <v>2669500</v>
      </c>
      <c r="BM35" s="70">
        <v>2577200</v>
      </c>
      <c r="BN35" s="70">
        <v>3702000</v>
      </c>
      <c r="BO35" s="70">
        <v>4278800.22</v>
      </c>
      <c r="BP35" s="70">
        <v>4599400.25</v>
      </c>
      <c r="BQ35" s="70">
        <f>BQ34*BQ36</f>
        <v>3432510</v>
      </c>
      <c r="BR35" s="70">
        <v>2954493.21</v>
      </c>
      <c r="BS35" s="70">
        <v>984831.07</v>
      </c>
      <c r="BT35" s="65">
        <f t="shared" si="79"/>
        <v>39358734.75</v>
      </c>
      <c r="BU35" s="54"/>
      <c r="BV35" s="70">
        <f>BV36*BV37</f>
        <v>3399704.5546384701</v>
      </c>
      <c r="BW35" s="70">
        <f t="shared" ref="BW35:CG35" si="91">BW36*BW37</f>
        <v>3264737.5917468769</v>
      </c>
      <c r="BX35" s="70">
        <f t="shared" si="91"/>
        <v>4184999.9999999995</v>
      </c>
      <c r="BY35" s="70">
        <f t="shared" si="91"/>
        <v>3348000.0000000005</v>
      </c>
      <c r="BZ35" s="70">
        <f t="shared" si="91"/>
        <v>3074042.2288642721</v>
      </c>
      <c r="CA35" s="70">
        <f t="shared" si="91"/>
        <v>2812995.3566251793</v>
      </c>
      <c r="CB35" s="70">
        <f t="shared" si="91"/>
        <v>3737141.5756380158</v>
      </c>
      <c r="CC35" s="70">
        <f t="shared" si="91"/>
        <v>4437000.7194458414</v>
      </c>
      <c r="CD35" s="70">
        <f t="shared" si="91"/>
        <v>4710370.4261011425</v>
      </c>
      <c r="CE35" s="70">
        <f t="shared" si="91"/>
        <v>4744197.0280408058</v>
      </c>
      <c r="CF35" s="70">
        <f t="shared" si="91"/>
        <v>3461011.8981438484</v>
      </c>
      <c r="CG35" s="70">
        <f t="shared" si="91"/>
        <v>792579.23398446955</v>
      </c>
      <c r="CH35" s="65">
        <f>SUM(BV35:CG35)</f>
        <v>41966780.613228925</v>
      </c>
      <c r="CJ35" s="70">
        <v>3470304</v>
      </c>
      <c r="CK35" s="70">
        <v>4047936</v>
      </c>
      <c r="CL35" s="70">
        <v>3793200</v>
      </c>
      <c r="CM35" s="70">
        <v>3664392</v>
      </c>
      <c r="CN35" s="70">
        <v>3656712</v>
      </c>
      <c r="CO35" s="70">
        <v>2773872</v>
      </c>
      <c r="CP35" s="70">
        <v>5165016</v>
      </c>
      <c r="CQ35" s="70">
        <v>5668920</v>
      </c>
      <c r="CR35" s="70">
        <v>6676728</v>
      </c>
      <c r="CS35" s="70">
        <v>6194424</v>
      </c>
      <c r="CT35" s="70">
        <v>3814800</v>
      </c>
      <c r="CU35" s="70">
        <v>1459296</v>
      </c>
      <c r="CV35" s="70">
        <f>SUM(CJ35:CU35)</f>
        <v>50385600</v>
      </c>
      <c r="CW35" s="758"/>
      <c r="CX35" s="882">
        <v>3399704.5546384701</v>
      </c>
      <c r="CY35" s="882">
        <v>3264737.5917468769</v>
      </c>
      <c r="CZ35" s="882">
        <v>4184999.9999999995</v>
      </c>
      <c r="DA35" s="882">
        <v>3348000.0000000005</v>
      </c>
      <c r="DB35" s="882">
        <v>3074042.2288642721</v>
      </c>
      <c r="DC35" s="882">
        <v>2812995.3566251793</v>
      </c>
      <c r="DD35" s="882">
        <v>3737141.5756380158</v>
      </c>
      <c r="DE35" s="882">
        <v>4437000.7194458414</v>
      </c>
      <c r="DF35" s="882">
        <v>4710370.4261011425</v>
      </c>
      <c r="DG35" s="882">
        <v>4744197.0280408058</v>
      </c>
      <c r="DH35" s="882">
        <v>3461011.8981438484</v>
      </c>
      <c r="DI35" s="882">
        <v>792579.23398446955</v>
      </c>
      <c r="DJ35" s="70">
        <v>41966780.613228925</v>
      </c>
      <c r="DK35" s="948"/>
      <c r="DL35" s="882">
        <v>3399704.5546384701</v>
      </c>
      <c r="DM35" s="882">
        <v>3264737.5917468769</v>
      </c>
      <c r="DN35" s="882">
        <v>4184999.9999999995</v>
      </c>
      <c r="DO35" s="882">
        <v>3348000.0000000005</v>
      </c>
      <c r="DP35" s="882">
        <v>3074042.2288642721</v>
      </c>
      <c r="DQ35" s="882">
        <v>2812995.3566251793</v>
      </c>
      <c r="DR35" s="882">
        <v>3737141.5756380158</v>
      </c>
      <c r="DS35" s="882">
        <v>4437000.7194458414</v>
      </c>
      <c r="DT35" s="882">
        <v>4710370.4261011425</v>
      </c>
      <c r="DU35" s="882">
        <v>4744197.0280408058</v>
      </c>
      <c r="DV35" s="882">
        <v>3461011.8981438484</v>
      </c>
      <c r="DW35" s="882">
        <v>792579.23398446955</v>
      </c>
      <c r="DX35" s="65">
        <v>41966780.613228925</v>
      </c>
    </row>
    <row r="36" spans="1:129" ht="18.75">
      <c r="A36" s="71"/>
      <c r="B36" s="916" t="s">
        <v>54</v>
      </c>
      <c r="C36" s="917"/>
      <c r="D36" s="301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302"/>
      <c r="Q36" s="74"/>
      <c r="R36" s="301"/>
      <c r="S36" s="69"/>
      <c r="T36" s="69"/>
      <c r="U36" s="69"/>
      <c r="V36" s="303"/>
      <c r="W36" s="304"/>
      <c r="X36" s="304"/>
      <c r="Y36" s="304"/>
      <c r="Z36" s="304"/>
      <c r="AA36" s="304"/>
      <c r="AB36" s="304"/>
      <c r="AC36" s="75"/>
      <c r="AD36" s="76"/>
      <c r="AE36" s="77"/>
      <c r="AF36" s="305"/>
      <c r="AG36" s="69"/>
      <c r="AH36" s="69"/>
      <c r="AI36" s="69"/>
      <c r="AJ36" s="303"/>
      <c r="AK36" s="303"/>
      <c r="AL36" s="303"/>
      <c r="AM36" s="303"/>
      <c r="AN36" s="69">
        <f t="shared" ref="AN36:AQ36" si="92">30</f>
        <v>30</v>
      </c>
      <c r="AO36" s="69">
        <f t="shared" si="92"/>
        <v>30</v>
      </c>
      <c r="AP36" s="69">
        <f t="shared" si="92"/>
        <v>30</v>
      </c>
      <c r="AQ36" s="69">
        <f t="shared" si="92"/>
        <v>30</v>
      </c>
      <c r="AR36" s="306"/>
      <c r="AS36" s="77"/>
      <c r="AT36" s="69">
        <v>28</v>
      </c>
      <c r="AU36" s="69">
        <v>29</v>
      </c>
      <c r="AV36" s="69">
        <v>29</v>
      </c>
      <c r="AW36" s="69">
        <v>29</v>
      </c>
      <c r="AX36" s="69">
        <v>29</v>
      </c>
      <c r="AY36" s="69">
        <v>27</v>
      </c>
      <c r="AZ36" s="69">
        <v>27</v>
      </c>
      <c r="BA36" s="69">
        <v>27</v>
      </c>
      <c r="BB36" s="69">
        <v>27</v>
      </c>
      <c r="BC36" s="69">
        <v>26.07</v>
      </c>
      <c r="BD36" s="69">
        <v>26.07</v>
      </c>
      <c r="BE36" s="69">
        <v>26.07</v>
      </c>
      <c r="BF36" s="305"/>
      <c r="BG36" s="78"/>
      <c r="BH36" s="69">
        <v>27</v>
      </c>
      <c r="BI36" s="69">
        <v>27</v>
      </c>
      <c r="BJ36" s="69">
        <v>27</v>
      </c>
      <c r="BK36" s="69">
        <v>27</v>
      </c>
      <c r="BL36" s="69">
        <v>27</v>
      </c>
      <c r="BM36" s="69">
        <v>27</v>
      </c>
      <c r="BN36" s="69">
        <v>27</v>
      </c>
      <c r="BO36" s="69">
        <v>27</v>
      </c>
      <c r="BP36" s="69">
        <v>27</v>
      </c>
      <c r="BQ36" s="69">
        <v>27</v>
      </c>
      <c r="BR36" s="69">
        <v>27</v>
      </c>
      <c r="BS36" s="69">
        <v>27</v>
      </c>
      <c r="BT36" s="69"/>
      <c r="BU36" s="54"/>
      <c r="BV36" s="69">
        <v>26</v>
      </c>
      <c r="BW36" s="69">
        <v>26</v>
      </c>
      <c r="BX36" s="69">
        <v>26</v>
      </c>
      <c r="BY36" s="69">
        <v>26</v>
      </c>
      <c r="BZ36" s="69">
        <v>26</v>
      </c>
      <c r="CA36" s="69">
        <v>26</v>
      </c>
      <c r="CB36" s="69">
        <v>26</v>
      </c>
      <c r="CC36" s="69">
        <v>26</v>
      </c>
      <c r="CD36" s="69">
        <v>26</v>
      </c>
      <c r="CE36" s="69">
        <v>26</v>
      </c>
      <c r="CF36" s="69">
        <v>26</v>
      </c>
      <c r="CG36" s="69">
        <v>26</v>
      </c>
      <c r="CH36" s="69"/>
      <c r="CJ36" s="751">
        <v>26.83</v>
      </c>
      <c r="CK36" s="751">
        <f>CJ36</f>
        <v>26.83</v>
      </c>
      <c r="CL36" s="751">
        <f t="shared" ref="CL36:CV36" si="93">CK36</f>
        <v>26.83</v>
      </c>
      <c r="CM36" s="751">
        <f t="shared" si="93"/>
        <v>26.83</v>
      </c>
      <c r="CN36" s="751">
        <f t="shared" si="93"/>
        <v>26.83</v>
      </c>
      <c r="CO36" s="751">
        <f t="shared" si="93"/>
        <v>26.83</v>
      </c>
      <c r="CP36" s="751">
        <v>28.44</v>
      </c>
      <c r="CQ36" s="751">
        <f t="shared" si="93"/>
        <v>28.44</v>
      </c>
      <c r="CR36" s="751">
        <f t="shared" si="93"/>
        <v>28.44</v>
      </c>
      <c r="CS36" s="751">
        <f t="shared" si="93"/>
        <v>28.44</v>
      </c>
      <c r="CT36" s="751">
        <f t="shared" si="93"/>
        <v>28.44</v>
      </c>
      <c r="CU36" s="751">
        <f t="shared" si="93"/>
        <v>28.44</v>
      </c>
      <c r="CV36" s="69">
        <f t="shared" si="93"/>
        <v>28.44</v>
      </c>
      <c r="CW36" s="758"/>
      <c r="CX36" s="881">
        <v>26</v>
      </c>
      <c r="CY36" s="881">
        <v>26</v>
      </c>
      <c r="CZ36" s="881">
        <v>26</v>
      </c>
      <c r="DA36" s="881">
        <v>26</v>
      </c>
      <c r="DB36" s="881">
        <v>26</v>
      </c>
      <c r="DC36" s="881">
        <v>26</v>
      </c>
      <c r="DD36" s="881">
        <v>26</v>
      </c>
      <c r="DE36" s="881">
        <v>26</v>
      </c>
      <c r="DF36" s="881">
        <v>26</v>
      </c>
      <c r="DG36" s="881">
        <v>26</v>
      </c>
      <c r="DH36" s="881">
        <v>26</v>
      </c>
      <c r="DI36" s="881">
        <v>26</v>
      </c>
      <c r="DJ36" s="69"/>
      <c r="DK36" s="948"/>
      <c r="DL36" s="881">
        <v>26</v>
      </c>
      <c r="DM36" s="881">
        <v>26</v>
      </c>
      <c r="DN36" s="881">
        <v>26</v>
      </c>
      <c r="DO36" s="881">
        <v>26</v>
      </c>
      <c r="DP36" s="881">
        <v>26</v>
      </c>
      <c r="DQ36" s="881">
        <v>26</v>
      </c>
      <c r="DR36" s="881">
        <v>26</v>
      </c>
      <c r="DS36" s="881">
        <v>26</v>
      </c>
      <c r="DT36" s="881">
        <v>26</v>
      </c>
      <c r="DU36" s="881">
        <v>26</v>
      </c>
      <c r="DV36" s="881">
        <v>26</v>
      </c>
      <c r="DW36" s="881">
        <v>26</v>
      </c>
      <c r="DX36" s="69"/>
    </row>
    <row r="37" spans="1:129" ht="18.75">
      <c r="A37" s="79"/>
      <c r="B37" s="80" t="s">
        <v>121</v>
      </c>
      <c r="C37" s="81"/>
      <c r="D37" s="288">
        <v>82250</v>
      </c>
      <c r="E37" s="57">
        <v>117000</v>
      </c>
      <c r="F37" s="57">
        <v>121750</v>
      </c>
      <c r="G37" s="57">
        <v>150000</v>
      </c>
      <c r="H37" s="57">
        <v>99500</v>
      </c>
      <c r="I37" s="57">
        <v>102000</v>
      </c>
      <c r="J37" s="57">
        <v>177632</v>
      </c>
      <c r="K37" s="57">
        <v>178158</v>
      </c>
      <c r="L37" s="57">
        <v>199211</v>
      </c>
      <c r="M37" s="57">
        <v>229474</v>
      </c>
      <c r="N37" s="57">
        <v>122368</v>
      </c>
      <c r="O37" s="57">
        <v>38421</v>
      </c>
      <c r="P37" s="289">
        <f>SUM(D37:O37)</f>
        <v>1617764</v>
      </c>
      <c r="Q37" s="39"/>
      <c r="R37" s="288">
        <v>115619.79612330014</v>
      </c>
      <c r="S37" s="58">
        <v>123327.78253152016</v>
      </c>
      <c r="T37" s="58">
        <v>128854</v>
      </c>
      <c r="U37" s="58">
        <f>126016*0.15</f>
        <v>18902.399999999998</v>
      </c>
      <c r="V37" s="58">
        <v>35234</v>
      </c>
      <c r="W37" s="290">
        <v>56469.381950239796</v>
      </c>
      <c r="X37" s="290">
        <v>118413.33333333299</v>
      </c>
      <c r="Y37" s="290">
        <v>198797.08333333331</v>
      </c>
      <c r="Z37" s="290">
        <v>242087.5</v>
      </c>
      <c r="AA37" s="290">
        <v>140000</v>
      </c>
      <c r="AB37" s="290">
        <v>0</v>
      </c>
      <c r="AC37" s="290">
        <v>-45300</v>
      </c>
      <c r="AD37" s="291">
        <f>SUM(R37:AC37)</f>
        <v>1132405.2772717264</v>
      </c>
      <c r="AE37" s="59"/>
      <c r="AF37" s="292">
        <v>90146</v>
      </c>
      <c r="AG37" s="58">
        <v>155577</v>
      </c>
      <c r="AH37" s="58">
        <v>62953</v>
      </c>
      <c r="AI37" s="58">
        <v>73261</v>
      </c>
      <c r="AJ37" s="58">
        <v>91856</v>
      </c>
      <c r="AK37" s="58">
        <v>120000</v>
      </c>
      <c r="AL37" s="58">
        <v>110295</v>
      </c>
      <c r="AM37" s="58">
        <v>200203</v>
      </c>
      <c r="AN37" s="58">
        <f t="shared" ref="AN37:AQ37" si="94">AN35/AN36</f>
        <v>223833.33333333334</v>
      </c>
      <c r="AO37" s="58">
        <f t="shared" si="94"/>
        <v>218500</v>
      </c>
      <c r="AP37" s="58">
        <f t="shared" si="94"/>
        <v>88000</v>
      </c>
      <c r="AQ37" s="58">
        <f t="shared" si="94"/>
        <v>43400</v>
      </c>
      <c r="AR37" s="58">
        <f>SUM(AF37:AQ37)</f>
        <v>1478024.3333333333</v>
      </c>
      <c r="AS37" s="59"/>
      <c r="AT37" s="58">
        <f t="shared" ref="AT37:BE37" si="95">AT35/AT36</f>
        <v>116596.25</v>
      </c>
      <c r="AU37" s="58">
        <f t="shared" si="95"/>
        <v>133233.10344827586</v>
      </c>
      <c r="AV37" s="58">
        <f t="shared" si="95"/>
        <v>118249.13793103448</v>
      </c>
      <c r="AW37" s="58">
        <f t="shared" si="95"/>
        <v>121564.13793103448</v>
      </c>
      <c r="AX37" s="58">
        <f t="shared" si="95"/>
        <v>86533.965517241377</v>
      </c>
      <c r="AY37" s="58">
        <f t="shared" si="95"/>
        <v>104777.77777777778</v>
      </c>
      <c r="AZ37" s="58">
        <f t="shared" si="95"/>
        <v>135777.77777777778</v>
      </c>
      <c r="BA37" s="58">
        <f t="shared" si="95"/>
        <v>211296.29629629629</v>
      </c>
      <c r="BB37" s="58">
        <f t="shared" si="95"/>
        <v>210777.77777777778</v>
      </c>
      <c r="BC37" s="58">
        <f t="shared" si="95"/>
        <v>214806.29075565783</v>
      </c>
      <c r="BD37" s="58">
        <f t="shared" si="95"/>
        <v>93210.586881472962</v>
      </c>
      <c r="BE37" s="58">
        <f t="shared" si="95"/>
        <v>30686.612965093977</v>
      </c>
      <c r="BF37" s="58">
        <f>SUM(AT37:BE37)</f>
        <v>1577509.7150594404</v>
      </c>
      <c r="BG37" s="59">
        <f>BF37-AR37</f>
        <v>99485.381726107094</v>
      </c>
      <c r="BH37" s="58">
        <f>BH34</f>
        <v>116600</v>
      </c>
      <c r="BI37" s="58">
        <f t="shared" ref="BI37:BT37" si="96">BI34</f>
        <v>111533.33333333333</v>
      </c>
      <c r="BJ37" s="58">
        <f t="shared" si="96"/>
        <v>135674.07407407407</v>
      </c>
      <c r="BK37" s="58">
        <f t="shared" si="96"/>
        <v>121740.74074074074</v>
      </c>
      <c r="BL37" s="58">
        <f t="shared" si="96"/>
        <v>93926.851851851854</v>
      </c>
      <c r="BM37" s="58">
        <f t="shared" si="96"/>
        <v>90679.259259259255</v>
      </c>
      <c r="BN37" s="58">
        <f t="shared" si="96"/>
        <v>130255.55555555556</v>
      </c>
      <c r="BO37" s="58">
        <f t="shared" si="96"/>
        <v>150550.37811111109</v>
      </c>
      <c r="BP37" s="58">
        <f t="shared" si="96"/>
        <v>161830.74953703705</v>
      </c>
      <c r="BQ37" s="58">
        <f t="shared" si="96"/>
        <v>127130</v>
      </c>
      <c r="BR37" s="58">
        <f>BR34</f>
        <v>138687.6</v>
      </c>
      <c r="BS37" s="58">
        <f t="shared" si="96"/>
        <v>43639.199999999997</v>
      </c>
      <c r="BT37" s="58">
        <f t="shared" si="96"/>
        <v>1422247.7424629631</v>
      </c>
      <c r="BU37" s="60"/>
      <c r="BV37" s="58">
        <f>'META  EM PEÇAS'!S73</f>
        <v>130757.867486095</v>
      </c>
      <c r="BW37" s="58">
        <f>'META  EM PEÇAS'!T73</f>
        <v>125566.83045180296</v>
      </c>
      <c r="BX37" s="58">
        <f>'META  EM PEÇAS'!U73</f>
        <v>160961.53846153844</v>
      </c>
      <c r="BY37" s="58">
        <f>'META  EM PEÇAS'!V73</f>
        <v>128769.23076923078</v>
      </c>
      <c r="BZ37" s="58">
        <f>'META  EM PEÇAS'!W73</f>
        <v>118232.39341785663</v>
      </c>
      <c r="CA37" s="58">
        <f>'META  EM PEÇAS'!X73</f>
        <v>108192.12910096844</v>
      </c>
      <c r="CB37" s="58">
        <f>'META  EM PEÇAS'!Y73</f>
        <v>143736.21444761599</v>
      </c>
      <c r="CC37" s="58">
        <f>'META  EM PEÇAS'!Z73</f>
        <v>170653.87382484006</v>
      </c>
      <c r="CD37" s="58">
        <f>'META  EM PEÇAS'!AA73</f>
        <v>181168.0933115824</v>
      </c>
      <c r="CE37" s="58">
        <f>'META  EM PEÇAS'!AB73</f>
        <v>182469.1164631079</v>
      </c>
      <c r="CF37" s="58">
        <f>'META  EM PEÇAS'!AC73</f>
        <v>133115.84223630186</v>
      </c>
      <c r="CG37" s="58">
        <f>'META  EM PEÇAS'!AD73</f>
        <v>30483.816691710366</v>
      </c>
      <c r="CH37" s="58">
        <v>45</v>
      </c>
      <c r="CI37">
        <f>CH37*26</f>
        <v>1170</v>
      </c>
      <c r="CJ37" s="58">
        <f>CJ35/CJ36</f>
        <v>129344.16697726426</v>
      </c>
      <c r="CK37" s="58">
        <f t="shared" ref="CK37:CU37" si="97">CK35/CK36</f>
        <v>150873.49981364145</v>
      </c>
      <c r="CL37" s="58">
        <f t="shared" si="97"/>
        <v>141379.05329854641</v>
      </c>
      <c r="CM37" s="58">
        <f t="shared" si="97"/>
        <v>136578.1587774879</v>
      </c>
      <c r="CN37" s="58">
        <f>CN35/CN36</f>
        <v>136291.91203876259</v>
      </c>
      <c r="CO37" s="58">
        <f t="shared" si="97"/>
        <v>103386.95490122997</v>
      </c>
      <c r="CP37" s="58">
        <f>CP35/CP36</f>
        <v>181610.97046413503</v>
      </c>
      <c r="CQ37" s="58">
        <f t="shared" si="97"/>
        <v>199329.11392405062</v>
      </c>
      <c r="CR37" s="58">
        <f t="shared" si="97"/>
        <v>234765.40084388186</v>
      </c>
      <c r="CS37" s="58">
        <f>CS35/CS36</f>
        <v>217806.7510548523</v>
      </c>
      <c r="CT37" s="58">
        <f t="shared" si="97"/>
        <v>134135.02109704641</v>
      </c>
      <c r="CU37" s="58">
        <f t="shared" si="97"/>
        <v>51311.392405063292</v>
      </c>
      <c r="CV37" s="58">
        <f>SUM(CJ37:CU37)</f>
        <v>1816812.3955959619</v>
      </c>
      <c r="CW37" s="758"/>
      <c r="CX37" s="880">
        <f>CX38*1.1</f>
        <v>185917.71000000002</v>
      </c>
      <c r="CY37" s="880">
        <f t="shared" ref="CY37:DI37" si="98">CY38*1.1</f>
        <v>211966.59</v>
      </c>
      <c r="CZ37" s="880">
        <f t="shared" si="98"/>
        <v>152067.96000000002</v>
      </c>
      <c r="DA37" s="880">
        <f t="shared" si="98"/>
        <v>148313.33000000005</v>
      </c>
      <c r="DB37" s="880">
        <f t="shared" si="98"/>
        <v>143391.05000000002</v>
      </c>
      <c r="DC37" s="880">
        <f t="shared" si="98"/>
        <v>99278.080000000016</v>
      </c>
      <c r="DD37" s="880">
        <f t="shared" si="98"/>
        <v>182944.74000000005</v>
      </c>
      <c r="DE37" s="880">
        <f t="shared" si="98"/>
        <v>195388.38</v>
      </c>
      <c r="DF37" s="880">
        <f t="shared" si="98"/>
        <v>264790.35000000003</v>
      </c>
      <c r="DG37" s="880">
        <f t="shared" si="98"/>
        <v>247948.86033755276</v>
      </c>
      <c r="DH37" s="880">
        <f t="shared" si="98"/>
        <v>151768.20675105488</v>
      </c>
      <c r="DI37" s="880">
        <f t="shared" si="98"/>
        <v>62612.445569620257</v>
      </c>
      <c r="DJ37" s="58">
        <f>SUM(CX37:DI37)</f>
        <v>2046387.7026582283</v>
      </c>
      <c r="DK37" s="952">
        <f>DJ37-CV37</f>
        <v>229575.30706226639</v>
      </c>
      <c r="DL37" s="880">
        <f>DL38*1.1</f>
        <v>185917.71000000002</v>
      </c>
      <c r="DM37" s="880">
        <f t="shared" ref="DM37:DW37" si="99">DM38*1.1</f>
        <v>211966.59</v>
      </c>
      <c r="DN37" s="880">
        <f t="shared" si="99"/>
        <v>152067.96000000002</v>
      </c>
      <c r="DO37" s="880">
        <f t="shared" si="99"/>
        <v>148313.33000000005</v>
      </c>
      <c r="DP37" s="880">
        <f t="shared" si="99"/>
        <v>143391.05000000002</v>
      </c>
      <c r="DQ37" s="880">
        <f t="shared" si="99"/>
        <v>99278.080000000016</v>
      </c>
      <c r="DR37" s="880">
        <f t="shared" si="99"/>
        <v>182944.74000000005</v>
      </c>
      <c r="DS37" s="880">
        <f t="shared" si="99"/>
        <v>195388.38</v>
      </c>
      <c r="DT37" s="880">
        <f t="shared" si="99"/>
        <v>264790.35000000003</v>
      </c>
      <c r="DU37" s="880">
        <f t="shared" si="99"/>
        <v>247948.86033755276</v>
      </c>
      <c r="DV37" s="880">
        <f t="shared" si="99"/>
        <v>151768.20675105488</v>
      </c>
      <c r="DW37" s="880">
        <f t="shared" si="99"/>
        <v>62612.445569620257</v>
      </c>
      <c r="DX37" s="58">
        <f>SUM(DL37:DW37)</f>
        <v>2046387.7026582283</v>
      </c>
      <c r="DY37" s="598">
        <f>DX37-DJ37</f>
        <v>0</v>
      </c>
    </row>
    <row r="38" spans="1:129" ht="18.75" hidden="1">
      <c r="A38" s="307"/>
      <c r="B38" s="918"/>
      <c r="C38" s="919" t="s">
        <v>122</v>
      </c>
      <c r="D38" s="309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310"/>
      <c r="Q38" s="84"/>
      <c r="R38" s="309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311"/>
      <c r="AE38" s="23"/>
      <c r="AF38" s="312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6"/>
      <c r="AS38" s="23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2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54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J38" s="87">
        <f t="shared" ref="CJ38:CT38" si="100">(CJ37*0.95)-2000</f>
        <v>120876.95862840104</v>
      </c>
      <c r="CK38" s="87">
        <f t="shared" si="100"/>
        <v>141329.82482295937</v>
      </c>
      <c r="CL38" s="87">
        <f t="shared" si="100"/>
        <v>132310.10063361909</v>
      </c>
      <c r="CM38" s="87">
        <f t="shared" si="100"/>
        <v>127749.2508386135</v>
      </c>
      <c r="CN38" s="87">
        <f t="shared" si="100"/>
        <v>127477.31643682445</v>
      </c>
      <c r="CO38" s="87">
        <f t="shared" si="100"/>
        <v>96217.607156168466</v>
      </c>
      <c r="CP38" s="87">
        <f>(CP37*0.95)-2000</f>
        <v>170530.42194092827</v>
      </c>
      <c r="CQ38" s="87">
        <f t="shared" si="100"/>
        <v>187362.65822784806</v>
      </c>
      <c r="CR38" s="87">
        <f t="shared" si="100"/>
        <v>221027.13080168774</v>
      </c>
      <c r="CS38" s="87">
        <f t="shared" si="100"/>
        <v>204916.41350210967</v>
      </c>
      <c r="CT38" s="87">
        <f t="shared" si="100"/>
        <v>125428.27004219408</v>
      </c>
      <c r="CU38" s="87">
        <f>(CU37*0.95)-2000</f>
        <v>46745.822784810123</v>
      </c>
      <c r="CV38" s="87">
        <f>SUM(CJ38:CU38)</f>
        <v>1701971.775816164</v>
      </c>
      <c r="CW38" s="758"/>
      <c r="CX38" s="883">
        <v>169016.1</v>
      </c>
      <c r="CY38" s="883">
        <v>192696.9</v>
      </c>
      <c r="CZ38" s="883">
        <v>138243.6</v>
      </c>
      <c r="DA38" s="883">
        <v>134830.30000000002</v>
      </c>
      <c r="DB38" s="883">
        <v>130355.5</v>
      </c>
      <c r="DC38" s="883">
        <v>90252.800000000003</v>
      </c>
      <c r="DD38" s="883">
        <v>166313.40000000002</v>
      </c>
      <c r="DE38" s="883">
        <v>177625.8</v>
      </c>
      <c r="DF38" s="883">
        <v>240718.5</v>
      </c>
      <c r="DG38" s="883">
        <v>225408.05485232067</v>
      </c>
      <c r="DH38" s="883">
        <v>137971.09704641352</v>
      </c>
      <c r="DI38" s="883">
        <v>56920.405063291139</v>
      </c>
      <c r="DJ38" s="87">
        <f>SUM(CX38:DI38)</f>
        <v>1860352.4569620253</v>
      </c>
      <c r="DK38" s="948"/>
      <c r="DL38" s="883">
        <v>169016.1</v>
      </c>
      <c r="DM38" s="883">
        <v>192696.9</v>
      </c>
      <c r="DN38" s="883">
        <v>138243.6</v>
      </c>
      <c r="DO38" s="883">
        <v>134830.30000000002</v>
      </c>
      <c r="DP38" s="883">
        <v>130355.5</v>
      </c>
      <c r="DQ38" s="883">
        <v>90252.800000000003</v>
      </c>
      <c r="DR38" s="883">
        <v>166313.40000000002</v>
      </c>
      <c r="DS38" s="883">
        <v>177625.8</v>
      </c>
      <c r="DT38" s="883">
        <v>240718.5</v>
      </c>
      <c r="DU38" s="883">
        <v>225408.05485232067</v>
      </c>
      <c r="DV38" s="883">
        <v>137971.09704641352</v>
      </c>
      <c r="DW38" s="883">
        <v>56920.405063291139</v>
      </c>
      <c r="DX38" s="87">
        <f>SUM(DL38:DW38)</f>
        <v>1860352.4569620253</v>
      </c>
    </row>
    <row r="39" spans="1:129" ht="18.75" hidden="1">
      <c r="A39" s="709"/>
      <c r="B39" s="920"/>
      <c r="C39" s="920"/>
      <c r="D39" s="309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310"/>
      <c r="Q39" s="84"/>
      <c r="R39" s="309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311"/>
      <c r="AE39" s="23"/>
      <c r="AF39" s="312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6"/>
      <c r="AS39" s="23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2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54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J39" s="711">
        <f>(CJ37-CJ38)/CJ38</f>
        <v>7.0048158432683957E-2</v>
      </c>
      <c r="CK39" s="711">
        <f t="shared" ref="CK39:CU39" si="101">(CK37-CK38)/CK38</f>
        <v>6.7527678624361279E-2</v>
      </c>
      <c r="CL39" s="711">
        <f t="shared" si="101"/>
        <v>6.8543162022378201E-2</v>
      </c>
      <c r="CM39" s="711">
        <f t="shared" si="101"/>
        <v>6.911123064062441E-2</v>
      </c>
      <c r="CN39" s="711">
        <f t="shared" si="101"/>
        <v>6.9146385006516056E-2</v>
      </c>
      <c r="CO39" s="711">
        <f t="shared" si="101"/>
        <v>7.4511806694850649E-2</v>
      </c>
      <c r="CP39" s="711">
        <f t="shared" si="101"/>
        <v>6.4976960691770641E-2</v>
      </c>
      <c r="CQ39" s="711">
        <f t="shared" si="101"/>
        <v>6.3867879594504795E-2</v>
      </c>
      <c r="CR39" s="711">
        <f t="shared" si="101"/>
        <v>6.2156487270879454E-2</v>
      </c>
      <c r="CS39" s="711">
        <f t="shared" si="101"/>
        <v>6.2905344342316025E-2</v>
      </c>
      <c r="CT39" s="711">
        <f t="shared" si="101"/>
        <v>6.94161774847359E-2</v>
      </c>
      <c r="CU39" s="711">
        <f t="shared" si="101"/>
        <v>9.7667970061631554E-2</v>
      </c>
      <c r="CV39" s="87"/>
      <c r="CW39" s="758"/>
      <c r="CX39" s="883"/>
      <c r="CY39" s="883"/>
      <c r="CZ39" s="883"/>
      <c r="DA39" s="883"/>
      <c r="DB39" s="883"/>
      <c r="DC39" s="883"/>
      <c r="DD39" s="883"/>
      <c r="DE39" s="883"/>
      <c r="DF39" s="883"/>
      <c r="DG39" s="883"/>
      <c r="DH39" s="883"/>
      <c r="DI39" s="883"/>
      <c r="DJ39" s="87"/>
      <c r="DK39" s="948"/>
      <c r="DL39" s="883"/>
      <c r="DM39" s="883"/>
      <c r="DN39" s="883"/>
      <c r="DO39" s="883"/>
      <c r="DP39" s="883"/>
      <c r="DQ39" s="883"/>
      <c r="DR39" s="883"/>
      <c r="DS39" s="883"/>
      <c r="DT39" s="883"/>
      <c r="DU39" s="883"/>
      <c r="DV39" s="883"/>
      <c r="DW39" s="883"/>
      <c r="DX39" s="87"/>
    </row>
    <row r="40" spans="1:129" ht="15" hidden="1" customHeight="1" outlineLevel="1">
      <c r="A40" s="88">
        <v>1</v>
      </c>
      <c r="B40" s="1078" t="s">
        <v>56</v>
      </c>
      <c r="C40" s="1119"/>
      <c r="D40" s="313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314">
        <f t="shared" ref="P40:P52" si="102">SUM(D40:O40)</f>
        <v>0</v>
      </c>
      <c r="Q40" s="90"/>
      <c r="R40" s="313">
        <v>7017.5438596491231</v>
      </c>
      <c r="S40" s="91">
        <v>7017.5438596491231</v>
      </c>
      <c r="T40" s="91">
        <f>7017.54385964912/2</f>
        <v>3508.7719298245602</v>
      </c>
      <c r="U40" s="91">
        <f>96*U7</f>
        <v>96</v>
      </c>
      <c r="V40" s="91">
        <v>3000</v>
      </c>
      <c r="W40" s="91">
        <v>7200</v>
      </c>
      <c r="X40" s="91">
        <v>8500</v>
      </c>
      <c r="Y40" s="91">
        <v>8500</v>
      </c>
      <c r="Z40" s="91">
        <v>8500</v>
      </c>
      <c r="AA40" s="91">
        <v>9000</v>
      </c>
      <c r="AB40" s="91">
        <v>9500</v>
      </c>
      <c r="AC40" s="91">
        <v>8500</v>
      </c>
      <c r="AD40" s="315">
        <f t="shared" ref="AD40:AD54" si="103">SUM(R40:AC40)</f>
        <v>80339.859649122809</v>
      </c>
      <c r="AE40" s="23"/>
      <c r="AF40" s="316">
        <v>8000</v>
      </c>
      <c r="AG40" s="91">
        <v>4000</v>
      </c>
      <c r="AH40" s="91">
        <v>5673</v>
      </c>
      <c r="AI40" s="91">
        <v>4500</v>
      </c>
      <c r="AJ40" s="91">
        <v>7892</v>
      </c>
      <c r="AK40" s="91">
        <v>6400</v>
      </c>
      <c r="AL40" s="91">
        <v>8000</v>
      </c>
      <c r="AM40" s="91">
        <v>8000</v>
      </c>
      <c r="AN40" s="91">
        <v>8000</v>
      </c>
      <c r="AO40" s="91">
        <v>8000</v>
      </c>
      <c r="AP40" s="91">
        <v>8800</v>
      </c>
      <c r="AQ40" s="91">
        <v>6400</v>
      </c>
      <c r="AR40" s="92">
        <f t="shared" ref="AR40:AR58" si="104">SUM(AF40:AQ40)</f>
        <v>83665</v>
      </c>
      <c r="AS40" s="23"/>
      <c r="AT40" s="91">
        <v>4861</v>
      </c>
      <c r="AU40" s="91">
        <v>5809</v>
      </c>
      <c r="AV40" s="91">
        <v>5072</v>
      </c>
      <c r="AW40" s="91">
        <v>4725</v>
      </c>
      <c r="AX40" s="317">
        <v>5832</v>
      </c>
      <c r="AY40" s="317">
        <v>5832</v>
      </c>
      <c r="AZ40" s="317">
        <v>5567</v>
      </c>
      <c r="BA40" s="317">
        <v>5567</v>
      </c>
      <c r="BB40" s="317">
        <v>5832</v>
      </c>
      <c r="BC40" s="317">
        <v>6892</v>
      </c>
      <c r="BD40" s="317">
        <v>7422</v>
      </c>
      <c r="BE40" s="317">
        <v>4241</v>
      </c>
      <c r="BF40" s="91">
        <f t="shared" ref="BF40:BF72" si="105">SUM(AT40:BE40)</f>
        <v>67652</v>
      </c>
      <c r="BG40" s="93">
        <f t="shared" ref="BG40:BG58" si="106">BF40/AR40-1</f>
        <v>-0.19139425088149165</v>
      </c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>
        <v>36051</v>
      </c>
      <c r="BU40" s="54"/>
      <c r="BV40" s="91">
        <v>4782.99</v>
      </c>
      <c r="BW40" s="91">
        <v>2945.31</v>
      </c>
      <c r="BX40" s="91">
        <f>'META  EM PEÇAS'!U26-('META  EM PEÇAS'!U26*0.05)</f>
        <v>7080.3689999999997</v>
      </c>
      <c r="BY40" s="91">
        <f>'META  EM PEÇAS'!V26-('META  EM PEÇAS'!V26*0.05)</f>
        <v>4355.6549999999997</v>
      </c>
      <c r="BZ40" s="91">
        <f>'META  EM PEÇAS'!W26-('META  EM PEÇAS'!W26*0.05)</f>
        <v>5839.9349999999995</v>
      </c>
      <c r="CA40" s="91">
        <f>'META  EM PEÇAS'!X26-('META  EM PEÇAS'!X26*0.05)</f>
        <v>5900.8964999999989</v>
      </c>
      <c r="CB40" s="91">
        <f>'META  EM PEÇAS'!Y26-('META  EM PEÇAS'!Y26*0.05)</f>
        <v>5279.7959999999994</v>
      </c>
      <c r="CC40" s="91">
        <f>'META  EM PEÇAS'!Z26-('META  EM PEÇAS'!Z26*0.05)</f>
        <v>4897.2404999999999</v>
      </c>
      <c r="CD40" s="91">
        <f>'META  EM PEÇAS'!AA26-('META  EM PEÇAS'!AA26*0.05)</f>
        <v>5018.28</v>
      </c>
      <c r="CE40" s="91">
        <f>'META  EM PEÇAS'!AB26-('META  EM PEÇAS'!AB26*0.05)</f>
        <v>4641.0254999999997</v>
      </c>
      <c r="CF40" s="91">
        <f>'META  EM PEÇAS'!AC26-('META  EM PEÇAS'!AC26*0.05)</f>
        <v>6521.1134999999995</v>
      </c>
      <c r="CG40" s="91">
        <f>'META  EM PEÇAS'!AD26-('META  EM PEÇAS'!AD26*0.05)</f>
        <v>3929.8079999999995</v>
      </c>
      <c r="CH40" s="91">
        <v>4136.6400000000003</v>
      </c>
      <c r="CJ40" s="91">
        <v>4782.99</v>
      </c>
      <c r="CK40" s="91">
        <v>2945.31</v>
      </c>
      <c r="CL40" s="91">
        <v>7080.3689999999997</v>
      </c>
      <c r="CM40" s="91">
        <v>4355.6549999999997</v>
      </c>
      <c r="CN40" s="91">
        <v>5839.9349999999995</v>
      </c>
      <c r="CO40" s="91">
        <v>5900.8964999999989</v>
      </c>
      <c r="CP40" s="91">
        <v>5279.7959999999994</v>
      </c>
      <c r="CQ40" s="91">
        <v>4897.2404999999999</v>
      </c>
      <c r="CR40" s="91">
        <v>5018.28</v>
      </c>
      <c r="CS40" s="91">
        <v>4641.0254999999997</v>
      </c>
      <c r="CT40" s="91">
        <v>6521.1134999999995</v>
      </c>
      <c r="CU40" s="91">
        <v>3929.8079999999995</v>
      </c>
      <c r="CV40" s="91">
        <v>4136.6400000000003</v>
      </c>
      <c r="CW40" s="758"/>
      <c r="CX40" s="884">
        <v>4782.99</v>
      </c>
      <c r="CY40" s="884">
        <v>2945.31</v>
      </c>
      <c r="CZ40" s="884">
        <v>7080.3689999999997</v>
      </c>
      <c r="DA40" s="884">
        <v>4355.6549999999997</v>
      </c>
      <c r="DB40" s="884">
        <v>5839.9349999999995</v>
      </c>
      <c r="DC40" s="884">
        <v>5900.8964999999989</v>
      </c>
      <c r="DD40" s="884">
        <v>5279.7959999999994</v>
      </c>
      <c r="DE40" s="884">
        <v>4897.2404999999999</v>
      </c>
      <c r="DF40" s="884">
        <v>5018.28</v>
      </c>
      <c r="DG40" s="884">
        <v>4641.0254999999997</v>
      </c>
      <c r="DH40" s="884">
        <v>6521.1134999999995</v>
      </c>
      <c r="DI40" s="884">
        <v>3929.8079999999995</v>
      </c>
      <c r="DJ40" s="91">
        <v>4136.6400000000003</v>
      </c>
      <c r="DK40" s="948"/>
      <c r="DL40" s="884">
        <v>4782.99</v>
      </c>
      <c r="DM40" s="884">
        <v>2945.31</v>
      </c>
      <c r="DN40" s="884">
        <v>7080.3689999999997</v>
      </c>
      <c r="DO40" s="884">
        <v>4355.6549999999997</v>
      </c>
      <c r="DP40" s="884">
        <v>5839.9349999999995</v>
      </c>
      <c r="DQ40" s="884">
        <v>5900.8964999999989</v>
      </c>
      <c r="DR40" s="884">
        <v>5279.7959999999994</v>
      </c>
      <c r="DS40" s="884">
        <v>4897.2404999999999</v>
      </c>
      <c r="DT40" s="884">
        <v>5018.28</v>
      </c>
      <c r="DU40" s="884">
        <v>4641.0254999999997</v>
      </c>
      <c r="DV40" s="884">
        <v>6521.1134999999995</v>
      </c>
      <c r="DW40" s="884">
        <v>3929.8079999999995</v>
      </c>
      <c r="DX40" s="91">
        <v>4136.6400000000003</v>
      </c>
    </row>
    <row r="41" spans="1:129" ht="15" hidden="1" customHeight="1" outlineLevel="1">
      <c r="A41" s="94">
        <v>2</v>
      </c>
      <c r="B41" s="1079" t="s">
        <v>57</v>
      </c>
      <c r="C41" s="1120"/>
      <c r="D41" s="313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314">
        <f t="shared" si="102"/>
        <v>0</v>
      </c>
      <c r="Q41" s="90"/>
      <c r="R41" s="313">
        <v>2909</v>
      </c>
      <c r="S41" s="91">
        <v>2545</v>
      </c>
      <c r="T41" s="91">
        <f>2727/1.2</f>
        <v>2272.5</v>
      </c>
      <c r="U41" s="91">
        <f>2*U7</f>
        <v>2</v>
      </c>
      <c r="V41" s="91">
        <v>500</v>
      </c>
      <c r="W41" s="91">
        <v>1300</v>
      </c>
      <c r="X41" s="91">
        <v>3200</v>
      </c>
      <c r="Y41" s="91">
        <v>3200</v>
      </c>
      <c r="Z41" s="91">
        <v>3600</v>
      </c>
      <c r="AA41" s="91">
        <v>3600</v>
      </c>
      <c r="AB41" s="91">
        <v>3600</v>
      </c>
      <c r="AC41" s="91">
        <v>4500</v>
      </c>
      <c r="AD41" s="315">
        <f t="shared" si="103"/>
        <v>31228.5</v>
      </c>
      <c r="AE41" s="23"/>
      <c r="AF41" s="316">
        <v>4000</v>
      </c>
      <c r="AG41" s="91">
        <v>1500</v>
      </c>
      <c r="AH41" s="91">
        <v>189</v>
      </c>
      <c r="AI41" s="91">
        <v>1842</v>
      </c>
      <c r="AJ41" s="91">
        <v>3764</v>
      </c>
      <c r="AK41" s="91">
        <v>3200</v>
      </c>
      <c r="AL41" s="91">
        <v>6000</v>
      </c>
      <c r="AM41" s="91">
        <v>5000</v>
      </c>
      <c r="AN41" s="91">
        <v>5000</v>
      </c>
      <c r="AO41" s="91">
        <v>5000</v>
      </c>
      <c r="AP41" s="91">
        <v>5000</v>
      </c>
      <c r="AQ41" s="91">
        <v>9000</v>
      </c>
      <c r="AR41" s="92">
        <f t="shared" si="104"/>
        <v>49495</v>
      </c>
      <c r="AS41" s="23"/>
      <c r="AT41" s="91">
        <v>5468</v>
      </c>
      <c r="AU41" s="91">
        <v>5468</v>
      </c>
      <c r="AV41" s="91">
        <v>6249</v>
      </c>
      <c r="AW41" s="91">
        <v>6249</v>
      </c>
      <c r="AX41" s="317">
        <v>3923</v>
      </c>
      <c r="AY41" s="317">
        <v>3923</v>
      </c>
      <c r="AZ41" s="317">
        <v>3745</v>
      </c>
      <c r="BA41" s="317">
        <v>3745</v>
      </c>
      <c r="BB41" s="317">
        <v>3923</v>
      </c>
      <c r="BC41" s="317">
        <v>4636</v>
      </c>
      <c r="BD41" s="317">
        <v>4993</v>
      </c>
      <c r="BE41" s="317">
        <v>7133</v>
      </c>
      <c r="BF41" s="91">
        <f t="shared" si="105"/>
        <v>59455</v>
      </c>
      <c r="BG41" s="93">
        <f t="shared" si="106"/>
        <v>0.20123244772199222</v>
      </c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>
        <v>40562</v>
      </c>
      <c r="BU41" s="54"/>
      <c r="BV41" s="91">
        <v>4442.6099999999997</v>
      </c>
      <c r="BW41" s="91">
        <v>3433.56</v>
      </c>
      <c r="BX41" s="91">
        <f>'META  EM PEÇAS'!U27-('META  EM PEÇAS'!U27*0.05)</f>
        <v>3860.0114999999996</v>
      </c>
      <c r="BY41" s="91">
        <f>'META  EM PEÇAS'!V27-('META  EM PEÇAS'!V27*0.05)</f>
        <v>3578.1749999999997</v>
      </c>
      <c r="BZ41" s="91">
        <f>'META  EM PEÇAS'!W27-('META  EM PEÇAS'!W27*0.05)</f>
        <v>4015.5074999999997</v>
      </c>
      <c r="CA41" s="91">
        <f>'META  EM PEÇAS'!X27-('META  EM PEÇAS'!X27*0.05)</f>
        <v>4835.3954999999996</v>
      </c>
      <c r="CB41" s="91">
        <f>'META  EM PEÇAS'!Y27-('META  EM PEÇAS'!Y27*0.05)</f>
        <v>5815.1969999999992</v>
      </c>
      <c r="CC41" s="91">
        <f>'META  EM PEÇAS'!Z27-('META  EM PEÇAS'!Z27*0.05)</f>
        <v>3888.2835</v>
      </c>
      <c r="CD41" s="91">
        <f>'META  EM PEÇAS'!AA27-('META  EM PEÇAS'!AA27*0.05)</f>
        <v>4032.2939999999994</v>
      </c>
      <c r="CE41" s="91">
        <f>'META  EM PEÇAS'!AB27-('META  EM PEÇAS'!AB27*0.05)</f>
        <v>4375.0919999999996</v>
      </c>
      <c r="CF41" s="91">
        <f>'META  EM PEÇAS'!AC27-('META  EM PEÇAS'!AC27*0.05)</f>
        <v>5604.9239999999991</v>
      </c>
      <c r="CG41" s="91">
        <f>'META  EM PEÇAS'!AD27-('META  EM PEÇAS'!AD27*0.05)</f>
        <v>7897.606499999999</v>
      </c>
      <c r="CH41" s="91">
        <f>SUM(BV41:CG41)</f>
        <v>55778.656499999997</v>
      </c>
      <c r="CJ41" s="91">
        <v>4442.6099999999997</v>
      </c>
      <c r="CK41" s="91">
        <v>3433.56</v>
      </c>
      <c r="CL41" s="91">
        <v>3860.0114999999996</v>
      </c>
      <c r="CM41" s="91">
        <v>3578.1749999999997</v>
      </c>
      <c r="CN41" s="91">
        <v>4015.5074999999997</v>
      </c>
      <c r="CO41" s="91">
        <v>4835.3954999999996</v>
      </c>
      <c r="CP41" s="91">
        <v>5815.1969999999992</v>
      </c>
      <c r="CQ41" s="91">
        <v>3888.2835</v>
      </c>
      <c r="CR41" s="91">
        <v>4032.2939999999994</v>
      </c>
      <c r="CS41" s="91">
        <v>4375.0919999999996</v>
      </c>
      <c r="CT41" s="91">
        <v>5604.9239999999991</v>
      </c>
      <c r="CU41" s="91">
        <v>7897.606499999999</v>
      </c>
      <c r="CV41" s="91">
        <v>55778.656499999997</v>
      </c>
      <c r="CW41" s="758"/>
      <c r="CX41" s="884">
        <v>4442.6099999999997</v>
      </c>
      <c r="CY41" s="884">
        <v>3433.56</v>
      </c>
      <c r="CZ41" s="884">
        <v>3860.0114999999996</v>
      </c>
      <c r="DA41" s="884">
        <v>3578.1749999999997</v>
      </c>
      <c r="DB41" s="884">
        <v>4015.5074999999997</v>
      </c>
      <c r="DC41" s="884">
        <v>4835.3954999999996</v>
      </c>
      <c r="DD41" s="884">
        <v>5815.1969999999992</v>
      </c>
      <c r="DE41" s="884">
        <v>3888.2835</v>
      </c>
      <c r="DF41" s="884">
        <v>4032.2939999999994</v>
      </c>
      <c r="DG41" s="884">
        <v>4375.0919999999996</v>
      </c>
      <c r="DH41" s="884">
        <v>5604.9239999999991</v>
      </c>
      <c r="DI41" s="884">
        <v>7897.606499999999</v>
      </c>
      <c r="DJ41" s="91">
        <v>55778.656499999997</v>
      </c>
      <c r="DK41" s="948"/>
      <c r="DL41" s="884">
        <v>4442.6099999999997</v>
      </c>
      <c r="DM41" s="884">
        <v>3433.56</v>
      </c>
      <c r="DN41" s="884">
        <v>3860.0114999999996</v>
      </c>
      <c r="DO41" s="884">
        <v>3578.1749999999997</v>
      </c>
      <c r="DP41" s="884">
        <v>4015.5074999999997</v>
      </c>
      <c r="DQ41" s="884">
        <v>4835.3954999999996</v>
      </c>
      <c r="DR41" s="884">
        <v>5815.1969999999992</v>
      </c>
      <c r="DS41" s="884">
        <v>3888.2835</v>
      </c>
      <c r="DT41" s="884">
        <v>4032.2939999999994</v>
      </c>
      <c r="DU41" s="884">
        <v>4375.0919999999996</v>
      </c>
      <c r="DV41" s="884">
        <v>5604.9239999999991</v>
      </c>
      <c r="DW41" s="884">
        <v>7897.606499999999</v>
      </c>
      <c r="DX41" s="91">
        <v>55778.656499999997</v>
      </c>
    </row>
    <row r="42" spans="1:129" ht="15" hidden="1" customHeight="1" outlineLevel="1">
      <c r="A42" s="94">
        <v>3</v>
      </c>
      <c r="B42" s="1079" t="s">
        <v>58</v>
      </c>
      <c r="C42" s="1120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si="102"/>
        <v>0</v>
      </c>
      <c r="Q42" s="90"/>
      <c r="R42" s="313">
        <v>746</v>
      </c>
      <c r="S42" s="91">
        <v>653</v>
      </c>
      <c r="T42" s="91">
        <v>700</v>
      </c>
      <c r="U42" s="91">
        <v>0</v>
      </c>
      <c r="V42" s="91">
        <v>200</v>
      </c>
      <c r="W42" s="91">
        <v>400</v>
      </c>
      <c r="X42" s="91">
        <v>900</v>
      </c>
      <c r="Y42" s="91">
        <v>900</v>
      </c>
      <c r="Z42" s="91">
        <v>900</v>
      </c>
      <c r="AA42" s="91">
        <v>900</v>
      </c>
      <c r="AB42" s="91">
        <v>900</v>
      </c>
      <c r="AC42" s="91">
        <v>1200</v>
      </c>
      <c r="AD42" s="315">
        <f t="shared" si="103"/>
        <v>8399</v>
      </c>
      <c r="AE42" s="23"/>
      <c r="AF42" s="316">
        <v>1800</v>
      </c>
      <c r="AG42" s="91">
        <v>1200</v>
      </c>
      <c r="AH42" s="91">
        <v>230</v>
      </c>
      <c r="AI42" s="91">
        <v>472</v>
      </c>
      <c r="AJ42" s="91">
        <v>1495</v>
      </c>
      <c r="AK42" s="91">
        <v>1200</v>
      </c>
      <c r="AL42" s="91">
        <v>1500</v>
      </c>
      <c r="AM42" s="91">
        <v>1500</v>
      </c>
      <c r="AN42" s="91">
        <v>1500</v>
      </c>
      <c r="AO42" s="91">
        <v>1500</v>
      </c>
      <c r="AP42" s="91">
        <v>1650</v>
      </c>
      <c r="AQ42" s="91">
        <v>2400</v>
      </c>
      <c r="AR42" s="92">
        <f t="shared" si="104"/>
        <v>16447</v>
      </c>
      <c r="AS42" s="23"/>
      <c r="AT42" s="91">
        <v>2438</v>
      </c>
      <c r="AU42" s="91">
        <v>1501</v>
      </c>
      <c r="AV42" s="91">
        <v>1566</v>
      </c>
      <c r="AW42" s="91">
        <v>2127</v>
      </c>
      <c r="AX42" s="317">
        <v>1928</v>
      </c>
      <c r="AY42" s="317">
        <v>1928</v>
      </c>
      <c r="AZ42" s="317">
        <v>1840</v>
      </c>
      <c r="BA42" s="317">
        <v>1840</v>
      </c>
      <c r="BB42" s="317">
        <v>1928</v>
      </c>
      <c r="BC42" s="317">
        <v>2278</v>
      </c>
      <c r="BD42" s="317">
        <v>2454</v>
      </c>
      <c r="BE42" s="317">
        <v>3505</v>
      </c>
      <c r="BF42" s="91">
        <f t="shared" si="105"/>
        <v>25333</v>
      </c>
      <c r="BG42" s="93">
        <f t="shared" si="106"/>
        <v>0.54028090229221126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7784</v>
      </c>
      <c r="BU42" s="54"/>
      <c r="BV42" s="91">
        <v>450.99999999999989</v>
      </c>
      <c r="BW42" s="91">
        <v>348.59999999999991</v>
      </c>
      <c r="BX42" s="91">
        <f>'META  EM PEÇAS'!U28-('META  EM PEÇAS'!U28*0.05)</f>
        <v>391.96999999999991</v>
      </c>
      <c r="BY42" s="91">
        <f>'META  EM PEÇAS'!V28-('META  EM PEÇAS'!V28*0.05)</f>
        <v>363.27999999999992</v>
      </c>
      <c r="BZ42" s="91">
        <f>'META  EM PEÇAS'!W28-('META  EM PEÇAS'!W28*0.05)</f>
        <v>407.5499999999999</v>
      </c>
      <c r="CA42" s="91">
        <f>'META  EM PEÇAS'!X28-('META  EM PEÇAS'!X28*0.05)</f>
        <v>490.76999999999992</v>
      </c>
      <c r="CB42" s="91">
        <f>'META  EM PEÇAS'!Y28-('META  EM PEÇAS'!Y28*0.05)</f>
        <v>590.32999999999993</v>
      </c>
      <c r="CC42" s="91">
        <f>'META  EM PEÇAS'!Z28-('META  EM PEÇAS'!Z28*0.05)</f>
        <v>394.62999999999994</v>
      </c>
      <c r="CD42" s="91">
        <f>'META  EM PEÇAS'!AA28-('META  EM PEÇAS'!AA28*0.05)</f>
        <v>409.25999999999988</v>
      </c>
      <c r="CE42" s="91">
        <f>'META  EM PEÇAS'!AB28-('META  EM PEÇAS'!AB28*0.05)</f>
        <v>444.21999999999991</v>
      </c>
      <c r="CF42" s="91">
        <f>'META  EM PEÇAS'!AC28-('META  EM PEÇAS'!AC28*0.05)</f>
        <v>569.04999999999984</v>
      </c>
      <c r="CG42" s="91">
        <f>'META  EM PEÇAS'!AD28-('META  EM PEÇAS'!AD28*0.05)</f>
        <v>801.79999999999973</v>
      </c>
      <c r="CH42" s="91">
        <f t="shared" ref="CH42:CH55" si="107">SUM(BV42:CG42)</f>
        <v>5662.4599999999991</v>
      </c>
      <c r="CJ42" s="91">
        <v>450.99999999999989</v>
      </c>
      <c r="CK42" s="91">
        <v>348.59999999999991</v>
      </c>
      <c r="CL42" s="91">
        <v>391.96999999999991</v>
      </c>
      <c r="CM42" s="91">
        <v>363.27999999999992</v>
      </c>
      <c r="CN42" s="91">
        <v>407.5499999999999</v>
      </c>
      <c r="CO42" s="91">
        <v>490.76999999999992</v>
      </c>
      <c r="CP42" s="91">
        <v>590.32999999999993</v>
      </c>
      <c r="CQ42" s="91">
        <v>394.62999999999994</v>
      </c>
      <c r="CR42" s="91">
        <v>409.25999999999988</v>
      </c>
      <c r="CS42" s="91">
        <v>444.21999999999991</v>
      </c>
      <c r="CT42" s="91">
        <v>569.04999999999984</v>
      </c>
      <c r="CU42" s="91">
        <v>801.79999999999973</v>
      </c>
      <c r="CV42" s="91">
        <v>5662.4599999999991</v>
      </c>
      <c r="CW42" s="758"/>
      <c r="CX42" s="884">
        <v>450.99999999999989</v>
      </c>
      <c r="CY42" s="884">
        <v>348.59999999999991</v>
      </c>
      <c r="CZ42" s="884">
        <v>391.96999999999991</v>
      </c>
      <c r="DA42" s="884">
        <v>363.27999999999992</v>
      </c>
      <c r="DB42" s="884">
        <v>407.5499999999999</v>
      </c>
      <c r="DC42" s="884">
        <v>490.76999999999992</v>
      </c>
      <c r="DD42" s="884">
        <v>590.32999999999993</v>
      </c>
      <c r="DE42" s="884">
        <v>394.62999999999994</v>
      </c>
      <c r="DF42" s="884">
        <v>409.25999999999988</v>
      </c>
      <c r="DG42" s="884">
        <v>444.21999999999991</v>
      </c>
      <c r="DH42" s="884">
        <v>569.04999999999984</v>
      </c>
      <c r="DI42" s="884">
        <v>801.79999999999973</v>
      </c>
      <c r="DJ42" s="91">
        <v>5662.4599999999991</v>
      </c>
      <c r="DK42" s="948"/>
      <c r="DL42" s="884">
        <v>450.99999999999989</v>
      </c>
      <c r="DM42" s="884">
        <v>348.59999999999991</v>
      </c>
      <c r="DN42" s="884">
        <v>391.96999999999991</v>
      </c>
      <c r="DO42" s="884">
        <v>363.27999999999992</v>
      </c>
      <c r="DP42" s="884">
        <v>407.5499999999999</v>
      </c>
      <c r="DQ42" s="884">
        <v>490.76999999999992</v>
      </c>
      <c r="DR42" s="884">
        <v>590.32999999999993</v>
      </c>
      <c r="DS42" s="884">
        <v>394.62999999999994</v>
      </c>
      <c r="DT42" s="884">
        <v>409.25999999999988</v>
      </c>
      <c r="DU42" s="884">
        <v>444.21999999999991</v>
      </c>
      <c r="DV42" s="884">
        <v>569.04999999999984</v>
      </c>
      <c r="DW42" s="884">
        <v>801.79999999999973</v>
      </c>
      <c r="DX42" s="91">
        <v>5662.4599999999991</v>
      </c>
    </row>
    <row r="43" spans="1:129" ht="15" hidden="1" customHeight="1" outlineLevel="1">
      <c r="A43" s="94">
        <v>4</v>
      </c>
      <c r="B43" s="1079" t="s">
        <v>59</v>
      </c>
      <c r="C43" s="1120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>
        <f t="shared" si="102"/>
        <v>0</v>
      </c>
      <c r="Q43" s="90"/>
      <c r="R43" s="313">
        <v>1455</v>
      </c>
      <c r="S43" s="91">
        <f>2036</f>
        <v>2036</v>
      </c>
      <c r="T43" s="91">
        <f>2182/2</f>
        <v>1091</v>
      </c>
      <c r="U43" s="91">
        <v>0</v>
      </c>
      <c r="V43" s="91">
        <v>200</v>
      </c>
      <c r="W43" s="91">
        <v>900</v>
      </c>
      <c r="X43" s="91">
        <v>1600</v>
      </c>
      <c r="Y43" s="91">
        <v>1600</v>
      </c>
      <c r="Z43" s="91">
        <v>1600</v>
      </c>
      <c r="AA43" s="91">
        <v>1600</v>
      </c>
      <c r="AB43" s="91">
        <v>2200</v>
      </c>
      <c r="AC43" s="91">
        <v>2500</v>
      </c>
      <c r="AD43" s="315">
        <f t="shared" si="103"/>
        <v>16782</v>
      </c>
      <c r="AE43" s="23"/>
      <c r="AF43" s="316">
        <v>2200</v>
      </c>
      <c r="AG43" s="91">
        <v>1500</v>
      </c>
      <c r="AH43" s="91">
        <v>121</v>
      </c>
      <c r="AI43" s="91">
        <v>565</v>
      </c>
      <c r="AJ43" s="91">
        <v>1514</v>
      </c>
      <c r="AK43" s="91">
        <v>1760</v>
      </c>
      <c r="AL43" s="91">
        <v>1800</v>
      </c>
      <c r="AM43" s="91">
        <v>2200</v>
      </c>
      <c r="AN43" s="91">
        <v>2200</v>
      </c>
      <c r="AO43" s="91">
        <v>2200</v>
      </c>
      <c r="AP43" s="91">
        <v>2420</v>
      </c>
      <c r="AQ43" s="91">
        <v>3520</v>
      </c>
      <c r="AR43" s="92">
        <f t="shared" si="104"/>
        <v>22000</v>
      </c>
      <c r="AS43" s="23"/>
      <c r="AT43" s="91">
        <v>1529</v>
      </c>
      <c r="AU43" s="91">
        <v>1516</v>
      </c>
      <c r="AV43" s="91">
        <v>1586</v>
      </c>
      <c r="AW43" s="91">
        <v>1979</v>
      </c>
      <c r="AX43" s="317">
        <v>1283</v>
      </c>
      <c r="AY43" s="317">
        <v>1283</v>
      </c>
      <c r="AZ43" s="317">
        <v>1224</v>
      </c>
      <c r="BA43" s="317">
        <v>1224</v>
      </c>
      <c r="BB43" s="317">
        <v>1283</v>
      </c>
      <c r="BC43" s="317">
        <v>1516</v>
      </c>
      <c r="BD43" s="317">
        <v>1632</v>
      </c>
      <c r="BE43" s="317">
        <v>2332</v>
      </c>
      <c r="BF43" s="91">
        <f t="shared" si="105"/>
        <v>18387</v>
      </c>
      <c r="BG43" s="93">
        <f t="shared" si="106"/>
        <v>-0.16422727272727278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9018</v>
      </c>
      <c r="BU43" s="54"/>
      <c r="BV43" s="91">
        <v>1143.8999999999999</v>
      </c>
      <c r="BW43" s="91">
        <v>884.43</v>
      </c>
      <c r="BX43" s="91">
        <f>'META  EM PEÇAS'!U29-('META  EM PEÇAS'!U29*0.05)</f>
        <v>993.9375</v>
      </c>
      <c r="BY43" s="91">
        <f>'META  EM PEÇAS'!V29-('META  EM PEÇAS'!V29*0.05)</f>
        <v>921.49049999999988</v>
      </c>
      <c r="BZ43" s="91">
        <f>'META  EM PEÇAS'!W29-('META  EM PEÇAS'!W29*0.05)</f>
        <v>1033.6949999999999</v>
      </c>
      <c r="CA43" s="91">
        <f>'META  EM PEÇAS'!X29-('META  EM PEÇAS'!X29*0.05)</f>
        <v>1244.8515</v>
      </c>
      <c r="CB43" s="91">
        <f>'META  EM PEÇAS'!Y29-('META  EM PEÇAS'!Y29*0.05)</f>
        <v>1497.5324999999998</v>
      </c>
      <c r="CC43" s="91">
        <f>'META  EM PEÇAS'!Z29-('META  EM PEÇAS'!Z29*0.05)</f>
        <v>1001.0054999999999</v>
      </c>
      <c r="CD43" s="91">
        <f>'META  EM PEÇAS'!AA29-('META  EM PEÇAS'!AA29*0.05)</f>
        <v>1038.1125</v>
      </c>
      <c r="CE43" s="91">
        <f>'META  EM PEÇAS'!AB29-('META  EM PEÇAS'!AB29*0.05)</f>
        <v>1126.4625000000001</v>
      </c>
      <c r="CF43" s="91">
        <f>'META  EM PEÇAS'!AC29-('META  EM PEÇAS'!AC29*0.05)</f>
        <v>1443.6389999999999</v>
      </c>
      <c r="CG43" s="91">
        <f>'META  EM PEÇAS'!AD29-('META  EM PEÇAS'!AD29*0.05)</f>
        <v>2033.8169999999998</v>
      </c>
      <c r="CH43" s="91">
        <f t="shared" si="107"/>
        <v>14362.873499999996</v>
      </c>
      <c r="CJ43" s="91">
        <v>1143.8999999999999</v>
      </c>
      <c r="CK43" s="91">
        <v>884.43</v>
      </c>
      <c r="CL43" s="91">
        <v>993.9375</v>
      </c>
      <c r="CM43" s="91">
        <v>921.49049999999988</v>
      </c>
      <c r="CN43" s="91">
        <v>1033.6949999999999</v>
      </c>
      <c r="CO43" s="91">
        <v>1244.8515</v>
      </c>
      <c r="CP43" s="91">
        <v>1497.5324999999998</v>
      </c>
      <c r="CQ43" s="91">
        <v>1001.0054999999999</v>
      </c>
      <c r="CR43" s="91">
        <v>1038.1125</v>
      </c>
      <c r="CS43" s="91">
        <v>1126.4625000000001</v>
      </c>
      <c r="CT43" s="91">
        <v>1443.6389999999999</v>
      </c>
      <c r="CU43" s="91">
        <v>2033.8169999999998</v>
      </c>
      <c r="CV43" s="91">
        <v>14362.873499999996</v>
      </c>
      <c r="CW43" s="758"/>
      <c r="CX43" s="884">
        <v>1143.8999999999999</v>
      </c>
      <c r="CY43" s="884">
        <v>884.43</v>
      </c>
      <c r="CZ43" s="884">
        <v>993.9375</v>
      </c>
      <c r="DA43" s="884">
        <v>921.49049999999988</v>
      </c>
      <c r="DB43" s="884">
        <v>1033.6949999999999</v>
      </c>
      <c r="DC43" s="884">
        <v>1244.8515</v>
      </c>
      <c r="DD43" s="884">
        <v>1497.5324999999998</v>
      </c>
      <c r="DE43" s="884">
        <v>1001.0054999999999</v>
      </c>
      <c r="DF43" s="884">
        <v>1038.1125</v>
      </c>
      <c r="DG43" s="884">
        <v>1126.4625000000001</v>
      </c>
      <c r="DH43" s="884">
        <v>1443.6389999999999</v>
      </c>
      <c r="DI43" s="884">
        <v>2033.8169999999998</v>
      </c>
      <c r="DJ43" s="91">
        <v>14362.873499999996</v>
      </c>
      <c r="DK43" s="948"/>
      <c r="DL43" s="884">
        <v>1143.8999999999999</v>
      </c>
      <c r="DM43" s="884">
        <v>884.43</v>
      </c>
      <c r="DN43" s="884">
        <v>993.9375</v>
      </c>
      <c r="DO43" s="884">
        <v>921.49049999999988</v>
      </c>
      <c r="DP43" s="884">
        <v>1033.6949999999999</v>
      </c>
      <c r="DQ43" s="884">
        <v>1244.8515</v>
      </c>
      <c r="DR43" s="884">
        <v>1497.5324999999998</v>
      </c>
      <c r="DS43" s="884">
        <v>1001.0054999999999</v>
      </c>
      <c r="DT43" s="884">
        <v>1038.1125</v>
      </c>
      <c r="DU43" s="884">
        <v>1126.4625000000001</v>
      </c>
      <c r="DV43" s="884">
        <v>1443.6389999999999</v>
      </c>
      <c r="DW43" s="884">
        <v>2033.8169999999998</v>
      </c>
      <c r="DX43" s="91">
        <v>14362.873499999996</v>
      </c>
    </row>
    <row r="44" spans="1:129" ht="15" hidden="1" customHeight="1" outlineLevel="1">
      <c r="A44" s="94">
        <v>5</v>
      </c>
      <c r="B44" s="1079" t="s">
        <v>60</v>
      </c>
      <c r="C44" s="1120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>
        <f t="shared" si="102"/>
        <v>0</v>
      </c>
      <c r="Q44" s="90"/>
      <c r="R44" s="313">
        <v>1353</v>
      </c>
      <c r="S44" s="91">
        <v>1184</v>
      </c>
      <c r="T44" s="91">
        <v>1268</v>
      </c>
      <c r="U44" s="91">
        <f t="shared" ref="U44:V44" si="108">10*U7</f>
        <v>10</v>
      </c>
      <c r="V44" s="91">
        <f t="shared" si="108"/>
        <v>120</v>
      </c>
      <c r="W44" s="91">
        <v>600</v>
      </c>
      <c r="X44" s="91">
        <v>1600</v>
      </c>
      <c r="Y44" s="91">
        <v>1600</v>
      </c>
      <c r="Z44" s="91">
        <v>1600</v>
      </c>
      <c r="AA44" s="91">
        <v>1600</v>
      </c>
      <c r="AB44" s="91">
        <v>1600</v>
      </c>
      <c r="AC44" s="91">
        <v>2200</v>
      </c>
      <c r="AD44" s="315">
        <f t="shared" si="103"/>
        <v>14735</v>
      </c>
      <c r="AE44" s="23"/>
      <c r="AF44" s="316">
        <v>1800</v>
      </c>
      <c r="AG44" s="91">
        <v>1200</v>
      </c>
      <c r="AH44" s="91">
        <v>181</v>
      </c>
      <c r="AI44" s="91">
        <v>628</v>
      </c>
      <c r="AJ44" s="91">
        <v>1169</v>
      </c>
      <c r="AK44" s="91">
        <v>960</v>
      </c>
      <c r="AL44" s="91">
        <v>1500</v>
      </c>
      <c r="AM44" s="91">
        <v>1200</v>
      </c>
      <c r="AN44" s="91">
        <v>1200</v>
      </c>
      <c r="AO44" s="91">
        <v>1200</v>
      </c>
      <c r="AP44" s="91">
        <v>1320</v>
      </c>
      <c r="AQ44" s="91">
        <v>1920</v>
      </c>
      <c r="AR44" s="92">
        <f t="shared" si="104"/>
        <v>14278</v>
      </c>
      <c r="AS44" s="23"/>
      <c r="AT44" s="91">
        <v>1496</v>
      </c>
      <c r="AU44" s="91">
        <v>1200</v>
      </c>
      <c r="AV44" s="91">
        <v>1227</v>
      </c>
      <c r="AW44" s="91">
        <v>1655</v>
      </c>
      <c r="AX44" s="317">
        <v>1141</v>
      </c>
      <c r="AY44" s="317">
        <v>1141</v>
      </c>
      <c r="AZ44" s="317">
        <v>1089</v>
      </c>
      <c r="BA44" s="317">
        <v>1089</v>
      </c>
      <c r="BB44" s="317">
        <v>1141</v>
      </c>
      <c r="BC44" s="317">
        <v>1349</v>
      </c>
      <c r="BD44" s="317">
        <v>1453</v>
      </c>
      <c r="BE44" s="317">
        <v>2075</v>
      </c>
      <c r="BF44" s="91">
        <f t="shared" si="105"/>
        <v>16056</v>
      </c>
      <c r="BG44" s="93">
        <f t="shared" si="106"/>
        <v>0.1245272447121446</v>
      </c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>
        <v>10591</v>
      </c>
      <c r="BU44" s="54"/>
      <c r="BV44" s="91">
        <v>1474.9799999999998</v>
      </c>
      <c r="BW44" s="91">
        <v>1140.1799999999998</v>
      </c>
      <c r="BX44" s="91">
        <f>'META  EM PEÇAS'!U30-('META  EM PEÇAS'!U30*0.05)</f>
        <v>1281.9584999999997</v>
      </c>
      <c r="BY44" s="91">
        <f>'META  EM PEÇAS'!V30-('META  EM PEÇAS'!V30*0.05)</f>
        <v>1188.3074999999999</v>
      </c>
      <c r="BZ44" s="91">
        <f>'META  EM PEÇAS'!W30-('META  EM PEÇAS'!W30*0.05)</f>
        <v>1333.2014999999999</v>
      </c>
      <c r="CA44" s="91">
        <f>'META  EM PEÇAS'!X30-('META  EM PEÇAS'!X30*0.05)</f>
        <v>1606.2029999999997</v>
      </c>
      <c r="CB44" s="91">
        <f>'META  EM PEÇAS'!Y30-('META  EM PEÇAS'!Y30*0.05)</f>
        <v>1931.3309999999997</v>
      </c>
      <c r="CC44" s="91">
        <f>'META  EM PEÇAS'!Z30-('META  EM PEÇAS'!Z30*0.05)</f>
        <v>1291.6769999999999</v>
      </c>
      <c r="CD44" s="91">
        <f>'META  EM PEÇAS'!AA30-('META  EM PEÇAS'!AA30*0.05)</f>
        <v>1339.386</v>
      </c>
      <c r="CE44" s="91">
        <f>'META  EM PEÇAS'!AB30-('META  EM PEÇAS'!AB30*0.05)</f>
        <v>1453.3574999999998</v>
      </c>
      <c r="CF44" s="91">
        <f>'META  EM PEÇAS'!AC30-('META  EM PEÇAS'!AC30*0.05)</f>
        <v>1861.5344999999998</v>
      </c>
      <c r="CG44" s="91">
        <f>'META  EM PEÇAS'!AD30-('META  EM PEÇAS'!AD30*0.05)</f>
        <v>2623.1114999999995</v>
      </c>
      <c r="CH44" s="91">
        <f t="shared" si="107"/>
        <v>18525.227999999999</v>
      </c>
      <c r="CI44" s="450"/>
      <c r="CJ44" s="91">
        <v>1474.9799999999998</v>
      </c>
      <c r="CK44" s="91">
        <v>1140.1799999999998</v>
      </c>
      <c r="CL44" s="91">
        <v>1281.9584999999997</v>
      </c>
      <c r="CM44" s="91">
        <v>1188.3074999999999</v>
      </c>
      <c r="CN44" s="91">
        <v>1333.2014999999999</v>
      </c>
      <c r="CO44" s="91">
        <v>1606.2029999999997</v>
      </c>
      <c r="CP44" s="91">
        <v>1931.3309999999997</v>
      </c>
      <c r="CQ44" s="91">
        <v>1291.6769999999999</v>
      </c>
      <c r="CR44" s="91">
        <v>1339.386</v>
      </c>
      <c r="CS44" s="91">
        <v>1453.3574999999998</v>
      </c>
      <c r="CT44" s="91">
        <v>1861.5344999999998</v>
      </c>
      <c r="CU44" s="91">
        <v>2623.1114999999995</v>
      </c>
      <c r="CV44" s="91">
        <v>18525.227999999999</v>
      </c>
      <c r="CW44" s="758"/>
      <c r="CX44" s="884">
        <v>1474.9799999999998</v>
      </c>
      <c r="CY44" s="884">
        <v>1140.1799999999998</v>
      </c>
      <c r="CZ44" s="884">
        <v>1281.9584999999997</v>
      </c>
      <c r="DA44" s="884">
        <v>1188.3074999999999</v>
      </c>
      <c r="DB44" s="884">
        <v>1333.2014999999999</v>
      </c>
      <c r="DC44" s="884">
        <v>1606.2029999999997</v>
      </c>
      <c r="DD44" s="884">
        <v>1931.3309999999997</v>
      </c>
      <c r="DE44" s="884">
        <v>1291.6769999999999</v>
      </c>
      <c r="DF44" s="884">
        <v>1339.386</v>
      </c>
      <c r="DG44" s="884">
        <v>1453.3574999999998</v>
      </c>
      <c r="DH44" s="884">
        <v>1861.5344999999998</v>
      </c>
      <c r="DI44" s="884">
        <v>2623.1114999999995</v>
      </c>
      <c r="DJ44" s="91">
        <v>18525.227999999999</v>
      </c>
      <c r="DK44" s="948"/>
      <c r="DL44" s="884">
        <v>1474.9799999999998</v>
      </c>
      <c r="DM44" s="884">
        <v>1140.1799999999998</v>
      </c>
      <c r="DN44" s="884">
        <v>1281.9584999999997</v>
      </c>
      <c r="DO44" s="884">
        <v>1188.3074999999999</v>
      </c>
      <c r="DP44" s="884">
        <v>1333.2014999999999</v>
      </c>
      <c r="DQ44" s="884">
        <v>1606.2029999999997</v>
      </c>
      <c r="DR44" s="884">
        <v>1931.3309999999997</v>
      </c>
      <c r="DS44" s="884">
        <v>1291.6769999999999</v>
      </c>
      <c r="DT44" s="884">
        <v>1339.386</v>
      </c>
      <c r="DU44" s="884">
        <v>1453.3574999999998</v>
      </c>
      <c r="DV44" s="884">
        <v>1861.5344999999998</v>
      </c>
      <c r="DW44" s="884">
        <v>2623.1114999999995</v>
      </c>
      <c r="DX44" s="91">
        <v>18525.227999999999</v>
      </c>
    </row>
    <row r="45" spans="1:129" ht="15" hidden="1" customHeight="1" outlineLevel="1">
      <c r="A45" s="94">
        <v>6</v>
      </c>
      <c r="B45" s="1079" t="s">
        <v>61</v>
      </c>
      <c r="C45" s="1120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>
        <f t="shared" si="102"/>
        <v>0</v>
      </c>
      <c r="Q45" s="90"/>
      <c r="R45" s="313">
        <v>1455</v>
      </c>
      <c r="S45" s="91">
        <v>1273</v>
      </c>
      <c r="T45" s="91">
        <v>1364</v>
      </c>
      <c r="U45" s="91">
        <v>0</v>
      </c>
      <c r="V45" s="91">
        <v>200</v>
      </c>
      <c r="W45" s="91">
        <v>800</v>
      </c>
      <c r="X45" s="91">
        <v>1600</v>
      </c>
      <c r="Y45" s="91">
        <v>1600</v>
      </c>
      <c r="Z45" s="91">
        <v>1600</v>
      </c>
      <c r="AA45" s="91">
        <v>1600</v>
      </c>
      <c r="AB45" s="91">
        <v>1800</v>
      </c>
      <c r="AC45" s="91">
        <v>2400</v>
      </c>
      <c r="AD45" s="315">
        <f t="shared" si="103"/>
        <v>15692</v>
      </c>
      <c r="AE45" s="23"/>
      <c r="AF45" s="316">
        <v>1500</v>
      </c>
      <c r="AG45" s="91">
        <v>1200</v>
      </c>
      <c r="AH45" s="91">
        <v>127</v>
      </c>
      <c r="AI45" s="91">
        <v>426</v>
      </c>
      <c r="AJ45" s="91">
        <v>1063</v>
      </c>
      <c r="AK45" s="91">
        <v>960</v>
      </c>
      <c r="AL45" s="91">
        <v>1500</v>
      </c>
      <c r="AM45" s="91">
        <v>1200</v>
      </c>
      <c r="AN45" s="91">
        <v>1200</v>
      </c>
      <c r="AO45" s="91">
        <v>1200</v>
      </c>
      <c r="AP45" s="91">
        <v>1320</v>
      </c>
      <c r="AQ45" s="91">
        <v>1920</v>
      </c>
      <c r="AR45" s="92">
        <f t="shared" si="104"/>
        <v>13616</v>
      </c>
      <c r="AS45" s="23"/>
      <c r="AT45" s="91">
        <v>1222</v>
      </c>
      <c r="AU45" s="91">
        <v>1200</v>
      </c>
      <c r="AV45" s="91">
        <v>1117</v>
      </c>
      <c r="AW45" s="91">
        <v>1463</v>
      </c>
      <c r="AX45" s="317">
        <v>1087</v>
      </c>
      <c r="AY45" s="317">
        <v>1087</v>
      </c>
      <c r="AZ45" s="317">
        <v>1038</v>
      </c>
      <c r="BA45" s="317">
        <v>1038</v>
      </c>
      <c r="BB45" s="317">
        <v>1087</v>
      </c>
      <c r="BC45" s="317">
        <v>1285</v>
      </c>
      <c r="BD45" s="317">
        <v>1384</v>
      </c>
      <c r="BE45" s="317">
        <v>1977</v>
      </c>
      <c r="BF45" s="91">
        <f t="shared" si="105"/>
        <v>14985</v>
      </c>
      <c r="BG45" s="93">
        <f t="shared" si="106"/>
        <v>0.10054347826086962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>
        <v>10087</v>
      </c>
      <c r="BU45" s="54"/>
      <c r="BV45" s="91">
        <v>1214.58</v>
      </c>
      <c r="BW45" s="91">
        <v>939.3</v>
      </c>
      <c r="BX45" s="91">
        <f>'META  EM PEÇAS'!U31-('META  EM PEÇAS'!U31*0.05)</f>
        <v>1055.7824999999998</v>
      </c>
      <c r="BY45" s="91">
        <f>'META  EM PEÇAS'!V31-('META  EM PEÇAS'!V31*0.05)</f>
        <v>978.03449999999998</v>
      </c>
      <c r="BZ45" s="91">
        <f>'META  EM PEÇAS'!W31-('META  EM PEÇAS'!W31*0.05)</f>
        <v>1098.1904999999999</v>
      </c>
      <c r="CA45" s="91">
        <f>'META  EM PEÇAS'!X31-('META  EM PEÇAS'!X31*0.05)</f>
        <v>1322.5994999999998</v>
      </c>
      <c r="CB45" s="91">
        <f>'META  EM PEÇAS'!Y31-('META  EM PEÇAS'!Y31*0.05)</f>
        <v>1590.3</v>
      </c>
      <c r="CC45" s="91">
        <f>'META  EM PEÇAS'!Z31-('META  EM PEÇAS'!Z31*0.05)</f>
        <v>1062.8505</v>
      </c>
      <c r="CD45" s="91">
        <f>'META  EM PEÇAS'!AA31-('META  EM PEÇAS'!AA31*0.05)</f>
        <v>1102.6079999999999</v>
      </c>
      <c r="CE45" s="91">
        <f>'META  EM PEÇAS'!AB31-('META  EM PEÇAS'!AB31*0.05)</f>
        <v>1196.259</v>
      </c>
      <c r="CF45" s="91">
        <f>'META  EM PEÇAS'!AC31-('META  EM PEÇAS'!AC31*0.05)</f>
        <v>1532.8724999999999</v>
      </c>
      <c r="CG45" s="91">
        <f>'META  EM PEÇAS'!AD31-('META  EM PEÇAS'!AD31*0.05)</f>
        <v>2160.1574999999998</v>
      </c>
      <c r="CH45" s="91">
        <f t="shared" si="107"/>
        <v>15253.534499999998</v>
      </c>
      <c r="CJ45" s="91">
        <v>1214.58</v>
      </c>
      <c r="CK45" s="91">
        <v>939.3</v>
      </c>
      <c r="CL45" s="91">
        <v>1055.7824999999998</v>
      </c>
      <c r="CM45" s="91">
        <v>978.03449999999998</v>
      </c>
      <c r="CN45" s="91">
        <v>1098.1904999999999</v>
      </c>
      <c r="CO45" s="91">
        <v>1322.5994999999998</v>
      </c>
      <c r="CP45" s="91">
        <v>1590.3</v>
      </c>
      <c r="CQ45" s="91">
        <v>1062.8505</v>
      </c>
      <c r="CR45" s="91">
        <v>1102.6079999999999</v>
      </c>
      <c r="CS45" s="91">
        <v>1196.259</v>
      </c>
      <c r="CT45" s="91">
        <v>1532.8724999999999</v>
      </c>
      <c r="CU45" s="91">
        <v>2160.1574999999998</v>
      </c>
      <c r="CV45" s="91">
        <v>15253.534499999998</v>
      </c>
      <c r="CW45" s="758"/>
      <c r="CX45" s="884">
        <v>1214.58</v>
      </c>
      <c r="CY45" s="884">
        <v>939.3</v>
      </c>
      <c r="CZ45" s="884">
        <v>1055.7824999999998</v>
      </c>
      <c r="DA45" s="884">
        <v>978.03449999999998</v>
      </c>
      <c r="DB45" s="884">
        <v>1098.1904999999999</v>
      </c>
      <c r="DC45" s="884">
        <v>1322.5994999999998</v>
      </c>
      <c r="DD45" s="884">
        <v>1590.3</v>
      </c>
      <c r="DE45" s="884">
        <v>1062.8505</v>
      </c>
      <c r="DF45" s="884">
        <v>1102.6079999999999</v>
      </c>
      <c r="DG45" s="884">
        <v>1196.259</v>
      </c>
      <c r="DH45" s="884">
        <v>1532.8724999999999</v>
      </c>
      <c r="DI45" s="884">
        <v>2160.1574999999998</v>
      </c>
      <c r="DJ45" s="91">
        <v>15253.534499999998</v>
      </c>
      <c r="DK45" s="948"/>
      <c r="DL45" s="884">
        <v>1214.58</v>
      </c>
      <c r="DM45" s="884">
        <v>939.3</v>
      </c>
      <c r="DN45" s="884">
        <v>1055.7824999999998</v>
      </c>
      <c r="DO45" s="884">
        <v>978.03449999999998</v>
      </c>
      <c r="DP45" s="884">
        <v>1098.1904999999999</v>
      </c>
      <c r="DQ45" s="884">
        <v>1322.5994999999998</v>
      </c>
      <c r="DR45" s="884">
        <v>1590.3</v>
      </c>
      <c r="DS45" s="884">
        <v>1062.8505</v>
      </c>
      <c r="DT45" s="884">
        <v>1102.6079999999999</v>
      </c>
      <c r="DU45" s="884">
        <v>1196.259</v>
      </c>
      <c r="DV45" s="884">
        <v>1532.8724999999999</v>
      </c>
      <c r="DW45" s="884">
        <v>2160.1574999999998</v>
      </c>
      <c r="DX45" s="91">
        <v>15253.534499999998</v>
      </c>
    </row>
    <row r="46" spans="1:129" ht="15" hidden="1" customHeight="1" outlineLevel="1">
      <c r="A46" s="94">
        <v>7</v>
      </c>
      <c r="B46" s="1079" t="s">
        <v>62</v>
      </c>
      <c r="C46" s="1120"/>
      <c r="D46" s="313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314">
        <f t="shared" si="102"/>
        <v>0</v>
      </c>
      <c r="Q46" s="90"/>
      <c r="R46" s="313">
        <v>2000</v>
      </c>
      <c r="S46" s="91">
        <f>2182</f>
        <v>2182</v>
      </c>
      <c r="T46" s="91">
        <f>2455/2</f>
        <v>1227.5</v>
      </c>
      <c r="U46" s="91">
        <f>4*U7</f>
        <v>4</v>
      </c>
      <c r="V46" s="91">
        <v>200</v>
      </c>
      <c r="W46" s="91">
        <v>700</v>
      </c>
      <c r="X46" s="91">
        <v>1600</v>
      </c>
      <c r="Y46" s="91">
        <v>1600</v>
      </c>
      <c r="Z46" s="91">
        <v>1600</v>
      </c>
      <c r="AA46" s="91">
        <v>1600</v>
      </c>
      <c r="AB46" s="91">
        <v>2500</v>
      </c>
      <c r="AC46" s="91">
        <v>3200</v>
      </c>
      <c r="AD46" s="315">
        <f t="shared" si="103"/>
        <v>18413.5</v>
      </c>
      <c r="AE46" s="23"/>
      <c r="AF46" s="316">
        <v>2600</v>
      </c>
      <c r="AG46" s="91">
        <v>1000</v>
      </c>
      <c r="AH46" s="91">
        <v>195</v>
      </c>
      <c r="AI46" s="91">
        <v>844</v>
      </c>
      <c r="AJ46" s="91">
        <v>1973</v>
      </c>
      <c r="AK46" s="91">
        <v>1840</v>
      </c>
      <c r="AL46" s="91">
        <v>2000</v>
      </c>
      <c r="AM46" s="91">
        <v>2300</v>
      </c>
      <c r="AN46" s="91">
        <v>2300</v>
      </c>
      <c r="AO46" s="91">
        <v>2300</v>
      </c>
      <c r="AP46" s="91">
        <v>2530</v>
      </c>
      <c r="AQ46" s="91">
        <v>3680</v>
      </c>
      <c r="AR46" s="92">
        <f t="shared" si="104"/>
        <v>23562</v>
      </c>
      <c r="AS46" s="23"/>
      <c r="AT46" s="91">
        <v>1888</v>
      </c>
      <c r="AU46" s="91">
        <v>1414</v>
      </c>
      <c r="AV46" s="91">
        <v>2073</v>
      </c>
      <c r="AW46" s="91">
        <v>2338</v>
      </c>
      <c r="AX46" s="317">
        <v>1857</v>
      </c>
      <c r="AY46" s="317">
        <v>1857</v>
      </c>
      <c r="AZ46" s="317">
        <v>1772</v>
      </c>
      <c r="BA46" s="317">
        <v>1772</v>
      </c>
      <c r="BB46" s="317">
        <v>1857</v>
      </c>
      <c r="BC46" s="317">
        <v>2194</v>
      </c>
      <c r="BD46" s="317">
        <v>2363</v>
      </c>
      <c r="BE46" s="317">
        <v>3376</v>
      </c>
      <c r="BF46" s="91">
        <f t="shared" si="105"/>
        <v>24761</v>
      </c>
      <c r="BG46" s="93">
        <f t="shared" si="106"/>
        <v>5.0887021475256811E-2</v>
      </c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>
        <v>22941</v>
      </c>
      <c r="BU46" s="54"/>
      <c r="BV46" s="91">
        <v>3211.29</v>
      </c>
      <c r="BW46" s="91">
        <v>2482.1699999999996</v>
      </c>
      <c r="BX46" s="91">
        <f>'META  EM PEÇAS'!U32-('META  EM PEÇAS'!U32*0.05)</f>
        <v>2790.0929999999998</v>
      </c>
      <c r="BY46" s="91">
        <f>'META  EM PEÇAS'!V32-('META  EM PEÇAS'!V32*0.05)</f>
        <v>2586.0044999999996</v>
      </c>
      <c r="BZ46" s="91">
        <f>'META  EM PEÇAS'!W32-('META  EM PEÇAS'!W32*0.05)</f>
        <v>2902.2974999999997</v>
      </c>
      <c r="CA46" s="91">
        <f>'META  EM PEÇAS'!X32-('META  EM PEÇAS'!X32*0.05)</f>
        <v>3495.1259999999997</v>
      </c>
      <c r="CB46" s="91">
        <f>'META  EM PEÇAS'!Y32-('META  EM PEÇAS'!Y32*0.05)</f>
        <v>4203.6929999999993</v>
      </c>
      <c r="CC46" s="91">
        <f>'META  EM PEÇAS'!Z32-('META  EM PEÇAS'!Z32*0.05)</f>
        <v>2810.4135000000001</v>
      </c>
      <c r="CD46" s="91">
        <f>'META  EM PEÇAS'!AA32-('META  EM PEÇAS'!AA32*0.05)</f>
        <v>2914.6664999999998</v>
      </c>
      <c r="CE46" s="91">
        <f>'META  EM PEÇAS'!AB32-('META  EM PEÇAS'!AB32*0.05)</f>
        <v>3162.93</v>
      </c>
      <c r="CF46" s="91">
        <f>'META  EM PEÇAS'!AC32-('META  EM PEÇAS'!AC32*0.05)</f>
        <v>4051.7309999999998</v>
      </c>
      <c r="CG46" s="91">
        <f>'META  EM PEÇAS'!AD32-('META  EM PEÇAS'!AD32*0.05)</f>
        <v>5709.1769999999997</v>
      </c>
      <c r="CH46" s="91">
        <f t="shared" si="107"/>
        <v>40319.59199999999</v>
      </c>
      <c r="CJ46" s="91">
        <v>3211.29</v>
      </c>
      <c r="CK46" s="91">
        <v>2482.1699999999996</v>
      </c>
      <c r="CL46" s="91">
        <v>2790.0929999999998</v>
      </c>
      <c r="CM46" s="91">
        <v>2586.0044999999996</v>
      </c>
      <c r="CN46" s="91">
        <v>2902.2974999999997</v>
      </c>
      <c r="CO46" s="91">
        <v>3495.1259999999997</v>
      </c>
      <c r="CP46" s="91">
        <v>4203.6929999999993</v>
      </c>
      <c r="CQ46" s="91">
        <v>2810.4135000000001</v>
      </c>
      <c r="CR46" s="91">
        <v>2914.6664999999998</v>
      </c>
      <c r="CS46" s="91">
        <v>3162.93</v>
      </c>
      <c r="CT46" s="91">
        <v>4051.7309999999998</v>
      </c>
      <c r="CU46" s="91">
        <v>5709.1769999999997</v>
      </c>
      <c r="CV46" s="91">
        <v>40319.59199999999</v>
      </c>
      <c r="CW46" s="758"/>
      <c r="CX46" s="884">
        <v>3211.29</v>
      </c>
      <c r="CY46" s="884">
        <v>2482.1699999999996</v>
      </c>
      <c r="CZ46" s="884">
        <v>2790.0929999999998</v>
      </c>
      <c r="DA46" s="884">
        <v>2586.0044999999996</v>
      </c>
      <c r="DB46" s="884">
        <v>2902.2974999999997</v>
      </c>
      <c r="DC46" s="884">
        <v>3495.1259999999997</v>
      </c>
      <c r="DD46" s="884">
        <v>4203.6929999999993</v>
      </c>
      <c r="DE46" s="884">
        <v>2810.4135000000001</v>
      </c>
      <c r="DF46" s="884">
        <v>2914.6664999999998</v>
      </c>
      <c r="DG46" s="884">
        <v>3162.93</v>
      </c>
      <c r="DH46" s="884">
        <v>4051.7309999999998</v>
      </c>
      <c r="DI46" s="884">
        <v>5709.1769999999997</v>
      </c>
      <c r="DJ46" s="91">
        <v>40319.59199999999</v>
      </c>
      <c r="DK46" s="948"/>
      <c r="DL46" s="884">
        <v>3211.29</v>
      </c>
      <c r="DM46" s="884">
        <v>2482.1699999999996</v>
      </c>
      <c r="DN46" s="884">
        <v>2790.0929999999998</v>
      </c>
      <c r="DO46" s="884">
        <v>2586.0044999999996</v>
      </c>
      <c r="DP46" s="884">
        <v>2902.2974999999997</v>
      </c>
      <c r="DQ46" s="884">
        <v>3495.1259999999997</v>
      </c>
      <c r="DR46" s="884">
        <v>4203.6929999999993</v>
      </c>
      <c r="DS46" s="884">
        <v>2810.4135000000001</v>
      </c>
      <c r="DT46" s="884">
        <v>2914.6664999999998</v>
      </c>
      <c r="DU46" s="884">
        <v>3162.93</v>
      </c>
      <c r="DV46" s="884">
        <v>4051.7309999999998</v>
      </c>
      <c r="DW46" s="884">
        <v>5709.1769999999997</v>
      </c>
      <c r="DX46" s="91">
        <v>40319.59199999999</v>
      </c>
    </row>
    <row r="47" spans="1:129" ht="15" hidden="1" customHeight="1" outlineLevel="1">
      <c r="A47" s="94">
        <v>9</v>
      </c>
      <c r="B47" s="1079" t="s">
        <v>63</v>
      </c>
      <c r="C47" s="1120"/>
      <c r="D47" s="313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314">
        <f t="shared" si="102"/>
        <v>0</v>
      </c>
      <c r="Q47" s="90"/>
      <c r="R47" s="313">
        <v>1636</v>
      </c>
      <c r="S47" s="91">
        <v>1636</v>
      </c>
      <c r="T47" s="91">
        <f t="shared" ref="T47:T48" si="109">1818/2</f>
        <v>909</v>
      </c>
      <c r="U47" s="91">
        <v>0</v>
      </c>
      <c r="V47" s="91">
        <v>200</v>
      </c>
      <c r="W47" s="91">
        <v>300</v>
      </c>
      <c r="X47" s="91">
        <v>1000</v>
      </c>
      <c r="Y47" s="91">
        <v>1200</v>
      </c>
      <c r="Z47" s="91">
        <v>1600</v>
      </c>
      <c r="AA47" s="91">
        <v>1600</v>
      </c>
      <c r="AB47" s="91">
        <v>1800</v>
      </c>
      <c r="AC47" s="91">
        <v>2300</v>
      </c>
      <c r="AD47" s="315">
        <f t="shared" si="103"/>
        <v>14181</v>
      </c>
      <c r="AE47" s="23"/>
      <c r="AF47" s="316">
        <v>1500</v>
      </c>
      <c r="AG47" s="91">
        <v>1000</v>
      </c>
      <c r="AH47" s="91">
        <v>126</v>
      </c>
      <c r="AI47" s="91">
        <v>387</v>
      </c>
      <c r="AJ47" s="91">
        <v>895</v>
      </c>
      <c r="AK47" s="91">
        <v>800</v>
      </c>
      <c r="AL47" s="91">
        <v>1500</v>
      </c>
      <c r="AM47" s="91">
        <v>1000</v>
      </c>
      <c r="AN47" s="91">
        <v>1000</v>
      </c>
      <c r="AO47" s="91">
        <v>1000</v>
      </c>
      <c r="AP47" s="91">
        <v>1100</v>
      </c>
      <c r="AQ47" s="91">
        <v>1600</v>
      </c>
      <c r="AR47" s="92">
        <f t="shared" si="104"/>
        <v>11908</v>
      </c>
      <c r="AS47" s="23"/>
      <c r="AT47" s="91">
        <v>1182</v>
      </c>
      <c r="AU47" s="91">
        <v>1200</v>
      </c>
      <c r="AV47" s="91">
        <v>932</v>
      </c>
      <c r="AW47" s="91">
        <v>1020</v>
      </c>
      <c r="AX47" s="317">
        <v>0</v>
      </c>
      <c r="AY47" s="317">
        <v>0</v>
      </c>
      <c r="AZ47" s="317">
        <v>0</v>
      </c>
      <c r="BA47" s="317">
        <v>0</v>
      </c>
      <c r="BB47" s="317">
        <v>0</v>
      </c>
      <c r="BC47" s="317">
        <v>0</v>
      </c>
      <c r="BD47" s="317">
        <v>0</v>
      </c>
      <c r="BE47" s="317">
        <v>0</v>
      </c>
      <c r="BF47" s="91">
        <f t="shared" si="105"/>
        <v>4334</v>
      </c>
      <c r="BG47" s="93">
        <f t="shared" si="106"/>
        <v>-0.63604299630500505</v>
      </c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>
        <v>7070</v>
      </c>
      <c r="BU47" s="54"/>
      <c r="BV47" s="91">
        <v>928.14</v>
      </c>
      <c r="BW47" s="91">
        <v>717.95999999999992</v>
      </c>
      <c r="BX47" s="91">
        <f>'META  EM PEÇAS'!U37-('META  EM PEÇAS'!U37*0.05)</f>
        <v>806.63549999999987</v>
      </c>
      <c r="BY47" s="91">
        <f>'META  EM PEÇAS'!V37-('META  EM PEÇAS'!V37*0.05)</f>
        <v>747.44100000000003</v>
      </c>
      <c r="BZ47" s="91">
        <f>'META  EM PEÇAS'!W37-('META  EM PEÇAS'!W37*0.05)</f>
        <v>839.32499999999993</v>
      </c>
      <c r="CA47" s="91">
        <f>'META  EM PEÇAS'!X37-('META  EM PEÇAS'!X37*0.05)</f>
        <v>1010.7239999999998</v>
      </c>
      <c r="CB47" s="91">
        <f>'META  EM PEÇAS'!Y37-('META  EM PEÇAS'!Y37*0.05)</f>
        <v>1214.8125</v>
      </c>
      <c r="CC47" s="91">
        <f>'META  EM PEÇAS'!Z37-('META  EM PEÇAS'!Z37*0.05)</f>
        <v>812.81999999999994</v>
      </c>
      <c r="CD47" s="91">
        <f>'META  EM PEÇAS'!AA37-('META  EM PEÇAS'!AA37*0.05)</f>
        <v>842.85899999999992</v>
      </c>
      <c r="CE47" s="91">
        <f>'META  EM PEÇAS'!AB37-('META  EM PEÇAS'!AB37*0.05)</f>
        <v>914.4224999999999</v>
      </c>
      <c r="CF47" s="91">
        <f>'META  EM PEÇAS'!AC37-('META  EM PEÇAS'!AC37*0.05)</f>
        <v>1171.5209999999997</v>
      </c>
      <c r="CG47" s="91">
        <f>'META  EM PEÇAS'!AD37-('META  EM PEÇAS'!AD37*0.05)</f>
        <v>1650.3779999999997</v>
      </c>
      <c r="CH47" s="91">
        <f t="shared" si="107"/>
        <v>11657.038499999999</v>
      </c>
      <c r="CJ47" s="91">
        <v>928.14</v>
      </c>
      <c r="CK47" s="91">
        <v>717.95999999999992</v>
      </c>
      <c r="CL47" s="91">
        <v>806.63549999999987</v>
      </c>
      <c r="CM47" s="91">
        <v>747.44100000000003</v>
      </c>
      <c r="CN47" s="91">
        <v>839.32499999999993</v>
      </c>
      <c r="CO47" s="91">
        <v>1010.7239999999998</v>
      </c>
      <c r="CP47" s="91">
        <v>1214.8125</v>
      </c>
      <c r="CQ47" s="91">
        <v>812.81999999999994</v>
      </c>
      <c r="CR47" s="91">
        <v>842.85899999999992</v>
      </c>
      <c r="CS47" s="91">
        <v>914.4224999999999</v>
      </c>
      <c r="CT47" s="91">
        <v>1171.5209999999997</v>
      </c>
      <c r="CU47" s="91">
        <v>1650.3779999999997</v>
      </c>
      <c r="CV47" s="91">
        <v>11657.038499999999</v>
      </c>
      <c r="CW47" s="758"/>
      <c r="CX47" s="884">
        <v>928.14</v>
      </c>
      <c r="CY47" s="884">
        <v>717.95999999999992</v>
      </c>
      <c r="CZ47" s="884">
        <v>806.63549999999987</v>
      </c>
      <c r="DA47" s="884">
        <v>747.44100000000003</v>
      </c>
      <c r="DB47" s="884">
        <v>839.32499999999993</v>
      </c>
      <c r="DC47" s="884">
        <v>1010.7239999999998</v>
      </c>
      <c r="DD47" s="884">
        <v>1214.8125</v>
      </c>
      <c r="DE47" s="884">
        <v>812.81999999999994</v>
      </c>
      <c r="DF47" s="884">
        <v>842.85899999999992</v>
      </c>
      <c r="DG47" s="884">
        <v>914.4224999999999</v>
      </c>
      <c r="DH47" s="884">
        <v>1171.5209999999997</v>
      </c>
      <c r="DI47" s="884">
        <v>1650.3779999999997</v>
      </c>
      <c r="DJ47" s="91">
        <v>11657.038499999999</v>
      </c>
      <c r="DK47" s="948"/>
      <c r="DL47" s="884">
        <v>928.14</v>
      </c>
      <c r="DM47" s="884">
        <v>717.95999999999992</v>
      </c>
      <c r="DN47" s="884">
        <v>806.63549999999987</v>
      </c>
      <c r="DO47" s="884">
        <v>747.44100000000003</v>
      </c>
      <c r="DP47" s="884">
        <v>839.32499999999993</v>
      </c>
      <c r="DQ47" s="884">
        <v>1010.7239999999998</v>
      </c>
      <c r="DR47" s="884">
        <v>1214.8125</v>
      </c>
      <c r="DS47" s="884">
        <v>812.81999999999994</v>
      </c>
      <c r="DT47" s="884">
        <v>842.85899999999992</v>
      </c>
      <c r="DU47" s="884">
        <v>914.4224999999999</v>
      </c>
      <c r="DV47" s="884">
        <v>1171.5209999999997</v>
      </c>
      <c r="DW47" s="884">
        <v>1650.3779999999997</v>
      </c>
      <c r="DX47" s="91">
        <v>11657.038499999999</v>
      </c>
    </row>
    <row r="48" spans="1:129" ht="15" hidden="1" customHeight="1" outlineLevel="1">
      <c r="A48" s="94">
        <v>10</v>
      </c>
      <c r="B48" s="1079" t="s">
        <v>64</v>
      </c>
      <c r="C48" s="1120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314">
        <f t="shared" si="102"/>
        <v>0</v>
      </c>
      <c r="Q48" s="90"/>
      <c r="R48" s="313">
        <v>1636</v>
      </c>
      <c r="S48" s="91">
        <v>1636</v>
      </c>
      <c r="T48" s="91">
        <f t="shared" si="109"/>
        <v>909</v>
      </c>
      <c r="U48" s="91">
        <f>0.5*U7</f>
        <v>0.5</v>
      </c>
      <c r="V48" s="91">
        <v>200</v>
      </c>
      <c r="W48" s="91">
        <v>300</v>
      </c>
      <c r="X48" s="91">
        <v>1000</v>
      </c>
      <c r="Y48" s="91">
        <v>1200</v>
      </c>
      <c r="Z48" s="91">
        <v>1600</v>
      </c>
      <c r="AA48" s="91">
        <v>1600</v>
      </c>
      <c r="AB48" s="91">
        <v>1800</v>
      </c>
      <c r="AC48" s="91">
        <v>2300</v>
      </c>
      <c r="AD48" s="315">
        <f t="shared" si="103"/>
        <v>14181.5</v>
      </c>
      <c r="AE48" s="23"/>
      <c r="AF48" s="316">
        <v>1500</v>
      </c>
      <c r="AG48" s="91">
        <v>1000</v>
      </c>
      <c r="AH48" s="91">
        <v>764</v>
      </c>
      <c r="AI48" s="91">
        <v>561</v>
      </c>
      <c r="AJ48" s="91">
        <v>1353</v>
      </c>
      <c r="AK48" s="91">
        <v>960</v>
      </c>
      <c r="AL48" s="91">
        <v>1500</v>
      </c>
      <c r="AM48" s="91">
        <v>1200</v>
      </c>
      <c r="AN48" s="91">
        <v>1200</v>
      </c>
      <c r="AO48" s="91">
        <v>1200</v>
      </c>
      <c r="AP48" s="91">
        <v>1320</v>
      </c>
      <c r="AQ48" s="91">
        <v>1920</v>
      </c>
      <c r="AR48" s="92">
        <f t="shared" si="104"/>
        <v>14478</v>
      </c>
      <c r="AS48" s="23"/>
      <c r="AT48" s="91">
        <v>1285</v>
      </c>
      <c r="AU48" s="91">
        <v>957</v>
      </c>
      <c r="AV48" s="91">
        <v>1426</v>
      </c>
      <c r="AW48" s="91">
        <v>1595</v>
      </c>
      <c r="AX48" s="317">
        <v>1767</v>
      </c>
      <c r="AY48" s="317">
        <v>1767</v>
      </c>
      <c r="AZ48" s="317">
        <v>1686</v>
      </c>
      <c r="BA48" s="317">
        <v>1686</v>
      </c>
      <c r="BB48" s="317">
        <v>1767</v>
      </c>
      <c r="BC48" s="317">
        <v>2088</v>
      </c>
      <c r="BD48" s="317">
        <v>2248</v>
      </c>
      <c r="BE48" s="317">
        <v>3212</v>
      </c>
      <c r="BF48" s="91">
        <f t="shared" si="105"/>
        <v>21484</v>
      </c>
      <c r="BG48" s="93">
        <f t="shared" si="106"/>
        <v>0.48390661693604087</v>
      </c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>
        <v>16952</v>
      </c>
      <c r="BU48" s="54"/>
      <c r="BV48" s="91">
        <v>2631.8999999999996</v>
      </c>
      <c r="BW48" s="91">
        <v>2034.84</v>
      </c>
      <c r="BX48" s="91">
        <f>'META  EM PEÇAS'!U33-('META  EM PEÇAS'!U33*0.05)</f>
        <v>2287.3815</v>
      </c>
      <c r="BY48" s="91">
        <f>'META  EM PEÇAS'!V33-('META  EM PEÇAS'!V33*0.05)</f>
        <v>2119.5164999999997</v>
      </c>
      <c r="BZ48" s="91">
        <f>'META  EM PEÇAS'!W33-('META  EM PEÇAS'!W33*0.05)</f>
        <v>2379.2655</v>
      </c>
      <c r="CA48" s="91">
        <f>'META  EM PEÇAS'!X33-('META  EM PEÇAS'!X33*0.05)</f>
        <v>2865.1904999999997</v>
      </c>
      <c r="CB48" s="91">
        <f>'META  EM PEÇAS'!Y33-('META  EM PEÇAS'!Y33*0.05)</f>
        <v>3445.6499999999996</v>
      </c>
      <c r="CC48" s="91">
        <f>'META  EM PEÇAS'!Z33-('META  EM PEÇAS'!Z33*0.05)</f>
        <v>2303.2844999999998</v>
      </c>
      <c r="CD48" s="91">
        <f>'META  EM PEÇAS'!AA33-('META  EM PEÇAS'!AA33*0.05)</f>
        <v>2388.9839999999999</v>
      </c>
      <c r="CE48" s="91">
        <f>'META  EM PEÇAS'!AB33-('META  EM PEÇAS'!AB33*0.05)</f>
        <v>2592.1889999999999</v>
      </c>
      <c r="CF48" s="91">
        <f>'META  EM PEÇAS'!AC33-('META  EM PEÇAS'!AC33*0.05)</f>
        <v>3321.0765000000001</v>
      </c>
      <c r="CG48" s="91">
        <f>'META  EM PEÇAS'!AD33-('META  EM PEÇAS'!AD33*0.05)</f>
        <v>4679.8995000000004</v>
      </c>
      <c r="CH48" s="91">
        <f t="shared" si="107"/>
        <v>33049.177499999998</v>
      </c>
      <c r="CJ48" s="91">
        <v>2631.8999999999996</v>
      </c>
      <c r="CK48" s="91">
        <v>2034.84</v>
      </c>
      <c r="CL48" s="91">
        <v>2287.3815</v>
      </c>
      <c r="CM48" s="91">
        <v>2119.5164999999997</v>
      </c>
      <c r="CN48" s="91">
        <v>2379.2655</v>
      </c>
      <c r="CO48" s="91">
        <v>2865.1904999999997</v>
      </c>
      <c r="CP48" s="91">
        <v>3445.6499999999996</v>
      </c>
      <c r="CQ48" s="91">
        <v>2303.2844999999998</v>
      </c>
      <c r="CR48" s="91">
        <v>2388.9839999999999</v>
      </c>
      <c r="CS48" s="91">
        <v>2592.1889999999999</v>
      </c>
      <c r="CT48" s="91">
        <v>3321.0765000000001</v>
      </c>
      <c r="CU48" s="91">
        <v>4679.8995000000004</v>
      </c>
      <c r="CV48" s="91">
        <v>33049.177499999998</v>
      </c>
      <c r="CW48" s="758"/>
      <c r="CX48" s="884">
        <v>2631.8999999999996</v>
      </c>
      <c r="CY48" s="884">
        <v>2034.84</v>
      </c>
      <c r="CZ48" s="884">
        <v>2287.3815</v>
      </c>
      <c r="DA48" s="884">
        <v>2119.5164999999997</v>
      </c>
      <c r="DB48" s="884">
        <v>2379.2655</v>
      </c>
      <c r="DC48" s="884">
        <v>2865.1904999999997</v>
      </c>
      <c r="DD48" s="884">
        <v>3445.6499999999996</v>
      </c>
      <c r="DE48" s="884">
        <v>2303.2844999999998</v>
      </c>
      <c r="DF48" s="884">
        <v>2388.9839999999999</v>
      </c>
      <c r="DG48" s="884">
        <v>2592.1889999999999</v>
      </c>
      <c r="DH48" s="884">
        <v>3321.0765000000001</v>
      </c>
      <c r="DI48" s="884">
        <v>4679.8995000000004</v>
      </c>
      <c r="DJ48" s="91">
        <v>33049.177499999998</v>
      </c>
      <c r="DK48" s="948"/>
      <c r="DL48" s="884">
        <v>2631.8999999999996</v>
      </c>
      <c r="DM48" s="884">
        <v>2034.84</v>
      </c>
      <c r="DN48" s="884">
        <v>2287.3815</v>
      </c>
      <c r="DO48" s="884">
        <v>2119.5164999999997</v>
      </c>
      <c r="DP48" s="884">
        <v>2379.2655</v>
      </c>
      <c r="DQ48" s="884">
        <v>2865.1904999999997</v>
      </c>
      <c r="DR48" s="884">
        <v>3445.6499999999996</v>
      </c>
      <c r="DS48" s="884">
        <v>2303.2844999999998</v>
      </c>
      <c r="DT48" s="884">
        <v>2388.9839999999999</v>
      </c>
      <c r="DU48" s="884">
        <v>2592.1889999999999</v>
      </c>
      <c r="DV48" s="884">
        <v>3321.0765000000001</v>
      </c>
      <c r="DW48" s="884">
        <v>4679.8995000000004</v>
      </c>
      <c r="DX48" s="91">
        <v>33049.177499999998</v>
      </c>
    </row>
    <row r="49" spans="1:128" ht="15" hidden="1" customHeight="1" outlineLevel="1">
      <c r="A49" s="94">
        <v>10</v>
      </c>
      <c r="B49" s="1079" t="s">
        <v>65</v>
      </c>
      <c r="C49" s="1120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>
        <f t="shared" si="102"/>
        <v>0</v>
      </c>
      <c r="Q49" s="90"/>
      <c r="R49" s="313">
        <v>0</v>
      </c>
      <c r="S49" s="91">
        <v>0</v>
      </c>
      <c r="T49" s="91">
        <v>0</v>
      </c>
      <c r="U49" s="91">
        <v>0</v>
      </c>
      <c r="V49" s="91">
        <v>3500</v>
      </c>
      <c r="W49" s="91">
        <v>350</v>
      </c>
      <c r="X49" s="91">
        <v>800</v>
      </c>
      <c r="Y49" s="91">
        <v>1000</v>
      </c>
      <c r="Z49" s="91">
        <v>1600</v>
      </c>
      <c r="AA49" s="91">
        <v>2000</v>
      </c>
      <c r="AB49" s="91">
        <v>2400</v>
      </c>
      <c r="AC49" s="91">
        <v>3000</v>
      </c>
      <c r="AD49" s="315">
        <f t="shared" si="103"/>
        <v>14650</v>
      </c>
      <c r="AE49" s="23"/>
      <c r="AF49" s="316">
        <v>2500</v>
      </c>
      <c r="AG49" s="91">
        <v>1000</v>
      </c>
      <c r="AH49" s="91">
        <f>2500*0.15</f>
        <v>375</v>
      </c>
      <c r="AI49" s="91">
        <v>787</v>
      </c>
      <c r="AJ49" s="91">
        <v>1569</v>
      </c>
      <c r="AK49" s="91">
        <v>2000</v>
      </c>
      <c r="AL49" s="91">
        <v>2500</v>
      </c>
      <c r="AM49" s="91">
        <v>2500</v>
      </c>
      <c r="AN49" s="91">
        <v>2500</v>
      </c>
      <c r="AO49" s="91">
        <v>2500</v>
      </c>
      <c r="AP49" s="91">
        <v>2750</v>
      </c>
      <c r="AQ49" s="91">
        <v>4000</v>
      </c>
      <c r="AR49" s="92">
        <f t="shared" si="104"/>
        <v>24981</v>
      </c>
      <c r="AS49" s="23"/>
      <c r="AT49" s="91">
        <v>1806</v>
      </c>
      <c r="AU49" s="91">
        <v>2046</v>
      </c>
      <c r="AV49" s="91">
        <v>1646</v>
      </c>
      <c r="AW49" s="91">
        <v>1902</v>
      </c>
      <c r="AX49" s="317">
        <v>1545</v>
      </c>
      <c r="AY49" s="317">
        <v>1545</v>
      </c>
      <c r="AZ49" s="317">
        <v>1475</v>
      </c>
      <c r="BA49" s="317">
        <v>1475</v>
      </c>
      <c r="BB49" s="317">
        <v>1545</v>
      </c>
      <c r="BC49" s="317">
        <v>1826</v>
      </c>
      <c r="BD49" s="317">
        <v>0</v>
      </c>
      <c r="BE49" s="317">
        <v>0</v>
      </c>
      <c r="BF49" s="91">
        <f t="shared" si="105"/>
        <v>16811</v>
      </c>
      <c r="BG49" s="93">
        <f t="shared" si="106"/>
        <v>-0.32704855690324641</v>
      </c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>
        <v>10230</v>
      </c>
      <c r="BU49" s="54"/>
      <c r="BV49" s="91">
        <v>1335.48</v>
      </c>
      <c r="BW49" s="91">
        <v>1032.3</v>
      </c>
      <c r="BX49" s="91">
        <f>'META  EM PEÇAS'!U39-('META  EM PEÇAS'!U39*0.05)</f>
        <v>1160.0355</v>
      </c>
      <c r="BY49" s="91">
        <f>'META  EM PEÇAS'!V39-('META  EM PEÇAS'!V39*0.05)</f>
        <v>1075.2194999999999</v>
      </c>
      <c r="BZ49" s="91">
        <f>'META  EM PEÇAS'!W39-('META  EM PEÇAS'!W39*0.05)</f>
        <v>1206.8609999999999</v>
      </c>
      <c r="CA49" s="91">
        <f>'META  EM PEÇAS'!X39-('META  EM PEÇAS'!X39*0.05)</f>
        <v>1453.3574999999998</v>
      </c>
      <c r="CB49" s="91">
        <f>'META  EM PEÇAS'!Y39-('META  EM PEÇAS'!Y39*0.05)</f>
        <v>1747.5629999999999</v>
      </c>
      <c r="CC49" s="91">
        <f>'META  EM PEÇAS'!Z39-('META  EM PEÇAS'!Z39*0.05)</f>
        <v>1168.8705</v>
      </c>
      <c r="CD49" s="91">
        <f>'META  EM PEÇAS'!AA39-('META  EM PEÇAS'!AA39*0.05)</f>
        <v>1212.1619999999998</v>
      </c>
      <c r="CE49" s="91">
        <f>'META  EM PEÇAS'!AB39-('META  EM PEÇAS'!AB39*0.05)</f>
        <v>1314.6479999999999</v>
      </c>
      <c r="CF49" s="91">
        <f>'META  EM PEÇAS'!AC39-('META  EM PEÇAS'!AC39*0.05)</f>
        <v>1684.8344999999999</v>
      </c>
      <c r="CG49" s="91">
        <f>'META  EM PEÇAS'!AD39-('META  EM PEÇAS'!AD39*0.05)</f>
        <v>2373.9645</v>
      </c>
      <c r="CH49" s="91">
        <f t="shared" si="107"/>
        <v>16765.295999999995</v>
      </c>
      <c r="CJ49" s="91">
        <v>1335.48</v>
      </c>
      <c r="CK49" s="91">
        <v>1032.3</v>
      </c>
      <c r="CL49" s="91">
        <v>1160.0355</v>
      </c>
      <c r="CM49" s="91">
        <v>1075.2194999999999</v>
      </c>
      <c r="CN49" s="91">
        <v>1206.8609999999999</v>
      </c>
      <c r="CO49" s="91">
        <v>1453.3574999999998</v>
      </c>
      <c r="CP49" s="91">
        <v>1747.5629999999999</v>
      </c>
      <c r="CQ49" s="91">
        <v>1168.8705</v>
      </c>
      <c r="CR49" s="91">
        <v>1212.1619999999998</v>
      </c>
      <c r="CS49" s="91">
        <v>1314.6479999999999</v>
      </c>
      <c r="CT49" s="91">
        <v>1684.8344999999999</v>
      </c>
      <c r="CU49" s="91">
        <v>2373.9645</v>
      </c>
      <c r="CV49" s="91">
        <v>16765.295999999995</v>
      </c>
      <c r="CW49" s="758"/>
      <c r="CX49" s="884">
        <v>1335.48</v>
      </c>
      <c r="CY49" s="884">
        <v>1032.3</v>
      </c>
      <c r="CZ49" s="884">
        <v>1160.0355</v>
      </c>
      <c r="DA49" s="884">
        <v>1075.2194999999999</v>
      </c>
      <c r="DB49" s="884">
        <v>1206.8609999999999</v>
      </c>
      <c r="DC49" s="884">
        <v>1453.3574999999998</v>
      </c>
      <c r="DD49" s="884">
        <v>1747.5629999999999</v>
      </c>
      <c r="DE49" s="884">
        <v>1168.8705</v>
      </c>
      <c r="DF49" s="884">
        <v>1212.1619999999998</v>
      </c>
      <c r="DG49" s="884">
        <v>1314.6479999999999</v>
      </c>
      <c r="DH49" s="884">
        <v>1684.8344999999999</v>
      </c>
      <c r="DI49" s="884">
        <v>2373.9645</v>
      </c>
      <c r="DJ49" s="91">
        <v>16765.295999999995</v>
      </c>
      <c r="DK49" s="948"/>
      <c r="DL49" s="884">
        <v>1335.48</v>
      </c>
      <c r="DM49" s="884">
        <v>1032.3</v>
      </c>
      <c r="DN49" s="884">
        <v>1160.0355</v>
      </c>
      <c r="DO49" s="884">
        <v>1075.2194999999999</v>
      </c>
      <c r="DP49" s="884">
        <v>1206.8609999999999</v>
      </c>
      <c r="DQ49" s="884">
        <v>1453.3574999999998</v>
      </c>
      <c r="DR49" s="884">
        <v>1747.5629999999999</v>
      </c>
      <c r="DS49" s="884">
        <v>1168.8705</v>
      </c>
      <c r="DT49" s="884">
        <v>1212.1619999999998</v>
      </c>
      <c r="DU49" s="884">
        <v>1314.6479999999999</v>
      </c>
      <c r="DV49" s="884">
        <v>1684.8344999999999</v>
      </c>
      <c r="DW49" s="884">
        <v>2373.9645</v>
      </c>
      <c r="DX49" s="91">
        <v>16765.295999999995</v>
      </c>
    </row>
    <row r="50" spans="1:128" ht="15" hidden="1" customHeight="1" outlineLevel="1">
      <c r="A50" s="94">
        <v>11</v>
      </c>
      <c r="B50" s="921" t="s">
        <v>66</v>
      </c>
      <c r="C50" s="922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>
        <f t="shared" si="102"/>
        <v>0</v>
      </c>
      <c r="Q50" s="90"/>
      <c r="R50" s="313">
        <v>0</v>
      </c>
      <c r="S50" s="91">
        <v>0</v>
      </c>
      <c r="T50" s="91">
        <v>0</v>
      </c>
      <c r="U50" s="91">
        <v>0</v>
      </c>
      <c r="V50" s="91">
        <v>4000</v>
      </c>
      <c r="W50" s="91">
        <v>100</v>
      </c>
      <c r="X50" s="91">
        <v>800</v>
      </c>
      <c r="Y50" s="91">
        <v>800</v>
      </c>
      <c r="Z50" s="91">
        <v>1200</v>
      </c>
      <c r="AA50" s="91">
        <v>1200</v>
      </c>
      <c r="AB50" s="91">
        <v>1800</v>
      </c>
      <c r="AC50" s="91">
        <v>2300</v>
      </c>
      <c r="AD50" s="315">
        <f t="shared" si="103"/>
        <v>12200</v>
      </c>
      <c r="AE50" s="23"/>
      <c r="AF50" s="316">
        <v>1500</v>
      </c>
      <c r="AG50" s="91">
        <v>1000</v>
      </c>
      <c r="AH50" s="91">
        <f t="shared" ref="AH50:AH51" si="110">1500*0.15</f>
        <v>225</v>
      </c>
      <c r="AI50" s="91">
        <v>324</v>
      </c>
      <c r="AJ50" s="91">
        <v>869</v>
      </c>
      <c r="AK50" s="91">
        <v>800</v>
      </c>
      <c r="AL50" s="91">
        <v>1500</v>
      </c>
      <c r="AM50" s="91">
        <v>1000</v>
      </c>
      <c r="AN50" s="91">
        <v>1000</v>
      </c>
      <c r="AO50" s="91">
        <v>1000</v>
      </c>
      <c r="AP50" s="91">
        <v>1100</v>
      </c>
      <c r="AQ50" s="91">
        <v>1600</v>
      </c>
      <c r="AR50" s="92">
        <f t="shared" si="104"/>
        <v>11918</v>
      </c>
      <c r="AS50" s="23"/>
      <c r="AT50" s="91">
        <v>1191</v>
      </c>
      <c r="AU50" s="91">
        <v>1191</v>
      </c>
      <c r="AV50" s="91">
        <v>1191</v>
      </c>
      <c r="AW50" s="91">
        <v>1191</v>
      </c>
      <c r="AX50" s="317">
        <v>876</v>
      </c>
      <c r="AY50" s="317">
        <v>876</v>
      </c>
      <c r="AZ50" s="317">
        <v>836</v>
      </c>
      <c r="BA50" s="317">
        <v>836</v>
      </c>
      <c r="BB50" s="317">
        <v>876</v>
      </c>
      <c r="BC50" s="317">
        <v>1035</v>
      </c>
      <c r="BD50" s="317">
        <v>0</v>
      </c>
      <c r="BE50" s="317">
        <v>0</v>
      </c>
      <c r="BF50" s="91">
        <f t="shared" si="105"/>
        <v>10099</v>
      </c>
      <c r="BG50" s="93">
        <f t="shared" si="106"/>
        <v>-0.15262627957711028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>
        <v>7342</v>
      </c>
      <c r="BU50" s="54"/>
      <c r="BV50" s="91">
        <v>1643.31</v>
      </c>
      <c r="BW50" s="91">
        <v>1270.3799999999999</v>
      </c>
      <c r="BX50" s="91">
        <f>'META  EM PEÇAS'!U40-('META  EM PEÇAS'!U40*0.05)</f>
        <v>1427.7359999999999</v>
      </c>
      <c r="BY50" s="91">
        <f>'META  EM PEÇAS'!V40-('META  EM PEÇAS'!V40*0.05)</f>
        <v>1323.4829999999999</v>
      </c>
      <c r="BZ50" s="91">
        <f>'META  EM PEÇAS'!W40-('META  EM PEÇAS'!W40*0.05)</f>
        <v>1485.1634999999999</v>
      </c>
      <c r="CA50" s="91">
        <f>'META  EM PEÇAS'!X40-('META  EM PEÇAS'!X40*0.05)</f>
        <v>1788.204</v>
      </c>
      <c r="CB50" s="91">
        <f>'META  EM PEÇAS'!Y40-('META  EM PEÇAS'!Y40*0.05)</f>
        <v>2151.3224999999998</v>
      </c>
      <c r="CC50" s="91">
        <f>'META  EM PEÇAS'!Z40-('META  EM PEÇAS'!Z40*0.05)</f>
        <v>1438.338</v>
      </c>
      <c r="CD50" s="91">
        <f>'META  EM PEÇAS'!AA40-('META  EM PEÇAS'!AA40*0.05)</f>
        <v>1491.348</v>
      </c>
      <c r="CE50" s="91">
        <f>'META  EM PEÇAS'!AB40-('META  EM PEÇAS'!AB40*0.05)</f>
        <v>1618.5719999999999</v>
      </c>
      <c r="CF50" s="91">
        <f>'META  EM PEÇAS'!AC40-('META  EM PEÇAS'!AC40*0.05)</f>
        <v>2073.5745000000002</v>
      </c>
      <c r="CG50" s="91">
        <f>'META  EM PEÇAS'!AD40-('META  EM PEÇAS'!AD40*0.05)</f>
        <v>2921.7344999999996</v>
      </c>
      <c r="CH50" s="91">
        <f t="shared" si="107"/>
        <v>20633.165999999997</v>
      </c>
      <c r="CJ50" s="91">
        <v>1643.31</v>
      </c>
      <c r="CK50" s="91">
        <v>1270.3799999999999</v>
      </c>
      <c r="CL50" s="91">
        <v>1427.7359999999999</v>
      </c>
      <c r="CM50" s="91">
        <v>1323.4829999999999</v>
      </c>
      <c r="CN50" s="91">
        <v>1485.1634999999999</v>
      </c>
      <c r="CO50" s="91">
        <v>1788.204</v>
      </c>
      <c r="CP50" s="91">
        <v>2151.3224999999998</v>
      </c>
      <c r="CQ50" s="91">
        <v>1438.338</v>
      </c>
      <c r="CR50" s="91">
        <v>1491.348</v>
      </c>
      <c r="CS50" s="91">
        <v>1618.5719999999999</v>
      </c>
      <c r="CT50" s="91">
        <v>2073.5745000000002</v>
      </c>
      <c r="CU50" s="91">
        <v>2921.7344999999996</v>
      </c>
      <c r="CV50" s="91">
        <v>20633.165999999997</v>
      </c>
      <c r="CW50" s="758"/>
      <c r="CX50" s="884">
        <v>1643.31</v>
      </c>
      <c r="CY50" s="884">
        <v>1270.3799999999999</v>
      </c>
      <c r="CZ50" s="884">
        <v>1427.7359999999999</v>
      </c>
      <c r="DA50" s="884">
        <v>1323.4829999999999</v>
      </c>
      <c r="DB50" s="884">
        <v>1485.1634999999999</v>
      </c>
      <c r="DC50" s="884">
        <v>1788.204</v>
      </c>
      <c r="DD50" s="884">
        <v>2151.3224999999998</v>
      </c>
      <c r="DE50" s="884">
        <v>1438.338</v>
      </c>
      <c r="DF50" s="884">
        <v>1491.348</v>
      </c>
      <c r="DG50" s="884">
        <v>1618.5719999999999</v>
      </c>
      <c r="DH50" s="884">
        <v>2073.5745000000002</v>
      </c>
      <c r="DI50" s="884">
        <v>2921.7344999999996</v>
      </c>
      <c r="DJ50" s="91">
        <v>20633.165999999997</v>
      </c>
      <c r="DK50" s="948"/>
      <c r="DL50" s="884">
        <v>1643.31</v>
      </c>
      <c r="DM50" s="884">
        <v>1270.3799999999999</v>
      </c>
      <c r="DN50" s="884">
        <v>1427.7359999999999</v>
      </c>
      <c r="DO50" s="884">
        <v>1323.4829999999999</v>
      </c>
      <c r="DP50" s="884">
        <v>1485.1634999999999</v>
      </c>
      <c r="DQ50" s="884">
        <v>1788.204</v>
      </c>
      <c r="DR50" s="884">
        <v>2151.3224999999998</v>
      </c>
      <c r="DS50" s="884">
        <v>1438.338</v>
      </c>
      <c r="DT50" s="884">
        <v>1491.348</v>
      </c>
      <c r="DU50" s="884">
        <v>1618.5719999999999</v>
      </c>
      <c r="DV50" s="884">
        <v>2073.5745000000002</v>
      </c>
      <c r="DW50" s="884">
        <v>2921.7344999999996</v>
      </c>
      <c r="DX50" s="91">
        <v>20633.165999999997</v>
      </c>
    </row>
    <row r="51" spans="1:128" ht="15" hidden="1" customHeight="1" outlineLevel="1">
      <c r="A51" s="94">
        <v>12</v>
      </c>
      <c r="B51" s="921" t="s">
        <v>67</v>
      </c>
      <c r="C51" s="922"/>
      <c r="D51" s="313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314">
        <f t="shared" si="102"/>
        <v>0</v>
      </c>
      <c r="Q51" s="90"/>
      <c r="R51" s="313">
        <v>0</v>
      </c>
      <c r="S51" s="91">
        <v>0</v>
      </c>
      <c r="T51" s="91">
        <v>0</v>
      </c>
      <c r="U51" s="91">
        <v>0</v>
      </c>
      <c r="V51" s="91">
        <v>4000</v>
      </c>
      <c r="W51" s="91">
        <v>0</v>
      </c>
      <c r="X51" s="91">
        <v>800</v>
      </c>
      <c r="Y51" s="91">
        <v>1000</v>
      </c>
      <c r="Z51" s="91">
        <v>1200</v>
      </c>
      <c r="AA51" s="91">
        <v>1200</v>
      </c>
      <c r="AB51" s="91">
        <v>1800</v>
      </c>
      <c r="AC51" s="91">
        <v>2300</v>
      </c>
      <c r="AD51" s="315">
        <f t="shared" si="103"/>
        <v>12300</v>
      </c>
      <c r="AE51" s="23"/>
      <c r="AF51" s="316">
        <v>1500</v>
      </c>
      <c r="AG51" s="91">
        <v>1200</v>
      </c>
      <c r="AH51" s="91">
        <f t="shared" si="110"/>
        <v>225</v>
      </c>
      <c r="AI51" s="91">
        <v>332</v>
      </c>
      <c r="AJ51" s="91">
        <v>945</v>
      </c>
      <c r="AK51" s="91">
        <v>960</v>
      </c>
      <c r="AL51" s="91">
        <v>1500</v>
      </c>
      <c r="AM51" s="91">
        <v>1200</v>
      </c>
      <c r="AN51" s="91">
        <v>1200</v>
      </c>
      <c r="AO51" s="91">
        <v>1200</v>
      </c>
      <c r="AP51" s="91">
        <v>1320</v>
      </c>
      <c r="AQ51" s="91">
        <v>1920</v>
      </c>
      <c r="AR51" s="92">
        <f t="shared" si="104"/>
        <v>13502</v>
      </c>
      <c r="AS51" s="23"/>
      <c r="AT51" s="91">
        <v>1254</v>
      </c>
      <c r="AU51" s="91">
        <v>1254</v>
      </c>
      <c r="AV51" s="91">
        <v>1254</v>
      </c>
      <c r="AW51" s="91">
        <v>1254</v>
      </c>
      <c r="AX51" s="317">
        <v>1236</v>
      </c>
      <c r="AY51" s="317">
        <v>1236</v>
      </c>
      <c r="AZ51" s="317">
        <v>0</v>
      </c>
      <c r="BA51" s="317">
        <v>0</v>
      </c>
      <c r="BB51" s="317">
        <v>0</v>
      </c>
      <c r="BC51" s="317">
        <v>0</v>
      </c>
      <c r="BD51" s="317">
        <v>0</v>
      </c>
      <c r="BE51" s="317">
        <v>0</v>
      </c>
      <c r="BF51" s="91">
        <f t="shared" si="105"/>
        <v>7488</v>
      </c>
      <c r="BG51" s="93">
        <f t="shared" si="106"/>
        <v>-0.44541549400088876</v>
      </c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>
        <v>16899</v>
      </c>
      <c r="BU51" s="54"/>
      <c r="BV51" s="91">
        <v>2552.85</v>
      </c>
      <c r="BW51" s="91">
        <v>1973.4599999999998</v>
      </c>
      <c r="BX51" s="91">
        <f>'META  EM PEÇAS'!U34-('META  EM PEÇAS'!U34*0.05)</f>
        <v>2218.4684999999999</v>
      </c>
      <c r="BY51" s="91">
        <f>'META  EM PEÇAS'!V34-('META  EM PEÇAS'!V34*0.05)</f>
        <v>2056.788</v>
      </c>
      <c r="BZ51" s="91">
        <f>'META  EM PEÇAS'!W34-('META  EM PEÇAS'!W34*0.05)</f>
        <v>2307.7019999999998</v>
      </c>
      <c r="CA51" s="91">
        <f>'META  EM PEÇAS'!X34-('META  EM PEÇAS'!X34*0.05)</f>
        <v>2778.6075000000001</v>
      </c>
      <c r="CB51" s="91">
        <f>'META  EM PEÇAS'!Y34-('META  EM PEÇAS'!Y34*0.05)</f>
        <v>3342.2804999999998</v>
      </c>
      <c r="CC51" s="91">
        <f>'META  EM PEÇAS'!Z34-('META  EM PEÇAS'!Z34*0.05)</f>
        <v>2234.3714999999997</v>
      </c>
      <c r="CD51" s="91">
        <f>'META  EM PEÇAS'!AA34-('META  EM PEÇAS'!AA34*0.05)</f>
        <v>2317.4204999999997</v>
      </c>
      <c r="CE51" s="91">
        <f>'META  EM PEÇAS'!AB34-('META  EM PEÇAS'!AB34*0.05)</f>
        <v>2514.4409999999998</v>
      </c>
      <c r="CF51" s="91">
        <f>'META  EM PEÇAS'!AC34-('META  EM PEÇAS'!AC34*0.05)</f>
        <v>3221.241</v>
      </c>
      <c r="CG51" s="91">
        <f>'META  EM PEÇAS'!AD34-('META  EM PEÇAS'!AD34*0.05)</f>
        <v>4539.4229999999989</v>
      </c>
      <c r="CH51" s="91">
        <f t="shared" si="107"/>
        <v>32057.053499999998</v>
      </c>
      <c r="CJ51" s="91">
        <v>2552.85</v>
      </c>
      <c r="CK51" s="91">
        <v>1973.4599999999998</v>
      </c>
      <c r="CL51" s="91">
        <v>2218.4684999999999</v>
      </c>
      <c r="CM51" s="91">
        <v>2056.788</v>
      </c>
      <c r="CN51" s="91">
        <v>2307.7019999999998</v>
      </c>
      <c r="CO51" s="91">
        <v>2778.6075000000001</v>
      </c>
      <c r="CP51" s="91">
        <v>3342.2804999999998</v>
      </c>
      <c r="CQ51" s="91">
        <v>2234.3714999999997</v>
      </c>
      <c r="CR51" s="91">
        <v>2317.4204999999997</v>
      </c>
      <c r="CS51" s="91">
        <v>2514.4409999999998</v>
      </c>
      <c r="CT51" s="91">
        <v>3221.241</v>
      </c>
      <c r="CU51" s="91">
        <v>4539.4229999999989</v>
      </c>
      <c r="CV51" s="91">
        <v>32057.053499999998</v>
      </c>
      <c r="CW51" s="758"/>
      <c r="CX51" s="884">
        <v>2552.85</v>
      </c>
      <c r="CY51" s="884">
        <v>1973.4599999999998</v>
      </c>
      <c r="CZ51" s="884">
        <v>2218.4684999999999</v>
      </c>
      <c r="DA51" s="884">
        <v>2056.788</v>
      </c>
      <c r="DB51" s="884">
        <v>2307.7019999999998</v>
      </c>
      <c r="DC51" s="884">
        <v>2778.6075000000001</v>
      </c>
      <c r="DD51" s="884">
        <v>3342.2804999999998</v>
      </c>
      <c r="DE51" s="884">
        <v>2234.3714999999997</v>
      </c>
      <c r="DF51" s="884">
        <v>2317.4204999999997</v>
      </c>
      <c r="DG51" s="884">
        <v>2514.4409999999998</v>
      </c>
      <c r="DH51" s="884">
        <v>3221.241</v>
      </c>
      <c r="DI51" s="884">
        <v>4539.4229999999989</v>
      </c>
      <c r="DJ51" s="91">
        <v>32057.053499999998</v>
      </c>
      <c r="DK51" s="948"/>
      <c r="DL51" s="884">
        <v>2552.85</v>
      </c>
      <c r="DM51" s="884">
        <v>1973.4599999999998</v>
      </c>
      <c r="DN51" s="884">
        <v>2218.4684999999999</v>
      </c>
      <c r="DO51" s="884">
        <v>2056.788</v>
      </c>
      <c r="DP51" s="884">
        <v>2307.7019999999998</v>
      </c>
      <c r="DQ51" s="884">
        <v>2778.6075000000001</v>
      </c>
      <c r="DR51" s="884">
        <v>3342.2804999999998</v>
      </c>
      <c r="DS51" s="884">
        <v>2234.3714999999997</v>
      </c>
      <c r="DT51" s="884">
        <v>2317.4204999999997</v>
      </c>
      <c r="DU51" s="884">
        <v>2514.4409999999998</v>
      </c>
      <c r="DV51" s="884">
        <v>3221.241</v>
      </c>
      <c r="DW51" s="884">
        <v>4539.4229999999989</v>
      </c>
      <c r="DX51" s="91">
        <v>32057.053499999998</v>
      </c>
    </row>
    <row r="52" spans="1:128" ht="15" hidden="1" customHeight="1" outlineLevel="1">
      <c r="A52" s="94">
        <v>13</v>
      </c>
      <c r="B52" s="921" t="s">
        <v>68</v>
      </c>
      <c r="C52" s="923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>
        <f t="shared" si="102"/>
        <v>0</v>
      </c>
      <c r="Q52" s="90"/>
      <c r="R52" s="313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2000</v>
      </c>
      <c r="Y52" s="91">
        <v>800</v>
      </c>
      <c r="Z52" s="91">
        <v>800</v>
      </c>
      <c r="AA52" s="91">
        <v>1200</v>
      </c>
      <c r="AB52" s="91">
        <v>1800</v>
      </c>
      <c r="AC52" s="91">
        <v>2300</v>
      </c>
      <c r="AD52" s="315">
        <f t="shared" si="103"/>
        <v>8900</v>
      </c>
      <c r="AE52" s="23"/>
      <c r="AF52" s="316">
        <v>1800</v>
      </c>
      <c r="AG52" s="91">
        <v>1200</v>
      </c>
      <c r="AH52" s="91">
        <f>1800*0.15</f>
        <v>270</v>
      </c>
      <c r="AI52" s="91">
        <v>896</v>
      </c>
      <c r="AJ52" s="91">
        <v>1339</v>
      </c>
      <c r="AK52" s="91">
        <v>1600</v>
      </c>
      <c r="AL52" s="91">
        <v>1800</v>
      </c>
      <c r="AM52" s="91">
        <v>2000</v>
      </c>
      <c r="AN52" s="91">
        <v>2000</v>
      </c>
      <c r="AO52" s="91">
        <v>2000</v>
      </c>
      <c r="AP52" s="91">
        <v>2200</v>
      </c>
      <c r="AQ52" s="91">
        <v>3200</v>
      </c>
      <c r="AR52" s="92">
        <f t="shared" si="104"/>
        <v>20305</v>
      </c>
      <c r="AS52" s="23"/>
      <c r="AT52" s="91">
        <v>1980</v>
      </c>
      <c r="AU52" s="91">
        <v>1980</v>
      </c>
      <c r="AV52" s="91">
        <v>1980</v>
      </c>
      <c r="AW52" s="91">
        <v>1980</v>
      </c>
      <c r="AX52" s="317">
        <v>1409</v>
      </c>
      <c r="AY52" s="317">
        <v>1409</v>
      </c>
      <c r="AZ52" s="317">
        <v>1345</v>
      </c>
      <c r="BA52" s="317">
        <v>1345</v>
      </c>
      <c r="BB52" s="317">
        <v>1409</v>
      </c>
      <c r="BC52" s="317">
        <v>1665</v>
      </c>
      <c r="BD52" s="317">
        <v>1793</v>
      </c>
      <c r="BE52" s="317">
        <v>2562</v>
      </c>
      <c r="BF52" s="91">
        <f t="shared" si="105"/>
        <v>20857</v>
      </c>
      <c r="BG52" s="93">
        <f t="shared" si="106"/>
        <v>2.7185422309775831E-2</v>
      </c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>
        <v>11555</v>
      </c>
      <c r="BU52" s="54"/>
      <c r="BV52" s="91">
        <v>1903.7099999999998</v>
      </c>
      <c r="BW52" s="91">
        <v>1471.26</v>
      </c>
      <c r="BX52" s="91">
        <f>'META  EM PEÇAS'!U35-('META  EM PEÇAS'!U35*0.05)</f>
        <v>1654.7954999999999</v>
      </c>
      <c r="BY52" s="91">
        <f>'META  EM PEÇAS'!V35-('META  EM PEÇAS'!V35*0.05)</f>
        <v>1533.7559999999999</v>
      </c>
      <c r="BZ52" s="91">
        <f>'META  EM PEÇAS'!W35-('META  EM PEÇAS'!W35*0.05)</f>
        <v>1721.058</v>
      </c>
      <c r="CA52" s="91">
        <f>'META  EM PEÇAS'!X35-('META  EM PEÇAS'!X35*0.05)</f>
        <v>2071.8074999999999</v>
      </c>
      <c r="CB52" s="91">
        <f>'META  EM PEÇAS'!Y35-('META  EM PEÇAS'!Y35*0.05)</f>
        <v>2492.3534999999997</v>
      </c>
      <c r="CC52" s="91">
        <f>'META  EM PEÇAS'!Z35-('META  EM PEÇAS'!Z35*0.05)</f>
        <v>1666.2809999999997</v>
      </c>
      <c r="CD52" s="91">
        <f>'META  EM PEÇAS'!AA35-('META  EM PEÇAS'!AA35*0.05)</f>
        <v>1728.126</v>
      </c>
      <c r="CE52" s="91">
        <f>'META  EM PEÇAS'!AB35-('META  EM PEÇAS'!AB35*0.05)</f>
        <v>1874.7869999999998</v>
      </c>
      <c r="CF52" s="91">
        <f>'META  EM PEÇAS'!AC35-('META  EM PEÇAS'!AC35*0.05)</f>
        <v>2402.2364999999995</v>
      </c>
      <c r="CG52" s="91">
        <f>'META  EM PEÇAS'!AD35-('META  EM PEÇAS'!AD35*0.05)</f>
        <v>3384.6884999999997</v>
      </c>
      <c r="CH52" s="91">
        <f t="shared" si="107"/>
        <v>23904.859499999995</v>
      </c>
      <c r="CJ52" s="91">
        <v>1903.7099999999998</v>
      </c>
      <c r="CK52" s="91">
        <v>1471.26</v>
      </c>
      <c r="CL52" s="91">
        <v>1654.7954999999999</v>
      </c>
      <c r="CM52" s="91">
        <v>1533.7559999999999</v>
      </c>
      <c r="CN52" s="91">
        <v>1721.058</v>
      </c>
      <c r="CO52" s="91">
        <v>2071.8074999999999</v>
      </c>
      <c r="CP52" s="91">
        <v>2492.3534999999997</v>
      </c>
      <c r="CQ52" s="91">
        <v>1666.2809999999997</v>
      </c>
      <c r="CR52" s="91">
        <v>1728.126</v>
      </c>
      <c r="CS52" s="91">
        <v>1874.7869999999998</v>
      </c>
      <c r="CT52" s="91">
        <v>2402.2364999999995</v>
      </c>
      <c r="CU52" s="91">
        <v>3384.6884999999997</v>
      </c>
      <c r="CV52" s="91">
        <v>23904.859499999995</v>
      </c>
      <c r="CW52" s="758"/>
      <c r="CX52" s="884">
        <v>1903.7099999999998</v>
      </c>
      <c r="CY52" s="884">
        <v>1471.26</v>
      </c>
      <c r="CZ52" s="884">
        <v>1654.7954999999999</v>
      </c>
      <c r="DA52" s="884">
        <v>1533.7559999999999</v>
      </c>
      <c r="DB52" s="884">
        <v>1721.058</v>
      </c>
      <c r="DC52" s="884">
        <v>2071.8074999999999</v>
      </c>
      <c r="DD52" s="884">
        <v>2492.3534999999997</v>
      </c>
      <c r="DE52" s="884">
        <v>1666.2809999999997</v>
      </c>
      <c r="DF52" s="884">
        <v>1728.126</v>
      </c>
      <c r="DG52" s="884">
        <v>1874.7869999999998</v>
      </c>
      <c r="DH52" s="884">
        <v>2402.2364999999995</v>
      </c>
      <c r="DI52" s="884">
        <v>3384.6884999999997</v>
      </c>
      <c r="DJ52" s="91">
        <v>23904.859499999995</v>
      </c>
      <c r="DK52" s="948"/>
      <c r="DL52" s="884">
        <v>1903.7099999999998</v>
      </c>
      <c r="DM52" s="884">
        <v>1471.26</v>
      </c>
      <c r="DN52" s="884">
        <v>1654.7954999999999</v>
      </c>
      <c r="DO52" s="884">
        <v>1533.7559999999999</v>
      </c>
      <c r="DP52" s="884">
        <v>1721.058</v>
      </c>
      <c r="DQ52" s="884">
        <v>2071.8074999999999</v>
      </c>
      <c r="DR52" s="884">
        <v>2492.3534999999997</v>
      </c>
      <c r="DS52" s="884">
        <v>1666.2809999999997</v>
      </c>
      <c r="DT52" s="884">
        <v>1728.126</v>
      </c>
      <c r="DU52" s="884">
        <v>1874.7869999999998</v>
      </c>
      <c r="DV52" s="884">
        <v>2402.2364999999995</v>
      </c>
      <c r="DW52" s="884">
        <v>3384.6884999999997</v>
      </c>
      <c r="DX52" s="91">
        <v>23904.859499999995</v>
      </c>
    </row>
    <row r="53" spans="1:128" ht="15" hidden="1" customHeight="1" outlineLevel="1">
      <c r="A53" s="94">
        <v>14</v>
      </c>
      <c r="B53" s="921" t="s">
        <v>69</v>
      </c>
      <c r="C53" s="923"/>
      <c r="D53" s="313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314"/>
      <c r="Q53" s="90"/>
      <c r="R53" s="313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91">
        <v>2000</v>
      </c>
      <c r="Z53" s="91">
        <v>800</v>
      </c>
      <c r="AA53" s="91">
        <v>800</v>
      </c>
      <c r="AB53" s="91">
        <v>1200</v>
      </c>
      <c r="AC53" s="91">
        <v>1800</v>
      </c>
      <c r="AD53" s="315">
        <f t="shared" si="103"/>
        <v>6600</v>
      </c>
      <c r="AE53" s="23"/>
      <c r="AF53" s="316">
        <v>1500</v>
      </c>
      <c r="AG53" s="91">
        <v>1200</v>
      </c>
      <c r="AH53" s="91">
        <f>1500*0.15</f>
        <v>225</v>
      </c>
      <c r="AI53" s="91">
        <v>374</v>
      </c>
      <c r="AJ53" s="91">
        <v>990</v>
      </c>
      <c r="AK53" s="91">
        <v>960</v>
      </c>
      <c r="AL53" s="91">
        <v>1800</v>
      </c>
      <c r="AM53" s="91">
        <v>1200</v>
      </c>
      <c r="AN53" s="91">
        <v>1200</v>
      </c>
      <c r="AO53" s="91">
        <v>1200</v>
      </c>
      <c r="AP53" s="91">
        <v>1320</v>
      </c>
      <c r="AQ53" s="91">
        <v>1920</v>
      </c>
      <c r="AR53" s="92">
        <f t="shared" si="104"/>
        <v>13889</v>
      </c>
      <c r="AS53" s="23"/>
      <c r="AT53" s="91">
        <v>1518</v>
      </c>
      <c r="AU53" s="91">
        <v>1518</v>
      </c>
      <c r="AV53" s="91">
        <v>1518</v>
      </c>
      <c r="AW53" s="91">
        <v>1518</v>
      </c>
      <c r="AX53" s="317">
        <v>1276</v>
      </c>
      <c r="AY53" s="317">
        <v>1276</v>
      </c>
      <c r="AZ53" s="317">
        <v>1218</v>
      </c>
      <c r="BA53" s="317">
        <v>1218</v>
      </c>
      <c r="BB53" s="317">
        <v>1276</v>
      </c>
      <c r="BC53" s="317">
        <v>1508</v>
      </c>
      <c r="BD53" s="317">
        <v>1624</v>
      </c>
      <c r="BE53" s="317">
        <v>2320</v>
      </c>
      <c r="BF53" s="91">
        <f t="shared" si="105"/>
        <v>17788</v>
      </c>
      <c r="BG53" s="93">
        <f t="shared" si="106"/>
        <v>0.2807257541939665</v>
      </c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>
        <v>19018</v>
      </c>
      <c r="BU53" s="54"/>
      <c r="BV53" s="91">
        <v>2737.9199999999996</v>
      </c>
      <c r="BW53" s="91">
        <v>2116.6799999999998</v>
      </c>
      <c r="BX53" s="91">
        <f>'META  EM PEÇAS'!U36-('META  EM PEÇAS'!U36*0.05)</f>
        <v>2379.2655</v>
      </c>
      <c r="BY53" s="91">
        <f>'META  EM PEÇAS'!V36-('META  EM PEÇAS'!V36*0.05)</f>
        <v>2205.2159999999999</v>
      </c>
      <c r="BZ53" s="91">
        <f>'META  EM PEÇAS'!W36-('META  EM PEÇAS'!W36*0.05)</f>
        <v>2474.6834999999996</v>
      </c>
      <c r="CA53" s="91">
        <f>'META  EM PEÇAS'!X36-('META  EM PEÇAS'!X36*0.05)</f>
        <v>2980.0454999999997</v>
      </c>
      <c r="CB53" s="91">
        <f>'META  EM PEÇAS'!Y36-('META  EM PEÇAS'!Y36*0.05)</f>
        <v>3584.3594999999996</v>
      </c>
      <c r="CC53" s="91">
        <f>'META  EM PEÇAS'!Z36-('META  EM PEÇAS'!Z36*0.05)</f>
        <v>2396.0519999999997</v>
      </c>
      <c r="CD53" s="91">
        <f>'META  EM PEÇAS'!AA36-('META  EM PEÇAS'!AA36*0.05)</f>
        <v>2485.2854999999995</v>
      </c>
      <c r="CE53" s="91">
        <f>'META  EM PEÇAS'!AB36-('META  EM PEÇAS'!AB36*0.05)</f>
        <v>2696.4419999999996</v>
      </c>
      <c r="CF53" s="91">
        <f>'META  EM PEÇAS'!AC36-('META  EM PEÇAS'!AC36*0.05)</f>
        <v>3454.4849999999997</v>
      </c>
      <c r="CG53" s="91">
        <f>'META  EM PEÇAS'!AD36-('META  EM PEÇAS'!AD36*0.05)</f>
        <v>4868.0849999999991</v>
      </c>
      <c r="CH53" s="91">
        <f t="shared" si="107"/>
        <v>34378.519499999995</v>
      </c>
      <c r="CJ53" s="91">
        <v>2737.9199999999996</v>
      </c>
      <c r="CK53" s="91">
        <v>2116.6799999999998</v>
      </c>
      <c r="CL53" s="91">
        <v>2379.2655</v>
      </c>
      <c r="CM53" s="91">
        <v>2205.2159999999999</v>
      </c>
      <c r="CN53" s="91">
        <v>2474.6834999999996</v>
      </c>
      <c r="CO53" s="91">
        <v>2980.0454999999997</v>
      </c>
      <c r="CP53" s="91">
        <v>3584.3594999999996</v>
      </c>
      <c r="CQ53" s="91">
        <v>2396.0519999999997</v>
      </c>
      <c r="CR53" s="91">
        <v>2485.2854999999995</v>
      </c>
      <c r="CS53" s="91">
        <v>2696.4419999999996</v>
      </c>
      <c r="CT53" s="91">
        <v>3454.4849999999997</v>
      </c>
      <c r="CU53" s="91">
        <v>4868.0849999999991</v>
      </c>
      <c r="CV53" s="91">
        <v>34378.519499999995</v>
      </c>
      <c r="CW53" s="758"/>
      <c r="CX53" s="884">
        <v>2737.9199999999996</v>
      </c>
      <c r="CY53" s="884">
        <v>2116.6799999999998</v>
      </c>
      <c r="CZ53" s="884">
        <v>2379.2655</v>
      </c>
      <c r="DA53" s="884">
        <v>2205.2159999999999</v>
      </c>
      <c r="DB53" s="884">
        <v>2474.6834999999996</v>
      </c>
      <c r="DC53" s="884">
        <v>2980.0454999999997</v>
      </c>
      <c r="DD53" s="884">
        <v>3584.3594999999996</v>
      </c>
      <c r="DE53" s="884">
        <v>2396.0519999999997</v>
      </c>
      <c r="DF53" s="884">
        <v>2485.2854999999995</v>
      </c>
      <c r="DG53" s="884">
        <v>2696.4419999999996</v>
      </c>
      <c r="DH53" s="884">
        <v>3454.4849999999997</v>
      </c>
      <c r="DI53" s="884">
        <v>4868.0849999999991</v>
      </c>
      <c r="DJ53" s="91">
        <v>34378.519499999995</v>
      </c>
      <c r="DK53" s="948"/>
      <c r="DL53" s="884">
        <v>2737.9199999999996</v>
      </c>
      <c r="DM53" s="884">
        <v>2116.6799999999998</v>
      </c>
      <c r="DN53" s="884">
        <v>2379.2655</v>
      </c>
      <c r="DO53" s="884">
        <v>2205.2159999999999</v>
      </c>
      <c r="DP53" s="884">
        <v>2474.6834999999996</v>
      </c>
      <c r="DQ53" s="884">
        <v>2980.0454999999997</v>
      </c>
      <c r="DR53" s="884">
        <v>3584.3594999999996</v>
      </c>
      <c r="DS53" s="884">
        <v>2396.0519999999997</v>
      </c>
      <c r="DT53" s="884">
        <v>2485.2854999999995</v>
      </c>
      <c r="DU53" s="884">
        <v>2696.4419999999996</v>
      </c>
      <c r="DV53" s="884">
        <v>3454.4849999999997</v>
      </c>
      <c r="DW53" s="884">
        <v>4868.0849999999991</v>
      </c>
      <c r="DX53" s="91">
        <v>34378.519499999995</v>
      </c>
    </row>
    <row r="54" spans="1:128" ht="15" hidden="1" customHeight="1" outlineLevel="1">
      <c r="A54" s="94">
        <v>15</v>
      </c>
      <c r="B54" s="921" t="s">
        <v>70</v>
      </c>
      <c r="C54" s="923"/>
      <c r="D54" s="313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314"/>
      <c r="Q54" s="90"/>
      <c r="R54" s="313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0</v>
      </c>
      <c r="Z54" s="91">
        <v>2000</v>
      </c>
      <c r="AA54" s="91">
        <v>800</v>
      </c>
      <c r="AB54" s="91">
        <v>800</v>
      </c>
      <c r="AC54" s="91">
        <v>1500</v>
      </c>
      <c r="AD54" s="315">
        <f t="shared" si="103"/>
        <v>5100</v>
      </c>
      <c r="AE54" s="23"/>
      <c r="AF54" s="316">
        <v>1800</v>
      </c>
      <c r="AG54" s="91">
        <v>1200</v>
      </c>
      <c r="AH54" s="91">
        <f>1800*0.4</f>
        <v>720</v>
      </c>
      <c r="AI54" s="91">
        <v>1147</v>
      </c>
      <c r="AJ54" s="91">
        <v>1155</v>
      </c>
      <c r="AK54" s="91">
        <v>1600</v>
      </c>
      <c r="AL54" s="91">
        <v>1800</v>
      </c>
      <c r="AM54" s="91">
        <v>2000</v>
      </c>
      <c r="AN54" s="91">
        <v>2000</v>
      </c>
      <c r="AO54" s="91">
        <v>2000</v>
      </c>
      <c r="AP54" s="91">
        <v>2200</v>
      </c>
      <c r="AQ54" s="91">
        <v>3200</v>
      </c>
      <c r="AR54" s="92">
        <f t="shared" si="104"/>
        <v>20822</v>
      </c>
      <c r="AS54" s="23"/>
      <c r="AT54" s="91">
        <v>1544</v>
      </c>
      <c r="AU54" s="91">
        <v>1544</v>
      </c>
      <c r="AV54" s="91">
        <v>1544</v>
      </c>
      <c r="AW54" s="91">
        <v>1544</v>
      </c>
      <c r="AX54" s="317">
        <v>862</v>
      </c>
      <c r="AY54" s="317">
        <v>862</v>
      </c>
      <c r="AZ54" s="317">
        <v>823</v>
      </c>
      <c r="BA54" s="317">
        <v>823</v>
      </c>
      <c r="BB54" s="317">
        <v>862</v>
      </c>
      <c r="BC54" s="317">
        <v>1019</v>
      </c>
      <c r="BD54" s="317">
        <v>1098</v>
      </c>
      <c r="BE54" s="317">
        <v>1568</v>
      </c>
      <c r="BF54" s="91">
        <f t="shared" si="105"/>
        <v>14093</v>
      </c>
      <c r="BG54" s="93">
        <f t="shared" si="106"/>
        <v>-0.32316780328498707</v>
      </c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>
        <v>21133</v>
      </c>
      <c r="BU54" s="54"/>
      <c r="BV54" s="91">
        <v>3593.52</v>
      </c>
      <c r="BW54" s="91">
        <v>2776.98</v>
      </c>
      <c r="BX54" s="91">
        <f>'META  EM PEÇAS'!U38-('META  EM PEÇAS'!U38*0.05)</f>
        <v>3122.2889999999998</v>
      </c>
      <c r="BY54" s="91">
        <f>'META  EM PEÇAS'!V38-('META  EM PEÇAS'!V38*0.05)</f>
        <v>2893.4625000000001</v>
      </c>
      <c r="BZ54" s="91">
        <f>'META  EM PEÇAS'!W38-('META  EM PEÇAS'!W38*0.05)</f>
        <v>3247.7459999999996</v>
      </c>
      <c r="CA54" s="91">
        <f>'META  EM PEÇAS'!X38-('META  EM PEÇAS'!X38*0.05)</f>
        <v>3910.3709999999992</v>
      </c>
      <c r="CB54" s="91">
        <f>'META  EM PEÇAS'!Y38-('META  EM PEÇAS'!Y38*0.05)</f>
        <v>4703.7539999999999</v>
      </c>
      <c r="CC54" s="91">
        <f>'META  EM PEÇAS'!Z38-('META  EM PEÇAS'!Z38*0.05)</f>
        <v>3144.3764999999999</v>
      </c>
      <c r="CD54" s="91">
        <f>'META  EM PEÇAS'!AA38-('META  EM PEÇAS'!AA38*0.05)</f>
        <v>3260.9984999999997</v>
      </c>
      <c r="CE54" s="91">
        <f>'META  EM PEÇAS'!AB38-('META  EM PEÇAS'!AB38*0.05)</f>
        <v>3539.3009999999999</v>
      </c>
      <c r="CF54" s="91">
        <f>'META  EM PEÇAS'!AC38-('META  EM PEÇAS'!AC38*0.05)</f>
        <v>4533.2384999999995</v>
      </c>
      <c r="CG54" s="91">
        <f>'META  EM PEÇAS'!AD38-('META  EM PEÇAS'!AD38*0.05)</f>
        <v>6387.7049999999999</v>
      </c>
      <c r="CH54" s="91">
        <f t="shared" si="107"/>
        <v>45113.741999999998</v>
      </c>
      <c r="CJ54" s="91">
        <v>3593.52</v>
      </c>
      <c r="CK54" s="91">
        <v>2776.98</v>
      </c>
      <c r="CL54" s="91">
        <v>3122.2889999999998</v>
      </c>
      <c r="CM54" s="91">
        <v>2893.4625000000001</v>
      </c>
      <c r="CN54" s="91">
        <v>3247.7459999999996</v>
      </c>
      <c r="CO54" s="91">
        <v>3910.3709999999992</v>
      </c>
      <c r="CP54" s="91">
        <v>4703.7539999999999</v>
      </c>
      <c r="CQ54" s="91">
        <v>3144.3764999999999</v>
      </c>
      <c r="CR54" s="91">
        <v>3260.9984999999997</v>
      </c>
      <c r="CS54" s="91">
        <v>3539.3009999999999</v>
      </c>
      <c r="CT54" s="91">
        <v>4533.2384999999995</v>
      </c>
      <c r="CU54" s="91">
        <v>6387.7049999999999</v>
      </c>
      <c r="CV54" s="91">
        <v>45113.741999999998</v>
      </c>
      <c r="CW54" s="758"/>
      <c r="CX54" s="884">
        <v>3593.52</v>
      </c>
      <c r="CY54" s="884">
        <v>2776.98</v>
      </c>
      <c r="CZ54" s="884">
        <v>3122.2889999999998</v>
      </c>
      <c r="DA54" s="884">
        <v>2893.4625000000001</v>
      </c>
      <c r="DB54" s="884">
        <v>3247.7459999999996</v>
      </c>
      <c r="DC54" s="884">
        <v>3910.3709999999992</v>
      </c>
      <c r="DD54" s="884">
        <v>4703.7539999999999</v>
      </c>
      <c r="DE54" s="884">
        <v>3144.3764999999999</v>
      </c>
      <c r="DF54" s="884">
        <v>3260.9984999999997</v>
      </c>
      <c r="DG54" s="884">
        <v>3539.3009999999999</v>
      </c>
      <c r="DH54" s="884">
        <v>4533.2384999999995</v>
      </c>
      <c r="DI54" s="884">
        <v>6387.7049999999999</v>
      </c>
      <c r="DJ54" s="91">
        <v>45113.741999999998</v>
      </c>
      <c r="DK54" s="948"/>
      <c r="DL54" s="884">
        <v>3593.52</v>
      </c>
      <c r="DM54" s="884">
        <v>2776.98</v>
      </c>
      <c r="DN54" s="884">
        <v>3122.2889999999998</v>
      </c>
      <c r="DO54" s="884">
        <v>2893.4625000000001</v>
      </c>
      <c r="DP54" s="884">
        <v>3247.7459999999996</v>
      </c>
      <c r="DQ54" s="884">
        <v>3910.3709999999992</v>
      </c>
      <c r="DR54" s="884">
        <v>4703.7539999999999</v>
      </c>
      <c r="DS54" s="884">
        <v>3144.3764999999999</v>
      </c>
      <c r="DT54" s="884">
        <v>3260.9984999999997</v>
      </c>
      <c r="DU54" s="884">
        <v>3539.3009999999999</v>
      </c>
      <c r="DV54" s="884">
        <v>4533.2384999999995</v>
      </c>
      <c r="DW54" s="884">
        <v>6387.7049999999999</v>
      </c>
      <c r="DX54" s="91">
        <v>45113.741999999998</v>
      </c>
    </row>
    <row r="55" spans="1:128" ht="15" hidden="1" customHeight="1" outlineLevel="1">
      <c r="A55" s="94">
        <v>16</v>
      </c>
      <c r="B55" s="924" t="s">
        <v>71</v>
      </c>
      <c r="C55" s="923"/>
      <c r="D55" s="313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314"/>
      <c r="Q55" s="90"/>
      <c r="R55" s="313"/>
      <c r="S55" s="91"/>
      <c r="T55" s="91"/>
      <c r="U55" s="91"/>
      <c r="V55" s="91"/>
      <c r="W55" s="91"/>
      <c r="X55" s="91"/>
      <c r="Y55" s="91"/>
      <c r="Z55" s="91"/>
      <c r="AA55" s="91">
        <v>800</v>
      </c>
      <c r="AB55" s="91">
        <v>800</v>
      </c>
      <c r="AC55" s="91">
        <v>1500</v>
      </c>
      <c r="AD55" s="315"/>
      <c r="AE55" s="23"/>
      <c r="AF55" s="316">
        <v>1500</v>
      </c>
      <c r="AG55" s="91">
        <v>1200</v>
      </c>
      <c r="AH55" s="91">
        <f>1500*0.15</f>
        <v>225</v>
      </c>
      <c r="AI55" s="91">
        <v>192</v>
      </c>
      <c r="AJ55" s="91">
        <v>663</v>
      </c>
      <c r="AK55" s="91">
        <v>800</v>
      </c>
      <c r="AL55" s="91">
        <v>1500</v>
      </c>
      <c r="AM55" s="91">
        <v>1000</v>
      </c>
      <c r="AN55" s="91">
        <v>1000</v>
      </c>
      <c r="AO55" s="91">
        <v>1000</v>
      </c>
      <c r="AP55" s="91">
        <v>1100</v>
      </c>
      <c r="AQ55" s="91">
        <v>1600</v>
      </c>
      <c r="AR55" s="92">
        <f t="shared" si="104"/>
        <v>11780</v>
      </c>
      <c r="AS55" s="23"/>
      <c r="AT55" s="91">
        <v>960</v>
      </c>
      <c r="AU55" s="91">
        <v>960</v>
      </c>
      <c r="AV55" s="91">
        <v>960</v>
      </c>
      <c r="AW55" s="91">
        <v>960</v>
      </c>
      <c r="AX55" s="317">
        <v>1414</v>
      </c>
      <c r="AY55" s="317">
        <v>1414</v>
      </c>
      <c r="AZ55" s="317">
        <v>1350</v>
      </c>
      <c r="BA55" s="317">
        <v>1350</v>
      </c>
      <c r="BB55" s="317">
        <v>1414</v>
      </c>
      <c r="BC55" s="317">
        <v>1671</v>
      </c>
      <c r="BD55" s="317">
        <v>1800</v>
      </c>
      <c r="BE55" s="317">
        <v>2571</v>
      </c>
      <c r="BF55" s="91">
        <f t="shared" si="105"/>
        <v>16824</v>
      </c>
      <c r="BG55" s="93">
        <f t="shared" si="106"/>
        <v>0.42818336162988113</v>
      </c>
      <c r="BH55" s="91">
        <v>900</v>
      </c>
      <c r="BI55" s="91">
        <v>643</v>
      </c>
      <c r="BJ55" s="91">
        <v>891</v>
      </c>
      <c r="BK55" s="91">
        <v>679</v>
      </c>
      <c r="BL55" s="91">
        <v>940</v>
      </c>
      <c r="BM55" s="91">
        <v>948</v>
      </c>
      <c r="BN55" s="91">
        <v>1124</v>
      </c>
      <c r="BO55" s="91">
        <v>913</v>
      </c>
      <c r="BP55" s="91">
        <v>911</v>
      </c>
      <c r="BQ55" s="91">
        <v>898</v>
      </c>
      <c r="BR55" s="91">
        <v>1465</v>
      </c>
      <c r="BS55" s="91">
        <v>1278</v>
      </c>
      <c r="BT55" s="91">
        <f>SUM(BH55:BS55)</f>
        <v>11590</v>
      </c>
      <c r="BU55" s="54"/>
      <c r="BV55" s="91">
        <f>'META  EM PEÇAS'!T47</f>
        <v>1749.7324726431702</v>
      </c>
      <c r="BW55" s="91">
        <f>'META  EM PEÇAS'!T48</f>
        <v>1701.1287928475265</v>
      </c>
      <c r="BX55" s="91">
        <f>'META  EM PEÇAS'!T49</f>
        <v>1846.9398322344578</v>
      </c>
      <c r="BY55" s="91">
        <f>'META  EM PEÇAS'!T50</f>
        <v>1701.1287928475265</v>
      </c>
      <c r="BZ55" s="91">
        <f>'META  EM PEÇAS'!T51</f>
        <v>1846.9398322344578</v>
      </c>
      <c r="CA55" s="91">
        <f>'META  EM PEÇAS'!T52</f>
        <v>1749.7324726431702</v>
      </c>
      <c r="CB55" s="91">
        <f>'META  EM PEÇAS'!T53</f>
        <v>2138.5619110083194</v>
      </c>
      <c r="CC55" s="91">
        <f>'META  EM PEÇAS'!T54</f>
        <v>1749.7324726431702</v>
      </c>
      <c r="CD55" s="91">
        <f>'META  EM PEÇAS'!T55</f>
        <v>1749.7324726431702</v>
      </c>
      <c r="CE55" s="91">
        <f>'META  EM PEÇAS'!T56</f>
        <v>1749.7324726431702</v>
      </c>
      <c r="CF55" s="91">
        <f>'META  EM PEÇAS'!T57</f>
        <v>2721.8060685560426</v>
      </c>
      <c r="CG55" s="91">
        <f>'META  EM PEÇAS'!T58</f>
        <v>1944.1471918257448</v>
      </c>
      <c r="CH55" s="91">
        <f t="shared" si="107"/>
        <v>22649.314784769926</v>
      </c>
      <c r="CJ55" s="91">
        <v>1749.7324726431702</v>
      </c>
      <c r="CK55" s="91">
        <v>1701.1287928475265</v>
      </c>
      <c r="CL55" s="91">
        <v>1846.9398322344578</v>
      </c>
      <c r="CM55" s="91">
        <v>1701.1287928475265</v>
      </c>
      <c r="CN55" s="91">
        <v>1846.9398322344578</v>
      </c>
      <c r="CO55" s="91">
        <v>1749.7324726431702</v>
      </c>
      <c r="CP55" s="91">
        <v>2138.5619110083194</v>
      </c>
      <c r="CQ55" s="91">
        <v>1749.7324726431702</v>
      </c>
      <c r="CR55" s="91">
        <v>1749.7324726431702</v>
      </c>
      <c r="CS55" s="91">
        <v>1749.7324726431702</v>
      </c>
      <c r="CT55" s="91">
        <v>2721.8060685560426</v>
      </c>
      <c r="CU55" s="91">
        <v>1944.1471918257448</v>
      </c>
      <c r="CV55" s="91">
        <v>22649.314784769926</v>
      </c>
      <c r="CW55" s="758"/>
      <c r="CX55" s="884">
        <v>1749.7324726431702</v>
      </c>
      <c r="CY55" s="884">
        <v>1701.1287928475265</v>
      </c>
      <c r="CZ55" s="884">
        <v>1846.9398322344578</v>
      </c>
      <c r="DA55" s="884">
        <v>1701.1287928475265</v>
      </c>
      <c r="DB55" s="884">
        <v>1846.9398322344578</v>
      </c>
      <c r="DC55" s="884">
        <v>1749.7324726431702</v>
      </c>
      <c r="DD55" s="884">
        <v>2138.5619110083194</v>
      </c>
      <c r="DE55" s="884">
        <v>1749.7324726431702</v>
      </c>
      <c r="DF55" s="884">
        <v>1749.7324726431702</v>
      </c>
      <c r="DG55" s="884">
        <v>1749.7324726431702</v>
      </c>
      <c r="DH55" s="884">
        <v>2721.8060685560426</v>
      </c>
      <c r="DI55" s="884">
        <v>1944.1471918257448</v>
      </c>
      <c r="DJ55" s="91">
        <v>22649.314784769926</v>
      </c>
      <c r="DK55" s="948"/>
      <c r="DL55" s="884">
        <v>1749.7324726431702</v>
      </c>
      <c r="DM55" s="884">
        <v>1701.1287928475265</v>
      </c>
      <c r="DN55" s="884">
        <v>1846.9398322344578</v>
      </c>
      <c r="DO55" s="884">
        <v>1701.1287928475265</v>
      </c>
      <c r="DP55" s="884">
        <v>1846.9398322344578</v>
      </c>
      <c r="DQ55" s="884">
        <v>1749.7324726431702</v>
      </c>
      <c r="DR55" s="884">
        <v>2138.5619110083194</v>
      </c>
      <c r="DS55" s="884">
        <v>1749.7324726431702</v>
      </c>
      <c r="DT55" s="884">
        <v>1749.7324726431702</v>
      </c>
      <c r="DU55" s="884">
        <v>1749.7324726431702</v>
      </c>
      <c r="DV55" s="884">
        <v>2721.8060685560426</v>
      </c>
      <c r="DW55" s="884">
        <v>1944.1471918257448</v>
      </c>
      <c r="DX55" s="91">
        <v>22649.314784769926</v>
      </c>
    </row>
    <row r="56" spans="1:128" ht="15" hidden="1" customHeight="1" outlineLevel="1">
      <c r="A56" s="94"/>
      <c r="B56" s="921"/>
      <c r="C56" s="925"/>
      <c r="D56" s="313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314"/>
      <c r="Q56" s="90"/>
      <c r="R56" s="313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315"/>
      <c r="AE56" s="23"/>
      <c r="AF56" s="316">
        <v>0</v>
      </c>
      <c r="AG56" s="91">
        <v>0</v>
      </c>
      <c r="AH56" s="91">
        <v>0</v>
      </c>
      <c r="AI56" s="91">
        <v>0</v>
      </c>
      <c r="AJ56" s="91">
        <v>0</v>
      </c>
      <c r="AK56" s="91">
        <v>400</v>
      </c>
      <c r="AL56" s="91">
        <v>500</v>
      </c>
      <c r="AM56" s="91">
        <v>500</v>
      </c>
      <c r="AN56" s="91">
        <v>600</v>
      </c>
      <c r="AO56" s="91">
        <v>600</v>
      </c>
      <c r="AP56" s="91">
        <v>660</v>
      </c>
      <c r="AQ56" s="91">
        <v>960</v>
      </c>
      <c r="AR56" s="92">
        <f t="shared" si="104"/>
        <v>4220</v>
      </c>
      <c r="AS56" s="23"/>
      <c r="AT56" s="91">
        <v>960</v>
      </c>
      <c r="AU56" s="91">
        <v>960</v>
      </c>
      <c r="AV56" s="91">
        <v>960</v>
      </c>
      <c r="AW56" s="91">
        <v>960</v>
      </c>
      <c r="AX56" s="317">
        <v>580</v>
      </c>
      <c r="AY56" s="317">
        <v>580</v>
      </c>
      <c r="AZ56" s="317">
        <v>554</v>
      </c>
      <c r="BA56" s="317">
        <v>554</v>
      </c>
      <c r="BB56" s="317">
        <v>580</v>
      </c>
      <c r="BC56" s="317">
        <v>686</v>
      </c>
      <c r="BD56" s="317">
        <v>739</v>
      </c>
      <c r="BE56" s="317">
        <v>1055</v>
      </c>
      <c r="BF56" s="91">
        <f t="shared" si="105"/>
        <v>9168</v>
      </c>
      <c r="BG56" s="93">
        <f t="shared" si="106"/>
        <v>1.172511848341232</v>
      </c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54"/>
      <c r="BV56" s="91"/>
      <c r="BW56" s="91"/>
      <c r="BX56" s="91"/>
      <c r="BY56" s="91"/>
      <c r="BZ56" s="91"/>
      <c r="CA56" s="91"/>
      <c r="CB56" s="91"/>
      <c r="CC56" s="91"/>
      <c r="CD56" s="91"/>
      <c r="CE56" s="91"/>
      <c r="CF56" s="91"/>
      <c r="CG56" s="91"/>
      <c r="CH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91"/>
      <c r="CV56" s="91"/>
      <c r="CW56" s="758"/>
      <c r="CX56" s="884"/>
      <c r="CY56" s="884"/>
      <c r="CZ56" s="884"/>
      <c r="DA56" s="884"/>
      <c r="DB56" s="884"/>
      <c r="DC56" s="884"/>
      <c r="DD56" s="884"/>
      <c r="DE56" s="884"/>
      <c r="DF56" s="884"/>
      <c r="DG56" s="884"/>
      <c r="DH56" s="884"/>
      <c r="DI56" s="884"/>
      <c r="DJ56" s="91"/>
      <c r="DK56" s="948"/>
      <c r="DL56" s="884"/>
      <c r="DM56" s="884"/>
      <c r="DN56" s="884"/>
      <c r="DO56" s="884"/>
      <c r="DP56" s="884"/>
      <c r="DQ56" s="884"/>
      <c r="DR56" s="884"/>
      <c r="DS56" s="884"/>
      <c r="DT56" s="884"/>
      <c r="DU56" s="884"/>
      <c r="DV56" s="884"/>
      <c r="DW56" s="884"/>
      <c r="DX56" s="91"/>
    </row>
    <row r="57" spans="1:128" ht="15" hidden="1" customHeight="1" outlineLevel="1">
      <c r="A57" s="95"/>
      <c r="B57" s="924"/>
      <c r="C57" s="926"/>
      <c r="D57" s="421"/>
      <c r="E57" s="422"/>
      <c r="F57" s="422"/>
      <c r="G57" s="422"/>
      <c r="H57" s="422"/>
      <c r="I57" s="422"/>
      <c r="J57" s="422"/>
      <c r="K57" s="422"/>
      <c r="L57" s="422"/>
      <c r="M57" s="422"/>
      <c r="N57" s="422"/>
      <c r="O57" s="422"/>
      <c r="P57" s="423"/>
      <c r="Q57" s="424"/>
      <c r="R57" s="421"/>
      <c r="S57" s="425"/>
      <c r="T57" s="425"/>
      <c r="U57" s="425"/>
      <c r="V57" s="425"/>
      <c r="W57" s="425"/>
      <c r="X57" s="425"/>
      <c r="Y57" s="425"/>
      <c r="Z57" s="425"/>
      <c r="AA57" s="425"/>
      <c r="AB57" s="425"/>
      <c r="AC57" s="425"/>
      <c r="AD57" s="426"/>
      <c r="AE57" s="427"/>
      <c r="AF57" s="428">
        <v>0</v>
      </c>
      <c r="AG57" s="425">
        <v>0</v>
      </c>
      <c r="AH57" s="425">
        <v>0</v>
      </c>
      <c r="AI57" s="425">
        <v>0</v>
      </c>
      <c r="AJ57" s="425">
        <v>0</v>
      </c>
      <c r="AK57" s="425">
        <v>0</v>
      </c>
      <c r="AL57" s="425">
        <v>2500</v>
      </c>
      <c r="AM57" s="425">
        <v>2000</v>
      </c>
      <c r="AN57" s="425">
        <v>500</v>
      </c>
      <c r="AO57" s="425">
        <v>600</v>
      </c>
      <c r="AP57" s="425">
        <v>660</v>
      </c>
      <c r="AQ57" s="425">
        <v>960</v>
      </c>
      <c r="AR57" s="429">
        <f t="shared" si="104"/>
        <v>7220</v>
      </c>
      <c r="AS57" s="23"/>
      <c r="AT57" s="425">
        <v>1518</v>
      </c>
      <c r="AU57" s="425">
        <v>1518</v>
      </c>
      <c r="AV57" s="425">
        <v>1518</v>
      </c>
      <c r="AW57" s="425">
        <v>1518</v>
      </c>
      <c r="AX57" s="317">
        <v>1943</v>
      </c>
      <c r="AY57" s="317">
        <v>1943</v>
      </c>
      <c r="AZ57" s="317">
        <v>1854</v>
      </c>
      <c r="BA57" s="317">
        <v>1854</v>
      </c>
      <c r="BB57" s="317">
        <v>1943</v>
      </c>
      <c r="BC57" s="317">
        <v>2296</v>
      </c>
      <c r="BD57" s="317">
        <v>2472</v>
      </c>
      <c r="BE57" s="317">
        <v>3532</v>
      </c>
      <c r="BF57" s="425">
        <f t="shared" si="105"/>
        <v>23909</v>
      </c>
      <c r="BG57" s="93">
        <f t="shared" si="106"/>
        <v>2.3114958448753464</v>
      </c>
      <c r="BH57" s="425"/>
      <c r="BI57" s="425"/>
      <c r="BJ57" s="425"/>
      <c r="BK57" s="425"/>
      <c r="BL57" s="91"/>
      <c r="BM57" s="91"/>
      <c r="BN57" s="91"/>
      <c r="BO57" s="91"/>
      <c r="BP57" s="91"/>
      <c r="BQ57" s="91"/>
      <c r="BR57" s="91"/>
      <c r="BS57" s="91"/>
      <c r="BT57" s="91"/>
      <c r="BU57" s="54"/>
      <c r="BV57" s="425"/>
      <c r="BW57" s="425"/>
      <c r="BX57" s="425"/>
      <c r="BY57" s="425"/>
      <c r="BZ57" s="91"/>
      <c r="CA57" s="91"/>
      <c r="CB57" s="91"/>
      <c r="CC57" s="91"/>
      <c r="CD57" s="91"/>
      <c r="CE57" s="91"/>
      <c r="CF57" s="91"/>
      <c r="CG57" s="91"/>
      <c r="CH57" s="91"/>
      <c r="CJ57" s="425"/>
      <c r="CK57" s="425"/>
      <c r="CL57" s="425"/>
      <c r="CM57" s="425"/>
      <c r="CN57" s="91"/>
      <c r="CO57" s="91"/>
      <c r="CP57" s="91"/>
      <c r="CQ57" s="91"/>
      <c r="CR57" s="91"/>
      <c r="CS57" s="91"/>
      <c r="CT57" s="91"/>
      <c r="CU57" s="91"/>
      <c r="CV57" s="91"/>
      <c r="CW57" s="758"/>
      <c r="CX57" s="885"/>
      <c r="CY57" s="885"/>
      <c r="CZ57" s="885"/>
      <c r="DA57" s="885"/>
      <c r="DB57" s="884"/>
      <c r="DC57" s="884"/>
      <c r="DD57" s="884"/>
      <c r="DE57" s="884"/>
      <c r="DF57" s="884"/>
      <c r="DG57" s="884"/>
      <c r="DH57" s="884"/>
      <c r="DI57" s="884"/>
      <c r="DJ57" s="91"/>
      <c r="DK57" s="948"/>
      <c r="DL57" s="885"/>
      <c r="DM57" s="885"/>
      <c r="DN57" s="885"/>
      <c r="DO57" s="885"/>
      <c r="DP57" s="884"/>
      <c r="DQ57" s="884"/>
      <c r="DR57" s="884"/>
      <c r="DS57" s="884"/>
      <c r="DT57" s="884"/>
      <c r="DU57" s="884"/>
      <c r="DV57" s="884"/>
      <c r="DW57" s="884"/>
      <c r="DX57" s="91"/>
    </row>
    <row r="58" spans="1:128" ht="15" hidden="1" customHeight="1" outlineLevel="1">
      <c r="A58" s="434"/>
      <c r="B58" s="1075"/>
      <c r="C58" s="1076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6"/>
      <c r="AF58" s="437">
        <v>0</v>
      </c>
      <c r="AG58" s="437">
        <v>0</v>
      </c>
      <c r="AH58" s="437">
        <v>0</v>
      </c>
      <c r="AI58" s="437">
        <v>0</v>
      </c>
      <c r="AJ58" s="437">
        <v>0</v>
      </c>
      <c r="AK58" s="437">
        <v>0</v>
      </c>
      <c r="AL58" s="437">
        <v>0</v>
      </c>
      <c r="AM58" s="437">
        <v>0</v>
      </c>
      <c r="AN58" s="437">
        <v>0</v>
      </c>
      <c r="AO58" s="437">
        <v>0</v>
      </c>
      <c r="AP58" s="437">
        <v>0</v>
      </c>
      <c r="AQ58" s="437">
        <v>0</v>
      </c>
      <c r="AR58" s="438">
        <f t="shared" si="104"/>
        <v>0</v>
      </c>
      <c r="AS58" s="322"/>
      <c r="AT58" s="437">
        <v>0</v>
      </c>
      <c r="AU58" s="437">
        <v>0</v>
      </c>
      <c r="AV58" s="437">
        <v>0</v>
      </c>
      <c r="AW58" s="437">
        <v>0</v>
      </c>
      <c r="AX58" s="439">
        <v>800</v>
      </c>
      <c r="AY58" s="317">
        <v>800</v>
      </c>
      <c r="AZ58" s="317">
        <v>800</v>
      </c>
      <c r="BA58" s="317">
        <v>1050</v>
      </c>
      <c r="BB58" s="317">
        <v>1100</v>
      </c>
      <c r="BC58" s="317">
        <v>1300</v>
      </c>
      <c r="BD58" s="317">
        <v>1400</v>
      </c>
      <c r="BE58" s="440">
        <v>2000</v>
      </c>
      <c r="BF58" s="437">
        <f t="shared" si="105"/>
        <v>9250</v>
      </c>
      <c r="BG58" s="325" t="e">
        <f t="shared" si="106"/>
        <v>#DIV/0!</v>
      </c>
      <c r="BH58" s="437"/>
      <c r="BI58" s="437"/>
      <c r="BJ58" s="437"/>
      <c r="BK58" s="437"/>
      <c r="BL58" s="439"/>
      <c r="BM58" s="317"/>
      <c r="BN58" s="317"/>
      <c r="BO58" s="317"/>
      <c r="BP58" s="317"/>
      <c r="BQ58" s="317"/>
      <c r="BR58" s="317"/>
      <c r="BS58" s="317"/>
      <c r="BT58" s="317"/>
      <c r="BU58" s="326"/>
      <c r="BV58" s="443"/>
      <c r="BW58" s="443"/>
      <c r="BX58" s="443"/>
      <c r="BY58" s="443"/>
      <c r="BZ58" s="444"/>
      <c r="CA58" s="317"/>
      <c r="CB58" s="317"/>
      <c r="CC58" s="317"/>
      <c r="CD58" s="317"/>
      <c r="CE58" s="317"/>
      <c r="CF58" s="317"/>
      <c r="CG58" s="317"/>
      <c r="CH58" s="317"/>
      <c r="CJ58" s="443"/>
      <c r="CK58" s="443"/>
      <c r="CL58" s="443"/>
      <c r="CM58" s="443"/>
      <c r="CN58" s="444"/>
      <c r="CO58" s="317"/>
      <c r="CP58" s="317"/>
      <c r="CQ58" s="317"/>
      <c r="CR58" s="317"/>
      <c r="CS58" s="317"/>
      <c r="CT58" s="317"/>
      <c r="CU58" s="317"/>
      <c r="CV58" s="317"/>
      <c r="CW58" s="758"/>
      <c r="CX58" s="886"/>
      <c r="CY58" s="886"/>
      <c r="CZ58" s="886"/>
      <c r="DA58" s="886"/>
      <c r="DB58" s="887"/>
      <c r="DC58" s="888"/>
      <c r="DD58" s="888"/>
      <c r="DE58" s="888"/>
      <c r="DF58" s="888"/>
      <c r="DG58" s="888"/>
      <c r="DH58" s="888"/>
      <c r="DI58" s="888"/>
      <c r="DJ58" s="317"/>
      <c r="DK58" s="948"/>
      <c r="DL58" s="886"/>
      <c r="DM58" s="886"/>
      <c r="DN58" s="886"/>
      <c r="DO58" s="886"/>
      <c r="DP58" s="887"/>
      <c r="DQ58" s="888"/>
      <c r="DR58" s="888"/>
      <c r="DS58" s="888"/>
      <c r="DT58" s="888"/>
      <c r="DU58" s="888"/>
      <c r="DV58" s="888"/>
      <c r="DW58" s="888"/>
      <c r="DX58" s="317"/>
    </row>
    <row r="59" spans="1:128" ht="15" hidden="1" customHeight="1" outlineLevel="1">
      <c r="A59" s="430"/>
      <c r="B59" s="927"/>
      <c r="C59" s="928"/>
      <c r="D59" s="424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32"/>
      <c r="T59" s="432"/>
      <c r="U59" s="432"/>
      <c r="V59" s="432"/>
      <c r="W59" s="432"/>
      <c r="X59" s="432"/>
      <c r="Y59" s="432"/>
      <c r="Z59" s="432"/>
      <c r="AA59" s="432"/>
      <c r="AB59" s="432"/>
      <c r="AC59" s="432"/>
      <c r="AD59" s="432"/>
      <c r="AE59" s="427"/>
      <c r="AF59" s="432"/>
      <c r="AG59" s="432"/>
      <c r="AH59" s="432"/>
      <c r="AI59" s="432"/>
      <c r="AJ59" s="432"/>
      <c r="AK59" s="432"/>
      <c r="AL59" s="432"/>
      <c r="AM59" s="432"/>
      <c r="AN59" s="432"/>
      <c r="AO59" s="432"/>
      <c r="AP59" s="432"/>
      <c r="AQ59" s="432"/>
      <c r="AR59" s="433"/>
      <c r="AS59" s="23"/>
      <c r="AT59" s="97"/>
      <c r="AU59" s="97"/>
      <c r="AV59" s="97"/>
      <c r="AW59" s="97"/>
      <c r="AX59" s="91"/>
      <c r="AY59" s="91"/>
      <c r="AZ59" s="91"/>
      <c r="BA59" s="91"/>
      <c r="BB59" s="91"/>
      <c r="BC59" s="91"/>
      <c r="BD59" s="91">
        <v>600</v>
      </c>
      <c r="BE59" s="315">
        <v>700</v>
      </c>
      <c r="BF59" s="437">
        <f t="shared" si="105"/>
        <v>1300</v>
      </c>
      <c r="BG59" s="93"/>
      <c r="BH59" s="442"/>
      <c r="BI59" s="442"/>
      <c r="BJ59" s="442"/>
      <c r="BK59" s="442"/>
      <c r="BL59" s="316"/>
      <c r="BM59" s="91"/>
      <c r="BN59" s="91"/>
      <c r="BO59" s="91"/>
      <c r="BP59" s="91"/>
      <c r="BQ59" s="91"/>
      <c r="BR59" s="91"/>
      <c r="BS59" s="91"/>
      <c r="BT59" s="91"/>
      <c r="BU59" s="54"/>
      <c r="BV59" s="442"/>
      <c r="BW59" s="442"/>
      <c r="BX59" s="442"/>
      <c r="BY59" s="442"/>
      <c r="BZ59" s="442"/>
      <c r="CA59" s="316"/>
      <c r="CB59" s="91">
        <v>60</v>
      </c>
      <c r="CC59" s="91"/>
      <c r="CD59" s="91"/>
      <c r="CE59" s="91"/>
      <c r="CF59" s="91"/>
      <c r="CG59" s="91"/>
      <c r="CH59" s="91"/>
      <c r="CJ59" s="708">
        <f>(CJ61-CJ60)/CJ60</f>
        <v>0.03</v>
      </c>
      <c r="CK59" s="708">
        <f t="shared" ref="CK59:CU59" si="111">(CK61-CK60)/CK60</f>
        <v>3.0000000000000079E-2</v>
      </c>
      <c r="CL59" s="708">
        <f t="shared" si="111"/>
        <v>3.0000000000000058E-2</v>
      </c>
      <c r="CM59" s="708">
        <f t="shared" si="111"/>
        <v>3.0000000000000034E-2</v>
      </c>
      <c r="CN59" s="708">
        <f t="shared" si="111"/>
        <v>3.000000000000011E-2</v>
      </c>
      <c r="CO59" s="708">
        <f t="shared" si="111"/>
        <v>3.000000000000012E-2</v>
      </c>
      <c r="CP59" s="708">
        <f t="shared" si="111"/>
        <v>3.0000000000000113E-2</v>
      </c>
      <c r="CQ59" s="708">
        <f t="shared" si="111"/>
        <v>3.0000000000000127E-2</v>
      </c>
      <c r="CR59" s="708">
        <f t="shared" si="111"/>
        <v>3.0000000000000068E-2</v>
      </c>
      <c r="CS59" s="708">
        <f t="shared" si="111"/>
        <v>2.9999999999999982E-2</v>
      </c>
      <c r="CT59" s="708">
        <f t="shared" si="111"/>
        <v>2.9999999999999961E-2</v>
      </c>
      <c r="CU59" s="708">
        <f t="shared" si="111"/>
        <v>0.03</v>
      </c>
      <c r="CV59" s="91"/>
      <c r="CW59" s="758"/>
      <c r="CX59" s="889"/>
      <c r="CY59" s="889"/>
      <c r="CZ59" s="889"/>
      <c r="DA59" s="889"/>
      <c r="DB59" s="889"/>
      <c r="DC59" s="890"/>
      <c r="DD59" s="884"/>
      <c r="DE59" s="884"/>
      <c r="DF59" s="884"/>
      <c r="DG59" s="884"/>
      <c r="DH59" s="884"/>
      <c r="DI59" s="884"/>
      <c r="DJ59" s="91"/>
      <c r="DK59" s="948"/>
      <c r="DL59" s="889"/>
      <c r="DM59" s="889"/>
      <c r="DN59" s="889"/>
      <c r="DO59" s="889"/>
      <c r="DP59" s="889"/>
      <c r="DQ59" s="890"/>
      <c r="DR59" s="884"/>
      <c r="DS59" s="884"/>
      <c r="DT59" s="884"/>
      <c r="DU59" s="884"/>
      <c r="DV59" s="884"/>
      <c r="DW59" s="884"/>
      <c r="DX59" s="91"/>
    </row>
    <row r="60" spans="1:128" ht="15" hidden="1" customHeight="1" outlineLevel="1">
      <c r="A60" s="95"/>
      <c r="B60" s="924" t="s">
        <v>71</v>
      </c>
      <c r="C60" s="922"/>
      <c r="D60" s="313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314">
        <f t="shared" ref="P60:P61" si="112">SUM(D60:O60)</f>
        <v>0</v>
      </c>
      <c r="Q60" s="90"/>
      <c r="R60" s="313">
        <v>350</v>
      </c>
      <c r="S60" s="91">
        <v>350</v>
      </c>
      <c r="T60" s="91">
        <v>450</v>
      </c>
      <c r="U60" s="91">
        <v>800</v>
      </c>
      <c r="V60" s="91">
        <v>531</v>
      </c>
      <c r="W60" s="91">
        <v>750</v>
      </c>
      <c r="X60" s="91">
        <v>650</v>
      </c>
      <c r="Y60" s="91">
        <v>750</v>
      </c>
      <c r="Z60" s="91">
        <v>900</v>
      </c>
      <c r="AA60" s="91">
        <v>1000</v>
      </c>
      <c r="AB60" s="91">
        <v>1200</v>
      </c>
      <c r="AC60" s="91">
        <v>1500</v>
      </c>
      <c r="AD60" s="315">
        <f t="shared" ref="AD60:AD61" si="113">SUM(R60:AC60)</f>
        <v>9231</v>
      </c>
      <c r="AE60" s="23"/>
      <c r="AF60" s="316">
        <v>1500</v>
      </c>
      <c r="AG60" s="91">
        <v>800</v>
      </c>
      <c r="AH60" s="91">
        <v>800</v>
      </c>
      <c r="AI60" s="91">
        <v>1820</v>
      </c>
      <c r="AJ60" s="91">
        <v>1630</v>
      </c>
      <c r="AK60" s="91">
        <v>1360</v>
      </c>
      <c r="AL60" s="91">
        <v>1000</v>
      </c>
      <c r="AM60" s="91">
        <v>1700</v>
      </c>
      <c r="AN60" s="91">
        <v>1700</v>
      </c>
      <c r="AO60" s="91">
        <v>1700</v>
      </c>
      <c r="AP60" s="91">
        <v>1870</v>
      </c>
      <c r="AQ60" s="91">
        <v>2720</v>
      </c>
      <c r="AR60" s="92">
        <f t="shared" ref="AR60:AR61" si="114">SUM(AF60:AQ60)</f>
        <v>18600</v>
      </c>
      <c r="AS60" s="23"/>
      <c r="AT60" s="91">
        <v>2053</v>
      </c>
      <c r="AU60" s="91">
        <v>2053</v>
      </c>
      <c r="AV60" s="91">
        <v>2053</v>
      </c>
      <c r="AW60" s="91">
        <v>2053</v>
      </c>
      <c r="AX60" s="91">
        <v>2807</v>
      </c>
      <c r="AY60" s="91">
        <v>2807</v>
      </c>
      <c r="AZ60" s="91">
        <v>2680</v>
      </c>
      <c r="BA60" s="91">
        <v>2680</v>
      </c>
      <c r="BB60" s="91">
        <v>2807</v>
      </c>
      <c r="BC60" s="91">
        <v>3318</v>
      </c>
      <c r="BD60" s="91">
        <v>5870</v>
      </c>
      <c r="BE60" s="91">
        <v>5104</v>
      </c>
      <c r="BF60" s="441">
        <f t="shared" si="105"/>
        <v>36285</v>
      </c>
      <c r="BG60" s="93">
        <f>BF60/AR60-1</f>
        <v>0.95080645161290334</v>
      </c>
      <c r="BH60" s="441"/>
      <c r="BI60" s="441"/>
      <c r="BJ60" s="441"/>
      <c r="BK60" s="441"/>
      <c r="BL60" s="91"/>
      <c r="BM60" s="91"/>
      <c r="BN60" s="91"/>
      <c r="BO60" s="91"/>
      <c r="BP60" s="91"/>
      <c r="BQ60" s="91"/>
      <c r="BR60" s="91"/>
      <c r="BS60" s="91"/>
      <c r="BT60" s="91">
        <f>SUM(BH60:BS60)</f>
        <v>0</v>
      </c>
      <c r="BU60" s="54"/>
      <c r="BV60" s="441"/>
      <c r="BW60" s="441"/>
      <c r="BX60" s="441"/>
      <c r="BY60" s="441"/>
      <c r="BZ60" s="441"/>
      <c r="CA60" s="91"/>
      <c r="CB60" s="91"/>
      <c r="CC60" s="91"/>
      <c r="CD60" s="91"/>
      <c r="CE60" s="91"/>
      <c r="CF60" s="91"/>
      <c r="CG60" s="91"/>
      <c r="CH60" s="91"/>
      <c r="CJ60" s="441">
        <f>BV70</f>
        <v>38900</v>
      </c>
      <c r="CK60" s="441">
        <f t="shared" ref="CK60:CU60" si="115">BW70</f>
        <v>31376</v>
      </c>
      <c r="CL60" s="441">
        <f t="shared" si="115"/>
        <v>29886</v>
      </c>
      <c r="CM60" s="441">
        <f t="shared" si="115"/>
        <v>30671</v>
      </c>
      <c r="CN60" s="441">
        <f t="shared" si="115"/>
        <v>34553</v>
      </c>
      <c r="CO60" s="441">
        <f t="shared" si="115"/>
        <v>36515</v>
      </c>
      <c r="CP60" s="441">
        <f t="shared" si="115"/>
        <v>38915</v>
      </c>
      <c r="CQ60" s="441">
        <f t="shared" si="115"/>
        <v>34615</v>
      </c>
      <c r="CR60" s="441">
        <f t="shared" si="115"/>
        <v>29617</v>
      </c>
      <c r="CS60" s="441">
        <f t="shared" si="115"/>
        <v>34538</v>
      </c>
      <c r="CT60" s="441">
        <f t="shared" si="115"/>
        <v>45914</v>
      </c>
      <c r="CU60" s="441">
        <f t="shared" si="115"/>
        <v>60875</v>
      </c>
      <c r="CV60" s="91"/>
      <c r="CW60" s="758"/>
      <c r="CX60" s="891"/>
      <c r="CY60" s="891"/>
      <c r="CZ60" s="891"/>
      <c r="DA60" s="891"/>
      <c r="DB60" s="891"/>
      <c r="DC60" s="884"/>
      <c r="DD60" s="884"/>
      <c r="DE60" s="884"/>
      <c r="DF60" s="884"/>
      <c r="DG60" s="884"/>
      <c r="DH60" s="884"/>
      <c r="DI60" s="884"/>
      <c r="DJ60" s="91"/>
      <c r="DK60" s="948"/>
      <c r="DL60" s="891"/>
      <c r="DM60" s="891"/>
      <c r="DN60" s="891"/>
      <c r="DO60" s="891"/>
      <c r="DP60" s="891"/>
      <c r="DQ60" s="884"/>
      <c r="DR60" s="884"/>
      <c r="DS60" s="884"/>
      <c r="DT60" s="884"/>
      <c r="DU60" s="884"/>
      <c r="DV60" s="884"/>
      <c r="DW60" s="884"/>
      <c r="DX60" s="91"/>
    </row>
    <row r="61" spans="1:128" ht="18.75" collapsed="1">
      <c r="A61" s="55"/>
      <c r="B61" s="56" t="s">
        <v>123</v>
      </c>
      <c r="C61" s="753"/>
      <c r="D61" s="288">
        <f t="shared" ref="D61:O61" si="116">SUM(D40:D60)</f>
        <v>0</v>
      </c>
      <c r="E61" s="57">
        <f t="shared" si="116"/>
        <v>0</v>
      </c>
      <c r="F61" s="57">
        <f t="shared" si="116"/>
        <v>0</v>
      </c>
      <c r="G61" s="57">
        <f t="shared" si="116"/>
        <v>0</v>
      </c>
      <c r="H61" s="57">
        <f t="shared" si="116"/>
        <v>0</v>
      </c>
      <c r="I61" s="57">
        <f t="shared" si="116"/>
        <v>0</v>
      </c>
      <c r="J61" s="57">
        <f t="shared" si="116"/>
        <v>0</v>
      </c>
      <c r="K61" s="57">
        <f t="shared" si="116"/>
        <v>0</v>
      </c>
      <c r="L61" s="57">
        <f t="shared" si="116"/>
        <v>0</v>
      </c>
      <c r="M61" s="57">
        <f t="shared" si="116"/>
        <v>0</v>
      </c>
      <c r="N61" s="57">
        <f t="shared" si="116"/>
        <v>0</v>
      </c>
      <c r="O61" s="57">
        <f t="shared" si="116"/>
        <v>0</v>
      </c>
      <c r="P61" s="289">
        <f t="shared" si="112"/>
        <v>0</v>
      </c>
      <c r="Q61" s="39"/>
      <c r="R61" s="288">
        <f t="shared" ref="R61:AC61" si="117">SUM(R40:R60)</f>
        <v>20557.543859649122</v>
      </c>
      <c r="S61" s="58">
        <f t="shared" si="117"/>
        <v>20512.543859649122</v>
      </c>
      <c r="T61" s="58">
        <f t="shared" si="117"/>
        <v>13699.771929824561</v>
      </c>
      <c r="U61" s="58">
        <f t="shared" si="117"/>
        <v>912.5</v>
      </c>
      <c r="V61" s="58">
        <f t="shared" si="117"/>
        <v>16851</v>
      </c>
      <c r="W61" s="290">
        <f t="shared" si="117"/>
        <v>13700</v>
      </c>
      <c r="X61" s="290">
        <f t="shared" si="117"/>
        <v>26050</v>
      </c>
      <c r="Y61" s="290">
        <f t="shared" si="117"/>
        <v>27750</v>
      </c>
      <c r="Z61" s="290">
        <f t="shared" si="117"/>
        <v>31100</v>
      </c>
      <c r="AA61" s="290">
        <f t="shared" si="117"/>
        <v>32100</v>
      </c>
      <c r="AB61" s="290">
        <f t="shared" si="117"/>
        <v>37500</v>
      </c>
      <c r="AC61" s="290">
        <f t="shared" si="117"/>
        <v>45300</v>
      </c>
      <c r="AD61" s="291">
        <f t="shared" si="113"/>
        <v>286033.35964912281</v>
      </c>
      <c r="AE61" s="59"/>
      <c r="AF61" s="292">
        <f>SUM(AF40:AF60)</f>
        <v>38500</v>
      </c>
      <c r="AG61" s="58">
        <f t="shared" ref="AG61:AQ61" si="118">SUM(AG40:AG60)</f>
        <v>22400</v>
      </c>
      <c r="AH61" s="58">
        <f t="shared" si="118"/>
        <v>10671</v>
      </c>
      <c r="AI61" s="58">
        <f t="shared" si="118"/>
        <v>16097</v>
      </c>
      <c r="AJ61" s="58">
        <f t="shared" si="118"/>
        <v>30278</v>
      </c>
      <c r="AK61" s="58">
        <f t="shared" si="118"/>
        <v>28560</v>
      </c>
      <c r="AL61" s="58">
        <f t="shared" si="118"/>
        <v>41700</v>
      </c>
      <c r="AM61" s="58">
        <f t="shared" si="118"/>
        <v>38700</v>
      </c>
      <c r="AN61" s="58">
        <f t="shared" si="118"/>
        <v>37300</v>
      </c>
      <c r="AO61" s="58">
        <f t="shared" si="118"/>
        <v>37400</v>
      </c>
      <c r="AP61" s="58">
        <f t="shared" si="118"/>
        <v>40640</v>
      </c>
      <c r="AQ61" s="58">
        <f t="shared" si="118"/>
        <v>54440</v>
      </c>
      <c r="AR61" s="58">
        <f t="shared" si="114"/>
        <v>396686</v>
      </c>
      <c r="AS61" s="59"/>
      <c r="AT61" s="58">
        <f t="shared" ref="AT61:BE61" si="119">SUM(AT40:AT60)</f>
        <v>36153</v>
      </c>
      <c r="AU61" s="58">
        <f>SUM(AU40:AU60)</f>
        <v>35289</v>
      </c>
      <c r="AV61" s="58">
        <f t="shared" si="119"/>
        <v>35872</v>
      </c>
      <c r="AW61" s="58">
        <f t="shared" si="119"/>
        <v>38031</v>
      </c>
      <c r="AX61" s="58">
        <f t="shared" si="119"/>
        <v>33566</v>
      </c>
      <c r="AY61" s="58">
        <f t="shared" si="119"/>
        <v>33566</v>
      </c>
      <c r="AZ61" s="58">
        <f t="shared" si="119"/>
        <v>30896</v>
      </c>
      <c r="BA61" s="58">
        <f t="shared" si="119"/>
        <v>31146</v>
      </c>
      <c r="BB61" s="58">
        <f t="shared" si="119"/>
        <v>32630</v>
      </c>
      <c r="BC61" s="58">
        <f t="shared" si="119"/>
        <v>38562</v>
      </c>
      <c r="BD61" s="58">
        <f t="shared" si="119"/>
        <v>41345</v>
      </c>
      <c r="BE61" s="58">
        <f t="shared" si="119"/>
        <v>49263</v>
      </c>
      <c r="BF61" s="58">
        <f>SUM(AT61:BE61)</f>
        <v>436319</v>
      </c>
      <c r="BG61" s="59">
        <f>BF61-AR61</f>
        <v>39633</v>
      </c>
      <c r="BH61" s="58">
        <v>36153</v>
      </c>
      <c r="BI61" s="58">
        <v>35289</v>
      </c>
      <c r="BJ61" s="58">
        <v>35872</v>
      </c>
      <c r="BK61" s="58">
        <v>38031</v>
      </c>
      <c r="BL61" s="58">
        <v>38570</v>
      </c>
      <c r="BM61" s="58">
        <v>39227</v>
      </c>
      <c r="BN61" s="58">
        <v>41128</v>
      </c>
      <c r="BO61" s="58">
        <v>38191</v>
      </c>
      <c r="BP61" s="58">
        <v>38191</v>
      </c>
      <c r="BQ61" s="58">
        <v>40225</v>
      </c>
      <c r="BR61" s="58">
        <v>43272</v>
      </c>
      <c r="BS61" s="58">
        <v>60327</v>
      </c>
      <c r="BT61" s="58">
        <f t="shared" ref="BT61:BT65" si="120">SUM(BH61:BS61)</f>
        <v>484476</v>
      </c>
      <c r="BU61" s="60"/>
      <c r="BV61" s="58">
        <f>SUM(BV40:BV57)</f>
        <v>35797.912472643162</v>
      </c>
      <c r="BW61" s="58">
        <f t="shared" ref="BW61:CG61" si="121">SUM(BW40:BW57)</f>
        <v>27268.538792847521</v>
      </c>
      <c r="BX61" s="58">
        <f t="shared" si="121"/>
        <v>34357.668832234456</v>
      </c>
      <c r="BY61" s="58">
        <f t="shared" si="121"/>
        <v>29626.958292847525</v>
      </c>
      <c r="BZ61" s="58">
        <f t="shared" si="121"/>
        <v>34139.121332234456</v>
      </c>
      <c r="CA61" s="58">
        <f t="shared" si="121"/>
        <v>39503.881972643161</v>
      </c>
      <c r="CB61" s="58">
        <f t="shared" si="121"/>
        <v>45728.836911008315</v>
      </c>
      <c r="CC61" s="58">
        <f t="shared" si="121"/>
        <v>32260.226972643166</v>
      </c>
      <c r="CD61" s="58">
        <f t="shared" si="121"/>
        <v>33331.522972643164</v>
      </c>
      <c r="CE61" s="58">
        <f t="shared" si="121"/>
        <v>35213.881472643166</v>
      </c>
      <c r="CF61" s="58">
        <f t="shared" si="121"/>
        <v>46168.878068556034</v>
      </c>
      <c r="CG61" s="58">
        <f t="shared" si="121"/>
        <v>57905.502691825735</v>
      </c>
      <c r="CH61" s="58">
        <f>SUM(BV61:CG61)</f>
        <v>451302.93078476982</v>
      </c>
      <c r="CI61" s="395">
        <f>(CH61-BT70)/BT70</f>
        <v>5.1833718555945915E-2</v>
      </c>
      <c r="CJ61" s="58">
        <f>BV70*1.03</f>
        <v>40067</v>
      </c>
      <c r="CK61" s="58">
        <f t="shared" ref="CK61:CU61" si="122">BW70*1.03</f>
        <v>32317.280000000002</v>
      </c>
      <c r="CL61" s="58">
        <f t="shared" si="122"/>
        <v>30782.58</v>
      </c>
      <c r="CM61" s="58">
        <f>BY70*1.03</f>
        <v>31591.13</v>
      </c>
      <c r="CN61" s="58">
        <f t="shared" si="122"/>
        <v>35589.590000000004</v>
      </c>
      <c r="CO61" s="58">
        <f t="shared" si="122"/>
        <v>37610.450000000004</v>
      </c>
      <c r="CP61" s="58">
        <f t="shared" si="122"/>
        <v>40082.450000000004</v>
      </c>
      <c r="CQ61" s="58">
        <f t="shared" si="122"/>
        <v>35653.450000000004</v>
      </c>
      <c r="CR61" s="58">
        <f t="shared" si="122"/>
        <v>30505.510000000002</v>
      </c>
      <c r="CS61" s="58">
        <f>CE70*1.03</f>
        <v>35574.14</v>
      </c>
      <c r="CT61" s="58">
        <f t="shared" si="122"/>
        <v>47291.42</v>
      </c>
      <c r="CU61" s="58">
        <f t="shared" si="122"/>
        <v>62701.25</v>
      </c>
      <c r="CV61" s="58">
        <f>SUM(CJ61:CU61)</f>
        <v>459766.25</v>
      </c>
      <c r="CW61" s="758"/>
      <c r="CX61" s="880">
        <v>25453.360000000001</v>
      </c>
      <c r="CY61" s="880">
        <v>21658.84</v>
      </c>
      <c r="CZ61" s="880">
        <v>25209.25</v>
      </c>
      <c r="DA61" s="880">
        <v>27828.54</v>
      </c>
      <c r="DB61" s="880">
        <v>32049.480000000003</v>
      </c>
      <c r="DC61" s="880">
        <v>32772.54</v>
      </c>
      <c r="DD61" s="880">
        <v>34046.649999999994</v>
      </c>
      <c r="DE61" s="880">
        <v>30567.31</v>
      </c>
      <c r="DF61" s="880">
        <v>29170.629999999997</v>
      </c>
      <c r="DG61" s="880">
        <v>33460.786</v>
      </c>
      <c r="DH61" s="880">
        <v>40405.437400000003</v>
      </c>
      <c r="DI61" s="880">
        <v>57291.782700000003</v>
      </c>
      <c r="DJ61" s="58">
        <f>SUM(CX61:DI61)</f>
        <v>389914.60609999998</v>
      </c>
      <c r="DK61" s="948"/>
      <c r="DL61" s="880">
        <v>25453.360000000001</v>
      </c>
      <c r="DM61" s="880">
        <v>21658.84</v>
      </c>
      <c r="DN61" s="880">
        <v>25209.25</v>
      </c>
      <c r="DO61" s="880">
        <v>27828.54</v>
      </c>
      <c r="DP61" s="880">
        <v>32049.480000000003</v>
      </c>
      <c r="DQ61" s="880">
        <v>32772.54</v>
      </c>
      <c r="DR61" s="880">
        <v>34046.649999999994</v>
      </c>
      <c r="DS61" s="880">
        <v>30567.31</v>
      </c>
      <c r="DT61" s="880">
        <v>29170.629999999997</v>
      </c>
      <c r="DU61" s="880">
        <v>33460.786</v>
      </c>
      <c r="DV61" s="880">
        <v>40405.437400000003</v>
      </c>
      <c r="DW61" s="880">
        <v>57291.782700000003</v>
      </c>
      <c r="DX61" s="58">
        <f>SUM(DL61:DW61)</f>
        <v>389914.60609999998</v>
      </c>
    </row>
    <row r="62" spans="1:128" ht="18.75">
      <c r="A62" s="99"/>
      <c r="B62" s="929" t="s">
        <v>73</v>
      </c>
      <c r="C62" s="930"/>
      <c r="D62" s="301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302"/>
      <c r="Q62" s="74"/>
      <c r="R62" s="301"/>
      <c r="S62" s="69"/>
      <c r="T62" s="69"/>
      <c r="U62" s="69"/>
      <c r="V62" s="303"/>
      <c r="W62" s="304"/>
      <c r="X62" s="304"/>
      <c r="Y62" s="304"/>
      <c r="Z62" s="304"/>
      <c r="AA62" s="304"/>
      <c r="AB62" s="304"/>
      <c r="AC62" s="75"/>
      <c r="AD62" s="76"/>
      <c r="AE62" s="77"/>
      <c r="AF62" s="305"/>
      <c r="AG62" s="69"/>
      <c r="AH62" s="69"/>
      <c r="AI62" s="69"/>
      <c r="AJ62" s="303"/>
      <c r="AK62" s="303"/>
      <c r="AL62" s="303"/>
      <c r="AM62" s="303"/>
      <c r="AN62" s="69"/>
      <c r="AO62" s="69"/>
      <c r="AP62" s="69"/>
      <c r="AQ62" s="69"/>
      <c r="AR62" s="306"/>
      <c r="AS62" s="77"/>
      <c r="AT62" s="69"/>
      <c r="AU62" s="69"/>
      <c r="AV62" s="69"/>
      <c r="AW62" s="69"/>
      <c r="AX62" s="69"/>
      <c r="AY62" s="69">
        <v>15000</v>
      </c>
      <c r="AZ62" s="69">
        <v>15000</v>
      </c>
      <c r="BA62" s="69">
        <f t="shared" ref="BA62:BB62" si="123">BA61*70%</f>
        <v>21802.199999999997</v>
      </c>
      <c r="BB62" s="69">
        <f t="shared" si="123"/>
        <v>22841</v>
      </c>
      <c r="BC62" s="69">
        <v>35000</v>
      </c>
      <c r="BD62" s="69">
        <v>35000</v>
      </c>
      <c r="BE62" s="69">
        <v>42000</v>
      </c>
      <c r="BF62" s="69">
        <f t="shared" si="105"/>
        <v>186643.20000000001</v>
      </c>
      <c r="BG62" s="77"/>
      <c r="BH62" s="69">
        <f t="shared" ref="BH62:BM62" si="124">BH61*0.8</f>
        <v>28922.400000000001</v>
      </c>
      <c r="BI62" s="69">
        <f t="shared" si="124"/>
        <v>28231.200000000001</v>
      </c>
      <c r="BJ62" s="69">
        <f t="shared" si="124"/>
        <v>28697.600000000002</v>
      </c>
      <c r="BK62" s="69">
        <f t="shared" si="124"/>
        <v>30424.800000000003</v>
      </c>
      <c r="BL62" s="69">
        <f t="shared" si="124"/>
        <v>30856</v>
      </c>
      <c r="BM62" s="69">
        <f t="shared" si="124"/>
        <v>31381.600000000002</v>
      </c>
      <c r="BN62" s="69">
        <f>BN61*0.85</f>
        <v>34958.799999999996</v>
      </c>
      <c r="BO62" s="69">
        <v>29000</v>
      </c>
      <c r="BP62" s="69">
        <v>40223</v>
      </c>
      <c r="BQ62" s="69">
        <v>36735</v>
      </c>
      <c r="BR62" s="69">
        <v>36933</v>
      </c>
      <c r="BS62" s="69">
        <v>52283</v>
      </c>
      <c r="BT62" s="69">
        <f t="shared" si="120"/>
        <v>408646.40000000002</v>
      </c>
      <c r="BU62" s="28"/>
      <c r="BV62" s="69">
        <v>32000</v>
      </c>
      <c r="BW62" s="69">
        <v>32000</v>
      </c>
      <c r="BX62" s="69">
        <v>37000</v>
      </c>
      <c r="BY62" s="69">
        <v>32000</v>
      </c>
      <c r="BZ62" s="69">
        <v>35000</v>
      </c>
      <c r="CA62" s="69">
        <v>35000</v>
      </c>
      <c r="CB62" s="69">
        <v>35000</v>
      </c>
      <c r="CC62" s="69">
        <f>CC61*1</f>
        <v>32260.226972643166</v>
      </c>
      <c r="CD62" s="69">
        <f>CD61*1</f>
        <v>33331.522972643164</v>
      </c>
      <c r="CE62" s="69">
        <f>CE61</f>
        <v>35213.881472643166</v>
      </c>
      <c r="CF62" s="69">
        <v>40000</v>
      </c>
      <c r="CG62" s="69">
        <v>60000</v>
      </c>
      <c r="CH62" s="69"/>
      <c r="CI62" s="395"/>
      <c r="CJ62" s="69">
        <v>32000</v>
      </c>
      <c r="CK62" s="69">
        <v>30000</v>
      </c>
      <c r="CL62" s="69">
        <v>31500</v>
      </c>
      <c r="CM62" s="69">
        <v>32000</v>
      </c>
      <c r="CN62" s="69">
        <v>45000</v>
      </c>
      <c r="CO62" s="69">
        <v>35000</v>
      </c>
      <c r="CP62" s="69">
        <v>36000</v>
      </c>
      <c r="CQ62" s="69">
        <v>35000</v>
      </c>
      <c r="CR62" s="69">
        <v>35000</v>
      </c>
      <c r="CS62" s="69">
        <v>40000</v>
      </c>
      <c r="CT62" s="69">
        <v>51000</v>
      </c>
      <c r="CU62" s="69">
        <v>60000</v>
      </c>
      <c r="CV62" s="69">
        <f>SUM(CJ62:CU62)</f>
        <v>462500</v>
      </c>
      <c r="CW62" s="758"/>
      <c r="CX62" s="881">
        <v>28638.329978114532</v>
      </c>
      <c r="CY62" s="881">
        <v>21814.831034278017</v>
      </c>
      <c r="CZ62" s="881">
        <v>27486.135065787566</v>
      </c>
      <c r="DA62" s="881">
        <v>23701.566634278021</v>
      </c>
      <c r="DB62" s="881">
        <v>27311.297065787567</v>
      </c>
      <c r="DC62" s="881">
        <v>31603.10557811453</v>
      </c>
      <c r="DD62" s="881">
        <v>36583.069528806656</v>
      </c>
      <c r="DE62" s="881">
        <v>25808.181578114534</v>
      </c>
      <c r="DF62" s="881">
        <v>26665.218378114532</v>
      </c>
      <c r="DG62" s="881">
        <v>28171.105178114536</v>
      </c>
      <c r="DH62" s="881">
        <v>36935.102454844826</v>
      </c>
      <c r="DI62" s="881">
        <v>46324.402153460593</v>
      </c>
      <c r="DJ62" s="69"/>
      <c r="DK62" s="948"/>
      <c r="DL62" s="881">
        <v>28638.329978114532</v>
      </c>
      <c r="DM62" s="881">
        <v>21814.831034278017</v>
      </c>
      <c r="DN62" s="881">
        <v>27486.135065787566</v>
      </c>
      <c r="DO62" s="881">
        <v>23701.566634278021</v>
      </c>
      <c r="DP62" s="881">
        <v>27311.297065787567</v>
      </c>
      <c r="DQ62" s="881">
        <v>31603.10557811453</v>
      </c>
      <c r="DR62" s="881">
        <v>36583.069528806656</v>
      </c>
      <c r="DS62" s="881">
        <v>25808.181578114534</v>
      </c>
      <c r="DT62" s="881">
        <v>26665.218378114532</v>
      </c>
      <c r="DU62" s="881">
        <v>28171.105178114536</v>
      </c>
      <c r="DV62" s="881">
        <v>36935.102454844826</v>
      </c>
      <c r="DW62" s="881">
        <v>46324.402153460593</v>
      </c>
      <c r="DX62" s="69"/>
    </row>
    <row r="63" spans="1:128" ht="14.25" customHeight="1">
      <c r="A63" s="55" t="s">
        <v>74</v>
      </c>
      <c r="B63" s="56"/>
      <c r="C63" s="280"/>
      <c r="D63" s="288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289"/>
      <c r="Q63" s="39"/>
      <c r="R63" s="288"/>
      <c r="S63" s="58"/>
      <c r="T63" s="58"/>
      <c r="U63" s="58"/>
      <c r="V63" s="58"/>
      <c r="W63" s="290"/>
      <c r="X63" s="290"/>
      <c r="Y63" s="290"/>
      <c r="Z63" s="290"/>
      <c r="AA63" s="290"/>
      <c r="AB63" s="290"/>
      <c r="AC63" s="290"/>
      <c r="AD63" s="291"/>
      <c r="AE63" s="59"/>
      <c r="AF63" s="292"/>
      <c r="AG63" s="58"/>
      <c r="AH63" s="58"/>
      <c r="AI63" s="58"/>
      <c r="AJ63" s="58"/>
      <c r="AK63" s="58"/>
      <c r="AL63" s="58">
        <f>AL61/AVERAGE($AF$61:$AQ$61)</f>
        <v>1.2614511225503295</v>
      </c>
      <c r="AM63" s="58"/>
      <c r="AN63" s="58"/>
      <c r="AO63" s="58"/>
      <c r="AP63" s="58">
        <f t="shared" ref="AP63:AQ63" si="125">AP61/AVERAGE($AF$61:$AQ$61)</f>
        <v>1.2293854585238704</v>
      </c>
      <c r="AQ63" s="58">
        <f t="shared" si="125"/>
        <v>1.6468441033966412</v>
      </c>
      <c r="AR63" s="58"/>
      <c r="AS63" s="59"/>
      <c r="AT63" s="58">
        <v>109190</v>
      </c>
      <c r="AU63" s="58">
        <v>153667</v>
      </c>
      <c r="AV63" s="58">
        <v>178778</v>
      </c>
      <c r="AW63" s="58">
        <v>151970</v>
      </c>
      <c r="AX63" s="58">
        <v>142416</v>
      </c>
      <c r="AY63" s="58">
        <v>177335</v>
      </c>
      <c r="AZ63" s="58">
        <v>152230</v>
      </c>
      <c r="BA63" s="58">
        <v>245527</v>
      </c>
      <c r="BB63" s="58">
        <f>5261504/27</f>
        <v>194870.51851851851</v>
      </c>
      <c r="BC63" s="58">
        <f>5784000/27</f>
        <v>214222.22222222222</v>
      </c>
      <c r="BD63" s="58">
        <f>3224000/27</f>
        <v>119407.4074074074</v>
      </c>
      <c r="BE63" s="58">
        <f>909800/27</f>
        <v>33696.296296296299</v>
      </c>
      <c r="BF63" s="58">
        <f t="shared" si="105"/>
        <v>1873309.4444444445</v>
      </c>
      <c r="BG63" s="59"/>
      <c r="BH63" s="58">
        <v>156208</v>
      </c>
      <c r="BI63" s="58">
        <v>147340</v>
      </c>
      <c r="BJ63" s="58">
        <v>166759</v>
      </c>
      <c r="BK63" s="58">
        <v>152352</v>
      </c>
      <c r="BL63" s="58">
        <v>128446</v>
      </c>
      <c r="BM63" s="58">
        <v>126790</v>
      </c>
      <c r="BN63" s="58">
        <v>173761</v>
      </c>
      <c r="BO63" s="58">
        <f>144510.599073001+BO62</f>
        <v>173510.59907300101</v>
      </c>
      <c r="BP63" s="58">
        <f>162574.422556972+BP62</f>
        <v>202797.42255697199</v>
      </c>
      <c r="BQ63" s="58">
        <f>166187.186558517+BQ62</f>
        <v>202922.18655851699</v>
      </c>
      <c r="BR63" s="58">
        <f>BQ37+BR33*0.6</f>
        <v>232502.36</v>
      </c>
      <c r="BS63" s="58">
        <f>BR33*0.4+BS33*0.5</f>
        <v>116391.04000000001</v>
      </c>
      <c r="BT63" s="58">
        <f t="shared" si="120"/>
        <v>1979779.6081884899</v>
      </c>
      <c r="BU63" s="60"/>
      <c r="BV63" s="58">
        <f t="shared" ref="BV63:CC63" si="126">BV37+BV62</f>
        <v>162757.867486095</v>
      </c>
      <c r="BW63" s="58">
        <f t="shared" si="126"/>
        <v>157566.83045180296</v>
      </c>
      <c r="BX63" s="58">
        <f t="shared" si="126"/>
        <v>197961.53846153844</v>
      </c>
      <c r="BY63" s="58">
        <f t="shared" si="126"/>
        <v>160769.23076923078</v>
      </c>
      <c r="BZ63" s="58">
        <f t="shared" si="126"/>
        <v>153232.39341785663</v>
      </c>
      <c r="CA63" s="58">
        <f t="shared" si="126"/>
        <v>143192.12910096842</v>
      </c>
      <c r="CB63" s="58">
        <f t="shared" si="126"/>
        <v>178736.21444761599</v>
      </c>
      <c r="CC63" s="58">
        <f t="shared" si="126"/>
        <v>202914.10079748323</v>
      </c>
      <c r="CD63" s="58">
        <f>CD37+CD62</f>
        <v>214499.61628422557</v>
      </c>
      <c r="CE63" s="58">
        <f>CE37+CE62</f>
        <v>217682.99793575107</v>
      </c>
      <c r="CF63" s="58">
        <f>CF37+CF62</f>
        <v>173115.84223630186</v>
      </c>
      <c r="CG63" s="58">
        <f t="shared" ref="CG63" si="127">BS63</f>
        <v>116391.04000000001</v>
      </c>
      <c r="CH63" s="58"/>
      <c r="CJ63" s="58">
        <f>CJ37+CJ62</f>
        <v>161344.16697726428</v>
      </c>
      <c r="CK63" s="58">
        <f t="shared" ref="CK63:CU63" si="128">CK37+CK62</f>
        <v>180873.49981364145</v>
      </c>
      <c r="CL63" s="58">
        <f t="shared" si="128"/>
        <v>172879.05329854641</v>
      </c>
      <c r="CM63" s="58">
        <f t="shared" si="128"/>
        <v>168578.1587774879</v>
      </c>
      <c r="CN63" s="58">
        <f t="shared" si="128"/>
        <v>181291.91203876259</v>
      </c>
      <c r="CO63" s="58">
        <f t="shared" si="128"/>
        <v>138386.95490122997</v>
      </c>
      <c r="CP63" s="58">
        <f t="shared" si="128"/>
        <v>217610.97046413503</v>
      </c>
      <c r="CQ63" s="58">
        <f>CQ37+CQ62</f>
        <v>234329.11392405062</v>
      </c>
      <c r="CR63" s="58">
        <f t="shared" si="128"/>
        <v>269765.40084388189</v>
      </c>
      <c r="CS63" s="58">
        <f t="shared" si="128"/>
        <v>257806.7510548523</v>
      </c>
      <c r="CT63" s="58">
        <f>CT37+CT62</f>
        <v>185135.02109704641</v>
      </c>
      <c r="CU63" s="58">
        <f t="shared" si="128"/>
        <v>111311.39240506329</v>
      </c>
      <c r="CV63" s="58">
        <f>SUM(CJ63:CU63)</f>
        <v>2279312.3955959622</v>
      </c>
      <c r="CW63" s="758"/>
      <c r="CX63" s="880">
        <v>98000</v>
      </c>
      <c r="CY63" s="880">
        <v>147381.66148608096</v>
      </c>
      <c r="CZ63" s="880">
        <v>188447.673527326</v>
      </c>
      <c r="DA63" s="880">
        <v>152352</v>
      </c>
      <c r="DB63" s="880">
        <v>128446</v>
      </c>
      <c r="DC63" s="880">
        <v>126790</v>
      </c>
      <c r="DD63" s="880">
        <v>173761</v>
      </c>
      <c r="DE63" s="880">
        <v>173510.59907300101</v>
      </c>
      <c r="DF63" s="880">
        <v>202797.42255697199</v>
      </c>
      <c r="DG63" s="880">
        <v>202922.18655851699</v>
      </c>
      <c r="DH63" s="880">
        <v>232502.36</v>
      </c>
      <c r="DI63" s="880">
        <v>116391.04000000001</v>
      </c>
      <c r="DJ63" s="58"/>
      <c r="DK63" s="948"/>
      <c r="DL63" s="880">
        <v>98000</v>
      </c>
      <c r="DM63" s="880">
        <v>147381.66148608096</v>
      </c>
      <c r="DN63" s="880">
        <v>188447.673527326</v>
      </c>
      <c r="DO63" s="880">
        <v>152352</v>
      </c>
      <c r="DP63" s="880">
        <v>128446</v>
      </c>
      <c r="DQ63" s="880">
        <v>126790</v>
      </c>
      <c r="DR63" s="880">
        <v>173761</v>
      </c>
      <c r="DS63" s="880">
        <v>173510.59907300101</v>
      </c>
      <c r="DT63" s="880">
        <v>202797.42255697199</v>
      </c>
      <c r="DU63" s="880">
        <v>202922.18655851699</v>
      </c>
      <c r="DV63" s="880">
        <v>232502.36</v>
      </c>
      <c r="DW63" s="880">
        <v>116391.04000000001</v>
      </c>
      <c r="DX63" s="58"/>
    </row>
    <row r="64" spans="1:128" ht="18.75">
      <c r="A64" s="101" t="s">
        <v>75</v>
      </c>
      <c r="B64" s="931"/>
      <c r="C64" s="909"/>
      <c r="D64" s="277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262"/>
      <c r="Q64" s="15"/>
      <c r="R64" s="277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263"/>
      <c r="AE64" s="16"/>
      <c r="AF64" s="261">
        <v>133791</v>
      </c>
      <c r="AG64" s="14">
        <v>166459</v>
      </c>
      <c r="AH64" s="14">
        <v>149450</v>
      </c>
      <c r="AI64" s="14">
        <v>151073</v>
      </c>
      <c r="AJ64" s="14">
        <v>192944</v>
      </c>
      <c r="AK64" s="14">
        <v>166139</v>
      </c>
      <c r="AL64" s="14">
        <v>151874</v>
      </c>
      <c r="AM64" s="14">
        <v>157771</v>
      </c>
      <c r="AN64" s="14">
        <v>200312</v>
      </c>
      <c r="AO64" s="14">
        <v>202691</v>
      </c>
      <c r="AP64" s="14">
        <v>207768</v>
      </c>
      <c r="AQ64" s="14">
        <v>113286</v>
      </c>
      <c r="AR64" s="14">
        <f>SUM(AF64:AK64)</f>
        <v>959856</v>
      </c>
      <c r="AS64" s="17"/>
      <c r="AT64" s="14">
        <v>89680</v>
      </c>
      <c r="AU64" s="14">
        <v>128308</v>
      </c>
      <c r="AV64" s="14">
        <v>144871</v>
      </c>
      <c r="AW64" s="32">
        <v>161772</v>
      </c>
      <c r="AX64" s="32">
        <v>144516</v>
      </c>
      <c r="AY64" s="32">
        <v>103667</v>
      </c>
      <c r="AZ64" s="32">
        <v>141023</v>
      </c>
      <c r="BA64" s="32">
        <v>172093</v>
      </c>
      <c r="BB64" s="32">
        <f>166606+10000</f>
        <v>176606</v>
      </c>
      <c r="BC64" s="32">
        <v>181091</v>
      </c>
      <c r="BD64" s="32">
        <v>169802</v>
      </c>
      <c r="BE64" s="32">
        <v>120406</v>
      </c>
      <c r="BF64" s="32">
        <f t="shared" si="105"/>
        <v>1733835</v>
      </c>
      <c r="BG64" s="17">
        <f>BG61/AR61</f>
        <v>9.9910256474894502E-2</v>
      </c>
      <c r="BH64" s="14">
        <v>78906</v>
      </c>
      <c r="BI64" s="14">
        <v>119296</v>
      </c>
      <c r="BJ64" s="14">
        <v>165286</v>
      </c>
      <c r="BK64" s="14">
        <v>144532</v>
      </c>
      <c r="BL64" s="32">
        <v>157691</v>
      </c>
      <c r="BM64" s="32">
        <v>129096</v>
      </c>
      <c r="BN64" s="32">
        <v>125800</v>
      </c>
      <c r="BO64" s="32">
        <v>176354</v>
      </c>
      <c r="BP64" s="32">
        <v>173554</v>
      </c>
      <c r="BQ64" s="32">
        <v>185766</v>
      </c>
      <c r="BR64" s="32"/>
      <c r="BS64" s="32"/>
      <c r="BT64" s="32">
        <f t="shared" si="120"/>
        <v>1456281</v>
      </c>
      <c r="BU64" s="28"/>
      <c r="BV64" s="14"/>
      <c r="BW64" s="14"/>
      <c r="BX64" s="14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J64" s="14"/>
      <c r="CK64" s="14"/>
      <c r="CL64" s="14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758"/>
      <c r="CX64" s="873"/>
      <c r="CY64" s="873"/>
      <c r="CZ64" s="873"/>
      <c r="DA64" s="872"/>
      <c r="DB64" s="872"/>
      <c r="DC64" s="872"/>
      <c r="DD64" s="872"/>
      <c r="DE64" s="872"/>
      <c r="DF64" s="872"/>
      <c r="DG64" s="872"/>
      <c r="DH64" s="872"/>
      <c r="DI64" s="872"/>
      <c r="DJ64" s="32"/>
      <c r="DK64" s="948"/>
      <c r="DL64" s="873"/>
      <c r="DM64" s="873"/>
      <c r="DN64" s="873"/>
      <c r="DO64" s="872"/>
      <c r="DP64" s="872"/>
      <c r="DQ64" s="872"/>
      <c r="DR64" s="872"/>
      <c r="DS64" s="872"/>
      <c r="DT64" s="872"/>
      <c r="DU64" s="872"/>
      <c r="DV64" s="872"/>
      <c r="DW64" s="872"/>
      <c r="DX64" s="32"/>
    </row>
    <row r="65" spans="1:129" ht="18.75">
      <c r="A65" s="103"/>
      <c r="B65" s="932" t="s">
        <v>76</v>
      </c>
      <c r="C65" s="933"/>
      <c r="D65" s="331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332"/>
      <c r="Q65" s="105"/>
      <c r="R65" s="333"/>
      <c r="S65" s="333"/>
      <c r="T65" s="333"/>
      <c r="U65" s="333"/>
      <c r="V65" s="333"/>
      <c r="W65" s="333"/>
      <c r="X65" s="333"/>
      <c r="Y65" s="333"/>
      <c r="Z65" s="333"/>
      <c r="AA65" s="333"/>
      <c r="AB65" s="333"/>
      <c r="AC65" s="333"/>
      <c r="AD65" s="334"/>
      <c r="AE65" s="106"/>
      <c r="AF65" s="333">
        <f t="shared" ref="AF65:AQ65" si="129">AF64-AF32</f>
        <v>133789.5653258567</v>
      </c>
      <c r="AG65" s="333">
        <f t="shared" si="129"/>
        <v>166455.02546723894</v>
      </c>
      <c r="AH65" s="333">
        <f t="shared" si="129"/>
        <v>149445.54627453614</v>
      </c>
      <c r="AI65" s="333">
        <f t="shared" si="129"/>
        <v>151069.82181047046</v>
      </c>
      <c r="AJ65" s="333">
        <f t="shared" si="129"/>
        <v>192941.24487749056</v>
      </c>
      <c r="AK65" s="333">
        <f t="shared" si="129"/>
        <v>166135.77020296719</v>
      </c>
      <c r="AL65" s="333">
        <f t="shared" si="129"/>
        <v>151871.64243647002</v>
      </c>
      <c r="AM65" s="333">
        <f t="shared" si="129"/>
        <v>157768.8586839418</v>
      </c>
      <c r="AN65" s="333">
        <f t="shared" si="129"/>
        <v>200310.09576397031</v>
      </c>
      <c r="AO65" s="333">
        <f t="shared" si="129"/>
        <v>202687.83135883085</v>
      </c>
      <c r="AP65" s="333">
        <f t="shared" si="129"/>
        <v>207762.85122649223</v>
      </c>
      <c r="AQ65" s="333">
        <f t="shared" si="129"/>
        <v>113282.51926932538</v>
      </c>
      <c r="AR65" s="107">
        <f t="shared" ref="AR65:AR73" si="130">SUM(AF65:AQ65)</f>
        <v>1993520.772697591</v>
      </c>
      <c r="AS65" s="106"/>
      <c r="AT65" s="333">
        <f t="shared" ref="AT65:BE65" si="131">AT64-AT63</f>
        <v>-19510</v>
      </c>
      <c r="AU65" s="333">
        <f t="shared" si="131"/>
        <v>-25359</v>
      </c>
      <c r="AV65" s="333">
        <f t="shared" si="131"/>
        <v>-33907</v>
      </c>
      <c r="AW65" s="333">
        <f t="shared" si="131"/>
        <v>9802</v>
      </c>
      <c r="AX65" s="333">
        <f t="shared" si="131"/>
        <v>2100</v>
      </c>
      <c r="AY65" s="333">
        <f t="shared" si="131"/>
        <v>-73668</v>
      </c>
      <c r="AZ65" s="333">
        <f t="shared" si="131"/>
        <v>-11207</v>
      </c>
      <c r="BA65" s="333">
        <f t="shared" si="131"/>
        <v>-73434</v>
      </c>
      <c r="BB65" s="333">
        <f t="shared" si="131"/>
        <v>-18264.518518518511</v>
      </c>
      <c r="BC65" s="333">
        <f t="shared" si="131"/>
        <v>-33131.222222222219</v>
      </c>
      <c r="BD65" s="333">
        <f t="shared" si="131"/>
        <v>50394.592592592599</v>
      </c>
      <c r="BE65" s="333">
        <f t="shared" si="131"/>
        <v>86709.703703703708</v>
      </c>
      <c r="BF65" s="108">
        <f t="shared" si="105"/>
        <v>-139474.44444444444</v>
      </c>
      <c r="BG65" s="106"/>
      <c r="BH65" s="333">
        <f t="shared" ref="BH65:BQ65" si="132">BH64-BH63</f>
        <v>-77302</v>
      </c>
      <c r="BI65" s="333">
        <f t="shared" si="132"/>
        <v>-28044</v>
      </c>
      <c r="BJ65" s="333">
        <f t="shared" si="132"/>
        <v>-1473</v>
      </c>
      <c r="BK65" s="333">
        <f t="shared" si="132"/>
        <v>-7820</v>
      </c>
      <c r="BL65" s="333">
        <f t="shared" si="132"/>
        <v>29245</v>
      </c>
      <c r="BM65" s="333">
        <f t="shared" si="132"/>
        <v>2306</v>
      </c>
      <c r="BN65" s="333">
        <f t="shared" si="132"/>
        <v>-47961</v>
      </c>
      <c r="BO65" s="333">
        <f t="shared" si="132"/>
        <v>2843.4009269989911</v>
      </c>
      <c r="BP65" s="333">
        <f t="shared" si="132"/>
        <v>-29243.422556971986</v>
      </c>
      <c r="BQ65" s="333">
        <f t="shared" si="132"/>
        <v>-17156.186558516987</v>
      </c>
      <c r="BR65" s="108"/>
      <c r="BS65" s="108"/>
      <c r="BT65" s="108">
        <f t="shared" si="120"/>
        <v>-174605.20818848998</v>
      </c>
      <c r="BU65" s="28"/>
      <c r="BV65" s="333"/>
      <c r="BW65" s="333"/>
      <c r="BX65" s="333"/>
      <c r="BY65" s="333"/>
      <c r="BZ65" s="108"/>
      <c r="CA65" s="108"/>
      <c r="CB65" s="108"/>
      <c r="CC65" s="108"/>
      <c r="CD65" s="108"/>
      <c r="CE65" s="108"/>
      <c r="CF65" s="108"/>
      <c r="CG65" s="108"/>
      <c r="CH65" s="108"/>
      <c r="CJ65" s="333"/>
      <c r="CK65" s="333"/>
      <c r="CL65" s="333"/>
      <c r="CM65" s="333"/>
      <c r="CN65" s="108"/>
      <c r="CO65" s="108"/>
      <c r="CP65" s="108"/>
      <c r="CQ65" s="108"/>
      <c r="CR65" s="108"/>
      <c r="CS65" s="108"/>
      <c r="CT65" s="108"/>
      <c r="CU65" s="108"/>
      <c r="CV65" s="108"/>
      <c r="CW65" s="758"/>
      <c r="CX65" s="892"/>
      <c r="CY65" s="892"/>
      <c r="CZ65" s="892"/>
      <c r="DA65" s="892"/>
      <c r="DB65" s="893"/>
      <c r="DC65" s="893"/>
      <c r="DD65" s="893"/>
      <c r="DE65" s="893"/>
      <c r="DF65" s="893"/>
      <c r="DG65" s="893"/>
      <c r="DH65" s="893"/>
      <c r="DI65" s="893"/>
      <c r="DJ65" s="108"/>
      <c r="DK65" s="948"/>
      <c r="DL65" s="892"/>
      <c r="DM65" s="892"/>
      <c r="DN65" s="892"/>
      <c r="DO65" s="892"/>
      <c r="DP65" s="893"/>
      <c r="DQ65" s="893"/>
      <c r="DR65" s="893"/>
      <c r="DS65" s="893"/>
      <c r="DT65" s="893"/>
      <c r="DU65" s="893"/>
      <c r="DV65" s="893"/>
      <c r="DW65" s="893"/>
      <c r="DX65" s="108"/>
    </row>
    <row r="66" spans="1:129" ht="15.75" customHeight="1">
      <c r="A66" s="94">
        <v>5</v>
      </c>
      <c r="B66" s="921" t="s">
        <v>77</v>
      </c>
      <c r="C66" s="934"/>
      <c r="D66" s="313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>
        <v>0</v>
      </c>
      <c r="P66" s="314">
        <f>SUM(D66:O66)</f>
        <v>0</v>
      </c>
      <c r="Q66" s="90"/>
      <c r="R66" s="313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315">
        <f>SUM(R66:AC66)</f>
        <v>0</v>
      </c>
      <c r="AE66" s="23"/>
      <c r="AF66" s="316">
        <v>0</v>
      </c>
      <c r="AG66" s="91">
        <v>0</v>
      </c>
      <c r="AH66" s="91">
        <v>0</v>
      </c>
      <c r="AI66" s="91">
        <v>0</v>
      </c>
      <c r="AJ66" s="91">
        <v>0</v>
      </c>
      <c r="AK66" s="91">
        <v>0</v>
      </c>
      <c r="AL66" s="91">
        <v>0</v>
      </c>
      <c r="AM66" s="91">
        <v>0</v>
      </c>
      <c r="AN66" s="91">
        <v>0</v>
      </c>
      <c r="AO66" s="91">
        <v>0</v>
      </c>
      <c r="AP66" s="91"/>
      <c r="AQ66" s="91">
        <v>8938</v>
      </c>
      <c r="AR66" s="92">
        <f t="shared" si="130"/>
        <v>8938</v>
      </c>
      <c r="AS66" s="23"/>
      <c r="AT66" s="91">
        <v>106642</v>
      </c>
      <c r="AU66" s="91">
        <v>90699</v>
      </c>
      <c r="AV66" s="91">
        <v>89681</v>
      </c>
      <c r="AW66" s="91">
        <v>58790</v>
      </c>
      <c r="AX66" s="91">
        <v>35520</v>
      </c>
      <c r="AY66" s="91">
        <v>61551</v>
      </c>
      <c r="AZ66" s="91">
        <v>71511</v>
      </c>
      <c r="BA66" s="91">
        <v>63617</v>
      </c>
      <c r="BB66" s="91">
        <v>66748</v>
      </c>
      <c r="BC66" s="91">
        <v>75532</v>
      </c>
      <c r="BD66" s="91">
        <v>37786</v>
      </c>
      <c r="BE66" s="91">
        <v>4503</v>
      </c>
      <c r="BF66" s="91">
        <f t="shared" si="105"/>
        <v>762580</v>
      </c>
      <c r="BG66" s="27"/>
      <c r="BH66" s="91">
        <v>69404</v>
      </c>
      <c r="BI66" s="91">
        <v>80412</v>
      </c>
      <c r="BJ66" s="91">
        <v>94386</v>
      </c>
      <c r="BK66" s="91">
        <v>78313</v>
      </c>
      <c r="BL66" s="91">
        <v>47034</v>
      </c>
      <c r="BM66" s="91">
        <v>50851</v>
      </c>
      <c r="BN66" s="91">
        <v>93202</v>
      </c>
      <c r="BO66" s="91">
        <v>100687</v>
      </c>
      <c r="BP66" s="91">
        <v>127995</v>
      </c>
      <c r="BQ66" s="91">
        <v>122686</v>
      </c>
      <c r="BR66" s="91"/>
      <c r="BS66" s="91"/>
      <c r="BT66" s="91"/>
      <c r="BU66" s="28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91"/>
      <c r="CV66" s="91"/>
      <c r="CW66" s="758"/>
      <c r="CX66" s="884"/>
      <c r="CY66" s="884"/>
      <c r="CZ66" s="884"/>
      <c r="DA66" s="884"/>
      <c r="DB66" s="884"/>
      <c r="DC66" s="884"/>
      <c r="DD66" s="884"/>
      <c r="DE66" s="884"/>
      <c r="DF66" s="884"/>
      <c r="DG66" s="884"/>
      <c r="DH66" s="884"/>
      <c r="DI66" s="884"/>
      <c r="DJ66" s="91"/>
      <c r="DK66" s="948"/>
      <c r="DL66" s="884"/>
      <c r="DM66" s="884"/>
      <c r="DN66" s="884"/>
      <c r="DO66" s="884"/>
      <c r="DP66" s="884"/>
      <c r="DQ66" s="884"/>
      <c r="DR66" s="884"/>
      <c r="DS66" s="884"/>
      <c r="DT66" s="884"/>
      <c r="DU66" s="884"/>
      <c r="DV66" s="884"/>
      <c r="DW66" s="884"/>
      <c r="DX66" s="91"/>
    </row>
    <row r="67" spans="1:129" ht="18.75">
      <c r="A67" s="13" t="s">
        <v>78</v>
      </c>
      <c r="B67" s="908"/>
      <c r="C67" s="909"/>
      <c r="D67" s="277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262"/>
      <c r="Q67" s="15"/>
      <c r="R67" s="277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263"/>
      <c r="AE67" s="16"/>
      <c r="AF67" s="261">
        <f t="shared" ref="AF67:AQ67" si="133">AF68+AF70</f>
        <v>118364</v>
      </c>
      <c r="AG67" s="261">
        <f t="shared" si="133"/>
        <v>173742</v>
      </c>
      <c r="AH67" s="261">
        <f t="shared" si="133"/>
        <v>73470</v>
      </c>
      <c r="AI67" s="261">
        <f t="shared" si="133"/>
        <v>87377</v>
      </c>
      <c r="AJ67" s="261">
        <f t="shared" si="133"/>
        <v>119657</v>
      </c>
      <c r="AK67" s="261">
        <f t="shared" si="133"/>
        <v>154747</v>
      </c>
      <c r="AL67" s="261">
        <f t="shared" si="133"/>
        <v>138073</v>
      </c>
      <c r="AM67" s="261">
        <f t="shared" si="133"/>
        <v>180773</v>
      </c>
      <c r="AN67" s="261">
        <f t="shared" si="133"/>
        <v>194598</v>
      </c>
      <c r="AO67" s="261">
        <f t="shared" si="133"/>
        <v>242931</v>
      </c>
      <c r="AP67" s="261">
        <f t="shared" si="133"/>
        <v>107346</v>
      </c>
      <c r="AQ67" s="261">
        <f t="shared" si="133"/>
        <v>87384</v>
      </c>
      <c r="AR67" s="14">
        <f t="shared" si="130"/>
        <v>1678462</v>
      </c>
      <c r="AS67" s="17"/>
      <c r="AT67" s="261">
        <f t="shared" ref="AT67:BE67" si="134">AT68+AT70</f>
        <v>155346</v>
      </c>
      <c r="AU67" s="261">
        <f t="shared" si="134"/>
        <v>123370</v>
      </c>
      <c r="AV67" s="261">
        <f t="shared" si="134"/>
        <v>144065</v>
      </c>
      <c r="AW67" s="261">
        <f t="shared" si="134"/>
        <v>127865</v>
      </c>
      <c r="AX67" s="261">
        <f t="shared" si="134"/>
        <v>123461</v>
      </c>
      <c r="AY67" s="261">
        <f t="shared" si="134"/>
        <v>121196</v>
      </c>
      <c r="AZ67" s="261">
        <f t="shared" si="134"/>
        <v>168029</v>
      </c>
      <c r="BA67" s="261">
        <f t="shared" si="134"/>
        <v>164268</v>
      </c>
      <c r="BB67" s="261">
        <f t="shared" si="134"/>
        <v>185112</v>
      </c>
      <c r="BC67" s="261">
        <f t="shared" si="134"/>
        <v>147235</v>
      </c>
      <c r="BD67" s="261">
        <f t="shared" si="134"/>
        <v>135608</v>
      </c>
      <c r="BE67" s="261">
        <f t="shared" si="134"/>
        <v>90194</v>
      </c>
      <c r="BF67" s="32">
        <f t="shared" si="105"/>
        <v>1685749</v>
      </c>
      <c r="BG67" s="35">
        <f t="shared" ref="BG67:BG68" si="135">BF67/AR67-1</f>
        <v>4.3414745165515356E-3</v>
      </c>
      <c r="BH67" s="261">
        <f>BH68+BH70</f>
        <v>144332</v>
      </c>
      <c r="BI67" s="261">
        <f t="shared" ref="BI67:BQ67" si="136">BI68+BI70</f>
        <v>128781</v>
      </c>
      <c r="BJ67" s="261">
        <f t="shared" si="136"/>
        <v>193129</v>
      </c>
      <c r="BK67" s="261">
        <f t="shared" si="136"/>
        <v>106092</v>
      </c>
      <c r="BL67" s="261">
        <f t="shared" si="136"/>
        <v>132638</v>
      </c>
      <c r="BM67" s="261">
        <f t="shared" si="136"/>
        <v>139193</v>
      </c>
      <c r="BN67" s="261">
        <f t="shared" si="136"/>
        <v>173703</v>
      </c>
      <c r="BO67" s="261">
        <f t="shared" si="136"/>
        <v>186902</v>
      </c>
      <c r="BP67" s="261">
        <f t="shared" si="136"/>
        <v>200686</v>
      </c>
      <c r="BQ67" s="261">
        <f t="shared" si="136"/>
        <v>191324</v>
      </c>
      <c r="BR67" s="14"/>
      <c r="BS67" s="14"/>
      <c r="BT67" s="14">
        <f t="shared" ref="BT67:BT72" si="137">SUM(BH67:BS67)</f>
        <v>1596780</v>
      </c>
      <c r="BU67" s="18"/>
      <c r="BV67" s="261"/>
      <c r="BW67" s="261"/>
      <c r="BX67" s="261"/>
      <c r="BY67" s="261"/>
      <c r="BZ67" s="14"/>
      <c r="CA67" s="14"/>
      <c r="CB67" s="14"/>
      <c r="CC67" s="14"/>
      <c r="CD67" s="14"/>
      <c r="CE67" s="14"/>
      <c r="CF67" s="14"/>
      <c r="CG67" s="14"/>
      <c r="CH67" s="14"/>
      <c r="CJ67" s="261">
        <f>CJ68+CJ70</f>
        <v>204853</v>
      </c>
      <c r="CK67" s="261">
        <f t="shared" ref="CK67:CM67" si="138">CK68+CK70</f>
        <v>0</v>
      </c>
      <c r="CL67" s="261">
        <f t="shared" si="138"/>
        <v>0</v>
      </c>
      <c r="CM67" s="261">
        <f t="shared" si="138"/>
        <v>0</v>
      </c>
      <c r="CN67" s="14"/>
      <c r="CO67" s="14"/>
      <c r="CP67" s="14"/>
      <c r="CQ67" s="14"/>
      <c r="CR67" s="14"/>
      <c r="CS67" s="14"/>
      <c r="CT67" s="14"/>
      <c r="CU67" s="14"/>
      <c r="CV67" s="14"/>
      <c r="CW67" s="758"/>
      <c r="CX67" s="874"/>
      <c r="CY67" s="874"/>
      <c r="CZ67" s="874"/>
      <c r="DA67" s="874"/>
      <c r="DB67" s="873"/>
      <c r="DC67" s="873"/>
      <c r="DD67" s="873"/>
      <c r="DE67" s="873"/>
      <c r="DF67" s="873"/>
      <c r="DG67" s="873"/>
      <c r="DH67" s="873"/>
      <c r="DI67" s="873"/>
      <c r="DJ67" s="14"/>
      <c r="DK67" s="948"/>
      <c r="DL67" s="874"/>
      <c r="DM67" s="874"/>
      <c r="DN67" s="874"/>
      <c r="DO67" s="874"/>
      <c r="DP67" s="873"/>
      <c r="DQ67" s="873"/>
      <c r="DR67" s="873"/>
      <c r="DS67" s="873"/>
      <c r="DT67" s="873"/>
      <c r="DU67" s="873"/>
      <c r="DV67" s="873"/>
      <c r="DW67" s="873"/>
      <c r="DX67" s="14"/>
    </row>
    <row r="68" spans="1:129" ht="15.75" customHeight="1">
      <c r="A68" s="210"/>
      <c r="B68" s="921" t="s">
        <v>79</v>
      </c>
      <c r="C68" s="890"/>
      <c r="D68" s="313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314"/>
      <c r="Q68" s="90"/>
      <c r="R68" s="313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315"/>
      <c r="AE68" s="23"/>
      <c r="AF68" s="316">
        <v>92193</v>
      </c>
      <c r="AG68" s="91">
        <v>152006</v>
      </c>
      <c r="AH68" s="91">
        <v>62734</v>
      </c>
      <c r="AI68" s="91">
        <v>71526</v>
      </c>
      <c r="AJ68" s="91">
        <v>89409</v>
      </c>
      <c r="AK68" s="91">
        <v>120675</v>
      </c>
      <c r="AL68" s="91">
        <v>100592</v>
      </c>
      <c r="AM68" s="91">
        <v>148128</v>
      </c>
      <c r="AN68" s="91">
        <v>164346</v>
      </c>
      <c r="AO68" s="91">
        <v>203437</v>
      </c>
      <c r="AP68" s="91">
        <v>64957</v>
      </c>
      <c r="AQ68" s="91">
        <v>31837</v>
      </c>
      <c r="AR68" s="92">
        <f t="shared" si="130"/>
        <v>1301840</v>
      </c>
      <c r="AS68" s="23"/>
      <c r="AT68" s="91">
        <v>125048</v>
      </c>
      <c r="AU68" s="91">
        <v>96006</v>
      </c>
      <c r="AV68" s="91">
        <v>111470</v>
      </c>
      <c r="AW68" s="91">
        <v>99222</v>
      </c>
      <c r="AX68" s="91">
        <v>91253</v>
      </c>
      <c r="AY68" s="91">
        <v>90595</v>
      </c>
      <c r="AZ68" s="91">
        <v>129147</v>
      </c>
      <c r="BA68" s="91">
        <v>133525</v>
      </c>
      <c r="BB68" s="91">
        <v>159291</v>
      </c>
      <c r="BC68" s="91">
        <v>115573</v>
      </c>
      <c r="BD68" s="91">
        <v>98386</v>
      </c>
      <c r="BE68" s="91">
        <v>36527</v>
      </c>
      <c r="BF68" s="91">
        <f t="shared" si="105"/>
        <v>1286043</v>
      </c>
      <c r="BG68" s="93">
        <f t="shared" si="135"/>
        <v>-1.2134363669882631E-2</v>
      </c>
      <c r="BH68" s="91">
        <v>110235</v>
      </c>
      <c r="BI68" s="91">
        <v>103047</v>
      </c>
      <c r="BJ68" s="91">
        <v>158855</v>
      </c>
      <c r="BK68" s="91">
        <v>77254</v>
      </c>
      <c r="BL68" s="91">
        <v>99853</v>
      </c>
      <c r="BM68" s="91">
        <v>100723</v>
      </c>
      <c r="BN68" s="91">
        <v>125338</v>
      </c>
      <c r="BO68" s="91">
        <v>153622</v>
      </c>
      <c r="BP68" s="91">
        <v>166483</v>
      </c>
      <c r="BQ68" s="91">
        <v>156140</v>
      </c>
      <c r="BR68" s="91">
        <v>111391</v>
      </c>
      <c r="BS68" s="91">
        <v>26768</v>
      </c>
      <c r="BT68" s="91">
        <f t="shared" si="137"/>
        <v>1389709</v>
      </c>
      <c r="BU68" s="28"/>
      <c r="BV68" s="91">
        <v>128446</v>
      </c>
      <c r="BW68" s="91">
        <v>119229</v>
      </c>
      <c r="BX68" s="91">
        <v>134860</v>
      </c>
      <c r="BY68" s="91">
        <v>111992</v>
      </c>
      <c r="BZ68" s="91">
        <v>102725</v>
      </c>
      <c r="CA68" s="91">
        <v>74472</v>
      </c>
      <c r="CB68" s="91">
        <v>164045</v>
      </c>
      <c r="CC68" s="91">
        <v>148167</v>
      </c>
      <c r="CD68" s="91">
        <v>189715</v>
      </c>
      <c r="CE68" s="91">
        <v>165488</v>
      </c>
      <c r="CF68" s="91">
        <v>103829</v>
      </c>
      <c r="CG68" s="91">
        <v>39967</v>
      </c>
      <c r="CH68" s="91">
        <f t="shared" ref="CH68:CH71" si="139">SUM(BV68:CG68)</f>
        <v>1482935</v>
      </c>
      <c r="CJ68" s="91">
        <v>167136</v>
      </c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758"/>
      <c r="CX68" s="884">
        <v>54245</v>
      </c>
      <c r="CY68" s="884"/>
      <c r="CZ68" s="884"/>
      <c r="DA68" s="884"/>
      <c r="DB68" s="884"/>
      <c r="DC68" s="884"/>
      <c r="DD68" s="884"/>
      <c r="DE68" s="884"/>
      <c r="DF68" s="884"/>
      <c r="DG68" s="884"/>
      <c r="DH68" s="884"/>
      <c r="DI68" s="884"/>
      <c r="DJ68" s="91"/>
      <c r="DK68" s="948"/>
      <c r="DL68" s="884">
        <v>54245</v>
      </c>
      <c r="DM68" s="884"/>
      <c r="DN68" s="884"/>
      <c r="DO68" s="884"/>
      <c r="DP68" s="884"/>
      <c r="DQ68" s="884"/>
      <c r="DR68" s="884"/>
      <c r="DS68" s="884"/>
      <c r="DT68" s="884"/>
      <c r="DU68" s="884"/>
      <c r="DV68" s="884"/>
      <c r="DW68" s="884"/>
      <c r="DX68" s="91"/>
    </row>
    <row r="69" spans="1:129" ht="18.75">
      <c r="A69" s="103"/>
      <c r="B69" s="932" t="s">
        <v>80</v>
      </c>
      <c r="C69" s="933"/>
      <c r="D69" s="331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332"/>
      <c r="Q69" s="105"/>
      <c r="R69" s="333"/>
      <c r="S69" s="333"/>
      <c r="T69" s="333"/>
      <c r="U69" s="333"/>
      <c r="V69" s="333"/>
      <c r="W69" s="333"/>
      <c r="X69" s="333"/>
      <c r="Y69" s="333"/>
      <c r="Z69" s="333"/>
      <c r="AA69" s="333"/>
      <c r="AB69" s="333"/>
      <c r="AC69" s="333"/>
      <c r="AD69" s="334"/>
      <c r="AE69" s="106"/>
      <c r="AF69" s="333">
        <f t="shared" ref="AF69:AQ69" si="140">AF68-AF37</f>
        <v>2047</v>
      </c>
      <c r="AG69" s="333">
        <f t="shared" si="140"/>
        <v>-3571</v>
      </c>
      <c r="AH69" s="333">
        <f t="shared" si="140"/>
        <v>-219</v>
      </c>
      <c r="AI69" s="333">
        <f t="shared" si="140"/>
        <v>-1735</v>
      </c>
      <c r="AJ69" s="333">
        <f t="shared" si="140"/>
        <v>-2447</v>
      </c>
      <c r="AK69" s="333">
        <f t="shared" si="140"/>
        <v>675</v>
      </c>
      <c r="AL69" s="333">
        <f t="shared" si="140"/>
        <v>-9703</v>
      </c>
      <c r="AM69" s="333">
        <f t="shared" si="140"/>
        <v>-52075</v>
      </c>
      <c r="AN69" s="333">
        <f t="shared" si="140"/>
        <v>-59487.333333333343</v>
      </c>
      <c r="AO69" s="333">
        <f t="shared" si="140"/>
        <v>-15063</v>
      </c>
      <c r="AP69" s="333">
        <f t="shared" si="140"/>
        <v>-23043</v>
      </c>
      <c r="AQ69" s="333">
        <f t="shared" si="140"/>
        <v>-11563</v>
      </c>
      <c r="AR69" s="107">
        <f t="shared" si="130"/>
        <v>-176184.33333333334</v>
      </c>
      <c r="AS69" s="106"/>
      <c r="AT69" s="333">
        <f t="shared" ref="AT69:BE69" si="141">AT68-AT37</f>
        <v>8451.75</v>
      </c>
      <c r="AU69" s="333">
        <f t="shared" si="141"/>
        <v>-37227.103448275855</v>
      </c>
      <c r="AV69" s="333">
        <f t="shared" si="141"/>
        <v>-6779.1379310344782</v>
      </c>
      <c r="AW69" s="333">
        <f t="shared" si="141"/>
        <v>-22342.137931034478</v>
      </c>
      <c r="AX69" s="333">
        <f t="shared" si="141"/>
        <v>4719.0344827586232</v>
      </c>
      <c r="AY69" s="333">
        <f t="shared" si="141"/>
        <v>-14182.777777777781</v>
      </c>
      <c r="AZ69" s="333">
        <f t="shared" si="141"/>
        <v>-6630.777777777781</v>
      </c>
      <c r="BA69" s="333">
        <f t="shared" si="141"/>
        <v>-77771.296296296292</v>
      </c>
      <c r="BB69" s="333">
        <f t="shared" si="141"/>
        <v>-51486.777777777781</v>
      </c>
      <c r="BC69" s="333">
        <f t="shared" si="141"/>
        <v>-99233.290755657828</v>
      </c>
      <c r="BD69" s="333">
        <f t="shared" si="141"/>
        <v>5175.413118527038</v>
      </c>
      <c r="BE69" s="333">
        <f t="shared" si="141"/>
        <v>5840.3870349060235</v>
      </c>
      <c r="BF69" s="108">
        <f t="shared" si="105"/>
        <v>-291466.71505944064</v>
      </c>
      <c r="BG69" s="106"/>
      <c r="BH69" s="333">
        <f t="shared" ref="BH69:BQ69" si="142">BH68-BH34</f>
        <v>-6365</v>
      </c>
      <c r="BI69" s="333">
        <f t="shared" si="142"/>
        <v>-8486.3333333333285</v>
      </c>
      <c r="BJ69" s="333">
        <f t="shared" si="142"/>
        <v>23180.925925925927</v>
      </c>
      <c r="BK69" s="333">
        <f t="shared" si="142"/>
        <v>-44486.740740740745</v>
      </c>
      <c r="BL69" s="333">
        <f t="shared" si="142"/>
        <v>5926.148148148146</v>
      </c>
      <c r="BM69" s="333">
        <f t="shared" si="142"/>
        <v>10043.740740740745</v>
      </c>
      <c r="BN69" s="333">
        <f t="shared" si="142"/>
        <v>-4917.555555555562</v>
      </c>
      <c r="BO69" s="333">
        <f t="shared" si="142"/>
        <v>3071.6218888889125</v>
      </c>
      <c r="BP69" s="333">
        <f t="shared" si="142"/>
        <v>4652.2504629629548</v>
      </c>
      <c r="BQ69" s="333">
        <f t="shared" si="142"/>
        <v>29010</v>
      </c>
      <c r="BR69" s="108"/>
      <c r="BS69" s="108"/>
      <c r="BT69" s="108">
        <f t="shared" si="137"/>
        <v>11629.05753703705</v>
      </c>
      <c r="BU69" s="28"/>
      <c r="BV69" s="333">
        <v>124435</v>
      </c>
      <c r="BW69" s="333">
        <v>117564</v>
      </c>
      <c r="BX69" s="333">
        <v>133262</v>
      </c>
      <c r="BY69" s="333">
        <v>110312</v>
      </c>
      <c r="BZ69" s="108">
        <v>101441</v>
      </c>
      <c r="CA69" s="108">
        <v>67535</v>
      </c>
      <c r="CB69" s="108">
        <v>155594</v>
      </c>
      <c r="CC69" s="108"/>
      <c r="CD69" s="108"/>
      <c r="CE69" s="108"/>
      <c r="CF69" s="108"/>
      <c r="CG69" s="108"/>
      <c r="CH69" s="108">
        <f t="shared" si="139"/>
        <v>810143</v>
      </c>
      <c r="CJ69" s="333">
        <v>159683</v>
      </c>
      <c r="CK69" s="333">
        <v>182683</v>
      </c>
      <c r="CL69" s="333">
        <v>137562</v>
      </c>
      <c r="CM69" s="333">
        <v>131937</v>
      </c>
      <c r="CN69" s="108"/>
      <c r="CO69" s="108"/>
      <c r="CP69" s="108"/>
      <c r="CQ69" s="108"/>
      <c r="CR69" s="108"/>
      <c r="CS69" s="108"/>
      <c r="CT69" s="108"/>
      <c r="CU69" s="108"/>
      <c r="CV69" s="108"/>
      <c r="CW69" s="758"/>
      <c r="CX69" s="892"/>
      <c r="CY69" s="892"/>
      <c r="CZ69" s="892"/>
      <c r="DA69" s="892"/>
      <c r="DB69" s="893"/>
      <c r="DC69" s="893"/>
      <c r="DD69" s="893"/>
      <c r="DE69" s="893"/>
      <c r="DF69" s="893"/>
      <c r="DG69" s="893"/>
      <c r="DH69" s="893"/>
      <c r="DI69" s="893"/>
      <c r="DJ69" s="108"/>
      <c r="DK69" s="948"/>
      <c r="DL69" s="892"/>
      <c r="DM69" s="892"/>
      <c r="DN69" s="892"/>
      <c r="DO69" s="892"/>
      <c r="DP69" s="893"/>
      <c r="DQ69" s="893"/>
      <c r="DR69" s="893"/>
      <c r="DS69" s="893"/>
      <c r="DT69" s="893"/>
      <c r="DU69" s="893"/>
      <c r="DV69" s="893"/>
      <c r="DW69" s="893"/>
      <c r="DX69" s="108"/>
    </row>
    <row r="70" spans="1:129" ht="15.75" customHeight="1">
      <c r="A70" s="94"/>
      <c r="B70" s="935" t="s">
        <v>81</v>
      </c>
      <c r="C70" s="934"/>
      <c r="D70" s="313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314"/>
      <c r="Q70" s="90"/>
      <c r="R70" s="316"/>
      <c r="S70" s="316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5"/>
      <c r="AE70" s="23"/>
      <c r="AF70" s="316">
        <v>26171</v>
      </c>
      <c r="AG70" s="316">
        <v>21736</v>
      </c>
      <c r="AH70" s="316">
        <v>10736</v>
      </c>
      <c r="AI70" s="316">
        <v>15851</v>
      </c>
      <c r="AJ70" s="316">
        <v>30248</v>
      </c>
      <c r="AK70" s="316">
        <v>34072</v>
      </c>
      <c r="AL70" s="316">
        <v>37481</v>
      </c>
      <c r="AM70" s="91">
        <v>32645</v>
      </c>
      <c r="AN70" s="91">
        <v>30252</v>
      </c>
      <c r="AO70" s="91">
        <v>39494</v>
      </c>
      <c r="AP70" s="91">
        <v>42389</v>
      </c>
      <c r="AQ70" s="91">
        <v>55547</v>
      </c>
      <c r="AR70" s="92">
        <f t="shared" si="130"/>
        <v>376622</v>
      </c>
      <c r="AS70" s="23"/>
      <c r="AT70" s="91">
        <v>30298</v>
      </c>
      <c r="AU70" s="91">
        <v>27364</v>
      </c>
      <c r="AV70" s="91">
        <v>32595</v>
      </c>
      <c r="AW70" s="91">
        <v>28643</v>
      </c>
      <c r="AX70" s="91">
        <v>32208</v>
      </c>
      <c r="AY70" s="91">
        <v>30601</v>
      </c>
      <c r="AZ70" s="91">
        <v>38882</v>
      </c>
      <c r="BA70" s="91">
        <v>30743</v>
      </c>
      <c r="BB70" s="91">
        <f>24621+1200</f>
        <v>25821</v>
      </c>
      <c r="BC70" s="91">
        <v>31662</v>
      </c>
      <c r="BD70" s="91">
        <v>37222</v>
      </c>
      <c r="BE70" s="91">
        <v>53667</v>
      </c>
      <c r="BF70" s="91">
        <f t="shared" si="105"/>
        <v>399706</v>
      </c>
      <c r="BG70" s="93">
        <f>BF70/AR70-1</f>
        <v>6.1292224033646425E-2</v>
      </c>
      <c r="BH70" s="91">
        <v>34097</v>
      </c>
      <c r="BI70" s="91">
        <v>25734</v>
      </c>
      <c r="BJ70" s="91">
        <v>34274</v>
      </c>
      <c r="BK70" s="91">
        <v>28838</v>
      </c>
      <c r="BL70" s="91">
        <v>32785</v>
      </c>
      <c r="BM70" s="91">
        <v>38470</v>
      </c>
      <c r="BN70" s="91">
        <v>48365</v>
      </c>
      <c r="BO70" s="91">
        <v>33280</v>
      </c>
      <c r="BP70" s="91">
        <v>34203</v>
      </c>
      <c r="BQ70" s="91">
        <v>35184</v>
      </c>
      <c r="BR70" s="91">
        <v>34873</v>
      </c>
      <c r="BS70" s="91">
        <v>48960</v>
      </c>
      <c r="BT70" s="91">
        <f t="shared" si="137"/>
        <v>429063</v>
      </c>
      <c r="BU70" s="28"/>
      <c r="BV70" s="91">
        <v>38900</v>
      </c>
      <c r="BW70" s="91">
        <v>31376</v>
      </c>
      <c r="BX70" s="91">
        <v>29886</v>
      </c>
      <c r="BY70" s="91">
        <v>30671</v>
      </c>
      <c r="BZ70" s="91">
        <v>34553</v>
      </c>
      <c r="CA70" s="91">
        <v>36515</v>
      </c>
      <c r="CB70" s="91">
        <v>38915</v>
      </c>
      <c r="CC70" s="91">
        <v>34615</v>
      </c>
      <c r="CD70" s="91">
        <v>29617</v>
      </c>
      <c r="CE70" s="91">
        <v>34538</v>
      </c>
      <c r="CF70" s="91">
        <v>45914</v>
      </c>
      <c r="CG70" s="91">
        <v>60875</v>
      </c>
      <c r="CH70" s="91">
        <f t="shared" si="139"/>
        <v>446375</v>
      </c>
      <c r="CJ70" s="91">
        <v>37717</v>
      </c>
      <c r="CK70" s="91"/>
      <c r="CL70" s="91"/>
      <c r="CM70" s="91"/>
      <c r="CN70" s="91"/>
      <c r="CO70" s="91"/>
      <c r="CP70" s="91"/>
      <c r="CQ70" s="91"/>
      <c r="CR70" s="91"/>
      <c r="CS70" s="91"/>
      <c r="CT70" s="91"/>
      <c r="CU70" s="91"/>
      <c r="CV70" s="91"/>
      <c r="CW70" s="758"/>
      <c r="CX70" s="884">
        <v>22115</v>
      </c>
      <c r="CY70" s="884"/>
      <c r="CZ70" s="884"/>
      <c r="DA70" s="884"/>
      <c r="DB70" s="884"/>
      <c r="DC70" s="884"/>
      <c r="DD70" s="884"/>
      <c r="DE70" s="884"/>
      <c r="DF70" s="884"/>
      <c r="DG70" s="884"/>
      <c r="DH70" s="884"/>
      <c r="DI70" s="884"/>
      <c r="DJ70" s="91"/>
      <c r="DK70" s="948"/>
      <c r="DL70" s="884">
        <v>22115</v>
      </c>
      <c r="DM70" s="884"/>
      <c r="DN70" s="884"/>
      <c r="DO70" s="884"/>
      <c r="DP70" s="884"/>
      <c r="DQ70" s="884"/>
      <c r="DR70" s="884"/>
      <c r="DS70" s="884"/>
      <c r="DT70" s="884"/>
      <c r="DU70" s="884"/>
      <c r="DV70" s="884"/>
      <c r="DW70" s="884"/>
      <c r="DX70" s="91"/>
    </row>
    <row r="71" spans="1:129" ht="18.75">
      <c r="A71" s="103"/>
      <c r="B71" s="932" t="s">
        <v>82</v>
      </c>
      <c r="C71" s="933"/>
      <c r="D71" s="331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332"/>
      <c r="Q71" s="105"/>
      <c r="R71" s="333"/>
      <c r="S71" s="333"/>
      <c r="T71" s="333"/>
      <c r="U71" s="333"/>
      <c r="V71" s="333"/>
      <c r="W71" s="333"/>
      <c r="X71" s="333"/>
      <c r="Y71" s="333"/>
      <c r="Z71" s="333"/>
      <c r="AA71" s="333"/>
      <c r="AB71" s="333"/>
      <c r="AC71" s="333"/>
      <c r="AD71" s="334"/>
      <c r="AE71" s="106"/>
      <c r="AF71" s="333">
        <f t="shared" ref="AF71:AQ71" si="143">AF70-AF61</f>
        <v>-12329</v>
      </c>
      <c r="AG71" s="333">
        <f t="shared" si="143"/>
        <v>-664</v>
      </c>
      <c r="AH71" s="333">
        <f t="shared" si="143"/>
        <v>65</v>
      </c>
      <c r="AI71" s="333">
        <f t="shared" si="143"/>
        <v>-246</v>
      </c>
      <c r="AJ71" s="333">
        <f t="shared" si="143"/>
        <v>-30</v>
      </c>
      <c r="AK71" s="333">
        <f t="shared" si="143"/>
        <v>5512</v>
      </c>
      <c r="AL71" s="333">
        <f t="shared" si="143"/>
        <v>-4219</v>
      </c>
      <c r="AM71" s="333">
        <f t="shared" si="143"/>
        <v>-6055</v>
      </c>
      <c r="AN71" s="333">
        <f t="shared" si="143"/>
        <v>-7048</v>
      </c>
      <c r="AO71" s="333">
        <f t="shared" si="143"/>
        <v>2094</v>
      </c>
      <c r="AP71" s="333">
        <f t="shared" si="143"/>
        <v>1749</v>
      </c>
      <c r="AQ71" s="333">
        <f t="shared" si="143"/>
        <v>1107</v>
      </c>
      <c r="AR71" s="107">
        <f t="shared" si="130"/>
        <v>-20064</v>
      </c>
      <c r="AS71" s="106"/>
      <c r="AT71" s="333">
        <f t="shared" ref="AT71:BE71" si="144">AT70-AT61</f>
        <v>-5855</v>
      </c>
      <c r="AU71" s="333">
        <f t="shared" si="144"/>
        <v>-7925</v>
      </c>
      <c r="AV71" s="333">
        <f t="shared" si="144"/>
        <v>-3277</v>
      </c>
      <c r="AW71" s="333">
        <f t="shared" si="144"/>
        <v>-9388</v>
      </c>
      <c r="AX71" s="333">
        <f t="shared" si="144"/>
        <v>-1358</v>
      </c>
      <c r="AY71" s="333">
        <f t="shared" si="144"/>
        <v>-2965</v>
      </c>
      <c r="AZ71" s="333">
        <f t="shared" si="144"/>
        <v>7986</v>
      </c>
      <c r="BA71" s="333">
        <f t="shared" si="144"/>
        <v>-403</v>
      </c>
      <c r="BB71" s="333">
        <f t="shared" si="144"/>
        <v>-6809</v>
      </c>
      <c r="BC71" s="333">
        <f t="shared" si="144"/>
        <v>-6900</v>
      </c>
      <c r="BD71" s="333">
        <f t="shared" si="144"/>
        <v>-4123</v>
      </c>
      <c r="BE71" s="333">
        <f t="shared" si="144"/>
        <v>4404</v>
      </c>
      <c r="BF71" s="108">
        <f t="shared" si="105"/>
        <v>-36613</v>
      </c>
      <c r="BG71" s="106"/>
      <c r="BH71" s="333">
        <f t="shared" ref="BH71:BQ71" si="145">BH70-BH61</f>
        <v>-2056</v>
      </c>
      <c r="BI71" s="333">
        <f t="shared" si="145"/>
        <v>-9555</v>
      </c>
      <c r="BJ71" s="333">
        <f t="shared" si="145"/>
        <v>-1598</v>
      </c>
      <c r="BK71" s="333">
        <f t="shared" si="145"/>
        <v>-9193</v>
      </c>
      <c r="BL71" s="333">
        <f t="shared" si="145"/>
        <v>-5785</v>
      </c>
      <c r="BM71" s="333">
        <f t="shared" si="145"/>
        <v>-757</v>
      </c>
      <c r="BN71" s="333">
        <f t="shared" si="145"/>
        <v>7237</v>
      </c>
      <c r="BO71" s="333">
        <f t="shared" si="145"/>
        <v>-4911</v>
      </c>
      <c r="BP71" s="333">
        <f t="shared" si="145"/>
        <v>-3988</v>
      </c>
      <c r="BQ71" s="333">
        <f t="shared" si="145"/>
        <v>-5041</v>
      </c>
      <c r="BR71" s="108"/>
      <c r="BS71" s="108"/>
      <c r="BT71" s="108">
        <f t="shared" si="137"/>
        <v>-35647</v>
      </c>
      <c r="BU71" s="28"/>
      <c r="BV71" s="333">
        <v>27740</v>
      </c>
      <c r="BW71" s="333">
        <v>23272</v>
      </c>
      <c r="BX71" s="333">
        <v>24576</v>
      </c>
      <c r="BY71" s="108">
        <v>26006</v>
      </c>
      <c r="BZ71" s="108">
        <v>30640</v>
      </c>
      <c r="CA71" s="108">
        <v>30640</v>
      </c>
      <c r="CB71" s="108">
        <v>29618</v>
      </c>
      <c r="CC71" s="108">
        <v>29686</v>
      </c>
      <c r="CD71" s="108">
        <v>29993</v>
      </c>
      <c r="CE71" s="108">
        <v>31540</v>
      </c>
      <c r="CF71" s="108">
        <v>38086</v>
      </c>
      <c r="CG71" s="108">
        <v>54003</v>
      </c>
      <c r="CH71" s="108">
        <f t="shared" si="139"/>
        <v>375800</v>
      </c>
      <c r="CJ71" s="333">
        <f>BV71*1.03</f>
        <v>28572.2</v>
      </c>
      <c r="CK71" s="333">
        <f>BW71*1.03</f>
        <v>23970.16</v>
      </c>
      <c r="CL71" s="333">
        <f t="shared" ref="CL71:CT71" si="146">BX71*1.03</f>
        <v>25313.279999999999</v>
      </c>
      <c r="CM71" s="333">
        <v>29046</v>
      </c>
      <c r="CN71" s="333">
        <f t="shared" si="146"/>
        <v>31559.200000000001</v>
      </c>
      <c r="CO71" s="333">
        <f t="shared" si="146"/>
        <v>31559.200000000001</v>
      </c>
      <c r="CP71" s="333">
        <f t="shared" si="146"/>
        <v>30506.54</v>
      </c>
      <c r="CQ71" s="333">
        <f t="shared" si="146"/>
        <v>30576.58</v>
      </c>
      <c r="CR71" s="333">
        <f t="shared" si="146"/>
        <v>30892.79</v>
      </c>
      <c r="CS71" s="333">
        <f t="shared" si="146"/>
        <v>32486.2</v>
      </c>
      <c r="CT71" s="333">
        <f t="shared" si="146"/>
        <v>39228.58</v>
      </c>
      <c r="CU71" s="333">
        <v>45000</v>
      </c>
      <c r="CV71" s="108">
        <f>SUM(CJ71:CU71)</f>
        <v>378710.73000000004</v>
      </c>
      <c r="CW71" s="758"/>
      <c r="CX71" s="892">
        <f>CJ71</f>
        <v>28572.2</v>
      </c>
      <c r="CY71" s="892">
        <f>CK71</f>
        <v>23970.16</v>
      </c>
      <c r="CZ71" s="892">
        <f t="shared" ref="CZ71:DI71" si="147">CL71</f>
        <v>25313.279999999999</v>
      </c>
      <c r="DA71" s="892">
        <f t="shared" si="147"/>
        <v>29046</v>
      </c>
      <c r="DB71" s="892">
        <f t="shared" si="147"/>
        <v>31559.200000000001</v>
      </c>
      <c r="DC71" s="892">
        <f t="shared" si="147"/>
        <v>31559.200000000001</v>
      </c>
      <c r="DD71" s="892">
        <f t="shared" si="147"/>
        <v>30506.54</v>
      </c>
      <c r="DE71" s="892">
        <f t="shared" si="147"/>
        <v>30576.58</v>
      </c>
      <c r="DF71" s="892">
        <f t="shared" si="147"/>
        <v>30892.79</v>
      </c>
      <c r="DG71" s="892">
        <f t="shared" si="147"/>
        <v>32486.2</v>
      </c>
      <c r="DH71" s="892">
        <f t="shared" si="147"/>
        <v>39228.58</v>
      </c>
      <c r="DI71" s="892">
        <f t="shared" si="147"/>
        <v>45000</v>
      </c>
      <c r="DJ71" s="108">
        <f>SUM(CX71:DI71)</f>
        <v>378710.73000000004</v>
      </c>
      <c r="DK71" s="952">
        <f>DJ71-CV71</f>
        <v>0</v>
      </c>
      <c r="DL71" s="892">
        <f>CX71</f>
        <v>28572.2</v>
      </c>
      <c r="DM71" s="892">
        <f>CY71</f>
        <v>23970.16</v>
      </c>
      <c r="DN71" s="892">
        <f t="shared" ref="DN71:DW71" si="148">CZ71</f>
        <v>25313.279999999999</v>
      </c>
      <c r="DO71" s="892">
        <f t="shared" si="148"/>
        <v>29046</v>
      </c>
      <c r="DP71" s="892">
        <f t="shared" si="148"/>
        <v>31559.200000000001</v>
      </c>
      <c r="DQ71" s="892">
        <f t="shared" si="148"/>
        <v>31559.200000000001</v>
      </c>
      <c r="DR71" s="892">
        <f t="shared" si="148"/>
        <v>30506.54</v>
      </c>
      <c r="DS71" s="892">
        <f t="shared" si="148"/>
        <v>30576.58</v>
      </c>
      <c r="DT71" s="892">
        <f t="shared" si="148"/>
        <v>30892.79</v>
      </c>
      <c r="DU71" s="892">
        <f t="shared" si="148"/>
        <v>32486.2</v>
      </c>
      <c r="DV71" s="892">
        <f t="shared" si="148"/>
        <v>39228.58</v>
      </c>
      <c r="DW71" s="892">
        <f t="shared" si="148"/>
        <v>45000</v>
      </c>
      <c r="DX71" s="108">
        <f>SUM(DL71:DW71)</f>
        <v>378710.73000000004</v>
      </c>
      <c r="DY71" s="598">
        <f>DX71-DJ71</f>
        <v>0</v>
      </c>
    </row>
    <row r="72" spans="1:129" ht="18.75">
      <c r="A72" s="103" t="s">
        <v>83</v>
      </c>
      <c r="B72" s="932" t="s">
        <v>84</v>
      </c>
      <c r="C72" s="933"/>
      <c r="D72" s="331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332"/>
      <c r="Q72" s="105"/>
      <c r="R72" s="333"/>
      <c r="S72" s="333"/>
      <c r="T72" s="333"/>
      <c r="U72" s="333"/>
      <c r="V72" s="333"/>
      <c r="W72" s="333"/>
      <c r="X72" s="333"/>
      <c r="Y72" s="333"/>
      <c r="Z72" s="333"/>
      <c r="AA72" s="333"/>
      <c r="AB72" s="333"/>
      <c r="AC72" s="333"/>
      <c r="AD72" s="334"/>
      <c r="AE72" s="106"/>
      <c r="AF72" s="333">
        <f>AF67-AF33</f>
        <v>-10282</v>
      </c>
      <c r="AG72" s="333">
        <f>AG67-AG33</f>
        <v>-4235</v>
      </c>
      <c r="AH72" s="333">
        <f>AH67-AH33</f>
        <v>-154</v>
      </c>
      <c r="AI72" s="333">
        <f>AI67-AI33</f>
        <v>-1981</v>
      </c>
      <c r="AJ72" s="333">
        <f>AJ67-AJ33</f>
        <v>-2477</v>
      </c>
      <c r="AK72" s="333">
        <f>AK67-AK33</f>
        <v>6187</v>
      </c>
      <c r="AL72" s="333">
        <f>AL67-AL33</f>
        <v>-13922</v>
      </c>
      <c r="AM72" s="333">
        <f>AM67-AM33</f>
        <v>-58130</v>
      </c>
      <c r="AN72" s="333">
        <f>AN67-AN33</f>
        <v>-66535.333333333343</v>
      </c>
      <c r="AO72" s="333">
        <f>AO67-AO33</f>
        <v>-12969</v>
      </c>
      <c r="AP72" s="333">
        <f>AP67-AP33</f>
        <v>-21294</v>
      </c>
      <c r="AQ72" s="333">
        <f>AQ67-AQ33</f>
        <v>-10456</v>
      </c>
      <c r="AR72" s="107">
        <f t="shared" si="130"/>
        <v>-196248.33333333334</v>
      </c>
      <c r="AS72" s="106"/>
      <c r="AT72" s="333">
        <f t="shared" ref="AT72:BE72" si="149">AT67-AT33</f>
        <v>2596.75</v>
      </c>
      <c r="AU72" s="333">
        <f t="shared" si="149"/>
        <v>-45152.103448275855</v>
      </c>
      <c r="AV72" s="333">
        <f t="shared" si="149"/>
        <v>-10056.137931034493</v>
      </c>
      <c r="AW72" s="333">
        <f t="shared" si="149"/>
        <v>-31730.137931034493</v>
      </c>
      <c r="AX72" s="333">
        <f t="shared" si="149"/>
        <v>3361.0344827586232</v>
      </c>
      <c r="AY72" s="333">
        <f t="shared" si="149"/>
        <v>-17147.777777777781</v>
      </c>
      <c r="AZ72" s="333">
        <f t="shared" si="149"/>
        <v>1355.222222222219</v>
      </c>
      <c r="BA72" s="333">
        <f t="shared" si="149"/>
        <v>-78174.296296296292</v>
      </c>
      <c r="BB72" s="333">
        <f t="shared" si="149"/>
        <v>-58295.777777777781</v>
      </c>
      <c r="BC72" s="333">
        <f t="shared" si="149"/>
        <v>-106133.29075565783</v>
      </c>
      <c r="BD72" s="333">
        <f t="shared" si="149"/>
        <v>1052.413118527038</v>
      </c>
      <c r="BE72" s="333">
        <f t="shared" si="149"/>
        <v>17507.387034906016</v>
      </c>
      <c r="BF72" s="108">
        <f t="shared" si="105"/>
        <v>-320816.71505944064</v>
      </c>
      <c r="BG72" s="106"/>
      <c r="BH72" s="333">
        <f t="shared" ref="BH72:BQ72" si="150">BH67-BH33</f>
        <v>-8421</v>
      </c>
      <c r="BI72" s="333">
        <f t="shared" si="150"/>
        <v>-18041.333333333314</v>
      </c>
      <c r="BJ72" s="333">
        <f t="shared" si="150"/>
        <v>21582.925925925927</v>
      </c>
      <c r="BK72" s="333">
        <f t="shared" si="150"/>
        <v>-53679.74074074073</v>
      </c>
      <c r="BL72" s="333">
        <f t="shared" si="150"/>
        <v>141.14814814814599</v>
      </c>
      <c r="BM72" s="333">
        <f t="shared" si="150"/>
        <v>9286.7407407407445</v>
      </c>
      <c r="BN72" s="333">
        <f t="shared" si="150"/>
        <v>2319.444444444438</v>
      </c>
      <c r="BO72" s="333">
        <f t="shared" si="150"/>
        <v>7351.6218888889125</v>
      </c>
      <c r="BP72" s="333">
        <f t="shared" si="150"/>
        <v>-1367.7495370370452</v>
      </c>
      <c r="BQ72" s="333">
        <f t="shared" si="150"/>
        <v>27459</v>
      </c>
      <c r="BR72" s="108"/>
      <c r="BS72" s="108"/>
      <c r="BT72" s="108">
        <f t="shared" si="137"/>
        <v>-13368.942462962921</v>
      </c>
      <c r="BU72" s="28"/>
      <c r="BV72" s="333"/>
      <c r="BW72" s="333"/>
      <c r="BX72" s="333"/>
      <c r="BY72" s="333"/>
      <c r="BZ72" s="108"/>
      <c r="CA72" s="108"/>
      <c r="CB72" s="108">
        <f>CB71+CB68</f>
        <v>193663</v>
      </c>
      <c r="CC72" s="108">
        <f>CC71+CC68</f>
        <v>177853</v>
      </c>
      <c r="CD72" s="108">
        <f t="shared" ref="CD72:CH72" si="151">CD71+CD68</f>
        <v>219708</v>
      </c>
      <c r="CE72" s="108">
        <f t="shared" si="151"/>
        <v>197028</v>
      </c>
      <c r="CF72" s="108">
        <f t="shared" si="151"/>
        <v>141915</v>
      </c>
      <c r="CG72" s="108">
        <f t="shared" si="151"/>
        <v>93970</v>
      </c>
      <c r="CH72" s="108"/>
      <c r="CJ72" s="333">
        <v>27785</v>
      </c>
      <c r="CK72" s="333">
        <v>23447</v>
      </c>
      <c r="CL72" s="333">
        <v>26944</v>
      </c>
      <c r="CM72" s="333"/>
      <c r="CN72" s="108"/>
      <c r="CO72" s="108"/>
      <c r="CP72" s="108"/>
      <c r="CQ72" s="108"/>
      <c r="CR72" s="108"/>
      <c r="CS72" s="108"/>
      <c r="CT72" s="108"/>
      <c r="CU72" s="108"/>
      <c r="CV72" s="108"/>
      <c r="CW72" s="758"/>
      <c r="CX72" s="892"/>
      <c r="CY72" s="892"/>
      <c r="CZ72" s="892"/>
      <c r="DA72" s="892"/>
      <c r="DB72" s="893"/>
      <c r="DC72" s="893"/>
      <c r="DD72" s="893"/>
      <c r="DE72" s="893"/>
      <c r="DF72" s="893"/>
      <c r="DG72" s="893"/>
      <c r="DH72" s="893"/>
      <c r="DI72" s="893"/>
      <c r="DJ72" s="108"/>
      <c r="DK72" s="948"/>
      <c r="DL72" s="892"/>
      <c r="DM72" s="892"/>
      <c r="DN72" s="892"/>
      <c r="DO72" s="892"/>
      <c r="DP72" s="893"/>
      <c r="DQ72" s="893"/>
      <c r="DR72" s="893"/>
      <c r="DS72" s="893"/>
      <c r="DT72" s="893"/>
      <c r="DU72" s="893"/>
      <c r="DV72" s="893"/>
      <c r="DW72" s="893"/>
      <c r="DX72" s="108"/>
    </row>
    <row r="73" spans="1:129" ht="18.75">
      <c r="A73" s="103" t="s">
        <v>85</v>
      </c>
      <c r="B73" s="932"/>
      <c r="C73" s="933"/>
      <c r="D73" s="331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332"/>
      <c r="Q73" s="105"/>
      <c r="R73" s="333"/>
      <c r="S73" s="333"/>
      <c r="T73" s="333"/>
      <c r="U73" s="333"/>
      <c r="V73" s="333"/>
      <c r="W73" s="333"/>
      <c r="X73" s="333"/>
      <c r="Y73" s="333"/>
      <c r="Z73" s="333"/>
      <c r="AA73" s="333"/>
      <c r="AB73" s="333"/>
      <c r="AC73" s="333"/>
      <c r="AD73" s="334"/>
      <c r="AE73" s="106"/>
      <c r="AF73" s="333">
        <f>AF68-AF34</f>
        <v>92193</v>
      </c>
      <c r="AG73" s="333">
        <f>AG68-AG34</f>
        <v>152006</v>
      </c>
      <c r="AH73" s="333">
        <f>AH68-AH34</f>
        <v>62734</v>
      </c>
      <c r="AI73" s="333">
        <f>AI68-AI34</f>
        <v>71526</v>
      </c>
      <c r="AJ73" s="333">
        <f>AJ68-AJ34</f>
        <v>89409</v>
      </c>
      <c r="AK73" s="333">
        <f>AK68-AK34</f>
        <v>120675</v>
      </c>
      <c r="AL73" s="333">
        <f>AL68-AL34</f>
        <v>100592</v>
      </c>
      <c r="AM73" s="333">
        <f>AM68-AM34</f>
        <v>148128</v>
      </c>
      <c r="AN73" s="333">
        <f>AN68-AN34</f>
        <v>164346</v>
      </c>
      <c r="AO73" s="333">
        <f>AO68-AO34</f>
        <v>203437</v>
      </c>
      <c r="AP73" s="333">
        <f>AP68-AP34</f>
        <v>64957</v>
      </c>
      <c r="AQ73" s="333">
        <f>AQ68-AQ34</f>
        <v>31837</v>
      </c>
      <c r="AR73" s="107">
        <f t="shared" si="130"/>
        <v>1301840</v>
      </c>
      <c r="AS73" s="106"/>
      <c r="AT73" s="338">
        <f t="shared" ref="AT73:BE73" si="152">AT72/AT33</f>
        <v>1.7000083470131603E-2</v>
      </c>
      <c r="AU73" s="338">
        <f t="shared" si="152"/>
        <v>-0.26792985919579565</v>
      </c>
      <c r="AV73" s="338">
        <f t="shared" si="152"/>
        <v>-6.5248272015318062E-2</v>
      </c>
      <c r="AW73" s="338">
        <f t="shared" si="152"/>
        <v>-0.19881644480138216</v>
      </c>
      <c r="AX73" s="338">
        <f t="shared" si="152"/>
        <v>2.798530764170884E-2</v>
      </c>
      <c r="AY73" s="338">
        <f t="shared" si="152"/>
        <v>-0.12395048084722922</v>
      </c>
      <c r="AZ73" s="338">
        <f t="shared" si="152"/>
        <v>8.1309864112464342E-3</v>
      </c>
      <c r="BA73" s="338">
        <f t="shared" si="152"/>
        <v>-0.32244495902957893</v>
      </c>
      <c r="BB73" s="338">
        <f t="shared" si="152"/>
        <v>-0.23949841829212068</v>
      </c>
      <c r="BC73" s="338">
        <f t="shared" si="152"/>
        <v>-0.41888939787658819</v>
      </c>
      <c r="BD73" s="338">
        <f t="shared" si="152"/>
        <v>7.8214003811977375E-3</v>
      </c>
      <c r="BE73" s="338">
        <f t="shared" si="152"/>
        <v>0.24086123043473662</v>
      </c>
      <c r="BF73" s="109">
        <f>AVERAGE(AT73:BE73)</f>
        <v>-0.11124823530991597</v>
      </c>
      <c r="BG73" s="106"/>
      <c r="BH73" s="338">
        <f t="shared" ref="BH73:BQ73" si="153">BH72/BH33</f>
        <v>-5.512821352117471E-2</v>
      </c>
      <c r="BI73" s="338">
        <f t="shared" si="153"/>
        <v>-0.12287867195499311</v>
      </c>
      <c r="BJ73" s="338">
        <f t="shared" si="153"/>
        <v>0.12581416416796784</v>
      </c>
      <c r="BK73" s="338">
        <f t="shared" si="153"/>
        <v>-0.33597769224938256</v>
      </c>
      <c r="BL73" s="338">
        <f t="shared" si="153"/>
        <v>1.0652943536044719E-3</v>
      </c>
      <c r="BM73" s="338">
        <f t="shared" si="153"/>
        <v>7.1488016002422286E-2</v>
      </c>
      <c r="BN73" s="338">
        <f t="shared" si="153"/>
        <v>1.3533646427895287E-2</v>
      </c>
      <c r="BO73" s="338">
        <f t="shared" si="153"/>
        <v>4.0944619366602007E-2</v>
      </c>
      <c r="BP73" s="338">
        <f t="shared" si="153"/>
        <v>-6.7692361075750926E-3</v>
      </c>
      <c r="BQ73" s="338">
        <f t="shared" si="153"/>
        <v>0.16757086626186191</v>
      </c>
      <c r="BR73" s="109"/>
      <c r="BS73" s="109"/>
      <c r="BT73" s="338">
        <f>BT72/BT33</f>
        <v>-7.1185036907011742E-3</v>
      </c>
      <c r="BU73" s="54"/>
      <c r="BV73" s="338"/>
      <c r="BW73" s="338"/>
      <c r="BX73" s="338"/>
      <c r="BY73" s="338"/>
      <c r="BZ73" s="109"/>
      <c r="CA73" s="109"/>
      <c r="CB73" s="109"/>
      <c r="CC73" s="109"/>
      <c r="CD73" s="109"/>
      <c r="CE73" s="109"/>
      <c r="CF73" s="109"/>
      <c r="CG73" s="109"/>
      <c r="CH73" s="109"/>
      <c r="CJ73" s="338"/>
      <c r="CK73" s="338"/>
      <c r="CL73" s="338"/>
      <c r="CM73" s="338"/>
      <c r="CN73" s="109"/>
      <c r="CO73" s="109"/>
      <c r="CP73" s="109"/>
      <c r="CQ73" s="109"/>
      <c r="CR73" s="109"/>
      <c r="CS73" s="109"/>
      <c r="CT73" s="109"/>
      <c r="CU73" s="109"/>
      <c r="CV73" s="109"/>
      <c r="CW73" s="758"/>
      <c r="CX73" s="894"/>
      <c r="CY73" s="894"/>
      <c r="CZ73" s="894"/>
      <c r="DA73" s="894"/>
      <c r="DB73" s="895"/>
      <c r="DC73" s="895"/>
      <c r="DD73" s="895"/>
      <c r="DE73" s="895"/>
      <c r="DF73" s="895"/>
      <c r="DG73" s="895"/>
      <c r="DH73" s="895"/>
      <c r="DI73" s="895"/>
      <c r="DJ73" s="109"/>
      <c r="DK73" s="948"/>
      <c r="DL73" s="894"/>
      <c r="DM73" s="894"/>
      <c r="DN73" s="894"/>
      <c r="DO73" s="894"/>
      <c r="DP73" s="895"/>
      <c r="DQ73" s="895"/>
      <c r="DR73" s="895"/>
      <c r="DS73" s="895"/>
      <c r="DT73" s="895"/>
      <c r="DU73" s="895"/>
      <c r="DV73" s="895"/>
      <c r="DW73" s="895"/>
      <c r="DX73" s="109"/>
    </row>
    <row r="74" spans="1:129" ht="14.25" customHeight="1">
      <c r="A74" s="55" t="s">
        <v>86</v>
      </c>
      <c r="B74" s="766" t="s">
        <v>124</v>
      </c>
      <c r="C74" s="767"/>
      <c r="D74" s="768"/>
      <c r="E74" s="769"/>
      <c r="F74" s="769"/>
      <c r="G74" s="769"/>
      <c r="H74" s="769"/>
      <c r="I74" s="769"/>
      <c r="J74" s="769"/>
      <c r="K74" s="769"/>
      <c r="L74" s="769"/>
      <c r="M74" s="769"/>
      <c r="N74" s="769"/>
      <c r="O74" s="769"/>
      <c r="P74" s="770"/>
      <c r="Q74" s="771"/>
      <c r="R74" s="768"/>
      <c r="S74" s="772"/>
      <c r="T74" s="772"/>
      <c r="U74" s="772"/>
      <c r="V74" s="772"/>
      <c r="W74" s="773"/>
      <c r="X74" s="773"/>
      <c r="Y74" s="773"/>
      <c r="Z74" s="773"/>
      <c r="AA74" s="773"/>
      <c r="AB74" s="773"/>
      <c r="AC74" s="773"/>
      <c r="AD74" s="774"/>
      <c r="AE74" s="775"/>
      <c r="AF74" s="776"/>
      <c r="AG74" s="772"/>
      <c r="AH74" s="772"/>
      <c r="AI74" s="772"/>
      <c r="AJ74" s="772"/>
      <c r="AK74" s="772"/>
      <c r="AL74" s="772"/>
      <c r="AM74" s="772"/>
      <c r="AN74" s="772"/>
      <c r="AO74" s="772"/>
      <c r="AP74" s="772"/>
      <c r="AQ74" s="772"/>
      <c r="AR74" s="772"/>
      <c r="AS74" s="775"/>
      <c r="AT74" s="772"/>
      <c r="AU74" s="772"/>
      <c r="AV74" s="772"/>
      <c r="AW74" s="772"/>
      <c r="AX74" s="772"/>
      <c r="AY74" s="772"/>
      <c r="AZ74" s="772"/>
      <c r="BA74" s="772"/>
      <c r="BB74" s="772"/>
      <c r="BC74" s="772"/>
      <c r="BD74" s="772"/>
      <c r="BE74" s="772"/>
      <c r="BF74" s="772"/>
      <c r="BG74" s="775"/>
      <c r="BH74" s="772"/>
      <c r="BI74" s="772"/>
      <c r="BJ74" s="772"/>
      <c r="BK74" s="772"/>
      <c r="BL74" s="772"/>
      <c r="BM74" s="772"/>
      <c r="BN74" s="772"/>
      <c r="BO74" s="772"/>
      <c r="BP74" s="772"/>
      <c r="BQ74" s="772"/>
      <c r="BR74" s="772"/>
      <c r="BS74" s="772"/>
      <c r="BT74" s="772"/>
      <c r="BU74" s="777"/>
      <c r="BV74" s="772"/>
      <c r="BW74" s="772"/>
      <c r="BX74" s="772"/>
      <c r="BY74" s="772"/>
      <c r="BZ74" s="772"/>
      <c r="CA74" s="772"/>
      <c r="CB74" s="772"/>
      <c r="CC74" s="772"/>
      <c r="CD74" s="772"/>
      <c r="CE74" s="772"/>
      <c r="CF74" s="772"/>
      <c r="CG74" s="772"/>
      <c r="CH74" s="772"/>
      <c r="CI74" s="779"/>
      <c r="CJ74" s="772"/>
      <c r="CK74" s="772"/>
      <c r="CL74" s="772"/>
      <c r="CM74" s="772"/>
      <c r="CN74" s="772"/>
      <c r="CO74" s="772"/>
      <c r="CP74" s="772"/>
      <c r="CQ74" s="772"/>
      <c r="CR74" s="772"/>
      <c r="CS74" s="772"/>
      <c r="CT74" s="772">
        <f>SUM(CT76:CT78)</f>
        <v>164656.85004219407</v>
      </c>
      <c r="CU74" s="772">
        <f>SUM(CU76:CU78)</f>
        <v>91745.822784810123</v>
      </c>
      <c r="CV74" s="772"/>
      <c r="CW74" s="869">
        <f>SUM(CX74:DC74)</f>
        <v>996971.73999999987</v>
      </c>
      <c r="CX74" s="896">
        <f>SUM(CX76:CX78)</f>
        <v>194469.46000000002</v>
      </c>
      <c r="CY74" s="896">
        <f t="shared" ref="CY74:DJ74" si="154">SUM(CY76:CY78)</f>
        <v>159466.88999999998</v>
      </c>
      <c r="CZ74" s="896">
        <f t="shared" si="154"/>
        <v>208203.57</v>
      </c>
      <c r="DA74" s="896">
        <f t="shared" si="154"/>
        <v>158532.44</v>
      </c>
      <c r="DB74" s="896">
        <f t="shared" si="154"/>
        <v>157404.75999999998</v>
      </c>
      <c r="DC74" s="896">
        <f t="shared" si="154"/>
        <v>118894.62</v>
      </c>
      <c r="DD74" s="896">
        <f t="shared" si="154"/>
        <v>211625.73</v>
      </c>
      <c r="DE74" s="896">
        <f t="shared" si="154"/>
        <v>208193.11</v>
      </c>
      <c r="DF74" s="896">
        <f t="shared" si="154"/>
        <v>269889.13</v>
      </c>
      <c r="DG74" s="896">
        <f t="shared" si="154"/>
        <v>258868.84085232066</v>
      </c>
      <c r="DH74" s="896">
        <f t="shared" si="154"/>
        <v>178376.53444641351</v>
      </c>
      <c r="DI74" s="896">
        <f t="shared" si="154"/>
        <v>114212.18776329115</v>
      </c>
      <c r="DJ74" s="778">
        <f>SUM(CX74:DI74)</f>
        <v>2238137.2730620252</v>
      </c>
      <c r="DK74" s="948"/>
      <c r="DL74" s="896">
        <f>SUM(DL76:DL78)</f>
        <v>213916.40600000005</v>
      </c>
      <c r="DM74" s="896">
        <f t="shared" ref="DM74:DX74" si="155">SUM(DM76:DM78)</f>
        <v>175413.579</v>
      </c>
      <c r="DN74" s="896">
        <f t="shared" si="155"/>
        <v>229023.92700000003</v>
      </c>
      <c r="DO74" s="896">
        <f t="shared" si="155"/>
        <v>174385.68400000001</v>
      </c>
      <c r="DP74" s="896">
        <f t="shared" si="155"/>
        <v>173145.236</v>
      </c>
      <c r="DQ74" s="896">
        <f t="shared" si="155"/>
        <v>130784.08200000001</v>
      </c>
      <c r="DR74" s="896">
        <f t="shared" si="155"/>
        <v>232788.30300000004</v>
      </c>
      <c r="DS74" s="896">
        <f t="shared" si="155"/>
        <v>229012.421</v>
      </c>
      <c r="DT74" s="896">
        <f t="shared" si="155"/>
        <v>296878.04300000001</v>
      </c>
      <c r="DU74" s="896">
        <f t="shared" si="155"/>
        <v>284755.72493755276</v>
      </c>
      <c r="DV74" s="896">
        <f t="shared" si="155"/>
        <v>196214.18789105487</v>
      </c>
      <c r="DW74" s="896">
        <f t="shared" si="155"/>
        <v>125633.40653962028</v>
      </c>
      <c r="DX74" s="778">
        <f>SUM(DL74:DW74)</f>
        <v>2461951.0003682282</v>
      </c>
    </row>
    <row r="75" spans="1:129" ht="21" hidden="1" customHeight="1">
      <c r="A75" s="55"/>
      <c r="B75" s="766" t="s">
        <v>87</v>
      </c>
      <c r="C75" s="767"/>
      <c r="D75" s="768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71"/>
      <c r="R75" s="768"/>
      <c r="S75" s="772"/>
      <c r="T75" s="772"/>
      <c r="U75" s="772"/>
      <c r="V75" s="772"/>
      <c r="W75" s="773"/>
      <c r="X75" s="773"/>
      <c r="Y75" s="773"/>
      <c r="Z75" s="773"/>
      <c r="AA75" s="773"/>
      <c r="AB75" s="773"/>
      <c r="AC75" s="773"/>
      <c r="AD75" s="774"/>
      <c r="AE75" s="775"/>
      <c r="AF75" s="776"/>
      <c r="AG75" s="776"/>
      <c r="AH75" s="776"/>
      <c r="AI75" s="776"/>
      <c r="AJ75" s="776"/>
      <c r="AK75" s="776"/>
      <c r="AL75" s="776"/>
      <c r="AM75" s="776"/>
      <c r="AN75" s="776"/>
      <c r="AO75" s="776"/>
      <c r="AP75" s="776"/>
      <c r="AQ75" s="776"/>
      <c r="AR75" s="772"/>
      <c r="AS75" s="775"/>
      <c r="AT75" s="776"/>
      <c r="AU75" s="776"/>
      <c r="AV75" s="776"/>
      <c r="AW75" s="776"/>
      <c r="AX75" s="776"/>
      <c r="AY75" s="776"/>
      <c r="AZ75" s="776"/>
      <c r="BA75" s="776"/>
      <c r="BB75" s="776"/>
      <c r="BC75" s="776"/>
      <c r="BD75" s="776"/>
      <c r="BE75" s="776"/>
      <c r="BF75" s="772"/>
      <c r="BG75" s="775"/>
      <c r="BH75" s="776"/>
      <c r="BI75" s="776"/>
      <c r="BJ75" s="776"/>
      <c r="BK75" s="776"/>
      <c r="BL75" s="776"/>
      <c r="BM75" s="776"/>
      <c r="BN75" s="776"/>
      <c r="BO75" s="776"/>
      <c r="BP75" s="776"/>
      <c r="BQ75" s="776"/>
      <c r="BR75" s="776"/>
      <c r="BS75" s="776"/>
      <c r="BT75" s="776"/>
      <c r="BU75" s="777"/>
      <c r="BV75" s="778">
        <v>152642</v>
      </c>
      <c r="BW75" s="778">
        <v>141495</v>
      </c>
      <c r="BX75" s="778">
        <v>158268</v>
      </c>
      <c r="BY75" s="778">
        <v>135742</v>
      </c>
      <c r="BZ75" s="778">
        <v>130614</v>
      </c>
      <c r="CA75" s="778">
        <v>97296</v>
      </c>
      <c r="CB75" s="778">
        <v>180319</v>
      </c>
      <c r="CC75" s="778">
        <v>175137</v>
      </c>
      <c r="CD75" s="778">
        <v>216035</v>
      </c>
      <c r="CE75" s="778">
        <v>188049</v>
      </c>
      <c r="CF75" s="778">
        <v>139782</v>
      </c>
      <c r="CG75" s="778">
        <v>90604</v>
      </c>
      <c r="CH75" s="776">
        <f>SUM(BV75:CG75)</f>
        <v>1805983</v>
      </c>
      <c r="CI75" s="779"/>
      <c r="CJ75" s="778" t="s">
        <v>88</v>
      </c>
      <c r="CK75" s="778">
        <f t="shared" ref="CK75:CV75" si="156">BW75</f>
        <v>141495</v>
      </c>
      <c r="CL75" s="778">
        <f t="shared" si="156"/>
        <v>158268</v>
      </c>
      <c r="CM75" s="778">
        <f t="shared" si="156"/>
        <v>135742</v>
      </c>
      <c r="CN75" s="778">
        <f t="shared" si="156"/>
        <v>130614</v>
      </c>
      <c r="CO75" s="778">
        <f t="shared" si="156"/>
        <v>97296</v>
      </c>
      <c r="CP75" s="778">
        <f t="shared" si="156"/>
        <v>180319</v>
      </c>
      <c r="CQ75" s="778">
        <f t="shared" si="156"/>
        <v>175137</v>
      </c>
      <c r="CR75" s="778">
        <f t="shared" si="156"/>
        <v>216035</v>
      </c>
      <c r="CS75" s="778">
        <f>CS76</f>
        <v>237402.61350210969</v>
      </c>
      <c r="CT75" s="778">
        <f>CT76</f>
        <v>113946.85004219407</v>
      </c>
      <c r="CU75" s="778">
        <f t="shared" ref="CU75:CV75" si="157">CU76</f>
        <v>79742.822784810123</v>
      </c>
      <c r="CV75" s="778">
        <f t="shared" si="156"/>
        <v>1805983</v>
      </c>
      <c r="CW75" s="758"/>
      <c r="CX75" s="897"/>
      <c r="CY75" s="897"/>
      <c r="CZ75" s="897"/>
      <c r="DA75" s="897"/>
      <c r="DB75" s="897"/>
      <c r="DC75" s="897"/>
      <c r="DD75" s="897"/>
      <c r="DE75" s="897"/>
      <c r="DF75" s="897"/>
      <c r="DG75" s="897"/>
      <c r="DH75" s="897"/>
      <c r="DI75" s="897">
        <v>114212.18776329115</v>
      </c>
      <c r="DJ75" s="778"/>
      <c r="DK75" s="948"/>
      <c r="DL75" s="897"/>
      <c r="DM75" s="897"/>
      <c r="DN75" s="897"/>
      <c r="DO75" s="897"/>
      <c r="DP75" s="897"/>
      <c r="DQ75" s="897"/>
      <c r="DR75" s="897"/>
      <c r="DS75" s="897"/>
      <c r="DT75" s="897"/>
      <c r="DU75" s="897"/>
      <c r="DV75" s="897"/>
      <c r="DW75" s="897">
        <v>114212.18776329115</v>
      </c>
      <c r="DX75" s="778"/>
    </row>
    <row r="76" spans="1:129" ht="22.5" customHeight="1">
      <c r="A76" s="765"/>
      <c r="B76" s="766" t="s">
        <v>125</v>
      </c>
      <c r="C76" s="767"/>
      <c r="D76" s="768"/>
      <c r="E76" s="769"/>
      <c r="F76" s="769"/>
      <c r="G76" s="769"/>
      <c r="H76" s="769"/>
      <c r="I76" s="769"/>
      <c r="J76" s="769"/>
      <c r="K76" s="769"/>
      <c r="L76" s="769"/>
      <c r="M76" s="769"/>
      <c r="N76" s="769"/>
      <c r="O76" s="769"/>
      <c r="P76" s="770"/>
      <c r="Q76" s="771"/>
      <c r="R76" s="768"/>
      <c r="S76" s="772"/>
      <c r="T76" s="772"/>
      <c r="U76" s="772"/>
      <c r="V76" s="772"/>
      <c r="W76" s="773"/>
      <c r="X76" s="773"/>
      <c r="Y76" s="773"/>
      <c r="Z76" s="773"/>
      <c r="AA76" s="773"/>
      <c r="AB76" s="773"/>
      <c r="AC76" s="773"/>
      <c r="AD76" s="774"/>
      <c r="AE76" s="775"/>
      <c r="AF76" s="776"/>
      <c r="AG76" s="776"/>
      <c r="AH76" s="776"/>
      <c r="AI76" s="776"/>
      <c r="AJ76" s="776"/>
      <c r="AK76" s="776"/>
      <c r="AL76" s="776"/>
      <c r="AM76" s="776"/>
      <c r="AN76" s="776"/>
      <c r="AO76" s="776"/>
      <c r="AP76" s="776"/>
      <c r="AQ76" s="776"/>
      <c r="AR76" s="772"/>
      <c r="AS76" s="775"/>
      <c r="AT76" s="776"/>
      <c r="AU76" s="776"/>
      <c r="AV76" s="776"/>
      <c r="AW76" s="776"/>
      <c r="AX76" s="776"/>
      <c r="AY76" s="776"/>
      <c r="AZ76" s="776"/>
      <c r="BA76" s="776"/>
      <c r="BB76" s="776"/>
      <c r="BC76" s="776"/>
      <c r="BD76" s="776"/>
      <c r="BE76" s="776"/>
      <c r="BF76" s="772"/>
      <c r="BG76" s="775"/>
      <c r="BH76" s="776"/>
      <c r="BI76" s="776"/>
      <c r="BJ76" s="776"/>
      <c r="BK76" s="776"/>
      <c r="BL76" s="776"/>
      <c r="BM76" s="776"/>
      <c r="BN76" s="776"/>
      <c r="BO76" s="776"/>
      <c r="BP76" s="776"/>
      <c r="BQ76" s="776"/>
      <c r="BR76" s="776"/>
      <c r="BS76" s="776"/>
      <c r="BT76" s="776"/>
      <c r="BU76" s="777"/>
      <c r="BV76" s="778">
        <f>BV33</f>
        <v>161157.867486095</v>
      </c>
      <c r="BW76" s="778">
        <f>BW33</f>
        <v>155966.83045180296</v>
      </c>
      <c r="BX76" s="778">
        <f t="shared" ref="BX76:CH76" si="158">BX33</f>
        <v>196111.53846153844</v>
      </c>
      <c r="BY76" s="778">
        <f t="shared" si="158"/>
        <v>159169.23076923078</v>
      </c>
      <c r="BZ76" s="778">
        <f t="shared" si="158"/>
        <v>151482.39341785663</v>
      </c>
      <c r="CA76" s="778">
        <f t="shared" si="158"/>
        <v>141442.12910096842</v>
      </c>
      <c r="CB76" s="778">
        <f t="shared" si="158"/>
        <v>176986.21444761599</v>
      </c>
      <c r="CC76" s="778">
        <f t="shared" si="158"/>
        <v>201301.08944885107</v>
      </c>
      <c r="CD76" s="778">
        <f t="shared" si="158"/>
        <v>212833.04013559342</v>
      </c>
      <c r="CE76" s="778">
        <f t="shared" si="158"/>
        <v>215922.30386211892</v>
      </c>
      <c r="CF76" s="778">
        <f t="shared" si="158"/>
        <v>171115.84223630186</v>
      </c>
      <c r="CG76" s="778">
        <f t="shared" si="158"/>
        <v>87483.816691710366</v>
      </c>
      <c r="CH76" s="776">
        <f>SUM(BV76:CG76)</f>
        <v>2030972.2965096838</v>
      </c>
      <c r="CI76" s="779"/>
      <c r="CJ76" s="778">
        <f>CJ71+CJ38</f>
        <v>149449.15862840106</v>
      </c>
      <c r="CK76" s="778">
        <f t="shared" ref="CK76:CU76" si="159">CK71+CK38</f>
        <v>165299.98482295938</v>
      </c>
      <c r="CL76" s="778">
        <f t="shared" si="159"/>
        <v>157623.38063361909</v>
      </c>
      <c r="CM76" s="778">
        <f t="shared" si="159"/>
        <v>156795.25083861349</v>
      </c>
      <c r="CN76" s="778">
        <f>CN71+CN38</f>
        <v>159036.51643682446</v>
      </c>
      <c r="CO76" s="778">
        <f t="shared" si="159"/>
        <v>127776.80715616846</v>
      </c>
      <c r="CP76" s="778">
        <f t="shared" si="159"/>
        <v>201036.96194092827</v>
      </c>
      <c r="CQ76" s="778">
        <f t="shared" si="159"/>
        <v>217939.23822784808</v>
      </c>
      <c r="CR76" s="778">
        <f>CR71+CR38</f>
        <v>251919.92080168775</v>
      </c>
      <c r="CS76" s="778">
        <f>CS71+CS38</f>
        <v>237402.61350210969</v>
      </c>
      <c r="CT76" s="778">
        <f>CT71+CT38-CT78-CT77</f>
        <v>113946.85004219407</v>
      </c>
      <c r="CU76" s="778">
        <f>CU71+CU38-CU78-CU77</f>
        <v>79742.822784810123</v>
      </c>
      <c r="CV76" s="778"/>
      <c r="CW76" s="758"/>
      <c r="CX76" s="897">
        <f>CX96-CX99-CX77</f>
        <v>137996.46000000002</v>
      </c>
      <c r="CY76" s="897">
        <f t="shared" ref="CY76:DI76" si="160">CY96-CY99-CY77</f>
        <v>109115.58999999998</v>
      </c>
      <c r="CZ76" s="897">
        <f t="shared" si="160"/>
        <v>159971.47</v>
      </c>
      <c r="DA76" s="897">
        <f t="shared" si="160"/>
        <v>111340.64</v>
      </c>
      <c r="DB76" s="897">
        <f t="shared" si="160"/>
        <v>123131.75999999998</v>
      </c>
      <c r="DC76" s="897">
        <f t="shared" si="160"/>
        <v>93542.01999999999</v>
      </c>
      <c r="DD76" s="897">
        <f t="shared" si="160"/>
        <v>143602.83000000002</v>
      </c>
      <c r="DE76" s="897">
        <f t="shared" si="160"/>
        <v>139580.60999999999</v>
      </c>
      <c r="DF76" s="897">
        <f t="shared" si="160"/>
        <v>185916.23</v>
      </c>
      <c r="DG76" s="897">
        <f t="shared" si="160"/>
        <v>212260.74085232065</v>
      </c>
      <c r="DH76" s="897">
        <f t="shared" si="160"/>
        <v>147017.18444641351</v>
      </c>
      <c r="DI76" s="897">
        <f t="shared" si="160"/>
        <v>100014.48776329115</v>
      </c>
      <c r="DJ76" s="778">
        <f>SUM(CX76:DI76)</f>
        <v>1663490.0230620254</v>
      </c>
      <c r="DK76" s="952">
        <f>AVERAGE(CX76:DI76)</f>
        <v>138624.16858850213</v>
      </c>
      <c r="DL76" s="897">
        <f>DL96-DL99-DL77</f>
        <v>157443.40600000005</v>
      </c>
      <c r="DM76" s="897">
        <f t="shared" ref="DM76:DW76" si="161">DM96-DM99-DM77</f>
        <v>125062.27899999999</v>
      </c>
      <c r="DN76" s="897">
        <f t="shared" si="161"/>
        <v>180791.82700000002</v>
      </c>
      <c r="DO76" s="897">
        <f t="shared" si="161"/>
        <v>127193.88400000001</v>
      </c>
      <c r="DP76" s="897">
        <f t="shared" si="161"/>
        <v>138872.236</v>
      </c>
      <c r="DQ76" s="897">
        <f t="shared" si="161"/>
        <v>105431.482</v>
      </c>
      <c r="DR76" s="897">
        <f t="shared" si="161"/>
        <v>164765.40300000005</v>
      </c>
      <c r="DS76" s="897">
        <f t="shared" si="161"/>
        <v>160399.921</v>
      </c>
      <c r="DT76" s="897">
        <f t="shared" si="161"/>
        <v>212905.14300000001</v>
      </c>
      <c r="DU76" s="897">
        <f t="shared" si="161"/>
        <v>238147.62493755276</v>
      </c>
      <c r="DV76" s="897">
        <f t="shared" si="161"/>
        <v>164854.83789105486</v>
      </c>
      <c r="DW76" s="897">
        <f t="shared" si="161"/>
        <v>111435.70653962028</v>
      </c>
      <c r="DX76" s="778">
        <f>SUM(DL76:DW76)</f>
        <v>1887303.7503682277</v>
      </c>
      <c r="DY76" s="598">
        <f>AVERAGE(DL76:DW76)</f>
        <v>157275.31253068565</v>
      </c>
    </row>
    <row r="77" spans="1:129" ht="22.5" customHeight="1">
      <c r="A77" s="765"/>
      <c r="B77" s="766" t="s">
        <v>126</v>
      </c>
      <c r="C77" s="767"/>
      <c r="D77" s="768"/>
      <c r="E77" s="769"/>
      <c r="F77" s="769"/>
      <c r="G77" s="769"/>
      <c r="H77" s="769"/>
      <c r="I77" s="769"/>
      <c r="J77" s="769"/>
      <c r="K77" s="769"/>
      <c r="L77" s="769"/>
      <c r="M77" s="769"/>
      <c r="N77" s="769"/>
      <c r="O77" s="769"/>
      <c r="P77" s="770"/>
      <c r="Q77" s="771"/>
      <c r="R77" s="768"/>
      <c r="S77" s="772"/>
      <c r="T77" s="772"/>
      <c r="U77" s="772"/>
      <c r="V77" s="772"/>
      <c r="W77" s="773"/>
      <c r="X77" s="773"/>
      <c r="Y77" s="773"/>
      <c r="Z77" s="773"/>
      <c r="AA77" s="773"/>
      <c r="AB77" s="773"/>
      <c r="AC77" s="773"/>
      <c r="AD77" s="774"/>
      <c r="AE77" s="775"/>
      <c r="AF77" s="776"/>
      <c r="AG77" s="776"/>
      <c r="AH77" s="776"/>
      <c r="AI77" s="776"/>
      <c r="AJ77" s="776"/>
      <c r="AK77" s="776"/>
      <c r="AL77" s="776"/>
      <c r="AM77" s="776"/>
      <c r="AN77" s="776"/>
      <c r="AO77" s="776"/>
      <c r="AP77" s="776"/>
      <c r="AQ77" s="776"/>
      <c r="AR77" s="772"/>
      <c r="AS77" s="775"/>
      <c r="AT77" s="776"/>
      <c r="AU77" s="776"/>
      <c r="AV77" s="776"/>
      <c r="AW77" s="776"/>
      <c r="AX77" s="776"/>
      <c r="AY77" s="776"/>
      <c r="AZ77" s="776"/>
      <c r="BA77" s="776"/>
      <c r="BB77" s="776"/>
      <c r="BC77" s="776"/>
      <c r="BD77" s="776"/>
      <c r="BE77" s="776"/>
      <c r="BF77" s="772"/>
      <c r="BG77" s="775"/>
      <c r="BH77" s="776"/>
      <c r="BI77" s="776"/>
      <c r="BJ77" s="776"/>
      <c r="BK77" s="776"/>
      <c r="BL77" s="776"/>
      <c r="BM77" s="776"/>
      <c r="BN77" s="776"/>
      <c r="BO77" s="776"/>
      <c r="BP77" s="776"/>
      <c r="BQ77" s="776"/>
      <c r="BR77" s="776"/>
      <c r="BS77" s="776"/>
      <c r="BT77" s="776"/>
      <c r="BU77" s="777"/>
      <c r="BV77" s="778"/>
      <c r="BW77" s="778"/>
      <c r="BX77" s="778"/>
      <c r="BY77" s="778"/>
      <c r="BZ77" s="778"/>
      <c r="CA77" s="778"/>
      <c r="CB77" s="778"/>
      <c r="CC77" s="778"/>
      <c r="CD77" s="778"/>
      <c r="CE77" s="778"/>
      <c r="CF77" s="778"/>
      <c r="CG77" s="778"/>
      <c r="CH77" s="776"/>
      <c r="CI77" s="779"/>
      <c r="CJ77" s="778"/>
      <c r="CK77" s="778"/>
      <c r="CL77" s="778"/>
      <c r="CM77" s="778"/>
      <c r="CN77" s="778"/>
      <c r="CO77" s="778"/>
      <c r="CP77" s="778"/>
      <c r="CQ77" s="778"/>
      <c r="CR77" s="778"/>
      <c r="CS77" s="778"/>
      <c r="CT77" s="778">
        <v>15710</v>
      </c>
      <c r="CU77" s="778">
        <v>9907</v>
      </c>
      <c r="CV77" s="778"/>
      <c r="CW77" s="758">
        <f>CW78/6</f>
        <v>24100.960000000021</v>
      </c>
      <c r="CX77" s="897">
        <f>CX108*1.1</f>
        <v>16863</v>
      </c>
      <c r="CY77" s="897">
        <f t="shared" ref="CY77:DI77" si="162">CY108*1.1</f>
        <v>13357.300000000001</v>
      </c>
      <c r="CZ77" s="897">
        <f t="shared" si="162"/>
        <v>18888.100000000002</v>
      </c>
      <c r="DA77" s="897">
        <f t="shared" si="162"/>
        <v>13813.800000000001</v>
      </c>
      <c r="DB77" s="897">
        <f t="shared" si="162"/>
        <v>14784.000000000002</v>
      </c>
      <c r="DC77" s="897">
        <f t="shared" si="162"/>
        <v>10588.6</v>
      </c>
      <c r="DD77" s="897">
        <f t="shared" si="162"/>
        <v>18337</v>
      </c>
      <c r="DE77" s="897">
        <f t="shared" si="162"/>
        <v>20026.600000000002</v>
      </c>
      <c r="DF77" s="897">
        <f>DF108*1.1</f>
        <v>28050.000000000004</v>
      </c>
      <c r="DG77" s="897">
        <f t="shared" si="162"/>
        <v>18451.400000000001</v>
      </c>
      <c r="DH77" s="897">
        <f t="shared" si="162"/>
        <v>17281</v>
      </c>
      <c r="DI77" s="897">
        <f t="shared" si="162"/>
        <v>10897.7</v>
      </c>
      <c r="DJ77" s="778">
        <f>SUM(CX77:DI77)</f>
        <v>201338.50000000003</v>
      </c>
      <c r="DK77" s="952">
        <f>AVERAGE(CX77:DI77)</f>
        <v>16778.208333333336</v>
      </c>
      <c r="DL77" s="897">
        <f>DL108*1.1</f>
        <v>16863</v>
      </c>
      <c r="DM77" s="897">
        <f t="shared" ref="DM77:DW77" si="163">DM108*1.1</f>
        <v>13357.300000000001</v>
      </c>
      <c r="DN77" s="897">
        <f t="shared" si="163"/>
        <v>18888.100000000002</v>
      </c>
      <c r="DO77" s="897">
        <f t="shared" si="163"/>
        <v>13813.800000000001</v>
      </c>
      <c r="DP77" s="897">
        <f t="shared" si="163"/>
        <v>14784.000000000002</v>
      </c>
      <c r="DQ77" s="897">
        <f t="shared" si="163"/>
        <v>10588.6</v>
      </c>
      <c r="DR77" s="897">
        <f t="shared" si="163"/>
        <v>18337</v>
      </c>
      <c r="DS77" s="897">
        <f t="shared" si="163"/>
        <v>20026.600000000002</v>
      </c>
      <c r="DT77" s="897">
        <f>DT108*1.1</f>
        <v>28050.000000000004</v>
      </c>
      <c r="DU77" s="897">
        <f t="shared" ref="DU77:DY77" si="164">DU108*1.1</f>
        <v>18451.400000000001</v>
      </c>
      <c r="DV77" s="897">
        <f t="shared" si="164"/>
        <v>17281</v>
      </c>
      <c r="DW77" s="897">
        <f t="shared" si="164"/>
        <v>10897.7</v>
      </c>
      <c r="DX77" s="778">
        <f>SUM(DL77:DW77)</f>
        <v>201338.50000000003</v>
      </c>
      <c r="DY77" s="598">
        <f>AVERAGE(DL77:DW77)</f>
        <v>16778.208333333336</v>
      </c>
    </row>
    <row r="78" spans="1:129" ht="18" customHeight="1">
      <c r="A78" s="765"/>
      <c r="B78" s="766" t="s">
        <v>127</v>
      </c>
      <c r="C78" s="767"/>
      <c r="D78" s="768"/>
      <c r="E78" s="769"/>
      <c r="F78" s="769"/>
      <c r="G78" s="769"/>
      <c r="H78" s="769"/>
      <c r="I78" s="769"/>
      <c r="J78" s="769"/>
      <c r="K78" s="769"/>
      <c r="L78" s="769"/>
      <c r="M78" s="769"/>
      <c r="N78" s="769"/>
      <c r="O78" s="769"/>
      <c r="P78" s="770"/>
      <c r="Q78" s="771"/>
      <c r="R78" s="768"/>
      <c r="S78" s="772"/>
      <c r="T78" s="772"/>
      <c r="U78" s="772"/>
      <c r="V78" s="772"/>
      <c r="W78" s="773"/>
      <c r="X78" s="773"/>
      <c r="Y78" s="773"/>
      <c r="Z78" s="773"/>
      <c r="AA78" s="773"/>
      <c r="AB78" s="773"/>
      <c r="AC78" s="773"/>
      <c r="AD78" s="774"/>
      <c r="AE78" s="775"/>
      <c r="AF78" s="776"/>
      <c r="AG78" s="776"/>
      <c r="AH78" s="776"/>
      <c r="AI78" s="776"/>
      <c r="AJ78" s="776"/>
      <c r="AK78" s="776"/>
      <c r="AL78" s="776"/>
      <c r="AM78" s="776"/>
      <c r="AN78" s="776"/>
      <c r="AO78" s="776"/>
      <c r="AP78" s="776"/>
      <c r="AQ78" s="776"/>
      <c r="AR78" s="772"/>
      <c r="AS78" s="775"/>
      <c r="AT78" s="776"/>
      <c r="AU78" s="776"/>
      <c r="AV78" s="776"/>
      <c r="AW78" s="776"/>
      <c r="AX78" s="776"/>
      <c r="AY78" s="776"/>
      <c r="AZ78" s="776"/>
      <c r="BA78" s="776"/>
      <c r="BB78" s="776"/>
      <c r="BC78" s="776"/>
      <c r="BD78" s="776"/>
      <c r="BE78" s="776"/>
      <c r="BF78" s="772"/>
      <c r="BG78" s="775"/>
      <c r="BH78" s="776"/>
      <c r="BI78" s="776"/>
      <c r="BJ78" s="776"/>
      <c r="BK78" s="776"/>
      <c r="BL78" s="776"/>
      <c r="BM78" s="776"/>
      <c r="BN78" s="776"/>
      <c r="BO78" s="776"/>
      <c r="BP78" s="776"/>
      <c r="BQ78" s="776"/>
      <c r="BR78" s="776"/>
      <c r="BS78" s="776"/>
      <c r="BT78" s="776"/>
      <c r="BU78" s="777"/>
      <c r="BV78" s="778"/>
      <c r="BW78" s="778"/>
      <c r="BX78" s="778"/>
      <c r="BY78" s="778"/>
      <c r="BZ78" s="778"/>
      <c r="CA78" s="778"/>
      <c r="CB78" s="778"/>
      <c r="CC78" s="778"/>
      <c r="CD78" s="778"/>
      <c r="CE78" s="778"/>
      <c r="CF78" s="778"/>
      <c r="CG78" s="778"/>
      <c r="CH78" s="776"/>
      <c r="CI78" s="779"/>
      <c r="CJ78" s="778"/>
      <c r="CK78" s="778"/>
      <c r="CL78" s="778"/>
      <c r="CM78" s="778"/>
      <c r="CN78" s="778"/>
      <c r="CO78" s="778"/>
      <c r="CP78" s="778"/>
      <c r="CQ78" s="778"/>
      <c r="CR78" s="778"/>
      <c r="CS78" s="778">
        <v>28812</v>
      </c>
      <c r="CT78" s="778">
        <f>CT99</f>
        <v>35000</v>
      </c>
      <c r="CU78" s="778">
        <f>CU99</f>
        <v>2096</v>
      </c>
      <c r="CV78" s="778"/>
      <c r="CW78" s="869">
        <f>CW79-CW74</f>
        <v>144605.76000000013</v>
      </c>
      <c r="CX78" s="897">
        <f>CX99</f>
        <v>39610</v>
      </c>
      <c r="CY78" s="897">
        <f t="shared" ref="CY78:DC78" si="165">CY99</f>
        <v>36994</v>
      </c>
      <c r="CZ78" s="897">
        <f t="shared" si="165"/>
        <v>29344</v>
      </c>
      <c r="DA78" s="897">
        <f t="shared" si="165"/>
        <v>33378</v>
      </c>
      <c r="DB78" s="897">
        <f t="shared" si="165"/>
        <v>19489</v>
      </c>
      <c r="DC78" s="897">
        <f t="shared" si="165"/>
        <v>14764</v>
      </c>
      <c r="DD78" s="897">
        <f>DD99</f>
        <v>49685.9</v>
      </c>
      <c r="DE78" s="897">
        <f t="shared" ref="DE78:DJ78" si="166">DE99</f>
        <v>48585.9</v>
      </c>
      <c r="DF78" s="897">
        <f t="shared" si="166"/>
        <v>55922.9</v>
      </c>
      <c r="DG78" s="897">
        <f t="shared" si="166"/>
        <v>28156.7</v>
      </c>
      <c r="DH78" s="897">
        <f t="shared" si="166"/>
        <v>14078.35</v>
      </c>
      <c r="DI78" s="897">
        <f t="shared" si="166"/>
        <v>3300.0000000000005</v>
      </c>
      <c r="DJ78" s="778">
        <f>SUM(CX78:DI78)</f>
        <v>373308.75</v>
      </c>
      <c r="DK78" s="948"/>
      <c r="DL78" s="897">
        <f>DL99</f>
        <v>39610</v>
      </c>
      <c r="DM78" s="897">
        <f t="shared" ref="DM78:DQ78" si="167">DM99</f>
        <v>36994</v>
      </c>
      <c r="DN78" s="897">
        <f t="shared" si="167"/>
        <v>29344</v>
      </c>
      <c r="DO78" s="897">
        <f t="shared" si="167"/>
        <v>33378</v>
      </c>
      <c r="DP78" s="897">
        <f t="shared" si="167"/>
        <v>19489</v>
      </c>
      <c r="DQ78" s="897">
        <f t="shared" si="167"/>
        <v>14764</v>
      </c>
      <c r="DR78" s="897">
        <f>DR99</f>
        <v>49685.9</v>
      </c>
      <c r="DS78" s="897">
        <f t="shared" ref="DS78:DX78" si="168">DS99</f>
        <v>48585.9</v>
      </c>
      <c r="DT78" s="897">
        <f t="shared" si="168"/>
        <v>55922.9</v>
      </c>
      <c r="DU78" s="897">
        <f t="shared" si="168"/>
        <v>28156.7</v>
      </c>
      <c r="DV78" s="897">
        <f t="shared" si="168"/>
        <v>14078.35</v>
      </c>
      <c r="DW78" s="897">
        <f t="shared" si="168"/>
        <v>3300.0000000000005</v>
      </c>
      <c r="DX78" s="778">
        <f>SUM(DL78:DW78)</f>
        <v>373308.75</v>
      </c>
    </row>
    <row r="79" spans="1:129" ht="15" customHeight="1">
      <c r="A79" s="55"/>
      <c r="B79" s="780" t="s">
        <v>128</v>
      </c>
      <c r="C79" s="781"/>
      <c r="D79" s="782"/>
      <c r="E79" s="783"/>
      <c r="F79" s="783"/>
      <c r="G79" s="783"/>
      <c r="H79" s="783"/>
      <c r="I79" s="783"/>
      <c r="J79" s="783"/>
      <c r="K79" s="783"/>
      <c r="L79" s="783"/>
      <c r="M79" s="783"/>
      <c r="N79" s="783"/>
      <c r="O79" s="783"/>
      <c r="P79" s="784"/>
      <c r="Q79" s="785"/>
      <c r="R79" s="782"/>
      <c r="S79" s="786"/>
      <c r="T79" s="786"/>
      <c r="U79" s="786"/>
      <c r="V79" s="786"/>
      <c r="W79" s="787"/>
      <c r="X79" s="787"/>
      <c r="Y79" s="787"/>
      <c r="Z79" s="787"/>
      <c r="AA79" s="787"/>
      <c r="AB79" s="787"/>
      <c r="AC79" s="787"/>
      <c r="AD79" s="788"/>
      <c r="AE79" s="789"/>
      <c r="AF79" s="790"/>
      <c r="AG79" s="786"/>
      <c r="AH79" s="786"/>
      <c r="AI79" s="786"/>
      <c r="AJ79" s="786"/>
      <c r="AK79" s="786"/>
      <c r="AL79" s="786"/>
      <c r="AM79" s="786"/>
      <c r="AN79" s="786"/>
      <c r="AO79" s="786"/>
      <c r="AP79" s="786"/>
      <c r="AQ79" s="786"/>
      <c r="AR79" s="786"/>
      <c r="AS79" s="789"/>
      <c r="AT79" s="786"/>
      <c r="AU79" s="786"/>
      <c r="AV79" s="786"/>
      <c r="AW79" s="786"/>
      <c r="AX79" s="786"/>
      <c r="AY79" s="786"/>
      <c r="AZ79" s="786"/>
      <c r="BA79" s="786"/>
      <c r="BB79" s="786"/>
      <c r="BC79" s="786"/>
      <c r="BD79" s="786"/>
      <c r="BE79" s="786"/>
      <c r="BF79" s="786"/>
      <c r="BG79" s="789"/>
      <c r="BH79" s="786"/>
      <c r="BI79" s="786"/>
      <c r="BJ79" s="786"/>
      <c r="BK79" s="786"/>
      <c r="BL79" s="786"/>
      <c r="BM79" s="786"/>
      <c r="BN79" s="786"/>
      <c r="BO79" s="786"/>
      <c r="BP79" s="786"/>
      <c r="BQ79" s="786"/>
      <c r="BR79" s="786"/>
      <c r="BS79" s="786"/>
      <c r="BT79" s="786"/>
      <c r="BU79" s="791"/>
      <c r="BV79" s="786"/>
      <c r="BW79" s="786"/>
      <c r="BX79" s="786"/>
      <c r="BY79" s="786"/>
      <c r="BZ79" s="786"/>
      <c r="CA79" s="786"/>
      <c r="CB79" s="786"/>
      <c r="CC79" s="786"/>
      <c r="CD79" s="786"/>
      <c r="CE79" s="786"/>
      <c r="CF79" s="786"/>
      <c r="CG79" s="786"/>
      <c r="CH79" s="786"/>
      <c r="CI79" s="792"/>
      <c r="CJ79" s="786"/>
      <c r="CK79" s="786"/>
      <c r="CL79" s="786"/>
      <c r="CM79" s="786"/>
      <c r="CN79" s="786"/>
      <c r="CO79" s="786"/>
      <c r="CP79" s="786"/>
      <c r="CQ79" s="786"/>
      <c r="CR79" s="786"/>
      <c r="CS79" s="786"/>
      <c r="CT79" s="786">
        <f>SUM(CT80:CT82)</f>
        <v>210269</v>
      </c>
      <c r="CU79" s="786">
        <f>SUM(CU80:CU82)</f>
        <v>172780</v>
      </c>
      <c r="CV79" s="786"/>
      <c r="CW79" s="869">
        <f>SUM(CX79:DC79)</f>
        <v>1141577.5</v>
      </c>
      <c r="CX79" s="898">
        <f>SUM(CX80:CX82)</f>
        <v>194767.09999999998</v>
      </c>
      <c r="CY79" s="898">
        <f t="shared" ref="CY79:DI79" si="169">SUM(CY80:CY82)</f>
        <v>168207.94999999998</v>
      </c>
      <c r="CZ79" s="898">
        <f>SUM(CZ80:CZ82)</f>
        <v>205018</v>
      </c>
      <c r="DA79" s="898">
        <f>SUM(DA80:DA82)</f>
        <v>205018</v>
      </c>
      <c r="DB79" s="898">
        <f t="shared" si="169"/>
        <v>182652.4</v>
      </c>
      <c r="DC79" s="898">
        <f t="shared" si="169"/>
        <v>185914.05</v>
      </c>
      <c r="DD79" s="898">
        <f t="shared" si="169"/>
        <v>210050.26</v>
      </c>
      <c r="DE79" s="898">
        <f t="shared" si="169"/>
        <v>185914.05</v>
      </c>
      <c r="DF79" s="898">
        <f t="shared" si="169"/>
        <v>210050.26</v>
      </c>
      <c r="DG79" s="898">
        <f t="shared" si="169"/>
        <v>210050.26</v>
      </c>
      <c r="DH79" s="898">
        <f t="shared" si="169"/>
        <v>191785.02</v>
      </c>
      <c r="DI79" s="898">
        <f t="shared" si="169"/>
        <v>146121.91999999998</v>
      </c>
      <c r="DJ79" s="801">
        <f>SUM(CX79:DI79)</f>
        <v>2295549.27</v>
      </c>
      <c r="DK79" s="948"/>
      <c r="DL79" s="898">
        <f>SUM(DL80:DL82)</f>
        <v>194767.09999999998</v>
      </c>
      <c r="DM79" s="898">
        <f t="shared" ref="DM79:DQ79" si="170">SUM(DM80:DM82)</f>
        <v>168207.94999999998</v>
      </c>
      <c r="DN79" s="898">
        <f>SUM(DN80:DN82)</f>
        <v>205018</v>
      </c>
      <c r="DO79" s="898">
        <f>SUM(DO80:DO82)</f>
        <v>205018</v>
      </c>
      <c r="DP79" s="898">
        <f t="shared" ref="DP79:DW79" si="171">SUM(DP80:DP82)</f>
        <v>182652.4</v>
      </c>
      <c r="DQ79" s="898">
        <f t="shared" si="171"/>
        <v>185914.05</v>
      </c>
      <c r="DR79" s="898">
        <f t="shared" si="171"/>
        <v>210050.26</v>
      </c>
      <c r="DS79" s="898">
        <f t="shared" si="171"/>
        <v>185914.05</v>
      </c>
      <c r="DT79" s="898">
        <f t="shared" si="171"/>
        <v>210050.26</v>
      </c>
      <c r="DU79" s="898">
        <f t="shared" si="171"/>
        <v>210050.26</v>
      </c>
      <c r="DV79" s="898">
        <f t="shared" si="171"/>
        <v>191785.02</v>
      </c>
      <c r="DW79" s="898">
        <f t="shared" si="171"/>
        <v>146121.91999999998</v>
      </c>
      <c r="DX79" s="801">
        <f>SUM(DL79:DW79)</f>
        <v>2295549.27</v>
      </c>
    </row>
    <row r="80" spans="1:129" ht="15.75" customHeight="1" outlineLevel="1">
      <c r="A80" s="719">
        <v>7</v>
      </c>
      <c r="B80" s="936" t="s">
        <v>129</v>
      </c>
      <c r="C80" s="781"/>
      <c r="D80" s="793">
        <v>98048</v>
      </c>
      <c r="E80" s="794">
        <v>128688</v>
      </c>
      <c r="F80" s="794">
        <v>124704</v>
      </c>
      <c r="G80" s="794">
        <v>157500</v>
      </c>
      <c r="H80" s="794">
        <v>182600</v>
      </c>
      <c r="I80" s="794">
        <v>157700</v>
      </c>
      <c r="J80" s="794">
        <v>181700</v>
      </c>
      <c r="K80" s="794">
        <v>165900</v>
      </c>
      <c r="L80" s="794">
        <v>174300</v>
      </c>
      <c r="M80" s="794">
        <v>215800</v>
      </c>
      <c r="N80" s="794">
        <v>180000</v>
      </c>
      <c r="O80" s="794">
        <v>112500</v>
      </c>
      <c r="P80" s="795">
        <f t="shared" ref="P80:P83" si="172">SUM(D80:O80)</f>
        <v>1879440</v>
      </c>
      <c r="Q80" s="796"/>
      <c r="R80" s="793">
        <v>158400</v>
      </c>
      <c r="S80" s="797">
        <v>161000</v>
      </c>
      <c r="T80" s="797">
        <v>117800</v>
      </c>
      <c r="U80" s="797">
        <v>2000</v>
      </c>
      <c r="V80" s="797">
        <v>53800</v>
      </c>
      <c r="W80" s="797">
        <v>190600</v>
      </c>
      <c r="X80" s="797">
        <v>187900</v>
      </c>
      <c r="Y80" s="797">
        <v>196800</v>
      </c>
      <c r="Z80" s="797">
        <v>192300</v>
      </c>
      <c r="AA80" s="797">
        <v>182300</v>
      </c>
      <c r="AB80" s="797">
        <v>175000</v>
      </c>
      <c r="AC80" s="797">
        <v>134100</v>
      </c>
      <c r="AD80" s="798">
        <f>SUM(R80:AC80)</f>
        <v>1752000</v>
      </c>
      <c r="AE80" s="799"/>
      <c r="AF80" s="800">
        <f t="shared" ref="AF80:AL80" si="173">SUM(AF83,AF85)</f>
        <v>161400</v>
      </c>
      <c r="AG80" s="800">
        <f t="shared" si="173"/>
        <v>166000</v>
      </c>
      <c r="AH80" s="800">
        <f t="shared" si="173"/>
        <v>150471</v>
      </c>
      <c r="AI80" s="800">
        <f t="shared" si="173"/>
        <v>149040</v>
      </c>
      <c r="AJ80" s="800">
        <f t="shared" si="173"/>
        <v>196360</v>
      </c>
      <c r="AK80" s="800">
        <f t="shared" si="173"/>
        <v>163300</v>
      </c>
      <c r="AL80" s="800">
        <f t="shared" si="173"/>
        <v>190000</v>
      </c>
      <c r="AM80" s="800">
        <f t="shared" ref="AM80:AQ80" si="174">SUM(AM83,AM85,AM86)</f>
        <v>167000</v>
      </c>
      <c r="AN80" s="800">
        <f t="shared" si="174"/>
        <v>170500</v>
      </c>
      <c r="AO80" s="800">
        <f t="shared" si="174"/>
        <v>140000</v>
      </c>
      <c r="AP80" s="800">
        <f t="shared" si="174"/>
        <v>130000</v>
      </c>
      <c r="AQ80" s="800">
        <f t="shared" si="174"/>
        <v>100000</v>
      </c>
      <c r="AR80" s="786">
        <f t="shared" ref="AR80:AR83" si="175">SUM(AF80:AQ80)</f>
        <v>1884071</v>
      </c>
      <c r="AS80" s="799"/>
      <c r="AT80" s="800">
        <f t="shared" ref="AT80:BC80" si="176">SUM(AT83,AT85,AT86)</f>
        <v>133000</v>
      </c>
      <c r="AU80" s="800">
        <f t="shared" si="176"/>
        <v>125180</v>
      </c>
      <c r="AV80" s="800">
        <f t="shared" si="176"/>
        <v>117228</v>
      </c>
      <c r="AW80" s="800">
        <f t="shared" si="176"/>
        <v>127500</v>
      </c>
      <c r="AX80" s="800">
        <f t="shared" si="176"/>
        <v>140000</v>
      </c>
      <c r="AY80" s="800">
        <f t="shared" si="176"/>
        <v>158342.99999899999</v>
      </c>
      <c r="AZ80" s="800">
        <f t="shared" si="176"/>
        <v>152409</v>
      </c>
      <c r="BA80" s="800">
        <f t="shared" si="176"/>
        <v>173520</v>
      </c>
      <c r="BB80" s="800">
        <f t="shared" si="176"/>
        <v>165000</v>
      </c>
      <c r="BC80" s="800">
        <f t="shared" si="176"/>
        <v>157500</v>
      </c>
      <c r="BD80" s="800">
        <v>129431</v>
      </c>
      <c r="BE80" s="800">
        <v>61700</v>
      </c>
      <c r="BF80" s="797">
        <f t="shared" ref="BF80:BF83" si="177">SUM(AT80:BE80)</f>
        <v>1640810.999999</v>
      </c>
      <c r="BG80" s="799">
        <f>BF80-AR80</f>
        <v>-243260.00000100001</v>
      </c>
      <c r="BH80" s="790">
        <f>SUM(BH83,BH85,BH86)</f>
        <v>139760</v>
      </c>
      <c r="BI80" s="790">
        <f t="shared" ref="BI80:BP80" si="178">SUM(BI83,BI85,BI86)</f>
        <v>116580</v>
      </c>
      <c r="BJ80" s="790">
        <f t="shared" si="178"/>
        <v>148340</v>
      </c>
      <c r="BK80" s="790">
        <f t="shared" si="178"/>
        <v>112360</v>
      </c>
      <c r="BL80" s="790">
        <f t="shared" si="178"/>
        <v>108660</v>
      </c>
      <c r="BM80" s="790">
        <f t="shared" si="178"/>
        <v>153416</v>
      </c>
      <c r="BN80" s="790">
        <f t="shared" si="178"/>
        <v>137676</v>
      </c>
      <c r="BO80" s="790">
        <f t="shared" si="178"/>
        <v>160654</v>
      </c>
      <c r="BP80" s="790">
        <f t="shared" si="178"/>
        <v>157000</v>
      </c>
      <c r="BQ80" s="790">
        <v>156725</v>
      </c>
      <c r="BR80" s="790">
        <v>182069</v>
      </c>
      <c r="BS80" s="790">
        <f>BS83+BS86</f>
        <v>156420</v>
      </c>
      <c r="BT80" s="790">
        <f t="shared" ref="BT80:BT83" si="179">SUM(BH80:BS80)</f>
        <v>1729660</v>
      </c>
      <c r="BU80" s="791"/>
      <c r="BV80" s="801">
        <f t="shared" ref="BV80:BX80" si="180">BV7*BV84</f>
        <v>133000</v>
      </c>
      <c r="BW80" s="801">
        <f t="shared" si="180"/>
        <v>133000</v>
      </c>
      <c r="BX80" s="801">
        <f t="shared" si="180"/>
        <v>147000</v>
      </c>
      <c r="BY80" s="801">
        <f>BY7*BY84</f>
        <v>172800</v>
      </c>
      <c r="BZ80" s="801">
        <f>BZ7*BZ84</f>
        <v>165600</v>
      </c>
      <c r="CA80" s="801">
        <f>CA7*CA84</f>
        <v>158400</v>
      </c>
      <c r="CB80" s="801">
        <f>CB7*CB84</f>
        <v>180000</v>
      </c>
      <c r="CC80" s="801">
        <f t="shared" ref="CC80:CG80" si="181">CC7*CC84</f>
        <v>172800</v>
      </c>
      <c r="CD80" s="801">
        <f t="shared" si="181"/>
        <v>172800</v>
      </c>
      <c r="CE80" s="801">
        <f>CE7*CE84</f>
        <v>172800</v>
      </c>
      <c r="CF80" s="801">
        <f t="shared" si="181"/>
        <v>167200</v>
      </c>
      <c r="CG80" s="801">
        <f t="shared" si="181"/>
        <v>98800</v>
      </c>
      <c r="CH80" s="801">
        <f t="shared" ref="CH80:CH85" si="182">SUM(BV80:CG80)</f>
        <v>1874200</v>
      </c>
      <c r="CI80" s="801"/>
      <c r="CJ80" s="801">
        <f>CJ7*CJ84</f>
        <v>165000</v>
      </c>
      <c r="CK80" s="801">
        <f t="shared" ref="CK80:CT80" si="183">CK7*CK84</f>
        <v>188600</v>
      </c>
      <c r="CL80" s="801">
        <f>CL7*CL84</f>
        <v>171000</v>
      </c>
      <c r="CM80" s="801">
        <f>CM7*CM84</f>
        <v>200000</v>
      </c>
      <c r="CN80" s="801">
        <f t="shared" si="183"/>
        <v>178290</v>
      </c>
      <c r="CO80" s="801">
        <f t="shared" si="183"/>
        <v>198000</v>
      </c>
      <c r="CP80" s="801">
        <f>CP7*CP84</f>
        <v>245000</v>
      </c>
      <c r="CQ80" s="801">
        <f>CQ7*CQ84</f>
        <v>207900</v>
      </c>
      <c r="CR80" s="801">
        <f t="shared" si="183"/>
        <v>217800</v>
      </c>
      <c r="CS80" s="801">
        <v>205579</v>
      </c>
      <c r="CT80" s="801">
        <f>(CT7*CT84)-CT82</f>
        <v>164340</v>
      </c>
      <c r="CU80" s="801">
        <f>(CU7*CU84)-CU82</f>
        <v>118660</v>
      </c>
      <c r="CV80" s="790">
        <f>SUM(CJ80:CU80)</f>
        <v>2260169</v>
      </c>
      <c r="CW80" s="758"/>
      <c r="CX80" s="899">
        <f>(CX7*CX84)*0.95-CX82-CX81</f>
        <v>131887.09999999998</v>
      </c>
      <c r="CY80" s="899">
        <f t="shared" ref="CY80:DI80" si="184">(CY7*CY84)*0.95-CY82-CY81</f>
        <v>124127.94999999998</v>
      </c>
      <c r="CZ80" s="899">
        <f>(CZ7*CZ84)*1-CZ82-CZ81</f>
        <v>152998</v>
      </c>
      <c r="DA80" s="899">
        <f>(DA7*DA84)*1-DA82-DA81</f>
        <v>165858</v>
      </c>
      <c r="DB80" s="899">
        <f>(DB7*DB84)*0.98-DB82-DB81</f>
        <v>153652.4</v>
      </c>
      <c r="DC80" s="899">
        <f t="shared" si="184"/>
        <v>121914.04999999999</v>
      </c>
      <c r="DD80" s="899">
        <f>(DD7*DD84)*0.98-DD82-DD81</f>
        <v>150050.26</v>
      </c>
      <c r="DE80" s="899">
        <f t="shared" si="184"/>
        <v>127914.04999999999</v>
      </c>
      <c r="DF80" s="899">
        <f>(DF7*DF84)*0.98-DF82-DF81</f>
        <v>151050.26</v>
      </c>
      <c r="DG80" s="899">
        <f t="shared" ref="DG80:DI80" si="185">(DG7*DG84)*0.98-DG82-DG81</f>
        <v>176050.26</v>
      </c>
      <c r="DH80" s="899">
        <f t="shared" si="185"/>
        <v>162785.01999999999</v>
      </c>
      <c r="DI80" s="899">
        <f t="shared" si="185"/>
        <v>86121.919999999984</v>
      </c>
      <c r="DJ80" s="801">
        <f>SUM(CX80:DI80)</f>
        <v>1704409.27</v>
      </c>
      <c r="DK80" s="952">
        <f>AVERAGE(CX80:DI80)</f>
        <v>142034.10583333333</v>
      </c>
      <c r="DL80" s="899">
        <f>(DL7*DL84)*0.95-DL82-DL81</f>
        <v>131887.09999999998</v>
      </c>
      <c r="DM80" s="899">
        <f t="shared" ref="DM80:DW80" si="186">(DM7*DM84)*0.95-DM82-DM81</f>
        <v>124127.94999999998</v>
      </c>
      <c r="DN80" s="899">
        <f>(DN7*DN84)*1-DN82-DN81</f>
        <v>152998</v>
      </c>
      <c r="DO80" s="899">
        <f>(DO7*DO84)*1-DO82-DO81</f>
        <v>165858</v>
      </c>
      <c r="DP80" s="899">
        <f>(DP7*DP84)*0.98-DP82-DP81</f>
        <v>153652.4</v>
      </c>
      <c r="DQ80" s="899">
        <f t="shared" ref="DQ80:DY80" si="187">(DQ7*DQ84)*0.95-DQ82-DQ81</f>
        <v>121914.04999999999</v>
      </c>
      <c r="DR80" s="899">
        <f>(DR7*DR84)*0.98-DR82-DR81</f>
        <v>150050.26</v>
      </c>
      <c r="DS80" s="899">
        <f t="shared" ref="DS80:DY80" si="188">(DS7*DS84)*0.95-DS82-DS81</f>
        <v>127914.04999999999</v>
      </c>
      <c r="DT80" s="899">
        <f>(DT7*DT84)*0.98-DT82-DT81</f>
        <v>151050.26</v>
      </c>
      <c r="DU80" s="899">
        <f t="shared" ref="DU80:DW80" si="189">(DU7*DU84)*0.98-DU82-DU81</f>
        <v>176050.26</v>
      </c>
      <c r="DV80" s="899">
        <f t="shared" si="189"/>
        <v>162785.01999999999</v>
      </c>
      <c r="DW80" s="899">
        <f t="shared" si="189"/>
        <v>86121.919999999984</v>
      </c>
      <c r="DX80" s="801">
        <f>SUM(DL80:DW80)</f>
        <v>1704409.27</v>
      </c>
      <c r="DY80" s="598">
        <f>AVERAGE(DL80:DW80)</f>
        <v>142034.10583333333</v>
      </c>
    </row>
    <row r="81" spans="1:129" ht="15.75" customHeight="1" outlineLevel="1">
      <c r="A81" s="719"/>
      <c r="B81" s="936" t="s">
        <v>130</v>
      </c>
      <c r="C81" s="781"/>
      <c r="D81" s="793"/>
      <c r="E81" s="794"/>
      <c r="F81" s="794"/>
      <c r="G81" s="794"/>
      <c r="H81" s="794"/>
      <c r="I81" s="794"/>
      <c r="J81" s="794"/>
      <c r="K81" s="794"/>
      <c r="L81" s="794"/>
      <c r="M81" s="794"/>
      <c r="N81" s="794"/>
      <c r="O81" s="794"/>
      <c r="P81" s="795"/>
      <c r="Q81" s="796"/>
      <c r="R81" s="793"/>
      <c r="S81" s="797"/>
      <c r="T81" s="797"/>
      <c r="U81" s="797"/>
      <c r="V81" s="797"/>
      <c r="W81" s="797"/>
      <c r="X81" s="797"/>
      <c r="Y81" s="797"/>
      <c r="Z81" s="797"/>
      <c r="AA81" s="797"/>
      <c r="AB81" s="797"/>
      <c r="AC81" s="797"/>
      <c r="AD81" s="798"/>
      <c r="AE81" s="799"/>
      <c r="AF81" s="800"/>
      <c r="AG81" s="800"/>
      <c r="AH81" s="800"/>
      <c r="AI81" s="800"/>
      <c r="AJ81" s="800"/>
      <c r="AK81" s="800"/>
      <c r="AL81" s="800"/>
      <c r="AM81" s="800"/>
      <c r="AN81" s="800"/>
      <c r="AO81" s="800"/>
      <c r="AP81" s="800"/>
      <c r="AQ81" s="800"/>
      <c r="AR81" s="786"/>
      <c r="AS81" s="799"/>
      <c r="AT81" s="800"/>
      <c r="AU81" s="800"/>
      <c r="AV81" s="800"/>
      <c r="AW81" s="800"/>
      <c r="AX81" s="800"/>
      <c r="AY81" s="800"/>
      <c r="AZ81" s="800"/>
      <c r="BA81" s="800"/>
      <c r="BB81" s="800"/>
      <c r="BC81" s="800"/>
      <c r="BD81" s="800"/>
      <c r="BE81" s="800"/>
      <c r="BF81" s="797"/>
      <c r="BG81" s="799"/>
      <c r="BH81" s="790"/>
      <c r="BI81" s="790"/>
      <c r="BJ81" s="790"/>
      <c r="BK81" s="790"/>
      <c r="BL81" s="790"/>
      <c r="BM81" s="790"/>
      <c r="BN81" s="790"/>
      <c r="BO81" s="790"/>
      <c r="BP81" s="790"/>
      <c r="BQ81" s="790"/>
      <c r="BR81" s="790"/>
      <c r="BS81" s="790"/>
      <c r="BT81" s="790"/>
      <c r="BU81" s="791"/>
      <c r="BV81" s="801"/>
      <c r="BW81" s="801"/>
      <c r="BX81" s="801"/>
      <c r="BY81" s="801"/>
      <c r="BZ81" s="801"/>
      <c r="CA81" s="801"/>
      <c r="CB81" s="801"/>
      <c r="CC81" s="801"/>
      <c r="CD81" s="801"/>
      <c r="CE81" s="801"/>
      <c r="CF81" s="801"/>
      <c r="CG81" s="801"/>
      <c r="CH81" s="801"/>
      <c r="CI81" s="802"/>
      <c r="CJ81" s="801"/>
      <c r="CK81" s="801"/>
      <c r="CL81" s="801"/>
      <c r="CM81" s="801"/>
      <c r="CN81" s="801"/>
      <c r="CO81" s="801"/>
      <c r="CP81" s="801"/>
      <c r="CQ81" s="801"/>
      <c r="CR81" s="801"/>
      <c r="CS81" s="801"/>
      <c r="CT81" s="801">
        <v>25469</v>
      </c>
      <c r="CU81" s="801">
        <v>14680</v>
      </c>
      <c r="CV81" s="790"/>
      <c r="CW81" s="758"/>
      <c r="CX81" s="900">
        <v>9000</v>
      </c>
      <c r="CY81" s="900">
        <v>14000</v>
      </c>
      <c r="CZ81" s="900">
        <v>18000</v>
      </c>
      <c r="DA81" s="900">
        <v>18000</v>
      </c>
      <c r="DB81" s="900">
        <v>19000</v>
      </c>
      <c r="DC81" s="900">
        <v>14000</v>
      </c>
      <c r="DD81" s="900">
        <v>20000</v>
      </c>
      <c r="DE81" s="900">
        <v>18000</v>
      </c>
      <c r="DF81" s="900">
        <v>24000</v>
      </c>
      <c r="DG81" s="900">
        <v>14000</v>
      </c>
      <c r="DH81" s="900">
        <v>19000</v>
      </c>
      <c r="DI81" s="900">
        <v>10000</v>
      </c>
      <c r="DJ81" s="801">
        <f t="shared" ref="DJ81:DJ82" si="190">SUM(CX81:DI81)</f>
        <v>197000</v>
      </c>
      <c r="DK81" s="952">
        <f>AVERAGE(CX81:DI81)</f>
        <v>16416.666666666668</v>
      </c>
      <c r="DL81" s="900">
        <v>9000</v>
      </c>
      <c r="DM81" s="900">
        <v>14000</v>
      </c>
      <c r="DN81" s="900">
        <v>18000</v>
      </c>
      <c r="DO81" s="900">
        <v>18000</v>
      </c>
      <c r="DP81" s="900">
        <v>19000</v>
      </c>
      <c r="DQ81" s="900">
        <v>14000</v>
      </c>
      <c r="DR81" s="900">
        <v>20000</v>
      </c>
      <c r="DS81" s="900">
        <v>18000</v>
      </c>
      <c r="DT81" s="900">
        <v>24000</v>
      </c>
      <c r="DU81" s="900">
        <v>14000</v>
      </c>
      <c r="DV81" s="900">
        <v>19000</v>
      </c>
      <c r="DW81" s="900">
        <v>10000</v>
      </c>
      <c r="DX81" s="801">
        <f t="shared" ref="DX81:DX82" si="191">SUM(DL81:DW81)</f>
        <v>197000</v>
      </c>
      <c r="DY81" s="598">
        <f>AVERAGE(DL81:DW81)</f>
        <v>16416.666666666668</v>
      </c>
    </row>
    <row r="82" spans="1:129" ht="15.75" customHeight="1" outlineLevel="1">
      <c r="A82" s="719"/>
      <c r="B82" s="936" t="s">
        <v>131</v>
      </c>
      <c r="C82" s="781"/>
      <c r="D82" s="793"/>
      <c r="E82" s="794"/>
      <c r="F82" s="794"/>
      <c r="G82" s="794"/>
      <c r="H82" s="794"/>
      <c r="I82" s="794"/>
      <c r="J82" s="794"/>
      <c r="K82" s="794"/>
      <c r="L82" s="794"/>
      <c r="M82" s="794"/>
      <c r="N82" s="794"/>
      <c r="O82" s="794"/>
      <c r="P82" s="795"/>
      <c r="Q82" s="796"/>
      <c r="R82" s="793"/>
      <c r="S82" s="797"/>
      <c r="T82" s="797"/>
      <c r="U82" s="797"/>
      <c r="V82" s="797"/>
      <c r="W82" s="797"/>
      <c r="X82" s="797"/>
      <c r="Y82" s="797"/>
      <c r="Z82" s="797"/>
      <c r="AA82" s="797"/>
      <c r="AB82" s="797"/>
      <c r="AC82" s="797"/>
      <c r="AD82" s="798"/>
      <c r="AE82" s="799"/>
      <c r="AF82" s="800"/>
      <c r="AG82" s="800"/>
      <c r="AH82" s="800"/>
      <c r="AI82" s="800"/>
      <c r="AJ82" s="800"/>
      <c r="AK82" s="800"/>
      <c r="AL82" s="800"/>
      <c r="AM82" s="800"/>
      <c r="AN82" s="800"/>
      <c r="AO82" s="800"/>
      <c r="AP82" s="800"/>
      <c r="AQ82" s="800"/>
      <c r="AR82" s="786"/>
      <c r="AS82" s="799"/>
      <c r="AT82" s="800"/>
      <c r="AU82" s="800"/>
      <c r="AV82" s="800"/>
      <c r="AW82" s="800"/>
      <c r="AX82" s="800"/>
      <c r="AY82" s="800"/>
      <c r="AZ82" s="800"/>
      <c r="BA82" s="800"/>
      <c r="BB82" s="800"/>
      <c r="BC82" s="800"/>
      <c r="BD82" s="800"/>
      <c r="BE82" s="800"/>
      <c r="BF82" s="797"/>
      <c r="BG82" s="799"/>
      <c r="BH82" s="790"/>
      <c r="BI82" s="790"/>
      <c r="BJ82" s="790"/>
      <c r="BK82" s="790"/>
      <c r="BL82" s="790"/>
      <c r="BM82" s="790"/>
      <c r="BN82" s="790"/>
      <c r="BO82" s="790"/>
      <c r="BP82" s="790"/>
      <c r="BQ82" s="790"/>
      <c r="BR82" s="790"/>
      <c r="BS82" s="790"/>
      <c r="BT82" s="790"/>
      <c r="BU82" s="791"/>
      <c r="BV82" s="801"/>
      <c r="BW82" s="801"/>
      <c r="BX82" s="801"/>
      <c r="BY82" s="801"/>
      <c r="BZ82" s="801"/>
      <c r="CA82" s="801"/>
      <c r="CB82" s="801"/>
      <c r="CC82" s="801"/>
      <c r="CD82" s="801"/>
      <c r="CE82" s="801"/>
      <c r="CF82" s="801"/>
      <c r="CG82" s="801"/>
      <c r="CH82" s="801"/>
      <c r="CI82" s="802"/>
      <c r="CJ82" s="801"/>
      <c r="CK82" s="801"/>
      <c r="CL82" s="801"/>
      <c r="CM82" s="801"/>
      <c r="CN82" s="801"/>
      <c r="CO82" s="801"/>
      <c r="CP82" s="801"/>
      <c r="CQ82" s="801"/>
      <c r="CR82" s="801"/>
      <c r="CS82" s="801"/>
      <c r="CT82" s="801">
        <f>CT98</f>
        <v>20460</v>
      </c>
      <c r="CU82" s="801">
        <f>CU98</f>
        <v>39440</v>
      </c>
      <c r="CV82" s="790"/>
      <c r="CW82" s="758"/>
      <c r="CX82" s="900">
        <f>CX98</f>
        <v>53880</v>
      </c>
      <c r="CY82" s="900">
        <f t="shared" ref="CY82:DI82" si="192">CY98</f>
        <v>30080</v>
      </c>
      <c r="CZ82" s="900">
        <f t="shared" si="192"/>
        <v>34020</v>
      </c>
      <c r="DA82" s="900">
        <f t="shared" si="192"/>
        <v>21160</v>
      </c>
      <c r="DB82" s="900">
        <f t="shared" si="192"/>
        <v>10000</v>
      </c>
      <c r="DC82" s="900">
        <f t="shared" si="192"/>
        <v>50000</v>
      </c>
      <c r="DD82" s="900">
        <f t="shared" si="192"/>
        <v>40000</v>
      </c>
      <c r="DE82" s="900">
        <f t="shared" si="192"/>
        <v>40000</v>
      </c>
      <c r="DF82" s="900">
        <f t="shared" si="192"/>
        <v>35000</v>
      </c>
      <c r="DG82" s="900">
        <f t="shared" si="192"/>
        <v>20000</v>
      </c>
      <c r="DH82" s="900">
        <f t="shared" si="192"/>
        <v>10000</v>
      </c>
      <c r="DI82" s="900">
        <f t="shared" si="192"/>
        <v>50000</v>
      </c>
      <c r="DJ82" s="801">
        <f t="shared" si="190"/>
        <v>394140</v>
      </c>
      <c r="DK82" s="948"/>
      <c r="DL82" s="900">
        <f>DL98</f>
        <v>53880</v>
      </c>
      <c r="DM82" s="900">
        <f t="shared" ref="DM82:DW82" si="193">DM98</f>
        <v>30080</v>
      </c>
      <c r="DN82" s="900">
        <f t="shared" si="193"/>
        <v>34020</v>
      </c>
      <c r="DO82" s="900">
        <f t="shared" si="193"/>
        <v>21160</v>
      </c>
      <c r="DP82" s="900">
        <f t="shared" si="193"/>
        <v>10000</v>
      </c>
      <c r="DQ82" s="900">
        <f t="shared" si="193"/>
        <v>50000</v>
      </c>
      <c r="DR82" s="900">
        <f t="shared" si="193"/>
        <v>40000</v>
      </c>
      <c r="DS82" s="900">
        <f t="shared" si="193"/>
        <v>40000</v>
      </c>
      <c r="DT82" s="900">
        <f t="shared" si="193"/>
        <v>35000</v>
      </c>
      <c r="DU82" s="900">
        <f t="shared" si="193"/>
        <v>20000</v>
      </c>
      <c r="DV82" s="900">
        <f t="shared" si="193"/>
        <v>10000</v>
      </c>
      <c r="DW82" s="900">
        <f t="shared" si="193"/>
        <v>50000</v>
      </c>
      <c r="DX82" s="801">
        <f t="shared" si="191"/>
        <v>394140</v>
      </c>
    </row>
    <row r="83" spans="1:129" ht="18.75" hidden="1" outlineLevel="1">
      <c r="A83" s="94"/>
      <c r="B83" s="921" t="s">
        <v>91</v>
      </c>
      <c r="C83" s="934"/>
      <c r="D83" s="313">
        <v>98048</v>
      </c>
      <c r="E83" s="89">
        <v>128688</v>
      </c>
      <c r="F83" s="89">
        <v>124704</v>
      </c>
      <c r="G83" s="89">
        <v>157500</v>
      </c>
      <c r="H83" s="89">
        <v>182600</v>
      </c>
      <c r="I83" s="89">
        <v>157700</v>
      </c>
      <c r="J83" s="89">
        <v>181700</v>
      </c>
      <c r="K83" s="89">
        <v>165900</v>
      </c>
      <c r="L83" s="89">
        <v>174300</v>
      </c>
      <c r="M83" s="89">
        <v>215800</v>
      </c>
      <c r="N83" s="89">
        <v>180000</v>
      </c>
      <c r="O83" s="89">
        <v>112500</v>
      </c>
      <c r="P83" s="314">
        <f t="shared" si="172"/>
        <v>1879440</v>
      </c>
      <c r="Q83" s="90"/>
      <c r="R83" s="313">
        <v>158400</v>
      </c>
      <c r="S83" s="91">
        <v>146000</v>
      </c>
      <c r="T83" s="91">
        <v>102200</v>
      </c>
      <c r="U83" s="91">
        <v>0</v>
      </c>
      <c r="V83" s="91">
        <v>43800</v>
      </c>
      <c r="W83" s="91">
        <v>160600</v>
      </c>
      <c r="X83" s="91">
        <v>167900</v>
      </c>
      <c r="Y83" s="91">
        <v>153300</v>
      </c>
      <c r="Z83" s="91">
        <v>153300</v>
      </c>
      <c r="AA83" s="91">
        <v>153300</v>
      </c>
      <c r="AB83" s="91">
        <v>146000</v>
      </c>
      <c r="AC83" s="91">
        <v>124100</v>
      </c>
      <c r="AD83" s="315"/>
      <c r="AE83" s="23"/>
      <c r="AF83" s="316">
        <v>131400</v>
      </c>
      <c r="AG83" s="91">
        <v>146000</v>
      </c>
      <c r="AH83" s="91">
        <v>125511</v>
      </c>
      <c r="AI83" s="91">
        <v>135000</v>
      </c>
      <c r="AJ83" s="91">
        <v>177320</v>
      </c>
      <c r="AK83" s="91">
        <v>151300</v>
      </c>
      <c r="AL83" s="91">
        <v>176000</v>
      </c>
      <c r="AM83" s="91">
        <f>AM84*AM7</f>
        <v>154000</v>
      </c>
      <c r="AN83" s="91">
        <f>AN84*AN7</f>
        <v>157500</v>
      </c>
      <c r="AO83" s="91">
        <f>AO84*AO7</f>
        <v>140000</v>
      </c>
      <c r="AP83" s="91">
        <f>AP84*AP7</f>
        <v>130000</v>
      </c>
      <c r="AQ83" s="91">
        <f>AQ84*AQ7+16000</f>
        <v>100000</v>
      </c>
      <c r="AR83" s="92">
        <f t="shared" si="175"/>
        <v>1724031</v>
      </c>
      <c r="AS83" s="23"/>
      <c r="AT83" s="91">
        <f>AT84*AT7</f>
        <v>133000</v>
      </c>
      <c r="AU83" s="91">
        <f>125180</f>
        <v>125180</v>
      </c>
      <c r="AV83" s="91">
        <f>AV84*AV7+7428</f>
        <v>117228</v>
      </c>
      <c r="AW83" s="91">
        <f>AW84*AW7</f>
        <v>123500</v>
      </c>
      <c r="AX83" s="91">
        <f>AX84*AX7</f>
        <v>132000</v>
      </c>
      <c r="AY83" s="91">
        <f>AY84*AY7</f>
        <v>153342.99999899999</v>
      </c>
      <c r="AZ83" s="91">
        <v>142409</v>
      </c>
      <c r="BA83" s="91">
        <v>163520</v>
      </c>
      <c r="BB83" s="91">
        <f>BB84*BB7</f>
        <v>165000</v>
      </c>
      <c r="BC83" s="91">
        <f>BC84*BC7</f>
        <v>157500</v>
      </c>
      <c r="BD83" s="316">
        <v>129431</v>
      </c>
      <c r="BE83" s="316">
        <v>61700</v>
      </c>
      <c r="BF83" s="91">
        <f t="shared" si="177"/>
        <v>1603810.999999</v>
      </c>
      <c r="BG83" s="27">
        <f>BF83+BF86-AR83-AR86</f>
        <v>-113040.00000100001</v>
      </c>
      <c r="BH83" s="91">
        <v>136760</v>
      </c>
      <c r="BI83" s="91">
        <v>116580</v>
      </c>
      <c r="BJ83" s="91">
        <v>148340</v>
      </c>
      <c r="BK83" s="91">
        <v>112360</v>
      </c>
      <c r="BL83" s="91">
        <v>108660</v>
      </c>
      <c r="BM83" s="91">
        <v>153416</v>
      </c>
      <c r="BN83" s="91">
        <v>137676</v>
      </c>
      <c r="BO83" s="91">
        <v>150654</v>
      </c>
      <c r="BP83" s="91">
        <f>7100*BP7</f>
        <v>142000</v>
      </c>
      <c r="BQ83" s="91">
        <f t="shared" ref="BQ83:BR83" si="194">BQ80-BQ86</f>
        <v>136725</v>
      </c>
      <c r="BR83" s="91">
        <f t="shared" si="194"/>
        <v>167069</v>
      </c>
      <c r="BS83" s="91">
        <v>124020</v>
      </c>
      <c r="BT83" s="91">
        <f t="shared" si="179"/>
        <v>1634260</v>
      </c>
      <c r="BU83" s="28"/>
      <c r="BV83" s="397">
        <f>BV84*BV85-24551</f>
        <v>108449</v>
      </c>
      <c r="BW83" s="397">
        <f>BW84*BW85</f>
        <v>133000</v>
      </c>
      <c r="BX83" s="397">
        <f t="shared" ref="BX83:CG83" si="195">BX84*BX85</f>
        <v>147000</v>
      </c>
      <c r="BY83" s="397">
        <f>BY84*BY85</f>
        <v>172800</v>
      </c>
      <c r="BZ83" s="397">
        <f>BZ84*BZ85</f>
        <v>165600</v>
      </c>
      <c r="CA83" s="397">
        <f>CA84*CA85</f>
        <v>158400</v>
      </c>
      <c r="CB83" s="397">
        <f>CB84*CB85</f>
        <v>180000</v>
      </c>
      <c r="CC83" s="397">
        <f t="shared" si="195"/>
        <v>172800</v>
      </c>
      <c r="CD83" s="397">
        <f t="shared" si="195"/>
        <v>172800</v>
      </c>
      <c r="CE83" s="397">
        <f t="shared" si="195"/>
        <v>172800</v>
      </c>
      <c r="CF83" s="397">
        <f t="shared" si="195"/>
        <v>167200</v>
      </c>
      <c r="CG83" s="397">
        <f t="shared" si="195"/>
        <v>98800</v>
      </c>
      <c r="CH83" s="91">
        <f t="shared" si="182"/>
        <v>1849649</v>
      </c>
      <c r="CI83" s="395">
        <f>(CH83-BT89)/BT89</f>
        <v>0.29391868731173409</v>
      </c>
      <c r="CJ83" s="397">
        <f>CJ80</f>
        <v>165000</v>
      </c>
      <c r="CK83" s="397">
        <f t="shared" ref="CK83:CO83" si="196">CK80</f>
        <v>188600</v>
      </c>
      <c r="CL83" s="397">
        <f t="shared" si="196"/>
        <v>171000</v>
      </c>
      <c r="CM83" s="397">
        <f t="shared" si="196"/>
        <v>200000</v>
      </c>
      <c r="CN83" s="397">
        <f t="shared" si="196"/>
        <v>178290</v>
      </c>
      <c r="CO83" s="397">
        <f t="shared" si="196"/>
        <v>198000</v>
      </c>
      <c r="CP83" s="397">
        <v>168760</v>
      </c>
      <c r="CQ83" s="397">
        <v>194340</v>
      </c>
      <c r="CR83" s="397">
        <v>208000</v>
      </c>
      <c r="CS83" s="397">
        <v>201780</v>
      </c>
      <c r="CT83" s="397">
        <v>154060</v>
      </c>
      <c r="CU83" s="397">
        <v>96720</v>
      </c>
      <c r="CV83" s="91">
        <v>1949109</v>
      </c>
      <c r="CW83" s="758"/>
      <c r="CX83" s="397">
        <f>CX80</f>
        <v>131887.09999999998</v>
      </c>
      <c r="CY83" s="397">
        <f t="shared" ref="CY83:DC83" si="197">CY80</f>
        <v>124127.94999999998</v>
      </c>
      <c r="CZ83" s="397">
        <f t="shared" si="197"/>
        <v>152998</v>
      </c>
      <c r="DA83" s="397">
        <f t="shared" si="197"/>
        <v>165858</v>
      </c>
      <c r="DB83" s="397">
        <f t="shared" si="197"/>
        <v>153652.4</v>
      </c>
      <c r="DC83" s="397">
        <f t="shared" si="197"/>
        <v>121914.04999999999</v>
      </c>
      <c r="DD83" s="397">
        <v>168760</v>
      </c>
      <c r="DE83" s="397">
        <v>194340</v>
      </c>
      <c r="DF83" s="397">
        <v>208000</v>
      </c>
      <c r="DG83" s="397">
        <v>201780</v>
      </c>
      <c r="DH83" s="397">
        <v>154060</v>
      </c>
      <c r="DI83" s="397">
        <v>96720</v>
      </c>
      <c r="DJ83" s="91">
        <v>1949109</v>
      </c>
      <c r="DK83" s="948"/>
      <c r="DL83" s="397">
        <f>DL80</f>
        <v>131887.09999999998</v>
      </c>
      <c r="DM83" s="397">
        <f t="shared" ref="DM83:DQ83" si="198">DM80</f>
        <v>124127.94999999998</v>
      </c>
      <c r="DN83" s="397">
        <f t="shared" si="198"/>
        <v>152998</v>
      </c>
      <c r="DO83" s="397">
        <f t="shared" si="198"/>
        <v>165858</v>
      </c>
      <c r="DP83" s="397">
        <f t="shared" si="198"/>
        <v>153652.4</v>
      </c>
      <c r="DQ83" s="397">
        <f t="shared" si="198"/>
        <v>121914.04999999999</v>
      </c>
      <c r="DR83" s="397">
        <v>168760</v>
      </c>
      <c r="DS83" s="397">
        <v>194340</v>
      </c>
      <c r="DT83" s="397">
        <v>208000</v>
      </c>
      <c r="DU83" s="397">
        <v>201780</v>
      </c>
      <c r="DV83" s="397">
        <v>154060</v>
      </c>
      <c r="DW83" s="397">
        <v>96720</v>
      </c>
      <c r="DX83" s="91">
        <v>1949109</v>
      </c>
    </row>
    <row r="84" spans="1:129" ht="15.75" customHeight="1" outlineLevel="1">
      <c r="A84" s="821"/>
      <c r="B84" s="937" t="s">
        <v>92</v>
      </c>
      <c r="C84" s="902"/>
      <c r="D84" s="804"/>
      <c r="E84" s="805"/>
      <c r="F84" s="805"/>
      <c r="G84" s="805"/>
      <c r="H84" s="805"/>
      <c r="I84" s="805"/>
      <c r="J84" s="805"/>
      <c r="K84" s="805"/>
      <c r="L84" s="805"/>
      <c r="M84" s="805"/>
      <c r="N84" s="805"/>
      <c r="O84" s="805"/>
      <c r="P84" s="806"/>
      <c r="Q84" s="807"/>
      <c r="R84" s="808">
        <f t="shared" ref="R84:AC84" si="199">R83/R7</f>
        <v>7200</v>
      </c>
      <c r="S84" s="808">
        <f t="shared" si="199"/>
        <v>7300</v>
      </c>
      <c r="T84" s="808">
        <f t="shared" si="199"/>
        <v>7300</v>
      </c>
      <c r="U84" s="808">
        <f t="shared" si="199"/>
        <v>0</v>
      </c>
      <c r="V84" s="808">
        <f t="shared" si="199"/>
        <v>3650</v>
      </c>
      <c r="W84" s="808">
        <f t="shared" si="199"/>
        <v>7300</v>
      </c>
      <c r="X84" s="808">
        <f t="shared" si="199"/>
        <v>7300</v>
      </c>
      <c r="Y84" s="808">
        <f t="shared" si="199"/>
        <v>7300</v>
      </c>
      <c r="Z84" s="808">
        <f t="shared" si="199"/>
        <v>7300</v>
      </c>
      <c r="AA84" s="808">
        <f t="shared" si="199"/>
        <v>7300</v>
      </c>
      <c r="AB84" s="808">
        <f t="shared" si="199"/>
        <v>7300</v>
      </c>
      <c r="AC84" s="808">
        <f t="shared" si="199"/>
        <v>7300</v>
      </c>
      <c r="AD84" s="809"/>
      <c r="AE84" s="28"/>
      <c r="AF84" s="808">
        <f t="shared" ref="AF84:AL84" si="200">AF83/AF7</f>
        <v>7300</v>
      </c>
      <c r="AG84" s="808">
        <f t="shared" si="200"/>
        <v>7300</v>
      </c>
      <c r="AH84" s="808">
        <f t="shared" si="200"/>
        <v>6275.55</v>
      </c>
      <c r="AI84" s="808">
        <f t="shared" si="200"/>
        <v>6750</v>
      </c>
      <c r="AJ84" s="808">
        <f t="shared" si="200"/>
        <v>8060</v>
      </c>
      <c r="AK84" s="808">
        <f t="shared" si="200"/>
        <v>7565</v>
      </c>
      <c r="AL84" s="808">
        <f t="shared" si="200"/>
        <v>8000</v>
      </c>
      <c r="AM84" s="596">
        <v>7000</v>
      </c>
      <c r="AN84" s="596">
        <v>7500</v>
      </c>
      <c r="AO84" s="596">
        <v>7000</v>
      </c>
      <c r="AP84" s="596">
        <v>6500</v>
      </c>
      <c r="AQ84" s="596">
        <v>7000</v>
      </c>
      <c r="AR84" s="810">
        <f>AVERAGE(AF84:AQ84)</f>
        <v>7187.5458333333336</v>
      </c>
      <c r="AS84" s="28"/>
      <c r="AT84" s="596">
        <v>7000</v>
      </c>
      <c r="AU84" s="596">
        <f>AU83/AU7</f>
        <v>6588.4210526315792</v>
      </c>
      <c r="AV84" s="596">
        <v>6100</v>
      </c>
      <c r="AW84" s="596">
        <v>6500</v>
      </c>
      <c r="AX84" s="596">
        <v>6000</v>
      </c>
      <c r="AY84" s="596">
        <v>7302.0476189999999</v>
      </c>
      <c r="AZ84" s="596">
        <v>7000</v>
      </c>
      <c r="BA84" s="596">
        <f>BA83/BA7</f>
        <v>7432.727272727273</v>
      </c>
      <c r="BB84" s="596">
        <v>7500</v>
      </c>
      <c r="BC84" s="596">
        <v>7500</v>
      </c>
      <c r="BD84" s="596">
        <f>BD83/BD7</f>
        <v>6471.55</v>
      </c>
      <c r="BE84" s="596">
        <f>BE83/BE7</f>
        <v>6170</v>
      </c>
      <c r="BF84" s="596">
        <f>AVERAGE(AT84:BE84)</f>
        <v>6797.0621620299053</v>
      </c>
      <c r="BG84" s="28"/>
      <c r="BH84" s="596">
        <f t="shared" ref="BH84:BS84" si="201">BH83/BH7</f>
        <v>6838</v>
      </c>
      <c r="BI84" s="596">
        <f t="shared" si="201"/>
        <v>6857.6470588235297</v>
      </c>
      <c r="BJ84" s="596">
        <f t="shared" si="201"/>
        <v>6449.565217391304</v>
      </c>
      <c r="BK84" s="596">
        <f t="shared" si="201"/>
        <v>6242.2222222222226</v>
      </c>
      <c r="BL84" s="596">
        <f t="shared" si="201"/>
        <v>4939.090909090909</v>
      </c>
      <c r="BM84" s="596">
        <f t="shared" si="201"/>
        <v>6670.260869565217</v>
      </c>
      <c r="BN84" s="596">
        <f t="shared" si="201"/>
        <v>6556</v>
      </c>
      <c r="BO84" s="596">
        <f t="shared" si="201"/>
        <v>7174</v>
      </c>
      <c r="BP84" s="596">
        <f t="shared" si="201"/>
        <v>7100</v>
      </c>
      <c r="BQ84" s="596">
        <f t="shared" si="201"/>
        <v>6510.7142857142853</v>
      </c>
      <c r="BR84" s="596">
        <f t="shared" si="201"/>
        <v>8353.4500000000007</v>
      </c>
      <c r="BS84" s="596">
        <f t="shared" si="201"/>
        <v>8858.5714285714294</v>
      </c>
      <c r="BT84" s="596">
        <f>AVERAGE(BH84:BS84)</f>
        <v>6879.1268326149084</v>
      </c>
      <c r="BU84" s="28"/>
      <c r="BV84" s="596">
        <v>7000</v>
      </c>
      <c r="BW84" s="596">
        <v>7000</v>
      </c>
      <c r="BX84" s="596">
        <v>7000</v>
      </c>
      <c r="BY84" s="596">
        <v>7200</v>
      </c>
      <c r="BZ84" s="596">
        <v>7200</v>
      </c>
      <c r="CA84" s="596">
        <v>7200</v>
      </c>
      <c r="CB84" s="596">
        <v>7200</v>
      </c>
      <c r="CC84" s="596">
        <f t="shared" ref="CC84" si="202">CB84</f>
        <v>7200</v>
      </c>
      <c r="CD84" s="596">
        <v>7200</v>
      </c>
      <c r="CE84" s="596">
        <v>7200</v>
      </c>
      <c r="CF84" s="596">
        <v>7600</v>
      </c>
      <c r="CG84" s="596">
        <v>7600</v>
      </c>
      <c r="CH84" s="596"/>
      <c r="CI84" s="596"/>
      <c r="CJ84" s="596">
        <v>7500</v>
      </c>
      <c r="CK84" s="596">
        <v>8200</v>
      </c>
      <c r="CL84" s="596">
        <v>9000</v>
      </c>
      <c r="CM84" s="596">
        <v>10000</v>
      </c>
      <c r="CN84" s="596">
        <v>8490</v>
      </c>
      <c r="CO84" s="596">
        <v>9000</v>
      </c>
      <c r="CP84" s="596">
        <v>9800</v>
      </c>
      <c r="CQ84" s="596">
        <v>9900</v>
      </c>
      <c r="CR84" s="596">
        <f t="shared" ref="CR84" si="203">CQ84</f>
        <v>9900</v>
      </c>
      <c r="CS84" s="596">
        <v>9300</v>
      </c>
      <c r="CT84" s="596">
        <v>8400</v>
      </c>
      <c r="CU84" s="596">
        <v>9300</v>
      </c>
      <c r="CV84" s="596"/>
      <c r="CW84" s="758"/>
      <c r="CX84" s="596">
        <v>9319</v>
      </c>
      <c r="CY84" s="596">
        <f>CX84</f>
        <v>9319</v>
      </c>
      <c r="CZ84" s="596">
        <f t="shared" ref="CZ84:DI84" si="204">CY84</f>
        <v>9319</v>
      </c>
      <c r="DA84" s="596">
        <f t="shared" si="204"/>
        <v>9319</v>
      </c>
      <c r="DB84" s="596">
        <f t="shared" si="204"/>
        <v>9319</v>
      </c>
      <c r="DC84" s="596">
        <f t="shared" si="204"/>
        <v>9319</v>
      </c>
      <c r="DD84" s="596">
        <f t="shared" si="204"/>
        <v>9319</v>
      </c>
      <c r="DE84" s="596">
        <f t="shared" si="204"/>
        <v>9319</v>
      </c>
      <c r="DF84" s="596">
        <f t="shared" si="204"/>
        <v>9319</v>
      </c>
      <c r="DG84" s="596">
        <f t="shared" si="204"/>
        <v>9319</v>
      </c>
      <c r="DH84" s="596">
        <f t="shared" si="204"/>
        <v>9319</v>
      </c>
      <c r="DI84" s="596">
        <f t="shared" si="204"/>
        <v>9319</v>
      </c>
      <c r="DJ84" s="596"/>
      <c r="DK84" s="948"/>
      <c r="DL84" s="596">
        <v>9319</v>
      </c>
      <c r="DM84" s="596">
        <f>DL84</f>
        <v>9319</v>
      </c>
      <c r="DN84" s="596">
        <f t="shared" ref="DN84:DW84" si="205">DM84</f>
        <v>9319</v>
      </c>
      <c r="DO84" s="596">
        <f t="shared" si="205"/>
        <v>9319</v>
      </c>
      <c r="DP84" s="596">
        <f t="shared" si="205"/>
        <v>9319</v>
      </c>
      <c r="DQ84" s="596">
        <f t="shared" si="205"/>
        <v>9319</v>
      </c>
      <c r="DR84" s="596">
        <f t="shared" si="205"/>
        <v>9319</v>
      </c>
      <c r="DS84" s="596">
        <f t="shared" si="205"/>
        <v>9319</v>
      </c>
      <c r="DT84" s="596">
        <f t="shared" si="205"/>
        <v>9319</v>
      </c>
      <c r="DU84" s="596">
        <f t="shared" si="205"/>
        <v>9319</v>
      </c>
      <c r="DV84" s="596">
        <f t="shared" si="205"/>
        <v>9319</v>
      </c>
      <c r="DW84" s="596">
        <f t="shared" si="205"/>
        <v>9319</v>
      </c>
      <c r="DX84" s="596"/>
    </row>
    <row r="85" spans="1:129" ht="15.75" hidden="1" customHeight="1" outlineLevel="1">
      <c r="A85" s="821"/>
      <c r="B85" s="822" t="s">
        <v>93</v>
      </c>
      <c r="C85" s="803"/>
      <c r="D85" s="804"/>
      <c r="E85" s="805"/>
      <c r="F85" s="805"/>
      <c r="G85" s="805"/>
      <c r="H85" s="805"/>
      <c r="I85" s="805"/>
      <c r="J85" s="805"/>
      <c r="K85" s="805"/>
      <c r="L85" s="805"/>
      <c r="M85" s="805"/>
      <c r="N85" s="805"/>
      <c r="O85" s="805"/>
      <c r="P85" s="806"/>
      <c r="Q85" s="807"/>
      <c r="R85" s="804"/>
      <c r="S85" s="596">
        <v>15000</v>
      </c>
      <c r="T85" s="596">
        <v>15600</v>
      </c>
      <c r="U85" s="596">
        <v>2000</v>
      </c>
      <c r="V85" s="596">
        <v>10000</v>
      </c>
      <c r="W85" s="596">
        <v>30000</v>
      </c>
      <c r="X85" s="596">
        <v>20000</v>
      </c>
      <c r="Y85" s="596">
        <v>30000</v>
      </c>
      <c r="Z85" s="596">
        <v>30000</v>
      </c>
      <c r="AA85" s="596">
        <v>20000</v>
      </c>
      <c r="AB85" s="596">
        <v>20000</v>
      </c>
      <c r="AC85" s="596">
        <v>10000</v>
      </c>
      <c r="AD85" s="809"/>
      <c r="AE85" s="28"/>
      <c r="AF85" s="808">
        <v>30000</v>
      </c>
      <c r="AG85" s="596">
        <v>20000</v>
      </c>
      <c r="AH85" s="596">
        <v>24960</v>
      </c>
      <c r="AI85" s="596">
        <v>14040</v>
      </c>
      <c r="AJ85" s="596">
        <v>19040</v>
      </c>
      <c r="AK85" s="596">
        <v>12000</v>
      </c>
      <c r="AL85" s="596">
        <v>14000</v>
      </c>
      <c r="AM85" s="596">
        <v>13000</v>
      </c>
      <c r="AN85" s="596">
        <v>13000</v>
      </c>
      <c r="AO85" s="596">
        <v>0</v>
      </c>
      <c r="AP85" s="596">
        <v>0</v>
      </c>
      <c r="AQ85" s="596">
        <v>0</v>
      </c>
      <c r="AR85" s="810">
        <f t="shared" ref="AR85:AR86" si="206">SUM(AF85:AQ85)</f>
        <v>160040</v>
      </c>
      <c r="AS85" s="28"/>
      <c r="AT85" s="596">
        <v>0</v>
      </c>
      <c r="AU85" s="596">
        <v>0</v>
      </c>
      <c r="AV85" s="596"/>
      <c r="AW85" s="596"/>
      <c r="AX85" s="596"/>
      <c r="AY85" s="596"/>
      <c r="AZ85" s="596"/>
      <c r="BA85" s="596"/>
      <c r="BB85" s="596"/>
      <c r="BC85" s="596"/>
      <c r="BD85" s="596"/>
      <c r="BE85" s="596"/>
      <c r="BF85" s="596">
        <f t="shared" ref="BF85:BF86" si="207">SUM(AT85:BE85)</f>
        <v>0</v>
      </c>
      <c r="BG85" s="28">
        <f>BF85-AR85</f>
        <v>-160040</v>
      </c>
      <c r="BH85" s="596"/>
      <c r="BI85" s="596"/>
      <c r="BJ85" s="596"/>
      <c r="BK85" s="596"/>
      <c r="BL85" s="596"/>
      <c r="BM85" s="596"/>
      <c r="BN85" s="596"/>
      <c r="BO85" s="596"/>
      <c r="BP85" s="596"/>
      <c r="BQ85" s="596"/>
      <c r="BR85" s="596"/>
      <c r="BS85" s="596"/>
      <c r="BT85" s="596">
        <f t="shared" ref="BT85" si="208">SUM(BH85:BS85)</f>
        <v>0</v>
      </c>
      <c r="BU85" s="28"/>
      <c r="BV85" s="811">
        <f t="shared" ref="BV85:BZ85" si="209">BV7</f>
        <v>19</v>
      </c>
      <c r="BW85" s="811">
        <f t="shared" si="209"/>
        <v>19</v>
      </c>
      <c r="BX85" s="811">
        <f t="shared" si="209"/>
        <v>21</v>
      </c>
      <c r="BY85" s="811">
        <f t="shared" si="209"/>
        <v>24</v>
      </c>
      <c r="BZ85" s="811">
        <f t="shared" si="209"/>
        <v>23</v>
      </c>
      <c r="CA85" s="811">
        <f>CA7</f>
        <v>22</v>
      </c>
      <c r="CB85" s="811">
        <f t="shared" ref="CB85:CG85" si="210">CB7</f>
        <v>25</v>
      </c>
      <c r="CC85" s="811">
        <f t="shared" si="210"/>
        <v>24</v>
      </c>
      <c r="CD85" s="811">
        <f t="shared" si="210"/>
        <v>24</v>
      </c>
      <c r="CE85" s="811">
        <f t="shared" si="210"/>
        <v>24</v>
      </c>
      <c r="CF85" s="811">
        <f t="shared" si="210"/>
        <v>22</v>
      </c>
      <c r="CG85" s="811">
        <f t="shared" si="210"/>
        <v>13</v>
      </c>
      <c r="CH85" s="596">
        <f t="shared" ref="CH85" si="211">SUM(BV85:CG85)</f>
        <v>260</v>
      </c>
      <c r="CJ85" s="812">
        <f>CJ7</f>
        <v>22</v>
      </c>
      <c r="CK85" s="812">
        <f t="shared" ref="CK85:CO85" si="212">CK7</f>
        <v>23</v>
      </c>
      <c r="CL85" s="812">
        <f t="shared" si="212"/>
        <v>19</v>
      </c>
      <c r="CM85" s="812">
        <f t="shared" si="212"/>
        <v>20</v>
      </c>
      <c r="CN85" s="812">
        <f t="shared" si="212"/>
        <v>21</v>
      </c>
      <c r="CO85" s="812">
        <f t="shared" si="212"/>
        <v>22</v>
      </c>
      <c r="CP85" s="596"/>
      <c r="CQ85" s="596"/>
      <c r="CR85" s="596"/>
      <c r="CS85" s="596"/>
      <c r="CT85" s="596"/>
      <c r="CU85" s="596"/>
      <c r="CV85" s="596">
        <v>131</v>
      </c>
      <c r="CW85" s="758"/>
      <c r="CX85" s="812">
        <f>CX7</f>
        <v>22</v>
      </c>
      <c r="CY85" s="812">
        <f t="shared" ref="CY85:DC85" si="213">CY7</f>
        <v>19</v>
      </c>
      <c r="CZ85" s="812">
        <f t="shared" si="213"/>
        <v>22</v>
      </c>
      <c r="DA85" s="812">
        <f t="shared" si="213"/>
        <v>22</v>
      </c>
      <c r="DB85" s="812">
        <f t="shared" si="213"/>
        <v>20</v>
      </c>
      <c r="DC85" s="812">
        <f>DC7</f>
        <v>21</v>
      </c>
      <c r="DD85" s="812">
        <f t="shared" ref="DD85:DI85" si="214">DD7</f>
        <v>23</v>
      </c>
      <c r="DE85" s="812">
        <f t="shared" si="214"/>
        <v>21</v>
      </c>
      <c r="DF85" s="812">
        <f t="shared" si="214"/>
        <v>23</v>
      </c>
      <c r="DG85" s="812">
        <f t="shared" si="214"/>
        <v>23</v>
      </c>
      <c r="DH85" s="812">
        <f t="shared" si="214"/>
        <v>21</v>
      </c>
      <c r="DI85" s="812">
        <f t="shared" si="214"/>
        <v>16</v>
      </c>
      <c r="DJ85" s="596">
        <v>131</v>
      </c>
      <c r="DK85" s="948"/>
      <c r="DL85" s="812">
        <f>DL7</f>
        <v>22</v>
      </c>
      <c r="DM85" s="812">
        <f t="shared" ref="DM85:DQ85" si="215">DM7</f>
        <v>19</v>
      </c>
      <c r="DN85" s="812">
        <f t="shared" si="215"/>
        <v>22</v>
      </c>
      <c r="DO85" s="812">
        <f t="shared" si="215"/>
        <v>22</v>
      </c>
      <c r="DP85" s="812">
        <f t="shared" si="215"/>
        <v>20</v>
      </c>
      <c r="DQ85" s="812">
        <f>DQ7</f>
        <v>21</v>
      </c>
      <c r="DR85" s="812">
        <f t="shared" ref="DR85:DW85" si="216">DR7</f>
        <v>23</v>
      </c>
      <c r="DS85" s="812">
        <f t="shared" si="216"/>
        <v>21</v>
      </c>
      <c r="DT85" s="812">
        <f t="shared" si="216"/>
        <v>23</v>
      </c>
      <c r="DU85" s="812">
        <f t="shared" si="216"/>
        <v>23</v>
      </c>
      <c r="DV85" s="812">
        <f t="shared" si="216"/>
        <v>21</v>
      </c>
      <c r="DW85" s="812">
        <f t="shared" si="216"/>
        <v>16</v>
      </c>
      <c r="DX85" s="596">
        <v>131</v>
      </c>
    </row>
    <row r="86" spans="1:129" ht="15.75" hidden="1" customHeight="1" outlineLevel="1">
      <c r="A86" s="821"/>
      <c r="B86" s="822" t="s">
        <v>94</v>
      </c>
      <c r="C86" s="803"/>
      <c r="D86" s="804"/>
      <c r="E86" s="805"/>
      <c r="F86" s="805"/>
      <c r="G86" s="805"/>
      <c r="H86" s="805"/>
      <c r="I86" s="805"/>
      <c r="J86" s="805"/>
      <c r="K86" s="805"/>
      <c r="L86" s="805"/>
      <c r="M86" s="805"/>
      <c r="N86" s="805"/>
      <c r="O86" s="805"/>
      <c r="P86" s="806"/>
      <c r="Q86" s="807"/>
      <c r="R86" s="804"/>
      <c r="S86" s="596"/>
      <c r="T86" s="596">
        <v>0</v>
      </c>
      <c r="U86" s="596">
        <v>0</v>
      </c>
      <c r="V86" s="596">
        <v>0</v>
      </c>
      <c r="W86" s="596">
        <v>0</v>
      </c>
      <c r="X86" s="596">
        <v>0</v>
      </c>
      <c r="Y86" s="596">
        <v>13500</v>
      </c>
      <c r="Z86" s="596">
        <v>9000</v>
      </c>
      <c r="AA86" s="596">
        <v>9000</v>
      </c>
      <c r="AB86" s="596">
        <v>9000</v>
      </c>
      <c r="AC86" s="596">
        <v>0</v>
      </c>
      <c r="AD86" s="809"/>
      <c r="AE86" s="28"/>
      <c r="AF86" s="596">
        <v>13500</v>
      </c>
      <c r="AG86" s="596">
        <v>13500</v>
      </c>
      <c r="AH86" s="596">
        <v>2820</v>
      </c>
      <c r="AI86" s="596">
        <v>0</v>
      </c>
      <c r="AJ86" s="596">
        <v>0</v>
      </c>
      <c r="AK86" s="596">
        <v>0</v>
      </c>
      <c r="AL86" s="596">
        <v>0</v>
      </c>
      <c r="AM86" s="596"/>
      <c r="AN86" s="596"/>
      <c r="AO86" s="596"/>
      <c r="AP86" s="596"/>
      <c r="AQ86" s="596"/>
      <c r="AR86" s="810">
        <f t="shared" si="206"/>
        <v>29820</v>
      </c>
      <c r="AS86" s="28"/>
      <c r="AT86" s="596"/>
      <c r="AU86" s="596"/>
      <c r="AV86" s="596"/>
      <c r="AW86" s="596">
        <v>4000</v>
      </c>
      <c r="AX86" s="596">
        <v>8000</v>
      </c>
      <c r="AY86" s="596">
        <v>5000</v>
      </c>
      <c r="AZ86" s="596">
        <v>10000</v>
      </c>
      <c r="BA86" s="596">
        <v>10000</v>
      </c>
      <c r="BB86" s="596">
        <v>0</v>
      </c>
      <c r="BC86" s="596">
        <v>0</v>
      </c>
      <c r="BD86" s="596">
        <v>0</v>
      </c>
      <c r="BE86" s="596"/>
      <c r="BF86" s="596">
        <f t="shared" si="207"/>
        <v>37000</v>
      </c>
      <c r="BG86" s="28"/>
      <c r="BH86" s="596">
        <v>3000</v>
      </c>
      <c r="BI86" s="596"/>
      <c r="BJ86" s="596"/>
      <c r="BK86" s="596"/>
      <c r="BL86" s="596"/>
      <c r="BM86" s="596"/>
      <c r="BN86" s="596"/>
      <c r="BO86" s="596">
        <v>10000</v>
      </c>
      <c r="BP86" s="596">
        <v>15000</v>
      </c>
      <c r="BQ86" s="596">
        <v>20000</v>
      </c>
      <c r="BR86" s="596">
        <v>15000</v>
      </c>
      <c r="BS86" s="596">
        <f>7200*9/2</f>
        <v>32400</v>
      </c>
      <c r="BT86" s="596">
        <f>SUM(BH86:BS86)</f>
        <v>95400</v>
      </c>
      <c r="BU86" s="28"/>
      <c r="BV86" s="596">
        <f>BV89-BV80</f>
        <v>21584</v>
      </c>
      <c r="BW86" s="596">
        <f t="shared" ref="BW86:CG86" si="217">BW89-BW80</f>
        <v>18963</v>
      </c>
      <c r="BX86" s="596">
        <f t="shared" si="217"/>
        <v>-2354</v>
      </c>
      <c r="BY86" s="596">
        <f t="shared" si="217"/>
        <v>5998</v>
      </c>
      <c r="BZ86" s="596">
        <f t="shared" si="217"/>
        <v>-13737</v>
      </c>
      <c r="CA86" s="596">
        <f t="shared" si="217"/>
        <v>-6090</v>
      </c>
      <c r="CB86" s="596">
        <f t="shared" si="217"/>
        <v>-2176</v>
      </c>
      <c r="CC86" s="596">
        <f t="shared" si="217"/>
        <v>-17344</v>
      </c>
      <c r="CD86" s="596">
        <f t="shared" si="217"/>
        <v>-13369</v>
      </c>
      <c r="CE86" s="596">
        <f t="shared" si="217"/>
        <v>793</v>
      </c>
      <c r="CF86" s="596">
        <f t="shared" si="217"/>
        <v>-12350</v>
      </c>
      <c r="CG86" s="596">
        <f t="shared" si="217"/>
        <v>-98800</v>
      </c>
      <c r="CH86" s="810">
        <f>SUM(CD86:CG86)</f>
        <v>-123726</v>
      </c>
      <c r="CJ86" s="596">
        <f>BV89</f>
        <v>154584</v>
      </c>
      <c r="CK86" s="596">
        <f t="shared" ref="CK86:CS86" si="218">BW89</f>
        <v>151963</v>
      </c>
      <c r="CL86" s="596">
        <f>BX89</f>
        <v>144646</v>
      </c>
      <c r="CM86" s="596">
        <f t="shared" si="218"/>
        <v>178798</v>
      </c>
      <c r="CN86" s="596">
        <f t="shared" si="218"/>
        <v>151863</v>
      </c>
      <c r="CO86" s="596">
        <f t="shared" si="218"/>
        <v>152310</v>
      </c>
      <c r="CP86" s="596">
        <f t="shared" si="218"/>
        <v>177824</v>
      </c>
      <c r="CQ86" s="596">
        <f t="shared" si="218"/>
        <v>155456</v>
      </c>
      <c r="CR86" s="596">
        <f t="shared" si="218"/>
        <v>159431</v>
      </c>
      <c r="CS86" s="596">
        <f t="shared" si="218"/>
        <v>173593</v>
      </c>
      <c r="CT86" s="596">
        <v>146546</v>
      </c>
      <c r="CU86" s="596">
        <v>111901</v>
      </c>
      <c r="CV86" s="596">
        <v>127800</v>
      </c>
      <c r="CW86" s="758"/>
      <c r="CX86" s="596">
        <f>CJ86</f>
        <v>154584</v>
      </c>
      <c r="CY86" s="596">
        <f t="shared" ref="CY86:DI86" si="219">CK86</f>
        <v>151963</v>
      </c>
      <c r="CZ86" s="596">
        <f t="shared" si="219"/>
        <v>144646</v>
      </c>
      <c r="DA86" s="596">
        <f t="shared" si="219"/>
        <v>178798</v>
      </c>
      <c r="DB86" s="596">
        <f t="shared" si="219"/>
        <v>151863</v>
      </c>
      <c r="DC86" s="596">
        <f t="shared" si="219"/>
        <v>152310</v>
      </c>
      <c r="DD86" s="596">
        <f t="shared" si="219"/>
        <v>177824</v>
      </c>
      <c r="DE86" s="596">
        <f t="shared" si="219"/>
        <v>155456</v>
      </c>
      <c r="DF86" s="596">
        <f t="shared" si="219"/>
        <v>159431</v>
      </c>
      <c r="DG86" s="596">
        <f t="shared" si="219"/>
        <v>173593</v>
      </c>
      <c r="DH86" s="596">
        <f t="shared" si="219"/>
        <v>146546</v>
      </c>
      <c r="DI86" s="596">
        <f t="shared" si="219"/>
        <v>111901</v>
      </c>
      <c r="DJ86" s="596">
        <v>127800</v>
      </c>
      <c r="DK86" s="948"/>
      <c r="DL86" s="596">
        <f>CX86</f>
        <v>154584</v>
      </c>
      <c r="DM86" s="596">
        <f t="shared" ref="DM86:DW86" si="220">CY86</f>
        <v>151963</v>
      </c>
      <c r="DN86" s="596">
        <f t="shared" si="220"/>
        <v>144646</v>
      </c>
      <c r="DO86" s="596">
        <f t="shared" si="220"/>
        <v>178798</v>
      </c>
      <c r="DP86" s="596">
        <f t="shared" si="220"/>
        <v>151863</v>
      </c>
      <c r="DQ86" s="596">
        <f t="shared" si="220"/>
        <v>152310</v>
      </c>
      <c r="DR86" s="596">
        <f t="shared" si="220"/>
        <v>177824</v>
      </c>
      <c r="DS86" s="596">
        <f t="shared" si="220"/>
        <v>155456</v>
      </c>
      <c r="DT86" s="596">
        <f t="shared" si="220"/>
        <v>159431</v>
      </c>
      <c r="DU86" s="596">
        <f t="shared" si="220"/>
        <v>173593</v>
      </c>
      <c r="DV86" s="596">
        <f t="shared" si="220"/>
        <v>146546</v>
      </c>
      <c r="DW86" s="596">
        <f t="shared" si="220"/>
        <v>111901</v>
      </c>
      <c r="DX86" s="596">
        <v>127800</v>
      </c>
    </row>
    <row r="87" spans="1:129" ht="15.75" hidden="1" customHeight="1" outlineLevel="1">
      <c r="A87" s="821"/>
      <c r="B87" s="822" t="s">
        <v>105</v>
      </c>
      <c r="C87" s="803"/>
      <c r="D87" s="804"/>
      <c r="E87" s="805"/>
      <c r="F87" s="805"/>
      <c r="G87" s="805"/>
      <c r="H87" s="805"/>
      <c r="I87" s="805"/>
      <c r="J87" s="805"/>
      <c r="K87" s="805"/>
      <c r="L87" s="805"/>
      <c r="M87" s="805"/>
      <c r="N87" s="805"/>
      <c r="O87" s="805"/>
      <c r="P87" s="806"/>
      <c r="Q87" s="807"/>
      <c r="R87" s="804"/>
      <c r="S87" s="596"/>
      <c r="T87" s="596"/>
      <c r="U87" s="596"/>
      <c r="V87" s="596"/>
      <c r="W87" s="596"/>
      <c r="X87" s="596"/>
      <c r="Y87" s="596"/>
      <c r="Z87" s="596"/>
      <c r="AA87" s="596"/>
      <c r="AB87" s="596"/>
      <c r="AC87" s="596"/>
      <c r="AD87" s="809"/>
      <c r="AE87" s="28"/>
      <c r="AF87" s="596"/>
      <c r="AG87" s="596"/>
      <c r="AH87" s="596"/>
      <c r="AI87" s="596"/>
      <c r="AJ87" s="596"/>
      <c r="AK87" s="596"/>
      <c r="AL87" s="596"/>
      <c r="AM87" s="596"/>
      <c r="AN87" s="596"/>
      <c r="AO87" s="596">
        <f t="shared" ref="AO87:AQ87" si="221">AO80*9.68</f>
        <v>1355200</v>
      </c>
      <c r="AP87" s="596">
        <f t="shared" si="221"/>
        <v>1258400</v>
      </c>
      <c r="AQ87" s="596">
        <f t="shared" si="221"/>
        <v>968000</v>
      </c>
      <c r="AR87" s="810"/>
      <c r="AS87" s="28"/>
      <c r="AT87" s="596">
        <f t="shared" ref="AT87:BF87" si="222">AT80*9.68</f>
        <v>1287440</v>
      </c>
      <c r="AU87" s="596">
        <f t="shared" si="222"/>
        <v>1211742.3999999999</v>
      </c>
      <c r="AV87" s="596">
        <f t="shared" si="222"/>
        <v>1134767.04</v>
      </c>
      <c r="AW87" s="596">
        <f t="shared" si="222"/>
        <v>1234200</v>
      </c>
      <c r="AX87" s="596">
        <f t="shared" si="222"/>
        <v>1355200</v>
      </c>
      <c r="AY87" s="596">
        <f t="shared" si="222"/>
        <v>1532760.2399903198</v>
      </c>
      <c r="AZ87" s="596">
        <f t="shared" si="222"/>
        <v>1475319.1199999999</v>
      </c>
      <c r="BA87" s="596">
        <f t="shared" si="222"/>
        <v>1679673.5999999999</v>
      </c>
      <c r="BB87" s="596">
        <f t="shared" si="222"/>
        <v>1597200</v>
      </c>
      <c r="BC87" s="596">
        <f t="shared" si="222"/>
        <v>1524600</v>
      </c>
      <c r="BD87" s="596">
        <f t="shared" si="222"/>
        <v>1252892.08</v>
      </c>
      <c r="BE87" s="596">
        <f t="shared" si="222"/>
        <v>597256</v>
      </c>
      <c r="BF87" s="596">
        <f t="shared" si="222"/>
        <v>15883050.47999032</v>
      </c>
      <c r="BG87" s="28"/>
      <c r="BH87" s="596"/>
      <c r="BI87" s="596"/>
      <c r="BJ87" s="596"/>
      <c r="BK87" s="596"/>
      <c r="BL87" s="596"/>
      <c r="BM87" s="596"/>
      <c r="BN87" s="596"/>
      <c r="BO87" s="596"/>
      <c r="BP87" s="596"/>
      <c r="BQ87" s="596"/>
      <c r="BR87" s="596"/>
      <c r="BS87" s="596"/>
      <c r="BT87" s="596"/>
      <c r="BU87" s="28"/>
      <c r="BV87" s="596"/>
      <c r="BW87" s="596"/>
      <c r="BX87" s="596"/>
      <c r="BY87" s="596"/>
      <c r="BZ87" s="596"/>
      <c r="CA87" s="596"/>
      <c r="CB87" s="596"/>
      <c r="CC87" s="596"/>
      <c r="CD87" s="596" t="s">
        <v>96</v>
      </c>
      <c r="CE87" s="596"/>
      <c r="CF87" s="813" t="s">
        <v>97</v>
      </c>
      <c r="CG87" s="596"/>
      <c r="CH87" s="596"/>
      <c r="CJ87" s="596"/>
      <c r="CK87" s="596"/>
      <c r="CL87" s="596"/>
      <c r="CM87" s="596">
        <v>61884.012959999985</v>
      </c>
      <c r="CN87" s="596">
        <f>CM87</f>
        <v>61884.012959999985</v>
      </c>
      <c r="CO87" s="596">
        <f t="shared" ref="CO87:CU87" si="223">CN87</f>
        <v>61884.012959999985</v>
      </c>
      <c r="CP87" s="596">
        <f t="shared" si="223"/>
        <v>61884.012959999985</v>
      </c>
      <c r="CQ87" s="596">
        <f t="shared" si="223"/>
        <v>61884.012959999985</v>
      </c>
      <c r="CR87" s="596">
        <f t="shared" si="223"/>
        <v>61884.012959999985</v>
      </c>
      <c r="CS87" s="596">
        <f t="shared" si="223"/>
        <v>61884.012959999985</v>
      </c>
      <c r="CT87" s="596">
        <f t="shared" si="223"/>
        <v>61884.012959999985</v>
      </c>
      <c r="CU87" s="596">
        <f t="shared" si="223"/>
        <v>61884.012959999985</v>
      </c>
      <c r="CV87" s="596"/>
      <c r="CW87" s="758"/>
      <c r="CX87" s="596" t="s">
        <v>133</v>
      </c>
      <c r="CY87" s="596"/>
      <c r="CZ87" s="596"/>
      <c r="DA87" s="596"/>
      <c r="DB87" s="596"/>
      <c r="DC87" s="596"/>
      <c r="DD87" s="596"/>
      <c r="DE87" s="596"/>
      <c r="DF87" s="596"/>
      <c r="DG87" s="596"/>
      <c r="DH87" s="596"/>
      <c r="DI87" s="596"/>
      <c r="DJ87" s="596"/>
      <c r="DK87" s="948"/>
      <c r="DL87" s="596" t="s">
        <v>133</v>
      </c>
      <c r="DM87" s="596"/>
      <c r="DN87" s="596"/>
      <c r="DO87" s="596"/>
      <c r="DP87" s="596"/>
      <c r="DQ87" s="596"/>
      <c r="DR87" s="596"/>
      <c r="DS87" s="596"/>
      <c r="DT87" s="596"/>
      <c r="DU87" s="596"/>
      <c r="DV87" s="596"/>
      <c r="DW87" s="596"/>
      <c r="DX87" s="596"/>
    </row>
    <row r="88" spans="1:129" ht="15.75" hidden="1" customHeight="1" outlineLevel="1">
      <c r="A88" s="821"/>
      <c r="B88" s="822" t="s">
        <v>98</v>
      </c>
      <c r="C88" s="803"/>
      <c r="D88" s="804"/>
      <c r="E88" s="805"/>
      <c r="F88" s="805"/>
      <c r="G88" s="805"/>
      <c r="H88" s="805"/>
      <c r="I88" s="805"/>
      <c r="J88" s="805"/>
      <c r="K88" s="805"/>
      <c r="L88" s="805"/>
      <c r="M88" s="805"/>
      <c r="N88" s="805"/>
      <c r="O88" s="805"/>
      <c r="P88" s="806"/>
      <c r="Q88" s="807"/>
      <c r="R88" s="804"/>
      <c r="S88" s="596"/>
      <c r="T88" s="596"/>
      <c r="U88" s="596"/>
      <c r="V88" s="596"/>
      <c r="W88" s="596"/>
      <c r="X88" s="596"/>
      <c r="Y88" s="596"/>
      <c r="Z88" s="596"/>
      <c r="AA88" s="596"/>
      <c r="AB88" s="596"/>
      <c r="AC88" s="596"/>
      <c r="AD88" s="809"/>
      <c r="AE88" s="28"/>
      <c r="AF88" s="808"/>
      <c r="AG88" s="596"/>
      <c r="AH88" s="596"/>
      <c r="AI88" s="596"/>
      <c r="AJ88" s="596"/>
      <c r="AK88" s="596"/>
      <c r="AL88" s="596"/>
      <c r="AM88" s="596"/>
      <c r="AN88" s="596"/>
      <c r="AO88" s="596"/>
      <c r="AP88" s="596"/>
      <c r="AQ88" s="596"/>
      <c r="AR88" s="810"/>
      <c r="AS88" s="28"/>
      <c r="AT88" s="596"/>
      <c r="AU88" s="596"/>
      <c r="AV88" s="596"/>
      <c r="AW88" s="596"/>
      <c r="AX88" s="596"/>
      <c r="AY88" s="596"/>
      <c r="AZ88" s="596"/>
      <c r="BA88" s="596"/>
      <c r="BB88" s="596"/>
      <c r="BC88" s="596"/>
      <c r="BD88" s="596"/>
      <c r="BE88" s="596"/>
      <c r="BF88" s="596"/>
      <c r="BG88" s="28"/>
      <c r="BH88" s="596"/>
      <c r="BI88" s="596"/>
      <c r="BJ88" s="596"/>
      <c r="BK88" s="596"/>
      <c r="BL88" s="596"/>
      <c r="BM88" s="596"/>
      <c r="BN88" s="596"/>
      <c r="BO88" s="596"/>
      <c r="BP88" s="596"/>
      <c r="BQ88" s="596"/>
      <c r="BR88" s="596"/>
      <c r="BS88" s="596"/>
      <c r="BT88" s="596"/>
      <c r="BU88" s="28"/>
      <c r="BV88" s="596"/>
      <c r="BW88" s="596"/>
      <c r="BX88" s="596"/>
      <c r="BY88" s="596"/>
      <c r="BZ88" s="596"/>
      <c r="CA88" s="596"/>
      <c r="CB88" s="596"/>
      <c r="CC88" s="596"/>
      <c r="CD88" s="596"/>
      <c r="CE88" s="596"/>
      <c r="CF88" s="813"/>
      <c r="CG88" s="596"/>
      <c r="CH88" s="596"/>
      <c r="CJ88" s="596"/>
      <c r="CK88" s="596"/>
      <c r="CL88" s="596"/>
      <c r="CM88" s="596">
        <f>CM87*CM7</f>
        <v>1237680.2591999997</v>
      </c>
      <c r="CN88" s="596">
        <f>CN87*CN7</f>
        <v>1299564.2721599997</v>
      </c>
      <c r="CO88" s="596">
        <f t="shared" ref="CO88:CV88" si="224">CO87*CO7</f>
        <v>1361448.2851199997</v>
      </c>
      <c r="CP88" s="596">
        <f t="shared" si="224"/>
        <v>1547100.3239999996</v>
      </c>
      <c r="CQ88" s="596">
        <f>CQ87*CQ7</f>
        <v>1299564.2721599997</v>
      </c>
      <c r="CR88" s="596">
        <f t="shared" si="224"/>
        <v>1361448.2851199997</v>
      </c>
      <c r="CS88" s="596">
        <f t="shared" si="224"/>
        <v>1423332.2980799996</v>
      </c>
      <c r="CT88" s="596">
        <f t="shared" si="224"/>
        <v>1361448.2851199997</v>
      </c>
      <c r="CU88" s="596">
        <f t="shared" si="224"/>
        <v>1052028.2203199998</v>
      </c>
      <c r="CV88" s="596"/>
      <c r="CW88" s="758"/>
      <c r="CX88" s="596"/>
      <c r="CY88" s="596"/>
      <c r="CZ88" s="596"/>
      <c r="DA88" s="596"/>
      <c r="DB88" s="596"/>
      <c r="DC88" s="596"/>
      <c r="DD88" s="596"/>
      <c r="DE88" s="596"/>
      <c r="DF88" s="596"/>
      <c r="DG88" s="596"/>
      <c r="DH88" s="596"/>
      <c r="DI88" s="596"/>
      <c r="DJ88" s="596"/>
      <c r="DK88" s="948"/>
      <c r="DL88" s="596"/>
      <c r="DM88" s="596"/>
      <c r="DN88" s="596"/>
      <c r="DO88" s="596"/>
      <c r="DP88" s="596"/>
      <c r="DQ88" s="596"/>
      <c r="DR88" s="596"/>
      <c r="DS88" s="596"/>
      <c r="DT88" s="596"/>
      <c r="DU88" s="596"/>
      <c r="DV88" s="596"/>
      <c r="DW88" s="596"/>
      <c r="DX88" s="596"/>
    </row>
    <row r="89" spans="1:129" ht="18.75" hidden="1">
      <c r="A89" s="821" t="s">
        <v>99</v>
      </c>
      <c r="B89" s="823" t="s">
        <v>100</v>
      </c>
      <c r="C89" s="814"/>
      <c r="D89" s="815">
        <v>95972</v>
      </c>
      <c r="E89" s="816">
        <v>130805</v>
      </c>
      <c r="F89" s="816">
        <v>121914</v>
      </c>
      <c r="G89" s="816">
        <v>165455</v>
      </c>
      <c r="H89" s="816">
        <v>192013</v>
      </c>
      <c r="I89" s="816">
        <v>167281</v>
      </c>
      <c r="J89" s="816">
        <v>181409</v>
      </c>
      <c r="K89" s="816">
        <v>163138</v>
      </c>
      <c r="L89" s="816">
        <v>169051</v>
      </c>
      <c r="M89" s="816">
        <v>183254</v>
      </c>
      <c r="N89" s="816"/>
      <c r="O89" s="816"/>
      <c r="P89" s="817">
        <f>SUM(D89:O89)</f>
        <v>1570292</v>
      </c>
      <c r="Q89" s="818"/>
      <c r="R89" s="815">
        <v>149582</v>
      </c>
      <c r="S89" s="810">
        <v>152735</v>
      </c>
      <c r="T89" s="810">
        <v>107681</v>
      </c>
      <c r="U89" s="810">
        <v>2974</v>
      </c>
      <c r="V89" s="810">
        <v>32639</v>
      </c>
      <c r="W89" s="810">
        <v>153121</v>
      </c>
      <c r="X89" s="810">
        <v>198635</v>
      </c>
      <c r="Y89" s="810">
        <v>160489</v>
      </c>
      <c r="Z89" s="810">
        <v>160893</v>
      </c>
      <c r="AA89" s="810">
        <v>180999</v>
      </c>
      <c r="AB89" s="810">
        <v>167265</v>
      </c>
      <c r="AC89" s="810">
        <v>135424</v>
      </c>
      <c r="AD89" s="819">
        <f>SUM(R89:AC89)</f>
        <v>1602437</v>
      </c>
      <c r="AE89" s="18"/>
      <c r="AF89" s="820">
        <v>145616</v>
      </c>
      <c r="AG89" s="810">
        <v>168450</v>
      </c>
      <c r="AH89" s="810">
        <v>153291</v>
      </c>
      <c r="AI89" s="810">
        <v>149378</v>
      </c>
      <c r="AJ89" s="810">
        <v>196360</v>
      </c>
      <c r="AK89" s="810">
        <v>170558</v>
      </c>
      <c r="AL89" s="810">
        <v>171758</v>
      </c>
      <c r="AM89" s="810">
        <f t="shared" ref="AM89:AQ89" si="225">SUM(AM90:AM91)</f>
        <v>168974</v>
      </c>
      <c r="AN89" s="810">
        <f t="shared" si="225"/>
        <v>144792</v>
      </c>
      <c r="AO89" s="810">
        <f t="shared" si="225"/>
        <v>141375</v>
      </c>
      <c r="AP89" s="810">
        <f t="shared" si="225"/>
        <v>143221</v>
      </c>
      <c r="AQ89" s="810">
        <f t="shared" si="225"/>
        <v>85543</v>
      </c>
      <c r="AR89" s="810">
        <f t="shared" ref="AR89:AR93" si="226">SUM(AF89:AQ89)</f>
        <v>1839316</v>
      </c>
      <c r="AS89" s="28"/>
      <c r="AT89" s="810">
        <f t="shared" ref="AT89:BE89" si="227">SUM(AT90:AT91)</f>
        <v>120211</v>
      </c>
      <c r="AU89" s="810">
        <f t="shared" si="227"/>
        <v>120216</v>
      </c>
      <c r="AV89" s="810">
        <f t="shared" si="227"/>
        <v>101053</v>
      </c>
      <c r="AW89" s="810">
        <f t="shared" si="227"/>
        <v>137388</v>
      </c>
      <c r="AX89" s="810">
        <f t="shared" si="227"/>
        <v>137400</v>
      </c>
      <c r="AY89" s="810">
        <f t="shared" si="227"/>
        <v>135412</v>
      </c>
      <c r="AZ89" s="810">
        <f t="shared" si="227"/>
        <v>157032</v>
      </c>
      <c r="BA89" s="810">
        <f t="shared" si="227"/>
        <v>173287</v>
      </c>
      <c r="BB89" s="596">
        <f t="shared" si="227"/>
        <v>166815</v>
      </c>
      <c r="BC89" s="596">
        <f t="shared" si="227"/>
        <v>153816</v>
      </c>
      <c r="BD89" s="596">
        <f t="shared" si="227"/>
        <v>138051</v>
      </c>
      <c r="BE89" s="596">
        <f t="shared" si="227"/>
        <v>55950</v>
      </c>
      <c r="BF89" s="596">
        <f t="shared" ref="BF89:BF93" si="228">SUM(AT89:BE89)</f>
        <v>1596631</v>
      </c>
      <c r="BG89" s="54">
        <f>BF89/AR89-1</f>
        <v>-0.1319430701412917</v>
      </c>
      <c r="BH89" s="810">
        <f t="shared" ref="BH89:BQ89" si="229">SUM(BH90:BH91)</f>
        <v>138562</v>
      </c>
      <c r="BI89" s="810">
        <f t="shared" si="229"/>
        <v>109391</v>
      </c>
      <c r="BJ89" s="810">
        <f t="shared" si="229"/>
        <v>160056</v>
      </c>
      <c r="BK89" s="810">
        <f t="shared" si="229"/>
        <v>124826</v>
      </c>
      <c r="BL89" s="810">
        <f t="shared" si="229"/>
        <v>151185</v>
      </c>
      <c r="BM89" s="810">
        <f t="shared" si="229"/>
        <v>134688</v>
      </c>
      <c r="BN89" s="810">
        <f t="shared" si="229"/>
        <v>157005</v>
      </c>
      <c r="BO89" s="810">
        <f t="shared" si="229"/>
        <v>151231</v>
      </c>
      <c r="BP89" s="810">
        <f t="shared" si="229"/>
        <v>143335</v>
      </c>
      <c r="BQ89" s="810">
        <f t="shared" si="229"/>
        <v>159215</v>
      </c>
      <c r="BR89" s="810"/>
      <c r="BS89" s="810"/>
      <c r="BT89" s="810">
        <f t="shared" ref="BT89:BT93" si="230">SUM(BH89:BS89)</f>
        <v>1429494</v>
      </c>
      <c r="BU89" s="18"/>
      <c r="BV89" s="810">
        <v>154584</v>
      </c>
      <c r="BW89" s="810">
        <v>151963</v>
      </c>
      <c r="BX89" s="810">
        <v>144646</v>
      </c>
      <c r="BY89" s="810">
        <v>178798</v>
      </c>
      <c r="BZ89" s="810">
        <v>151863</v>
      </c>
      <c r="CA89" s="810">
        <v>152310</v>
      </c>
      <c r="CB89" s="810">
        <f>CB90+CB91</f>
        <v>177824</v>
      </c>
      <c r="CC89" s="810">
        <f t="shared" ref="CC89:CJ89" si="231">CC90+CC91</f>
        <v>155456</v>
      </c>
      <c r="CD89" s="810">
        <f t="shared" si="231"/>
        <v>159431</v>
      </c>
      <c r="CE89" s="810">
        <v>173593</v>
      </c>
      <c r="CF89" s="810">
        <v>154850</v>
      </c>
      <c r="CG89" s="810">
        <f t="shared" si="231"/>
        <v>0</v>
      </c>
      <c r="CH89" s="810">
        <f t="shared" ref="CH89" si="232">SUM(BV89:CG89)</f>
        <v>1755318</v>
      </c>
      <c r="CJ89" s="810">
        <v>155428</v>
      </c>
      <c r="CK89" s="810">
        <f>SUM(CK90:CK91)</f>
        <v>182595</v>
      </c>
      <c r="CL89" s="810">
        <f>SUM(CL90:CL91)</f>
        <v>175111</v>
      </c>
      <c r="CM89" s="810">
        <f>SUM(CM90:CM91)</f>
        <v>192052</v>
      </c>
      <c r="CN89" s="810">
        <v>214788</v>
      </c>
      <c r="CO89" s="810">
        <v>143727</v>
      </c>
      <c r="CP89" s="810">
        <v>191217</v>
      </c>
      <c r="CQ89" s="810">
        <v>180648</v>
      </c>
      <c r="CR89" s="810">
        <v>180874</v>
      </c>
      <c r="CS89" s="810"/>
      <c r="CT89" s="810"/>
      <c r="CU89" s="810"/>
      <c r="CV89" s="810"/>
      <c r="CW89" s="758"/>
      <c r="CX89" s="810">
        <f>CJ89</f>
        <v>155428</v>
      </c>
      <c r="CY89" s="810">
        <f t="shared" ref="CY89:DI89" si="233">CK89</f>
        <v>182595</v>
      </c>
      <c r="CZ89" s="810">
        <f t="shared" si="233"/>
        <v>175111</v>
      </c>
      <c r="DA89" s="810">
        <f t="shared" si="233"/>
        <v>192052</v>
      </c>
      <c r="DB89" s="810">
        <f t="shared" si="233"/>
        <v>214788</v>
      </c>
      <c r="DC89" s="810">
        <f t="shared" si="233"/>
        <v>143727</v>
      </c>
      <c r="DD89" s="810">
        <f t="shared" si="233"/>
        <v>191217</v>
      </c>
      <c r="DE89" s="810">
        <f t="shared" si="233"/>
        <v>180648</v>
      </c>
      <c r="DF89" s="810">
        <f t="shared" si="233"/>
        <v>180874</v>
      </c>
      <c r="DG89" s="810">
        <f t="shared" si="233"/>
        <v>0</v>
      </c>
      <c r="DH89" s="810">
        <f t="shared" si="233"/>
        <v>0</v>
      </c>
      <c r="DI89" s="810">
        <f t="shared" si="233"/>
        <v>0</v>
      </c>
      <c r="DJ89" s="810"/>
      <c r="DK89" s="948"/>
      <c r="DL89" s="810">
        <f>CX89</f>
        <v>155428</v>
      </c>
      <c r="DM89" s="810">
        <f t="shared" ref="DM89:DW89" si="234">CY89</f>
        <v>182595</v>
      </c>
      <c r="DN89" s="810">
        <f t="shared" si="234"/>
        <v>175111</v>
      </c>
      <c r="DO89" s="810">
        <f t="shared" si="234"/>
        <v>192052</v>
      </c>
      <c r="DP89" s="810">
        <f t="shared" si="234"/>
        <v>214788</v>
      </c>
      <c r="DQ89" s="810">
        <f t="shared" si="234"/>
        <v>143727</v>
      </c>
      <c r="DR89" s="810">
        <f t="shared" si="234"/>
        <v>191217</v>
      </c>
      <c r="DS89" s="810">
        <f t="shared" si="234"/>
        <v>180648</v>
      </c>
      <c r="DT89" s="810">
        <f t="shared" si="234"/>
        <v>180874</v>
      </c>
      <c r="DU89" s="810">
        <f t="shared" si="234"/>
        <v>0</v>
      </c>
      <c r="DV89" s="810">
        <f t="shared" si="234"/>
        <v>0</v>
      </c>
      <c r="DW89" s="810">
        <f t="shared" si="234"/>
        <v>0</v>
      </c>
      <c r="DX89" s="810"/>
    </row>
    <row r="90" spans="1:129" ht="15.75" customHeight="1">
      <c r="A90" s="821"/>
      <c r="B90" s="823" t="s">
        <v>134</v>
      </c>
      <c r="C90" s="814"/>
      <c r="D90" s="804"/>
      <c r="E90" s="805"/>
      <c r="F90" s="805"/>
      <c r="G90" s="805"/>
      <c r="H90" s="805"/>
      <c r="I90" s="805"/>
      <c r="J90" s="805"/>
      <c r="K90" s="805"/>
      <c r="L90" s="805"/>
      <c r="M90" s="805"/>
      <c r="N90" s="805"/>
      <c r="O90" s="805"/>
      <c r="P90" s="806"/>
      <c r="Q90" s="807"/>
      <c r="R90" s="804"/>
      <c r="S90" s="596"/>
      <c r="T90" s="596"/>
      <c r="U90" s="596"/>
      <c r="V90" s="596"/>
      <c r="W90" s="596"/>
      <c r="X90" s="596"/>
      <c r="Y90" s="596"/>
      <c r="Z90" s="596"/>
      <c r="AA90" s="596"/>
      <c r="AB90" s="596"/>
      <c r="AC90" s="596"/>
      <c r="AD90" s="809"/>
      <c r="AE90" s="28"/>
      <c r="AF90" s="808">
        <v>126362</v>
      </c>
      <c r="AG90" s="596">
        <v>153970</v>
      </c>
      <c r="AH90" s="596">
        <v>128331</v>
      </c>
      <c r="AI90" s="596">
        <v>135338</v>
      </c>
      <c r="AJ90" s="596">
        <v>177312</v>
      </c>
      <c r="AK90" s="596">
        <v>150818</v>
      </c>
      <c r="AL90" s="596">
        <v>158858</v>
      </c>
      <c r="AM90" s="596">
        <v>153933</v>
      </c>
      <c r="AN90" s="596">
        <v>134244</v>
      </c>
      <c r="AO90" s="596">
        <v>137435</v>
      </c>
      <c r="AP90" s="596">
        <v>143221</v>
      </c>
      <c r="AQ90" s="596">
        <v>85543</v>
      </c>
      <c r="AR90" s="810">
        <f t="shared" si="226"/>
        <v>1685365</v>
      </c>
      <c r="AS90" s="28"/>
      <c r="AT90" s="596">
        <v>120211</v>
      </c>
      <c r="AU90" s="596">
        <v>120216</v>
      </c>
      <c r="AV90" s="596">
        <v>101053</v>
      </c>
      <c r="AW90" s="596">
        <v>137388</v>
      </c>
      <c r="AX90" s="596">
        <v>137400</v>
      </c>
      <c r="AY90" s="596">
        <v>135412</v>
      </c>
      <c r="AZ90" s="596">
        <v>157032</v>
      </c>
      <c r="BA90" s="596">
        <v>172227</v>
      </c>
      <c r="BB90" s="596">
        <f>157995+8500</f>
        <v>166495</v>
      </c>
      <c r="BC90" s="596">
        <v>153816</v>
      </c>
      <c r="BD90" s="596">
        <v>138051</v>
      </c>
      <c r="BE90" s="596">
        <v>55950</v>
      </c>
      <c r="BF90" s="596">
        <f t="shared" si="228"/>
        <v>1595251</v>
      </c>
      <c r="BG90" s="28"/>
      <c r="BH90" s="596">
        <v>138562</v>
      </c>
      <c r="BI90" s="596">
        <v>109391</v>
      </c>
      <c r="BJ90" s="596">
        <v>160056</v>
      </c>
      <c r="BK90" s="596">
        <v>124826</v>
      </c>
      <c r="BL90" s="596">
        <v>151185</v>
      </c>
      <c r="BM90" s="596">
        <v>134688</v>
      </c>
      <c r="BN90" s="596">
        <v>157005</v>
      </c>
      <c r="BO90" s="596">
        <v>151231</v>
      </c>
      <c r="BP90" s="596">
        <v>143335</v>
      </c>
      <c r="BQ90" s="596">
        <v>159215</v>
      </c>
      <c r="BR90" s="596"/>
      <c r="BS90" s="596"/>
      <c r="BT90" s="596">
        <f t="shared" si="230"/>
        <v>1429494</v>
      </c>
      <c r="BU90" s="28"/>
      <c r="BV90" s="596">
        <v>154584</v>
      </c>
      <c r="BW90" s="596">
        <v>151963</v>
      </c>
      <c r="BX90" s="596">
        <v>144646</v>
      </c>
      <c r="BY90" s="596">
        <v>178798</v>
      </c>
      <c r="BZ90" s="596">
        <v>151863</v>
      </c>
      <c r="CA90" s="596">
        <v>152310</v>
      </c>
      <c r="CB90" s="596">
        <v>177824</v>
      </c>
      <c r="CC90" s="596">
        <v>155456</v>
      </c>
      <c r="CD90" s="596">
        <v>159431</v>
      </c>
      <c r="CE90" s="596"/>
      <c r="CF90" s="596"/>
      <c r="CG90" s="596"/>
      <c r="CH90" s="596"/>
      <c r="CJ90" s="596">
        <v>145276</v>
      </c>
      <c r="CK90" s="596">
        <v>157921</v>
      </c>
      <c r="CL90" s="596">
        <v>147905</v>
      </c>
      <c r="CM90" s="596">
        <v>157807</v>
      </c>
      <c r="CN90" s="596"/>
      <c r="CO90" s="596"/>
      <c r="CP90" s="596"/>
      <c r="CQ90" s="596"/>
      <c r="CR90" s="596"/>
      <c r="CS90" s="596"/>
      <c r="CT90" s="596"/>
      <c r="CU90" s="596"/>
      <c r="CV90" s="596"/>
      <c r="CW90" s="758"/>
      <c r="CX90" s="940">
        <f>CX18-CX17</f>
        <v>-8.2332561951715011E-2</v>
      </c>
      <c r="CY90" s="940">
        <f t="shared" ref="CY90:DI90" si="235">CY18-CY17</f>
        <v>-0.15232232398094214</v>
      </c>
      <c r="CZ90" s="940">
        <f t="shared" si="235"/>
        <v>-0.15494921384030547</v>
      </c>
      <c r="DA90" s="940">
        <f t="shared" si="235"/>
        <v>-0.29872157524175735</v>
      </c>
      <c r="DB90" s="940">
        <f t="shared" si="235"/>
        <v>-0.26761150102697129</v>
      </c>
      <c r="DC90" s="940">
        <f t="shared" si="235"/>
        <v>-0.26895695367093841</v>
      </c>
      <c r="DD90" s="940">
        <f t="shared" si="235"/>
        <v>-0.21635043561994483</v>
      </c>
      <c r="DE90" s="940">
        <f t="shared" si="235"/>
        <v>-0.25297842530663495</v>
      </c>
      <c r="DF90" s="940">
        <f t="shared" si="235"/>
        <v>-0.24284859240974033</v>
      </c>
      <c r="DG90" s="940">
        <f t="shared" si="235"/>
        <v>-0.24694368465491268</v>
      </c>
      <c r="DH90" s="940">
        <f t="shared" si="235"/>
        <v>-0.25823457300866393</v>
      </c>
      <c r="DI90" s="940">
        <f t="shared" si="235"/>
        <v>-0.26049063754832957</v>
      </c>
      <c r="DJ90" s="596"/>
      <c r="DK90" s="948"/>
      <c r="DL90" s="940">
        <f>DL18-DL17</f>
        <v>-0.4958078149331111</v>
      </c>
      <c r="DM90" s="940">
        <f t="shared" ref="DM90:DW90" si="236">DM18-DM17</f>
        <v>-0.45076216024985394</v>
      </c>
      <c r="DN90" s="940">
        <f t="shared" si="236"/>
        <v>-0.30319621424230569</v>
      </c>
      <c r="DO90" s="940">
        <f t="shared" si="236"/>
        <v>-0.332607247735206</v>
      </c>
      <c r="DP90" s="940">
        <f t="shared" si="236"/>
        <v>-0.18794932569364753</v>
      </c>
      <c r="DQ90" s="940">
        <f t="shared" si="236"/>
        <v>-0.10352718008212469</v>
      </c>
      <c r="DR90" s="940">
        <f t="shared" si="236"/>
        <v>0.10174083426840608</v>
      </c>
      <c r="DS90" s="940">
        <f t="shared" si="236"/>
        <v>0.21529813486685323</v>
      </c>
      <c r="DT90" s="940">
        <f t="shared" si="236"/>
        <v>0.42011922019690084</v>
      </c>
      <c r="DU90" s="940">
        <f t="shared" si="236"/>
        <v>0.60276562006538625</v>
      </c>
      <c r="DV90" s="940">
        <f t="shared" si="236"/>
        <v>0.72015109187500159</v>
      </c>
      <c r="DW90" s="940">
        <f t="shared" si="236"/>
        <v>0.80827385722420919</v>
      </c>
      <c r="DX90" s="596"/>
    </row>
    <row r="91" spans="1:129" ht="15.75" customHeight="1">
      <c r="A91" s="821"/>
      <c r="B91" s="823" t="s">
        <v>152</v>
      </c>
      <c r="C91" s="814"/>
      <c r="D91" s="804"/>
      <c r="E91" s="805"/>
      <c r="F91" s="805"/>
      <c r="G91" s="805"/>
      <c r="H91" s="805"/>
      <c r="I91" s="805"/>
      <c r="J91" s="805"/>
      <c r="K91" s="805"/>
      <c r="L91" s="805"/>
      <c r="M91" s="805"/>
      <c r="N91" s="805"/>
      <c r="O91" s="805"/>
      <c r="P91" s="806"/>
      <c r="Q91" s="807"/>
      <c r="R91" s="804"/>
      <c r="S91" s="596"/>
      <c r="T91" s="596"/>
      <c r="U91" s="596"/>
      <c r="V91" s="596"/>
      <c r="W91" s="596"/>
      <c r="X91" s="596"/>
      <c r="Y91" s="596"/>
      <c r="Z91" s="596"/>
      <c r="AA91" s="596"/>
      <c r="AB91" s="596"/>
      <c r="AC91" s="596"/>
      <c r="AD91" s="809"/>
      <c r="AE91" s="28"/>
      <c r="AF91" s="596">
        <f t="shared" ref="AF91:AL91" si="237">AF89-AF90</f>
        <v>19254</v>
      </c>
      <c r="AG91" s="596">
        <f t="shared" si="237"/>
        <v>14480</v>
      </c>
      <c r="AH91" s="596">
        <f t="shared" si="237"/>
        <v>24960</v>
      </c>
      <c r="AI91" s="596">
        <f t="shared" si="237"/>
        <v>14040</v>
      </c>
      <c r="AJ91" s="596">
        <f t="shared" si="237"/>
        <v>19048</v>
      </c>
      <c r="AK91" s="596">
        <f t="shared" si="237"/>
        <v>19740</v>
      </c>
      <c r="AL91" s="596">
        <f t="shared" si="237"/>
        <v>12900</v>
      </c>
      <c r="AM91" s="596">
        <v>15041</v>
      </c>
      <c r="AN91" s="596">
        <v>10548</v>
      </c>
      <c r="AO91" s="596">
        <v>3940</v>
      </c>
      <c r="AP91" s="596">
        <v>0</v>
      </c>
      <c r="AQ91" s="596">
        <v>0</v>
      </c>
      <c r="AR91" s="810">
        <f t="shared" si="226"/>
        <v>153951</v>
      </c>
      <c r="AS91" s="28"/>
      <c r="AT91" s="596">
        <v>0</v>
      </c>
      <c r="AU91" s="596">
        <v>0</v>
      </c>
      <c r="AV91" s="596">
        <v>0</v>
      </c>
      <c r="AW91" s="596">
        <v>0</v>
      </c>
      <c r="AX91" s="596">
        <v>0</v>
      </c>
      <c r="AY91" s="596">
        <v>0</v>
      </c>
      <c r="AZ91" s="596">
        <v>0</v>
      </c>
      <c r="BA91" s="596">
        <v>1060</v>
      </c>
      <c r="BB91" s="596">
        <v>320</v>
      </c>
      <c r="BC91" s="596">
        <v>0</v>
      </c>
      <c r="BD91" s="596">
        <v>0</v>
      </c>
      <c r="BE91" s="596"/>
      <c r="BF91" s="596">
        <f t="shared" si="228"/>
        <v>1380</v>
      </c>
      <c r="BG91" s="28"/>
      <c r="BH91" s="596"/>
      <c r="BI91" s="596"/>
      <c r="BJ91" s="596"/>
      <c r="BK91" s="596"/>
      <c r="BL91" s="596"/>
      <c r="BM91" s="596"/>
      <c r="BN91" s="596"/>
      <c r="BO91" s="596"/>
      <c r="BP91" s="596"/>
      <c r="BQ91" s="596"/>
      <c r="BR91" s="596"/>
      <c r="BS91" s="596"/>
      <c r="BT91" s="596">
        <f t="shared" si="230"/>
        <v>0</v>
      </c>
      <c r="BU91" s="28"/>
      <c r="BV91" s="596"/>
      <c r="BW91" s="596"/>
      <c r="BX91" s="596"/>
      <c r="BY91" s="596"/>
      <c r="BZ91" s="596"/>
      <c r="CA91" s="596"/>
      <c r="CB91" s="596"/>
      <c r="CC91" s="596"/>
      <c r="CD91" s="596"/>
      <c r="CE91" s="596"/>
      <c r="CF91" s="596"/>
      <c r="CG91" s="596"/>
      <c r="CH91" s="596"/>
      <c r="CJ91" s="596">
        <v>14444</v>
      </c>
      <c r="CK91" s="596">
        <v>24674</v>
      </c>
      <c r="CL91" s="596">
        <v>27206</v>
      </c>
      <c r="CM91" s="596">
        <v>34245</v>
      </c>
      <c r="CN91" s="596"/>
      <c r="CO91" s="596"/>
      <c r="CP91" s="596"/>
      <c r="CQ91" s="596"/>
      <c r="CR91" s="596"/>
      <c r="CS91" s="596"/>
      <c r="CT91" s="596"/>
      <c r="CU91" s="596"/>
      <c r="CV91" s="596"/>
      <c r="CW91" s="758"/>
      <c r="CX91" s="596"/>
      <c r="CY91" s="596"/>
      <c r="CZ91" s="596"/>
      <c r="DA91" s="596"/>
      <c r="DB91" s="596"/>
      <c r="DC91" s="596"/>
      <c r="DD91" s="596"/>
      <c r="DE91" s="596"/>
      <c r="DF91" s="596"/>
      <c r="DG91" s="596"/>
      <c r="DH91" s="596"/>
      <c r="DI91" s="596"/>
      <c r="DJ91" s="596"/>
      <c r="DK91" s="948"/>
      <c r="DL91" s="596"/>
      <c r="DM91" s="596"/>
      <c r="DN91" s="596"/>
      <c r="DO91" s="596"/>
      <c r="DP91" s="596"/>
      <c r="DQ91" s="596"/>
      <c r="DR91" s="596"/>
      <c r="DS91" s="596"/>
      <c r="DT91" s="596"/>
      <c r="DU91" s="596"/>
      <c r="DV91" s="596"/>
      <c r="DW91" s="596"/>
      <c r="DX91" s="596"/>
    </row>
    <row r="92" spans="1:129" ht="18.75">
      <c r="A92" s="103" t="s">
        <v>103</v>
      </c>
      <c r="B92" s="337"/>
      <c r="C92" s="330"/>
      <c r="D92" s="331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332"/>
      <c r="Q92" s="105"/>
      <c r="R92" s="333"/>
      <c r="S92" s="333"/>
      <c r="T92" s="333"/>
      <c r="U92" s="333"/>
      <c r="V92" s="333"/>
      <c r="W92" s="333"/>
      <c r="X92" s="333"/>
      <c r="Y92" s="333"/>
      <c r="Z92" s="333"/>
      <c r="AA92" s="333"/>
      <c r="AB92" s="333"/>
      <c r="AC92" s="333"/>
      <c r="AD92" s="334"/>
      <c r="AE92" s="106"/>
      <c r="AF92" s="333">
        <f t="shared" ref="AF92:AQ92" si="238">AF89-AF80</f>
        <v>-15784</v>
      </c>
      <c r="AG92" s="333">
        <f t="shared" si="238"/>
        <v>2450</v>
      </c>
      <c r="AH92" s="333">
        <f t="shared" si="238"/>
        <v>2820</v>
      </c>
      <c r="AI92" s="333">
        <f t="shared" si="238"/>
        <v>338</v>
      </c>
      <c r="AJ92" s="333">
        <f t="shared" si="238"/>
        <v>0</v>
      </c>
      <c r="AK92" s="333">
        <f t="shared" si="238"/>
        <v>7258</v>
      </c>
      <c r="AL92" s="333">
        <f t="shared" si="238"/>
        <v>-18242</v>
      </c>
      <c r="AM92" s="333">
        <f t="shared" si="238"/>
        <v>1974</v>
      </c>
      <c r="AN92" s="333">
        <f t="shared" si="238"/>
        <v>-25708</v>
      </c>
      <c r="AO92" s="333">
        <f t="shared" si="238"/>
        <v>1375</v>
      </c>
      <c r="AP92" s="333">
        <f t="shared" si="238"/>
        <v>13221</v>
      </c>
      <c r="AQ92" s="333">
        <f t="shared" si="238"/>
        <v>-14457</v>
      </c>
      <c r="AR92" s="107">
        <f t="shared" si="226"/>
        <v>-44755</v>
      </c>
      <c r="AS92" s="106"/>
      <c r="AT92" s="333">
        <f t="shared" ref="AT92:BE92" si="239">AT89-AT80</f>
        <v>-12789</v>
      </c>
      <c r="AU92" s="333">
        <f t="shared" si="239"/>
        <v>-4964</v>
      </c>
      <c r="AV92" s="333">
        <f t="shared" si="239"/>
        <v>-16175</v>
      </c>
      <c r="AW92" s="333">
        <f t="shared" si="239"/>
        <v>9888</v>
      </c>
      <c r="AX92" s="333">
        <f t="shared" si="239"/>
        <v>-2600</v>
      </c>
      <c r="AY92" s="333">
        <f t="shared" si="239"/>
        <v>-22930.999998999992</v>
      </c>
      <c r="AZ92" s="333">
        <f t="shared" si="239"/>
        <v>4623</v>
      </c>
      <c r="BA92" s="333">
        <f t="shared" si="239"/>
        <v>-233</v>
      </c>
      <c r="BB92" s="333">
        <f t="shared" si="239"/>
        <v>1815</v>
      </c>
      <c r="BC92" s="333">
        <f t="shared" si="239"/>
        <v>-3684</v>
      </c>
      <c r="BD92" s="333">
        <f t="shared" si="239"/>
        <v>8620</v>
      </c>
      <c r="BE92" s="333">
        <f t="shared" si="239"/>
        <v>-5750</v>
      </c>
      <c r="BF92" s="108">
        <f t="shared" si="228"/>
        <v>-44179.999998999992</v>
      </c>
      <c r="BG92" s="106"/>
      <c r="BH92" s="333">
        <f t="shared" ref="BH92:BQ92" si="240">BH89-BH80</f>
        <v>-1198</v>
      </c>
      <c r="BI92" s="333">
        <f t="shared" si="240"/>
        <v>-7189</v>
      </c>
      <c r="BJ92" s="333">
        <f t="shared" si="240"/>
        <v>11716</v>
      </c>
      <c r="BK92" s="333">
        <f t="shared" si="240"/>
        <v>12466</v>
      </c>
      <c r="BL92" s="333">
        <f t="shared" si="240"/>
        <v>42525</v>
      </c>
      <c r="BM92" s="333">
        <f t="shared" si="240"/>
        <v>-18728</v>
      </c>
      <c r="BN92" s="333">
        <f t="shared" si="240"/>
        <v>19329</v>
      </c>
      <c r="BO92" s="333">
        <f t="shared" si="240"/>
        <v>-9423</v>
      </c>
      <c r="BP92" s="333">
        <f t="shared" si="240"/>
        <v>-13665</v>
      </c>
      <c r="BQ92" s="333">
        <f t="shared" si="240"/>
        <v>2490</v>
      </c>
      <c r="BR92" s="108"/>
      <c r="BS92" s="108"/>
      <c r="BT92" s="108">
        <f t="shared" si="230"/>
        <v>38323</v>
      </c>
      <c r="BU92" s="28"/>
      <c r="BV92" s="333"/>
      <c r="BW92" s="333"/>
      <c r="BX92" s="333"/>
      <c r="BY92" s="333">
        <f>BY89-BY80</f>
        <v>5998</v>
      </c>
      <c r="BZ92" s="333">
        <f t="shared" ref="BZ92:CG92" si="241">BZ89-BZ80</f>
        <v>-13737</v>
      </c>
      <c r="CA92" s="333">
        <f t="shared" si="241"/>
        <v>-6090</v>
      </c>
      <c r="CB92" s="333">
        <f t="shared" si="241"/>
        <v>-2176</v>
      </c>
      <c r="CC92" s="333">
        <f t="shared" si="241"/>
        <v>-17344</v>
      </c>
      <c r="CD92" s="333">
        <f t="shared" si="241"/>
        <v>-13369</v>
      </c>
      <c r="CE92" s="333">
        <f t="shared" si="241"/>
        <v>793</v>
      </c>
      <c r="CF92" s="333">
        <f t="shared" si="241"/>
        <v>-12350</v>
      </c>
      <c r="CG92" s="333">
        <f t="shared" si="241"/>
        <v>-98800</v>
      </c>
      <c r="CH92" s="333">
        <f>CH89-CH80</f>
        <v>-118882</v>
      </c>
      <c r="CJ92" s="333">
        <f t="shared" ref="CJ92:CV92" si="242">CJ89-CJ80</f>
        <v>-9572</v>
      </c>
      <c r="CK92" s="333">
        <f>CK89-CK80</f>
        <v>-6005</v>
      </c>
      <c r="CL92" s="333">
        <f t="shared" si="242"/>
        <v>4111</v>
      </c>
      <c r="CM92" s="333">
        <f t="shared" si="242"/>
        <v>-7948</v>
      </c>
      <c r="CN92" s="333">
        <f t="shared" si="242"/>
        <v>36498</v>
      </c>
      <c r="CO92" s="333">
        <f t="shared" si="242"/>
        <v>-54273</v>
      </c>
      <c r="CP92" s="333">
        <f t="shared" si="242"/>
        <v>-53783</v>
      </c>
      <c r="CQ92" s="333">
        <f t="shared" si="242"/>
        <v>-27252</v>
      </c>
      <c r="CR92" s="333">
        <f t="shared" si="242"/>
        <v>-36926</v>
      </c>
      <c r="CS92" s="333">
        <f t="shared" si="242"/>
        <v>-205579</v>
      </c>
      <c r="CT92" s="333">
        <f t="shared" si="242"/>
        <v>-164340</v>
      </c>
      <c r="CU92" s="333">
        <f t="shared" si="242"/>
        <v>-118660</v>
      </c>
      <c r="CV92" s="333">
        <f t="shared" si="242"/>
        <v>-2260169</v>
      </c>
      <c r="CW92" s="758"/>
      <c r="CX92" s="333">
        <f t="shared" ref="CX92:DJ92" si="243">CX89-CX80</f>
        <v>23540.900000000023</v>
      </c>
      <c r="CY92" s="333">
        <f t="shared" si="243"/>
        <v>58467.050000000017</v>
      </c>
      <c r="CZ92" s="333">
        <f t="shared" si="243"/>
        <v>22113</v>
      </c>
      <c r="DA92" s="333">
        <f t="shared" si="243"/>
        <v>26194</v>
      </c>
      <c r="DB92" s="333">
        <f t="shared" si="243"/>
        <v>61135.600000000006</v>
      </c>
      <c r="DC92" s="333">
        <f t="shared" si="243"/>
        <v>21812.950000000012</v>
      </c>
      <c r="DD92" s="333">
        <f t="shared" si="243"/>
        <v>41166.739999999991</v>
      </c>
      <c r="DE92" s="333">
        <f t="shared" si="243"/>
        <v>52733.950000000012</v>
      </c>
      <c r="DF92" s="333">
        <f t="shared" si="243"/>
        <v>29823.739999999991</v>
      </c>
      <c r="DG92" s="333">
        <f t="shared" si="243"/>
        <v>-176050.26</v>
      </c>
      <c r="DH92" s="333">
        <f t="shared" si="243"/>
        <v>-162785.01999999999</v>
      </c>
      <c r="DI92" s="333">
        <f t="shared" si="243"/>
        <v>-86121.919999999984</v>
      </c>
      <c r="DJ92" s="333">
        <f t="shared" si="243"/>
        <v>-1704409.27</v>
      </c>
      <c r="DK92" s="948"/>
      <c r="DL92" s="333">
        <f t="shared" ref="DL92:DX92" si="244">DL89-DL80</f>
        <v>23540.900000000023</v>
      </c>
      <c r="DM92" s="333">
        <f t="shared" si="244"/>
        <v>58467.050000000017</v>
      </c>
      <c r="DN92" s="333">
        <f t="shared" si="244"/>
        <v>22113</v>
      </c>
      <c r="DO92" s="333">
        <f t="shared" si="244"/>
        <v>26194</v>
      </c>
      <c r="DP92" s="333">
        <f t="shared" si="244"/>
        <v>61135.600000000006</v>
      </c>
      <c r="DQ92" s="333">
        <f t="shared" si="244"/>
        <v>21812.950000000012</v>
      </c>
      <c r="DR92" s="333">
        <f t="shared" si="244"/>
        <v>41166.739999999991</v>
      </c>
      <c r="DS92" s="333">
        <f t="shared" si="244"/>
        <v>52733.950000000012</v>
      </c>
      <c r="DT92" s="333">
        <f t="shared" si="244"/>
        <v>29823.739999999991</v>
      </c>
      <c r="DU92" s="333">
        <f t="shared" si="244"/>
        <v>-176050.26</v>
      </c>
      <c r="DV92" s="333">
        <f t="shared" si="244"/>
        <v>-162785.01999999999</v>
      </c>
      <c r="DW92" s="333">
        <f t="shared" si="244"/>
        <v>-86121.919999999984</v>
      </c>
      <c r="DX92" s="333">
        <f t="shared" si="244"/>
        <v>-1704409.27</v>
      </c>
    </row>
    <row r="93" spans="1:129" ht="14.25" customHeight="1">
      <c r="A93" s="55" t="s">
        <v>104</v>
      </c>
      <c r="B93" s="56"/>
      <c r="C93" s="280"/>
      <c r="D93" s="288" t="e">
        <f t="shared" ref="D93:F93" si="245">#REF!-#REF!</f>
        <v>#REF!</v>
      </c>
      <c r="E93" s="57" t="e">
        <f t="shared" si="245"/>
        <v>#REF!</v>
      </c>
      <c r="F93" s="57" t="e">
        <f t="shared" si="245"/>
        <v>#REF!</v>
      </c>
      <c r="G93" s="57" t="e">
        <f t="shared" ref="G93:I93" si="246">G80-#REF!</f>
        <v>#REF!</v>
      </c>
      <c r="H93" s="57" t="e">
        <f t="shared" si="246"/>
        <v>#REF!</v>
      </c>
      <c r="I93" s="57" t="e">
        <f t="shared" si="246"/>
        <v>#REF!</v>
      </c>
      <c r="J93" s="57" t="e">
        <f t="shared" ref="J93:K93" si="247">#REF!-#REF!</f>
        <v>#REF!</v>
      </c>
      <c r="K93" s="57" t="e">
        <f t="shared" si="247"/>
        <v>#REF!</v>
      </c>
      <c r="L93" s="57">
        <f>L80-L33</f>
        <v>-24911</v>
      </c>
      <c r="M93" s="57">
        <f>M80-M33</f>
        <v>-13674</v>
      </c>
      <c r="N93" s="57">
        <f>N80-N33</f>
        <v>57632</v>
      </c>
      <c r="O93" s="57">
        <f>O80-O33</f>
        <v>74079</v>
      </c>
      <c r="P93" s="289" t="e">
        <f>SUM(D93:O93)</f>
        <v>#REF!</v>
      </c>
      <c r="Q93" s="39"/>
      <c r="R93" s="288">
        <f t="shared" ref="R93:AD93" si="248">R80-R33</f>
        <v>22222.660017050745</v>
      </c>
      <c r="S93" s="58">
        <f t="shared" si="248"/>
        <v>17159.673608830723</v>
      </c>
      <c r="T93" s="58">
        <f t="shared" si="248"/>
        <v>-24753.77192982455</v>
      </c>
      <c r="U93" s="58">
        <f t="shared" si="248"/>
        <v>-17814.899999999998</v>
      </c>
      <c r="V93" s="58">
        <f t="shared" si="248"/>
        <v>1715</v>
      </c>
      <c r="W93" s="290">
        <f t="shared" si="248"/>
        <v>120430.6180497602</v>
      </c>
      <c r="X93" s="290">
        <f t="shared" si="248"/>
        <v>43436.666666667006</v>
      </c>
      <c r="Y93" s="290">
        <f t="shared" si="248"/>
        <v>-29747.083333333314</v>
      </c>
      <c r="Z93" s="290">
        <f t="shared" si="248"/>
        <v>-80887.5</v>
      </c>
      <c r="AA93" s="290">
        <f t="shared" si="248"/>
        <v>10200</v>
      </c>
      <c r="AB93" s="290">
        <f t="shared" si="248"/>
        <v>137500</v>
      </c>
      <c r="AC93" s="290">
        <f t="shared" si="248"/>
        <v>134100</v>
      </c>
      <c r="AD93" s="291">
        <f t="shared" si="248"/>
        <v>333561.36307915067</v>
      </c>
      <c r="AE93" s="59"/>
      <c r="AF93" s="292">
        <f t="shared" ref="AF93:AQ93" si="249">AF80-AF33</f>
        <v>32754</v>
      </c>
      <c r="AG93" s="58">
        <f t="shared" si="249"/>
        <v>-11977</v>
      </c>
      <c r="AH93" s="58">
        <f t="shared" si="249"/>
        <v>76847</v>
      </c>
      <c r="AI93" s="58">
        <f t="shared" si="249"/>
        <v>59682</v>
      </c>
      <c r="AJ93" s="58">
        <f t="shared" si="249"/>
        <v>74226</v>
      </c>
      <c r="AK93" s="58">
        <f t="shared" si="249"/>
        <v>14740</v>
      </c>
      <c r="AL93" s="58">
        <f t="shared" si="249"/>
        <v>38005</v>
      </c>
      <c r="AM93" s="58">
        <f t="shared" si="249"/>
        <v>-71903</v>
      </c>
      <c r="AN93" s="58">
        <f t="shared" si="249"/>
        <v>-90633.333333333343</v>
      </c>
      <c r="AO93" s="58">
        <f t="shared" si="249"/>
        <v>-115900</v>
      </c>
      <c r="AP93" s="58">
        <f t="shared" si="249"/>
        <v>1360</v>
      </c>
      <c r="AQ93" s="58">
        <f t="shared" si="249"/>
        <v>2160</v>
      </c>
      <c r="AR93" s="58">
        <f t="shared" si="226"/>
        <v>9360.666666666657</v>
      </c>
      <c r="AS93" s="59"/>
      <c r="AT93" s="58">
        <f t="shared" ref="AT93:BE93" si="250">AT80-AT33</f>
        <v>-19749.25</v>
      </c>
      <c r="AU93" s="58">
        <f t="shared" si="250"/>
        <v>-43342.103448275855</v>
      </c>
      <c r="AV93" s="58">
        <f t="shared" si="250"/>
        <v>-36893.137931034493</v>
      </c>
      <c r="AW93" s="58">
        <f t="shared" si="250"/>
        <v>-32095.137931034493</v>
      </c>
      <c r="AX93" s="58">
        <f t="shared" si="250"/>
        <v>19900.034482758623</v>
      </c>
      <c r="AY93" s="58">
        <f t="shared" si="250"/>
        <v>19999.222221222211</v>
      </c>
      <c r="AZ93" s="58">
        <f t="shared" si="250"/>
        <v>-14264.777777777781</v>
      </c>
      <c r="BA93" s="58">
        <f t="shared" si="250"/>
        <v>-68922.296296296292</v>
      </c>
      <c r="BB93" s="58">
        <f t="shared" si="250"/>
        <v>-78407.777777777781</v>
      </c>
      <c r="BC93" s="58">
        <f t="shared" si="250"/>
        <v>-95868.290755657828</v>
      </c>
      <c r="BD93" s="58">
        <f t="shared" si="250"/>
        <v>-5124.586881472962</v>
      </c>
      <c r="BE93" s="58">
        <f t="shared" si="250"/>
        <v>-10986.612965093984</v>
      </c>
      <c r="BF93" s="58">
        <f t="shared" si="228"/>
        <v>-365754.71506044065</v>
      </c>
      <c r="BG93" s="59"/>
      <c r="BH93" s="58">
        <f t="shared" ref="BH93:BQ93" si="251">BH80-BH33</f>
        <v>-12993</v>
      </c>
      <c r="BI93" s="58">
        <f t="shared" si="251"/>
        <v>-30242.333333333314</v>
      </c>
      <c r="BJ93" s="58">
        <f t="shared" si="251"/>
        <v>-23206.074074074073</v>
      </c>
      <c r="BK93" s="58">
        <f t="shared" si="251"/>
        <v>-47411.74074074073</v>
      </c>
      <c r="BL93" s="58">
        <f t="shared" si="251"/>
        <v>-23836.851851851854</v>
      </c>
      <c r="BM93" s="58">
        <f t="shared" si="251"/>
        <v>23509.740740740745</v>
      </c>
      <c r="BN93" s="58">
        <f t="shared" si="251"/>
        <v>-33707.555555555562</v>
      </c>
      <c r="BO93" s="58">
        <f t="shared" si="251"/>
        <v>-18896.378111111087</v>
      </c>
      <c r="BP93" s="58">
        <f t="shared" si="251"/>
        <v>-45053.749537037045</v>
      </c>
      <c r="BQ93" s="58">
        <f t="shared" si="251"/>
        <v>-7140</v>
      </c>
      <c r="BR93" s="58"/>
      <c r="BS93" s="58"/>
      <c r="BT93" s="58">
        <f t="shared" si="230"/>
        <v>-218977.94246296291</v>
      </c>
      <c r="BU93" s="60"/>
      <c r="BV93" s="58"/>
      <c r="BW93" s="58"/>
      <c r="BX93" s="58"/>
      <c r="BY93" s="58">
        <f>BY80-BY33</f>
        <v>13630.76923076922</v>
      </c>
      <c r="BZ93" s="58">
        <f t="shared" ref="BZ93:CG93" si="252">BZ80-BZ33</f>
        <v>14117.606582143373</v>
      </c>
      <c r="CA93" s="58">
        <f t="shared" si="252"/>
        <v>16957.870899031579</v>
      </c>
      <c r="CB93" s="58">
        <f t="shared" si="252"/>
        <v>3013.7855523840117</v>
      </c>
      <c r="CC93" s="58">
        <f t="shared" si="252"/>
        <v>-28501.089448851068</v>
      </c>
      <c r="CD93" s="58">
        <f t="shared" si="252"/>
        <v>-40033.040135593415</v>
      </c>
      <c r="CE93" s="58">
        <f t="shared" si="252"/>
        <v>-43122.303862118919</v>
      </c>
      <c r="CF93" s="58">
        <f t="shared" si="252"/>
        <v>-3915.8422363018617</v>
      </c>
      <c r="CG93" s="58">
        <f t="shared" si="252"/>
        <v>11316.183308289634</v>
      </c>
      <c r="CH93" s="58">
        <f>CH89-CH75</f>
        <v>-50665</v>
      </c>
      <c r="CJ93" s="58">
        <f t="shared" ref="CJ93:CV93" si="253">CJ80-CJ33</f>
        <v>7083.6330227357394</v>
      </c>
      <c r="CK93" s="58">
        <f t="shared" si="253"/>
        <v>13756.340186358546</v>
      </c>
      <c r="CL93" s="58">
        <f t="shared" si="253"/>
        <v>4307.6667014535924</v>
      </c>
      <c r="CM93" s="58">
        <f t="shared" si="253"/>
        <v>34375.841222512099</v>
      </c>
      <c r="CN93" s="58">
        <f t="shared" si="253"/>
        <v>10438.8879612374</v>
      </c>
      <c r="CO93" s="58">
        <f t="shared" si="253"/>
        <v>63053.84509877002</v>
      </c>
      <c r="CP93" s="58">
        <f t="shared" si="253"/>
        <v>32882.489535864966</v>
      </c>
      <c r="CQ93" s="58">
        <f t="shared" si="253"/>
        <v>-22005.693924050604</v>
      </c>
      <c r="CR93" s="58">
        <f t="shared" si="253"/>
        <v>-47858.190843881865</v>
      </c>
      <c r="CS93" s="58">
        <f t="shared" si="253"/>
        <v>-44713.95105485231</v>
      </c>
      <c r="CT93" s="58">
        <f t="shared" si="253"/>
        <v>-9023.6010970463976</v>
      </c>
      <c r="CU93" s="58">
        <f t="shared" si="253"/>
        <v>22348.607594936708</v>
      </c>
      <c r="CV93" s="58">
        <f t="shared" si="253"/>
        <v>64645.874404037837</v>
      </c>
      <c r="CW93" s="758"/>
      <c r="CX93" s="58">
        <f t="shared" ref="CX93:DJ93" si="254">CX80-CX33</f>
        <v>-82602.810000000056</v>
      </c>
      <c r="CY93" s="58">
        <f t="shared" si="254"/>
        <v>-111808.80000000002</v>
      </c>
      <c r="CZ93" s="58">
        <f t="shared" si="254"/>
        <v>-24383.24000000002</v>
      </c>
      <c r="DA93" s="58">
        <f t="shared" si="254"/>
        <v>-11501.330000000045</v>
      </c>
      <c r="DB93" s="58">
        <f t="shared" si="254"/>
        <v>-21297.850000000035</v>
      </c>
      <c r="DC93" s="58">
        <f t="shared" si="254"/>
        <v>-8923.230000000025</v>
      </c>
      <c r="DD93" s="58">
        <f t="shared" si="254"/>
        <v>-63401.020000000048</v>
      </c>
      <c r="DE93" s="58">
        <f t="shared" si="254"/>
        <v>-98050.910000000033</v>
      </c>
      <c r="DF93" s="58">
        <f t="shared" si="254"/>
        <v>-144632.88</v>
      </c>
      <c r="DG93" s="58">
        <f t="shared" si="254"/>
        <v>-104384.80033755273</v>
      </c>
      <c r="DH93" s="58">
        <f t="shared" si="254"/>
        <v>-28211.766751054878</v>
      </c>
      <c r="DI93" s="58">
        <f t="shared" si="254"/>
        <v>-21490.52556962028</v>
      </c>
      <c r="DJ93" s="58">
        <f t="shared" si="254"/>
        <v>-720689.16265822807</v>
      </c>
      <c r="DK93" s="948"/>
      <c r="DL93" s="58">
        <f>DL80-DL33</f>
        <v>-82602.810000000056</v>
      </c>
      <c r="DM93" s="58">
        <f t="shared" ref="DM93:DY93" si="255">DM80-DM33</f>
        <v>-111808.80000000002</v>
      </c>
      <c r="DN93" s="58">
        <f t="shared" si="255"/>
        <v>-24383.24000000002</v>
      </c>
      <c r="DO93" s="58">
        <f t="shared" si="255"/>
        <v>-11501.330000000045</v>
      </c>
      <c r="DP93" s="58">
        <f t="shared" si="255"/>
        <v>-21297.850000000035</v>
      </c>
      <c r="DQ93" s="58">
        <f t="shared" si="255"/>
        <v>-8923.230000000025</v>
      </c>
      <c r="DR93" s="58">
        <f t="shared" si="255"/>
        <v>-63401.020000000048</v>
      </c>
      <c r="DS93" s="58">
        <f t="shared" si="255"/>
        <v>-98050.910000000033</v>
      </c>
      <c r="DT93" s="58">
        <f t="shared" si="255"/>
        <v>-144632.88</v>
      </c>
      <c r="DU93" s="58">
        <f t="shared" si="255"/>
        <v>-104384.80033755273</v>
      </c>
      <c r="DV93" s="58">
        <f t="shared" si="255"/>
        <v>-28211.766751054878</v>
      </c>
      <c r="DW93" s="58">
        <f t="shared" si="255"/>
        <v>-21490.52556962028</v>
      </c>
      <c r="DX93" s="58">
        <f t="shared" si="255"/>
        <v>-720689.16265822807</v>
      </c>
    </row>
    <row r="94" spans="1:129" ht="15" hidden="1" customHeight="1">
      <c r="B94" t="s">
        <v>106</v>
      </c>
      <c r="BZ94" s="598"/>
      <c r="CA94" s="598">
        <f>BZ94+CA93</f>
        <v>16957.870899031579</v>
      </c>
      <c r="CB94" s="598">
        <f t="shared" ref="CB94:CG94" si="256">CA94+CB93</f>
        <v>19971.656451415591</v>
      </c>
      <c r="CC94" s="598">
        <f t="shared" si="256"/>
        <v>-8529.4329974354769</v>
      </c>
      <c r="CD94" s="598">
        <f t="shared" si="256"/>
        <v>-48562.473133028892</v>
      </c>
      <c r="CE94" s="598">
        <f t="shared" si="256"/>
        <v>-91684.776995147811</v>
      </c>
      <c r="CF94" s="598">
        <f t="shared" si="256"/>
        <v>-95600.619231449673</v>
      </c>
      <c r="CG94" s="598">
        <f t="shared" si="256"/>
        <v>-84284.435923160039</v>
      </c>
      <c r="CN94">
        <v>147</v>
      </c>
      <c r="CO94">
        <v>147</v>
      </c>
      <c r="CP94">
        <v>147</v>
      </c>
      <c r="CQ94">
        <v>147</v>
      </c>
      <c r="CR94">
        <v>147</v>
      </c>
      <c r="CS94">
        <v>147</v>
      </c>
      <c r="CT94">
        <v>147</v>
      </c>
      <c r="CU94">
        <v>147</v>
      </c>
      <c r="CW94" s="758"/>
      <c r="CX94">
        <f>CX77/(CX76+CX77)</f>
        <v>0.10889228207304867</v>
      </c>
      <c r="CY94">
        <f t="shared" ref="CY94:DI94" si="257">CY77/(CY76+CY77)</f>
        <v>0.10906332005393196</v>
      </c>
      <c r="CZ94">
        <f t="shared" si="257"/>
        <v>0.10560295990871499</v>
      </c>
      <c r="DA94">
        <f t="shared" si="257"/>
        <v>0.1103740306776172</v>
      </c>
      <c r="DB94">
        <f t="shared" si="257"/>
        <v>0.10719587087074026</v>
      </c>
      <c r="DC94">
        <f t="shared" si="257"/>
        <v>0.10168574814977574</v>
      </c>
      <c r="DD94">
        <f t="shared" si="257"/>
        <v>0.11323341515178816</v>
      </c>
      <c r="DE94">
        <f t="shared" si="257"/>
        <v>0.12547428151898654</v>
      </c>
      <c r="DF94">
        <f t="shared" si="257"/>
        <v>0.13109545370781175</v>
      </c>
      <c r="DG94">
        <f t="shared" si="257"/>
        <v>7.9975851863863481E-2</v>
      </c>
      <c r="DH94">
        <f t="shared" si="257"/>
        <v>0.10518071187595056</v>
      </c>
      <c r="DI94">
        <f t="shared" si="257"/>
        <v>9.825520729297918E-2</v>
      </c>
      <c r="DK94" s="948"/>
      <c r="DL94">
        <f>DL77/(DL76+DL77)</f>
        <v>9.6743432367023818E-2</v>
      </c>
      <c r="DM94">
        <f t="shared" ref="DM94:DW94" si="258">DM77/(DM76+DM77)</f>
        <v>9.6498631887906555E-2</v>
      </c>
      <c r="DN94">
        <f t="shared" si="258"/>
        <v>9.4591881536495157E-2</v>
      </c>
      <c r="DO94">
        <f t="shared" si="258"/>
        <v>9.7964874027716115E-2</v>
      </c>
      <c r="DP94">
        <f t="shared" si="258"/>
        <v>9.6214773867036557E-2</v>
      </c>
      <c r="DQ94">
        <f t="shared" si="258"/>
        <v>9.1265234582406166E-2</v>
      </c>
      <c r="DR94">
        <f t="shared" si="258"/>
        <v>0.10014614608853602</v>
      </c>
      <c r="DS94">
        <f t="shared" si="258"/>
        <v>0.11099587737436893</v>
      </c>
      <c r="DT94">
        <f t="shared" si="258"/>
        <v>0.1164117090457787</v>
      </c>
      <c r="DU94">
        <f t="shared" si="258"/>
        <v>7.1907521879673655E-2</v>
      </c>
      <c r="DV94">
        <f t="shared" si="258"/>
        <v>9.4879734818233225E-2</v>
      </c>
      <c r="DW94">
        <f t="shared" si="258"/>
        <v>8.908196304065602E-2</v>
      </c>
    </row>
    <row r="95" spans="1:129" ht="15" hidden="1" customHeight="1">
      <c r="B95" t="s">
        <v>107</v>
      </c>
      <c r="CN95" s="735">
        <f>CN88/CN94</f>
        <v>8840.5732799999987</v>
      </c>
      <c r="CO95" s="735">
        <f t="shared" ref="CO95:CU95" si="259">CO88/CO94</f>
        <v>9261.5529599999973</v>
      </c>
      <c r="CP95" s="735">
        <f t="shared" si="259"/>
        <v>10524.491999999997</v>
      </c>
      <c r="CQ95" s="735">
        <f t="shared" si="259"/>
        <v>8840.5732799999987</v>
      </c>
      <c r="CR95" s="735">
        <f t="shared" si="259"/>
        <v>9261.5529599999973</v>
      </c>
      <c r="CS95" s="735">
        <f t="shared" si="259"/>
        <v>9682.5326399999976</v>
      </c>
      <c r="CT95" s="735">
        <f t="shared" si="259"/>
        <v>9261.5529599999973</v>
      </c>
      <c r="CU95" s="735">
        <f t="shared" si="259"/>
        <v>7156.654559999999</v>
      </c>
      <c r="CW95" s="758"/>
      <c r="CX95">
        <f>ROUND(CX94*CX80,0)</f>
        <v>14361</v>
      </c>
      <c r="CY95">
        <f t="shared" ref="CY95:DI95" si="260">ROUND(CY94*CY80,0)</f>
        <v>13538</v>
      </c>
      <c r="CZ95">
        <f t="shared" si="260"/>
        <v>16157</v>
      </c>
      <c r="DA95">
        <f t="shared" si="260"/>
        <v>18306</v>
      </c>
      <c r="DB95">
        <f t="shared" si="260"/>
        <v>16471</v>
      </c>
      <c r="DC95">
        <f t="shared" si="260"/>
        <v>12397</v>
      </c>
      <c r="DD95">
        <f t="shared" si="260"/>
        <v>16991</v>
      </c>
      <c r="DE95">
        <f t="shared" si="260"/>
        <v>16050</v>
      </c>
      <c r="DF95">
        <f t="shared" si="260"/>
        <v>19802</v>
      </c>
      <c r="DG95">
        <f t="shared" si="260"/>
        <v>14080</v>
      </c>
      <c r="DH95">
        <f t="shared" si="260"/>
        <v>17122</v>
      </c>
      <c r="DI95">
        <f t="shared" si="260"/>
        <v>8462</v>
      </c>
      <c r="DK95" s="948"/>
      <c r="DL95">
        <f>ROUND(DL94*DL80,0)</f>
        <v>12759</v>
      </c>
      <c r="DM95">
        <f t="shared" ref="DM95:DW95" si="261">ROUND(DM94*DM80,0)</f>
        <v>11978</v>
      </c>
      <c r="DN95">
        <f t="shared" si="261"/>
        <v>14472</v>
      </c>
      <c r="DO95">
        <f t="shared" si="261"/>
        <v>16248</v>
      </c>
      <c r="DP95">
        <f t="shared" si="261"/>
        <v>14784</v>
      </c>
      <c r="DQ95">
        <f t="shared" si="261"/>
        <v>11127</v>
      </c>
      <c r="DR95">
        <f t="shared" si="261"/>
        <v>15027</v>
      </c>
      <c r="DS95">
        <f t="shared" si="261"/>
        <v>14198</v>
      </c>
      <c r="DT95">
        <f t="shared" si="261"/>
        <v>17584</v>
      </c>
      <c r="DU95">
        <f t="shared" si="261"/>
        <v>12659</v>
      </c>
      <c r="DV95">
        <f t="shared" si="261"/>
        <v>15445</v>
      </c>
      <c r="DW95">
        <f t="shared" si="261"/>
        <v>7672</v>
      </c>
    </row>
    <row r="96" spans="1:129" ht="15" hidden="1" customHeight="1">
      <c r="CO96" s="598">
        <f>CO84</f>
        <v>9000</v>
      </c>
      <c r="CP96" s="598">
        <f t="shared" ref="CP96:CU96" si="262">CP84</f>
        <v>9800</v>
      </c>
      <c r="CQ96" s="598">
        <f t="shared" si="262"/>
        <v>9900</v>
      </c>
      <c r="CR96" s="598">
        <f t="shared" si="262"/>
        <v>9900</v>
      </c>
      <c r="CS96" s="598">
        <f t="shared" si="262"/>
        <v>9300</v>
      </c>
      <c r="CT96" s="598">
        <f t="shared" si="262"/>
        <v>8400</v>
      </c>
      <c r="CU96" s="598">
        <f t="shared" si="262"/>
        <v>9300</v>
      </c>
      <c r="CW96" s="758"/>
      <c r="CX96" s="413">
        <v>194469.46000000002</v>
      </c>
      <c r="CY96" s="413">
        <v>159466.88999999998</v>
      </c>
      <c r="CZ96" s="413">
        <v>208203.57</v>
      </c>
      <c r="DA96" s="413">
        <v>158532.44</v>
      </c>
      <c r="DB96" s="413">
        <v>157404.75999999998</v>
      </c>
      <c r="DC96" s="413">
        <v>118894.62</v>
      </c>
      <c r="DD96" s="413">
        <v>211625.73</v>
      </c>
      <c r="DE96" s="413">
        <v>208193.11</v>
      </c>
      <c r="DF96" s="413">
        <v>269889.13</v>
      </c>
      <c r="DG96" s="413">
        <v>258868.84085232066</v>
      </c>
      <c r="DH96" s="413">
        <v>178376.53444641351</v>
      </c>
      <c r="DI96" s="413">
        <v>114212.18776329115</v>
      </c>
      <c r="DK96" s="948"/>
      <c r="DL96" s="413">
        <f>DL97*1.1</f>
        <v>213916.40600000005</v>
      </c>
      <c r="DM96" s="413">
        <f t="shared" ref="DM96:DW96" si="263">DM97*1.1</f>
        <v>175413.579</v>
      </c>
      <c r="DN96" s="413">
        <f t="shared" si="263"/>
        <v>229023.92700000003</v>
      </c>
      <c r="DO96" s="413">
        <f t="shared" si="263"/>
        <v>174385.68400000001</v>
      </c>
      <c r="DP96" s="413">
        <f t="shared" si="263"/>
        <v>173145.236</v>
      </c>
      <c r="DQ96" s="413">
        <f t="shared" si="263"/>
        <v>130784.08200000001</v>
      </c>
      <c r="DR96" s="413">
        <f t="shared" si="263"/>
        <v>232788.30300000004</v>
      </c>
      <c r="DS96" s="413">
        <f t="shared" si="263"/>
        <v>229012.421</v>
      </c>
      <c r="DT96" s="413">
        <f t="shared" si="263"/>
        <v>296878.04300000001</v>
      </c>
      <c r="DU96" s="413">
        <f t="shared" si="263"/>
        <v>284755.72493755276</v>
      </c>
      <c r="DV96" s="413">
        <f t="shared" si="263"/>
        <v>196214.18789105487</v>
      </c>
      <c r="DW96" s="413">
        <f t="shared" si="263"/>
        <v>125633.40653962028</v>
      </c>
    </row>
    <row r="97" spans="1:128" ht="15" hidden="1" customHeight="1">
      <c r="B97" s="576"/>
      <c r="C97" s="576"/>
      <c r="D97" s="576"/>
      <c r="E97" s="576"/>
      <c r="F97" s="576"/>
      <c r="G97" s="576"/>
      <c r="H97" s="576"/>
      <c r="I97" s="576"/>
      <c r="J97" s="576"/>
      <c r="K97" s="576"/>
      <c r="L97" s="576"/>
      <c r="M97" s="576"/>
      <c r="N97" s="576"/>
      <c r="O97" s="576"/>
      <c r="P97" s="576"/>
      <c r="Q97" s="576"/>
      <c r="R97" s="576"/>
      <c r="S97" s="576"/>
      <c r="T97" s="576"/>
      <c r="U97" s="576"/>
      <c r="V97" s="576"/>
      <c r="W97" s="576"/>
      <c r="X97" s="576"/>
      <c r="Y97" s="576"/>
      <c r="Z97" s="576"/>
      <c r="AA97" s="576"/>
      <c r="AB97" s="576"/>
      <c r="AC97" s="576"/>
      <c r="AD97" s="576"/>
      <c r="AE97" s="576"/>
      <c r="AF97" s="576"/>
      <c r="AG97" s="576"/>
      <c r="AH97" s="576"/>
      <c r="AI97" s="576"/>
      <c r="AJ97" s="576"/>
      <c r="AK97" s="576"/>
      <c r="AL97" s="576"/>
      <c r="AM97" s="576"/>
      <c r="AN97" s="576"/>
      <c r="AO97" s="576"/>
      <c r="AP97" s="576"/>
      <c r="AQ97" s="576"/>
      <c r="AR97" s="576"/>
      <c r="AS97" s="576"/>
      <c r="AT97" s="576"/>
      <c r="AU97" s="576"/>
      <c r="AV97" s="576"/>
      <c r="AW97" s="576"/>
      <c r="AX97" s="576"/>
      <c r="AY97" s="576"/>
      <c r="AZ97" s="576"/>
      <c r="BA97" s="576"/>
      <c r="BB97" s="576"/>
      <c r="BC97" s="576"/>
      <c r="BD97" s="576"/>
      <c r="BE97" s="576"/>
      <c r="BF97" s="576"/>
      <c r="BG97" s="576"/>
      <c r="BH97" s="576"/>
      <c r="BI97" s="576"/>
      <c r="BJ97" s="576"/>
      <c r="BK97" s="576"/>
      <c r="BL97" s="576"/>
      <c r="BM97" s="576"/>
      <c r="BN97" s="576"/>
      <c r="BO97" s="576"/>
      <c r="BP97" s="576"/>
      <c r="BQ97" s="576"/>
      <c r="BR97" s="576"/>
      <c r="BS97" s="576"/>
      <c r="BT97" s="576"/>
      <c r="BU97" s="576"/>
      <c r="BV97" s="576"/>
      <c r="BW97" s="576"/>
      <c r="BX97" s="576"/>
      <c r="BY97" s="576"/>
      <c r="BZ97" s="576"/>
      <c r="CA97" s="576"/>
      <c r="CB97" s="576"/>
      <c r="CC97" s="576"/>
      <c r="CD97" s="576"/>
      <c r="CE97" s="576"/>
      <c r="CF97" s="576"/>
      <c r="CG97" s="576"/>
      <c r="CH97" s="576"/>
      <c r="CI97" s="576"/>
      <c r="CJ97" s="576"/>
      <c r="CK97" s="576"/>
      <c r="CL97" s="576"/>
      <c r="CM97" s="576"/>
      <c r="CN97" s="576"/>
      <c r="CO97" s="576">
        <f>CO80*0.95</f>
        <v>188100</v>
      </c>
      <c r="CP97" s="576">
        <f t="shared" ref="CP97:CU97" si="264">CP80*0.95</f>
        <v>232750</v>
      </c>
      <c r="CQ97" s="576">
        <f t="shared" si="264"/>
        <v>197505</v>
      </c>
      <c r="CR97" s="576">
        <f t="shared" si="264"/>
        <v>206910</v>
      </c>
      <c r="CS97" s="576">
        <f t="shared" si="264"/>
        <v>195300.05</v>
      </c>
      <c r="CT97" s="576">
        <f t="shared" si="264"/>
        <v>156123</v>
      </c>
      <c r="CU97" s="576">
        <f t="shared" si="264"/>
        <v>112727</v>
      </c>
      <c r="CV97" s="576"/>
      <c r="CW97" s="758"/>
      <c r="CX97" s="576"/>
      <c r="CY97" s="576"/>
      <c r="CZ97" s="576"/>
      <c r="DA97" s="576"/>
      <c r="DB97" s="576"/>
      <c r="DC97" s="576"/>
      <c r="DD97" s="576"/>
      <c r="DE97" s="576"/>
      <c r="DF97" s="576"/>
      <c r="DG97" s="576"/>
      <c r="DH97" s="576"/>
      <c r="DI97" s="576"/>
      <c r="DK97" s="948"/>
      <c r="DL97" s="413">
        <v>194469.46000000002</v>
      </c>
      <c r="DM97" s="413">
        <v>159466.88999999998</v>
      </c>
      <c r="DN97" s="413">
        <v>208203.57</v>
      </c>
      <c r="DO97" s="413">
        <v>158532.44</v>
      </c>
      <c r="DP97" s="413">
        <v>157404.75999999998</v>
      </c>
      <c r="DQ97" s="413">
        <v>118894.62</v>
      </c>
      <c r="DR97" s="413">
        <v>211625.73</v>
      </c>
      <c r="DS97" s="413">
        <v>208193.11</v>
      </c>
      <c r="DT97" s="413">
        <v>269889.13</v>
      </c>
      <c r="DU97" s="413">
        <v>258868.84085232066</v>
      </c>
      <c r="DV97" s="413">
        <v>178376.53444641351</v>
      </c>
      <c r="DW97" s="413">
        <v>114212.18776329115</v>
      </c>
    </row>
    <row r="98" spans="1:128" ht="15" hidden="1" customHeight="1">
      <c r="A98" s="576"/>
      <c r="B98" s="760" t="s">
        <v>136</v>
      </c>
      <c r="C98" s="761"/>
      <c r="D98" s="761"/>
      <c r="E98" s="761"/>
      <c r="F98" s="761"/>
      <c r="G98" s="761"/>
      <c r="H98" s="761"/>
      <c r="I98" s="761"/>
      <c r="J98" s="761"/>
      <c r="K98" s="761"/>
      <c r="L98" s="761"/>
      <c r="M98" s="761"/>
      <c r="N98" s="761"/>
      <c r="O98" s="761"/>
      <c r="P98" s="761"/>
      <c r="Q98" s="761"/>
      <c r="R98" s="761"/>
      <c r="S98" s="761"/>
      <c r="T98" s="761"/>
      <c r="U98" s="761"/>
      <c r="V98" s="761"/>
      <c r="W98" s="761"/>
      <c r="X98" s="761"/>
      <c r="Y98" s="761"/>
      <c r="Z98" s="761"/>
      <c r="AA98" s="761"/>
      <c r="AB98" s="761"/>
      <c r="AC98" s="761"/>
      <c r="AD98" s="761"/>
      <c r="AE98" s="761"/>
      <c r="AF98" s="761"/>
      <c r="AG98" s="761"/>
      <c r="AH98" s="761"/>
      <c r="AI98" s="761"/>
      <c r="AJ98" s="761"/>
      <c r="AK98" s="761"/>
      <c r="AL98" s="761"/>
      <c r="AM98" s="761"/>
      <c r="AN98" s="761"/>
      <c r="AO98" s="761"/>
      <c r="AP98" s="761"/>
      <c r="AQ98" s="761"/>
      <c r="AR98" s="761"/>
      <c r="AS98" s="761"/>
      <c r="AT98" s="761"/>
      <c r="AU98" s="761"/>
      <c r="AV98" s="761"/>
      <c r="AW98" s="761"/>
      <c r="AX98" s="761"/>
      <c r="AY98" s="761"/>
      <c r="AZ98" s="761"/>
      <c r="BA98" s="761"/>
      <c r="BB98" s="761"/>
      <c r="BC98" s="761"/>
      <c r="BD98" s="761"/>
      <c r="BE98" s="761"/>
      <c r="BF98" s="761"/>
      <c r="BG98" s="761"/>
      <c r="BH98" s="761"/>
      <c r="BI98" s="761"/>
      <c r="BJ98" s="761"/>
      <c r="BK98" s="761"/>
      <c r="BL98" s="761"/>
      <c r="BM98" s="761"/>
      <c r="BN98" s="761"/>
      <c r="BO98" s="761"/>
      <c r="BP98" s="761"/>
      <c r="BQ98" s="761"/>
      <c r="BR98" s="761"/>
      <c r="BS98" s="761"/>
      <c r="BT98" s="761"/>
      <c r="BU98" s="761"/>
      <c r="BV98" s="761"/>
      <c r="BW98" s="761"/>
      <c r="BX98" s="761"/>
      <c r="BY98" s="761"/>
      <c r="BZ98" s="761"/>
      <c r="CA98" s="761"/>
      <c r="CB98" s="761"/>
      <c r="CC98" s="761"/>
      <c r="CD98" s="761"/>
      <c r="CE98" s="761"/>
      <c r="CF98" s="761"/>
      <c r="CG98" s="761"/>
      <c r="CH98" s="761"/>
      <c r="CI98" s="761"/>
      <c r="CJ98" s="761"/>
      <c r="CK98" s="761"/>
      <c r="CL98" s="761"/>
      <c r="CM98" s="761"/>
      <c r="CN98" s="761"/>
      <c r="CO98" s="761"/>
      <c r="CP98" s="761"/>
      <c r="CQ98" s="761"/>
      <c r="CR98" s="761"/>
      <c r="CS98" s="761">
        <v>0</v>
      </c>
      <c r="CT98" s="761">
        <v>20460</v>
      </c>
      <c r="CU98" s="761">
        <f>CU104-CU103</f>
        <v>39440</v>
      </c>
      <c r="CV98" s="761"/>
      <c r="CW98" s="758"/>
      <c r="CX98" s="761">
        <f>CX104-CX103</f>
        <v>53880</v>
      </c>
      <c r="CY98" s="761">
        <f t="shared" ref="CY98:DB98" si="265">CY104-CY103</f>
        <v>30080</v>
      </c>
      <c r="CZ98" s="761">
        <f t="shared" si="265"/>
        <v>34020</v>
      </c>
      <c r="DA98" s="761">
        <f t="shared" si="265"/>
        <v>21160</v>
      </c>
      <c r="DB98" s="761">
        <v>10000</v>
      </c>
      <c r="DC98" s="761">
        <v>50000</v>
      </c>
      <c r="DD98" s="761">
        <v>40000</v>
      </c>
      <c r="DE98" s="761">
        <v>40000</v>
      </c>
      <c r="DF98" s="761">
        <v>35000</v>
      </c>
      <c r="DG98" s="761">
        <v>20000</v>
      </c>
      <c r="DH98" s="761">
        <v>10000</v>
      </c>
      <c r="DI98" s="761">
        <f>DC98</f>
        <v>50000</v>
      </c>
      <c r="DJ98" s="576"/>
      <c r="DK98" s="948"/>
      <c r="DL98" s="761">
        <f>DL104-DL103</f>
        <v>53880</v>
      </c>
      <c r="DM98" s="761">
        <f t="shared" ref="DM98:DP98" si="266">DM104-DM103</f>
        <v>30080</v>
      </c>
      <c r="DN98" s="761">
        <f t="shared" si="266"/>
        <v>34020</v>
      </c>
      <c r="DO98" s="761">
        <f t="shared" si="266"/>
        <v>21160</v>
      </c>
      <c r="DP98" s="761">
        <v>10000</v>
      </c>
      <c r="DQ98" s="761">
        <v>50000</v>
      </c>
      <c r="DR98" s="761">
        <v>40000</v>
      </c>
      <c r="DS98" s="761">
        <v>40000</v>
      </c>
      <c r="DT98" s="761">
        <v>35000</v>
      </c>
      <c r="DU98" s="761">
        <v>20000</v>
      </c>
      <c r="DV98" s="761">
        <v>10000</v>
      </c>
      <c r="DW98" s="761">
        <f>DQ98</f>
        <v>50000</v>
      </c>
      <c r="DX98" s="576"/>
    </row>
    <row r="99" spans="1:128" ht="15" hidden="1" customHeight="1">
      <c r="A99" s="576"/>
      <c r="B99" s="762" t="s">
        <v>137</v>
      </c>
      <c r="C99" s="763"/>
      <c r="D99" s="763"/>
      <c r="E99" s="763"/>
      <c r="F99" s="763"/>
      <c r="G99" s="763"/>
      <c r="H99" s="763"/>
      <c r="I99" s="763"/>
      <c r="J99" s="763"/>
      <c r="K99" s="763"/>
      <c r="L99" s="763"/>
      <c r="M99" s="763"/>
      <c r="N99" s="763"/>
      <c r="O99" s="763"/>
      <c r="P99" s="763"/>
      <c r="Q99" s="763"/>
      <c r="R99" s="763"/>
      <c r="S99" s="763"/>
      <c r="T99" s="763"/>
      <c r="U99" s="763"/>
      <c r="V99" s="763"/>
      <c r="W99" s="763"/>
      <c r="X99" s="763"/>
      <c r="Y99" s="763"/>
      <c r="Z99" s="763"/>
      <c r="AA99" s="763"/>
      <c r="AB99" s="763"/>
      <c r="AC99" s="763"/>
      <c r="AD99" s="763"/>
      <c r="AE99" s="763"/>
      <c r="AF99" s="763"/>
      <c r="AG99" s="763"/>
      <c r="AH99" s="763"/>
      <c r="AI99" s="763"/>
      <c r="AJ99" s="763"/>
      <c r="AK99" s="763"/>
      <c r="AL99" s="763"/>
      <c r="AM99" s="763"/>
      <c r="AN99" s="763"/>
      <c r="AO99" s="763"/>
      <c r="AP99" s="763"/>
      <c r="AQ99" s="763"/>
      <c r="AR99" s="763"/>
      <c r="AS99" s="763"/>
      <c r="AT99" s="763"/>
      <c r="AU99" s="763"/>
      <c r="AV99" s="763"/>
      <c r="AW99" s="763"/>
      <c r="AX99" s="763"/>
      <c r="AY99" s="763"/>
      <c r="AZ99" s="763"/>
      <c r="BA99" s="763"/>
      <c r="BB99" s="763"/>
      <c r="BC99" s="763"/>
      <c r="BD99" s="763"/>
      <c r="BE99" s="763"/>
      <c r="BF99" s="763"/>
      <c r="BG99" s="763"/>
      <c r="BH99" s="763"/>
      <c r="BI99" s="763"/>
      <c r="BJ99" s="763"/>
      <c r="BK99" s="763"/>
      <c r="BL99" s="763"/>
      <c r="BM99" s="763"/>
      <c r="BN99" s="763"/>
      <c r="BO99" s="763"/>
      <c r="BP99" s="763"/>
      <c r="BQ99" s="763"/>
      <c r="BR99" s="763"/>
      <c r="BS99" s="763"/>
      <c r="BT99" s="763"/>
      <c r="BU99" s="763"/>
      <c r="BV99" s="763"/>
      <c r="BW99" s="763"/>
      <c r="BX99" s="763"/>
      <c r="BY99" s="763"/>
      <c r="BZ99" s="763"/>
      <c r="CA99" s="763"/>
      <c r="CB99" s="763"/>
      <c r="CC99" s="763"/>
      <c r="CD99" s="763"/>
      <c r="CE99" s="763"/>
      <c r="CF99" s="763"/>
      <c r="CG99" s="763"/>
      <c r="CH99" s="763"/>
      <c r="CI99" s="763"/>
      <c r="CJ99" s="763"/>
      <c r="CK99" s="763"/>
      <c r="CL99" s="763"/>
      <c r="CM99" s="763"/>
      <c r="CN99" s="763"/>
      <c r="CO99" s="763"/>
      <c r="CP99" s="763"/>
      <c r="CQ99" s="763"/>
      <c r="CR99" s="763"/>
      <c r="CS99" s="763"/>
      <c r="CT99" s="763">
        <v>35000</v>
      </c>
      <c r="CU99" s="763">
        <v>2096</v>
      </c>
      <c r="CV99" s="763"/>
      <c r="CW99" s="758"/>
      <c r="CX99" s="764">
        <f>CX106-CX105</f>
        <v>39610</v>
      </c>
      <c r="CY99" s="764">
        <f t="shared" ref="CY99:DC99" si="267">CY106-CY105</f>
        <v>36994</v>
      </c>
      <c r="CZ99" s="764">
        <f t="shared" si="267"/>
        <v>29344</v>
      </c>
      <c r="DA99" s="764">
        <f t="shared" si="267"/>
        <v>33378</v>
      </c>
      <c r="DB99" s="764">
        <f t="shared" si="267"/>
        <v>19489</v>
      </c>
      <c r="DC99" s="764">
        <f t="shared" si="267"/>
        <v>14764</v>
      </c>
      <c r="DD99" s="763">
        <f>DD100*1.1</f>
        <v>49685.9</v>
      </c>
      <c r="DE99" s="763">
        <f t="shared" ref="DE99:DI99" si="268">DE100*1.1</f>
        <v>48585.9</v>
      </c>
      <c r="DF99" s="763">
        <f t="shared" si="268"/>
        <v>55922.9</v>
      </c>
      <c r="DG99" s="763">
        <f t="shared" si="268"/>
        <v>28156.7</v>
      </c>
      <c r="DH99" s="763">
        <f t="shared" si="268"/>
        <v>14078.35</v>
      </c>
      <c r="DI99" s="763">
        <f t="shared" si="268"/>
        <v>3300.0000000000005</v>
      </c>
      <c r="DJ99" s="576"/>
      <c r="DK99" s="948"/>
      <c r="DL99" s="764">
        <f>DL106-DL105</f>
        <v>39610</v>
      </c>
      <c r="DM99" s="764">
        <f t="shared" ref="DM99:DQ99" si="269">DM106-DM105</f>
        <v>36994</v>
      </c>
      <c r="DN99" s="764">
        <f t="shared" si="269"/>
        <v>29344</v>
      </c>
      <c r="DO99" s="764">
        <f t="shared" si="269"/>
        <v>33378</v>
      </c>
      <c r="DP99" s="764">
        <f t="shared" si="269"/>
        <v>19489</v>
      </c>
      <c r="DQ99" s="764">
        <f t="shared" si="269"/>
        <v>14764</v>
      </c>
      <c r="DR99" s="763">
        <f>DR100*1.1</f>
        <v>49685.9</v>
      </c>
      <c r="DS99" s="763">
        <f t="shared" ref="DS99:DW99" si="270">DS100*1.1</f>
        <v>48585.9</v>
      </c>
      <c r="DT99" s="763">
        <f t="shared" si="270"/>
        <v>55922.9</v>
      </c>
      <c r="DU99" s="763">
        <f t="shared" si="270"/>
        <v>28156.7</v>
      </c>
      <c r="DV99" s="763">
        <f t="shared" si="270"/>
        <v>14078.35</v>
      </c>
      <c r="DW99" s="763">
        <f t="shared" si="270"/>
        <v>3300.0000000000005</v>
      </c>
      <c r="DX99" s="576"/>
    </row>
    <row r="100" spans="1:128" ht="15" hidden="1" customHeight="1">
      <c r="B100" s="576"/>
      <c r="C100" s="576"/>
      <c r="D100" s="576"/>
      <c r="E100" s="576"/>
      <c r="F100" s="576"/>
      <c r="G100" s="576"/>
      <c r="H100" s="576"/>
      <c r="I100" s="576"/>
      <c r="J100" s="576"/>
      <c r="K100" s="576"/>
      <c r="L100" s="576"/>
      <c r="M100" s="576"/>
      <c r="N100" s="576"/>
      <c r="O100" s="576"/>
      <c r="P100" s="576"/>
      <c r="Q100" s="576"/>
      <c r="R100" s="576"/>
      <c r="S100" s="576"/>
      <c r="T100" s="576"/>
      <c r="U100" s="576"/>
      <c r="V100" s="576"/>
      <c r="W100" s="576"/>
      <c r="X100" s="576"/>
      <c r="Y100" s="576"/>
      <c r="Z100" s="576"/>
      <c r="AA100" s="576"/>
      <c r="AB100" s="576"/>
      <c r="AC100" s="576"/>
      <c r="AD100" s="576"/>
      <c r="AE100" s="576"/>
      <c r="AF100" s="576"/>
      <c r="AG100" s="576"/>
      <c r="AH100" s="576"/>
      <c r="AI100" s="576"/>
      <c r="AJ100" s="576"/>
      <c r="AK100" s="576"/>
      <c r="AL100" s="576"/>
      <c r="AM100" s="576"/>
      <c r="AN100" s="576"/>
      <c r="AO100" s="576"/>
      <c r="AP100" s="576"/>
      <c r="AQ100" s="576"/>
      <c r="AR100" s="576"/>
      <c r="AS100" s="576"/>
      <c r="AT100" s="576"/>
      <c r="AU100" s="576"/>
      <c r="AV100" s="576"/>
      <c r="AW100" s="576"/>
      <c r="AX100" s="576"/>
      <c r="AY100" s="576"/>
      <c r="AZ100" s="576"/>
      <c r="BA100" s="576"/>
      <c r="BB100" s="576"/>
      <c r="BC100" s="576"/>
      <c r="BD100" s="576"/>
      <c r="BE100" s="576"/>
      <c r="BF100" s="576"/>
      <c r="BG100" s="576"/>
      <c r="BH100" s="576"/>
      <c r="BI100" s="576"/>
      <c r="BJ100" s="576"/>
      <c r="BK100" s="576"/>
      <c r="BL100" s="576"/>
      <c r="BM100" s="576"/>
      <c r="BN100" s="576"/>
      <c r="BO100" s="576"/>
      <c r="BP100" s="576"/>
      <c r="BQ100" s="576"/>
      <c r="BR100" s="576"/>
      <c r="BS100" s="576"/>
      <c r="BT100" s="576"/>
      <c r="BU100" s="576"/>
      <c r="BV100" s="576"/>
      <c r="BW100" s="576"/>
      <c r="BX100" s="576"/>
      <c r="BY100" s="576"/>
      <c r="BZ100" s="576"/>
      <c r="CA100" s="576"/>
      <c r="CB100" s="576"/>
      <c r="CC100" s="576"/>
      <c r="CD100" s="576"/>
      <c r="CE100" s="576"/>
      <c r="CF100" s="576"/>
      <c r="CG100" s="576"/>
      <c r="CH100" s="576"/>
      <c r="CI100" s="576"/>
      <c r="CJ100" s="576"/>
      <c r="CK100" s="576"/>
      <c r="CL100" s="576"/>
      <c r="CM100" s="576"/>
      <c r="CN100" s="576"/>
      <c r="CO100" s="576"/>
      <c r="CP100" s="576"/>
      <c r="CQ100" s="576"/>
      <c r="CR100" s="576"/>
      <c r="CS100" s="576"/>
      <c r="CT100" s="576"/>
      <c r="CU100" s="576"/>
      <c r="CV100" s="576"/>
      <c r="CW100" s="758"/>
      <c r="CX100" s="576"/>
      <c r="CY100" s="576"/>
      <c r="CZ100" s="576"/>
      <c r="DA100" s="576"/>
      <c r="DB100" s="576"/>
      <c r="DC100" s="576"/>
      <c r="DD100" s="576">
        <v>45169</v>
      </c>
      <c r="DE100" s="576">
        <v>44169</v>
      </c>
      <c r="DF100" s="576">
        <v>50839</v>
      </c>
      <c r="DG100" s="576">
        <v>25597</v>
      </c>
      <c r="DH100" s="763">
        <f>DG100/2</f>
        <v>12798.5</v>
      </c>
      <c r="DI100" s="763">
        <v>3000</v>
      </c>
      <c r="DK100" s="948"/>
      <c r="DL100" s="576"/>
      <c r="DM100" s="576"/>
      <c r="DN100" s="576"/>
      <c r="DO100" s="576"/>
      <c r="DP100" s="576"/>
      <c r="DQ100" s="576"/>
      <c r="DR100" s="576">
        <v>45169</v>
      </c>
      <c r="DS100" s="576">
        <v>44169</v>
      </c>
      <c r="DT100" s="576">
        <v>50839</v>
      </c>
      <c r="DU100" s="576">
        <v>25597</v>
      </c>
      <c r="DV100" s="763">
        <f>DU100/2</f>
        <v>12798.5</v>
      </c>
      <c r="DW100" s="763">
        <v>3000</v>
      </c>
    </row>
    <row r="101" spans="1:128" ht="15" hidden="1" customHeight="1">
      <c r="CU101">
        <v>50000</v>
      </c>
      <c r="CX101">
        <v>40000</v>
      </c>
      <c r="CY101">
        <v>40000</v>
      </c>
      <c r="CZ101">
        <v>35000</v>
      </c>
      <c r="DA101">
        <v>20000</v>
      </c>
      <c r="DL101">
        <v>40000</v>
      </c>
      <c r="DM101">
        <v>40000</v>
      </c>
      <c r="DN101">
        <v>35000</v>
      </c>
      <c r="DO101">
        <v>20000</v>
      </c>
    </row>
    <row r="102" spans="1:128" ht="15" hidden="1" customHeight="1"/>
    <row r="103" spans="1:128" ht="15" hidden="1" customHeight="1">
      <c r="CT103" s="682" t="s">
        <v>138</v>
      </c>
      <c r="CU103">
        <v>31560</v>
      </c>
      <c r="CX103">
        <v>26320</v>
      </c>
      <c r="CY103">
        <v>21280</v>
      </c>
      <c r="CZ103">
        <v>19180</v>
      </c>
      <c r="DA103">
        <v>14700</v>
      </c>
      <c r="DL103">
        <v>26320</v>
      </c>
      <c r="DM103">
        <v>21280</v>
      </c>
      <c r="DN103">
        <v>19180</v>
      </c>
      <c r="DO103">
        <v>14700</v>
      </c>
    </row>
    <row r="104" spans="1:128" ht="15" hidden="1" customHeight="1">
      <c r="CU104" s="761">
        <v>71000</v>
      </c>
      <c r="CV104" s="761"/>
      <c r="CW104" s="761"/>
      <c r="CX104" s="761">
        <v>80200</v>
      </c>
      <c r="CY104" s="761">
        <v>51360</v>
      </c>
      <c r="CZ104" s="761">
        <v>53200</v>
      </c>
      <c r="DA104" s="761">
        <v>35860</v>
      </c>
      <c r="DL104" s="761">
        <v>80200</v>
      </c>
      <c r="DM104" s="761">
        <v>51360</v>
      </c>
      <c r="DN104" s="761">
        <v>53200</v>
      </c>
      <c r="DO104" s="761">
        <v>35860</v>
      </c>
    </row>
    <row r="105" spans="1:128" ht="15" hidden="1" customHeight="1">
      <c r="B105" s="576"/>
      <c r="C105" s="576"/>
      <c r="CT105" t="s">
        <v>139</v>
      </c>
      <c r="CX105" s="764">
        <v>24332</v>
      </c>
      <c r="CY105" s="764">
        <v>18419</v>
      </c>
      <c r="CZ105" s="764">
        <v>19179</v>
      </c>
      <c r="DA105" s="764">
        <v>17338</v>
      </c>
      <c r="DB105" s="764">
        <v>12064</v>
      </c>
      <c r="DC105" s="764">
        <v>9136</v>
      </c>
      <c r="DL105" s="764">
        <v>24332</v>
      </c>
      <c r="DM105" s="764">
        <v>18419</v>
      </c>
      <c r="DN105" s="764">
        <v>19179</v>
      </c>
      <c r="DO105" s="764">
        <v>17338</v>
      </c>
      <c r="DP105" s="764">
        <v>12064</v>
      </c>
      <c r="DQ105" s="764">
        <v>9136</v>
      </c>
    </row>
    <row r="106" spans="1:128" ht="15" hidden="1" customHeight="1">
      <c r="A106" s="576"/>
      <c r="B106" s="946" t="s">
        <v>140</v>
      </c>
      <c r="C106" s="947" t="s">
        <v>141</v>
      </c>
      <c r="D106" s="576"/>
      <c r="CX106" s="764">
        <v>63942</v>
      </c>
      <c r="CY106" s="764">
        <v>55413</v>
      </c>
      <c r="CZ106" s="764">
        <v>48523</v>
      </c>
      <c r="DA106" s="764">
        <v>50716</v>
      </c>
      <c r="DB106" s="764">
        <v>31553</v>
      </c>
      <c r="DC106" s="764">
        <v>23900</v>
      </c>
      <c r="DL106" s="764">
        <v>63942</v>
      </c>
      <c r="DM106" s="764">
        <v>55413</v>
      </c>
      <c r="DN106" s="764">
        <v>48523</v>
      </c>
      <c r="DO106" s="764">
        <v>50716</v>
      </c>
      <c r="DP106" s="764">
        <v>31553</v>
      </c>
      <c r="DQ106" s="764">
        <v>23900</v>
      </c>
    </row>
    <row r="107" spans="1:128" ht="15" hidden="1" customHeight="1">
      <c r="A107" s="576"/>
      <c r="B107" s="944" t="s">
        <v>142</v>
      </c>
      <c r="C107" s="945">
        <f>COUNTIFS(grupos!C:C,B107)</f>
        <v>1</v>
      </c>
      <c r="D107" s="576"/>
    </row>
    <row r="108" spans="1:128" ht="15" hidden="1" customHeight="1">
      <c r="A108" s="576"/>
      <c r="B108" s="941" t="s">
        <v>143</v>
      </c>
      <c r="C108" s="942">
        <f>COUNTIFS(grupos!C:C,B108)</f>
        <v>10</v>
      </c>
      <c r="D108" s="576"/>
      <c r="CV108" t="s">
        <v>144</v>
      </c>
      <c r="CX108">
        <v>15330</v>
      </c>
      <c r="CY108">
        <v>12143</v>
      </c>
      <c r="CZ108">
        <v>17171</v>
      </c>
      <c r="DA108">
        <v>12558</v>
      </c>
      <c r="DB108">
        <v>13440</v>
      </c>
      <c r="DC108">
        <v>9626</v>
      </c>
      <c r="DD108">
        <v>16670</v>
      </c>
      <c r="DE108">
        <v>18206</v>
      </c>
      <c r="DF108">
        <v>25500</v>
      </c>
      <c r="DG108">
        <v>16774</v>
      </c>
      <c r="DH108">
        <v>15710</v>
      </c>
      <c r="DI108">
        <v>9907</v>
      </c>
      <c r="DL108">
        <v>15330</v>
      </c>
      <c r="DM108">
        <v>12143</v>
      </c>
      <c r="DN108">
        <v>17171</v>
      </c>
      <c r="DO108">
        <v>12558</v>
      </c>
      <c r="DP108">
        <v>13440</v>
      </c>
      <c r="DQ108">
        <v>9626</v>
      </c>
      <c r="DR108">
        <v>16670</v>
      </c>
      <c r="DS108">
        <v>18206</v>
      </c>
      <c r="DT108">
        <v>25500</v>
      </c>
      <c r="DU108">
        <v>16774</v>
      </c>
      <c r="DV108">
        <v>15710</v>
      </c>
      <c r="DW108">
        <v>9907</v>
      </c>
    </row>
    <row r="109" spans="1:128" ht="15" hidden="1" customHeight="1">
      <c r="A109" s="576"/>
      <c r="B109" s="941" t="s">
        <v>145</v>
      </c>
      <c r="C109" s="942">
        <f>COUNTIFS(grupos!C:C,B109)</f>
        <v>1</v>
      </c>
      <c r="D109" s="576"/>
      <c r="DL109" s="881">
        <v>166555.77995873816</v>
      </c>
      <c r="DM109" s="881">
        <v>152835.36924465047</v>
      </c>
      <c r="DN109" s="881">
        <v>195319.2072937729</v>
      </c>
      <c r="DO109" s="881">
        <v>158396.18906207831</v>
      </c>
      <c r="DP109" s="881">
        <v>152371.51475009107</v>
      </c>
      <c r="DQ109" s="881">
        <v>147696.01107361159</v>
      </c>
      <c r="DR109" s="881">
        <v>189465.0513586243</v>
      </c>
      <c r="DS109" s="881">
        <v>202914.10079748323</v>
      </c>
      <c r="DT109" s="881">
        <v>214499.61628422557</v>
      </c>
      <c r="DU109" s="881">
        <v>217682.99793575107</v>
      </c>
      <c r="DV109" s="881">
        <v>179284.72030485788</v>
      </c>
      <c r="DW109" s="881">
        <v>88389.319383536102</v>
      </c>
      <c r="DX109" s="69">
        <v>2065409.8774474205</v>
      </c>
    </row>
    <row r="110" spans="1:128" ht="15" hidden="1" customHeight="1">
      <c r="A110" s="576"/>
      <c r="B110" s="941" t="s">
        <v>146</v>
      </c>
      <c r="C110" s="942">
        <v>4</v>
      </c>
      <c r="D110" s="576"/>
    </row>
    <row r="111" spans="1:128" ht="15" hidden="1" customHeight="1">
      <c r="A111" s="576"/>
      <c r="B111" s="762" t="s">
        <v>147</v>
      </c>
      <c r="C111" s="943">
        <v>4</v>
      </c>
      <c r="D111" s="576"/>
    </row>
    <row r="112" spans="1:128" ht="15" hidden="1" customHeight="1">
      <c r="B112" s="576"/>
      <c r="C112" s="602">
        <f>SUM(C107:C111)</f>
        <v>20</v>
      </c>
    </row>
  </sheetData>
  <mergeCells count="28">
    <mergeCell ref="B58:C58"/>
    <mergeCell ref="DL2:DW2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CX1:DI1"/>
    <mergeCell ref="DL1:DW1"/>
    <mergeCell ref="D2:P2"/>
    <mergeCell ref="R2:AD2"/>
    <mergeCell ref="AF2:AR2"/>
    <mergeCell ref="AT2:BF2"/>
    <mergeCell ref="BH2:BS2"/>
    <mergeCell ref="BV2:CG2"/>
    <mergeCell ref="CJ2:CU2"/>
    <mergeCell ref="CX2:DI2"/>
    <mergeCell ref="R1:AD1"/>
    <mergeCell ref="AF1:AR1"/>
    <mergeCell ref="AT1:BF1"/>
    <mergeCell ref="BH1:BS1"/>
    <mergeCell ref="BV1:CG1"/>
    <mergeCell ref="CJ1:CU1"/>
  </mergeCells>
  <pageMargins left="0.25" right="0.25" top="0.75" bottom="0.75" header="0" footer="0"/>
  <pageSetup paperSize="9" scale="55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565F-2344-420C-AC27-F5CA32D75E87}">
  <sheetPr>
    <tabColor rgb="FF00B050"/>
  </sheetPr>
  <dimension ref="A1:DY118"/>
  <sheetViews>
    <sheetView showGridLines="0" zoomScale="80" zoomScaleNormal="80" workbookViewId="0">
      <pane xSplit="3" ySplit="9" topLeftCell="CZ11" activePane="bottomRight" state="frozen"/>
      <selection pane="bottomRight" activeCell="DL13" sqref="DL13"/>
      <selection pane="bottomLeft"/>
      <selection pane="topRight"/>
    </sheetView>
  </sheetViews>
  <sheetFormatPr defaultColWidth="14.42578125" defaultRowHeight="15" customHeight="1" outlineLevelRow="1" outlineLevelCol="1"/>
  <cols>
    <col min="1" max="1" width="3" customWidth="1"/>
    <col min="2" max="2" width="17.85546875" customWidth="1"/>
    <col min="3" max="3" width="14.710937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3.140625" hidden="1" customWidth="1" collapsed="1"/>
    <col min="74" max="87" width="12.28515625" hidden="1" customWidth="1"/>
    <col min="88" max="88" width="12.28515625" hidden="1" customWidth="1" collapsed="1"/>
    <col min="89" max="99" width="12.28515625" hidden="1" customWidth="1"/>
    <col min="100" max="100" width="16.85546875" hidden="1" customWidth="1"/>
    <col min="101" max="101" width="12" hidden="1" customWidth="1"/>
    <col min="102" max="103" width="13" hidden="1" customWidth="1"/>
    <col min="104" max="104" width="12.140625" customWidth="1"/>
    <col min="105" max="105" width="13.5703125" customWidth="1"/>
    <col min="106" max="106" width="12.28515625" customWidth="1"/>
    <col min="107" max="107" width="12.85546875" customWidth="1"/>
    <col min="108" max="108" width="13.5703125" customWidth="1"/>
    <col min="109" max="109" width="12.42578125" customWidth="1"/>
    <col min="110" max="110" width="13.28515625" customWidth="1"/>
    <col min="111" max="111" width="13.140625" customWidth="1"/>
    <col min="112" max="112" width="13.85546875" customWidth="1"/>
    <col min="113" max="113" width="12.28515625" customWidth="1"/>
    <col min="114" max="114" width="12.5703125" customWidth="1"/>
    <col min="115" max="115" width="2.7109375" customWidth="1"/>
    <col min="116" max="127" width="10.5703125" customWidth="1"/>
    <col min="128" max="128" width="11.5703125" customWidth="1"/>
  </cols>
  <sheetData>
    <row r="1" spans="1:128" ht="2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s="699" t="s">
        <v>1</v>
      </c>
      <c r="CJ1" s="1089" t="s">
        <v>2</v>
      </c>
      <c r="CK1" s="1090"/>
      <c r="CL1" s="1090"/>
      <c r="CM1" s="1090"/>
      <c r="CN1" s="1090"/>
      <c r="CO1" s="1090"/>
      <c r="CP1" s="1090"/>
      <c r="CQ1" s="1090"/>
      <c r="CR1" s="1090"/>
      <c r="CS1" s="1090"/>
      <c r="CT1" s="1090"/>
      <c r="CU1" s="1091"/>
      <c r="CX1" s="1080" t="s">
        <v>153</v>
      </c>
      <c r="CY1" s="1121"/>
      <c r="CZ1" s="1121"/>
      <c r="DA1" s="1121"/>
      <c r="DB1" s="1121"/>
      <c r="DC1" s="1121"/>
      <c r="DD1" s="1121"/>
      <c r="DE1" s="1121"/>
      <c r="DF1" s="1121"/>
      <c r="DG1" s="1121"/>
      <c r="DH1" s="1121"/>
      <c r="DI1" s="1122"/>
      <c r="DK1" s="948"/>
      <c r="DL1" s="1081" t="s">
        <v>0</v>
      </c>
      <c r="DM1" s="1113"/>
      <c r="DN1" s="1113"/>
      <c r="DO1" s="1113"/>
      <c r="DP1" s="1113"/>
      <c r="DQ1" s="1113"/>
      <c r="DR1" s="1113"/>
      <c r="DS1" s="1113"/>
      <c r="DT1" s="1113"/>
      <c r="DU1" s="1113"/>
      <c r="DV1" s="1113"/>
      <c r="DW1" s="1114"/>
    </row>
    <row r="2" spans="1:128" ht="15" customHeight="1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H2" s="700" t="s">
        <v>3</v>
      </c>
      <c r="CJ2" s="1085" t="s">
        <v>4</v>
      </c>
      <c r="CK2" s="1086"/>
      <c r="CL2" s="1086"/>
      <c r="CM2" s="1086"/>
      <c r="CN2" s="1086"/>
      <c r="CO2" s="1086"/>
      <c r="CP2" s="1086"/>
      <c r="CQ2" s="1086"/>
      <c r="CR2" s="1086"/>
      <c r="CS2" s="1086"/>
      <c r="CT2" s="1086"/>
      <c r="CU2" s="1087"/>
      <c r="CX2" s="1077">
        <v>2026</v>
      </c>
      <c r="CY2" s="1115"/>
      <c r="CZ2" s="1115"/>
      <c r="DA2" s="1115"/>
      <c r="DB2" s="1115"/>
      <c r="DC2" s="1115"/>
      <c r="DD2" s="1115"/>
      <c r="DE2" s="1115"/>
      <c r="DF2" s="1115"/>
      <c r="DG2" s="1115"/>
      <c r="DH2" s="1115"/>
      <c r="DI2" s="1116"/>
      <c r="DK2" s="948"/>
      <c r="DL2" s="1077" t="s">
        <v>154</v>
      </c>
      <c r="DM2" s="1115"/>
      <c r="DN2" s="1115"/>
      <c r="DO2" s="1115"/>
      <c r="DP2" s="1115"/>
      <c r="DQ2" s="1115"/>
      <c r="DR2" s="1115"/>
      <c r="DS2" s="1115"/>
      <c r="DT2" s="1115"/>
      <c r="DU2" s="1115"/>
      <c r="DV2" s="1115"/>
      <c r="DW2" s="1116"/>
    </row>
    <row r="3" spans="1:128" ht="15.75">
      <c r="A3" s="703" t="s">
        <v>5</v>
      </c>
      <c r="B3" s="4"/>
      <c r="C3" s="4" t="str">
        <f>A3</f>
        <v>Dias Uteis Produção</v>
      </c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H3" t="s">
        <v>6</v>
      </c>
      <c r="CJ3" s="253">
        <v>23</v>
      </c>
      <c r="CK3" s="566">
        <v>20</v>
      </c>
      <c r="CL3" s="566">
        <v>21</v>
      </c>
      <c r="CM3" s="252">
        <v>22</v>
      </c>
      <c r="CN3" s="248">
        <v>22</v>
      </c>
      <c r="CO3" s="248">
        <v>21</v>
      </c>
      <c r="CP3" s="248">
        <v>23</v>
      </c>
      <c r="CQ3" s="248">
        <v>21</v>
      </c>
      <c r="CR3" s="248">
        <v>22</v>
      </c>
      <c r="CS3" s="248">
        <v>23</v>
      </c>
      <c r="CT3" s="248">
        <v>20</v>
      </c>
      <c r="CU3" s="248">
        <v>13</v>
      </c>
      <c r="CX3" s="253">
        <v>22</v>
      </c>
      <c r="CY3" s="252">
        <v>20</v>
      </c>
      <c r="CZ3" s="252">
        <v>22</v>
      </c>
      <c r="DA3" s="252">
        <v>21</v>
      </c>
      <c r="DB3" s="248">
        <v>21</v>
      </c>
      <c r="DC3" s="248">
        <v>22</v>
      </c>
      <c r="DD3" s="248">
        <v>23</v>
      </c>
      <c r="DE3" s="248">
        <v>21</v>
      </c>
      <c r="DF3" s="248">
        <v>22</v>
      </c>
      <c r="DG3" s="248">
        <v>22</v>
      </c>
      <c r="DH3" s="248">
        <v>21</v>
      </c>
      <c r="DI3" s="248">
        <v>21</v>
      </c>
      <c r="DK3" s="948"/>
      <c r="DL3" s="253">
        <v>22</v>
      </c>
      <c r="DM3" s="252">
        <v>20</v>
      </c>
      <c r="DN3" s="252">
        <v>22</v>
      </c>
      <c r="DO3" s="252">
        <v>22</v>
      </c>
      <c r="DP3" s="248">
        <v>21</v>
      </c>
      <c r="DQ3" s="248">
        <v>22</v>
      </c>
      <c r="DR3" s="248">
        <v>23</v>
      </c>
      <c r="DS3" s="248">
        <v>21</v>
      </c>
      <c r="DT3" s="248">
        <v>22</v>
      </c>
      <c r="DU3" s="248">
        <v>22</v>
      </c>
      <c r="DV3" s="248">
        <v>21</v>
      </c>
      <c r="DW3" s="248">
        <v>21</v>
      </c>
    </row>
    <row r="4" spans="1:128" ht="11.25" customHeight="1">
      <c r="A4" s="703" t="s">
        <v>7</v>
      </c>
      <c r="B4" s="4"/>
      <c r="C4" s="4" t="str">
        <f t="shared" ref="C4:C7" si="0">A4</f>
        <v>(-) FÉRIAS</v>
      </c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H4" t="s">
        <v>8</v>
      </c>
      <c r="CJ4" s="253">
        <v>3</v>
      </c>
      <c r="CK4" s="566"/>
      <c r="CL4" s="566">
        <v>1.5</v>
      </c>
      <c r="CM4" s="252"/>
      <c r="CN4" s="248"/>
      <c r="CO4" s="248"/>
      <c r="CP4" s="248" t="s">
        <v>109</v>
      </c>
      <c r="CQ4" s="248"/>
      <c r="CR4" s="248"/>
      <c r="CS4" s="248"/>
      <c r="CT4" s="248" t="s">
        <v>110</v>
      </c>
      <c r="CU4" s="248"/>
      <c r="CX4" s="253">
        <v>2</v>
      </c>
      <c r="CY4" s="252">
        <v>0</v>
      </c>
      <c r="CZ4" s="252"/>
      <c r="DA4" s="252"/>
      <c r="DB4" s="248"/>
      <c r="DC4" s="248"/>
      <c r="DD4" s="248"/>
      <c r="DE4" s="248"/>
      <c r="DF4" s="248"/>
      <c r="DG4" s="248"/>
      <c r="DH4" s="248"/>
      <c r="DI4" s="248">
        <v>5</v>
      </c>
      <c r="DK4" s="948"/>
      <c r="DL4" s="253">
        <v>2</v>
      </c>
      <c r="DM4" s="252">
        <v>0</v>
      </c>
      <c r="DN4" s="252"/>
      <c r="DO4" s="252"/>
      <c r="DP4" s="248"/>
      <c r="DQ4" s="248"/>
      <c r="DR4" s="248"/>
      <c r="DS4" s="248"/>
      <c r="DT4" s="248"/>
      <c r="DU4" s="248"/>
      <c r="DV4" s="248"/>
      <c r="DW4" s="248">
        <v>5</v>
      </c>
    </row>
    <row r="5" spans="1:128" ht="15.75" customHeight="1">
      <c r="A5" s="703" t="s">
        <v>9</v>
      </c>
      <c r="B5" s="4"/>
      <c r="C5" s="4" t="str">
        <f t="shared" si="0"/>
        <v>(+) SABADO</v>
      </c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H5" t="s">
        <v>10</v>
      </c>
      <c r="CJ5" s="701">
        <v>2</v>
      </c>
      <c r="CK5" s="701">
        <v>3</v>
      </c>
      <c r="CL5" s="701">
        <v>1.5</v>
      </c>
      <c r="CM5" s="733">
        <v>0</v>
      </c>
      <c r="CN5" s="733">
        <v>0</v>
      </c>
      <c r="CO5" s="733">
        <v>2</v>
      </c>
      <c r="CP5" s="750">
        <v>2</v>
      </c>
      <c r="CQ5" s="679">
        <v>0</v>
      </c>
      <c r="CR5" s="679">
        <v>0</v>
      </c>
      <c r="CS5" s="679">
        <v>0</v>
      </c>
      <c r="CT5" s="679">
        <v>3</v>
      </c>
      <c r="CU5" s="643"/>
      <c r="CV5" s="682" t="s">
        <v>111</v>
      </c>
      <c r="CX5" s="701">
        <v>2</v>
      </c>
      <c r="CY5" s="733">
        <v>2</v>
      </c>
      <c r="CZ5" s="733">
        <v>2</v>
      </c>
      <c r="DA5" s="938">
        <v>2</v>
      </c>
      <c r="DB5" s="938">
        <v>2</v>
      </c>
      <c r="DC5" s="938">
        <v>2</v>
      </c>
      <c r="DD5" s="938">
        <v>2</v>
      </c>
      <c r="DE5" s="938">
        <v>2</v>
      </c>
      <c r="DF5" s="938">
        <v>2</v>
      </c>
      <c r="DG5" s="938">
        <v>2</v>
      </c>
      <c r="DH5" s="938">
        <v>2</v>
      </c>
      <c r="DI5" s="939"/>
      <c r="DK5" s="948"/>
      <c r="DL5" s="701">
        <v>2</v>
      </c>
      <c r="DM5" s="733">
        <v>2</v>
      </c>
      <c r="DN5" s="733">
        <v>2</v>
      </c>
      <c r="DO5" s="938">
        <v>2</v>
      </c>
      <c r="DP5" s="938"/>
      <c r="DQ5" s="938"/>
      <c r="DR5" s="938"/>
      <c r="DS5" s="938"/>
      <c r="DT5" s="938">
        <v>2</v>
      </c>
      <c r="DU5" s="938">
        <v>2</v>
      </c>
      <c r="DV5" s="938">
        <v>2</v>
      </c>
      <c r="DW5" s="939"/>
    </row>
    <row r="6" spans="1:128" ht="9.75" customHeight="1">
      <c r="A6" s="703" t="s">
        <v>11</v>
      </c>
      <c r="B6" s="4"/>
      <c r="C6" s="4" t="str">
        <f t="shared" si="0"/>
        <v>(-)FERIADO</v>
      </c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 t="s">
        <v>12</v>
      </c>
      <c r="CJ6" s="644"/>
      <c r="CK6" s="679"/>
      <c r="CL6" s="679">
        <v>2</v>
      </c>
      <c r="CM6" s="679">
        <v>2</v>
      </c>
      <c r="CN6" s="679">
        <v>1</v>
      </c>
      <c r="CO6" s="679">
        <v>1</v>
      </c>
      <c r="CP6" s="679"/>
      <c r="CQ6" s="679"/>
      <c r="CR6" s="679">
        <v>0</v>
      </c>
      <c r="CS6" s="643">
        <v>0</v>
      </c>
      <c r="CT6" s="643">
        <v>1</v>
      </c>
      <c r="CU6" s="643"/>
      <c r="CX6" s="644"/>
      <c r="CY6" s="938">
        <v>3</v>
      </c>
      <c r="CZ6" s="938">
        <v>2</v>
      </c>
      <c r="DA6" s="938">
        <v>3</v>
      </c>
      <c r="DB6" s="938">
        <v>1</v>
      </c>
      <c r="DC6" s="938">
        <v>1</v>
      </c>
      <c r="DD6" s="938"/>
      <c r="DE6" s="938">
        <v>0</v>
      </c>
      <c r="DF6" s="938">
        <v>1</v>
      </c>
      <c r="DG6" s="938">
        <v>1</v>
      </c>
      <c r="DH6" s="938">
        <v>2</v>
      </c>
      <c r="DI6" s="939">
        <v>5</v>
      </c>
      <c r="DK6" s="948"/>
      <c r="DL6" s="644"/>
      <c r="DM6" s="938">
        <v>3</v>
      </c>
      <c r="DN6" s="938">
        <v>2</v>
      </c>
      <c r="DO6" s="938">
        <v>2</v>
      </c>
      <c r="DP6" s="938">
        <v>1</v>
      </c>
      <c r="DQ6" s="938">
        <v>1</v>
      </c>
      <c r="DR6" s="938"/>
      <c r="DS6" s="938">
        <v>0</v>
      </c>
      <c r="DT6" s="938">
        <v>1</v>
      </c>
      <c r="DU6" s="938">
        <v>1</v>
      </c>
      <c r="DV6" s="938">
        <v>2</v>
      </c>
      <c r="DW6" s="939">
        <v>5</v>
      </c>
    </row>
    <row r="7" spans="1:128">
      <c r="A7" s="704" t="s">
        <v>13</v>
      </c>
      <c r="B7" s="3"/>
      <c r="C7" s="3" t="str">
        <f t="shared" si="0"/>
        <v>Dias Trabalhados</v>
      </c>
      <c r="D7" s="252">
        <v>16</v>
      </c>
      <c r="E7" s="252">
        <v>21</v>
      </c>
      <c r="F7" s="252">
        <v>18</v>
      </c>
      <c r="G7" s="252">
        <v>21</v>
      </c>
      <c r="H7" s="252">
        <v>22</v>
      </c>
      <c r="I7" s="252">
        <v>19</v>
      </c>
      <c r="J7" s="252">
        <v>23</v>
      </c>
      <c r="K7" s="252">
        <v>21</v>
      </c>
      <c r="L7" s="252">
        <v>21</v>
      </c>
      <c r="M7" s="252">
        <v>26</v>
      </c>
      <c r="N7" s="252">
        <v>24</v>
      </c>
      <c r="O7" s="252">
        <v>15</v>
      </c>
      <c r="P7" s="4"/>
      <c r="Q7" s="247"/>
      <c r="R7" s="252">
        <v>22</v>
      </c>
      <c r="S7" s="252">
        <v>20</v>
      </c>
      <c r="T7" s="252">
        <v>14</v>
      </c>
      <c r="U7" s="252">
        <v>1</v>
      </c>
      <c r="V7" s="252">
        <v>12</v>
      </c>
      <c r="W7" s="252">
        <v>22</v>
      </c>
      <c r="X7" s="252">
        <v>23</v>
      </c>
      <c r="Y7" s="252">
        <v>21</v>
      </c>
      <c r="Z7" s="252">
        <v>21</v>
      </c>
      <c r="AA7" s="252">
        <v>21</v>
      </c>
      <c r="AB7" s="252">
        <v>20</v>
      </c>
      <c r="AC7" s="252">
        <v>17</v>
      </c>
      <c r="AD7" s="2"/>
      <c r="AE7" s="253"/>
      <c r="AF7" s="254">
        <v>18</v>
      </c>
      <c r="AG7" s="252">
        <v>20</v>
      </c>
      <c r="AH7" s="248">
        <v>20</v>
      </c>
      <c r="AI7" s="248">
        <v>20</v>
      </c>
      <c r="AJ7" s="252">
        <v>22</v>
      </c>
      <c r="AK7" s="252">
        <v>20</v>
      </c>
      <c r="AL7" s="252">
        <v>22</v>
      </c>
      <c r="AM7" s="252">
        <v>22</v>
      </c>
      <c r="AN7" s="252">
        <v>21</v>
      </c>
      <c r="AO7" s="252">
        <v>20</v>
      </c>
      <c r="AP7" s="252">
        <v>20</v>
      </c>
      <c r="AQ7" s="248">
        <v>12</v>
      </c>
      <c r="AR7" s="2"/>
      <c r="AS7" s="124"/>
      <c r="AT7" s="253">
        <v>19</v>
      </c>
      <c r="AU7" s="248">
        <v>19</v>
      </c>
      <c r="AV7" s="248">
        <v>18</v>
      </c>
      <c r="AW7" s="248">
        <v>19</v>
      </c>
      <c r="AX7" s="248">
        <v>22</v>
      </c>
      <c r="AY7" s="248">
        <v>21</v>
      </c>
      <c r="AZ7" s="248">
        <v>21</v>
      </c>
      <c r="BA7" s="248">
        <v>22</v>
      </c>
      <c r="BB7" s="248">
        <v>22</v>
      </c>
      <c r="BC7" s="248">
        <v>21</v>
      </c>
      <c r="BD7" s="248">
        <v>20</v>
      </c>
      <c r="BE7" s="248">
        <v>10</v>
      </c>
      <c r="BF7" s="2"/>
      <c r="BG7" s="125"/>
      <c r="BH7" s="253">
        <v>20</v>
      </c>
      <c r="BI7" s="248">
        <v>17</v>
      </c>
      <c r="BJ7" s="248">
        <v>23</v>
      </c>
      <c r="BK7" s="248">
        <v>18</v>
      </c>
      <c r="BL7" s="248">
        <v>22</v>
      </c>
      <c r="BM7" s="248">
        <v>23</v>
      </c>
      <c r="BN7" s="248">
        <v>21</v>
      </c>
      <c r="BO7" s="248">
        <v>21</v>
      </c>
      <c r="BP7" s="248">
        <v>20</v>
      </c>
      <c r="BQ7" s="248">
        <v>21</v>
      </c>
      <c r="BR7" s="248">
        <v>20</v>
      </c>
      <c r="BS7" s="248">
        <v>14</v>
      </c>
      <c r="BT7" s="253">
        <v>20</v>
      </c>
      <c r="BU7" s="252"/>
      <c r="BV7" s="253">
        <v>19</v>
      </c>
      <c r="BW7" s="248">
        <v>19</v>
      </c>
      <c r="BX7" s="566">
        <v>21</v>
      </c>
      <c r="BY7" s="566">
        <f>22+2</f>
        <v>24</v>
      </c>
      <c r="BZ7" s="248">
        <f>21+2</f>
        <v>23</v>
      </c>
      <c r="CA7" s="567">
        <f>20+2</f>
        <v>22</v>
      </c>
      <c r="CB7" s="567">
        <f>23+2</f>
        <v>25</v>
      </c>
      <c r="CC7" s="252">
        <f>21+3</f>
        <v>24</v>
      </c>
      <c r="CD7" s="252">
        <f>21+3</f>
        <v>24</v>
      </c>
      <c r="CE7" s="248">
        <f>23+1</f>
        <v>24</v>
      </c>
      <c r="CF7" s="248">
        <f>19+3</f>
        <v>22</v>
      </c>
      <c r="CG7" s="248">
        <f>12+1</f>
        <v>13</v>
      </c>
      <c r="CH7" s="248"/>
      <c r="CJ7" s="253">
        <f>CJ3+CJ5-CJ6-CJ4</f>
        <v>22</v>
      </c>
      <c r="CK7" s="253">
        <f>CK3+CK5-CK6-CK4</f>
        <v>23</v>
      </c>
      <c r="CL7" s="253">
        <v>19</v>
      </c>
      <c r="CM7" s="734">
        <f t="shared" ref="CM7:CQ7" si="1">CM3+CM5-CM6-CM4</f>
        <v>20</v>
      </c>
      <c r="CN7" s="734">
        <f>CN3+CN5-CN6-CN4</f>
        <v>21</v>
      </c>
      <c r="CO7" s="734">
        <f>CO3+CO5-CO6-CO4</f>
        <v>22</v>
      </c>
      <c r="CP7" s="734">
        <f t="shared" ref="CP7:CU7" si="2">CP3+CP5-CP6</f>
        <v>25</v>
      </c>
      <c r="CQ7" s="734">
        <f>CQ3+CQ5-CQ6</f>
        <v>21</v>
      </c>
      <c r="CR7" s="734">
        <f t="shared" si="2"/>
        <v>22</v>
      </c>
      <c r="CS7" s="734">
        <f>CS3+CS5-CS6</f>
        <v>23</v>
      </c>
      <c r="CT7" s="734">
        <f>CT3+CT5-CT6</f>
        <v>22</v>
      </c>
      <c r="CU7" s="734">
        <v>17</v>
      </c>
      <c r="CV7" s="248"/>
      <c r="CX7" s="253">
        <f>CX3+CX5-CX6-CX4</f>
        <v>22</v>
      </c>
      <c r="CY7" s="253">
        <f t="shared" ref="CY7:DC7" si="3">CY3+CY5-CY6-CY4</f>
        <v>19</v>
      </c>
      <c r="CZ7" s="253">
        <v>6</v>
      </c>
      <c r="DA7" s="253">
        <v>10</v>
      </c>
      <c r="DB7" s="253">
        <f t="shared" si="3"/>
        <v>22</v>
      </c>
      <c r="DC7" s="253">
        <f>DC3+DC5-DC6-DC4</f>
        <v>23</v>
      </c>
      <c r="DD7" s="253">
        <f t="shared" ref="DD7:DI7" si="4">DD3+DD5-DD6</f>
        <v>25</v>
      </c>
      <c r="DE7" s="253">
        <f>DE3+DE5-DE6</f>
        <v>23</v>
      </c>
      <c r="DF7" s="253">
        <f>DF3+DF5-DF6</f>
        <v>23</v>
      </c>
      <c r="DG7" s="253">
        <f>DG3+DG5-DG6</f>
        <v>23</v>
      </c>
      <c r="DH7" s="253">
        <f>DH3+DH5-DH6</f>
        <v>21</v>
      </c>
      <c r="DI7" s="253">
        <f>DI3+DI5-DI6</f>
        <v>16</v>
      </c>
      <c r="DJ7" s="248"/>
      <c r="DK7" s="948"/>
      <c r="DL7" s="253">
        <f>DL3+DL5-DL6-DL4</f>
        <v>22</v>
      </c>
      <c r="DM7" s="253">
        <f t="shared" ref="DM7:DQ7" si="5">DM3+DM5-DM6-DM4</f>
        <v>19</v>
      </c>
      <c r="DN7" s="253">
        <f>DN3+DN5-DN6-DN4</f>
        <v>22</v>
      </c>
      <c r="DO7" s="253">
        <f>DO3+DO5-DO6-DO4</f>
        <v>22</v>
      </c>
      <c r="DP7" s="253">
        <f t="shared" ref="DP7:DT7" si="6">DP3+DP5-DP6-DP4</f>
        <v>20</v>
      </c>
      <c r="DQ7" s="253">
        <f t="shared" si="6"/>
        <v>21</v>
      </c>
      <c r="DR7" s="253">
        <f t="shared" ref="DR7:DW7" si="7">DR3+DR5-DR6</f>
        <v>23</v>
      </c>
      <c r="DS7" s="253">
        <f>DS3+DS5-DS6</f>
        <v>21</v>
      </c>
      <c r="DT7" s="253">
        <f>DT3+DT5-DT6</f>
        <v>23</v>
      </c>
      <c r="DU7" s="253">
        <f>DU3+DU5-DU6</f>
        <v>23</v>
      </c>
      <c r="DV7" s="253">
        <f>DV3+DV5-DV6</f>
        <v>21</v>
      </c>
      <c r="DW7" s="253">
        <f>DW3+DW5-DW6</f>
        <v>16</v>
      </c>
      <c r="DX7" s="248"/>
    </row>
    <row r="8" spans="1:128" ht="18" customHeight="1">
      <c r="A8" s="8"/>
      <c r="B8" s="255"/>
      <c r="C8" s="256"/>
      <c r="D8" s="257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258" t="s">
        <v>26</v>
      </c>
      <c r="Q8" s="10"/>
      <c r="R8" s="257" t="s">
        <v>14</v>
      </c>
      <c r="S8" s="9" t="s">
        <v>15</v>
      </c>
      <c r="T8" s="9" t="s">
        <v>16</v>
      </c>
      <c r="U8" s="9" t="s">
        <v>17</v>
      </c>
      <c r="V8" s="9" t="s">
        <v>18</v>
      </c>
      <c r="W8" s="9" t="s">
        <v>19</v>
      </c>
      <c r="X8" s="9" t="s">
        <v>20</v>
      </c>
      <c r="Y8" s="9" t="s">
        <v>21</v>
      </c>
      <c r="Z8" s="9" t="s">
        <v>22</v>
      </c>
      <c r="AA8" s="9" t="s">
        <v>23</v>
      </c>
      <c r="AB8" s="9" t="s">
        <v>24</v>
      </c>
      <c r="AC8" s="9" t="s">
        <v>25</v>
      </c>
      <c r="AD8" s="258" t="s">
        <v>26</v>
      </c>
      <c r="AE8" s="11"/>
      <c r="AF8" s="257" t="s">
        <v>14</v>
      </c>
      <c r="AG8" s="9" t="s">
        <v>15</v>
      </c>
      <c r="AH8" s="9" t="s">
        <v>16</v>
      </c>
      <c r="AI8" s="9" t="s">
        <v>17</v>
      </c>
      <c r="AJ8" s="9" t="s">
        <v>18</v>
      </c>
      <c r="AK8" s="9" t="s">
        <v>19</v>
      </c>
      <c r="AL8" s="9" t="s">
        <v>20</v>
      </c>
      <c r="AM8" s="9" t="s">
        <v>21</v>
      </c>
      <c r="AN8" s="9" t="s">
        <v>22</v>
      </c>
      <c r="AO8" s="9" t="s">
        <v>23</v>
      </c>
      <c r="AP8" s="9" t="s">
        <v>24</v>
      </c>
      <c r="AQ8" s="9" t="s">
        <v>25</v>
      </c>
      <c r="AR8" s="9" t="s">
        <v>26</v>
      </c>
      <c r="AS8" s="11"/>
      <c r="AT8" s="9" t="s">
        <v>14</v>
      </c>
      <c r="AU8" s="9" t="s">
        <v>15</v>
      </c>
      <c r="AV8" s="9" t="s">
        <v>16</v>
      </c>
      <c r="AW8" s="9" t="s">
        <v>17</v>
      </c>
      <c r="AX8" s="9" t="s">
        <v>18</v>
      </c>
      <c r="AY8" s="9" t="s">
        <v>19</v>
      </c>
      <c r="AZ8" s="9" t="s">
        <v>20</v>
      </c>
      <c r="BA8" s="9" t="s">
        <v>21</v>
      </c>
      <c r="BB8" s="9" t="s">
        <v>22</v>
      </c>
      <c r="BC8" s="9" t="s">
        <v>23</v>
      </c>
      <c r="BD8" s="9" t="s">
        <v>24</v>
      </c>
      <c r="BE8" s="9" t="s">
        <v>25</v>
      </c>
      <c r="BF8" s="9" t="s">
        <v>26</v>
      </c>
      <c r="BG8" s="10"/>
      <c r="BH8" s="9" t="s">
        <v>14</v>
      </c>
      <c r="BI8" s="9" t="s">
        <v>15</v>
      </c>
      <c r="BJ8" s="9" t="s">
        <v>16</v>
      </c>
      <c r="BK8" s="9" t="s">
        <v>17</v>
      </c>
      <c r="BL8" s="9" t="s">
        <v>18</v>
      </c>
      <c r="BM8" s="9" t="s">
        <v>19</v>
      </c>
      <c r="BN8" s="9" t="s">
        <v>20</v>
      </c>
      <c r="BO8" s="9" t="s">
        <v>21</v>
      </c>
      <c r="BP8" s="9" t="s">
        <v>22</v>
      </c>
      <c r="BQ8" s="9" t="s">
        <v>23</v>
      </c>
      <c r="BR8" s="9" t="s">
        <v>24</v>
      </c>
      <c r="BS8" s="9" t="s">
        <v>25</v>
      </c>
      <c r="BT8" s="9" t="s">
        <v>26</v>
      </c>
      <c r="BU8" s="12"/>
      <c r="BV8" s="9" t="s">
        <v>14</v>
      </c>
      <c r="BW8" s="9" t="s">
        <v>15</v>
      </c>
      <c r="BX8" s="9" t="s">
        <v>16</v>
      </c>
      <c r="BY8" s="9" t="s">
        <v>17</v>
      </c>
      <c r="BZ8" s="9" t="s">
        <v>18</v>
      </c>
      <c r="CA8" s="9" t="s">
        <v>19</v>
      </c>
      <c r="CB8" s="9" t="s">
        <v>20</v>
      </c>
      <c r="CC8" s="9" t="s">
        <v>21</v>
      </c>
      <c r="CD8" s="9" t="s">
        <v>22</v>
      </c>
      <c r="CE8" s="9" t="s">
        <v>23</v>
      </c>
      <c r="CF8" s="9" t="s">
        <v>24</v>
      </c>
      <c r="CG8" s="9" t="s">
        <v>25</v>
      </c>
      <c r="CH8" s="9" t="s">
        <v>26</v>
      </c>
      <c r="CJ8" s="9" t="s">
        <v>14</v>
      </c>
      <c r="CK8" s="9" t="s">
        <v>15</v>
      </c>
      <c r="CL8" s="9" t="s">
        <v>16</v>
      </c>
      <c r="CM8" s="9" t="s">
        <v>17</v>
      </c>
      <c r="CN8" s="9" t="s">
        <v>18</v>
      </c>
      <c r="CO8" s="9" t="s">
        <v>19</v>
      </c>
      <c r="CP8" s="9" t="s">
        <v>20</v>
      </c>
      <c r="CQ8" s="9" t="s">
        <v>21</v>
      </c>
      <c r="CR8" s="9" t="s">
        <v>22</v>
      </c>
      <c r="CS8" s="9" t="s">
        <v>23</v>
      </c>
      <c r="CT8" s="9" t="s">
        <v>24</v>
      </c>
      <c r="CU8" s="9" t="s">
        <v>25</v>
      </c>
      <c r="CV8" s="9" t="s">
        <v>26</v>
      </c>
      <c r="CX8" s="9" t="s">
        <v>14</v>
      </c>
      <c r="CY8" s="9" t="s">
        <v>15</v>
      </c>
      <c r="CZ8" s="9" t="s">
        <v>16</v>
      </c>
      <c r="DA8" s="9" t="s">
        <v>17</v>
      </c>
      <c r="DB8" s="9" t="s">
        <v>18</v>
      </c>
      <c r="DC8" s="9" t="s">
        <v>19</v>
      </c>
      <c r="DD8" s="9" t="s">
        <v>20</v>
      </c>
      <c r="DE8" s="980" t="s">
        <v>21</v>
      </c>
      <c r="DF8" s="980" t="s">
        <v>22</v>
      </c>
      <c r="DG8" s="980" t="s">
        <v>23</v>
      </c>
      <c r="DH8" s="9" t="s">
        <v>24</v>
      </c>
      <c r="DI8" s="9" t="s">
        <v>25</v>
      </c>
      <c r="DJ8" s="9" t="s">
        <v>26</v>
      </c>
      <c r="DK8" s="948"/>
      <c r="DL8" s="9" t="s">
        <v>14</v>
      </c>
      <c r="DM8" s="9" t="s">
        <v>15</v>
      </c>
      <c r="DN8" s="9" t="s">
        <v>16</v>
      </c>
      <c r="DO8" s="9" t="s">
        <v>17</v>
      </c>
      <c r="DP8" s="9" t="s">
        <v>18</v>
      </c>
      <c r="DQ8" s="9" t="s">
        <v>19</v>
      </c>
      <c r="DR8" s="9" t="s">
        <v>20</v>
      </c>
      <c r="DS8" s="9" t="s">
        <v>21</v>
      </c>
      <c r="DT8" s="9" t="s">
        <v>22</v>
      </c>
      <c r="DU8" s="9" t="s">
        <v>23</v>
      </c>
      <c r="DV8" s="9" t="s">
        <v>24</v>
      </c>
      <c r="DW8" s="9" t="s">
        <v>25</v>
      </c>
      <c r="DX8" s="9" t="s">
        <v>26</v>
      </c>
    </row>
    <row r="9" spans="1:128" ht="10.5" customHeight="1">
      <c r="A9" s="13"/>
      <c r="B9" s="259"/>
      <c r="C9" s="260"/>
      <c r="D9" s="26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62"/>
      <c r="Q9" s="15"/>
      <c r="R9" s="261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263"/>
      <c r="AE9" s="16"/>
      <c r="AF9" s="261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7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7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8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682" t="s">
        <v>27</v>
      </c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682" t="s">
        <v>27</v>
      </c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948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</row>
    <row r="10" spans="1:128" ht="30.75" hidden="1">
      <c r="A10" s="13" t="s">
        <v>28</v>
      </c>
      <c r="B10" s="706" t="s">
        <v>29</v>
      </c>
      <c r="C10" s="260"/>
      <c r="D10" s="261">
        <f t="shared" ref="D10:O10" si="8">SUM(D20:D24)</f>
        <v>304786</v>
      </c>
      <c r="E10" s="14">
        <f t="shared" si="8"/>
        <v>311986</v>
      </c>
      <c r="F10" s="14">
        <f t="shared" si="8"/>
        <v>328231</v>
      </c>
      <c r="G10" s="14">
        <f t="shared" si="8"/>
        <v>317873</v>
      </c>
      <c r="H10" s="14">
        <f t="shared" si="8"/>
        <v>347196</v>
      </c>
      <c r="I10" s="14">
        <f t="shared" si="8"/>
        <v>402253</v>
      </c>
      <c r="J10" s="14">
        <f t="shared" si="8"/>
        <v>454488</v>
      </c>
      <c r="K10" s="14">
        <f t="shared" si="8"/>
        <v>447182</v>
      </c>
      <c r="L10" s="14">
        <f t="shared" si="8"/>
        <v>416931</v>
      </c>
      <c r="M10" s="14">
        <f t="shared" si="8"/>
        <v>304402</v>
      </c>
      <c r="N10" s="14">
        <f t="shared" si="8"/>
        <v>0</v>
      </c>
      <c r="O10" s="14">
        <f t="shared" si="8"/>
        <v>188264</v>
      </c>
      <c r="P10" s="262"/>
      <c r="Q10" s="15"/>
      <c r="R10" s="14">
        <f t="shared" ref="R10:AC10" si="9">SUM(R20:R24)</f>
        <v>283359</v>
      </c>
      <c r="S10" s="14">
        <f t="shared" si="9"/>
        <v>342718</v>
      </c>
      <c r="T10" s="14">
        <f t="shared" si="9"/>
        <v>313212</v>
      </c>
      <c r="U10" s="14">
        <f t="shared" si="9"/>
        <v>298093</v>
      </c>
      <c r="V10" s="14">
        <f t="shared" si="9"/>
        <v>206617</v>
      </c>
      <c r="W10" s="14">
        <f t="shared" si="9"/>
        <v>235875</v>
      </c>
      <c r="X10" s="14">
        <f t="shared" si="9"/>
        <v>360135</v>
      </c>
      <c r="Y10" s="14">
        <f t="shared" si="9"/>
        <v>361665</v>
      </c>
      <c r="Z10" s="14">
        <f t="shared" si="9"/>
        <v>353400</v>
      </c>
      <c r="AA10" s="14">
        <f t="shared" si="9"/>
        <v>272097</v>
      </c>
      <c r="AB10" s="14">
        <f t="shared" si="9"/>
        <v>170626</v>
      </c>
      <c r="AC10" s="14">
        <f t="shared" si="9"/>
        <v>197551</v>
      </c>
      <c r="AD10" s="263"/>
      <c r="AE10" s="16"/>
      <c r="AF10" s="14">
        <f t="shared" ref="AF10:AQ10" si="10">SUM(AF20:AF26)</f>
        <v>255339</v>
      </c>
      <c r="AG10" s="14">
        <f t="shared" si="10"/>
        <v>292621</v>
      </c>
      <c r="AH10" s="14">
        <f t="shared" si="10"/>
        <v>397976</v>
      </c>
      <c r="AI10" s="14">
        <f t="shared" si="10"/>
        <v>388165</v>
      </c>
      <c r="AJ10" s="14">
        <f t="shared" si="10"/>
        <v>409301</v>
      </c>
      <c r="AK10" s="14">
        <f t="shared" si="10"/>
        <v>490913</v>
      </c>
      <c r="AL10" s="14">
        <f t="shared" si="10"/>
        <v>563229</v>
      </c>
      <c r="AM10" s="14">
        <f t="shared" si="10"/>
        <v>559169</v>
      </c>
      <c r="AN10" s="14">
        <f t="shared" si="10"/>
        <v>487294</v>
      </c>
      <c r="AO10" s="14">
        <f t="shared" si="10"/>
        <v>407614</v>
      </c>
      <c r="AP10" s="14">
        <f t="shared" si="10"/>
        <v>503756</v>
      </c>
      <c r="AQ10" s="14">
        <f t="shared" si="10"/>
        <v>531679</v>
      </c>
      <c r="AR10" s="14">
        <f t="shared" ref="AR10:AR31" si="11">AQ10</f>
        <v>531679</v>
      </c>
      <c r="AS10" s="17"/>
      <c r="AT10" s="14">
        <f t="shared" ref="AT10:BE10" si="12">SUM(AT20:AT26)</f>
        <v>471378</v>
      </c>
      <c r="AU10" s="14">
        <f t="shared" si="12"/>
        <v>473307</v>
      </c>
      <c r="AV10" s="14">
        <f t="shared" si="12"/>
        <v>412518</v>
      </c>
      <c r="AW10" s="14">
        <f t="shared" si="12"/>
        <v>398039</v>
      </c>
      <c r="AX10" s="14">
        <f t="shared" si="12"/>
        <v>417827</v>
      </c>
      <c r="AY10" s="14">
        <f t="shared" si="12"/>
        <v>507968</v>
      </c>
      <c r="AZ10" s="14">
        <f t="shared" si="12"/>
        <v>477530</v>
      </c>
      <c r="BA10" s="14">
        <f t="shared" si="12"/>
        <v>520708</v>
      </c>
      <c r="BB10" s="14">
        <f t="shared" si="12"/>
        <v>505851</v>
      </c>
      <c r="BC10" s="14">
        <f t="shared" si="12"/>
        <v>454245</v>
      </c>
      <c r="BD10" s="14">
        <f t="shared" si="12"/>
        <v>405700</v>
      </c>
      <c r="BE10" s="14">
        <f t="shared" si="12"/>
        <v>356505</v>
      </c>
      <c r="BF10" s="14">
        <f t="shared" ref="BF10:BF26" si="13">BE10</f>
        <v>356505</v>
      </c>
      <c r="BG10" s="17"/>
      <c r="BH10" s="14">
        <f t="shared" ref="BH10:BQ10" si="14">SUM(BH20:BH26)</f>
        <v>357143</v>
      </c>
      <c r="BI10" s="14">
        <f t="shared" si="14"/>
        <v>355011</v>
      </c>
      <c r="BJ10" s="14">
        <f t="shared" si="14"/>
        <v>344281</v>
      </c>
      <c r="BK10" s="14">
        <f t="shared" si="14"/>
        <v>389628</v>
      </c>
      <c r="BL10" s="14">
        <f t="shared" si="14"/>
        <v>324889</v>
      </c>
      <c r="BM10" s="14">
        <f t="shared" si="14"/>
        <v>352666</v>
      </c>
      <c r="BN10" s="14">
        <f t="shared" si="14"/>
        <v>418721</v>
      </c>
      <c r="BO10" s="14">
        <f t="shared" si="14"/>
        <v>356602</v>
      </c>
      <c r="BP10" s="14">
        <f t="shared" si="14"/>
        <v>326706</v>
      </c>
      <c r="BQ10" s="14">
        <f t="shared" si="14"/>
        <v>304987</v>
      </c>
      <c r="BR10" s="14">
        <f>SUM(BR20:BR26)</f>
        <v>228035</v>
      </c>
      <c r="BS10" s="14">
        <f>BS20+BS23+BS26</f>
        <v>201165</v>
      </c>
      <c r="BT10" s="14">
        <f>BS10</f>
        <v>201165</v>
      </c>
      <c r="BU10" s="18"/>
      <c r="BV10" s="14">
        <f>BV11+BV23+BV26</f>
        <v>247713</v>
      </c>
      <c r="BW10" s="14">
        <f t="shared" ref="BW10:CF10" si="15">BW11+BW23+BW26</f>
        <v>278707</v>
      </c>
      <c r="BX10" s="14">
        <f t="shared" si="15"/>
        <v>281829</v>
      </c>
      <c r="BY10" s="14">
        <f t="shared" si="15"/>
        <v>317753</v>
      </c>
      <c r="BZ10" s="14">
        <f t="shared" si="15"/>
        <v>270339</v>
      </c>
      <c r="CA10" s="14">
        <f t="shared" si="15"/>
        <v>310383</v>
      </c>
      <c r="CB10" s="14">
        <f t="shared" si="15"/>
        <v>328365</v>
      </c>
      <c r="CC10" s="14">
        <f t="shared" si="15"/>
        <v>333476</v>
      </c>
      <c r="CD10" s="14">
        <f>CD11+CD23+CD26</f>
        <v>306264</v>
      </c>
      <c r="CE10" s="14">
        <f t="shared" si="15"/>
        <v>270370</v>
      </c>
      <c r="CF10" s="14">
        <f t="shared" si="15"/>
        <v>194014</v>
      </c>
      <c r="CG10" s="14">
        <f>CG11+CG23+CG26</f>
        <v>182266</v>
      </c>
      <c r="CH10" s="14">
        <f t="shared" ref="CH10" si="16">CH20+CH23+CH26</f>
        <v>161447</v>
      </c>
      <c r="CJ10" s="14">
        <f>CH10+CJ81-CJ34</f>
        <v>168530.63302273574</v>
      </c>
      <c r="CK10" s="14">
        <f>CJ10+CK81-CK34</f>
        <v>182286.97320909426</v>
      </c>
      <c r="CL10" s="14">
        <f>CL20+CL23</f>
        <v>127909</v>
      </c>
      <c r="CM10" s="14">
        <f>CM20+CM23</f>
        <v>174007</v>
      </c>
      <c r="CN10" s="14">
        <f>CM10+CN81-CN34</f>
        <v>184445.8879612374</v>
      </c>
      <c r="CO10" s="14">
        <f>CN10+CO81-CO34</f>
        <v>247499.73306000742</v>
      </c>
      <c r="CP10" s="14">
        <f>CO10+CP81-CP34</f>
        <v>280382.22259587242</v>
      </c>
      <c r="CQ10" s="14">
        <f>CP10+CQ81-CQ34</f>
        <v>258376.52867182181</v>
      </c>
      <c r="CR10" s="14">
        <f>CQ10+CR81-CR34</f>
        <v>210518.33782793995</v>
      </c>
      <c r="CS10" s="14">
        <f>CR10+CS81-CS34</f>
        <v>165804.38677308764</v>
      </c>
      <c r="CT10" s="14">
        <f>CS10+CT81-CT34</f>
        <v>156780.78567604127</v>
      </c>
      <c r="CU10" s="14">
        <f>CT10+CU81-CU34</f>
        <v>179129.39327097798</v>
      </c>
      <c r="CV10" s="14">
        <v>116080.10690622788</v>
      </c>
      <c r="CX10" s="14">
        <f>CU10+CX81-CX34</f>
        <v>121016.49327097798</v>
      </c>
      <c r="CY10" s="14">
        <f>CX10+CY81-CY34</f>
        <v>93881.093270977988</v>
      </c>
      <c r="CZ10" s="14">
        <f>CY10+CZ81-CZ34</f>
        <v>-84738.906729022012</v>
      </c>
      <c r="DA10" s="14">
        <f>CZ10+DA81-DA34</f>
        <v>-154898.90672902201</v>
      </c>
      <c r="DB10" s="14">
        <f>DA10+DB81-DB34</f>
        <v>-158341.15672902204</v>
      </c>
      <c r="DC10" s="14">
        <f>DB10+DC81-DC34</f>
        <v>-174008.43672902207</v>
      </c>
      <c r="DD10" s="14">
        <f>DC10+DD81-DD34</f>
        <v>-212259.71672902213</v>
      </c>
      <c r="DE10" s="14">
        <f>DD10+DE81-DE34</f>
        <v>-282094.67672902218</v>
      </c>
      <c r="DF10" s="14">
        <f>DE10+DF81-DF34</f>
        <v>-415885.81672902219</v>
      </c>
      <c r="DG10" s="14">
        <f>DF10+DG81-DG34</f>
        <v>-509428.87706657493</v>
      </c>
      <c r="DH10" s="14">
        <f>DG10+DH81-DH34</f>
        <v>-527741.6638176298</v>
      </c>
      <c r="DI10" s="14">
        <f>DH10+DI81-DI34</f>
        <v>-541690.10938725004</v>
      </c>
      <c r="DJ10" s="14">
        <v>116080.10690622788</v>
      </c>
      <c r="DK10" s="948"/>
      <c r="DL10" s="14">
        <f>DI10+DL81-DL34</f>
        <v>-615870.10938725004</v>
      </c>
      <c r="DM10" s="14">
        <f>DL10+DM81-DM34</f>
        <v>-644390.10938725004</v>
      </c>
      <c r="DN10" s="14">
        <f>DM10+DN81-DN34</f>
        <v>-677130.10938725004</v>
      </c>
      <c r="DO10" s="14">
        <f>DN10+DO81-DO34</f>
        <v>-693752.1523872501</v>
      </c>
      <c r="DP10" s="14">
        <f>DO10+DP81-DP34</f>
        <v>-720908.28338725015</v>
      </c>
      <c r="DQ10" s="14">
        <f>DP10+DQ81-DQ34</f>
        <v>-731110.14738725021</v>
      </c>
      <c r="DR10" s="14">
        <f>DQ10+DR81-DR34</f>
        <v>-802879.09758725029</v>
      </c>
      <c r="DS10" s="14">
        <f>DR10+DS81-DS34</f>
        <v>-911790.19298725028</v>
      </c>
      <c r="DT10" s="14">
        <f>DS10+DT81-DT34</f>
        <v>-1072987.1516872505</v>
      </c>
      <c r="DU10" s="14">
        <f>DT10+DU81-DU34</f>
        <v>-1192299.6840585587</v>
      </c>
      <c r="DV10" s="14">
        <f>DU10+DV81-DV34</f>
        <v>-1226966.148884719</v>
      </c>
      <c r="DW10" s="14">
        <f>DV10+DW81-DW34</f>
        <v>-1248525.8390113013</v>
      </c>
      <c r="DX10" s="14">
        <v>116080.10690622788</v>
      </c>
    </row>
    <row r="11" spans="1:128">
      <c r="A11" s="19">
        <v>0</v>
      </c>
      <c r="B11" s="158" t="s">
        <v>30</v>
      </c>
      <c r="C11" s="264"/>
      <c r="D11" s="265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66"/>
      <c r="Q11" s="21"/>
      <c r="R11" s="265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67"/>
      <c r="AE11" s="23"/>
      <c r="AF11" s="22"/>
      <c r="AG11" s="22"/>
      <c r="AH11" s="22"/>
      <c r="AI11" s="22"/>
      <c r="AJ11" s="24"/>
      <c r="AK11" s="22"/>
      <c r="AL11" s="22"/>
      <c r="AM11" s="22"/>
      <c r="AN11" s="22"/>
      <c r="AO11" s="22"/>
      <c r="AP11" s="25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6"/>
      <c r="BC11" s="22"/>
      <c r="BD11" s="22"/>
      <c r="BE11" s="22"/>
      <c r="BF11" s="22"/>
      <c r="BG11" s="27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8"/>
      <c r="BV11" s="22">
        <v>204006</v>
      </c>
      <c r="BW11" s="22">
        <v>241182</v>
      </c>
      <c r="BX11" s="22">
        <v>245950</v>
      </c>
      <c r="BY11" s="22">
        <v>281974</v>
      </c>
      <c r="BZ11" s="22">
        <v>202865</v>
      </c>
      <c r="CA11" s="22">
        <v>240895</v>
      </c>
      <c r="CB11" s="22">
        <v>273565</v>
      </c>
      <c r="CC11" s="22">
        <v>288981</v>
      </c>
      <c r="CD11" s="22">
        <v>273990</v>
      </c>
      <c r="CE11" s="22">
        <v>237556</v>
      </c>
      <c r="CF11" s="22">
        <v>168313</v>
      </c>
      <c r="CG11" s="22">
        <v>150819</v>
      </c>
      <c r="CH11" s="22">
        <f>CG11</f>
        <v>150819</v>
      </c>
      <c r="CJ11" s="22">
        <v>205037</v>
      </c>
      <c r="CK11" s="22">
        <v>230430</v>
      </c>
      <c r="CL11" s="22">
        <v>234343</v>
      </c>
      <c r="CM11" s="22">
        <v>266388</v>
      </c>
      <c r="CN11" s="22"/>
      <c r="CO11" s="22"/>
      <c r="CP11" s="22"/>
      <c r="CQ11" s="22"/>
      <c r="CR11" s="22"/>
      <c r="CS11" s="22">
        <v>278269</v>
      </c>
      <c r="CT11" s="22"/>
      <c r="CU11" s="22"/>
      <c r="CV11" s="22"/>
      <c r="CX11" s="22">
        <v>315473</v>
      </c>
      <c r="CY11" s="22">
        <v>340292</v>
      </c>
      <c r="CZ11" s="22">
        <v>246000</v>
      </c>
      <c r="DA11" s="22">
        <f>CZ11-DA34+DA80</f>
        <v>215000</v>
      </c>
      <c r="DB11" s="22">
        <f>DA11-DB34+DB80</f>
        <v>240557.74999999997</v>
      </c>
      <c r="DC11" s="22">
        <f>DB11-DC34+DC80</f>
        <v>288890.46999999997</v>
      </c>
      <c r="DD11" s="22">
        <f>DC11-DD34+DD80</f>
        <v>310639.18999999994</v>
      </c>
      <c r="DE11" s="22">
        <f>DD11-DE34+DE80</f>
        <v>298804.22999999992</v>
      </c>
      <c r="DF11" s="22">
        <f>DE11-DF75+DF80</f>
        <v>249807.09999999992</v>
      </c>
      <c r="DG11" s="22">
        <f>DF11-DG75+DG80</f>
        <v>211830.25914767926</v>
      </c>
      <c r="DH11" s="22">
        <f>DG11-DH75+DH80</f>
        <v>235137.72470126575</v>
      </c>
      <c r="DI11" s="22">
        <f>DH11-DI75+DI80</f>
        <v>274589.53693797463</v>
      </c>
      <c r="DJ11" s="22"/>
      <c r="DK11" s="948"/>
      <c r="DL11" s="22">
        <f>DI11-DL75+DL80</f>
        <v>265493.13093797455</v>
      </c>
      <c r="DM11" s="22">
        <f>DL11-DM75+DM80</f>
        <v>266969.55193797452</v>
      </c>
      <c r="DN11" s="22">
        <f t="shared" ref="DN11:DW11" si="17">DM11-DN75+DN80</f>
        <v>253545.6249379745</v>
      </c>
      <c r="DO11" s="22">
        <f t="shared" si="17"/>
        <v>294759.94093797449</v>
      </c>
      <c r="DP11" s="22">
        <f t="shared" si="17"/>
        <v>313694.70493797446</v>
      </c>
      <c r="DQ11" s="22">
        <f t="shared" si="17"/>
        <v>378420.62293797446</v>
      </c>
      <c r="DR11" s="22">
        <f t="shared" si="17"/>
        <v>366524.31993797445</v>
      </c>
      <c r="DS11" s="22">
        <f t="shared" si="17"/>
        <v>333021.89893797447</v>
      </c>
      <c r="DT11" s="22">
        <f t="shared" si="17"/>
        <v>257035.85593797447</v>
      </c>
      <c r="DU11" s="22">
        <f t="shared" si="17"/>
        <v>193172.13100042171</v>
      </c>
      <c r="DV11" s="22">
        <f t="shared" si="17"/>
        <v>198641.94310936684</v>
      </c>
      <c r="DW11" s="22">
        <f t="shared" si="17"/>
        <v>226672.53656974656</v>
      </c>
      <c r="DX11" s="22"/>
    </row>
    <row r="12" spans="1:128">
      <c r="A12" s="19"/>
      <c r="B12" s="158" t="s">
        <v>112</v>
      </c>
      <c r="C12" s="264"/>
      <c r="D12" s="265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66"/>
      <c r="Q12" s="21"/>
      <c r="R12" s="265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67"/>
      <c r="AE12" s="23"/>
      <c r="AF12" s="22"/>
      <c r="AG12" s="22"/>
      <c r="AH12" s="22"/>
      <c r="AI12" s="22"/>
      <c r="AJ12" s="24"/>
      <c r="AK12" s="22"/>
      <c r="AL12" s="22"/>
      <c r="AM12" s="22"/>
      <c r="AN12" s="22"/>
      <c r="AO12" s="22"/>
      <c r="AP12" s="25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6"/>
      <c r="BC12" s="22"/>
      <c r="BD12" s="22"/>
      <c r="BE12" s="22"/>
      <c r="BF12" s="22"/>
      <c r="BG12" s="27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8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>
        <v>40000</v>
      </c>
      <c r="CT12" s="22"/>
      <c r="CU12" s="22"/>
      <c r="CV12" s="22"/>
      <c r="CX12" s="22">
        <v>27585</v>
      </c>
      <c r="CY12" s="22">
        <v>35241</v>
      </c>
      <c r="CZ12" s="22">
        <v>33500</v>
      </c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948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</row>
    <row r="13" spans="1:128">
      <c r="A13" s="19"/>
      <c r="B13" s="158" t="s">
        <v>113</v>
      </c>
      <c r="C13" s="264"/>
      <c r="D13" s="26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66"/>
      <c r="Q13" s="21"/>
      <c r="R13" s="265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67"/>
      <c r="AE13" s="23"/>
      <c r="AF13" s="22"/>
      <c r="AG13" s="22"/>
      <c r="AH13" s="22"/>
      <c r="AI13" s="22"/>
      <c r="AJ13" s="24"/>
      <c r="AK13" s="22"/>
      <c r="AL13" s="22"/>
      <c r="AM13" s="22"/>
      <c r="AN13" s="22"/>
      <c r="AO13" s="22"/>
      <c r="AP13" s="25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6"/>
      <c r="BC13" s="22"/>
      <c r="BD13" s="22"/>
      <c r="BE13" s="22"/>
      <c r="BF13" s="22"/>
      <c r="BG13" s="27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8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>
        <v>25428</v>
      </c>
      <c r="CT13" s="22"/>
      <c r="CU13" s="22"/>
      <c r="CV13" s="22"/>
      <c r="CX13" s="22">
        <v>47014</v>
      </c>
      <c r="CY13" s="22">
        <v>54401</v>
      </c>
      <c r="CZ13" s="22">
        <v>68100</v>
      </c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948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</row>
    <row r="14" spans="1:128">
      <c r="A14" s="19">
        <v>0</v>
      </c>
      <c r="B14" s="158" t="s">
        <v>114</v>
      </c>
      <c r="C14" s="264"/>
      <c r="D14" s="26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66"/>
      <c r="Q14" s="21"/>
      <c r="R14" s="265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67"/>
      <c r="AE14" s="23"/>
      <c r="AF14" s="22"/>
      <c r="AG14" s="22"/>
      <c r="AH14" s="22"/>
      <c r="AI14" s="22"/>
      <c r="AJ14" s="24"/>
      <c r="AK14" s="22"/>
      <c r="AL14" s="22"/>
      <c r="AM14" s="22"/>
      <c r="AN14" s="22"/>
      <c r="AO14" s="22"/>
      <c r="AP14" s="25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6"/>
      <c r="BC14" s="22"/>
      <c r="BD14" s="22"/>
      <c r="BE14" s="22"/>
      <c r="BF14" s="22"/>
      <c r="BG14" s="27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8"/>
      <c r="BV14" s="22">
        <v>80956</v>
      </c>
      <c r="BW14" s="22">
        <v>110544</v>
      </c>
      <c r="BX14" s="22">
        <v>134506</v>
      </c>
      <c r="BY14" s="22">
        <v>127959</v>
      </c>
      <c r="BZ14" s="22">
        <v>66136</v>
      </c>
      <c r="CA14" s="22">
        <v>72582</v>
      </c>
      <c r="CB14" s="22">
        <v>94286</v>
      </c>
      <c r="CC14" s="22">
        <v>133081</v>
      </c>
      <c r="CD14" s="22">
        <v>148174</v>
      </c>
      <c r="CE14" s="22">
        <v>154201</v>
      </c>
      <c r="CF14" s="22">
        <v>97365</v>
      </c>
      <c r="CG14" s="22">
        <v>30184</v>
      </c>
      <c r="CH14" s="22"/>
      <c r="CJ14" s="22">
        <v>132209</v>
      </c>
      <c r="CK14" s="22">
        <v>180000</v>
      </c>
      <c r="CL14" s="22">
        <v>177643</v>
      </c>
      <c r="CM14" s="22">
        <v>153210</v>
      </c>
      <c r="CN14" s="22"/>
      <c r="CO14" s="22"/>
      <c r="CP14" s="22"/>
      <c r="CQ14" s="22"/>
      <c r="CR14" s="22"/>
      <c r="CS14" s="22">
        <v>189875</v>
      </c>
      <c r="CT14" s="22"/>
      <c r="CU14" s="22"/>
      <c r="CV14" s="22"/>
      <c r="CX14" s="22">
        <v>101210</v>
      </c>
      <c r="CY14" s="22">
        <v>105819</v>
      </c>
      <c r="CZ14" s="22">
        <v>12500</v>
      </c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948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</row>
    <row r="15" spans="1:128">
      <c r="A15" s="19">
        <v>0</v>
      </c>
      <c r="B15" s="158" t="s">
        <v>32</v>
      </c>
      <c r="C15" s="264"/>
      <c r="D15" s="26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66"/>
      <c r="Q15" s="21"/>
      <c r="R15" s="265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67"/>
      <c r="AE15" s="23"/>
      <c r="AF15" s="22"/>
      <c r="AG15" s="22"/>
      <c r="AH15" s="22"/>
      <c r="AI15" s="22"/>
      <c r="AJ15" s="24"/>
      <c r="AK15" s="22"/>
      <c r="AL15" s="22"/>
      <c r="AM15" s="22"/>
      <c r="AN15" s="22"/>
      <c r="AO15" s="22"/>
      <c r="AP15" s="25"/>
      <c r="AQ15" s="22"/>
      <c r="AR15" s="22"/>
      <c r="AS15" s="23"/>
      <c r="AT15" s="22"/>
      <c r="AU15" s="22"/>
      <c r="AV15" s="22"/>
      <c r="AW15" s="22"/>
      <c r="AX15" s="22"/>
      <c r="AY15" s="22"/>
      <c r="AZ15" s="22"/>
      <c r="BA15" s="22"/>
      <c r="BB15" s="26"/>
      <c r="BC15" s="22"/>
      <c r="BD15" s="22"/>
      <c r="BE15" s="22"/>
      <c r="BF15" s="22"/>
      <c r="BG15" s="27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8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J15" s="22">
        <v>150321</v>
      </c>
      <c r="CK15" s="22">
        <v>133602</v>
      </c>
      <c r="CL15" s="22">
        <v>135672</v>
      </c>
      <c r="CM15" s="22">
        <v>133268</v>
      </c>
      <c r="CN15" s="22"/>
      <c r="CO15" s="22"/>
      <c r="CP15" s="22"/>
      <c r="CQ15" s="22"/>
      <c r="CR15" s="22"/>
      <c r="CS15" s="22">
        <v>113875</v>
      </c>
      <c r="CT15" s="22"/>
      <c r="CU15" s="22"/>
      <c r="CV15" s="22"/>
      <c r="CX15" s="22">
        <v>109268</v>
      </c>
      <c r="CY15" s="22">
        <v>114943</v>
      </c>
      <c r="CZ15" s="22">
        <v>133000</v>
      </c>
      <c r="DA15" s="22"/>
      <c r="DB15" s="22"/>
      <c r="DC15" s="22"/>
      <c r="DD15" s="22"/>
      <c r="DE15" s="22"/>
      <c r="DF15" s="22"/>
      <c r="DG15" s="22"/>
      <c r="DH15" s="22"/>
      <c r="DI15" s="22">
        <f t="shared" ref="DI15" si="18">DH15</f>
        <v>0</v>
      </c>
      <c r="DJ15" s="22"/>
      <c r="DK15" s="948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>
        <f t="shared" ref="DW15" si="19">DV15</f>
        <v>0</v>
      </c>
      <c r="DX15" s="22"/>
    </row>
    <row r="16" spans="1:128">
      <c r="A16" s="19">
        <v>0</v>
      </c>
      <c r="B16" s="717" t="s">
        <v>33</v>
      </c>
      <c r="C16" s="264"/>
      <c r="D16" s="265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66"/>
      <c r="Q16" s="21"/>
      <c r="R16" s="265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67"/>
      <c r="AE16" s="23"/>
      <c r="AF16" s="22"/>
      <c r="AG16" s="22"/>
      <c r="AH16" s="22"/>
      <c r="AI16" s="22"/>
      <c r="AJ16" s="24"/>
      <c r="AK16" s="22"/>
      <c r="AL16" s="22"/>
      <c r="AM16" s="22"/>
      <c r="AN16" s="22"/>
      <c r="AO16" s="22"/>
      <c r="AP16" s="25"/>
      <c r="AQ16" s="22"/>
      <c r="AR16" s="22"/>
      <c r="AS16" s="23"/>
      <c r="AT16" s="22"/>
      <c r="AU16" s="22"/>
      <c r="AV16" s="22"/>
      <c r="AW16" s="22"/>
      <c r="AX16" s="22"/>
      <c r="AY16" s="22"/>
      <c r="AZ16" s="22"/>
      <c r="BA16" s="22"/>
      <c r="BB16" s="26"/>
      <c r="BC16" s="22"/>
      <c r="BD16" s="22"/>
      <c r="BE16" s="22"/>
      <c r="BF16" s="22"/>
      <c r="BG16" s="27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8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J16" s="718">
        <v>36757</v>
      </c>
      <c r="CK16" s="718">
        <v>55826</v>
      </c>
      <c r="CL16" s="718">
        <v>60438</v>
      </c>
      <c r="CM16" s="718">
        <v>52291</v>
      </c>
      <c r="CN16" s="22"/>
      <c r="CO16" s="22"/>
      <c r="CP16" s="22"/>
      <c r="CQ16" s="22"/>
      <c r="CR16" s="22"/>
      <c r="CS16" s="718">
        <v>35740</v>
      </c>
      <c r="CT16" s="22"/>
      <c r="CU16" s="22"/>
      <c r="CV16" s="22"/>
      <c r="CX16" s="22">
        <v>-44963</v>
      </c>
      <c r="CY16" s="22">
        <v>-45395</v>
      </c>
      <c r="CZ16" s="22">
        <v>89000</v>
      </c>
      <c r="DA16" s="22"/>
      <c r="DB16" s="22"/>
      <c r="DC16" s="22"/>
      <c r="DD16" s="22"/>
      <c r="DE16" s="22"/>
      <c r="DF16" s="22"/>
      <c r="DG16" s="22">
        <v>50000</v>
      </c>
      <c r="DH16" s="22"/>
      <c r="DI16" s="22"/>
      <c r="DJ16" s="22"/>
      <c r="DK16" s="948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</row>
    <row r="17" spans="1:128" s="758" customFormat="1" ht="18.75" hidden="1">
      <c r="A17" s="839"/>
      <c r="B17" s="901" t="s">
        <v>115</v>
      </c>
      <c r="C17" s="902"/>
      <c r="D17" s="840"/>
      <c r="E17" s="841"/>
      <c r="F17" s="841"/>
      <c r="G17" s="841"/>
      <c r="H17" s="841"/>
      <c r="I17" s="841"/>
      <c r="J17" s="841"/>
      <c r="K17" s="841"/>
      <c r="L17" s="841"/>
      <c r="M17" s="841"/>
      <c r="N17" s="841"/>
      <c r="O17" s="841"/>
      <c r="P17" s="842"/>
      <c r="Q17" s="843"/>
      <c r="R17" s="840"/>
      <c r="S17" s="844"/>
      <c r="T17" s="844"/>
      <c r="U17" s="844"/>
      <c r="V17" s="844"/>
      <c r="W17" s="844"/>
      <c r="X17" s="844"/>
      <c r="Y17" s="844"/>
      <c r="Z17" s="844"/>
      <c r="AA17" s="844"/>
      <c r="AB17" s="844"/>
      <c r="AC17" s="844"/>
      <c r="AD17" s="845"/>
      <c r="AE17" s="846"/>
      <c r="AF17" s="844"/>
      <c r="AG17" s="844"/>
      <c r="AH17" s="844"/>
      <c r="AI17" s="844"/>
      <c r="AJ17" s="846"/>
      <c r="AK17" s="844"/>
      <c r="AL17" s="844"/>
      <c r="AM17" s="844"/>
      <c r="AN17" s="844"/>
      <c r="AO17" s="844"/>
      <c r="AP17" s="844"/>
      <c r="AQ17" s="844"/>
      <c r="AR17" s="844"/>
      <c r="AS17" s="846"/>
      <c r="AT17" s="844"/>
      <c r="AU17" s="844"/>
      <c r="AV17" s="844"/>
      <c r="AW17" s="844"/>
      <c r="AX17" s="844"/>
      <c r="AY17" s="844"/>
      <c r="AZ17" s="844"/>
      <c r="BA17" s="844"/>
      <c r="BB17" s="847"/>
      <c r="BC17" s="844"/>
      <c r="BD17" s="844"/>
      <c r="BE17" s="844"/>
      <c r="BF17" s="844"/>
      <c r="BG17" s="846"/>
      <c r="BH17" s="844"/>
      <c r="BI17" s="844"/>
      <c r="BJ17" s="844"/>
      <c r="BK17" s="844"/>
      <c r="BL17" s="844"/>
      <c r="BM17" s="844"/>
      <c r="BN17" s="844"/>
      <c r="BO17" s="844"/>
      <c r="BP17" s="844"/>
      <c r="BQ17" s="844"/>
      <c r="BR17" s="844"/>
      <c r="BS17" s="844"/>
      <c r="BT17" s="844"/>
      <c r="BU17" s="846"/>
      <c r="BV17" s="844"/>
      <c r="BW17" s="844"/>
      <c r="BX17" s="844"/>
      <c r="BY17" s="844"/>
      <c r="BZ17" s="844"/>
      <c r="CA17" s="844"/>
      <c r="CB17" s="844"/>
      <c r="CC17" s="844"/>
      <c r="CD17" s="844"/>
      <c r="CE17" s="844"/>
      <c r="CF17" s="844"/>
      <c r="CG17" s="844"/>
      <c r="CH17" s="844"/>
      <c r="CJ17" s="848"/>
      <c r="CK17" s="848"/>
      <c r="CL17" s="848"/>
      <c r="CM17" s="848"/>
      <c r="CN17" s="844"/>
      <c r="CO17" s="844"/>
      <c r="CP17" s="844"/>
      <c r="CQ17" s="844"/>
      <c r="CR17" s="844"/>
      <c r="CS17" s="849">
        <f>CS20/$DK$77</f>
        <v>0.55004838460992855</v>
      </c>
      <c r="CT17" s="849">
        <f>CT20/$DK$77</f>
        <v>0.73470702111214314</v>
      </c>
      <c r="CU17" s="849">
        <f>CU20/$DK$77</f>
        <v>0.80214964176325321</v>
      </c>
      <c r="CV17" s="844"/>
      <c r="CX17" s="849">
        <f>CX20/$DK$77</f>
        <v>1.4828799486632229</v>
      </c>
      <c r="CY17" s="849">
        <f t="shared" ref="CY17:DH17" si="20">CY20/$DK$77</f>
        <v>1.6019933772098347</v>
      </c>
      <c r="CZ17" s="849">
        <f t="shared" si="20"/>
        <v>1.2551923793065911</v>
      </c>
      <c r="DA17" s="849">
        <f t="shared" si="20"/>
        <v>0.78268718294047346</v>
      </c>
      <c r="DB17" s="849">
        <f t="shared" si="20"/>
        <v>1.1316612506847648</v>
      </c>
      <c r="DC17" s="849">
        <f t="shared" si="20"/>
        <v>1.2876800764077265</v>
      </c>
      <c r="DD17" s="849">
        <f t="shared" si="20"/>
        <v>1.5156141395781564</v>
      </c>
      <c r="DE17" s="849">
        <f t="shared" si="20"/>
        <v>1.634997290211333</v>
      </c>
      <c r="DF17" s="849">
        <f t="shared" si="20"/>
        <v>1.4616925177130065</v>
      </c>
      <c r="DG17" s="849">
        <f t="shared" si="20"/>
        <v>0.91800131566837273</v>
      </c>
      <c r="DH17" s="849">
        <f t="shared" si="20"/>
        <v>1.1031552885645199</v>
      </c>
      <c r="DI17" s="849">
        <f t="shared" ref="DI17:DS17" si="21">DI20/138624</f>
        <v>1.0573457477635517</v>
      </c>
      <c r="DJ17" s="844"/>
      <c r="DK17" s="949"/>
      <c r="DL17" s="849">
        <f>DL20/$DK$77</f>
        <v>0.94550677758831914</v>
      </c>
      <c r="DM17" s="849">
        <f t="shared" ref="DM17:DV17" si="22">DM20/$DK$77</f>
        <v>1.0013968945779377</v>
      </c>
      <c r="DN17" s="849">
        <f t="shared" si="22"/>
        <v>0.87723508949550411</v>
      </c>
      <c r="DO17" s="849">
        <f t="shared" si="22"/>
        <v>1.232484224631414</v>
      </c>
      <c r="DP17" s="849">
        <f t="shared" si="22"/>
        <v>1.4071129653949337</v>
      </c>
      <c r="DQ17" s="849">
        <f t="shared" si="22"/>
        <v>1.5952368565283233</v>
      </c>
      <c r="DR17" s="849">
        <f t="shared" si="22"/>
        <v>1.5672950983238212</v>
      </c>
      <c r="DS17" s="849">
        <f t="shared" si="22"/>
        <v>1.4021729465874424</v>
      </c>
      <c r="DT17" s="849">
        <f t="shared" si="22"/>
        <v>1.0341769216559631</v>
      </c>
      <c r="DU17" s="849">
        <f t="shared" si="22"/>
        <v>0.66443169281565773</v>
      </c>
      <c r="DV17" s="849">
        <f t="shared" si="22"/>
        <v>0.72090930554843868</v>
      </c>
      <c r="DW17" s="849">
        <f t="shared" ref="DW17:DY17" si="23">DW20/138624</f>
        <v>0.59270939065202621</v>
      </c>
      <c r="DX17" s="844"/>
    </row>
    <row r="18" spans="1:128" s="758" customFormat="1" ht="18.75" hidden="1">
      <c r="A18" s="839"/>
      <c r="B18" s="901" t="s">
        <v>116</v>
      </c>
      <c r="C18" s="902"/>
      <c r="D18" s="840"/>
      <c r="E18" s="841"/>
      <c r="F18" s="841"/>
      <c r="G18" s="841"/>
      <c r="H18" s="841"/>
      <c r="I18" s="841"/>
      <c r="J18" s="841"/>
      <c r="K18" s="841"/>
      <c r="L18" s="841"/>
      <c r="M18" s="841"/>
      <c r="N18" s="841"/>
      <c r="O18" s="841"/>
      <c r="P18" s="842"/>
      <c r="Q18" s="843"/>
      <c r="R18" s="840"/>
      <c r="S18" s="844"/>
      <c r="T18" s="844"/>
      <c r="U18" s="844"/>
      <c r="V18" s="844"/>
      <c r="W18" s="844"/>
      <c r="X18" s="844"/>
      <c r="Y18" s="844"/>
      <c r="Z18" s="844"/>
      <c r="AA18" s="844"/>
      <c r="AB18" s="844"/>
      <c r="AC18" s="844"/>
      <c r="AD18" s="845"/>
      <c r="AE18" s="846"/>
      <c r="AF18" s="844"/>
      <c r="AG18" s="844"/>
      <c r="AH18" s="844"/>
      <c r="AI18" s="844"/>
      <c r="AJ18" s="846"/>
      <c r="AK18" s="844"/>
      <c r="AL18" s="844"/>
      <c r="AM18" s="844"/>
      <c r="AN18" s="844"/>
      <c r="AO18" s="844"/>
      <c r="AP18" s="844"/>
      <c r="AQ18" s="844"/>
      <c r="AR18" s="844"/>
      <c r="AS18" s="846"/>
      <c r="AT18" s="844"/>
      <c r="AU18" s="844"/>
      <c r="AV18" s="844"/>
      <c r="AW18" s="844"/>
      <c r="AX18" s="844"/>
      <c r="AY18" s="844"/>
      <c r="AZ18" s="844"/>
      <c r="BA18" s="844"/>
      <c r="BB18" s="847"/>
      <c r="BC18" s="844"/>
      <c r="BD18" s="844"/>
      <c r="BE18" s="844"/>
      <c r="BF18" s="844"/>
      <c r="BG18" s="846"/>
      <c r="BH18" s="844"/>
      <c r="BI18" s="844"/>
      <c r="BJ18" s="844"/>
      <c r="BK18" s="844"/>
      <c r="BL18" s="844"/>
      <c r="BM18" s="844"/>
      <c r="BN18" s="844"/>
      <c r="BO18" s="844"/>
      <c r="BP18" s="844"/>
      <c r="BQ18" s="844"/>
      <c r="BR18" s="844"/>
      <c r="BS18" s="844"/>
      <c r="BT18" s="844"/>
      <c r="BU18" s="846"/>
      <c r="BV18" s="844"/>
      <c r="BW18" s="844"/>
      <c r="BX18" s="844"/>
      <c r="BY18" s="844"/>
      <c r="BZ18" s="844"/>
      <c r="CA18" s="844"/>
      <c r="CB18" s="844"/>
      <c r="CC18" s="844"/>
      <c r="CD18" s="844"/>
      <c r="CE18" s="844"/>
      <c r="CF18" s="844"/>
      <c r="CG18" s="844"/>
      <c r="CH18" s="844"/>
      <c r="CJ18" s="848"/>
      <c r="CK18" s="848"/>
      <c r="CL18" s="848"/>
      <c r="CM18" s="848"/>
      <c r="CN18" s="844"/>
      <c r="CO18" s="844"/>
      <c r="CP18" s="844"/>
      <c r="CQ18" s="844"/>
      <c r="CR18" s="844"/>
      <c r="CS18" s="849">
        <f>CS21/$DK$78</f>
        <v>0.89616243291769815</v>
      </c>
      <c r="CT18" s="849">
        <f>CT21/$DK$78</f>
        <v>1.4778097581932912</v>
      </c>
      <c r="CU18" s="849">
        <f>CU21/$DK$78</f>
        <v>1.7622859016035182</v>
      </c>
      <c r="CV18" s="844"/>
      <c r="CX18" s="849">
        <f>CX21/$DK$78</f>
        <v>1.4929484425482455</v>
      </c>
      <c r="CY18" s="849">
        <f t="shared" ref="CY18:DH18" si="24">CY21/$DK$78</f>
        <v>1.4420490864886744</v>
      </c>
      <c r="CZ18" s="849">
        <f t="shared" si="24"/>
        <v>1.7284324657231476</v>
      </c>
      <c r="DA18" s="849">
        <f t="shared" si="24"/>
        <v>1.9779346722062592</v>
      </c>
      <c r="DB18" s="849">
        <f t="shared" si="24"/>
        <v>2.2292129920507002</v>
      </c>
      <c r="DC18" s="849">
        <f t="shared" si="24"/>
        <v>2.4325362511392501</v>
      </c>
      <c r="DD18" s="849">
        <f t="shared" si="24"/>
        <v>2.5316529128805465</v>
      </c>
      <c r="DE18" s="849">
        <f t="shared" si="24"/>
        <v>2.4108652840862526</v>
      </c>
      <c r="DF18" s="849">
        <f>DF21/$DK$78</f>
        <v>2.1694807500800888</v>
      </c>
      <c r="DG18" s="849">
        <f t="shared" si="24"/>
        <v>1.9041723267035362</v>
      </c>
      <c r="DH18" s="849">
        <f t="shared" si="24"/>
        <v>2.0066266511372635</v>
      </c>
      <c r="DI18" s="849">
        <f t="shared" ref="DI18:DS18" si="25">DI21/17313</f>
        <v>1.8927915439265288</v>
      </c>
      <c r="DJ18" s="844"/>
      <c r="DK18" s="949"/>
      <c r="DL18" s="849">
        <f>DL21/$DK$78</f>
        <v>1.4844791234662018</v>
      </c>
      <c r="DM18" s="849">
        <f t="shared" ref="DM18:DV18" si="26">DM21/$DK$78</f>
        <v>1.5227847629737972</v>
      </c>
      <c r="DN18" s="849">
        <f t="shared" si="26"/>
        <v>1.4698530087390134</v>
      </c>
      <c r="DO18" s="849">
        <f t="shared" si="26"/>
        <v>1.7193552152221245</v>
      </c>
      <c r="DP18" s="849">
        <f t="shared" si="26"/>
        <v>1.9706335350665656</v>
      </c>
      <c r="DQ18" s="849">
        <f t="shared" si="26"/>
        <v>2.1739567941551154</v>
      </c>
      <c r="DR18" s="849">
        <f t="shared" si="26"/>
        <v>2.2730734558964119</v>
      </c>
      <c r="DS18" s="849">
        <f t="shared" si="26"/>
        <v>2.1522858271021179</v>
      </c>
      <c r="DT18" s="849">
        <f>DT21/$DK$78</f>
        <v>1.9109012930959539</v>
      </c>
      <c r="DU18" s="849">
        <f t="shared" ref="DU18:DY18" si="27">DU21/$DK$78</f>
        <v>1.6455928697194018</v>
      </c>
      <c r="DV18" s="849">
        <f t="shared" si="27"/>
        <v>1.748047194153129</v>
      </c>
      <c r="DW18" s="849">
        <f t="shared" ref="DW18:DY18" si="28">DW21/17313</f>
        <v>1.6421995032634427</v>
      </c>
      <c r="DX18" s="844"/>
    </row>
    <row r="19" spans="1:128" s="758" customFormat="1" ht="18.75">
      <c r="A19" s="839"/>
      <c r="B19" s="1022" t="s">
        <v>155</v>
      </c>
      <c r="C19" s="902"/>
      <c r="D19" s="840"/>
      <c r="E19" s="841"/>
      <c r="F19" s="841"/>
      <c r="G19" s="841"/>
      <c r="H19" s="841"/>
      <c r="I19" s="841"/>
      <c r="J19" s="841"/>
      <c r="K19" s="841"/>
      <c r="L19" s="841"/>
      <c r="M19" s="841"/>
      <c r="N19" s="841"/>
      <c r="O19" s="841"/>
      <c r="P19" s="842"/>
      <c r="Q19" s="843"/>
      <c r="R19" s="840"/>
      <c r="S19" s="844"/>
      <c r="T19" s="844"/>
      <c r="U19" s="844"/>
      <c r="V19" s="844"/>
      <c r="W19" s="844"/>
      <c r="X19" s="844"/>
      <c r="Y19" s="844"/>
      <c r="Z19" s="844"/>
      <c r="AA19" s="844"/>
      <c r="AB19" s="844"/>
      <c r="AC19" s="844"/>
      <c r="AD19" s="845"/>
      <c r="AE19" s="846"/>
      <c r="AF19" s="844"/>
      <c r="AG19" s="844"/>
      <c r="AH19" s="844"/>
      <c r="AI19" s="844"/>
      <c r="AJ19" s="846"/>
      <c r="AK19" s="844"/>
      <c r="AL19" s="844"/>
      <c r="AM19" s="844"/>
      <c r="AN19" s="844"/>
      <c r="AO19" s="844"/>
      <c r="AP19" s="844"/>
      <c r="AQ19" s="844"/>
      <c r="AR19" s="844"/>
      <c r="AS19" s="846"/>
      <c r="AT19" s="844"/>
      <c r="AU19" s="844"/>
      <c r="AV19" s="844"/>
      <c r="AW19" s="844"/>
      <c r="AX19" s="844"/>
      <c r="AY19" s="844"/>
      <c r="AZ19" s="844"/>
      <c r="BA19" s="844"/>
      <c r="BB19" s="847"/>
      <c r="BC19" s="844"/>
      <c r="BD19" s="844"/>
      <c r="BE19" s="844"/>
      <c r="BF19" s="844"/>
      <c r="BG19" s="846"/>
      <c r="BH19" s="844"/>
      <c r="BI19" s="844"/>
      <c r="BJ19" s="844"/>
      <c r="BK19" s="844"/>
      <c r="BL19" s="844"/>
      <c r="BM19" s="844"/>
      <c r="BN19" s="844"/>
      <c r="BO19" s="844"/>
      <c r="BP19" s="844"/>
      <c r="BQ19" s="844"/>
      <c r="BR19" s="844"/>
      <c r="BS19" s="844"/>
      <c r="BT19" s="844"/>
      <c r="BU19" s="846"/>
      <c r="BV19" s="844"/>
      <c r="BW19" s="844"/>
      <c r="BX19" s="844"/>
      <c r="BY19" s="844"/>
      <c r="BZ19" s="844"/>
      <c r="CA19" s="844"/>
      <c r="CB19" s="844"/>
      <c r="CC19" s="844"/>
      <c r="CD19" s="844"/>
      <c r="CE19" s="844"/>
      <c r="CF19" s="844"/>
      <c r="CG19" s="844"/>
      <c r="CH19" s="844"/>
      <c r="CJ19" s="848"/>
      <c r="CK19" s="848"/>
      <c r="CL19" s="848"/>
      <c r="CM19" s="848"/>
      <c r="CN19" s="844"/>
      <c r="CO19" s="844"/>
      <c r="CP19" s="844"/>
      <c r="CQ19" s="844"/>
      <c r="CR19" s="844"/>
      <c r="CS19" s="849"/>
      <c r="CT19" s="849"/>
      <c r="CU19" s="849"/>
      <c r="CV19" s="844"/>
      <c r="CX19" s="849"/>
      <c r="CY19" s="849"/>
      <c r="CZ19" s="844">
        <f t="shared" ref="CZ19" si="29">CZ20+CZ21</f>
        <v>203000</v>
      </c>
      <c r="DA19" s="844">
        <f t="shared" ref="DA19" si="30">DA20+DA21</f>
        <v>141685.56</v>
      </c>
      <c r="DB19" s="844">
        <f t="shared" ref="DA19:DI19" si="31">DB20+DB21</f>
        <v>194277.8</v>
      </c>
      <c r="DC19" s="844">
        <f t="shared" ref="DC19" si="32">DC20+DC21</f>
        <v>219317.18</v>
      </c>
      <c r="DD19" s="844">
        <f t="shared" ref="DD19" si="33">DD20+DD21</f>
        <v>252577.34999999995</v>
      </c>
      <c r="DE19" s="844">
        <f t="shared" ref="DE19" si="34">DE20+DE21</f>
        <v>267100.13999999996</v>
      </c>
      <c r="DF19" s="844">
        <f t="shared" ref="DF19" si="35">DF20+DF21</f>
        <v>239025.90999999995</v>
      </c>
      <c r="DG19" s="844">
        <f t="shared" ref="DG19" si="36">DG20+DG21</f>
        <v>159205.76914767927</v>
      </c>
      <c r="DH19" s="844">
        <f t="shared" ref="DH19" si="37">DH20+DH21</f>
        <v>186591.58470126573</v>
      </c>
      <c r="DI19" s="844">
        <f t="shared" ref="DI19" si="38">DI20+DI21</f>
        <v>179343.39693797458</v>
      </c>
      <c r="DJ19" s="844"/>
      <c r="DK19" s="949"/>
      <c r="DL19" s="844">
        <f>DL20+DL21</f>
        <v>155976.99093797454</v>
      </c>
      <c r="DM19" s="849"/>
      <c r="DN19" s="849"/>
      <c r="DO19" s="849"/>
      <c r="DP19" s="849"/>
      <c r="DQ19" s="849"/>
      <c r="DR19" s="849"/>
      <c r="DS19" s="849"/>
      <c r="DT19" s="849"/>
      <c r="DU19" s="849"/>
      <c r="DV19" s="849"/>
      <c r="DW19" s="849"/>
      <c r="DX19" s="844"/>
    </row>
    <row r="20" spans="1:128" s="1008" customFormat="1" ht="18.75">
      <c r="A20" s="1007">
        <v>1</v>
      </c>
      <c r="B20" s="1009" t="s">
        <v>117</v>
      </c>
      <c r="C20" s="1010"/>
      <c r="D20" s="1011">
        <v>197000</v>
      </c>
      <c r="E20" s="1012">
        <v>223027</v>
      </c>
      <c r="F20" s="1012">
        <v>230513</v>
      </c>
      <c r="G20" s="1012">
        <v>231174</v>
      </c>
      <c r="H20" s="1012">
        <v>255028</v>
      </c>
      <c r="I20" s="1012">
        <f>316386+3241</f>
        <v>319627</v>
      </c>
      <c r="J20" s="1012">
        <v>377712</v>
      </c>
      <c r="K20" s="1012">
        <v>382411</v>
      </c>
      <c r="L20" s="1012">
        <v>394107</v>
      </c>
      <c r="M20" s="1012">
        <v>267954</v>
      </c>
      <c r="N20" s="1012"/>
      <c r="O20" s="1012">
        <v>143875</v>
      </c>
      <c r="P20" s="1013"/>
      <c r="Q20" s="1014"/>
      <c r="R20" s="1011">
        <v>208084</v>
      </c>
      <c r="S20" s="1015">
        <v>268431</v>
      </c>
      <c r="T20" s="1015">
        <v>250616</v>
      </c>
      <c r="U20" s="1015">
        <v>237088</v>
      </c>
      <c r="V20" s="1015">
        <v>147777</v>
      </c>
      <c r="W20" s="1015">
        <v>215818</v>
      </c>
      <c r="X20" s="1015">
        <v>273510</v>
      </c>
      <c r="Y20" s="1015">
        <v>299059</v>
      </c>
      <c r="Z20" s="1015">
        <v>304980</v>
      </c>
      <c r="AA20" s="1015">
        <v>231197</v>
      </c>
      <c r="AB20" s="1015">
        <v>143086</v>
      </c>
      <c r="AC20" s="1015">
        <v>172491</v>
      </c>
      <c r="AD20" s="1016"/>
      <c r="AE20" s="1017"/>
      <c r="AF20" s="1015">
        <v>198695</v>
      </c>
      <c r="AG20" s="1015">
        <v>234210</v>
      </c>
      <c r="AH20" s="1015">
        <v>327560</v>
      </c>
      <c r="AI20" s="1015">
        <v>332523</v>
      </c>
      <c r="AJ20" s="1017">
        <v>356667</v>
      </c>
      <c r="AK20" s="1015">
        <v>384165</v>
      </c>
      <c r="AL20" s="1015">
        <v>317268</v>
      </c>
      <c r="AM20" s="1015">
        <v>370708</v>
      </c>
      <c r="AN20" s="1015">
        <v>354503</v>
      </c>
      <c r="AO20" s="1015">
        <v>314605</v>
      </c>
      <c r="AP20" s="1015">
        <v>90490</v>
      </c>
      <c r="AQ20" s="1015">
        <v>58348</v>
      </c>
      <c r="AR20" s="1015">
        <f t="shared" si="11"/>
        <v>58348</v>
      </c>
      <c r="AS20" s="1017"/>
      <c r="AT20" s="1015">
        <v>158701</v>
      </c>
      <c r="AU20" s="1015">
        <v>115369</v>
      </c>
      <c r="AV20" s="1015">
        <v>142379</v>
      </c>
      <c r="AW20" s="1015">
        <v>118765</v>
      </c>
      <c r="AX20" s="1015">
        <v>113246</v>
      </c>
      <c r="AY20" s="1015">
        <v>106776</v>
      </c>
      <c r="AZ20" s="1015">
        <v>175234</v>
      </c>
      <c r="BA20" s="1015">
        <v>151553</v>
      </c>
      <c r="BB20" s="1018">
        <v>167082</v>
      </c>
      <c r="BC20" s="1015">
        <v>150959</v>
      </c>
      <c r="BD20" s="1015">
        <v>119787</v>
      </c>
      <c r="BE20" s="1015">
        <v>65426</v>
      </c>
      <c r="BF20" s="1015">
        <f t="shared" si="13"/>
        <v>65426</v>
      </c>
      <c r="BG20" s="1017"/>
      <c r="BH20" s="1015">
        <v>166918</v>
      </c>
      <c r="BI20" s="1015">
        <v>167160</v>
      </c>
      <c r="BJ20" s="1015">
        <v>204571</v>
      </c>
      <c r="BK20" s="1015">
        <v>153197</v>
      </c>
      <c r="BL20" s="1015">
        <v>196798</v>
      </c>
      <c r="BM20" s="1015">
        <v>145596</v>
      </c>
      <c r="BN20" s="1015">
        <v>166021</v>
      </c>
      <c r="BO20" s="1015">
        <v>211305</v>
      </c>
      <c r="BP20" s="1015">
        <v>201071</v>
      </c>
      <c r="BQ20" s="1015">
        <v>177743</v>
      </c>
      <c r="BR20" s="1015">
        <v>144020</v>
      </c>
      <c r="BS20" s="1015">
        <v>154347</v>
      </c>
      <c r="BT20" s="1015">
        <f>BS20</f>
        <v>154347</v>
      </c>
      <c r="BU20" s="1017"/>
      <c r="BV20" s="1015">
        <v>151471</v>
      </c>
      <c r="BW20" s="1015">
        <v>155653</v>
      </c>
      <c r="BX20" s="1015">
        <v>151611</v>
      </c>
      <c r="BY20" s="1015">
        <v>177044</v>
      </c>
      <c r="BZ20" s="1015">
        <v>170481</v>
      </c>
      <c r="CA20" s="1015">
        <v>221665</v>
      </c>
      <c r="CB20" s="1015">
        <v>218105</v>
      </c>
      <c r="CC20" s="1015">
        <v>188153</v>
      </c>
      <c r="CD20" s="1015">
        <v>147751</v>
      </c>
      <c r="CE20" s="1015">
        <v>112996</v>
      </c>
      <c r="CF20" s="1015">
        <v>135968</v>
      </c>
      <c r="CG20" s="1015">
        <v>130000</v>
      </c>
      <c r="CH20" s="1015">
        <f t="shared" ref="CH20:CH31" si="39">CG20</f>
        <v>130000</v>
      </c>
      <c r="CI20" s="988">
        <v>114000</v>
      </c>
      <c r="CJ20" s="1015">
        <v>109585</v>
      </c>
      <c r="CK20" s="1015">
        <v>103815</v>
      </c>
      <c r="CL20" s="1015">
        <v>117138</v>
      </c>
      <c r="CM20" s="1015">
        <v>165469</v>
      </c>
      <c r="CN20" s="1015">
        <f>CM20+CN81-CN34</f>
        <v>175907.8879612374</v>
      </c>
      <c r="CO20" s="1015">
        <f>CN20+CO81-CO34</f>
        <v>238961.73306000742</v>
      </c>
      <c r="CP20" s="1015">
        <f>CO20+CP81-CP34</f>
        <v>271844.22259587242</v>
      </c>
      <c r="CQ20" s="1015">
        <f>CP20+CQ81-CQ34</f>
        <v>249838.52867182181</v>
      </c>
      <c r="CR20" s="1015">
        <f>CQ20+CR81-CR34</f>
        <v>201980.33782793995</v>
      </c>
      <c r="CS20" s="1019">
        <f>91286-CS21</f>
        <v>76250</v>
      </c>
      <c r="CT20" s="1019">
        <f>CS20+CT81-CT77-CT21</f>
        <v>101848.14995780593</v>
      </c>
      <c r="CU20" s="1019">
        <f>CT20+CU81-CU77-CU21</f>
        <v>111197.32717299581</v>
      </c>
      <c r="CV20" s="1020"/>
      <c r="CW20" s="1021"/>
      <c r="CX20" s="1015">
        <v>205563</v>
      </c>
      <c r="CY20" s="1015">
        <v>222075</v>
      </c>
      <c r="CZ20" s="1015">
        <v>174000</v>
      </c>
      <c r="DA20" s="1015">
        <f>CZ20+DA81-DA77+DA15-DA16</f>
        <v>108499.36</v>
      </c>
      <c r="DB20" s="1015">
        <f>DA20+DB81-DB77+DB15-DB16</f>
        <v>156875.6</v>
      </c>
      <c r="DC20" s="1015">
        <f>DB20+DC81-DC77+DC15-DC16</f>
        <v>178503.58</v>
      </c>
      <c r="DD20" s="1015">
        <f>DC20+DD81-DD77+DD15-DD16</f>
        <v>210100.74999999994</v>
      </c>
      <c r="DE20" s="1015">
        <f>DD20+DE81-DE77+DE15-DE16</f>
        <v>226650.13999999996</v>
      </c>
      <c r="DF20" s="1015">
        <f>DE20+DF81-DF77+DF15-DF16</f>
        <v>202625.90999999995</v>
      </c>
      <c r="DG20" s="1015">
        <f>DF20+DG81-DG77+DG15-DG16</f>
        <v>127257.16914767926</v>
      </c>
      <c r="DH20" s="1015">
        <f>DG20+DH81-DH77+DH15-DH16</f>
        <v>152923.98470126573</v>
      </c>
      <c r="DI20" s="1015">
        <f>DH20+DI81-DI77+DI15-DI16</f>
        <v>146573.49693797459</v>
      </c>
      <c r="DJ20" s="989"/>
      <c r="DL20" s="898">
        <f>DI20+DL81-DL77</f>
        <v>131070.09093797454</v>
      </c>
      <c r="DM20" s="898">
        <f>DL20+DM81-DM77+DM15-DM16</f>
        <v>138817.81193797453</v>
      </c>
      <c r="DN20" s="898">
        <f>DM20+DN81-DN77+DN15-DN16</f>
        <v>121605.98493797451</v>
      </c>
      <c r="DO20" s="898">
        <f>DN20+DO81-DO77+DO15-DO16</f>
        <v>170852.10093797446</v>
      </c>
      <c r="DP20" s="898">
        <f>DO20+DP81-DP77+DP15-DP16</f>
        <v>195059.86493797446</v>
      </c>
      <c r="DQ20" s="898">
        <f>DP20+DQ81-DQ77+DQ15-DQ16</f>
        <v>221138.38293797447</v>
      </c>
      <c r="DR20" s="898">
        <f>DQ20+DR81-DR77+DR15</f>
        <v>217264.97993797442</v>
      </c>
      <c r="DS20" s="898">
        <f>DR20+DS81-DS77+DS15</f>
        <v>194375.05893797442</v>
      </c>
      <c r="DT20" s="898">
        <f>DS20+DT81-DT77+DT15</f>
        <v>143361.91593797438</v>
      </c>
      <c r="DU20" s="898">
        <f>DT20+DU81-DU77+DU15</f>
        <v>92106.291000421596</v>
      </c>
      <c r="DV20" s="898">
        <f>DU20+DV81-DV77+DV15</f>
        <v>99935.453109366761</v>
      </c>
      <c r="DW20" s="898">
        <f>DV20+DW81-DW77+DW15</f>
        <v>82163.74656974648</v>
      </c>
      <c r="DX20" s="989"/>
    </row>
    <row r="21" spans="1:128" s="1008" customFormat="1" ht="18.75">
      <c r="A21" s="1007"/>
      <c r="B21" s="1009" t="s">
        <v>118</v>
      </c>
      <c r="C21" s="1010"/>
      <c r="D21" s="1011"/>
      <c r="E21" s="1012"/>
      <c r="F21" s="1012"/>
      <c r="G21" s="1012"/>
      <c r="H21" s="1012"/>
      <c r="I21" s="1012"/>
      <c r="J21" s="1012"/>
      <c r="K21" s="1012"/>
      <c r="L21" s="1012"/>
      <c r="M21" s="1012"/>
      <c r="N21" s="1012"/>
      <c r="O21" s="1012"/>
      <c r="P21" s="1013"/>
      <c r="Q21" s="1014"/>
      <c r="R21" s="1011"/>
      <c r="S21" s="1015"/>
      <c r="T21" s="1015"/>
      <c r="U21" s="1015"/>
      <c r="V21" s="1015"/>
      <c r="W21" s="1015"/>
      <c r="X21" s="1015"/>
      <c r="Y21" s="1015"/>
      <c r="Z21" s="1015"/>
      <c r="AA21" s="1015"/>
      <c r="AB21" s="1015"/>
      <c r="AC21" s="1015"/>
      <c r="AD21" s="1016"/>
      <c r="AE21" s="1017"/>
      <c r="AF21" s="1015"/>
      <c r="AG21" s="1015"/>
      <c r="AH21" s="1015"/>
      <c r="AI21" s="1015"/>
      <c r="AJ21" s="1017"/>
      <c r="AK21" s="1015"/>
      <c r="AL21" s="1015"/>
      <c r="AM21" s="1015"/>
      <c r="AN21" s="1015"/>
      <c r="AO21" s="1015"/>
      <c r="AP21" s="1015"/>
      <c r="AQ21" s="1015"/>
      <c r="AR21" s="1015"/>
      <c r="AS21" s="1017"/>
      <c r="AT21" s="1015"/>
      <c r="AU21" s="1015"/>
      <c r="AV21" s="1015"/>
      <c r="AW21" s="1015"/>
      <c r="AX21" s="1015"/>
      <c r="AY21" s="1015"/>
      <c r="AZ21" s="1015"/>
      <c r="BA21" s="1015"/>
      <c r="BB21" s="1018"/>
      <c r="BC21" s="1015"/>
      <c r="BD21" s="1015"/>
      <c r="BE21" s="1015"/>
      <c r="BF21" s="1015"/>
      <c r="BG21" s="1017"/>
      <c r="BH21" s="1015"/>
      <c r="BI21" s="1015"/>
      <c r="BJ21" s="1015"/>
      <c r="BK21" s="1015"/>
      <c r="BL21" s="1015"/>
      <c r="BM21" s="1015"/>
      <c r="BN21" s="1015"/>
      <c r="BO21" s="1015"/>
      <c r="BP21" s="1015"/>
      <c r="BQ21" s="1015"/>
      <c r="BR21" s="1015"/>
      <c r="BS21" s="1015"/>
      <c r="BT21" s="1015"/>
      <c r="BU21" s="1017"/>
      <c r="BV21" s="1015"/>
      <c r="BW21" s="1015"/>
      <c r="BX21" s="1015"/>
      <c r="BY21" s="1015"/>
      <c r="BZ21" s="1015"/>
      <c r="CA21" s="1015"/>
      <c r="CB21" s="1015"/>
      <c r="CC21" s="1015"/>
      <c r="CD21" s="1015"/>
      <c r="CE21" s="1015"/>
      <c r="CF21" s="1015"/>
      <c r="CG21" s="1015"/>
      <c r="CH21" s="1015"/>
      <c r="CI21" s="988"/>
      <c r="CJ21" s="1015"/>
      <c r="CK21" s="1015"/>
      <c r="CL21" s="1015"/>
      <c r="CM21" s="1015"/>
      <c r="CN21" s="1015"/>
      <c r="CO21" s="1015"/>
      <c r="CP21" s="1015"/>
      <c r="CQ21" s="1015"/>
      <c r="CR21" s="1015"/>
      <c r="CS21" s="1019">
        <v>15036</v>
      </c>
      <c r="CT21" s="1019">
        <f>CS21+CT82-CT78</f>
        <v>24795</v>
      </c>
      <c r="CU21" s="1019">
        <f>CT21+CU82-CU78</f>
        <v>29568</v>
      </c>
      <c r="CV21" s="1020"/>
      <c r="CW21" s="1021"/>
      <c r="CX21" s="1015">
        <v>25049</v>
      </c>
      <c r="CY21" s="1015">
        <v>24195</v>
      </c>
      <c r="CZ21" s="1015">
        <v>29000</v>
      </c>
      <c r="DA21" s="1015">
        <f>CZ21+DA82-DA78</f>
        <v>33186.199999999997</v>
      </c>
      <c r="DB21" s="1015">
        <f>DA21+DB82-DB78</f>
        <v>37402.199999999997</v>
      </c>
      <c r="DC21" s="1015">
        <f>DB21+DC82-DC78</f>
        <v>40813.599999999999</v>
      </c>
      <c r="DD21" s="1015">
        <f>DC21+DD82-DD78</f>
        <v>42476.6</v>
      </c>
      <c r="DE21" s="1015">
        <f>DD21+DE82-DE78</f>
        <v>40450</v>
      </c>
      <c r="DF21" s="1015">
        <f>DE21+DF82-DF78</f>
        <v>36400</v>
      </c>
      <c r="DG21" s="1015">
        <f>DF21+DG82-DG78</f>
        <v>31948.6</v>
      </c>
      <c r="DH21" s="1015">
        <f>DG21+DH82-DH78</f>
        <v>33667.599999999999</v>
      </c>
      <c r="DI21" s="1015">
        <f>DH21+DI82-DI78</f>
        <v>32769.899999999994</v>
      </c>
      <c r="DJ21" s="989"/>
      <c r="DL21" s="898">
        <f>DI21+DL82-DL78</f>
        <v>24906.899999999994</v>
      </c>
      <c r="DM21" s="898">
        <f>DL21+DM82-DM78</f>
        <v>25549.599999999991</v>
      </c>
      <c r="DN21" s="898">
        <f>DM21+DN82-DN78</f>
        <v>24661.499999999989</v>
      </c>
      <c r="DO21" s="898">
        <f>DN21+DO82-DO78</f>
        <v>28847.699999999983</v>
      </c>
      <c r="DP21" s="898">
        <f>DO21+DP82-DP78</f>
        <v>33063.699999999983</v>
      </c>
      <c r="DQ21" s="898">
        <f>DP21+DQ82-DQ78</f>
        <v>36475.099999999984</v>
      </c>
      <c r="DR21" s="898">
        <f>DQ21+DR82-DR78</f>
        <v>38138.099999999984</v>
      </c>
      <c r="DS21" s="898">
        <f>DR21+DS82-DS78</f>
        <v>36111.499999999985</v>
      </c>
      <c r="DT21" s="898">
        <f>DS21+DT82-DT78</f>
        <v>32061.499999999982</v>
      </c>
      <c r="DU21" s="898">
        <f>DT21+DU82-DU78</f>
        <v>27610.099999999984</v>
      </c>
      <c r="DV21" s="898">
        <f>DU21+DV82-DV78</f>
        <v>29329.099999999984</v>
      </c>
      <c r="DW21" s="898">
        <f>DV21+DW82-DW78</f>
        <v>28431.399999999983</v>
      </c>
      <c r="DX21" s="989"/>
    </row>
    <row r="22" spans="1:128" s="698" customFormat="1" ht="18.75" hidden="1">
      <c r="A22" s="683"/>
      <c r="B22" s="684" t="s">
        <v>119</v>
      </c>
      <c r="C22" s="685"/>
      <c r="D22" s="686"/>
      <c r="E22" s="687"/>
      <c r="F22" s="687"/>
      <c r="G22" s="687"/>
      <c r="H22" s="687"/>
      <c r="I22" s="687"/>
      <c r="J22" s="687"/>
      <c r="K22" s="687"/>
      <c r="L22" s="687"/>
      <c r="M22" s="687"/>
      <c r="N22" s="687"/>
      <c r="O22" s="687"/>
      <c r="P22" s="688"/>
      <c r="Q22" s="689"/>
      <c r="R22" s="686"/>
      <c r="S22" s="690"/>
      <c r="T22" s="690"/>
      <c r="U22" s="690"/>
      <c r="V22" s="690"/>
      <c r="W22" s="690"/>
      <c r="X22" s="690"/>
      <c r="Y22" s="690"/>
      <c r="Z22" s="690"/>
      <c r="AA22" s="690"/>
      <c r="AB22" s="690"/>
      <c r="AC22" s="690"/>
      <c r="AD22" s="691"/>
      <c r="AE22" s="692"/>
      <c r="AF22" s="690"/>
      <c r="AG22" s="690"/>
      <c r="AH22" s="690"/>
      <c r="AI22" s="690"/>
      <c r="AJ22" s="693"/>
      <c r="AK22" s="690"/>
      <c r="AL22" s="690"/>
      <c r="AM22" s="690"/>
      <c r="AN22" s="690"/>
      <c r="AO22" s="690"/>
      <c r="AP22" s="694"/>
      <c r="AQ22" s="690"/>
      <c r="AR22" s="690"/>
      <c r="AS22" s="692"/>
      <c r="AT22" s="690"/>
      <c r="AU22" s="690"/>
      <c r="AV22" s="690"/>
      <c r="AW22" s="690"/>
      <c r="AX22" s="690"/>
      <c r="AY22" s="690"/>
      <c r="AZ22" s="690"/>
      <c r="BA22" s="690"/>
      <c r="BB22" s="695"/>
      <c r="BC22" s="690"/>
      <c r="BD22" s="690"/>
      <c r="BE22" s="690"/>
      <c r="BF22" s="690"/>
      <c r="BG22" s="696"/>
      <c r="BH22" s="690"/>
      <c r="BI22" s="690"/>
      <c r="BJ22" s="690"/>
      <c r="BK22" s="690"/>
      <c r="BL22" s="690"/>
      <c r="BM22" s="690"/>
      <c r="BN22" s="690"/>
      <c r="BO22" s="690"/>
      <c r="BP22" s="690"/>
      <c r="BQ22" s="690"/>
      <c r="BR22" s="690"/>
      <c r="BS22" s="690"/>
      <c r="BT22" s="690"/>
      <c r="BU22" s="697"/>
      <c r="BV22" s="690"/>
      <c r="BW22" s="690"/>
      <c r="BX22" s="690"/>
      <c r="BY22" s="690"/>
      <c r="BZ22" s="690"/>
      <c r="CA22" s="690"/>
      <c r="CB22" s="690"/>
      <c r="CC22" s="690"/>
      <c r="CD22" s="690"/>
      <c r="CE22" s="690"/>
      <c r="CF22" s="690"/>
      <c r="CG22" s="690"/>
      <c r="CH22" s="690"/>
      <c r="CI22" s="707"/>
      <c r="CJ22" s="690"/>
      <c r="CK22" s="690"/>
      <c r="CL22" s="690"/>
      <c r="CM22" s="690"/>
      <c r="CN22" s="690"/>
      <c r="CO22" s="690"/>
      <c r="CP22" s="690"/>
      <c r="CQ22" s="690"/>
      <c r="CR22" s="690"/>
      <c r="CS22" s="756">
        <v>28927</v>
      </c>
      <c r="CT22" s="756">
        <f>CS22+CT83-CT79</f>
        <v>14387</v>
      </c>
      <c r="CU22" s="756">
        <f>CT22+CU83-CU79</f>
        <v>51731</v>
      </c>
      <c r="CV22" s="757"/>
      <c r="CW22" s="758"/>
      <c r="CX22" s="690">
        <v>6272</v>
      </c>
      <c r="CY22" s="690">
        <v>6499</v>
      </c>
      <c r="CZ22" s="690">
        <f>CY22+CZ83-CZ79+CZ16</f>
        <v>100175</v>
      </c>
      <c r="DA22" s="690">
        <f>CZ22+DA83-DA79+DA16</f>
        <v>87957</v>
      </c>
      <c r="DB22" s="690">
        <f>DA22+DB83-DB79+DB16</f>
        <v>78468</v>
      </c>
      <c r="DC22" s="690">
        <f>DB22+DC83-DC79+DC16</f>
        <v>113704</v>
      </c>
      <c r="DD22" s="690">
        <f>DC22+DD83-DD79+DD16</f>
        <v>104018.1</v>
      </c>
      <c r="DE22" s="690">
        <f>DD22+DE83-DE79+DE16</f>
        <v>95432.200000000012</v>
      </c>
      <c r="DF22" s="690">
        <f>DE22+DF83-DF79+DF16</f>
        <v>74509.300000000017</v>
      </c>
      <c r="DG22" s="690">
        <f>DF22+DG83-DG79+DG16</f>
        <v>116352.60000000002</v>
      </c>
      <c r="DH22" s="690">
        <f>DG22+DH83-DH79+DH16</f>
        <v>112274.25000000001</v>
      </c>
      <c r="DI22" s="690">
        <f>DH22+DI83-DI79+DI16</f>
        <v>158974.25</v>
      </c>
      <c r="DJ22" s="844"/>
      <c r="DK22" s="950"/>
      <c r="DL22" s="690">
        <f>DI22+DL83-DL79+DL16</f>
        <v>173244.25</v>
      </c>
      <c r="DM22" s="690">
        <f>DL22+DM83-DM79+DM16</f>
        <v>166330.25</v>
      </c>
      <c r="DN22" s="690">
        <f>DM22+DN83-DN79+DN16</f>
        <v>171006.25</v>
      </c>
      <c r="DO22" s="690">
        <f>DN22+DO83-DO79+DO16</f>
        <v>158788.25</v>
      </c>
      <c r="DP22" s="690">
        <f>DO22+DP83-DP79+DP16</f>
        <v>149299.25</v>
      </c>
      <c r="DQ22" s="690">
        <f>DP22+DQ83-DQ79+DQ16</f>
        <v>184535.25</v>
      </c>
      <c r="DR22" s="690">
        <f>DQ22+DR83-DR79+DR16</f>
        <v>174849.35</v>
      </c>
      <c r="DS22" s="690">
        <f>DR22+DS83-DS79+DS16</f>
        <v>166263.45000000001</v>
      </c>
      <c r="DT22" s="690">
        <f>DS22+DT83-DT79+DT16</f>
        <v>145340.55000000002</v>
      </c>
      <c r="DU22" s="690">
        <f>DT22+DU83-DU79+DU16</f>
        <v>137183.85</v>
      </c>
      <c r="DV22" s="690">
        <f>DU22+DV83-DV79+DV16</f>
        <v>133105.5</v>
      </c>
      <c r="DW22" s="690">
        <f>DV22+DW83-DW79+DW16</f>
        <v>179805.5</v>
      </c>
      <c r="DX22" s="756"/>
    </row>
    <row r="23" spans="1:128" ht="18.75" hidden="1">
      <c r="A23" s="19">
        <v>2</v>
      </c>
      <c r="B23" s="684" t="s">
        <v>35</v>
      </c>
      <c r="C23" s="903"/>
      <c r="D23" s="265">
        <v>73670</v>
      </c>
      <c r="E23" s="20">
        <v>59682</v>
      </c>
      <c r="F23" s="20">
        <v>54710</v>
      </c>
      <c r="G23" s="20">
        <v>56175</v>
      </c>
      <c r="H23" s="20">
        <v>58933</v>
      </c>
      <c r="I23" s="20">
        <v>42784</v>
      </c>
      <c r="J23" s="20">
        <v>35755</v>
      </c>
      <c r="K23" s="20">
        <v>33547</v>
      </c>
      <c r="L23" s="20">
        <v>22824</v>
      </c>
      <c r="M23" s="20">
        <v>26162</v>
      </c>
      <c r="N23" s="20"/>
      <c r="O23" s="20">
        <v>44389</v>
      </c>
      <c r="P23" s="266"/>
      <c r="Q23" s="21"/>
      <c r="R23" s="265">
        <v>39759</v>
      </c>
      <c r="S23" s="22">
        <v>38325</v>
      </c>
      <c r="T23" s="22">
        <v>26634</v>
      </c>
      <c r="U23" s="22">
        <f>14430+2754+7859</f>
        <v>25043</v>
      </c>
      <c r="V23" s="22">
        <v>23840</v>
      </c>
      <c r="W23" s="22">
        <v>20057</v>
      </c>
      <c r="X23" s="22">
        <v>80502</v>
      </c>
      <c r="Y23" s="22">
        <v>56483</v>
      </c>
      <c r="Z23" s="22">
        <v>44233</v>
      </c>
      <c r="AA23" s="22">
        <v>38155</v>
      </c>
      <c r="AB23" s="22">
        <v>27540</v>
      </c>
      <c r="AC23" s="22">
        <v>25060</v>
      </c>
      <c r="AD23" s="267"/>
      <c r="AE23" s="23"/>
      <c r="AF23" s="22">
        <v>21326</v>
      </c>
      <c r="AG23" s="22">
        <v>17804</v>
      </c>
      <c r="AH23" s="22">
        <v>27157</v>
      </c>
      <c r="AI23" s="22">
        <v>19677</v>
      </c>
      <c r="AJ23" s="22">
        <v>18817</v>
      </c>
      <c r="AK23" s="22">
        <v>25034</v>
      </c>
      <c r="AL23" s="22">
        <v>28090</v>
      </c>
      <c r="AM23" s="22">
        <v>25660</v>
      </c>
      <c r="AN23" s="22">
        <v>33752</v>
      </c>
      <c r="AO23" s="22">
        <v>24699</v>
      </c>
      <c r="AP23" s="25">
        <v>19340</v>
      </c>
      <c r="AQ23" s="22">
        <v>29842</v>
      </c>
      <c r="AR23" s="22">
        <f t="shared" si="11"/>
        <v>29842</v>
      </c>
      <c r="AS23" s="23"/>
      <c r="AT23" s="22">
        <v>46493</v>
      </c>
      <c r="AU23" s="22">
        <v>37125</v>
      </c>
      <c r="AV23" s="22">
        <v>38574</v>
      </c>
      <c r="AW23" s="22">
        <v>43626</v>
      </c>
      <c r="AX23" s="22">
        <v>39641</v>
      </c>
      <c r="AY23" s="22">
        <v>55553</v>
      </c>
      <c r="AZ23" s="22">
        <v>48023</v>
      </c>
      <c r="BA23" s="22">
        <v>55043</v>
      </c>
      <c r="BB23" s="26">
        <v>50383</v>
      </c>
      <c r="BC23" s="22">
        <v>54355</v>
      </c>
      <c r="BD23" s="22">
        <v>82473</v>
      </c>
      <c r="BE23" s="22">
        <v>65398</v>
      </c>
      <c r="BF23" s="22">
        <f t="shared" si="13"/>
        <v>65398</v>
      </c>
      <c r="BG23" s="27"/>
      <c r="BH23" s="22">
        <v>68747</v>
      </c>
      <c r="BI23" s="22">
        <v>62843</v>
      </c>
      <c r="BJ23" s="22">
        <v>62154</v>
      </c>
      <c r="BK23" s="22">
        <v>49337</v>
      </c>
      <c r="BL23" s="22">
        <v>27730</v>
      </c>
      <c r="BM23" s="22">
        <v>42459</v>
      </c>
      <c r="BN23" s="22">
        <v>44049</v>
      </c>
      <c r="BO23" s="22">
        <v>29196</v>
      </c>
      <c r="BP23" s="22">
        <v>36882</v>
      </c>
      <c r="BQ23" s="22">
        <v>35965</v>
      </c>
      <c r="BR23" s="22">
        <v>31343</v>
      </c>
      <c r="BS23" s="22">
        <v>23087</v>
      </c>
      <c r="BT23" s="22">
        <f t="shared" ref="BT23:BT31" si="40">BS23</f>
        <v>23087</v>
      </c>
      <c r="BU23" s="28"/>
      <c r="BV23" s="22">
        <v>15202</v>
      </c>
      <c r="BW23" s="22">
        <v>12471</v>
      </c>
      <c r="BX23" s="22">
        <v>11483</v>
      </c>
      <c r="BY23" s="22">
        <v>14071</v>
      </c>
      <c r="BZ23" s="22">
        <v>49617</v>
      </c>
      <c r="CA23" s="22">
        <v>36385</v>
      </c>
      <c r="CB23" s="22">
        <v>25473</v>
      </c>
      <c r="CC23" s="22">
        <v>16933</v>
      </c>
      <c r="CD23" s="22">
        <v>12684</v>
      </c>
      <c r="CE23" s="22">
        <v>21084</v>
      </c>
      <c r="CF23" s="22">
        <v>15172</v>
      </c>
      <c r="CG23" s="22">
        <v>11469</v>
      </c>
      <c r="CH23" s="22">
        <f>CG23</f>
        <v>11469</v>
      </c>
      <c r="CI23">
        <f>7500*5</f>
        <v>37500</v>
      </c>
      <c r="CJ23" s="22">
        <v>9465</v>
      </c>
      <c r="CK23" s="22">
        <v>13722</v>
      </c>
      <c r="CL23" s="22">
        <v>10771</v>
      </c>
      <c r="CM23" s="22">
        <v>8538</v>
      </c>
      <c r="CN23" s="22"/>
      <c r="CO23" s="22"/>
      <c r="CP23" s="22"/>
      <c r="CQ23" s="22"/>
      <c r="CR23" s="22"/>
      <c r="CS23" s="22">
        <v>4128</v>
      </c>
      <c r="CT23" s="22"/>
      <c r="CU23" s="22"/>
      <c r="CV23" s="22">
        <v>0</v>
      </c>
      <c r="CW23" s="758"/>
      <c r="CX23" s="870"/>
      <c r="CY23" s="870"/>
      <c r="CZ23" s="870"/>
      <c r="DA23" s="870"/>
      <c r="DB23" s="870"/>
      <c r="DC23" s="870"/>
      <c r="DD23" s="870"/>
      <c r="DE23" s="870"/>
      <c r="DF23" s="870"/>
      <c r="DG23" s="870"/>
      <c r="DH23" s="870"/>
      <c r="DI23" s="870"/>
      <c r="DJ23" s="844">
        <v>0</v>
      </c>
      <c r="DK23" s="948"/>
      <c r="DL23" s="870"/>
      <c r="DM23" s="870"/>
      <c r="DN23" s="870"/>
      <c r="DO23" s="870"/>
      <c r="DP23" s="870"/>
      <c r="DQ23" s="870"/>
      <c r="DR23" s="870"/>
      <c r="DS23" s="870"/>
      <c r="DT23" s="870"/>
      <c r="DU23" s="870"/>
      <c r="DV23" s="870"/>
      <c r="DW23" s="870"/>
      <c r="DX23" s="22">
        <v>0</v>
      </c>
    </row>
    <row r="24" spans="1:128" ht="18.75" hidden="1">
      <c r="A24" s="19">
        <v>3</v>
      </c>
      <c r="B24" s="684" t="s">
        <v>36</v>
      </c>
      <c r="C24" s="903"/>
      <c r="D24" s="268">
        <v>34116</v>
      </c>
      <c r="E24" s="269">
        <v>29277</v>
      </c>
      <c r="F24" s="269">
        <v>43008</v>
      </c>
      <c r="G24" s="269">
        <v>30524</v>
      </c>
      <c r="H24" s="269">
        <v>33235</v>
      </c>
      <c r="I24" s="269">
        <v>39842</v>
      </c>
      <c r="J24" s="269">
        <v>41021</v>
      </c>
      <c r="K24" s="269">
        <v>31224</v>
      </c>
      <c r="L24" s="269"/>
      <c r="M24" s="269">
        <v>10286</v>
      </c>
      <c r="N24" s="269"/>
      <c r="O24" s="269"/>
      <c r="P24" s="266"/>
      <c r="Q24" s="21"/>
      <c r="R24" s="268">
        <v>35516</v>
      </c>
      <c r="S24" s="270">
        <v>35962</v>
      </c>
      <c r="T24" s="270">
        <v>35962</v>
      </c>
      <c r="U24" s="270">
        <v>35962</v>
      </c>
      <c r="V24" s="270">
        <v>35000</v>
      </c>
      <c r="W24" s="270"/>
      <c r="X24" s="270">
        <v>6123</v>
      </c>
      <c r="Y24" s="270">
        <v>6123</v>
      </c>
      <c r="Z24" s="270">
        <v>4187</v>
      </c>
      <c r="AA24" s="270">
        <v>2745</v>
      </c>
      <c r="AB24" s="270"/>
      <c r="AC24" s="270"/>
      <c r="AD24" s="267"/>
      <c r="AE24" s="23"/>
      <c r="AF24" s="270">
        <v>8366</v>
      </c>
      <c r="AG24" s="270">
        <v>11534</v>
      </c>
      <c r="AH24" s="270">
        <v>11507</v>
      </c>
      <c r="AI24" s="270">
        <v>9148</v>
      </c>
      <c r="AJ24" s="22">
        <v>8524</v>
      </c>
      <c r="AK24" s="270">
        <v>25290</v>
      </c>
      <c r="AL24" s="270">
        <v>91080</v>
      </c>
      <c r="AM24" s="270">
        <v>66830</v>
      </c>
      <c r="AN24" s="270">
        <v>36866</v>
      </c>
      <c r="AO24" s="270">
        <v>16173</v>
      </c>
      <c r="AP24" s="271">
        <v>178274</v>
      </c>
      <c r="AQ24" s="270">
        <v>210665</v>
      </c>
      <c r="AR24" s="22">
        <f t="shared" si="11"/>
        <v>210665</v>
      </c>
      <c r="AS24" s="23"/>
      <c r="AT24" s="270">
        <v>121075</v>
      </c>
      <c r="AU24" s="270">
        <v>149376</v>
      </c>
      <c r="AV24" s="270">
        <v>104538</v>
      </c>
      <c r="AW24" s="270">
        <v>105262</v>
      </c>
      <c r="AX24" s="270">
        <v>121073</v>
      </c>
      <c r="AY24" s="270">
        <v>163931</v>
      </c>
      <c r="AZ24" s="270">
        <v>109964</v>
      </c>
      <c r="BA24" s="270">
        <v>148266</v>
      </c>
      <c r="BB24" s="26">
        <v>130697</v>
      </c>
      <c r="BC24" s="270">
        <v>113779</v>
      </c>
      <c r="BD24" s="270">
        <v>91119</v>
      </c>
      <c r="BE24" s="270">
        <v>103286</v>
      </c>
      <c r="BF24" s="22">
        <f t="shared" si="13"/>
        <v>103286</v>
      </c>
      <c r="BG24" s="27"/>
      <c r="BH24" s="270">
        <v>49631</v>
      </c>
      <c r="BI24" s="270">
        <v>52953</v>
      </c>
      <c r="BJ24" s="270">
        <v>28440</v>
      </c>
      <c r="BK24" s="270">
        <v>83601</v>
      </c>
      <c r="BL24" s="22">
        <v>25812</v>
      </c>
      <c r="BM24" s="22">
        <v>59545</v>
      </c>
      <c r="BN24" s="22">
        <v>83435</v>
      </c>
      <c r="BO24" s="22">
        <v>34041</v>
      </c>
      <c r="BP24" s="22">
        <v>22399</v>
      </c>
      <c r="BQ24" s="22">
        <v>24887</v>
      </c>
      <c r="BR24" s="22">
        <v>12183</v>
      </c>
      <c r="BS24" s="22">
        <v>12183</v>
      </c>
      <c r="BT24" s="22">
        <f t="shared" si="40"/>
        <v>12183</v>
      </c>
      <c r="BU24" s="28"/>
      <c r="BV24" s="270">
        <v>5216</v>
      </c>
      <c r="BW24" s="270"/>
      <c r="BX24" s="270">
        <v>65273</v>
      </c>
      <c r="BY24" s="270">
        <v>70182</v>
      </c>
      <c r="BZ24" s="22">
        <v>57659</v>
      </c>
      <c r="CA24" s="22">
        <v>71669</v>
      </c>
      <c r="CB24" s="22">
        <v>73078</v>
      </c>
      <c r="CC24" s="22">
        <v>85302</v>
      </c>
      <c r="CD24" s="22">
        <v>25343</v>
      </c>
      <c r="CE24" s="22">
        <v>19030</v>
      </c>
      <c r="CF24" s="22">
        <v>19422</v>
      </c>
      <c r="CG24" s="22">
        <v>25927</v>
      </c>
      <c r="CH24" s="22">
        <f>CG24</f>
        <v>25927</v>
      </c>
      <c r="CI24">
        <v>29000</v>
      </c>
      <c r="CJ24" s="270">
        <v>21580</v>
      </c>
      <c r="CK24" s="270">
        <v>18052</v>
      </c>
      <c r="CL24" s="270">
        <v>30722</v>
      </c>
      <c r="CM24" s="270">
        <v>33641</v>
      </c>
      <c r="CN24" s="22"/>
      <c r="CO24" s="22"/>
      <c r="CP24" s="22"/>
      <c r="CQ24" s="22"/>
      <c r="CR24" s="22"/>
      <c r="CS24" s="22">
        <v>10634</v>
      </c>
      <c r="CT24" s="22"/>
      <c r="CU24" s="22"/>
      <c r="CV24" s="22">
        <v>0</v>
      </c>
      <c r="CW24" s="758"/>
      <c r="CX24" s="871">
        <v>29749</v>
      </c>
      <c r="CY24" s="871">
        <v>27364</v>
      </c>
      <c r="CZ24" s="871"/>
      <c r="DA24" s="871"/>
      <c r="DB24" s="870"/>
      <c r="DC24" s="870"/>
      <c r="DD24" s="870"/>
      <c r="DE24" s="870"/>
      <c r="DF24" s="870"/>
      <c r="DG24" s="870"/>
      <c r="DH24" s="870"/>
      <c r="DI24" s="870"/>
      <c r="DJ24" s="844">
        <v>0</v>
      </c>
      <c r="DK24" s="948"/>
      <c r="DL24" s="871"/>
      <c r="DM24" s="871"/>
      <c r="DN24" s="871"/>
      <c r="DO24" s="871"/>
      <c r="DP24" s="870"/>
      <c r="DQ24" s="870"/>
      <c r="DR24" s="870"/>
      <c r="DS24" s="870"/>
      <c r="DT24" s="870"/>
      <c r="DU24" s="870"/>
      <c r="DV24" s="870"/>
      <c r="DW24" s="870"/>
      <c r="DX24" s="22">
        <v>0</v>
      </c>
    </row>
    <row r="25" spans="1:128" ht="18.75" hidden="1">
      <c r="A25" s="19">
        <v>4</v>
      </c>
      <c r="B25" s="684" t="s">
        <v>37</v>
      </c>
      <c r="C25" s="903"/>
      <c r="D25" s="268">
        <v>34116</v>
      </c>
      <c r="E25" s="269">
        <v>29277</v>
      </c>
      <c r="F25" s="269">
        <v>43008</v>
      </c>
      <c r="G25" s="269">
        <v>30524</v>
      </c>
      <c r="H25" s="269">
        <v>33235</v>
      </c>
      <c r="I25" s="269">
        <v>39842</v>
      </c>
      <c r="J25" s="269">
        <v>41021</v>
      </c>
      <c r="K25" s="269">
        <v>31224</v>
      </c>
      <c r="L25" s="269"/>
      <c r="M25" s="269">
        <v>10286</v>
      </c>
      <c r="N25" s="269"/>
      <c r="O25" s="269"/>
      <c r="P25" s="266"/>
      <c r="Q25" s="21"/>
      <c r="R25" s="268">
        <v>35516</v>
      </c>
      <c r="S25" s="270">
        <v>35962</v>
      </c>
      <c r="T25" s="270">
        <v>35962</v>
      </c>
      <c r="U25" s="270">
        <v>35962</v>
      </c>
      <c r="V25" s="270">
        <v>35000</v>
      </c>
      <c r="W25" s="270"/>
      <c r="X25" s="270">
        <v>6123</v>
      </c>
      <c r="Y25" s="270">
        <v>6123</v>
      </c>
      <c r="Z25" s="270">
        <v>4187</v>
      </c>
      <c r="AA25" s="270">
        <v>2745</v>
      </c>
      <c r="AB25" s="270"/>
      <c r="AC25" s="270"/>
      <c r="AD25" s="267"/>
      <c r="AE25" s="23"/>
      <c r="AF25" s="270">
        <v>8366</v>
      </c>
      <c r="AG25" s="270">
        <v>11534</v>
      </c>
      <c r="AH25" s="270">
        <v>11507</v>
      </c>
      <c r="AI25" s="270">
        <v>9148</v>
      </c>
      <c r="AJ25" s="22">
        <v>8524</v>
      </c>
      <c r="AK25" s="270">
        <v>25290</v>
      </c>
      <c r="AL25" s="270">
        <v>91080</v>
      </c>
      <c r="AM25" s="270">
        <v>66830</v>
      </c>
      <c r="AN25" s="270">
        <v>36866</v>
      </c>
      <c r="AO25" s="270">
        <v>16173</v>
      </c>
      <c r="AP25" s="271">
        <v>178274</v>
      </c>
      <c r="AQ25" s="270">
        <v>210665</v>
      </c>
      <c r="AR25" s="22">
        <f t="shared" si="11"/>
        <v>210665</v>
      </c>
      <c r="AS25" s="23"/>
      <c r="AT25" s="270">
        <v>121075</v>
      </c>
      <c r="AU25" s="270">
        <v>149376</v>
      </c>
      <c r="AV25" s="270">
        <v>104538</v>
      </c>
      <c r="AW25" s="270">
        <v>105262</v>
      </c>
      <c r="AX25" s="270">
        <v>121073</v>
      </c>
      <c r="AY25" s="270">
        <v>163931</v>
      </c>
      <c r="AZ25" s="270">
        <v>109964</v>
      </c>
      <c r="BA25" s="270">
        <v>148266</v>
      </c>
      <c r="BB25" s="26">
        <v>130697</v>
      </c>
      <c r="BC25" s="270">
        <v>113779</v>
      </c>
      <c r="BD25" s="270">
        <v>91119</v>
      </c>
      <c r="BE25" s="270">
        <v>103286</v>
      </c>
      <c r="BF25" s="22">
        <f t="shared" si="13"/>
        <v>103286</v>
      </c>
      <c r="BG25" s="27"/>
      <c r="BH25" s="270">
        <v>49631</v>
      </c>
      <c r="BI25" s="270">
        <v>52953</v>
      </c>
      <c r="BJ25" s="270">
        <v>28440</v>
      </c>
      <c r="BK25" s="270">
        <v>83601</v>
      </c>
      <c r="BL25" s="22">
        <v>25812</v>
      </c>
      <c r="BM25" s="22">
        <v>59545</v>
      </c>
      <c r="BN25" s="22">
        <v>83435</v>
      </c>
      <c r="BO25" s="22">
        <v>34041</v>
      </c>
      <c r="BP25" s="22">
        <v>22399</v>
      </c>
      <c r="BQ25" s="22">
        <v>24887</v>
      </c>
      <c r="BR25" s="22">
        <v>12183</v>
      </c>
      <c r="BS25" s="22">
        <v>12183</v>
      </c>
      <c r="BT25" s="22">
        <f t="shared" si="40"/>
        <v>12183</v>
      </c>
      <c r="BU25" s="28"/>
      <c r="BV25" s="270"/>
      <c r="BW25" s="270"/>
      <c r="BX25" s="270"/>
      <c r="BY25" s="270"/>
      <c r="BZ25" s="22"/>
      <c r="CA25" s="22"/>
      <c r="CB25" s="22"/>
      <c r="CC25" s="22"/>
      <c r="CD25" s="22">
        <v>6361</v>
      </c>
      <c r="CE25" s="22">
        <v>7759</v>
      </c>
      <c r="CF25" s="22">
        <v>6573</v>
      </c>
      <c r="CG25" s="22">
        <v>9541</v>
      </c>
      <c r="CH25" s="22">
        <f t="shared" si="39"/>
        <v>9541</v>
      </c>
      <c r="CI25">
        <f>CI20+CI23-CI24</f>
        <v>122500</v>
      </c>
      <c r="CJ25" s="270">
        <v>9582</v>
      </c>
      <c r="CK25" s="270">
        <v>7266</v>
      </c>
      <c r="CL25" s="270">
        <v>11364</v>
      </c>
      <c r="CM25" s="270">
        <v>10698</v>
      </c>
      <c r="CN25" s="22"/>
      <c r="CO25" s="22"/>
      <c r="CP25" s="22"/>
      <c r="CQ25" s="22"/>
      <c r="CR25" s="22"/>
      <c r="CS25" s="22">
        <v>2650</v>
      </c>
      <c r="CT25" s="22"/>
      <c r="CU25" s="22"/>
      <c r="CV25" s="22">
        <v>0</v>
      </c>
      <c r="CW25" s="758"/>
      <c r="CX25" s="871">
        <v>13676</v>
      </c>
      <c r="CY25" s="871">
        <v>12313</v>
      </c>
      <c r="CZ25" s="871"/>
      <c r="DA25" s="871"/>
      <c r="DB25" s="870"/>
      <c r="DC25" s="870"/>
      <c r="DD25" s="870"/>
      <c r="DE25" s="870"/>
      <c r="DF25" s="870"/>
      <c r="DG25" s="870"/>
      <c r="DH25" s="870"/>
      <c r="DI25" s="870"/>
      <c r="DJ25" s="844">
        <v>0</v>
      </c>
      <c r="DK25" s="948"/>
      <c r="DL25" s="871"/>
      <c r="DM25" s="871"/>
      <c r="DN25" s="871"/>
      <c r="DO25" s="871"/>
      <c r="DP25" s="870"/>
      <c r="DQ25" s="870"/>
      <c r="DR25" s="870"/>
      <c r="DS25" s="870"/>
      <c r="DT25" s="870"/>
      <c r="DU25" s="870"/>
      <c r="DV25" s="870"/>
      <c r="DW25" s="870"/>
      <c r="DX25" s="22">
        <v>0</v>
      </c>
    </row>
    <row r="26" spans="1:128" ht="18.75" hidden="1">
      <c r="A26" s="19">
        <v>1</v>
      </c>
      <c r="B26" s="904" t="s">
        <v>38</v>
      </c>
      <c r="C26" s="905"/>
      <c r="D26" s="265">
        <v>6409</v>
      </c>
      <c r="E26" s="20">
        <v>6860</v>
      </c>
      <c r="F26" s="20">
        <v>4970</v>
      </c>
      <c r="G26" s="20">
        <v>31203</v>
      </c>
      <c r="H26" s="20">
        <v>31499</v>
      </c>
      <c r="I26" s="20">
        <v>25903</v>
      </c>
      <c r="J26" s="20">
        <v>18606</v>
      </c>
      <c r="K26" s="20">
        <v>16014</v>
      </c>
      <c r="L26" s="20">
        <v>13416</v>
      </c>
      <c r="M26" s="20">
        <v>40079</v>
      </c>
      <c r="N26" s="20"/>
      <c r="O26" s="20">
        <v>0</v>
      </c>
      <c r="P26" s="266"/>
      <c r="Q26" s="21"/>
      <c r="R26" s="265">
        <v>3376</v>
      </c>
      <c r="S26" s="22">
        <v>11736</v>
      </c>
      <c r="T26" s="22">
        <v>22454</v>
      </c>
      <c r="U26" s="22">
        <v>21384</v>
      </c>
      <c r="V26" s="22">
        <v>66870</v>
      </c>
      <c r="W26" s="22">
        <v>73769</v>
      </c>
      <c r="X26" s="22">
        <v>13944</v>
      </c>
      <c r="Y26" s="22">
        <v>32750</v>
      </c>
      <c r="Z26" s="22">
        <v>18536</v>
      </c>
      <c r="AA26" s="22">
        <v>40211</v>
      </c>
      <c r="AB26" s="22">
        <v>44457</v>
      </c>
      <c r="AC26" s="22">
        <v>24504</v>
      </c>
      <c r="AD26" s="267"/>
      <c r="AE26" s="23"/>
      <c r="AF26" s="22">
        <v>18586</v>
      </c>
      <c r="AG26" s="22">
        <v>17539</v>
      </c>
      <c r="AH26" s="22">
        <v>20245</v>
      </c>
      <c r="AI26" s="22">
        <v>17669</v>
      </c>
      <c r="AJ26" s="22">
        <v>16769</v>
      </c>
      <c r="AK26" s="22">
        <v>31134</v>
      </c>
      <c r="AL26" s="22">
        <v>35711</v>
      </c>
      <c r="AM26" s="22">
        <v>29141</v>
      </c>
      <c r="AN26" s="22">
        <v>25307</v>
      </c>
      <c r="AO26" s="22">
        <v>35964</v>
      </c>
      <c r="AP26" s="25">
        <v>37378</v>
      </c>
      <c r="AQ26" s="22">
        <v>22159</v>
      </c>
      <c r="AR26" s="22">
        <f t="shared" si="11"/>
        <v>22159</v>
      </c>
      <c r="AS26" s="23"/>
      <c r="AT26" s="22">
        <v>24034</v>
      </c>
      <c r="AU26" s="270">
        <v>22061</v>
      </c>
      <c r="AV26" s="22">
        <v>22489</v>
      </c>
      <c r="AW26" s="22">
        <v>25124</v>
      </c>
      <c r="AX26" s="22">
        <v>22794</v>
      </c>
      <c r="AY26" s="22">
        <v>17777</v>
      </c>
      <c r="AZ26" s="22">
        <v>34345</v>
      </c>
      <c r="BA26" s="22">
        <v>17580</v>
      </c>
      <c r="BB26" s="26">
        <v>26992</v>
      </c>
      <c r="BC26" s="22">
        <v>21373</v>
      </c>
      <c r="BD26" s="22">
        <v>21202</v>
      </c>
      <c r="BE26" s="22">
        <v>19109</v>
      </c>
      <c r="BF26" s="22">
        <f t="shared" si="13"/>
        <v>19109</v>
      </c>
      <c r="BG26" s="27"/>
      <c r="BH26" s="22">
        <v>22216</v>
      </c>
      <c r="BI26" s="270">
        <v>19102</v>
      </c>
      <c r="BJ26" s="22">
        <v>20676</v>
      </c>
      <c r="BK26" s="22">
        <v>19892</v>
      </c>
      <c r="BL26" s="22">
        <v>48737</v>
      </c>
      <c r="BM26" s="22">
        <v>45521</v>
      </c>
      <c r="BN26" s="22">
        <v>41781</v>
      </c>
      <c r="BO26" s="22">
        <v>48019</v>
      </c>
      <c r="BP26" s="22">
        <v>43955</v>
      </c>
      <c r="BQ26" s="22">
        <v>41505</v>
      </c>
      <c r="BR26" s="22">
        <v>28306</v>
      </c>
      <c r="BS26" s="22">
        <v>23731</v>
      </c>
      <c r="BT26" s="22">
        <f t="shared" si="40"/>
        <v>23731</v>
      </c>
      <c r="BU26" s="28"/>
      <c r="BV26" s="22">
        <v>28505</v>
      </c>
      <c r="BW26" s="270">
        <v>25054</v>
      </c>
      <c r="BX26" s="22">
        <v>24396</v>
      </c>
      <c r="BY26" s="22">
        <v>21708</v>
      </c>
      <c r="BZ26" s="22">
        <v>17857</v>
      </c>
      <c r="CA26" s="22">
        <v>33103</v>
      </c>
      <c r="CB26" s="22">
        <v>29327</v>
      </c>
      <c r="CC26" s="22">
        <v>27562</v>
      </c>
      <c r="CD26" s="22">
        <v>19590</v>
      </c>
      <c r="CE26" s="22">
        <v>11730</v>
      </c>
      <c r="CF26" s="22">
        <v>10529</v>
      </c>
      <c r="CG26" s="22">
        <v>19978</v>
      </c>
      <c r="CH26" s="22">
        <f t="shared" si="39"/>
        <v>19978</v>
      </c>
      <c r="CJ26" s="22">
        <v>18456</v>
      </c>
      <c r="CK26" s="270">
        <v>15409</v>
      </c>
      <c r="CL26" s="22">
        <v>18755</v>
      </c>
      <c r="CM26" s="22">
        <v>15399</v>
      </c>
      <c r="CN26" s="22"/>
      <c r="CO26" s="22"/>
      <c r="CP26" s="22"/>
      <c r="CQ26" s="22"/>
      <c r="CR26" s="22"/>
      <c r="CS26" s="22">
        <v>14419</v>
      </c>
      <c r="CT26" s="22"/>
      <c r="CU26" s="22"/>
      <c r="CV26" s="22">
        <v>0</v>
      </c>
      <c r="CW26" s="758"/>
      <c r="CX26" s="870"/>
      <c r="CY26" s="871"/>
      <c r="CZ26" s="870"/>
      <c r="DA26" s="870"/>
      <c r="DB26" s="870"/>
      <c r="DC26" s="870"/>
      <c r="DD26" s="870"/>
      <c r="DE26" s="870"/>
      <c r="DF26" s="870"/>
      <c r="DG26" s="870"/>
      <c r="DH26" s="870"/>
      <c r="DI26" s="870"/>
      <c r="DJ26" s="844">
        <v>0</v>
      </c>
      <c r="DK26" s="948"/>
      <c r="DL26" s="870"/>
      <c r="DM26" s="871"/>
      <c r="DN26" s="870"/>
      <c r="DO26" s="870"/>
      <c r="DP26" s="870"/>
      <c r="DQ26" s="870"/>
      <c r="DR26" s="870"/>
      <c r="DS26" s="870"/>
      <c r="DT26" s="870"/>
      <c r="DU26" s="870"/>
      <c r="DV26" s="870"/>
      <c r="DW26" s="870"/>
      <c r="DX26" s="22">
        <v>0</v>
      </c>
    </row>
    <row r="27" spans="1:128" ht="18.75" hidden="1">
      <c r="A27" s="19">
        <v>0</v>
      </c>
      <c r="B27" s="904" t="s">
        <v>39</v>
      </c>
      <c r="C27" s="905"/>
      <c r="D27" s="265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66"/>
      <c r="Q27" s="21"/>
      <c r="R27" s="265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67"/>
      <c r="AE27" s="23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5"/>
      <c r="AQ27" s="22"/>
      <c r="AR27" s="22"/>
      <c r="AS27" s="23"/>
      <c r="AT27" s="22"/>
      <c r="AU27" s="270"/>
      <c r="AV27" s="22"/>
      <c r="AW27" s="22"/>
      <c r="AX27" s="22"/>
      <c r="AY27" s="22"/>
      <c r="AZ27" s="22"/>
      <c r="BA27" s="22"/>
      <c r="BB27" s="26"/>
      <c r="BC27" s="22"/>
      <c r="BD27" s="22"/>
      <c r="BE27" s="22"/>
      <c r="BF27" s="22"/>
      <c r="BG27" s="27"/>
      <c r="BH27" s="22"/>
      <c r="BI27" s="270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8"/>
      <c r="BV27" s="22"/>
      <c r="BW27" s="270"/>
      <c r="BX27" s="22"/>
      <c r="BY27" s="22"/>
      <c r="BZ27" s="22"/>
      <c r="CA27" s="22"/>
      <c r="CB27" s="22"/>
      <c r="CC27" s="22"/>
      <c r="CD27" s="22"/>
      <c r="CE27" s="22">
        <v>34501</v>
      </c>
      <c r="CF27" s="22">
        <v>18809</v>
      </c>
      <c r="CG27" s="22">
        <v>12618</v>
      </c>
      <c r="CH27" s="22"/>
      <c r="CJ27" s="22">
        <v>11940</v>
      </c>
      <c r="CK27" s="270">
        <v>19956</v>
      </c>
      <c r="CL27" s="22">
        <v>15650</v>
      </c>
      <c r="CM27" s="22">
        <v>12005</v>
      </c>
      <c r="CN27" s="22"/>
      <c r="CO27" s="22"/>
      <c r="CP27" s="22"/>
      <c r="CQ27" s="22"/>
      <c r="CR27" s="22"/>
      <c r="CS27" s="22">
        <v>6064</v>
      </c>
      <c r="CT27" s="22"/>
      <c r="CU27" s="22"/>
      <c r="CV27" s="22"/>
      <c r="CW27" s="758"/>
      <c r="CX27" s="870"/>
      <c r="CY27" s="871"/>
      <c r="CZ27" s="870"/>
      <c r="DA27" s="870"/>
      <c r="DB27" s="870"/>
      <c r="DC27" s="870"/>
      <c r="DD27" s="870"/>
      <c r="DE27" s="870"/>
      <c r="DF27" s="870"/>
      <c r="DG27" s="870"/>
      <c r="DH27" s="870"/>
      <c r="DI27" s="870"/>
      <c r="DJ27" s="844"/>
      <c r="DK27" s="948"/>
      <c r="DL27" s="870"/>
      <c r="DM27" s="871"/>
      <c r="DN27" s="870"/>
      <c r="DO27" s="870"/>
      <c r="DP27" s="870"/>
      <c r="DQ27" s="870"/>
      <c r="DR27" s="870"/>
      <c r="DS27" s="870"/>
      <c r="DT27" s="870"/>
      <c r="DU27" s="870"/>
      <c r="DV27" s="870"/>
      <c r="DW27" s="870"/>
      <c r="DX27" s="22"/>
    </row>
    <row r="28" spans="1:128" ht="18.75" hidden="1">
      <c r="A28" s="19">
        <v>0</v>
      </c>
      <c r="B28" s="904" t="s">
        <v>40</v>
      </c>
      <c r="C28" s="905"/>
      <c r="D28" s="265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66"/>
      <c r="Q28" s="21"/>
      <c r="R28" s="265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67"/>
      <c r="AE28" s="23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5"/>
      <c r="AQ28" s="22"/>
      <c r="AR28" s="22"/>
      <c r="AS28" s="23"/>
      <c r="AT28" s="22"/>
      <c r="AU28" s="270"/>
      <c r="AV28" s="22"/>
      <c r="AW28" s="22"/>
      <c r="AX28" s="22"/>
      <c r="AY28" s="22"/>
      <c r="AZ28" s="22"/>
      <c r="BA28" s="22"/>
      <c r="BB28" s="26"/>
      <c r="BC28" s="22"/>
      <c r="BD28" s="22"/>
      <c r="BE28" s="22"/>
      <c r="BF28" s="22"/>
      <c r="BG28" s="27"/>
      <c r="BH28" s="22"/>
      <c r="BI28" s="270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8"/>
      <c r="BV28" s="22"/>
      <c r="BW28" s="270"/>
      <c r="BX28" s="22"/>
      <c r="BY28" s="22"/>
      <c r="BZ28" s="22"/>
      <c r="CA28" s="22"/>
      <c r="CB28" s="22"/>
      <c r="CC28" s="22"/>
      <c r="CD28" s="22"/>
      <c r="CE28" s="22">
        <v>12837</v>
      </c>
      <c r="CF28" s="22">
        <v>11839</v>
      </c>
      <c r="CG28" s="22">
        <v>20519</v>
      </c>
      <c r="CH28" s="22"/>
      <c r="CJ28" s="22">
        <v>17816</v>
      </c>
      <c r="CK28" s="270">
        <v>17432</v>
      </c>
      <c r="CL28" s="22">
        <v>21670</v>
      </c>
      <c r="CM28" s="22">
        <v>19092</v>
      </c>
      <c r="CN28" s="22"/>
      <c r="CO28" s="22"/>
      <c r="CP28" s="22"/>
      <c r="CQ28" s="22"/>
      <c r="CR28" s="22"/>
      <c r="CS28" s="22">
        <v>20858</v>
      </c>
      <c r="CT28" s="22"/>
      <c r="CU28" s="22"/>
      <c r="CV28" s="22"/>
      <c r="CW28" s="758"/>
      <c r="CX28" s="870"/>
      <c r="CY28" s="871"/>
      <c r="CZ28" s="870"/>
      <c r="DA28" s="870"/>
      <c r="DB28" s="870"/>
      <c r="DC28" s="870"/>
      <c r="DD28" s="870"/>
      <c r="DE28" s="870"/>
      <c r="DF28" s="870"/>
      <c r="DG28" s="870"/>
      <c r="DH28" s="870"/>
      <c r="DI28" s="870"/>
      <c r="DJ28" s="844"/>
      <c r="DK28" s="948"/>
      <c r="DL28" s="870"/>
      <c r="DM28" s="871"/>
      <c r="DN28" s="870"/>
      <c r="DO28" s="870"/>
      <c r="DP28" s="870"/>
      <c r="DQ28" s="870"/>
      <c r="DR28" s="870"/>
      <c r="DS28" s="870"/>
      <c r="DT28" s="870"/>
      <c r="DU28" s="870"/>
      <c r="DV28" s="870"/>
      <c r="DW28" s="870"/>
      <c r="DX28" s="22"/>
    </row>
    <row r="29" spans="1:128" ht="18.75" hidden="1">
      <c r="A29" s="13" t="s">
        <v>42</v>
      </c>
      <c r="B29" s="908"/>
      <c r="C29" s="909" t="s">
        <v>43</v>
      </c>
      <c r="D29" s="277">
        <f>D20-D24</f>
        <v>162884</v>
      </c>
      <c r="E29" s="33">
        <f>E20+E26-E24-E67</f>
        <v>200610</v>
      </c>
      <c r="F29" s="33">
        <f>F20+F26-F24-F67</f>
        <v>192475</v>
      </c>
      <c r="G29" s="33">
        <f>G20+G26-G24-G67</f>
        <v>231853</v>
      </c>
      <c r="H29" s="33">
        <f>H20+H26-H24-H67</f>
        <v>253292</v>
      </c>
      <c r="I29" s="33">
        <f>I20+I26-I24-I67</f>
        <v>305688</v>
      </c>
      <c r="J29" s="33">
        <f>J20+J26-J24-J67</f>
        <v>355297</v>
      </c>
      <c r="K29" s="33">
        <f>K20+K26-K24-K67</f>
        <v>367201</v>
      </c>
      <c r="L29" s="33">
        <f>L20+L26-L24-L67</f>
        <v>407523</v>
      </c>
      <c r="M29" s="33">
        <f>M20+M26-M24-M67</f>
        <v>297747</v>
      </c>
      <c r="N29" s="33">
        <f>N20+N26-N24-N67</f>
        <v>0</v>
      </c>
      <c r="O29" s="33">
        <f>O20+O26-O24-O67</f>
        <v>143875</v>
      </c>
      <c r="P29" s="262">
        <f>J29</f>
        <v>355297</v>
      </c>
      <c r="Q29" s="15"/>
      <c r="R29" s="277">
        <f>R20-R24</f>
        <v>172568</v>
      </c>
      <c r="S29" s="14">
        <f>S20+S26-S24-S67</f>
        <v>244205</v>
      </c>
      <c r="T29" s="14">
        <f>T20+T26-T24-T67</f>
        <v>237108</v>
      </c>
      <c r="U29" s="14">
        <f>U20+U26-U24-U67</f>
        <v>222510</v>
      </c>
      <c r="V29" s="14">
        <f>V20+V26-V24-V67</f>
        <v>179647</v>
      </c>
      <c r="W29" s="14">
        <f>W20+W26-W24-W67</f>
        <v>289587</v>
      </c>
      <c r="X29" s="14">
        <f>X20+X26-X24-X67</f>
        <v>281331</v>
      </c>
      <c r="Y29" s="14">
        <f>Y20+Y26-Y24-Y67</f>
        <v>325686</v>
      </c>
      <c r="Z29" s="14">
        <f>Z20+Z26-Z24-Z67</f>
        <v>319329</v>
      </c>
      <c r="AA29" s="14">
        <f>AA20+AA26-AA24-AA67</f>
        <v>268663</v>
      </c>
      <c r="AB29" s="14">
        <f>AB20+AB26-AB24-AB67</f>
        <v>187543</v>
      </c>
      <c r="AC29" s="14">
        <f>AC20+AC26-AC24-AC67</f>
        <v>196995</v>
      </c>
      <c r="AD29" s="263">
        <f>X29</f>
        <v>281331</v>
      </c>
      <c r="AE29" s="16"/>
      <c r="AF29" s="14">
        <f t="shared" ref="AF29:AQ29" si="41">AF20+AF24+AF23</f>
        <v>228387</v>
      </c>
      <c r="AG29" s="14">
        <f t="shared" si="41"/>
        <v>263548</v>
      </c>
      <c r="AH29" s="14">
        <f t="shared" si="41"/>
        <v>366224</v>
      </c>
      <c r="AI29" s="14">
        <f t="shared" si="41"/>
        <v>361348</v>
      </c>
      <c r="AJ29" s="14">
        <f t="shared" si="41"/>
        <v>384008</v>
      </c>
      <c r="AK29" s="14">
        <f t="shared" si="41"/>
        <v>434489</v>
      </c>
      <c r="AL29" s="14">
        <f t="shared" si="41"/>
        <v>436438</v>
      </c>
      <c r="AM29" s="14">
        <f t="shared" si="41"/>
        <v>463198</v>
      </c>
      <c r="AN29" s="14">
        <f t="shared" si="41"/>
        <v>425121</v>
      </c>
      <c r="AO29" s="14">
        <f t="shared" si="41"/>
        <v>355477</v>
      </c>
      <c r="AP29" s="14">
        <f t="shared" si="41"/>
        <v>288104</v>
      </c>
      <c r="AQ29" s="14">
        <f t="shared" si="41"/>
        <v>298855</v>
      </c>
      <c r="AR29" s="14">
        <f t="shared" si="11"/>
        <v>298855</v>
      </c>
      <c r="AS29" s="17"/>
      <c r="AT29" s="14">
        <f t="shared" ref="AT29:BE29" si="42">AT20+AT24+AT23</f>
        <v>326269</v>
      </c>
      <c r="AU29" s="14">
        <f t="shared" si="42"/>
        <v>301870</v>
      </c>
      <c r="AV29" s="14">
        <f t="shared" si="42"/>
        <v>285491</v>
      </c>
      <c r="AW29" s="14">
        <f t="shared" si="42"/>
        <v>267653</v>
      </c>
      <c r="AX29" s="14">
        <f t="shared" si="42"/>
        <v>273960</v>
      </c>
      <c r="AY29" s="14">
        <f t="shared" si="42"/>
        <v>326260</v>
      </c>
      <c r="AZ29" s="14">
        <f t="shared" si="42"/>
        <v>333221</v>
      </c>
      <c r="BA29" s="14">
        <f t="shared" si="42"/>
        <v>354862</v>
      </c>
      <c r="BB29" s="14">
        <f t="shared" si="42"/>
        <v>348162</v>
      </c>
      <c r="BC29" s="14">
        <f t="shared" si="42"/>
        <v>319093</v>
      </c>
      <c r="BD29" s="14">
        <f t="shared" si="42"/>
        <v>293379</v>
      </c>
      <c r="BE29" s="14">
        <f t="shared" si="42"/>
        <v>234110</v>
      </c>
      <c r="BF29" s="32">
        <f t="shared" ref="BF29:BF30" si="43">SUM(AT29:BE29)</f>
        <v>3664330</v>
      </c>
      <c r="BG29" s="17"/>
      <c r="BH29" s="14">
        <f t="shared" ref="BH29:BS29" si="44">BH20+BH24+BH23</f>
        <v>285296</v>
      </c>
      <c r="BI29" s="14">
        <f t="shared" si="44"/>
        <v>282956</v>
      </c>
      <c r="BJ29" s="14">
        <f t="shared" si="44"/>
        <v>295165</v>
      </c>
      <c r="BK29" s="14">
        <f t="shared" si="44"/>
        <v>286135</v>
      </c>
      <c r="BL29" s="14">
        <f t="shared" si="44"/>
        <v>250340</v>
      </c>
      <c r="BM29" s="14">
        <f t="shared" si="44"/>
        <v>247600</v>
      </c>
      <c r="BN29" s="14">
        <f t="shared" si="44"/>
        <v>293505</v>
      </c>
      <c r="BO29" s="14">
        <f t="shared" si="44"/>
        <v>274542</v>
      </c>
      <c r="BP29" s="14">
        <f t="shared" si="44"/>
        <v>260352</v>
      </c>
      <c r="BQ29" s="14">
        <f>BQ20+BQ24+BQ23</f>
        <v>238595</v>
      </c>
      <c r="BR29" s="14">
        <f t="shared" si="44"/>
        <v>187546</v>
      </c>
      <c r="BS29" s="14">
        <f t="shared" si="44"/>
        <v>189617</v>
      </c>
      <c r="BT29" s="14">
        <f t="shared" si="40"/>
        <v>189617</v>
      </c>
      <c r="BU29" s="18"/>
      <c r="BV29" s="14">
        <f>BV20+BV24+BV23</f>
        <v>171889</v>
      </c>
      <c r="BW29" s="14">
        <f>BW20+BW26+BW23</f>
        <v>193178</v>
      </c>
      <c r="BX29" s="14">
        <f>BX20+BX24+BX23</f>
        <v>228367</v>
      </c>
      <c r="BY29" s="14">
        <f>BY20+BY24+BY23</f>
        <v>261297</v>
      </c>
      <c r="BZ29" s="14">
        <f>BZ20+BZ24+BZ23</f>
        <v>277757</v>
      </c>
      <c r="CA29" s="14">
        <f>CA20+CA24+CA23</f>
        <v>329719</v>
      </c>
      <c r="CB29" s="14">
        <f>CB20+CB24+CB23</f>
        <v>316656</v>
      </c>
      <c r="CC29" s="14">
        <f>CC20+CC24+CC23</f>
        <v>290388</v>
      </c>
      <c r="CD29" s="14">
        <f>CD20+CD24+CD23</f>
        <v>185778</v>
      </c>
      <c r="CE29" s="14">
        <f>CE20+CE24+CE23</f>
        <v>153110</v>
      </c>
      <c r="CF29" s="14">
        <f>CF20+CF24+CF23</f>
        <v>170562</v>
      </c>
      <c r="CG29" s="14">
        <f>CG20+CG24+CG23</f>
        <v>167396</v>
      </c>
      <c r="CH29" s="14">
        <f t="shared" si="39"/>
        <v>167396</v>
      </c>
      <c r="CJ29" s="14">
        <v>224424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758"/>
      <c r="CX29" s="873">
        <v>224424</v>
      </c>
      <c r="CY29" s="873">
        <v>0</v>
      </c>
      <c r="CZ29" s="873">
        <v>0</v>
      </c>
      <c r="DA29" s="873">
        <v>0</v>
      </c>
      <c r="DB29" s="873">
        <v>0</v>
      </c>
      <c r="DC29" s="873">
        <v>0</v>
      </c>
      <c r="DD29" s="873">
        <v>0</v>
      </c>
      <c r="DE29" s="873">
        <v>0</v>
      </c>
      <c r="DF29" s="873">
        <v>0</v>
      </c>
      <c r="DG29" s="873">
        <v>0</v>
      </c>
      <c r="DH29" s="873">
        <v>0</v>
      </c>
      <c r="DI29" s="873">
        <v>0</v>
      </c>
      <c r="DJ29" s="844">
        <v>0</v>
      </c>
      <c r="DK29" s="948"/>
      <c r="DL29" s="873">
        <v>224424</v>
      </c>
      <c r="DM29" s="873">
        <v>0</v>
      </c>
      <c r="DN29" s="873">
        <v>0</v>
      </c>
      <c r="DO29" s="873">
        <v>0</v>
      </c>
      <c r="DP29" s="873">
        <v>0</v>
      </c>
      <c r="DQ29" s="873">
        <v>0</v>
      </c>
      <c r="DR29" s="873">
        <v>0</v>
      </c>
      <c r="DS29" s="873">
        <v>0</v>
      </c>
      <c r="DT29" s="873">
        <v>0</v>
      </c>
      <c r="DU29" s="873">
        <v>0</v>
      </c>
      <c r="DV29" s="873">
        <v>0</v>
      </c>
      <c r="DW29" s="873">
        <v>0</v>
      </c>
      <c r="DX29" s="14">
        <v>0</v>
      </c>
    </row>
    <row r="30" spans="1:128" ht="18.75" hidden="1">
      <c r="A30" s="34" t="s">
        <v>44</v>
      </c>
      <c r="B30" s="910"/>
      <c r="C30" s="911" t="s">
        <v>45</v>
      </c>
      <c r="D30" s="277">
        <f t="shared" ref="D30:O30" si="45">D10-D26-D24</f>
        <v>264261</v>
      </c>
      <c r="E30" s="33">
        <f t="shared" si="45"/>
        <v>275849</v>
      </c>
      <c r="F30" s="33">
        <f t="shared" si="45"/>
        <v>280253</v>
      </c>
      <c r="G30" s="33">
        <f t="shared" si="45"/>
        <v>256146</v>
      </c>
      <c r="H30" s="33">
        <f t="shared" si="45"/>
        <v>282462</v>
      </c>
      <c r="I30" s="33">
        <f t="shared" si="45"/>
        <v>336508</v>
      </c>
      <c r="J30" s="33">
        <f t="shared" si="45"/>
        <v>394861</v>
      </c>
      <c r="K30" s="33">
        <f t="shared" si="45"/>
        <v>399944</v>
      </c>
      <c r="L30" s="33">
        <f t="shared" si="45"/>
        <v>403515</v>
      </c>
      <c r="M30" s="33">
        <f t="shared" si="45"/>
        <v>254037</v>
      </c>
      <c r="N30" s="33">
        <f t="shared" si="45"/>
        <v>0</v>
      </c>
      <c r="O30" s="33">
        <f t="shared" si="45"/>
        <v>188264</v>
      </c>
      <c r="P30" s="262">
        <f t="shared" ref="P30:P31" si="46">O30</f>
        <v>188264</v>
      </c>
      <c r="Q30" s="15"/>
      <c r="R30" s="277">
        <f t="shared" ref="R30:AC30" si="47">R10-R26-R24</f>
        <v>244467</v>
      </c>
      <c r="S30" s="14">
        <f t="shared" si="47"/>
        <v>295020</v>
      </c>
      <c r="T30" s="14">
        <f t="shared" si="47"/>
        <v>254796</v>
      </c>
      <c r="U30" s="14">
        <f t="shared" si="47"/>
        <v>240747</v>
      </c>
      <c r="V30" s="14">
        <f t="shared" si="47"/>
        <v>104747</v>
      </c>
      <c r="W30" s="14">
        <f t="shared" si="47"/>
        <v>162106</v>
      </c>
      <c r="X30" s="14">
        <f t="shared" si="47"/>
        <v>340068</v>
      </c>
      <c r="Y30" s="14">
        <f t="shared" si="47"/>
        <v>322792</v>
      </c>
      <c r="Z30" s="14">
        <f t="shared" si="47"/>
        <v>330677</v>
      </c>
      <c r="AA30" s="14">
        <f t="shared" si="47"/>
        <v>229141</v>
      </c>
      <c r="AB30" s="14">
        <f t="shared" si="47"/>
        <v>126169</v>
      </c>
      <c r="AC30" s="14">
        <f t="shared" si="47"/>
        <v>173047</v>
      </c>
      <c r="AD30" s="263">
        <f t="shared" ref="AD30:AD31" si="48">AC30</f>
        <v>173047</v>
      </c>
      <c r="AE30" s="16"/>
      <c r="AF30" s="261">
        <f>AF29-AF24</f>
        <v>220021</v>
      </c>
      <c r="AG30" s="261">
        <f>AG29-AG24</f>
        <v>252014</v>
      </c>
      <c r="AH30" s="261">
        <f>AH29-AH24</f>
        <v>354717</v>
      </c>
      <c r="AI30" s="261">
        <f>AI29-AI24</f>
        <v>352200</v>
      </c>
      <c r="AJ30" s="261">
        <f>AJ29-AJ24</f>
        <v>375484</v>
      </c>
      <c r="AK30" s="261">
        <f>AK29-AK24</f>
        <v>409199</v>
      </c>
      <c r="AL30" s="261">
        <f>AL29-AL24</f>
        <v>345358</v>
      </c>
      <c r="AM30" s="261">
        <f>AM29-AM24</f>
        <v>396368</v>
      </c>
      <c r="AN30" s="261">
        <f>AN29-AN24</f>
        <v>388255</v>
      </c>
      <c r="AO30" s="261">
        <f>AO29-AO24</f>
        <v>339304</v>
      </c>
      <c r="AP30" s="261">
        <f>AP29-AP24</f>
        <v>109830</v>
      </c>
      <c r="AQ30" s="261">
        <f>AQ29-AQ24</f>
        <v>88190</v>
      </c>
      <c r="AR30" s="14">
        <f t="shared" si="11"/>
        <v>88190</v>
      </c>
      <c r="AS30" s="17"/>
      <c r="AT30" s="261">
        <f>AT29-AT24</f>
        <v>205194</v>
      </c>
      <c r="AU30" s="261">
        <f>AU29-AU24</f>
        <v>152494</v>
      </c>
      <c r="AV30" s="261">
        <f>AV29-AV24</f>
        <v>180953</v>
      </c>
      <c r="AW30" s="261">
        <f>AW29-AW24</f>
        <v>162391</v>
      </c>
      <c r="AX30" s="261">
        <f>AX29-AX24</f>
        <v>152887</v>
      </c>
      <c r="AY30" s="261">
        <f>AY29-AY24</f>
        <v>162329</v>
      </c>
      <c r="AZ30" s="261">
        <f>AZ29-AZ24</f>
        <v>223257</v>
      </c>
      <c r="BA30" s="261">
        <f>BA29-BA24</f>
        <v>206596</v>
      </c>
      <c r="BB30" s="261">
        <f>BB29-BB24</f>
        <v>217465</v>
      </c>
      <c r="BC30" s="261">
        <f>BC29-BC24</f>
        <v>205314</v>
      </c>
      <c r="BD30" s="261">
        <f>BD29-BD24</f>
        <v>202260</v>
      </c>
      <c r="BE30" s="261">
        <f>BE29-BE24</f>
        <v>130824</v>
      </c>
      <c r="BF30" s="32">
        <f t="shared" si="43"/>
        <v>2201964</v>
      </c>
      <c r="BG30" s="35">
        <f>SUM(AT34:AY34)/SUM(AF68:AK68)-1</f>
        <v>0.2283258050797119</v>
      </c>
      <c r="BH30" s="416">
        <f>BH29-BH24</f>
        <v>235665</v>
      </c>
      <c r="BI30" s="416">
        <f>BI29-BI24</f>
        <v>230003</v>
      </c>
      <c r="BJ30" s="416">
        <f>BJ29-BJ24</f>
        <v>266725</v>
      </c>
      <c r="BK30" s="416">
        <f>BK29-BK24</f>
        <v>202534</v>
      </c>
      <c r="BL30" s="417">
        <f>BL29-BL24</f>
        <v>224528</v>
      </c>
      <c r="BM30" s="417">
        <f>BM29-BM24</f>
        <v>188055</v>
      </c>
      <c r="BN30" s="417">
        <f>BN29-BN24</f>
        <v>210070</v>
      </c>
      <c r="BO30" s="417">
        <f>BO29-BO24</f>
        <v>240501</v>
      </c>
      <c r="BP30" s="417">
        <f>BP29-BP24</f>
        <v>237953</v>
      </c>
      <c r="BQ30" s="417">
        <f>BQ29-BQ24</f>
        <v>213708</v>
      </c>
      <c r="BR30" s="417">
        <f>BR29-BR24</f>
        <v>175363</v>
      </c>
      <c r="BS30" s="417">
        <f>BS29-BS24</f>
        <v>177434</v>
      </c>
      <c r="BT30" s="417">
        <f t="shared" si="40"/>
        <v>177434</v>
      </c>
      <c r="BU30" s="18"/>
      <c r="BV30" s="261">
        <f>BV29-BV24</f>
        <v>166673</v>
      </c>
      <c r="BW30" s="261">
        <f>BW29-BW24</f>
        <v>193178</v>
      </c>
      <c r="BX30" s="261">
        <f>BX29-BX24</f>
        <v>163094</v>
      </c>
      <c r="BY30" s="416">
        <f>BY29-BY24</f>
        <v>191115</v>
      </c>
      <c r="BZ30" s="417">
        <f>BZ29-BZ24</f>
        <v>220098</v>
      </c>
      <c r="CA30" s="417">
        <f>CA29-CA24</f>
        <v>258050</v>
      </c>
      <c r="CB30" s="417">
        <f>CB29-CB24</f>
        <v>243578</v>
      </c>
      <c r="CC30" s="417">
        <f>CC29-CC24</f>
        <v>205086</v>
      </c>
      <c r="CD30" s="417">
        <f>CD29-CD24</f>
        <v>160435</v>
      </c>
      <c r="CE30" s="417">
        <f>CE29-CE24</f>
        <v>134080</v>
      </c>
      <c r="CF30" s="417">
        <f>CF29-CF24</f>
        <v>151140</v>
      </c>
      <c r="CG30" s="417">
        <f>CG29-CG24</f>
        <v>141469</v>
      </c>
      <c r="CH30" s="417">
        <f t="shared" si="39"/>
        <v>141469</v>
      </c>
      <c r="CJ30" s="261">
        <v>219208</v>
      </c>
      <c r="CK30" s="261">
        <v>0</v>
      </c>
      <c r="CL30" s="261">
        <v>0</v>
      </c>
      <c r="CM30" s="416">
        <v>0</v>
      </c>
      <c r="CN30" s="417">
        <v>0</v>
      </c>
      <c r="CO30" s="417">
        <v>0</v>
      </c>
      <c r="CP30" s="417">
        <v>0</v>
      </c>
      <c r="CQ30" s="417">
        <v>0</v>
      </c>
      <c r="CR30" s="417">
        <v>0</v>
      </c>
      <c r="CS30" s="417">
        <v>0</v>
      </c>
      <c r="CT30" s="417">
        <v>0</v>
      </c>
      <c r="CU30" s="417">
        <v>0</v>
      </c>
      <c r="CV30" s="417">
        <v>0</v>
      </c>
      <c r="CW30" s="758"/>
      <c r="CX30" s="874">
        <v>219208</v>
      </c>
      <c r="CY30" s="874">
        <v>0</v>
      </c>
      <c r="CZ30" s="874">
        <v>0</v>
      </c>
      <c r="DA30" s="875">
        <v>0</v>
      </c>
      <c r="DB30" s="876">
        <v>0</v>
      </c>
      <c r="DC30" s="876">
        <v>0</v>
      </c>
      <c r="DD30" s="876">
        <v>0</v>
      </c>
      <c r="DE30" s="876">
        <v>0</v>
      </c>
      <c r="DF30" s="876">
        <v>0</v>
      </c>
      <c r="DG30" s="876">
        <v>0</v>
      </c>
      <c r="DH30" s="876">
        <v>0</v>
      </c>
      <c r="DI30" s="876">
        <v>0</v>
      </c>
      <c r="DJ30" s="844">
        <v>0</v>
      </c>
      <c r="DK30" s="948"/>
      <c r="DL30" s="874">
        <v>219208</v>
      </c>
      <c r="DM30" s="874">
        <v>0</v>
      </c>
      <c r="DN30" s="874">
        <v>0</v>
      </c>
      <c r="DO30" s="875">
        <v>0</v>
      </c>
      <c r="DP30" s="876">
        <v>0</v>
      </c>
      <c r="DQ30" s="876">
        <v>0</v>
      </c>
      <c r="DR30" s="876">
        <v>0</v>
      </c>
      <c r="DS30" s="876">
        <v>0</v>
      </c>
      <c r="DT30" s="876">
        <v>0</v>
      </c>
      <c r="DU30" s="876">
        <v>0</v>
      </c>
      <c r="DV30" s="876">
        <v>0</v>
      </c>
      <c r="DW30" s="876">
        <v>0</v>
      </c>
      <c r="DX30" s="417">
        <v>0</v>
      </c>
    </row>
    <row r="31" spans="1:128" s="748" customFormat="1" ht="18.75" hidden="1">
      <c r="A31" s="739" t="s">
        <v>120</v>
      </c>
      <c r="B31" s="736"/>
      <c r="C31" s="737" t="s">
        <v>47</v>
      </c>
      <c r="D31" s="738">
        <f t="shared" ref="D31:O31" si="49">D10</f>
        <v>304786</v>
      </c>
      <c r="E31" s="740">
        <f t="shared" si="49"/>
        <v>311986</v>
      </c>
      <c r="F31" s="740">
        <f t="shared" si="49"/>
        <v>328231</v>
      </c>
      <c r="G31" s="740">
        <f t="shared" si="49"/>
        <v>317873</v>
      </c>
      <c r="H31" s="740">
        <f t="shared" si="49"/>
        <v>347196</v>
      </c>
      <c r="I31" s="740">
        <f t="shared" si="49"/>
        <v>402253</v>
      </c>
      <c r="J31" s="740">
        <f t="shared" si="49"/>
        <v>454488</v>
      </c>
      <c r="K31" s="740">
        <f t="shared" si="49"/>
        <v>447182</v>
      </c>
      <c r="L31" s="740">
        <f t="shared" si="49"/>
        <v>416931</v>
      </c>
      <c r="M31" s="740">
        <f t="shared" si="49"/>
        <v>304402</v>
      </c>
      <c r="N31" s="740">
        <f t="shared" si="49"/>
        <v>0</v>
      </c>
      <c r="O31" s="740">
        <f t="shared" si="49"/>
        <v>188264</v>
      </c>
      <c r="P31" s="741">
        <f t="shared" si="46"/>
        <v>188264</v>
      </c>
      <c r="Q31" s="742"/>
      <c r="R31" s="743">
        <f t="shared" ref="R31:AC31" si="50">R10</f>
        <v>283359</v>
      </c>
      <c r="S31" s="744">
        <f t="shared" si="50"/>
        <v>342718</v>
      </c>
      <c r="T31" s="744">
        <f t="shared" si="50"/>
        <v>313212</v>
      </c>
      <c r="U31" s="744">
        <f t="shared" si="50"/>
        <v>298093</v>
      </c>
      <c r="V31" s="744">
        <f t="shared" si="50"/>
        <v>206617</v>
      </c>
      <c r="W31" s="744">
        <f t="shared" si="50"/>
        <v>235875</v>
      </c>
      <c r="X31" s="744">
        <f t="shared" si="50"/>
        <v>360135</v>
      </c>
      <c r="Y31" s="744">
        <f t="shared" si="50"/>
        <v>361665</v>
      </c>
      <c r="Z31" s="744">
        <f t="shared" si="50"/>
        <v>353400</v>
      </c>
      <c r="AA31" s="744">
        <f t="shared" si="50"/>
        <v>272097</v>
      </c>
      <c r="AB31" s="744">
        <f t="shared" si="50"/>
        <v>170626</v>
      </c>
      <c r="AC31" s="744">
        <f t="shared" si="50"/>
        <v>197551</v>
      </c>
      <c r="AD31" s="745">
        <f t="shared" si="48"/>
        <v>197551</v>
      </c>
      <c r="AE31" s="746"/>
      <c r="AF31" s="744">
        <f>AF10-AF67</f>
        <v>255339</v>
      </c>
      <c r="AG31" s="744">
        <f>AG10-AG67</f>
        <v>292621</v>
      </c>
      <c r="AH31" s="744">
        <f>AH10-AH67</f>
        <v>397976</v>
      </c>
      <c r="AI31" s="744">
        <f>AI10-AI67</f>
        <v>388165</v>
      </c>
      <c r="AJ31" s="744">
        <f>AJ10-AJ67</f>
        <v>409301</v>
      </c>
      <c r="AK31" s="744">
        <f>AK10-AK67</f>
        <v>490913</v>
      </c>
      <c r="AL31" s="744">
        <f>AL10-AL67</f>
        <v>563229</v>
      </c>
      <c r="AM31" s="744">
        <f>AM10-AM67</f>
        <v>559169</v>
      </c>
      <c r="AN31" s="744">
        <f>AN10-AN67</f>
        <v>487294</v>
      </c>
      <c r="AO31" s="744">
        <f>AO10-AO67</f>
        <v>407614</v>
      </c>
      <c r="AP31" s="744">
        <f>AP10-AP67</f>
        <v>503756</v>
      </c>
      <c r="AQ31" s="744">
        <f>AQ10-AQ67</f>
        <v>522741</v>
      </c>
      <c r="AR31" s="744">
        <f t="shared" si="11"/>
        <v>522741</v>
      </c>
      <c r="AS31" s="746"/>
      <c r="AT31" s="744">
        <f>AT10-AT67</f>
        <v>364736</v>
      </c>
      <c r="AU31" s="744">
        <f>AU10-AU67</f>
        <v>382608</v>
      </c>
      <c r="AV31" s="744">
        <f>AV10-AV67</f>
        <v>322837</v>
      </c>
      <c r="AW31" s="744">
        <f>AW10-AW67</f>
        <v>339249</v>
      </c>
      <c r="AX31" s="744">
        <f>AX10-AX67</f>
        <v>382307</v>
      </c>
      <c r="AY31" s="744">
        <f>AY10-AY67</f>
        <v>446417</v>
      </c>
      <c r="AZ31" s="744">
        <f>AZ10-AZ67</f>
        <v>406019</v>
      </c>
      <c r="BA31" s="744">
        <f>BA10-BA67</f>
        <v>457091</v>
      </c>
      <c r="BB31" s="744">
        <f>BB10-BB67</f>
        <v>439103</v>
      </c>
      <c r="BC31" s="744">
        <f>BB31-BC34+BC81-BC67</f>
        <v>267702.70924434217</v>
      </c>
      <c r="BD31" s="744">
        <f>BC31-BD34+BD81-BD67</f>
        <v>224792.12236286921</v>
      </c>
      <c r="BE31" s="744">
        <f>BD31-BE34+BE81-BE67</f>
        <v>209302.50939777523</v>
      </c>
      <c r="BF31" s="744">
        <f>BE31</f>
        <v>209302.50939777523</v>
      </c>
      <c r="BG31" s="747">
        <f>BG34/AR34</f>
        <v>7.0333736034655189E-2</v>
      </c>
      <c r="BH31" s="744">
        <f>BH10-BH67</f>
        <v>287739</v>
      </c>
      <c r="BI31" s="744">
        <f>BI10-BI67</f>
        <v>274599</v>
      </c>
      <c r="BJ31" s="744">
        <f>BJ10-BJ67</f>
        <v>249895</v>
      </c>
      <c r="BK31" s="744">
        <f>BK10-BK67</f>
        <v>311315</v>
      </c>
      <c r="BL31" s="744">
        <f>BL10-BL67</f>
        <v>277855</v>
      </c>
      <c r="BM31" s="744">
        <f>BM10-BM67</f>
        <v>301815</v>
      </c>
      <c r="BN31" s="744">
        <f>BN10-BN67</f>
        <v>325519</v>
      </c>
      <c r="BO31" s="744">
        <f>BO10-BO67</f>
        <v>255915</v>
      </c>
      <c r="BP31" s="744">
        <f>BP10-BP67</f>
        <v>198711</v>
      </c>
      <c r="BQ31" s="744">
        <f>BQ10-BQ67</f>
        <v>182301</v>
      </c>
      <c r="BR31" s="744">
        <f>BR10-BR67</f>
        <v>228035</v>
      </c>
      <c r="BS31" s="744">
        <f>BS10-BS67</f>
        <v>201165</v>
      </c>
      <c r="BT31" s="744">
        <f t="shared" si="40"/>
        <v>201165</v>
      </c>
      <c r="BU31" s="746"/>
      <c r="BV31" s="744">
        <f>BV10-BV67</f>
        <v>247713</v>
      </c>
      <c r="BW31" s="744">
        <f>BW10-BW67</f>
        <v>278707</v>
      </c>
      <c r="BX31" s="744">
        <f>BX10-BX67</f>
        <v>281829</v>
      </c>
      <c r="BY31" s="744">
        <f>BY10-BY67</f>
        <v>317753</v>
      </c>
      <c r="BZ31" s="744">
        <f>BZ10-BZ67</f>
        <v>270339</v>
      </c>
      <c r="CA31" s="744">
        <f>CA10-CA67</f>
        <v>310383</v>
      </c>
      <c r="CB31" s="744">
        <f>CB10-CB67</f>
        <v>328365</v>
      </c>
      <c r="CC31" s="744">
        <f>CC10-CC67</f>
        <v>333476</v>
      </c>
      <c r="CD31" s="744">
        <f>CD10-CD67</f>
        <v>306264</v>
      </c>
      <c r="CE31" s="744">
        <f>CE10-CE67</f>
        <v>270370</v>
      </c>
      <c r="CF31" s="744">
        <f>CF10-CF67</f>
        <v>194014</v>
      </c>
      <c r="CG31" s="744">
        <f>CG10-CG67</f>
        <v>182266</v>
      </c>
      <c r="CH31" s="744">
        <f t="shared" si="39"/>
        <v>182266</v>
      </c>
      <c r="CJ31" s="744">
        <f t="shared" ref="CJ31:CL31" si="51">CJ28+CJ27+CJ11</f>
        <v>234793</v>
      </c>
      <c r="CK31" s="744">
        <f t="shared" si="51"/>
        <v>267818</v>
      </c>
      <c r="CL31" s="744">
        <f t="shared" si="51"/>
        <v>271663</v>
      </c>
      <c r="CM31" s="744">
        <f>CM28+CM27+CM11</f>
        <v>297485</v>
      </c>
      <c r="CN31" s="744">
        <f>CM31-CN34+CN81</f>
        <v>307923.8879612374</v>
      </c>
      <c r="CO31" s="744">
        <f>CN31-CO34+CO81</f>
        <v>370977.73306000745</v>
      </c>
      <c r="CP31" s="744">
        <f>CO31-CP34+CP81</f>
        <v>403860.22259587242</v>
      </c>
      <c r="CQ31" s="744">
        <f>CP31-CQ34+CQ81</f>
        <v>381854.52867182181</v>
      </c>
      <c r="CR31" s="744">
        <f>CQ31-CR34+CR81</f>
        <v>333996.33782793995</v>
      </c>
      <c r="CS31" s="744">
        <f>CR31-CS34+CS81</f>
        <v>289282.38677308767</v>
      </c>
      <c r="CT31" s="744">
        <f>CS31-CT34+CT81</f>
        <v>280258.78567604127</v>
      </c>
      <c r="CU31" s="744">
        <f>CT31-CU34+CU81</f>
        <v>302607.39327097801</v>
      </c>
      <c r="CV31" s="744">
        <v>116080.10690622788</v>
      </c>
      <c r="CW31" s="758"/>
      <c r="CX31" s="744">
        <f>CU31-CX34+CX81</f>
        <v>244494.49327097798</v>
      </c>
      <c r="CY31" s="744">
        <f>CX31-CY34+CY81</f>
        <v>217359.09327097799</v>
      </c>
      <c r="CZ31" s="744">
        <f t="shared" ref="CZ31:DI31" si="52">CY31-CZ34+CZ81</f>
        <v>38739.093270977988</v>
      </c>
      <c r="DA31" s="744">
        <f t="shared" si="52"/>
        <v>-31420.906729022012</v>
      </c>
      <c r="DB31" s="744">
        <f t="shared" si="52"/>
        <v>-34863.156729022041</v>
      </c>
      <c r="DC31" s="744">
        <f t="shared" si="52"/>
        <v>-50530.436729022069</v>
      </c>
      <c r="DD31" s="744">
        <f t="shared" si="52"/>
        <v>-88781.716729022097</v>
      </c>
      <c r="DE31" s="744">
        <f t="shared" si="52"/>
        <v>-158616.67672902212</v>
      </c>
      <c r="DF31" s="744">
        <f t="shared" si="52"/>
        <v>-292407.81672902213</v>
      </c>
      <c r="DG31" s="744">
        <f t="shared" si="52"/>
        <v>-385950.87706657487</v>
      </c>
      <c r="DH31" s="744">
        <f t="shared" si="52"/>
        <v>-404263.66381762968</v>
      </c>
      <c r="DI31" s="744">
        <f t="shared" si="52"/>
        <v>-418212.10938724992</v>
      </c>
      <c r="DJ31" s="844">
        <v>116080.10690622788</v>
      </c>
      <c r="DK31" s="951"/>
      <c r="DL31" s="744"/>
      <c r="DM31" s="744"/>
      <c r="DN31" s="744"/>
      <c r="DO31" s="744"/>
      <c r="DP31" s="744"/>
      <c r="DQ31" s="744"/>
      <c r="DR31" s="744"/>
      <c r="DS31" s="744"/>
      <c r="DT31" s="744"/>
      <c r="DU31" s="744"/>
      <c r="DV31" s="744"/>
      <c r="DW31" s="744"/>
      <c r="DX31" s="744"/>
    </row>
    <row r="32" spans="1:128" ht="18.75" hidden="1">
      <c r="A32" s="46"/>
      <c r="B32" s="912" t="s">
        <v>48</v>
      </c>
      <c r="C32" s="913"/>
      <c r="D32" s="283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284"/>
      <c r="Q32" s="49"/>
      <c r="R32" s="283"/>
      <c r="S32" s="50"/>
      <c r="T32" s="50"/>
      <c r="U32" s="50"/>
      <c r="V32" s="51"/>
      <c r="W32" s="51"/>
      <c r="X32" s="51"/>
      <c r="Y32" s="51"/>
      <c r="Z32" s="51"/>
      <c r="AA32" s="51"/>
      <c r="AB32" s="51"/>
      <c r="AC32" s="50"/>
      <c r="AD32" s="285"/>
      <c r="AE32" s="23"/>
      <c r="AF32" s="286">
        <f>AF10/AG34</f>
        <v>1.4346741432881778</v>
      </c>
      <c r="AG32" s="286">
        <f>AG10/AH34</f>
        <v>3.9745327610561771</v>
      </c>
      <c r="AH32" s="286">
        <f>AH10/AI34</f>
        <v>4.4537254638644557</v>
      </c>
      <c r="AI32" s="286">
        <f>AI10/AJ34</f>
        <v>3.1781895295331357</v>
      </c>
      <c r="AJ32" s="286">
        <f>AJ10/AK34</f>
        <v>2.7551225094238019</v>
      </c>
      <c r="AK32" s="286">
        <f>AK10/AL34</f>
        <v>3.2297970327971317</v>
      </c>
      <c r="AL32" s="286">
        <f>AL10/AM34</f>
        <v>2.3575635299682296</v>
      </c>
      <c r="AM32" s="286">
        <f>AM10/AN34</f>
        <v>2.1413160582078121</v>
      </c>
      <c r="AN32" s="286">
        <f>AN10/AO34</f>
        <v>1.9042360296991012</v>
      </c>
      <c r="AO32" s="286">
        <f>AO10/AP34</f>
        <v>3.1686411691542289</v>
      </c>
      <c r="AP32" s="286">
        <f>AP10/AQ34</f>
        <v>5.1487735077677845</v>
      </c>
      <c r="AQ32" s="286">
        <f>AQ10/AT34</f>
        <v>3.4807306746186968</v>
      </c>
      <c r="AR32" s="287">
        <f>AQ32</f>
        <v>3.4807306746186968</v>
      </c>
      <c r="AS32" s="23"/>
      <c r="AT32" s="286">
        <f>AT10/AU34</f>
        <v>2.7971286279646934</v>
      </c>
      <c r="AU32" s="286">
        <f>AU10/AV34</f>
        <v>3.0710063937614676</v>
      </c>
      <c r="AV32" s="286">
        <f>AV10/AW34</f>
        <v>2.5847779910329129</v>
      </c>
      <c r="AW32" s="286">
        <f>AW10/AX34</f>
        <v>3.3142307600651066</v>
      </c>
      <c r="AX32" s="286">
        <f>AX10/AY34</f>
        <v>3.0202081128011216</v>
      </c>
      <c r="AY32" s="286">
        <f>AY10/(AZ64+AZ63)</f>
        <v>3.0375411110446691</v>
      </c>
      <c r="AZ32" s="286">
        <f>AZ10/(BA64+BA63)</f>
        <v>1.7862994390436959</v>
      </c>
      <c r="BA32" s="286">
        <f>BA10/(BB64+BB63)</f>
        <v>2.3917338115287117</v>
      </c>
      <c r="BB32" s="286">
        <f>BB10/(BC64+BC63)</f>
        <v>2.0297186803388318</v>
      </c>
      <c r="BC32" s="286">
        <f>BC10/(BD64+BD63)</f>
        <v>2.9418601583113455</v>
      </c>
      <c r="BD32" s="286">
        <f>BD10/(BE64+BE63)</f>
        <v>5.3595753009100697</v>
      </c>
      <c r="BE32" s="286">
        <f>BE10/BH34</f>
        <v>2.3338657833234047</v>
      </c>
      <c r="BF32" s="52"/>
      <c r="BG32" s="27"/>
      <c r="BH32" s="418">
        <f>BH10/BI34</f>
        <v>2.4324841588586663</v>
      </c>
      <c r="BI32" s="418">
        <f>BI10/BJ34</f>
        <v>2.0694790126570033</v>
      </c>
      <c r="BJ32" s="418">
        <f>BJ10/BK34</f>
        <v>2.1548303749075362</v>
      </c>
      <c r="BK32" s="418">
        <f>BK10/BL34</f>
        <v>2.940658548141605</v>
      </c>
      <c r="BL32" s="418">
        <f>BL10/BM34</f>
        <v>2.5009495450993295</v>
      </c>
      <c r="BM32" s="418">
        <f>BM10/BN34</f>
        <v>2.0577586855214944</v>
      </c>
      <c r="BN32" s="418">
        <f>BN10/BO34</f>
        <v>2.3320530115558045</v>
      </c>
      <c r="BO32" s="419"/>
      <c r="BP32" s="419"/>
      <c r="BQ32" s="419"/>
      <c r="BR32" s="419"/>
      <c r="BS32" s="419"/>
      <c r="BT32" s="419"/>
      <c r="BU32" s="54"/>
      <c r="BV32" s="286">
        <v>0</v>
      </c>
      <c r="BW32" s="286">
        <v>0</v>
      </c>
      <c r="BX32" s="286">
        <v>0</v>
      </c>
      <c r="BY32" s="418">
        <v>0</v>
      </c>
      <c r="BZ32" s="418">
        <v>0</v>
      </c>
      <c r="CA32" s="418">
        <v>0</v>
      </c>
      <c r="CB32" s="418">
        <v>0</v>
      </c>
      <c r="CC32" s="418">
        <v>0</v>
      </c>
      <c r="CD32" s="418">
        <v>0</v>
      </c>
      <c r="CE32" s="418">
        <v>0</v>
      </c>
      <c r="CF32" s="418">
        <v>0</v>
      </c>
      <c r="CG32" s="419"/>
      <c r="CH32" s="419"/>
      <c r="CJ32" s="286">
        <v>0</v>
      </c>
      <c r="CK32" s="286">
        <v>0</v>
      </c>
      <c r="CL32" s="286">
        <v>0</v>
      </c>
      <c r="CM32" s="418">
        <v>0</v>
      </c>
      <c r="CN32" s="418">
        <v>0</v>
      </c>
      <c r="CO32" s="418">
        <v>0</v>
      </c>
      <c r="CP32" s="418">
        <v>0</v>
      </c>
      <c r="CQ32" s="418">
        <v>0</v>
      </c>
      <c r="CR32" s="418">
        <v>0</v>
      </c>
      <c r="CS32" s="418">
        <v>0</v>
      </c>
      <c r="CT32" s="418">
        <v>0</v>
      </c>
      <c r="CU32" s="419"/>
      <c r="CV32" s="419"/>
      <c r="CW32" s="758"/>
      <c r="CX32" s="877">
        <v>0</v>
      </c>
      <c r="CY32" s="877">
        <v>0</v>
      </c>
      <c r="CZ32" s="877">
        <v>0</v>
      </c>
      <c r="DA32" s="878">
        <v>0</v>
      </c>
      <c r="DB32" s="878">
        <v>0</v>
      </c>
      <c r="DC32" s="878">
        <v>0</v>
      </c>
      <c r="DD32" s="878">
        <v>0</v>
      </c>
      <c r="DE32" s="878">
        <v>0</v>
      </c>
      <c r="DF32" s="878">
        <v>0</v>
      </c>
      <c r="DG32" s="878">
        <v>0</v>
      </c>
      <c r="DH32" s="878">
        <v>0</v>
      </c>
      <c r="DI32" s="879"/>
      <c r="DJ32" s="844"/>
      <c r="DK32" s="948"/>
      <c r="DL32" s="877">
        <v>0</v>
      </c>
      <c r="DM32" s="877">
        <v>0</v>
      </c>
      <c r="DN32" s="877">
        <v>0</v>
      </c>
      <c r="DO32" s="878">
        <v>0</v>
      </c>
      <c r="DP32" s="878">
        <v>0</v>
      </c>
      <c r="DQ32" s="878">
        <v>0</v>
      </c>
      <c r="DR32" s="878">
        <v>0</v>
      </c>
      <c r="DS32" s="878">
        <v>0</v>
      </c>
      <c r="DT32" s="878">
        <v>0</v>
      </c>
      <c r="DU32" s="878">
        <v>0</v>
      </c>
      <c r="DV32" s="878">
        <v>0</v>
      </c>
      <c r="DW32" s="879"/>
      <c r="DX32" s="419"/>
    </row>
    <row r="33" spans="1:129" ht="18.75" hidden="1">
      <c r="A33" s="29"/>
      <c r="B33" s="906" t="s">
        <v>41</v>
      </c>
      <c r="C33" s="907"/>
      <c r="D33" s="274">
        <f>D10-D24</f>
        <v>270670</v>
      </c>
      <c r="E33" s="30">
        <f>E10-E24</f>
        <v>282709</v>
      </c>
      <c r="F33" s="30">
        <f>F10-F24</f>
        <v>285223</v>
      </c>
      <c r="G33" s="30">
        <f>G10-G24</f>
        <v>287349</v>
      </c>
      <c r="H33" s="30">
        <f>H10-H24</f>
        <v>313961</v>
      </c>
      <c r="I33" s="30">
        <f>I10-I24</f>
        <v>362411</v>
      </c>
      <c r="J33" s="30">
        <f>J10-J24</f>
        <v>413467</v>
      </c>
      <c r="K33" s="30">
        <f>K10-K24</f>
        <v>415958</v>
      </c>
      <c r="L33" s="30">
        <f>L10-L24</f>
        <v>416931</v>
      </c>
      <c r="M33" s="30">
        <f>M10-M24</f>
        <v>294116</v>
      </c>
      <c r="N33" s="30">
        <f>N10-N24</f>
        <v>0</v>
      </c>
      <c r="O33" s="30">
        <f>O10-O24</f>
        <v>188264</v>
      </c>
      <c r="P33" s="275"/>
      <c r="Q33" s="31"/>
      <c r="R33" s="274">
        <f>R10-R24</f>
        <v>247843</v>
      </c>
      <c r="S33" s="32">
        <f>S10-S24</f>
        <v>306756</v>
      </c>
      <c r="T33" s="32">
        <f>T10-T24</f>
        <v>277250</v>
      </c>
      <c r="U33" s="32">
        <f>U10-U24</f>
        <v>262131</v>
      </c>
      <c r="V33" s="32">
        <f>V10-V24</f>
        <v>171617</v>
      </c>
      <c r="W33" s="32">
        <f>W10-W24</f>
        <v>235875</v>
      </c>
      <c r="X33" s="32">
        <f>X10-X24</f>
        <v>354012</v>
      </c>
      <c r="Y33" s="32">
        <f>Y10-Y24</f>
        <v>355542</v>
      </c>
      <c r="Z33" s="32">
        <f>Z10-Z24</f>
        <v>349213</v>
      </c>
      <c r="AA33" s="32">
        <f>AA10-AA24</f>
        <v>269352</v>
      </c>
      <c r="AB33" s="32">
        <f>AB10-AB24</f>
        <v>170626</v>
      </c>
      <c r="AC33" s="32"/>
      <c r="AD33" s="276"/>
      <c r="AE33" s="17"/>
      <c r="AF33" s="32">
        <f>AF10-AF24</f>
        <v>246973</v>
      </c>
      <c r="AG33" s="32">
        <f>AG10-AG24</f>
        <v>281087</v>
      </c>
      <c r="AH33" s="32">
        <f>AH10-AH24</f>
        <v>386469</v>
      </c>
      <c r="AI33" s="32">
        <f>AI10-AI24</f>
        <v>379017</v>
      </c>
      <c r="AJ33" s="32">
        <f>AJ10-AJ24</f>
        <v>400777</v>
      </c>
      <c r="AK33" s="32">
        <f>AK10-AK24</f>
        <v>465623</v>
      </c>
      <c r="AL33" s="32">
        <f>AL10-AL24</f>
        <v>472149</v>
      </c>
      <c r="AM33" s="32">
        <f>AM10-AM24</f>
        <v>492339</v>
      </c>
      <c r="AN33" s="32">
        <f>AN10-AN24</f>
        <v>450428</v>
      </c>
      <c r="AO33" s="32">
        <f>AO10-AO24</f>
        <v>391441</v>
      </c>
      <c r="AP33" s="32">
        <f>AP10-AP24</f>
        <v>325482</v>
      </c>
      <c r="AQ33" s="32">
        <f>AQ10-AQ24</f>
        <v>321014</v>
      </c>
      <c r="AR33" s="32">
        <f>AQ33</f>
        <v>321014</v>
      </c>
      <c r="AS33" s="17"/>
      <c r="AT33" s="32">
        <f>AT10-AT24</f>
        <v>350303</v>
      </c>
      <c r="AU33" s="32">
        <f>AU10-AU24</f>
        <v>323931</v>
      </c>
      <c r="AV33" s="32">
        <f>AV10-AV24</f>
        <v>307980</v>
      </c>
      <c r="AW33" s="32">
        <f>AW10-AW24</f>
        <v>292777</v>
      </c>
      <c r="AX33" s="32">
        <f>AX10-AX24</f>
        <v>296754</v>
      </c>
      <c r="AY33" s="32">
        <f>AY10-AY24</f>
        <v>344037</v>
      </c>
      <c r="AZ33" s="32">
        <f>AZ10-AZ24</f>
        <v>367566</v>
      </c>
      <c r="BA33" s="32">
        <f>BA10-BA24</f>
        <v>372442</v>
      </c>
      <c r="BB33" s="32">
        <f>BB10-BB24</f>
        <v>375154</v>
      </c>
      <c r="BC33" s="32">
        <f>BC10-BC24</f>
        <v>340466</v>
      </c>
      <c r="BD33" s="32">
        <f>BD10-BD24</f>
        <v>314581</v>
      </c>
      <c r="BE33" s="32">
        <f>BE10-BE24</f>
        <v>253219</v>
      </c>
      <c r="BF33" s="32">
        <f>BE33</f>
        <v>253219</v>
      </c>
      <c r="BG33" s="17"/>
      <c r="BH33" s="32">
        <f>BH10-BH24</f>
        <v>307512</v>
      </c>
      <c r="BI33" s="32">
        <f>BI10-BI24</f>
        <v>302058</v>
      </c>
      <c r="BJ33" s="32">
        <f>BJ10-BJ24</f>
        <v>315841</v>
      </c>
      <c r="BK33" s="32">
        <f>BK10-BK24</f>
        <v>306027</v>
      </c>
      <c r="BL33" s="32">
        <f>BL10-BL24</f>
        <v>299077</v>
      </c>
      <c r="BM33" s="32">
        <f>BM10-BM24</f>
        <v>293121</v>
      </c>
      <c r="BN33" s="32">
        <f>BN10-BN24</f>
        <v>335286</v>
      </c>
      <c r="BO33" s="32">
        <f>BO10-BO24</f>
        <v>322561</v>
      </c>
      <c r="BP33" s="32">
        <f>BP10-BP24</f>
        <v>304307</v>
      </c>
      <c r="BQ33" s="32">
        <f>BQ10-BQ24</f>
        <v>280100</v>
      </c>
      <c r="BR33" s="32">
        <f>BR10-BR24</f>
        <v>215852</v>
      </c>
      <c r="BS33" s="32">
        <f>BS10-BS24</f>
        <v>188982</v>
      </c>
      <c r="BT33" s="32">
        <f>BS33</f>
        <v>188982</v>
      </c>
      <c r="BU33" s="28"/>
      <c r="BV33" s="32">
        <f>BV20-BV24-BV25</f>
        <v>146255</v>
      </c>
      <c r="BW33" s="32">
        <f>BW20-BW24-BW25</f>
        <v>155653</v>
      </c>
      <c r="BX33" s="32">
        <f>BX20-BX24-BX25</f>
        <v>86338</v>
      </c>
      <c r="BY33" s="32">
        <f>BY20-BY24-BY25</f>
        <v>106862</v>
      </c>
      <c r="BZ33" s="32">
        <f>BZ20-BZ24-BZ25</f>
        <v>112822</v>
      </c>
      <c r="CA33" s="32">
        <f>CA20-CA24-CA25</f>
        <v>149996</v>
      </c>
      <c r="CB33" s="32">
        <f>CB20-CB24-CB25</f>
        <v>145027</v>
      </c>
      <c r="CC33" s="32">
        <f>CC20-CC24-CC25</f>
        <v>102851</v>
      </c>
      <c r="CD33" s="32">
        <f>CD20-CD24-CD25</f>
        <v>116047</v>
      </c>
      <c r="CE33" s="32">
        <f>CE20-CE24-CE25</f>
        <v>86207</v>
      </c>
      <c r="CF33" s="32">
        <f>CF20-CF24-CF25</f>
        <v>109973</v>
      </c>
      <c r="CG33" s="32">
        <f>CG20-CG24-CG25</f>
        <v>94532</v>
      </c>
      <c r="CH33" s="32">
        <f>CH20-CH24-CH25</f>
        <v>94532</v>
      </c>
      <c r="CJ33" s="32">
        <f>CJ20-CJ24-CJ25</f>
        <v>78423</v>
      </c>
      <c r="CK33" s="32">
        <f>CK20-CK24-CK25</f>
        <v>78497</v>
      </c>
      <c r="CL33" s="32">
        <f>CL20-CL24-CL25</f>
        <v>75052</v>
      </c>
      <c r="CM33" s="32">
        <f>CM20-CM24-CM25</f>
        <v>121130</v>
      </c>
      <c r="CN33" s="32">
        <f>CN20-CN24-CN25</f>
        <v>175907.8879612374</v>
      </c>
      <c r="CO33" s="32">
        <f>CO20-CO24-CO25</f>
        <v>238961.73306000742</v>
      </c>
      <c r="CP33" s="32">
        <f>CP20-CP24-CP25</f>
        <v>271844.22259587242</v>
      </c>
      <c r="CQ33" s="32">
        <f>CQ20-CQ24-CQ25</f>
        <v>249838.52867182181</v>
      </c>
      <c r="CR33" s="32">
        <f>CR20-CR24-CR25</f>
        <v>201980.33782793995</v>
      </c>
      <c r="CS33" s="32">
        <f>CS20-CS24-CS25</f>
        <v>62966</v>
      </c>
      <c r="CT33" s="32">
        <f>CT20-CT24-CT25</f>
        <v>101848.14995780593</v>
      </c>
      <c r="CU33" s="32">
        <f>CU20-CU24-CU25</f>
        <v>111197.32717299581</v>
      </c>
      <c r="CV33" s="32">
        <v>116080.10690622788</v>
      </c>
      <c r="CW33" s="758"/>
      <c r="CX33" s="872">
        <v>242497</v>
      </c>
      <c r="CY33" s="872">
        <v>234422.08006563294</v>
      </c>
      <c r="CZ33" s="872">
        <v>194348.7132915963</v>
      </c>
      <c r="DA33" s="872">
        <v>223062.99421980139</v>
      </c>
      <c r="DB33" s="872">
        <v>228884.86858944659</v>
      </c>
      <c r="DC33" s="872">
        <v>240669.78918926936</v>
      </c>
      <c r="DD33" s="872">
        <v>234679.65868928705</v>
      </c>
      <c r="DE33" s="872">
        <v>197008.01236523816</v>
      </c>
      <c r="DF33" s="872">
        <v>148007.96159444697</v>
      </c>
      <c r="DG33" s="872">
        <v>111276.29521213027</v>
      </c>
      <c r="DH33" s="872">
        <v>93072.105643725808</v>
      </c>
      <c r="DI33" s="872">
        <v>116080.10690622788</v>
      </c>
      <c r="DJ33" s="844">
        <v>116080.10690622788</v>
      </c>
      <c r="DK33" s="948"/>
      <c r="DL33" s="872">
        <v>242497</v>
      </c>
      <c r="DM33" s="872">
        <v>234422.08006563294</v>
      </c>
      <c r="DN33" s="872">
        <v>194348.7132915963</v>
      </c>
      <c r="DO33" s="872">
        <v>223062.99421980139</v>
      </c>
      <c r="DP33" s="872">
        <v>228884.86858944659</v>
      </c>
      <c r="DQ33" s="872">
        <v>240669.78918926936</v>
      </c>
      <c r="DR33" s="872">
        <v>234679.65868928705</v>
      </c>
      <c r="DS33" s="872">
        <v>197008.01236523816</v>
      </c>
      <c r="DT33" s="872">
        <v>148007.96159444697</v>
      </c>
      <c r="DU33" s="872">
        <v>111276.29521213027</v>
      </c>
      <c r="DV33" s="872">
        <v>93072.105643725808</v>
      </c>
      <c r="DW33" s="872">
        <v>116080.10690622788</v>
      </c>
      <c r="DX33" s="32">
        <v>116080.10690622788</v>
      </c>
    </row>
    <row r="34" spans="1:129" s="594" customFormat="1" ht="18.75">
      <c r="A34" s="1005">
        <v>6</v>
      </c>
      <c r="B34" s="958" t="s">
        <v>49</v>
      </c>
      <c r="C34" s="959"/>
      <c r="D34" s="960">
        <f t="shared" ref="D34:P34" si="53">SUM(D38:D61)</f>
        <v>82250</v>
      </c>
      <c r="E34" s="961">
        <f t="shared" si="53"/>
        <v>117000</v>
      </c>
      <c r="F34" s="961">
        <f t="shared" si="53"/>
        <v>121750</v>
      </c>
      <c r="G34" s="961">
        <f t="shared" si="53"/>
        <v>150000</v>
      </c>
      <c r="H34" s="961">
        <f t="shared" si="53"/>
        <v>99500</v>
      </c>
      <c r="I34" s="961">
        <f t="shared" si="53"/>
        <v>102000</v>
      </c>
      <c r="J34" s="961">
        <f t="shared" si="53"/>
        <v>177632</v>
      </c>
      <c r="K34" s="961">
        <f t="shared" si="53"/>
        <v>178158</v>
      </c>
      <c r="L34" s="961">
        <f t="shared" si="53"/>
        <v>199211</v>
      </c>
      <c r="M34" s="961">
        <f t="shared" si="53"/>
        <v>229474</v>
      </c>
      <c r="N34" s="961">
        <f t="shared" si="53"/>
        <v>122368</v>
      </c>
      <c r="O34" s="961">
        <f t="shared" si="53"/>
        <v>38421</v>
      </c>
      <c r="P34" s="962">
        <f t="shared" si="53"/>
        <v>1617764</v>
      </c>
      <c r="Q34" s="963"/>
      <c r="R34" s="960">
        <f t="shared" ref="R34:AC34" si="54">R38+R62</f>
        <v>136177.33998294926</v>
      </c>
      <c r="S34" s="964">
        <f t="shared" si="54"/>
        <v>143840.32639116928</v>
      </c>
      <c r="T34" s="964">
        <f t="shared" si="54"/>
        <v>142553.77192982455</v>
      </c>
      <c r="U34" s="964">
        <f t="shared" si="54"/>
        <v>19814.899999999998</v>
      </c>
      <c r="V34" s="964">
        <f t="shared" si="54"/>
        <v>52085</v>
      </c>
      <c r="W34" s="965">
        <f t="shared" si="54"/>
        <v>70169.381950239796</v>
      </c>
      <c r="X34" s="965">
        <f t="shared" si="54"/>
        <v>144463.33333333299</v>
      </c>
      <c r="Y34" s="965">
        <f t="shared" si="54"/>
        <v>226547.08333333331</v>
      </c>
      <c r="Z34" s="965">
        <f t="shared" si="54"/>
        <v>273187.5</v>
      </c>
      <c r="AA34" s="965">
        <f t="shared" si="54"/>
        <v>172100</v>
      </c>
      <c r="AB34" s="965">
        <f t="shared" si="54"/>
        <v>37500</v>
      </c>
      <c r="AC34" s="965">
        <f t="shared" si="54"/>
        <v>0</v>
      </c>
      <c r="AD34" s="966">
        <f>SUM(R34:AC34)</f>
        <v>1418438.6369208493</v>
      </c>
      <c r="AE34" s="967"/>
      <c r="AF34" s="599">
        <f>AF38+AF62</f>
        <v>128646</v>
      </c>
      <c r="AG34" s="964">
        <f t="shared" ref="AG34:AQ34" si="55">AG38+AG62</f>
        <v>177977</v>
      </c>
      <c r="AH34" s="964">
        <f t="shared" si="55"/>
        <v>73624</v>
      </c>
      <c r="AI34" s="964">
        <f t="shared" si="55"/>
        <v>89358</v>
      </c>
      <c r="AJ34" s="964">
        <f t="shared" si="55"/>
        <v>122134</v>
      </c>
      <c r="AK34" s="964">
        <f t="shared" si="55"/>
        <v>148560</v>
      </c>
      <c r="AL34" s="964">
        <f t="shared" si="55"/>
        <v>151995</v>
      </c>
      <c r="AM34" s="964">
        <f t="shared" si="55"/>
        <v>238903</v>
      </c>
      <c r="AN34" s="964">
        <f t="shared" si="55"/>
        <v>261133.33333333334</v>
      </c>
      <c r="AO34" s="964">
        <f t="shared" si="55"/>
        <v>255900</v>
      </c>
      <c r="AP34" s="964">
        <f t="shared" si="55"/>
        <v>128640</v>
      </c>
      <c r="AQ34" s="964">
        <f t="shared" si="55"/>
        <v>97840</v>
      </c>
      <c r="AR34" s="964">
        <f>SUM(AF34:AQ34)</f>
        <v>1874710.3333333333</v>
      </c>
      <c r="AS34" s="967"/>
      <c r="AT34" s="964">
        <f t="shared" ref="AT34:BD34" si="56">AT38+AT62</f>
        <v>152749.25</v>
      </c>
      <c r="AU34" s="964">
        <f t="shared" si="56"/>
        <v>168522.10344827586</v>
      </c>
      <c r="AV34" s="964">
        <f t="shared" si="56"/>
        <v>154121.13793103449</v>
      </c>
      <c r="AW34" s="964">
        <f t="shared" si="56"/>
        <v>159595.13793103449</v>
      </c>
      <c r="AX34" s="964">
        <f t="shared" si="56"/>
        <v>120099.96551724138</v>
      </c>
      <c r="AY34" s="964">
        <f t="shared" si="56"/>
        <v>138343.77777777778</v>
      </c>
      <c r="AZ34" s="964">
        <f t="shared" si="56"/>
        <v>166673.77777777778</v>
      </c>
      <c r="BA34" s="964">
        <f t="shared" si="56"/>
        <v>242442.29629629629</v>
      </c>
      <c r="BB34" s="964">
        <f t="shared" si="56"/>
        <v>243407.77777777778</v>
      </c>
      <c r="BC34" s="964">
        <f t="shared" si="56"/>
        <v>253368.29075565783</v>
      </c>
      <c r="BD34" s="964">
        <f t="shared" si="56"/>
        <v>134555.58688147296</v>
      </c>
      <c r="BE34" s="964">
        <f>BE38+BE63</f>
        <v>72686.612965093984</v>
      </c>
      <c r="BF34" s="964">
        <f t="shared" ref="BF34:BF36" si="57">SUM(AT34:BE34)</f>
        <v>2006565.7150594404</v>
      </c>
      <c r="BG34" s="967">
        <f>BF34-AR34</f>
        <v>131855.38172610709</v>
      </c>
      <c r="BH34" s="964">
        <f>BH35+BH62</f>
        <v>152753</v>
      </c>
      <c r="BI34" s="964">
        <f t="shared" ref="BI34:BN34" si="58">BI35+BI62</f>
        <v>146822.33333333331</v>
      </c>
      <c r="BJ34" s="964">
        <f t="shared" si="58"/>
        <v>171546.07407407407</v>
      </c>
      <c r="BK34" s="964">
        <f t="shared" si="58"/>
        <v>159771.74074074073</v>
      </c>
      <c r="BL34" s="964">
        <f t="shared" si="58"/>
        <v>132496.85185185185</v>
      </c>
      <c r="BM34" s="964">
        <f t="shared" si="58"/>
        <v>129906.25925925926</v>
      </c>
      <c r="BN34" s="964">
        <f t="shared" si="58"/>
        <v>171383.55555555556</v>
      </c>
      <c r="BO34" s="964">
        <f>BO35+BO63</f>
        <v>179550.37811111109</v>
      </c>
      <c r="BP34" s="964">
        <f>BP35+BP63</f>
        <v>202053.74953703705</v>
      </c>
      <c r="BQ34" s="964">
        <f>BQ35+BQ63</f>
        <v>163865</v>
      </c>
      <c r="BR34" s="964">
        <f>BR35+BR63</f>
        <v>175620.6</v>
      </c>
      <c r="BS34" s="964">
        <v>92285.6</v>
      </c>
      <c r="BT34" s="964">
        <f t="shared" ref="BT34:BT36" si="59">SUM(BH34:BS34)</f>
        <v>1878055.142462963</v>
      </c>
      <c r="BU34" s="968"/>
      <c r="BV34" s="964">
        <f>BV38+(BV63)*$CI$34</f>
        <v>161157.867486095</v>
      </c>
      <c r="BW34" s="964">
        <f t="shared" ref="BW34:CG34" si="60">BW38+(BW63)*$CI$34</f>
        <v>155966.83045180296</v>
      </c>
      <c r="BX34" s="964">
        <f>BX38+(BX63)*$CI$34</f>
        <v>196111.53846153844</v>
      </c>
      <c r="BY34" s="964">
        <f t="shared" si="60"/>
        <v>159169.23076923078</v>
      </c>
      <c r="BZ34" s="964">
        <f>BZ38+(BZ63)*$CI$34</f>
        <v>151482.39341785663</v>
      </c>
      <c r="CA34" s="964">
        <f t="shared" si="60"/>
        <v>141442.12910096842</v>
      </c>
      <c r="CB34" s="964">
        <f>CB38+(CB63)*$CI$34</f>
        <v>176986.21444761599</v>
      </c>
      <c r="CC34" s="964">
        <f t="shared" si="60"/>
        <v>201301.08944885107</v>
      </c>
      <c r="CD34" s="964">
        <f t="shared" si="60"/>
        <v>212833.04013559342</v>
      </c>
      <c r="CE34" s="964">
        <f t="shared" si="60"/>
        <v>215922.30386211892</v>
      </c>
      <c r="CF34" s="964">
        <f>CF38+(CF63)*$CI$34</f>
        <v>171115.84223630186</v>
      </c>
      <c r="CG34" s="964">
        <f t="shared" si="60"/>
        <v>87483.816691710366</v>
      </c>
      <c r="CH34" s="964">
        <f t="shared" ref="CH34:CH35" si="61">SUM(BV34:CG34)</f>
        <v>2030972.2965096838</v>
      </c>
      <c r="CI34" s="969">
        <v>0.95</v>
      </c>
      <c r="CJ34" s="964">
        <f>CJ38+CJ72</f>
        <v>157916.36697726426</v>
      </c>
      <c r="CK34" s="964">
        <f t="shared" ref="CK34:CU34" si="62">CK38+CK72</f>
        <v>174843.65981364145</v>
      </c>
      <c r="CL34" s="964">
        <f t="shared" si="62"/>
        <v>166692.33329854641</v>
      </c>
      <c r="CM34" s="964">
        <f t="shared" si="62"/>
        <v>165624.1587774879</v>
      </c>
      <c r="CN34" s="964">
        <f>CN38+CN72</f>
        <v>167851.1120387626</v>
      </c>
      <c r="CO34" s="964">
        <f>CO38+CO72</f>
        <v>134946.15490122998</v>
      </c>
      <c r="CP34" s="964">
        <f t="shared" si="62"/>
        <v>212117.51046413503</v>
      </c>
      <c r="CQ34" s="964">
        <f t="shared" si="62"/>
        <v>229905.6939240506</v>
      </c>
      <c r="CR34" s="964">
        <f t="shared" si="62"/>
        <v>265658.19084388186</v>
      </c>
      <c r="CS34" s="964">
        <f>CS38+CS72</f>
        <v>250292.95105485231</v>
      </c>
      <c r="CT34" s="964">
        <f>CT38+CT72</f>
        <v>173363.6010970464</v>
      </c>
      <c r="CU34" s="964">
        <f>CU38+CU72</f>
        <v>96311.392405063292</v>
      </c>
      <c r="CV34" s="964">
        <f>SUM(CJ34:CU34)</f>
        <v>2195523.1255959622</v>
      </c>
      <c r="CW34" s="954"/>
      <c r="CX34" s="964">
        <v>190000</v>
      </c>
      <c r="CY34" s="964">
        <v>145000</v>
      </c>
      <c r="CZ34" s="964">
        <f>CZ38+CZ72</f>
        <v>180000</v>
      </c>
      <c r="DA34" s="964">
        <v>116000</v>
      </c>
      <c r="DB34" s="964">
        <f t="shared" ref="DB34:DK34" si="63">DB38+DB72</f>
        <v>174950.25000000003</v>
      </c>
      <c r="DC34" s="964">
        <f t="shared" si="63"/>
        <v>130837.28000000001</v>
      </c>
      <c r="DD34" s="964">
        <f t="shared" si="63"/>
        <v>213451.28000000006</v>
      </c>
      <c r="DE34" s="964">
        <f>DE38+DE72</f>
        <v>225964.96000000002</v>
      </c>
      <c r="DF34" s="964">
        <f t="shared" si="63"/>
        <v>295683.14</v>
      </c>
      <c r="DG34" s="964">
        <f>DG38+DG72</f>
        <v>280435.06033755274</v>
      </c>
      <c r="DH34" s="964">
        <f t="shared" si="63"/>
        <v>190996.78675105487</v>
      </c>
      <c r="DI34" s="964">
        <f t="shared" si="63"/>
        <v>107612.44556962026</v>
      </c>
      <c r="DJ34" s="964">
        <f>SUM(DA34:DI34)</f>
        <v>1735931.2026582281</v>
      </c>
      <c r="DK34" s="1006">
        <f>DJ34-CV34</f>
        <v>-459591.92293773405</v>
      </c>
      <c r="DL34" s="957">
        <f>DL38+DL72</f>
        <v>216120.00000000003</v>
      </c>
      <c r="DM34" s="957">
        <f>DM38+DM72</f>
        <v>161330</v>
      </c>
      <c r="DN34" s="957">
        <f t="shared" ref="DN34:DW34" si="64">DN38+DN72</f>
        <v>196320</v>
      </c>
      <c r="DO34" s="957">
        <f t="shared" si="64"/>
        <v>193062.04300000006</v>
      </c>
      <c r="DP34" s="957">
        <f t="shared" si="64"/>
        <v>190236.13100000002</v>
      </c>
      <c r="DQ34" s="957">
        <f t="shared" si="64"/>
        <v>141711.86400000003</v>
      </c>
      <c r="DR34" s="957">
        <f t="shared" si="64"/>
        <v>232660.95020000008</v>
      </c>
      <c r="DS34" s="957">
        <f t="shared" si="64"/>
        <v>246421.09540000002</v>
      </c>
      <c r="DT34" s="957">
        <f t="shared" si="64"/>
        <v>323088.95870000008</v>
      </c>
      <c r="DU34" s="957">
        <f t="shared" si="64"/>
        <v>306204.53237130807</v>
      </c>
      <c r="DV34" s="957">
        <f t="shared" si="64"/>
        <v>207350.46482616037</v>
      </c>
      <c r="DW34" s="957">
        <f t="shared" si="64"/>
        <v>115223.69012658228</v>
      </c>
      <c r="DX34" s="730">
        <f>SUM(DL34:DW34)</f>
        <v>2529729.7296240516</v>
      </c>
      <c r="DY34" s="1006">
        <f>DX34-DJ34</f>
        <v>793798.52696582349</v>
      </c>
    </row>
    <row r="35" spans="1:129" ht="18.75" hidden="1">
      <c r="A35" s="61"/>
      <c r="B35" s="914" t="s">
        <v>51</v>
      </c>
      <c r="C35" s="915"/>
      <c r="D35" s="294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295"/>
      <c r="Q35" s="64"/>
      <c r="R35" s="294"/>
      <c r="S35" s="65"/>
      <c r="T35" s="65"/>
      <c r="U35" s="65"/>
      <c r="V35" s="296"/>
      <c r="W35" s="297"/>
      <c r="X35" s="297"/>
      <c r="Y35" s="297"/>
      <c r="Z35" s="297"/>
      <c r="AA35" s="297"/>
      <c r="AB35" s="297"/>
      <c r="AC35" s="66"/>
      <c r="AD35" s="67"/>
      <c r="AE35" s="68"/>
      <c r="AF35" s="298"/>
      <c r="AG35" s="65"/>
      <c r="AH35" s="65"/>
      <c r="AI35" s="65"/>
      <c r="AJ35" s="296"/>
      <c r="AK35" s="296"/>
      <c r="AL35" s="296"/>
      <c r="AM35" s="296"/>
      <c r="AN35" s="65"/>
      <c r="AO35" s="65"/>
      <c r="AP35" s="65"/>
      <c r="AQ35" s="65"/>
      <c r="AR35" s="299"/>
      <c r="AS35" s="68"/>
      <c r="AT35" s="65"/>
      <c r="AU35" s="65"/>
      <c r="AV35" s="65"/>
      <c r="AW35" s="65"/>
      <c r="AX35" s="65"/>
      <c r="AY35" s="69">
        <f t="shared" ref="AY35:BA35" si="65">AY38+AY63</f>
        <v>119777.77777777778</v>
      </c>
      <c r="AZ35" s="69">
        <f t="shared" si="65"/>
        <v>150777.77777777778</v>
      </c>
      <c r="BA35" s="69">
        <f t="shared" si="65"/>
        <v>233098.4962962963</v>
      </c>
      <c r="BB35" s="69">
        <f>BB36/BB37</f>
        <v>210777.77777777778</v>
      </c>
      <c r="BC35" s="69">
        <f>BC38+BC63</f>
        <v>249806.29075565783</v>
      </c>
      <c r="BD35" s="69">
        <f t="shared" ref="BD35:BE35" si="66">BD38+BD63*0.85</f>
        <v>122960.58688147296</v>
      </c>
      <c r="BE35" s="69">
        <f t="shared" si="66"/>
        <v>66386.612965093984</v>
      </c>
      <c r="BF35" s="69">
        <f t="shared" si="57"/>
        <v>1153585.3202318544</v>
      </c>
      <c r="BG35" s="68"/>
      <c r="BH35" s="69">
        <f>BH36/BH37-0.1*BH36/BH37</f>
        <v>116600</v>
      </c>
      <c r="BI35" s="69">
        <f t="shared" ref="BI35" si="67">BI36/BI37-0.1*BI36/BI37</f>
        <v>111533.33333333333</v>
      </c>
      <c r="BJ35" s="69">
        <f t="shared" ref="BJ35:BP35" si="68">BJ36/BJ37-0.05*BJ36/BJ37</f>
        <v>135674.07407407407</v>
      </c>
      <c r="BK35" s="69">
        <f t="shared" si="68"/>
        <v>121740.74074074074</v>
      </c>
      <c r="BL35" s="69">
        <f t="shared" si="68"/>
        <v>93926.851851851854</v>
      </c>
      <c r="BM35" s="69">
        <f t="shared" si="68"/>
        <v>90679.259259259255</v>
      </c>
      <c r="BN35" s="69">
        <f t="shared" si="68"/>
        <v>130255.55555555556</v>
      </c>
      <c r="BO35" s="69">
        <f t="shared" si="68"/>
        <v>150550.37811111109</v>
      </c>
      <c r="BP35" s="69">
        <f t="shared" si="68"/>
        <v>161830.74953703705</v>
      </c>
      <c r="BQ35" s="69">
        <v>127130</v>
      </c>
      <c r="BR35" s="69">
        <v>138687.6</v>
      </c>
      <c r="BS35" s="69">
        <v>43639.199999999997</v>
      </c>
      <c r="BT35" s="69">
        <f t="shared" si="59"/>
        <v>1422247.7424629631</v>
      </c>
      <c r="BU35" s="54"/>
      <c r="BV35" s="69">
        <f>BV38+BV62</f>
        <v>166555.77995873816</v>
      </c>
      <c r="BW35" s="69">
        <f>BW38+BW62</f>
        <v>152835.36924465047</v>
      </c>
      <c r="BX35" s="69">
        <f t="shared" ref="BX35:CG35" si="69">BX38+BX62</f>
        <v>195319.2072937729</v>
      </c>
      <c r="BY35" s="69">
        <f t="shared" si="69"/>
        <v>158396.18906207831</v>
      </c>
      <c r="BZ35" s="69">
        <f t="shared" si="69"/>
        <v>152371.51475009107</v>
      </c>
      <c r="CA35" s="69">
        <f t="shared" si="69"/>
        <v>147696.01107361159</v>
      </c>
      <c r="CB35" s="69">
        <f t="shared" si="69"/>
        <v>189465.0513586243</v>
      </c>
      <c r="CC35" s="69">
        <f t="shared" si="69"/>
        <v>202914.10079748323</v>
      </c>
      <c r="CD35" s="69">
        <f t="shared" si="69"/>
        <v>214499.61628422557</v>
      </c>
      <c r="CE35" s="69">
        <f t="shared" si="69"/>
        <v>217682.99793575107</v>
      </c>
      <c r="CF35" s="69">
        <f t="shared" si="69"/>
        <v>179284.72030485788</v>
      </c>
      <c r="CG35" s="69">
        <f t="shared" si="69"/>
        <v>88389.319383536102</v>
      </c>
      <c r="CH35" s="69">
        <f t="shared" si="61"/>
        <v>2065409.8774474205</v>
      </c>
      <c r="CI35" s="395">
        <f>(CH35-BT69)/BT69</f>
        <v>0.48621753003500767</v>
      </c>
      <c r="CJ35" s="69"/>
      <c r="CK35" s="69"/>
      <c r="CL35" s="69"/>
      <c r="CM35" s="69"/>
      <c r="CN35" s="69"/>
      <c r="CO35" s="69"/>
      <c r="CP35" s="69"/>
      <c r="CQ35" s="69"/>
      <c r="CR35" s="69"/>
      <c r="CS35" s="69"/>
      <c r="CT35" s="69"/>
      <c r="CU35" s="69"/>
      <c r="CV35" s="69"/>
      <c r="CW35" s="758"/>
      <c r="CX35" s="881">
        <v>166555.77995873816</v>
      </c>
      <c r="CY35" s="881">
        <v>152835.36924465047</v>
      </c>
      <c r="CZ35" s="881">
        <v>195319.2072937729</v>
      </c>
      <c r="DA35" s="881">
        <v>158396.18906207831</v>
      </c>
      <c r="DB35" s="881">
        <v>152371.51475009107</v>
      </c>
      <c r="DC35" s="881">
        <v>147696.01107361159</v>
      </c>
      <c r="DD35" s="881">
        <v>189465.0513586243</v>
      </c>
      <c r="DE35" s="881">
        <v>202914.10079748323</v>
      </c>
      <c r="DF35" s="881">
        <v>214499.61628422557</v>
      </c>
      <c r="DG35" s="881">
        <v>217682.99793575107</v>
      </c>
      <c r="DH35" s="881">
        <v>179284.72030485788</v>
      </c>
      <c r="DI35" s="881">
        <v>88389.319383536102</v>
      </c>
      <c r="DJ35" s="844">
        <f t="shared" ref="DJ35:DJ80" si="70">SUM(DA35:DI35)</f>
        <v>1550699.5209502589</v>
      </c>
      <c r="DK35" s="948"/>
      <c r="DL35" s="881">
        <f>DL110*1.1</f>
        <v>183211.357954612</v>
      </c>
      <c r="DM35" s="881">
        <f t="shared" ref="DM35:DX35" si="71">DM110*1.1</f>
        <v>168118.90616911554</v>
      </c>
      <c r="DN35" s="881">
        <f t="shared" si="71"/>
        <v>214851.1280231502</v>
      </c>
      <c r="DO35" s="881">
        <f t="shared" si="71"/>
        <v>174235.80796828616</v>
      </c>
      <c r="DP35" s="881">
        <f t="shared" si="71"/>
        <v>167608.6662251002</v>
      </c>
      <c r="DQ35" s="881">
        <f t="shared" si="71"/>
        <v>162465.61218097276</v>
      </c>
      <c r="DR35" s="881">
        <f t="shared" si="71"/>
        <v>208411.55649448675</v>
      </c>
      <c r="DS35" s="881">
        <f t="shared" si="71"/>
        <v>223205.51087723157</v>
      </c>
      <c r="DT35" s="881">
        <f t="shared" si="71"/>
        <v>235949.57791264815</v>
      </c>
      <c r="DU35" s="881">
        <f t="shared" si="71"/>
        <v>239451.29772932621</v>
      </c>
      <c r="DV35" s="881">
        <f t="shared" si="71"/>
        <v>197213.19233534369</v>
      </c>
      <c r="DW35" s="881">
        <f t="shared" si="71"/>
        <v>97228.251321889722</v>
      </c>
      <c r="DX35" s="881">
        <f t="shared" si="71"/>
        <v>2271950.8651921628</v>
      </c>
    </row>
    <row r="36" spans="1:129" ht="18.75" hidden="1">
      <c r="A36" s="61"/>
      <c r="B36" s="914" t="s">
        <v>52</v>
      </c>
      <c r="C36" s="915"/>
      <c r="D36" s="294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295"/>
      <c r="Q36" s="64"/>
      <c r="R36" s="294"/>
      <c r="S36" s="65"/>
      <c r="T36" s="65"/>
      <c r="U36" s="65"/>
      <c r="V36" s="296"/>
      <c r="W36" s="297"/>
      <c r="X36" s="297"/>
      <c r="Y36" s="297"/>
      <c r="Z36" s="297"/>
      <c r="AA36" s="297"/>
      <c r="AB36" s="297"/>
      <c r="AC36" s="66"/>
      <c r="AD36" s="67"/>
      <c r="AE36" s="68"/>
      <c r="AF36" s="298"/>
      <c r="AG36" s="65"/>
      <c r="AH36" s="65" t="s">
        <v>53</v>
      </c>
      <c r="AI36" s="65"/>
      <c r="AJ36" s="296"/>
      <c r="AK36" s="296"/>
      <c r="AL36" s="296"/>
      <c r="AM36" s="296"/>
      <c r="AN36" s="65">
        <v>6715000</v>
      </c>
      <c r="AO36" s="65">
        <v>6555000</v>
      </c>
      <c r="AP36" s="65">
        <v>2640000</v>
      </c>
      <c r="AQ36" s="65">
        <v>1302000</v>
      </c>
      <c r="AR36" s="299"/>
      <c r="AS36" s="68"/>
      <c r="AT36" s="65">
        <v>3264695</v>
      </c>
      <c r="AU36" s="65">
        <v>3863760</v>
      </c>
      <c r="AV36" s="65">
        <v>3429225</v>
      </c>
      <c r="AW36" s="65">
        <v>3525360</v>
      </c>
      <c r="AX36" s="65">
        <v>2509485</v>
      </c>
      <c r="AY36" s="65">
        <v>2829000</v>
      </c>
      <c r="AZ36" s="65">
        <v>3666000</v>
      </c>
      <c r="BA36" s="65">
        <v>5705000</v>
      </c>
      <c r="BB36" s="65">
        <v>5691000</v>
      </c>
      <c r="BC36" s="65">
        <v>5600000</v>
      </c>
      <c r="BD36" s="65">
        <v>2430000</v>
      </c>
      <c r="BE36" s="65">
        <v>800000</v>
      </c>
      <c r="BF36" s="69">
        <f t="shared" si="57"/>
        <v>43313525</v>
      </c>
      <c r="BG36" s="68"/>
      <c r="BH36" s="70">
        <v>3498000</v>
      </c>
      <c r="BI36" s="70">
        <v>3346000</v>
      </c>
      <c r="BJ36" s="70">
        <v>3856000</v>
      </c>
      <c r="BK36" s="70">
        <v>3460000</v>
      </c>
      <c r="BL36" s="70">
        <v>2669500</v>
      </c>
      <c r="BM36" s="70">
        <v>2577200</v>
      </c>
      <c r="BN36" s="70">
        <v>3702000</v>
      </c>
      <c r="BO36" s="70">
        <v>4278800.22</v>
      </c>
      <c r="BP36" s="70">
        <v>4599400.25</v>
      </c>
      <c r="BQ36" s="70">
        <f>BQ35*BQ37</f>
        <v>3432510</v>
      </c>
      <c r="BR36" s="70">
        <v>2954493.21</v>
      </c>
      <c r="BS36" s="70">
        <v>984831.07</v>
      </c>
      <c r="BT36" s="65">
        <f t="shared" si="59"/>
        <v>39358734.75</v>
      </c>
      <c r="BU36" s="54"/>
      <c r="BV36" s="70">
        <f>BV37*BV38</f>
        <v>3399704.5546384701</v>
      </c>
      <c r="BW36" s="70">
        <f t="shared" ref="BW36:CG36" si="72">BW37*BW38</f>
        <v>3264737.5917468769</v>
      </c>
      <c r="BX36" s="70">
        <f t="shared" si="72"/>
        <v>4184999.9999999995</v>
      </c>
      <c r="BY36" s="70">
        <f t="shared" si="72"/>
        <v>3348000.0000000005</v>
      </c>
      <c r="BZ36" s="70">
        <f t="shared" si="72"/>
        <v>3074042.2288642721</v>
      </c>
      <c r="CA36" s="70">
        <f t="shared" si="72"/>
        <v>2812995.3566251793</v>
      </c>
      <c r="CB36" s="70">
        <f t="shared" si="72"/>
        <v>3737141.5756380158</v>
      </c>
      <c r="CC36" s="70">
        <f t="shared" si="72"/>
        <v>4437000.7194458414</v>
      </c>
      <c r="CD36" s="70">
        <f t="shared" si="72"/>
        <v>4710370.4261011425</v>
      </c>
      <c r="CE36" s="70">
        <f t="shared" si="72"/>
        <v>4744197.0280408058</v>
      </c>
      <c r="CF36" s="70">
        <f t="shared" si="72"/>
        <v>3461011.8981438484</v>
      </c>
      <c r="CG36" s="70">
        <f t="shared" si="72"/>
        <v>792579.23398446955</v>
      </c>
      <c r="CH36" s="65">
        <f>SUM(BV36:CG36)</f>
        <v>41966780.613228925</v>
      </c>
      <c r="CJ36" s="70">
        <v>3470304</v>
      </c>
      <c r="CK36" s="70">
        <v>4047936</v>
      </c>
      <c r="CL36" s="70">
        <v>3793200</v>
      </c>
      <c r="CM36" s="70">
        <v>3664392</v>
      </c>
      <c r="CN36" s="70">
        <v>3656712</v>
      </c>
      <c r="CO36" s="70">
        <v>2773872</v>
      </c>
      <c r="CP36" s="70">
        <v>5165016</v>
      </c>
      <c r="CQ36" s="70">
        <v>5668920</v>
      </c>
      <c r="CR36" s="70">
        <v>6676728</v>
      </c>
      <c r="CS36" s="70">
        <v>6194424</v>
      </c>
      <c r="CT36" s="70">
        <v>3814800</v>
      </c>
      <c r="CU36" s="70">
        <v>1459296</v>
      </c>
      <c r="CV36" s="70">
        <f>SUM(CJ36:CU36)</f>
        <v>50385600</v>
      </c>
      <c r="CW36" s="758"/>
      <c r="CX36" s="882">
        <v>3399704.5546384701</v>
      </c>
      <c r="CY36" s="882">
        <v>3264737.5917468769</v>
      </c>
      <c r="CZ36" s="882">
        <v>4184999.9999999995</v>
      </c>
      <c r="DA36" s="882">
        <v>3348000.0000000005</v>
      </c>
      <c r="DB36" s="882">
        <v>3074042.2288642721</v>
      </c>
      <c r="DC36" s="882">
        <v>2812995.3566251793</v>
      </c>
      <c r="DD36" s="882">
        <v>3737141.5756380158</v>
      </c>
      <c r="DE36" s="882">
        <v>4437000.7194458414</v>
      </c>
      <c r="DF36" s="882">
        <v>4710370.4261011425</v>
      </c>
      <c r="DG36" s="882">
        <v>4744197.0280408058</v>
      </c>
      <c r="DH36" s="882">
        <v>3461011.8981438484</v>
      </c>
      <c r="DI36" s="882">
        <v>792579.23398446955</v>
      </c>
      <c r="DJ36" s="844">
        <f t="shared" si="70"/>
        <v>31117338.466843575</v>
      </c>
      <c r="DK36" s="948"/>
      <c r="DL36" s="882">
        <v>3399704.5546384701</v>
      </c>
      <c r="DM36" s="882">
        <v>3264737.5917468769</v>
      </c>
      <c r="DN36" s="882">
        <v>4184999.9999999995</v>
      </c>
      <c r="DO36" s="882">
        <v>3348000.0000000005</v>
      </c>
      <c r="DP36" s="882">
        <v>3074042.2288642721</v>
      </c>
      <c r="DQ36" s="882">
        <v>2812995.3566251793</v>
      </c>
      <c r="DR36" s="882">
        <v>3737141.5756380158</v>
      </c>
      <c r="DS36" s="882">
        <v>4437000.7194458414</v>
      </c>
      <c r="DT36" s="882">
        <v>4710370.4261011425</v>
      </c>
      <c r="DU36" s="882">
        <v>4744197.0280408058</v>
      </c>
      <c r="DV36" s="882">
        <v>3461011.8981438484</v>
      </c>
      <c r="DW36" s="882">
        <v>792579.23398446955</v>
      </c>
      <c r="DX36" s="65">
        <v>41966780.613228925</v>
      </c>
    </row>
    <row r="37" spans="1:129" ht="18.75" hidden="1">
      <c r="A37" s="71"/>
      <c r="B37" s="916" t="s">
        <v>54</v>
      </c>
      <c r="C37" s="917"/>
      <c r="D37" s="301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302"/>
      <c r="Q37" s="74"/>
      <c r="R37" s="301"/>
      <c r="S37" s="69"/>
      <c r="T37" s="69"/>
      <c r="U37" s="69"/>
      <c r="V37" s="303"/>
      <c r="W37" s="304"/>
      <c r="X37" s="304"/>
      <c r="Y37" s="304"/>
      <c r="Z37" s="304"/>
      <c r="AA37" s="304"/>
      <c r="AB37" s="304"/>
      <c r="AC37" s="75"/>
      <c r="AD37" s="76"/>
      <c r="AE37" s="77"/>
      <c r="AF37" s="305"/>
      <c r="AG37" s="69"/>
      <c r="AH37" s="69"/>
      <c r="AI37" s="69"/>
      <c r="AJ37" s="303"/>
      <c r="AK37" s="303"/>
      <c r="AL37" s="303"/>
      <c r="AM37" s="303"/>
      <c r="AN37" s="69">
        <f t="shared" ref="AN37:AQ37" si="73">30</f>
        <v>30</v>
      </c>
      <c r="AO37" s="69">
        <f t="shared" si="73"/>
        <v>30</v>
      </c>
      <c r="AP37" s="69">
        <f t="shared" si="73"/>
        <v>30</v>
      </c>
      <c r="AQ37" s="69">
        <f t="shared" si="73"/>
        <v>30</v>
      </c>
      <c r="AR37" s="306"/>
      <c r="AS37" s="77"/>
      <c r="AT37" s="69">
        <v>28</v>
      </c>
      <c r="AU37" s="69">
        <v>29</v>
      </c>
      <c r="AV37" s="69">
        <v>29</v>
      </c>
      <c r="AW37" s="69">
        <v>29</v>
      </c>
      <c r="AX37" s="69">
        <v>29</v>
      </c>
      <c r="AY37" s="69">
        <v>27</v>
      </c>
      <c r="AZ37" s="69">
        <v>27</v>
      </c>
      <c r="BA37" s="69">
        <v>27</v>
      </c>
      <c r="BB37" s="69">
        <v>27</v>
      </c>
      <c r="BC37" s="69">
        <v>26.07</v>
      </c>
      <c r="BD37" s="69">
        <v>26.07</v>
      </c>
      <c r="BE37" s="69">
        <v>26.07</v>
      </c>
      <c r="BF37" s="305"/>
      <c r="BG37" s="78"/>
      <c r="BH37" s="69">
        <v>27</v>
      </c>
      <c r="BI37" s="69">
        <v>27</v>
      </c>
      <c r="BJ37" s="69">
        <v>27</v>
      </c>
      <c r="BK37" s="69">
        <v>27</v>
      </c>
      <c r="BL37" s="69">
        <v>27</v>
      </c>
      <c r="BM37" s="69">
        <v>27</v>
      </c>
      <c r="BN37" s="69">
        <v>27</v>
      </c>
      <c r="BO37" s="69">
        <v>27</v>
      </c>
      <c r="BP37" s="69">
        <v>27</v>
      </c>
      <c r="BQ37" s="69">
        <v>27</v>
      </c>
      <c r="BR37" s="69">
        <v>27</v>
      </c>
      <c r="BS37" s="69">
        <v>27</v>
      </c>
      <c r="BT37" s="69"/>
      <c r="BU37" s="54"/>
      <c r="BV37" s="69">
        <v>26</v>
      </c>
      <c r="BW37" s="69">
        <v>26</v>
      </c>
      <c r="BX37" s="69">
        <v>26</v>
      </c>
      <c r="BY37" s="69">
        <v>26</v>
      </c>
      <c r="BZ37" s="69">
        <v>26</v>
      </c>
      <c r="CA37" s="69">
        <v>26</v>
      </c>
      <c r="CB37" s="69">
        <v>26</v>
      </c>
      <c r="CC37" s="69">
        <v>26</v>
      </c>
      <c r="CD37" s="69">
        <v>26</v>
      </c>
      <c r="CE37" s="69">
        <v>26</v>
      </c>
      <c r="CF37" s="69">
        <v>26</v>
      </c>
      <c r="CG37" s="69">
        <v>26</v>
      </c>
      <c r="CH37" s="69"/>
      <c r="CJ37" s="751">
        <v>26.83</v>
      </c>
      <c r="CK37" s="751">
        <f>CJ37</f>
        <v>26.83</v>
      </c>
      <c r="CL37" s="751">
        <f t="shared" ref="CL37:CV37" si="74">CK37</f>
        <v>26.83</v>
      </c>
      <c r="CM37" s="751">
        <f t="shared" si="74"/>
        <v>26.83</v>
      </c>
      <c r="CN37" s="751">
        <f t="shared" si="74"/>
        <v>26.83</v>
      </c>
      <c r="CO37" s="751">
        <f t="shared" si="74"/>
        <v>26.83</v>
      </c>
      <c r="CP37" s="751">
        <v>28.44</v>
      </c>
      <c r="CQ37" s="751">
        <f t="shared" si="74"/>
        <v>28.44</v>
      </c>
      <c r="CR37" s="751">
        <f t="shared" si="74"/>
        <v>28.44</v>
      </c>
      <c r="CS37" s="751">
        <f t="shared" si="74"/>
        <v>28.44</v>
      </c>
      <c r="CT37" s="751">
        <f t="shared" si="74"/>
        <v>28.44</v>
      </c>
      <c r="CU37" s="751">
        <f t="shared" si="74"/>
        <v>28.44</v>
      </c>
      <c r="CV37" s="69">
        <f t="shared" si="74"/>
        <v>28.44</v>
      </c>
      <c r="CW37" s="758"/>
      <c r="CX37" s="881">
        <v>26</v>
      </c>
      <c r="CY37" s="881">
        <v>26</v>
      </c>
      <c r="CZ37" s="881">
        <v>26</v>
      </c>
      <c r="DA37" s="881">
        <v>26</v>
      </c>
      <c r="DB37" s="881">
        <v>26</v>
      </c>
      <c r="DC37" s="881">
        <v>26</v>
      </c>
      <c r="DD37" s="881">
        <v>26</v>
      </c>
      <c r="DE37" s="881">
        <v>26</v>
      </c>
      <c r="DF37" s="881">
        <v>26</v>
      </c>
      <c r="DG37" s="881">
        <v>26</v>
      </c>
      <c r="DH37" s="881">
        <v>26</v>
      </c>
      <c r="DI37" s="881">
        <v>26</v>
      </c>
      <c r="DJ37" s="844">
        <f t="shared" si="70"/>
        <v>234</v>
      </c>
      <c r="DK37" s="948"/>
      <c r="DL37" s="881">
        <v>26</v>
      </c>
      <c r="DM37" s="881">
        <v>26</v>
      </c>
      <c r="DN37" s="881">
        <v>26</v>
      </c>
      <c r="DO37" s="881">
        <v>26</v>
      </c>
      <c r="DP37" s="881">
        <v>26</v>
      </c>
      <c r="DQ37" s="881">
        <v>26</v>
      </c>
      <c r="DR37" s="881">
        <v>26</v>
      </c>
      <c r="DS37" s="881">
        <v>26</v>
      </c>
      <c r="DT37" s="881">
        <v>26</v>
      </c>
      <c r="DU37" s="881">
        <v>26</v>
      </c>
      <c r="DV37" s="881">
        <v>26</v>
      </c>
      <c r="DW37" s="881">
        <v>26</v>
      </c>
      <c r="DX37" s="69"/>
    </row>
    <row r="38" spans="1:129" ht="18.75" hidden="1">
      <c r="A38" s="79"/>
      <c r="B38" s="80" t="s">
        <v>121</v>
      </c>
      <c r="C38" s="81"/>
      <c r="D38" s="288">
        <v>82250</v>
      </c>
      <c r="E38" s="57">
        <v>117000</v>
      </c>
      <c r="F38" s="57">
        <v>121750</v>
      </c>
      <c r="G38" s="57">
        <v>150000</v>
      </c>
      <c r="H38" s="57">
        <v>99500</v>
      </c>
      <c r="I38" s="57">
        <v>102000</v>
      </c>
      <c r="J38" s="57">
        <v>177632</v>
      </c>
      <c r="K38" s="57">
        <v>178158</v>
      </c>
      <c r="L38" s="57">
        <v>199211</v>
      </c>
      <c r="M38" s="57">
        <v>229474</v>
      </c>
      <c r="N38" s="57">
        <v>122368</v>
      </c>
      <c r="O38" s="57">
        <v>38421</v>
      </c>
      <c r="P38" s="289">
        <f>SUM(D38:O38)</f>
        <v>1617764</v>
      </c>
      <c r="Q38" s="39"/>
      <c r="R38" s="288">
        <v>115619.79612330014</v>
      </c>
      <c r="S38" s="58">
        <v>123327.78253152016</v>
      </c>
      <c r="T38" s="58">
        <v>128854</v>
      </c>
      <c r="U38" s="58">
        <f>126016*0.15</f>
        <v>18902.399999999998</v>
      </c>
      <c r="V38" s="58">
        <v>35234</v>
      </c>
      <c r="W38" s="290">
        <v>56469.381950239796</v>
      </c>
      <c r="X38" s="290">
        <v>118413.33333333299</v>
      </c>
      <c r="Y38" s="290">
        <v>198797.08333333331</v>
      </c>
      <c r="Z38" s="290">
        <v>242087.5</v>
      </c>
      <c r="AA38" s="290">
        <v>140000</v>
      </c>
      <c r="AB38" s="290">
        <v>0</v>
      </c>
      <c r="AC38" s="290">
        <v>-45300</v>
      </c>
      <c r="AD38" s="291">
        <f>SUM(R38:AC38)</f>
        <v>1132405.2772717264</v>
      </c>
      <c r="AE38" s="59"/>
      <c r="AF38" s="292">
        <v>90146</v>
      </c>
      <c r="AG38" s="58">
        <v>155577</v>
      </c>
      <c r="AH38" s="58">
        <v>62953</v>
      </c>
      <c r="AI38" s="58">
        <v>73261</v>
      </c>
      <c r="AJ38" s="58">
        <v>91856</v>
      </c>
      <c r="AK38" s="58">
        <v>120000</v>
      </c>
      <c r="AL38" s="58">
        <v>110295</v>
      </c>
      <c r="AM38" s="58">
        <v>200203</v>
      </c>
      <c r="AN38" s="58">
        <f t="shared" ref="AN38:AQ38" si="75">AN36/AN37</f>
        <v>223833.33333333334</v>
      </c>
      <c r="AO38" s="58">
        <f t="shared" si="75"/>
        <v>218500</v>
      </c>
      <c r="AP38" s="58">
        <f t="shared" si="75"/>
        <v>88000</v>
      </c>
      <c r="AQ38" s="58">
        <f t="shared" si="75"/>
        <v>43400</v>
      </c>
      <c r="AR38" s="58">
        <f>SUM(AF38:AQ38)</f>
        <v>1478024.3333333333</v>
      </c>
      <c r="AS38" s="59"/>
      <c r="AT38" s="58">
        <f t="shared" ref="AT38:BE38" si="76">AT36/AT37</f>
        <v>116596.25</v>
      </c>
      <c r="AU38" s="58">
        <f t="shared" si="76"/>
        <v>133233.10344827586</v>
      </c>
      <c r="AV38" s="58">
        <f t="shared" si="76"/>
        <v>118249.13793103448</v>
      </c>
      <c r="AW38" s="58">
        <f t="shared" si="76"/>
        <v>121564.13793103448</v>
      </c>
      <c r="AX38" s="58">
        <f t="shared" si="76"/>
        <v>86533.965517241377</v>
      </c>
      <c r="AY38" s="58">
        <f t="shared" si="76"/>
        <v>104777.77777777778</v>
      </c>
      <c r="AZ38" s="58">
        <f t="shared" si="76"/>
        <v>135777.77777777778</v>
      </c>
      <c r="BA38" s="58">
        <f t="shared" si="76"/>
        <v>211296.29629629629</v>
      </c>
      <c r="BB38" s="58">
        <f t="shared" si="76"/>
        <v>210777.77777777778</v>
      </c>
      <c r="BC38" s="58">
        <f t="shared" si="76"/>
        <v>214806.29075565783</v>
      </c>
      <c r="BD38" s="58">
        <f t="shared" si="76"/>
        <v>93210.586881472962</v>
      </c>
      <c r="BE38" s="58">
        <f t="shared" si="76"/>
        <v>30686.612965093977</v>
      </c>
      <c r="BF38" s="58">
        <f>SUM(AT38:BE38)</f>
        <v>1577509.7150594404</v>
      </c>
      <c r="BG38" s="59">
        <f>BF38-AR38</f>
        <v>99485.381726107094</v>
      </c>
      <c r="BH38" s="58">
        <f>BH35</f>
        <v>116600</v>
      </c>
      <c r="BI38" s="58">
        <f t="shared" ref="BI38:BT38" si="77">BI35</f>
        <v>111533.33333333333</v>
      </c>
      <c r="BJ38" s="58">
        <f t="shared" si="77"/>
        <v>135674.07407407407</v>
      </c>
      <c r="BK38" s="58">
        <f t="shared" si="77"/>
        <v>121740.74074074074</v>
      </c>
      <c r="BL38" s="58">
        <f t="shared" si="77"/>
        <v>93926.851851851854</v>
      </c>
      <c r="BM38" s="58">
        <f t="shared" si="77"/>
        <v>90679.259259259255</v>
      </c>
      <c r="BN38" s="58">
        <f t="shared" si="77"/>
        <v>130255.55555555556</v>
      </c>
      <c r="BO38" s="58">
        <f t="shared" si="77"/>
        <v>150550.37811111109</v>
      </c>
      <c r="BP38" s="58">
        <f t="shared" si="77"/>
        <v>161830.74953703705</v>
      </c>
      <c r="BQ38" s="58">
        <f t="shared" si="77"/>
        <v>127130</v>
      </c>
      <c r="BR38" s="58">
        <f>BR35</f>
        <v>138687.6</v>
      </c>
      <c r="BS38" s="58">
        <f t="shared" si="77"/>
        <v>43639.199999999997</v>
      </c>
      <c r="BT38" s="58">
        <f t="shared" si="77"/>
        <v>1422247.7424629631</v>
      </c>
      <c r="BU38" s="60"/>
      <c r="BV38" s="58">
        <f>'META  EM PEÇAS'!S73</f>
        <v>130757.867486095</v>
      </c>
      <c r="BW38" s="58">
        <f>'META  EM PEÇAS'!T73</f>
        <v>125566.83045180296</v>
      </c>
      <c r="BX38" s="58">
        <f>'META  EM PEÇAS'!U73</f>
        <v>160961.53846153844</v>
      </c>
      <c r="BY38" s="58">
        <f>'META  EM PEÇAS'!V73</f>
        <v>128769.23076923078</v>
      </c>
      <c r="BZ38" s="58">
        <f>'META  EM PEÇAS'!W73</f>
        <v>118232.39341785663</v>
      </c>
      <c r="CA38" s="58">
        <f>'META  EM PEÇAS'!X73</f>
        <v>108192.12910096844</v>
      </c>
      <c r="CB38" s="58">
        <f>'META  EM PEÇAS'!Y73</f>
        <v>143736.21444761599</v>
      </c>
      <c r="CC38" s="58">
        <f>'META  EM PEÇAS'!Z73</f>
        <v>170653.87382484006</v>
      </c>
      <c r="CD38" s="58">
        <f>'META  EM PEÇAS'!AA73</f>
        <v>181168.0933115824</v>
      </c>
      <c r="CE38" s="58">
        <f>'META  EM PEÇAS'!AB73</f>
        <v>182469.1164631079</v>
      </c>
      <c r="CF38" s="58">
        <f>'META  EM PEÇAS'!AC73</f>
        <v>133115.84223630186</v>
      </c>
      <c r="CG38" s="58">
        <f>'META  EM PEÇAS'!AD73</f>
        <v>30483.816691710366</v>
      </c>
      <c r="CH38" s="58">
        <v>45</v>
      </c>
      <c r="CI38">
        <f>CH38*26</f>
        <v>1170</v>
      </c>
      <c r="CJ38" s="58">
        <f>CJ36/CJ37</f>
        <v>129344.16697726426</v>
      </c>
      <c r="CK38" s="58">
        <f t="shared" ref="CK38:CU38" si="78">CK36/CK37</f>
        <v>150873.49981364145</v>
      </c>
      <c r="CL38" s="58">
        <f t="shared" si="78"/>
        <v>141379.05329854641</v>
      </c>
      <c r="CM38" s="58">
        <f t="shared" si="78"/>
        <v>136578.1587774879</v>
      </c>
      <c r="CN38" s="58">
        <f>CN36/CN37</f>
        <v>136291.91203876259</v>
      </c>
      <c r="CO38" s="58">
        <f t="shared" si="78"/>
        <v>103386.95490122997</v>
      </c>
      <c r="CP38" s="58">
        <f>CP36/CP37</f>
        <v>181610.97046413503</v>
      </c>
      <c r="CQ38" s="58">
        <f t="shared" si="78"/>
        <v>199329.11392405062</v>
      </c>
      <c r="CR38" s="58">
        <f t="shared" si="78"/>
        <v>234765.40084388186</v>
      </c>
      <c r="CS38" s="58">
        <f>CS36/CS37</f>
        <v>217806.7510548523</v>
      </c>
      <c r="CT38" s="58">
        <f t="shared" si="78"/>
        <v>134135.02109704641</v>
      </c>
      <c r="CU38" s="58">
        <f t="shared" si="78"/>
        <v>51311.392405063292</v>
      </c>
      <c r="CV38" s="58">
        <f>SUM(CJ38:CU38)</f>
        <v>1816812.3955959619</v>
      </c>
      <c r="CW38" s="758"/>
      <c r="CX38" s="880">
        <v>174000</v>
      </c>
      <c r="CY38" s="880">
        <v>127000</v>
      </c>
      <c r="CZ38" s="880">
        <v>156000</v>
      </c>
      <c r="DA38" s="880">
        <f t="shared" ref="DA38:DK38" si="79">DA39*1.1</f>
        <v>148313.33000000005</v>
      </c>
      <c r="DB38" s="880">
        <f t="shared" si="79"/>
        <v>143391.05000000002</v>
      </c>
      <c r="DC38" s="880">
        <f t="shared" si="79"/>
        <v>99278.080000000016</v>
      </c>
      <c r="DD38" s="880">
        <f t="shared" si="79"/>
        <v>182944.74000000005</v>
      </c>
      <c r="DE38" s="880">
        <f t="shared" si="79"/>
        <v>195388.38</v>
      </c>
      <c r="DF38" s="880">
        <f>DF39*1.1</f>
        <v>264790.35000000003</v>
      </c>
      <c r="DG38" s="880">
        <f>DG39*1.1</f>
        <v>247948.86033755276</v>
      </c>
      <c r="DH38" s="880">
        <f t="shared" si="79"/>
        <v>151768.20675105488</v>
      </c>
      <c r="DI38" s="880">
        <f t="shared" si="79"/>
        <v>62612.445569620257</v>
      </c>
      <c r="DJ38" s="844">
        <f t="shared" si="70"/>
        <v>1496435.4426582281</v>
      </c>
      <c r="DK38" s="952">
        <f>DJ38-CV38</f>
        <v>-320376.95293773385</v>
      </c>
      <c r="DL38" s="880">
        <f>CX38*1.1</f>
        <v>191400.00000000003</v>
      </c>
      <c r="DM38" s="880">
        <f t="shared" ref="DM38:DW38" si="80">CY38*1.1</f>
        <v>139700</v>
      </c>
      <c r="DN38" s="880">
        <f t="shared" si="80"/>
        <v>171600</v>
      </c>
      <c r="DO38" s="880">
        <f t="shared" si="80"/>
        <v>163144.66300000006</v>
      </c>
      <c r="DP38" s="880">
        <f t="shared" si="80"/>
        <v>157730.15500000003</v>
      </c>
      <c r="DQ38" s="880">
        <f t="shared" si="80"/>
        <v>109205.88800000002</v>
      </c>
      <c r="DR38" s="880">
        <f t="shared" si="80"/>
        <v>201239.21400000007</v>
      </c>
      <c r="DS38" s="880">
        <f t="shared" si="80"/>
        <v>214927.21800000002</v>
      </c>
      <c r="DT38" s="880">
        <f t="shared" si="80"/>
        <v>291269.38500000007</v>
      </c>
      <c r="DU38" s="880">
        <f t="shared" si="80"/>
        <v>272743.74637130805</v>
      </c>
      <c r="DV38" s="880">
        <f t="shared" si="80"/>
        <v>166945.02742616038</v>
      </c>
      <c r="DW38" s="880">
        <f t="shared" si="80"/>
        <v>68873.690126582282</v>
      </c>
      <c r="DX38" s="58">
        <f>SUM(DL38:DW38)</f>
        <v>2148778.9869240513</v>
      </c>
      <c r="DY38" s="598">
        <f>DX38-DJ38</f>
        <v>652343.54426582321</v>
      </c>
    </row>
    <row r="39" spans="1:129" ht="18.75" hidden="1">
      <c r="A39" s="307"/>
      <c r="B39" s="918"/>
      <c r="C39" s="919" t="s">
        <v>122</v>
      </c>
      <c r="D39" s="309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310"/>
      <c r="Q39" s="84"/>
      <c r="R39" s="309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311"/>
      <c r="AE39" s="23"/>
      <c r="AF39" s="312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6"/>
      <c r="AS39" s="23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2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54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J39" s="87">
        <f t="shared" ref="CJ39:CT39" si="81">(CJ38*0.95)-2000</f>
        <v>120876.95862840104</v>
      </c>
      <c r="CK39" s="87">
        <f t="shared" si="81"/>
        <v>141329.82482295937</v>
      </c>
      <c r="CL39" s="87">
        <f t="shared" si="81"/>
        <v>132310.10063361909</v>
      </c>
      <c r="CM39" s="87">
        <f t="shared" si="81"/>
        <v>127749.2508386135</v>
      </c>
      <c r="CN39" s="87">
        <f t="shared" si="81"/>
        <v>127477.31643682445</v>
      </c>
      <c r="CO39" s="87">
        <f t="shared" si="81"/>
        <v>96217.607156168466</v>
      </c>
      <c r="CP39" s="87">
        <f>(CP38*0.95)-2000</f>
        <v>170530.42194092827</v>
      </c>
      <c r="CQ39" s="87">
        <f t="shared" si="81"/>
        <v>187362.65822784806</v>
      </c>
      <c r="CR39" s="87">
        <f t="shared" si="81"/>
        <v>221027.13080168774</v>
      </c>
      <c r="CS39" s="87">
        <f t="shared" si="81"/>
        <v>204916.41350210967</v>
      </c>
      <c r="CT39" s="87">
        <f t="shared" si="81"/>
        <v>125428.27004219408</v>
      </c>
      <c r="CU39" s="87">
        <f>(CU38*0.95)-2000</f>
        <v>46745.822784810123</v>
      </c>
      <c r="CV39" s="87">
        <f>SUM(CJ39:CU39)</f>
        <v>1701971.775816164</v>
      </c>
      <c r="CW39" s="758"/>
      <c r="CX39" s="883">
        <v>169016.1</v>
      </c>
      <c r="CY39" s="883">
        <v>192696.9</v>
      </c>
      <c r="CZ39" s="883">
        <v>138243.6</v>
      </c>
      <c r="DA39" s="883">
        <v>134830.30000000002</v>
      </c>
      <c r="DB39" s="883">
        <v>130355.5</v>
      </c>
      <c r="DC39" s="883">
        <v>90252.800000000003</v>
      </c>
      <c r="DD39" s="883">
        <v>166313.40000000002</v>
      </c>
      <c r="DE39" s="883">
        <v>177625.8</v>
      </c>
      <c r="DF39" s="883">
        <v>240718.5</v>
      </c>
      <c r="DG39" s="883">
        <v>225408.05485232067</v>
      </c>
      <c r="DH39" s="883">
        <v>137971.09704641352</v>
      </c>
      <c r="DI39" s="883">
        <v>56920.405063291139</v>
      </c>
      <c r="DJ39" s="844">
        <f t="shared" si="70"/>
        <v>1360395.8569620252</v>
      </c>
      <c r="DK39" s="948"/>
      <c r="DL39" s="883">
        <v>169016.1</v>
      </c>
      <c r="DM39" s="883">
        <v>192696.9</v>
      </c>
      <c r="DN39" s="883">
        <v>138243.6</v>
      </c>
      <c r="DO39" s="883">
        <v>134830.30000000002</v>
      </c>
      <c r="DP39" s="883">
        <v>130355.5</v>
      </c>
      <c r="DQ39" s="883">
        <v>90252.800000000003</v>
      </c>
      <c r="DR39" s="883">
        <v>166313.40000000002</v>
      </c>
      <c r="DS39" s="883">
        <v>177625.8</v>
      </c>
      <c r="DT39" s="883">
        <v>240718.5</v>
      </c>
      <c r="DU39" s="883">
        <v>225408.05485232067</v>
      </c>
      <c r="DV39" s="883">
        <v>137971.09704641352</v>
      </c>
      <c r="DW39" s="883">
        <v>56920.405063291139</v>
      </c>
      <c r="DX39" s="87">
        <f>SUM(DL39:DW39)</f>
        <v>1860352.4569620253</v>
      </c>
    </row>
    <row r="40" spans="1:129" ht="18.75" hidden="1">
      <c r="A40" s="709"/>
      <c r="B40" s="920"/>
      <c r="C40" s="920"/>
      <c r="D40" s="309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310"/>
      <c r="Q40" s="84"/>
      <c r="R40" s="309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311"/>
      <c r="AE40" s="23"/>
      <c r="AF40" s="312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6"/>
      <c r="AS40" s="23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2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54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J40" s="711">
        <f>(CJ38-CJ39)/CJ39</f>
        <v>7.0048158432683957E-2</v>
      </c>
      <c r="CK40" s="711">
        <f t="shared" ref="CK40:CU40" si="82">(CK38-CK39)/CK39</f>
        <v>6.7527678624361279E-2</v>
      </c>
      <c r="CL40" s="711">
        <f t="shared" si="82"/>
        <v>6.8543162022378201E-2</v>
      </c>
      <c r="CM40" s="711">
        <f t="shared" si="82"/>
        <v>6.911123064062441E-2</v>
      </c>
      <c r="CN40" s="711">
        <f t="shared" si="82"/>
        <v>6.9146385006516056E-2</v>
      </c>
      <c r="CO40" s="711">
        <f t="shared" si="82"/>
        <v>7.4511806694850649E-2</v>
      </c>
      <c r="CP40" s="711">
        <f t="shared" si="82"/>
        <v>6.4976960691770641E-2</v>
      </c>
      <c r="CQ40" s="711">
        <f t="shared" si="82"/>
        <v>6.3867879594504795E-2</v>
      </c>
      <c r="CR40" s="711">
        <f t="shared" si="82"/>
        <v>6.2156487270879454E-2</v>
      </c>
      <c r="CS40" s="711">
        <f t="shared" si="82"/>
        <v>6.2905344342316025E-2</v>
      </c>
      <c r="CT40" s="711">
        <f t="shared" si="82"/>
        <v>6.94161774847359E-2</v>
      </c>
      <c r="CU40" s="711">
        <f t="shared" si="82"/>
        <v>9.7667970061631554E-2</v>
      </c>
      <c r="CV40" s="87"/>
      <c r="CW40" s="758"/>
      <c r="CX40" s="883"/>
      <c r="CY40" s="883"/>
      <c r="CZ40" s="883"/>
      <c r="DA40" s="883"/>
      <c r="DB40" s="883"/>
      <c r="DC40" s="883"/>
      <c r="DD40" s="883"/>
      <c r="DE40" s="883"/>
      <c r="DF40" s="883"/>
      <c r="DG40" s="883"/>
      <c r="DH40" s="883"/>
      <c r="DI40" s="883"/>
      <c r="DJ40" s="844">
        <f t="shared" si="70"/>
        <v>0</v>
      </c>
      <c r="DK40" s="948"/>
      <c r="DL40" s="883"/>
      <c r="DM40" s="883"/>
      <c r="DN40" s="883"/>
      <c r="DO40" s="883"/>
      <c r="DP40" s="883"/>
      <c r="DQ40" s="883"/>
      <c r="DR40" s="883"/>
      <c r="DS40" s="883"/>
      <c r="DT40" s="883"/>
      <c r="DU40" s="883"/>
      <c r="DV40" s="883"/>
      <c r="DW40" s="883"/>
      <c r="DX40" s="87"/>
    </row>
    <row r="41" spans="1:129" ht="15" hidden="1" customHeight="1" outlineLevel="1">
      <c r="A41" s="88">
        <v>1</v>
      </c>
      <c r="B41" s="1078" t="s">
        <v>56</v>
      </c>
      <c r="C41" s="1119"/>
      <c r="D41" s="313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314">
        <f t="shared" ref="P41:P53" si="83">SUM(D41:O41)</f>
        <v>0</v>
      </c>
      <c r="Q41" s="90"/>
      <c r="R41" s="313">
        <v>7017.5438596491231</v>
      </c>
      <c r="S41" s="91">
        <v>7017.5438596491231</v>
      </c>
      <c r="T41" s="91">
        <f>7017.54385964912/2</f>
        <v>3508.7719298245602</v>
      </c>
      <c r="U41" s="91">
        <f>96*U7</f>
        <v>96</v>
      </c>
      <c r="V41" s="91">
        <v>3000</v>
      </c>
      <c r="W41" s="91">
        <v>7200</v>
      </c>
      <c r="X41" s="91">
        <v>8500</v>
      </c>
      <c r="Y41" s="91">
        <v>8500</v>
      </c>
      <c r="Z41" s="91">
        <v>8500</v>
      </c>
      <c r="AA41" s="91">
        <v>9000</v>
      </c>
      <c r="AB41" s="91">
        <v>9500</v>
      </c>
      <c r="AC41" s="91">
        <v>8500</v>
      </c>
      <c r="AD41" s="315">
        <f t="shared" ref="AD41:AD55" si="84">SUM(R41:AC41)</f>
        <v>80339.859649122809</v>
      </c>
      <c r="AE41" s="23"/>
      <c r="AF41" s="316">
        <v>8000</v>
      </c>
      <c r="AG41" s="91">
        <v>4000</v>
      </c>
      <c r="AH41" s="91">
        <v>5673</v>
      </c>
      <c r="AI41" s="91">
        <v>4500</v>
      </c>
      <c r="AJ41" s="91">
        <v>7892</v>
      </c>
      <c r="AK41" s="91">
        <v>6400</v>
      </c>
      <c r="AL41" s="91">
        <v>8000</v>
      </c>
      <c r="AM41" s="91">
        <v>8000</v>
      </c>
      <c r="AN41" s="91">
        <v>8000</v>
      </c>
      <c r="AO41" s="91">
        <v>8000</v>
      </c>
      <c r="AP41" s="91">
        <v>8800</v>
      </c>
      <c r="AQ41" s="91">
        <v>6400</v>
      </c>
      <c r="AR41" s="92">
        <f t="shared" ref="AR41:AR59" si="85">SUM(AF41:AQ41)</f>
        <v>83665</v>
      </c>
      <c r="AS41" s="23"/>
      <c r="AT41" s="91">
        <v>4861</v>
      </c>
      <c r="AU41" s="91">
        <v>5809</v>
      </c>
      <c r="AV41" s="91">
        <v>5072</v>
      </c>
      <c r="AW41" s="91">
        <v>4725</v>
      </c>
      <c r="AX41" s="317">
        <v>5832</v>
      </c>
      <c r="AY41" s="317">
        <v>5832</v>
      </c>
      <c r="AZ41" s="317">
        <v>5567</v>
      </c>
      <c r="BA41" s="317">
        <v>5567</v>
      </c>
      <c r="BB41" s="317">
        <v>5832</v>
      </c>
      <c r="BC41" s="317">
        <v>6892</v>
      </c>
      <c r="BD41" s="317">
        <v>7422</v>
      </c>
      <c r="BE41" s="317">
        <v>4241</v>
      </c>
      <c r="BF41" s="91">
        <f t="shared" ref="BF41:BF73" si="86">SUM(AT41:BE41)</f>
        <v>67652</v>
      </c>
      <c r="BG41" s="93">
        <f t="shared" ref="BG41:BG59" si="87">BF41/AR41-1</f>
        <v>-0.19139425088149165</v>
      </c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>
        <v>36051</v>
      </c>
      <c r="BU41" s="54"/>
      <c r="BV41" s="91">
        <v>4782.99</v>
      </c>
      <c r="BW41" s="91">
        <v>2945.31</v>
      </c>
      <c r="BX41" s="91">
        <f>'META  EM PEÇAS'!U26-('META  EM PEÇAS'!U26*0.05)</f>
        <v>7080.3689999999997</v>
      </c>
      <c r="BY41" s="91">
        <f>'META  EM PEÇAS'!V26-('META  EM PEÇAS'!V26*0.05)</f>
        <v>4355.6549999999997</v>
      </c>
      <c r="BZ41" s="91">
        <f>'META  EM PEÇAS'!W26-('META  EM PEÇAS'!W26*0.05)</f>
        <v>5839.9349999999995</v>
      </c>
      <c r="CA41" s="91">
        <f>'META  EM PEÇAS'!X26-('META  EM PEÇAS'!X26*0.05)</f>
        <v>5900.8964999999989</v>
      </c>
      <c r="CB41" s="91">
        <f>'META  EM PEÇAS'!Y26-('META  EM PEÇAS'!Y26*0.05)</f>
        <v>5279.7959999999994</v>
      </c>
      <c r="CC41" s="91">
        <f>'META  EM PEÇAS'!Z26-('META  EM PEÇAS'!Z26*0.05)</f>
        <v>4897.2404999999999</v>
      </c>
      <c r="CD41" s="91">
        <f>'META  EM PEÇAS'!AA26-('META  EM PEÇAS'!AA26*0.05)</f>
        <v>5018.28</v>
      </c>
      <c r="CE41" s="91">
        <f>'META  EM PEÇAS'!AB26-('META  EM PEÇAS'!AB26*0.05)</f>
        <v>4641.0254999999997</v>
      </c>
      <c r="CF41" s="91">
        <f>'META  EM PEÇAS'!AC26-('META  EM PEÇAS'!AC26*0.05)</f>
        <v>6521.1134999999995</v>
      </c>
      <c r="CG41" s="91">
        <f>'META  EM PEÇAS'!AD26-('META  EM PEÇAS'!AD26*0.05)</f>
        <v>3929.8079999999995</v>
      </c>
      <c r="CH41" s="91">
        <v>4136.6400000000003</v>
      </c>
      <c r="CJ41" s="91">
        <v>4782.99</v>
      </c>
      <c r="CK41" s="91">
        <v>2945.31</v>
      </c>
      <c r="CL41" s="91">
        <v>7080.3689999999997</v>
      </c>
      <c r="CM41" s="91">
        <v>4355.6549999999997</v>
      </c>
      <c r="CN41" s="91">
        <v>5839.9349999999995</v>
      </c>
      <c r="CO41" s="91">
        <v>5900.8964999999989</v>
      </c>
      <c r="CP41" s="91">
        <v>5279.7959999999994</v>
      </c>
      <c r="CQ41" s="91">
        <v>4897.2404999999999</v>
      </c>
      <c r="CR41" s="91">
        <v>5018.28</v>
      </c>
      <c r="CS41" s="91">
        <v>4641.0254999999997</v>
      </c>
      <c r="CT41" s="91">
        <v>6521.1134999999995</v>
      </c>
      <c r="CU41" s="91">
        <v>3929.8079999999995</v>
      </c>
      <c r="CV41" s="91">
        <v>4136.6400000000003</v>
      </c>
      <c r="CW41" s="758"/>
      <c r="CX41" s="884">
        <v>4782.99</v>
      </c>
      <c r="CY41" s="884">
        <v>2945.31</v>
      </c>
      <c r="CZ41" s="884">
        <v>7080.3689999999997</v>
      </c>
      <c r="DA41" s="884">
        <v>4355.6549999999997</v>
      </c>
      <c r="DB41" s="884">
        <v>5839.9349999999995</v>
      </c>
      <c r="DC41" s="884">
        <v>5900.8964999999989</v>
      </c>
      <c r="DD41" s="884">
        <v>5279.7959999999994</v>
      </c>
      <c r="DE41" s="884">
        <v>4897.2404999999999</v>
      </c>
      <c r="DF41" s="884">
        <v>5018.28</v>
      </c>
      <c r="DG41" s="884">
        <v>4641.0254999999997</v>
      </c>
      <c r="DH41" s="884">
        <v>6521.1134999999995</v>
      </c>
      <c r="DI41" s="884">
        <v>3929.8079999999995</v>
      </c>
      <c r="DJ41" s="844">
        <f t="shared" si="70"/>
        <v>46383.749999999993</v>
      </c>
      <c r="DK41" s="948"/>
      <c r="DL41" s="884">
        <v>4782.99</v>
      </c>
      <c r="DM41" s="884">
        <v>2945.31</v>
      </c>
      <c r="DN41" s="884">
        <v>7080.3689999999997</v>
      </c>
      <c r="DO41" s="884">
        <v>4355.6549999999997</v>
      </c>
      <c r="DP41" s="884">
        <v>5839.9349999999995</v>
      </c>
      <c r="DQ41" s="884">
        <v>5900.8964999999989</v>
      </c>
      <c r="DR41" s="884">
        <v>5279.7959999999994</v>
      </c>
      <c r="DS41" s="884">
        <v>4897.2404999999999</v>
      </c>
      <c r="DT41" s="884">
        <v>5018.28</v>
      </c>
      <c r="DU41" s="884">
        <v>4641.0254999999997</v>
      </c>
      <c r="DV41" s="884">
        <v>6521.1134999999995</v>
      </c>
      <c r="DW41" s="884">
        <v>3929.8079999999995</v>
      </c>
      <c r="DX41" s="91">
        <v>4136.6400000000003</v>
      </c>
    </row>
    <row r="42" spans="1:129" ht="15" hidden="1" customHeight="1" outlineLevel="1">
      <c r="A42" s="94">
        <v>2</v>
      </c>
      <c r="B42" s="1079" t="s">
        <v>57</v>
      </c>
      <c r="C42" s="1120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si="83"/>
        <v>0</v>
      </c>
      <c r="Q42" s="90"/>
      <c r="R42" s="313">
        <v>2909</v>
      </c>
      <c r="S42" s="91">
        <v>2545</v>
      </c>
      <c r="T42" s="91">
        <f>2727/1.2</f>
        <v>2272.5</v>
      </c>
      <c r="U42" s="91">
        <f>2*U7</f>
        <v>2</v>
      </c>
      <c r="V42" s="91">
        <v>500</v>
      </c>
      <c r="W42" s="91">
        <v>1300</v>
      </c>
      <c r="X42" s="91">
        <v>3200</v>
      </c>
      <c r="Y42" s="91">
        <v>3200</v>
      </c>
      <c r="Z42" s="91">
        <v>3600</v>
      </c>
      <c r="AA42" s="91">
        <v>3600</v>
      </c>
      <c r="AB42" s="91">
        <v>3600</v>
      </c>
      <c r="AC42" s="91">
        <v>4500</v>
      </c>
      <c r="AD42" s="315">
        <f t="shared" si="84"/>
        <v>31228.5</v>
      </c>
      <c r="AE42" s="23"/>
      <c r="AF42" s="316">
        <v>4000</v>
      </c>
      <c r="AG42" s="91">
        <v>1500</v>
      </c>
      <c r="AH42" s="91">
        <v>189</v>
      </c>
      <c r="AI42" s="91">
        <v>1842</v>
      </c>
      <c r="AJ42" s="91">
        <v>3764</v>
      </c>
      <c r="AK42" s="91">
        <v>3200</v>
      </c>
      <c r="AL42" s="91">
        <v>6000</v>
      </c>
      <c r="AM42" s="91">
        <v>5000</v>
      </c>
      <c r="AN42" s="91">
        <v>5000</v>
      </c>
      <c r="AO42" s="91">
        <v>5000</v>
      </c>
      <c r="AP42" s="91">
        <v>5000</v>
      </c>
      <c r="AQ42" s="91">
        <v>9000</v>
      </c>
      <c r="AR42" s="92">
        <f t="shared" si="85"/>
        <v>49495</v>
      </c>
      <c r="AS42" s="23"/>
      <c r="AT42" s="91">
        <v>5468</v>
      </c>
      <c r="AU42" s="91">
        <v>5468</v>
      </c>
      <c r="AV42" s="91">
        <v>6249</v>
      </c>
      <c r="AW42" s="91">
        <v>6249</v>
      </c>
      <c r="AX42" s="317">
        <v>3923</v>
      </c>
      <c r="AY42" s="317">
        <v>3923</v>
      </c>
      <c r="AZ42" s="317">
        <v>3745</v>
      </c>
      <c r="BA42" s="317">
        <v>3745</v>
      </c>
      <c r="BB42" s="317">
        <v>3923</v>
      </c>
      <c r="BC42" s="317">
        <v>4636</v>
      </c>
      <c r="BD42" s="317">
        <v>4993</v>
      </c>
      <c r="BE42" s="317">
        <v>7133</v>
      </c>
      <c r="BF42" s="91">
        <f t="shared" si="86"/>
        <v>59455</v>
      </c>
      <c r="BG42" s="93">
        <f t="shared" si="87"/>
        <v>0.20123244772199222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40562</v>
      </c>
      <c r="BU42" s="54"/>
      <c r="BV42" s="91">
        <v>4442.6099999999997</v>
      </c>
      <c r="BW42" s="91">
        <v>3433.56</v>
      </c>
      <c r="BX42" s="91">
        <f>'META  EM PEÇAS'!U27-('META  EM PEÇAS'!U27*0.05)</f>
        <v>3860.0114999999996</v>
      </c>
      <c r="BY42" s="91">
        <f>'META  EM PEÇAS'!V27-('META  EM PEÇAS'!V27*0.05)</f>
        <v>3578.1749999999997</v>
      </c>
      <c r="BZ42" s="91">
        <f>'META  EM PEÇAS'!W27-('META  EM PEÇAS'!W27*0.05)</f>
        <v>4015.5074999999997</v>
      </c>
      <c r="CA42" s="91">
        <f>'META  EM PEÇAS'!X27-('META  EM PEÇAS'!X27*0.05)</f>
        <v>4835.3954999999996</v>
      </c>
      <c r="CB42" s="91">
        <f>'META  EM PEÇAS'!Y27-('META  EM PEÇAS'!Y27*0.05)</f>
        <v>5815.1969999999992</v>
      </c>
      <c r="CC42" s="91">
        <f>'META  EM PEÇAS'!Z27-('META  EM PEÇAS'!Z27*0.05)</f>
        <v>3888.2835</v>
      </c>
      <c r="CD42" s="91">
        <f>'META  EM PEÇAS'!AA27-('META  EM PEÇAS'!AA27*0.05)</f>
        <v>4032.2939999999994</v>
      </c>
      <c r="CE42" s="91">
        <f>'META  EM PEÇAS'!AB27-('META  EM PEÇAS'!AB27*0.05)</f>
        <v>4375.0919999999996</v>
      </c>
      <c r="CF42" s="91">
        <f>'META  EM PEÇAS'!AC27-('META  EM PEÇAS'!AC27*0.05)</f>
        <v>5604.9239999999991</v>
      </c>
      <c r="CG42" s="91">
        <f>'META  EM PEÇAS'!AD27-('META  EM PEÇAS'!AD27*0.05)</f>
        <v>7897.606499999999</v>
      </c>
      <c r="CH42" s="91">
        <f>SUM(BV42:CG42)</f>
        <v>55778.656499999997</v>
      </c>
      <c r="CJ42" s="91">
        <v>4442.6099999999997</v>
      </c>
      <c r="CK42" s="91">
        <v>3433.56</v>
      </c>
      <c r="CL42" s="91">
        <v>3860.0114999999996</v>
      </c>
      <c r="CM42" s="91">
        <v>3578.1749999999997</v>
      </c>
      <c r="CN42" s="91">
        <v>4015.5074999999997</v>
      </c>
      <c r="CO42" s="91">
        <v>4835.3954999999996</v>
      </c>
      <c r="CP42" s="91">
        <v>5815.1969999999992</v>
      </c>
      <c r="CQ42" s="91">
        <v>3888.2835</v>
      </c>
      <c r="CR42" s="91">
        <v>4032.2939999999994</v>
      </c>
      <c r="CS42" s="91">
        <v>4375.0919999999996</v>
      </c>
      <c r="CT42" s="91">
        <v>5604.9239999999991</v>
      </c>
      <c r="CU42" s="91">
        <v>7897.606499999999</v>
      </c>
      <c r="CV42" s="91">
        <v>55778.656499999997</v>
      </c>
      <c r="CW42" s="758"/>
      <c r="CX42" s="884">
        <v>4442.6099999999997</v>
      </c>
      <c r="CY42" s="884">
        <v>3433.56</v>
      </c>
      <c r="CZ42" s="884">
        <v>3860.0114999999996</v>
      </c>
      <c r="DA42" s="884">
        <v>3578.1749999999997</v>
      </c>
      <c r="DB42" s="884">
        <v>4015.5074999999997</v>
      </c>
      <c r="DC42" s="884">
        <v>4835.3954999999996</v>
      </c>
      <c r="DD42" s="884">
        <v>5815.1969999999992</v>
      </c>
      <c r="DE42" s="884">
        <v>3888.2835</v>
      </c>
      <c r="DF42" s="884">
        <v>4032.2939999999994</v>
      </c>
      <c r="DG42" s="884">
        <v>4375.0919999999996</v>
      </c>
      <c r="DH42" s="884">
        <v>5604.9239999999991</v>
      </c>
      <c r="DI42" s="884">
        <v>7897.606499999999</v>
      </c>
      <c r="DJ42" s="844">
        <f t="shared" si="70"/>
        <v>44042.474999999999</v>
      </c>
      <c r="DK42" s="948"/>
      <c r="DL42" s="884">
        <v>4442.6099999999997</v>
      </c>
      <c r="DM42" s="884">
        <v>3433.56</v>
      </c>
      <c r="DN42" s="884">
        <v>3860.0114999999996</v>
      </c>
      <c r="DO42" s="884">
        <v>3578.1749999999997</v>
      </c>
      <c r="DP42" s="884">
        <v>4015.5074999999997</v>
      </c>
      <c r="DQ42" s="884">
        <v>4835.3954999999996</v>
      </c>
      <c r="DR42" s="884">
        <v>5815.1969999999992</v>
      </c>
      <c r="DS42" s="884">
        <v>3888.2835</v>
      </c>
      <c r="DT42" s="884">
        <v>4032.2939999999994</v>
      </c>
      <c r="DU42" s="884">
        <v>4375.0919999999996</v>
      </c>
      <c r="DV42" s="884">
        <v>5604.9239999999991</v>
      </c>
      <c r="DW42" s="884">
        <v>7897.606499999999</v>
      </c>
      <c r="DX42" s="91">
        <v>55778.656499999997</v>
      </c>
    </row>
    <row r="43" spans="1:129" ht="15" hidden="1" customHeight="1" outlineLevel="1">
      <c r="A43" s="94">
        <v>3</v>
      </c>
      <c r="B43" s="1079" t="s">
        <v>58</v>
      </c>
      <c r="C43" s="1120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>
        <f t="shared" si="83"/>
        <v>0</v>
      </c>
      <c r="Q43" s="90"/>
      <c r="R43" s="313">
        <v>746</v>
      </c>
      <c r="S43" s="91">
        <v>653</v>
      </c>
      <c r="T43" s="91">
        <v>700</v>
      </c>
      <c r="U43" s="91">
        <v>0</v>
      </c>
      <c r="V43" s="91">
        <v>200</v>
      </c>
      <c r="W43" s="91">
        <v>400</v>
      </c>
      <c r="X43" s="91">
        <v>900</v>
      </c>
      <c r="Y43" s="91">
        <v>900</v>
      </c>
      <c r="Z43" s="91">
        <v>900</v>
      </c>
      <c r="AA43" s="91">
        <v>900</v>
      </c>
      <c r="AB43" s="91">
        <v>900</v>
      </c>
      <c r="AC43" s="91">
        <v>1200</v>
      </c>
      <c r="AD43" s="315">
        <f t="shared" si="84"/>
        <v>8399</v>
      </c>
      <c r="AE43" s="23"/>
      <c r="AF43" s="316">
        <v>1800</v>
      </c>
      <c r="AG43" s="91">
        <v>1200</v>
      </c>
      <c r="AH43" s="91">
        <v>230</v>
      </c>
      <c r="AI43" s="91">
        <v>472</v>
      </c>
      <c r="AJ43" s="91">
        <v>1495</v>
      </c>
      <c r="AK43" s="91">
        <v>1200</v>
      </c>
      <c r="AL43" s="91">
        <v>1500</v>
      </c>
      <c r="AM43" s="91">
        <v>1500</v>
      </c>
      <c r="AN43" s="91">
        <v>1500</v>
      </c>
      <c r="AO43" s="91">
        <v>1500</v>
      </c>
      <c r="AP43" s="91">
        <v>1650</v>
      </c>
      <c r="AQ43" s="91">
        <v>2400</v>
      </c>
      <c r="AR43" s="92">
        <f t="shared" si="85"/>
        <v>16447</v>
      </c>
      <c r="AS43" s="23"/>
      <c r="AT43" s="91">
        <v>2438</v>
      </c>
      <c r="AU43" s="91">
        <v>1501</v>
      </c>
      <c r="AV43" s="91">
        <v>1566</v>
      </c>
      <c r="AW43" s="91">
        <v>2127</v>
      </c>
      <c r="AX43" s="317">
        <v>1928</v>
      </c>
      <c r="AY43" s="317">
        <v>1928</v>
      </c>
      <c r="AZ43" s="317">
        <v>1840</v>
      </c>
      <c r="BA43" s="317">
        <v>1840</v>
      </c>
      <c r="BB43" s="317">
        <v>1928</v>
      </c>
      <c r="BC43" s="317">
        <v>2278</v>
      </c>
      <c r="BD43" s="317">
        <v>2454</v>
      </c>
      <c r="BE43" s="317">
        <v>3505</v>
      </c>
      <c r="BF43" s="91">
        <f t="shared" si="86"/>
        <v>25333</v>
      </c>
      <c r="BG43" s="93">
        <f t="shared" si="87"/>
        <v>0.54028090229221126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7784</v>
      </c>
      <c r="BU43" s="54"/>
      <c r="BV43" s="91">
        <v>450.99999999999989</v>
      </c>
      <c r="BW43" s="91">
        <v>348.59999999999991</v>
      </c>
      <c r="BX43" s="91">
        <f>'META  EM PEÇAS'!U28-('META  EM PEÇAS'!U28*0.05)</f>
        <v>391.96999999999991</v>
      </c>
      <c r="BY43" s="91">
        <f>'META  EM PEÇAS'!V28-('META  EM PEÇAS'!V28*0.05)</f>
        <v>363.27999999999992</v>
      </c>
      <c r="BZ43" s="91">
        <f>'META  EM PEÇAS'!W28-('META  EM PEÇAS'!W28*0.05)</f>
        <v>407.5499999999999</v>
      </c>
      <c r="CA43" s="91">
        <f>'META  EM PEÇAS'!X28-('META  EM PEÇAS'!X28*0.05)</f>
        <v>490.76999999999992</v>
      </c>
      <c r="CB43" s="91">
        <f>'META  EM PEÇAS'!Y28-('META  EM PEÇAS'!Y28*0.05)</f>
        <v>590.32999999999993</v>
      </c>
      <c r="CC43" s="91">
        <f>'META  EM PEÇAS'!Z28-('META  EM PEÇAS'!Z28*0.05)</f>
        <v>394.62999999999994</v>
      </c>
      <c r="CD43" s="91">
        <f>'META  EM PEÇAS'!AA28-('META  EM PEÇAS'!AA28*0.05)</f>
        <v>409.25999999999988</v>
      </c>
      <c r="CE43" s="91">
        <f>'META  EM PEÇAS'!AB28-('META  EM PEÇAS'!AB28*0.05)</f>
        <v>444.21999999999991</v>
      </c>
      <c r="CF43" s="91">
        <f>'META  EM PEÇAS'!AC28-('META  EM PEÇAS'!AC28*0.05)</f>
        <v>569.04999999999984</v>
      </c>
      <c r="CG43" s="91">
        <f>'META  EM PEÇAS'!AD28-('META  EM PEÇAS'!AD28*0.05)</f>
        <v>801.79999999999973</v>
      </c>
      <c r="CH43" s="91">
        <f t="shared" ref="CH43:CH56" si="88">SUM(BV43:CG43)</f>
        <v>5662.4599999999991</v>
      </c>
      <c r="CJ43" s="91">
        <v>450.99999999999989</v>
      </c>
      <c r="CK43" s="91">
        <v>348.59999999999991</v>
      </c>
      <c r="CL43" s="91">
        <v>391.96999999999991</v>
      </c>
      <c r="CM43" s="91">
        <v>363.27999999999992</v>
      </c>
      <c r="CN43" s="91">
        <v>407.5499999999999</v>
      </c>
      <c r="CO43" s="91">
        <v>490.76999999999992</v>
      </c>
      <c r="CP43" s="91">
        <v>590.32999999999993</v>
      </c>
      <c r="CQ43" s="91">
        <v>394.62999999999994</v>
      </c>
      <c r="CR43" s="91">
        <v>409.25999999999988</v>
      </c>
      <c r="CS43" s="91">
        <v>444.21999999999991</v>
      </c>
      <c r="CT43" s="91">
        <v>569.04999999999984</v>
      </c>
      <c r="CU43" s="91">
        <v>801.79999999999973</v>
      </c>
      <c r="CV43" s="91">
        <v>5662.4599999999991</v>
      </c>
      <c r="CW43" s="758"/>
      <c r="CX43" s="884">
        <v>450.99999999999989</v>
      </c>
      <c r="CY43" s="884">
        <v>348.59999999999991</v>
      </c>
      <c r="CZ43" s="884">
        <v>391.96999999999991</v>
      </c>
      <c r="DA43" s="884">
        <v>363.27999999999992</v>
      </c>
      <c r="DB43" s="884">
        <v>407.5499999999999</v>
      </c>
      <c r="DC43" s="884">
        <v>490.76999999999992</v>
      </c>
      <c r="DD43" s="884">
        <v>590.32999999999993</v>
      </c>
      <c r="DE43" s="884">
        <v>394.62999999999994</v>
      </c>
      <c r="DF43" s="884">
        <v>409.25999999999988</v>
      </c>
      <c r="DG43" s="884">
        <v>444.21999999999991</v>
      </c>
      <c r="DH43" s="884">
        <v>569.04999999999984</v>
      </c>
      <c r="DI43" s="884">
        <v>801.79999999999973</v>
      </c>
      <c r="DJ43" s="844">
        <f t="shared" si="70"/>
        <v>4470.8899999999985</v>
      </c>
      <c r="DK43" s="948"/>
      <c r="DL43" s="884">
        <v>450.99999999999989</v>
      </c>
      <c r="DM43" s="884">
        <v>348.59999999999991</v>
      </c>
      <c r="DN43" s="884">
        <v>391.96999999999991</v>
      </c>
      <c r="DO43" s="884">
        <v>363.27999999999992</v>
      </c>
      <c r="DP43" s="884">
        <v>407.5499999999999</v>
      </c>
      <c r="DQ43" s="884">
        <v>490.76999999999992</v>
      </c>
      <c r="DR43" s="884">
        <v>590.32999999999993</v>
      </c>
      <c r="DS43" s="884">
        <v>394.62999999999994</v>
      </c>
      <c r="DT43" s="884">
        <v>409.25999999999988</v>
      </c>
      <c r="DU43" s="884">
        <v>444.21999999999991</v>
      </c>
      <c r="DV43" s="884">
        <v>569.04999999999984</v>
      </c>
      <c r="DW43" s="884">
        <v>801.79999999999973</v>
      </c>
      <c r="DX43" s="91">
        <v>5662.4599999999991</v>
      </c>
    </row>
    <row r="44" spans="1:129" ht="15" hidden="1" customHeight="1" outlineLevel="1">
      <c r="A44" s="94">
        <v>4</v>
      </c>
      <c r="B44" s="1079" t="s">
        <v>59</v>
      </c>
      <c r="C44" s="1120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>
        <f t="shared" si="83"/>
        <v>0</v>
      </c>
      <c r="Q44" s="90"/>
      <c r="R44" s="313">
        <v>1455</v>
      </c>
      <c r="S44" s="91">
        <f>2036</f>
        <v>2036</v>
      </c>
      <c r="T44" s="91">
        <f>2182/2</f>
        <v>1091</v>
      </c>
      <c r="U44" s="91">
        <v>0</v>
      </c>
      <c r="V44" s="91">
        <v>200</v>
      </c>
      <c r="W44" s="91">
        <v>900</v>
      </c>
      <c r="X44" s="91">
        <v>1600</v>
      </c>
      <c r="Y44" s="91">
        <v>1600</v>
      </c>
      <c r="Z44" s="91">
        <v>1600</v>
      </c>
      <c r="AA44" s="91">
        <v>1600</v>
      </c>
      <c r="AB44" s="91">
        <v>2200</v>
      </c>
      <c r="AC44" s="91">
        <v>2500</v>
      </c>
      <c r="AD44" s="315">
        <f t="shared" si="84"/>
        <v>16782</v>
      </c>
      <c r="AE44" s="23"/>
      <c r="AF44" s="316">
        <v>2200</v>
      </c>
      <c r="AG44" s="91">
        <v>1500</v>
      </c>
      <c r="AH44" s="91">
        <v>121</v>
      </c>
      <c r="AI44" s="91">
        <v>565</v>
      </c>
      <c r="AJ44" s="91">
        <v>1514</v>
      </c>
      <c r="AK44" s="91">
        <v>1760</v>
      </c>
      <c r="AL44" s="91">
        <v>1800</v>
      </c>
      <c r="AM44" s="91">
        <v>2200</v>
      </c>
      <c r="AN44" s="91">
        <v>2200</v>
      </c>
      <c r="AO44" s="91">
        <v>2200</v>
      </c>
      <c r="AP44" s="91">
        <v>2420</v>
      </c>
      <c r="AQ44" s="91">
        <v>3520</v>
      </c>
      <c r="AR44" s="92">
        <f t="shared" si="85"/>
        <v>22000</v>
      </c>
      <c r="AS44" s="23"/>
      <c r="AT44" s="91">
        <v>1529</v>
      </c>
      <c r="AU44" s="91">
        <v>1516</v>
      </c>
      <c r="AV44" s="91">
        <v>1586</v>
      </c>
      <c r="AW44" s="91">
        <v>1979</v>
      </c>
      <c r="AX44" s="317">
        <v>1283</v>
      </c>
      <c r="AY44" s="317">
        <v>1283</v>
      </c>
      <c r="AZ44" s="317">
        <v>1224</v>
      </c>
      <c r="BA44" s="317">
        <v>1224</v>
      </c>
      <c r="BB44" s="317">
        <v>1283</v>
      </c>
      <c r="BC44" s="317">
        <v>1516</v>
      </c>
      <c r="BD44" s="317">
        <v>1632</v>
      </c>
      <c r="BE44" s="317">
        <v>2332</v>
      </c>
      <c r="BF44" s="91">
        <f t="shared" si="86"/>
        <v>18387</v>
      </c>
      <c r="BG44" s="93">
        <f t="shared" si="87"/>
        <v>-0.16422727272727278</v>
      </c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>
        <v>9018</v>
      </c>
      <c r="BU44" s="54"/>
      <c r="BV44" s="91">
        <v>1143.8999999999999</v>
      </c>
      <c r="BW44" s="91">
        <v>884.43</v>
      </c>
      <c r="BX44" s="91">
        <f>'META  EM PEÇAS'!U29-('META  EM PEÇAS'!U29*0.05)</f>
        <v>993.9375</v>
      </c>
      <c r="BY44" s="91">
        <f>'META  EM PEÇAS'!V29-('META  EM PEÇAS'!V29*0.05)</f>
        <v>921.49049999999988</v>
      </c>
      <c r="BZ44" s="91">
        <f>'META  EM PEÇAS'!W29-('META  EM PEÇAS'!W29*0.05)</f>
        <v>1033.6949999999999</v>
      </c>
      <c r="CA44" s="91">
        <f>'META  EM PEÇAS'!X29-('META  EM PEÇAS'!X29*0.05)</f>
        <v>1244.8515</v>
      </c>
      <c r="CB44" s="91">
        <f>'META  EM PEÇAS'!Y29-('META  EM PEÇAS'!Y29*0.05)</f>
        <v>1497.5324999999998</v>
      </c>
      <c r="CC44" s="91">
        <f>'META  EM PEÇAS'!Z29-('META  EM PEÇAS'!Z29*0.05)</f>
        <v>1001.0054999999999</v>
      </c>
      <c r="CD44" s="91">
        <f>'META  EM PEÇAS'!AA29-('META  EM PEÇAS'!AA29*0.05)</f>
        <v>1038.1125</v>
      </c>
      <c r="CE44" s="91">
        <f>'META  EM PEÇAS'!AB29-('META  EM PEÇAS'!AB29*0.05)</f>
        <v>1126.4625000000001</v>
      </c>
      <c r="CF44" s="91">
        <f>'META  EM PEÇAS'!AC29-('META  EM PEÇAS'!AC29*0.05)</f>
        <v>1443.6389999999999</v>
      </c>
      <c r="CG44" s="91">
        <f>'META  EM PEÇAS'!AD29-('META  EM PEÇAS'!AD29*0.05)</f>
        <v>2033.8169999999998</v>
      </c>
      <c r="CH44" s="91">
        <f t="shared" si="88"/>
        <v>14362.873499999996</v>
      </c>
      <c r="CJ44" s="91">
        <v>1143.8999999999999</v>
      </c>
      <c r="CK44" s="91">
        <v>884.43</v>
      </c>
      <c r="CL44" s="91">
        <v>993.9375</v>
      </c>
      <c r="CM44" s="91">
        <v>921.49049999999988</v>
      </c>
      <c r="CN44" s="91">
        <v>1033.6949999999999</v>
      </c>
      <c r="CO44" s="91">
        <v>1244.8515</v>
      </c>
      <c r="CP44" s="91">
        <v>1497.5324999999998</v>
      </c>
      <c r="CQ44" s="91">
        <v>1001.0054999999999</v>
      </c>
      <c r="CR44" s="91">
        <v>1038.1125</v>
      </c>
      <c r="CS44" s="91">
        <v>1126.4625000000001</v>
      </c>
      <c r="CT44" s="91">
        <v>1443.6389999999999</v>
      </c>
      <c r="CU44" s="91">
        <v>2033.8169999999998</v>
      </c>
      <c r="CV44" s="91">
        <v>14362.873499999996</v>
      </c>
      <c r="CW44" s="758"/>
      <c r="CX44" s="884">
        <v>1143.8999999999999</v>
      </c>
      <c r="CY44" s="884">
        <v>884.43</v>
      </c>
      <c r="CZ44" s="884">
        <v>993.9375</v>
      </c>
      <c r="DA44" s="884">
        <v>921.49049999999988</v>
      </c>
      <c r="DB44" s="884">
        <v>1033.6949999999999</v>
      </c>
      <c r="DC44" s="884">
        <v>1244.8515</v>
      </c>
      <c r="DD44" s="884">
        <v>1497.5324999999998</v>
      </c>
      <c r="DE44" s="884">
        <v>1001.0054999999999</v>
      </c>
      <c r="DF44" s="884">
        <v>1038.1125</v>
      </c>
      <c r="DG44" s="884">
        <v>1126.4625000000001</v>
      </c>
      <c r="DH44" s="884">
        <v>1443.6389999999999</v>
      </c>
      <c r="DI44" s="884">
        <v>2033.8169999999998</v>
      </c>
      <c r="DJ44" s="844">
        <f t="shared" si="70"/>
        <v>11340.605999999998</v>
      </c>
      <c r="DK44" s="948"/>
      <c r="DL44" s="884">
        <v>1143.8999999999999</v>
      </c>
      <c r="DM44" s="884">
        <v>884.43</v>
      </c>
      <c r="DN44" s="884">
        <v>993.9375</v>
      </c>
      <c r="DO44" s="884">
        <v>921.49049999999988</v>
      </c>
      <c r="DP44" s="884">
        <v>1033.6949999999999</v>
      </c>
      <c r="DQ44" s="884">
        <v>1244.8515</v>
      </c>
      <c r="DR44" s="884">
        <v>1497.5324999999998</v>
      </c>
      <c r="DS44" s="884">
        <v>1001.0054999999999</v>
      </c>
      <c r="DT44" s="884">
        <v>1038.1125</v>
      </c>
      <c r="DU44" s="884">
        <v>1126.4625000000001</v>
      </c>
      <c r="DV44" s="884">
        <v>1443.6389999999999</v>
      </c>
      <c r="DW44" s="884">
        <v>2033.8169999999998</v>
      </c>
      <c r="DX44" s="91">
        <v>14362.873499999996</v>
      </c>
    </row>
    <row r="45" spans="1:129" ht="15" hidden="1" customHeight="1" outlineLevel="1">
      <c r="A45" s="94">
        <v>5</v>
      </c>
      <c r="B45" s="1079" t="s">
        <v>60</v>
      </c>
      <c r="C45" s="1120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>
        <f t="shared" si="83"/>
        <v>0</v>
      </c>
      <c r="Q45" s="90"/>
      <c r="R45" s="313">
        <v>1353</v>
      </c>
      <c r="S45" s="91">
        <v>1184</v>
      </c>
      <c r="T45" s="91">
        <v>1268</v>
      </c>
      <c r="U45" s="91">
        <f t="shared" ref="U45:V45" si="89">10*U7</f>
        <v>10</v>
      </c>
      <c r="V45" s="91">
        <f t="shared" si="89"/>
        <v>120</v>
      </c>
      <c r="W45" s="91">
        <v>600</v>
      </c>
      <c r="X45" s="91">
        <v>1600</v>
      </c>
      <c r="Y45" s="91">
        <v>1600</v>
      </c>
      <c r="Z45" s="91">
        <v>1600</v>
      </c>
      <c r="AA45" s="91">
        <v>1600</v>
      </c>
      <c r="AB45" s="91">
        <v>1600</v>
      </c>
      <c r="AC45" s="91">
        <v>2200</v>
      </c>
      <c r="AD45" s="315">
        <f t="shared" si="84"/>
        <v>14735</v>
      </c>
      <c r="AE45" s="23"/>
      <c r="AF45" s="316">
        <v>1800</v>
      </c>
      <c r="AG45" s="91">
        <v>1200</v>
      </c>
      <c r="AH45" s="91">
        <v>181</v>
      </c>
      <c r="AI45" s="91">
        <v>628</v>
      </c>
      <c r="AJ45" s="91">
        <v>1169</v>
      </c>
      <c r="AK45" s="91">
        <v>960</v>
      </c>
      <c r="AL45" s="91">
        <v>1500</v>
      </c>
      <c r="AM45" s="91">
        <v>1200</v>
      </c>
      <c r="AN45" s="91">
        <v>1200</v>
      </c>
      <c r="AO45" s="91">
        <v>1200</v>
      </c>
      <c r="AP45" s="91">
        <v>1320</v>
      </c>
      <c r="AQ45" s="91">
        <v>1920</v>
      </c>
      <c r="AR45" s="92">
        <f t="shared" si="85"/>
        <v>14278</v>
      </c>
      <c r="AS45" s="23"/>
      <c r="AT45" s="91">
        <v>1496</v>
      </c>
      <c r="AU45" s="91">
        <v>1200</v>
      </c>
      <c r="AV45" s="91">
        <v>1227</v>
      </c>
      <c r="AW45" s="91">
        <v>1655</v>
      </c>
      <c r="AX45" s="317">
        <v>1141</v>
      </c>
      <c r="AY45" s="317">
        <v>1141</v>
      </c>
      <c r="AZ45" s="317">
        <v>1089</v>
      </c>
      <c r="BA45" s="317">
        <v>1089</v>
      </c>
      <c r="BB45" s="317">
        <v>1141</v>
      </c>
      <c r="BC45" s="317">
        <v>1349</v>
      </c>
      <c r="BD45" s="317">
        <v>1453</v>
      </c>
      <c r="BE45" s="317">
        <v>2075</v>
      </c>
      <c r="BF45" s="91">
        <f t="shared" si="86"/>
        <v>16056</v>
      </c>
      <c r="BG45" s="93">
        <f t="shared" si="87"/>
        <v>0.1245272447121446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>
        <v>10591</v>
      </c>
      <c r="BU45" s="54"/>
      <c r="BV45" s="91">
        <v>1474.9799999999998</v>
      </c>
      <c r="BW45" s="91">
        <v>1140.1799999999998</v>
      </c>
      <c r="BX45" s="91">
        <f>'META  EM PEÇAS'!U30-('META  EM PEÇAS'!U30*0.05)</f>
        <v>1281.9584999999997</v>
      </c>
      <c r="BY45" s="91">
        <f>'META  EM PEÇAS'!V30-('META  EM PEÇAS'!V30*0.05)</f>
        <v>1188.3074999999999</v>
      </c>
      <c r="BZ45" s="91">
        <f>'META  EM PEÇAS'!W30-('META  EM PEÇAS'!W30*0.05)</f>
        <v>1333.2014999999999</v>
      </c>
      <c r="CA45" s="91">
        <f>'META  EM PEÇAS'!X30-('META  EM PEÇAS'!X30*0.05)</f>
        <v>1606.2029999999997</v>
      </c>
      <c r="CB45" s="91">
        <f>'META  EM PEÇAS'!Y30-('META  EM PEÇAS'!Y30*0.05)</f>
        <v>1931.3309999999997</v>
      </c>
      <c r="CC45" s="91">
        <f>'META  EM PEÇAS'!Z30-('META  EM PEÇAS'!Z30*0.05)</f>
        <v>1291.6769999999999</v>
      </c>
      <c r="CD45" s="91">
        <f>'META  EM PEÇAS'!AA30-('META  EM PEÇAS'!AA30*0.05)</f>
        <v>1339.386</v>
      </c>
      <c r="CE45" s="91">
        <f>'META  EM PEÇAS'!AB30-('META  EM PEÇAS'!AB30*0.05)</f>
        <v>1453.3574999999998</v>
      </c>
      <c r="CF45" s="91">
        <f>'META  EM PEÇAS'!AC30-('META  EM PEÇAS'!AC30*0.05)</f>
        <v>1861.5344999999998</v>
      </c>
      <c r="CG45" s="91">
        <f>'META  EM PEÇAS'!AD30-('META  EM PEÇAS'!AD30*0.05)</f>
        <v>2623.1114999999995</v>
      </c>
      <c r="CH45" s="91">
        <f t="shared" si="88"/>
        <v>18525.227999999999</v>
      </c>
      <c r="CI45" s="450"/>
      <c r="CJ45" s="91">
        <v>1474.9799999999998</v>
      </c>
      <c r="CK45" s="91">
        <v>1140.1799999999998</v>
      </c>
      <c r="CL45" s="91">
        <v>1281.9584999999997</v>
      </c>
      <c r="CM45" s="91">
        <v>1188.3074999999999</v>
      </c>
      <c r="CN45" s="91">
        <v>1333.2014999999999</v>
      </c>
      <c r="CO45" s="91">
        <v>1606.2029999999997</v>
      </c>
      <c r="CP45" s="91">
        <v>1931.3309999999997</v>
      </c>
      <c r="CQ45" s="91">
        <v>1291.6769999999999</v>
      </c>
      <c r="CR45" s="91">
        <v>1339.386</v>
      </c>
      <c r="CS45" s="91">
        <v>1453.3574999999998</v>
      </c>
      <c r="CT45" s="91">
        <v>1861.5344999999998</v>
      </c>
      <c r="CU45" s="91">
        <v>2623.1114999999995</v>
      </c>
      <c r="CV45" s="91">
        <v>18525.227999999999</v>
      </c>
      <c r="CW45" s="758"/>
      <c r="CX45" s="884">
        <v>1474.9799999999998</v>
      </c>
      <c r="CY45" s="884">
        <v>1140.1799999999998</v>
      </c>
      <c r="CZ45" s="884">
        <v>1281.9584999999997</v>
      </c>
      <c r="DA45" s="884">
        <v>1188.3074999999999</v>
      </c>
      <c r="DB45" s="884">
        <v>1333.2014999999999</v>
      </c>
      <c r="DC45" s="884">
        <v>1606.2029999999997</v>
      </c>
      <c r="DD45" s="884">
        <v>1931.3309999999997</v>
      </c>
      <c r="DE45" s="884">
        <v>1291.6769999999999</v>
      </c>
      <c r="DF45" s="884">
        <v>1339.386</v>
      </c>
      <c r="DG45" s="884">
        <v>1453.3574999999998</v>
      </c>
      <c r="DH45" s="884">
        <v>1861.5344999999998</v>
      </c>
      <c r="DI45" s="884">
        <v>2623.1114999999995</v>
      </c>
      <c r="DJ45" s="844">
        <f t="shared" si="70"/>
        <v>14628.109499999999</v>
      </c>
      <c r="DK45" s="948"/>
      <c r="DL45" s="884">
        <v>1474.9799999999998</v>
      </c>
      <c r="DM45" s="884">
        <v>1140.1799999999998</v>
      </c>
      <c r="DN45" s="884">
        <v>1281.9584999999997</v>
      </c>
      <c r="DO45" s="884">
        <v>1188.3074999999999</v>
      </c>
      <c r="DP45" s="884">
        <v>1333.2014999999999</v>
      </c>
      <c r="DQ45" s="884">
        <v>1606.2029999999997</v>
      </c>
      <c r="DR45" s="884">
        <v>1931.3309999999997</v>
      </c>
      <c r="DS45" s="884">
        <v>1291.6769999999999</v>
      </c>
      <c r="DT45" s="884">
        <v>1339.386</v>
      </c>
      <c r="DU45" s="884">
        <v>1453.3574999999998</v>
      </c>
      <c r="DV45" s="884">
        <v>1861.5344999999998</v>
      </c>
      <c r="DW45" s="884">
        <v>2623.1114999999995</v>
      </c>
      <c r="DX45" s="91">
        <v>18525.227999999999</v>
      </c>
    </row>
    <row r="46" spans="1:129" ht="15" hidden="1" customHeight="1" outlineLevel="1">
      <c r="A46" s="94">
        <v>6</v>
      </c>
      <c r="B46" s="1079" t="s">
        <v>61</v>
      </c>
      <c r="C46" s="1120"/>
      <c r="D46" s="313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314">
        <f t="shared" si="83"/>
        <v>0</v>
      </c>
      <c r="Q46" s="90"/>
      <c r="R46" s="313">
        <v>1455</v>
      </c>
      <c r="S46" s="91">
        <v>1273</v>
      </c>
      <c r="T46" s="91">
        <v>1364</v>
      </c>
      <c r="U46" s="91">
        <v>0</v>
      </c>
      <c r="V46" s="91">
        <v>200</v>
      </c>
      <c r="W46" s="91">
        <v>800</v>
      </c>
      <c r="X46" s="91">
        <v>1600</v>
      </c>
      <c r="Y46" s="91">
        <v>1600</v>
      </c>
      <c r="Z46" s="91">
        <v>1600</v>
      </c>
      <c r="AA46" s="91">
        <v>1600</v>
      </c>
      <c r="AB46" s="91">
        <v>1800</v>
      </c>
      <c r="AC46" s="91">
        <v>2400</v>
      </c>
      <c r="AD46" s="315">
        <f t="shared" si="84"/>
        <v>15692</v>
      </c>
      <c r="AE46" s="23"/>
      <c r="AF46" s="316">
        <v>1500</v>
      </c>
      <c r="AG46" s="91">
        <v>1200</v>
      </c>
      <c r="AH46" s="91">
        <v>127</v>
      </c>
      <c r="AI46" s="91">
        <v>426</v>
      </c>
      <c r="AJ46" s="91">
        <v>1063</v>
      </c>
      <c r="AK46" s="91">
        <v>960</v>
      </c>
      <c r="AL46" s="91">
        <v>1500</v>
      </c>
      <c r="AM46" s="91">
        <v>1200</v>
      </c>
      <c r="AN46" s="91">
        <v>1200</v>
      </c>
      <c r="AO46" s="91">
        <v>1200</v>
      </c>
      <c r="AP46" s="91">
        <v>1320</v>
      </c>
      <c r="AQ46" s="91">
        <v>1920</v>
      </c>
      <c r="AR46" s="92">
        <f t="shared" si="85"/>
        <v>13616</v>
      </c>
      <c r="AS46" s="23"/>
      <c r="AT46" s="91">
        <v>1222</v>
      </c>
      <c r="AU46" s="91">
        <v>1200</v>
      </c>
      <c r="AV46" s="91">
        <v>1117</v>
      </c>
      <c r="AW46" s="91">
        <v>1463</v>
      </c>
      <c r="AX46" s="317">
        <v>1087</v>
      </c>
      <c r="AY46" s="317">
        <v>1087</v>
      </c>
      <c r="AZ46" s="317">
        <v>1038</v>
      </c>
      <c r="BA46" s="317">
        <v>1038</v>
      </c>
      <c r="BB46" s="317">
        <v>1087</v>
      </c>
      <c r="BC46" s="317">
        <v>1285</v>
      </c>
      <c r="BD46" s="317">
        <v>1384</v>
      </c>
      <c r="BE46" s="317">
        <v>1977</v>
      </c>
      <c r="BF46" s="91">
        <f t="shared" si="86"/>
        <v>14985</v>
      </c>
      <c r="BG46" s="93">
        <f t="shared" si="87"/>
        <v>0.10054347826086962</v>
      </c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>
        <v>10087</v>
      </c>
      <c r="BU46" s="54"/>
      <c r="BV46" s="91">
        <v>1214.58</v>
      </c>
      <c r="BW46" s="91">
        <v>939.3</v>
      </c>
      <c r="BX46" s="91">
        <f>'META  EM PEÇAS'!U31-('META  EM PEÇAS'!U31*0.05)</f>
        <v>1055.7824999999998</v>
      </c>
      <c r="BY46" s="91">
        <f>'META  EM PEÇAS'!V31-('META  EM PEÇAS'!V31*0.05)</f>
        <v>978.03449999999998</v>
      </c>
      <c r="BZ46" s="91">
        <f>'META  EM PEÇAS'!W31-('META  EM PEÇAS'!W31*0.05)</f>
        <v>1098.1904999999999</v>
      </c>
      <c r="CA46" s="91">
        <f>'META  EM PEÇAS'!X31-('META  EM PEÇAS'!X31*0.05)</f>
        <v>1322.5994999999998</v>
      </c>
      <c r="CB46" s="91">
        <f>'META  EM PEÇAS'!Y31-('META  EM PEÇAS'!Y31*0.05)</f>
        <v>1590.3</v>
      </c>
      <c r="CC46" s="91">
        <f>'META  EM PEÇAS'!Z31-('META  EM PEÇAS'!Z31*0.05)</f>
        <v>1062.8505</v>
      </c>
      <c r="CD46" s="91">
        <f>'META  EM PEÇAS'!AA31-('META  EM PEÇAS'!AA31*0.05)</f>
        <v>1102.6079999999999</v>
      </c>
      <c r="CE46" s="91">
        <f>'META  EM PEÇAS'!AB31-('META  EM PEÇAS'!AB31*0.05)</f>
        <v>1196.259</v>
      </c>
      <c r="CF46" s="91">
        <f>'META  EM PEÇAS'!AC31-('META  EM PEÇAS'!AC31*0.05)</f>
        <v>1532.8724999999999</v>
      </c>
      <c r="CG46" s="91">
        <f>'META  EM PEÇAS'!AD31-('META  EM PEÇAS'!AD31*0.05)</f>
        <v>2160.1574999999998</v>
      </c>
      <c r="CH46" s="91">
        <f t="shared" si="88"/>
        <v>15253.534499999998</v>
      </c>
      <c r="CJ46" s="91">
        <v>1214.58</v>
      </c>
      <c r="CK46" s="91">
        <v>939.3</v>
      </c>
      <c r="CL46" s="91">
        <v>1055.7824999999998</v>
      </c>
      <c r="CM46" s="91">
        <v>978.03449999999998</v>
      </c>
      <c r="CN46" s="91">
        <v>1098.1904999999999</v>
      </c>
      <c r="CO46" s="91">
        <v>1322.5994999999998</v>
      </c>
      <c r="CP46" s="91">
        <v>1590.3</v>
      </c>
      <c r="CQ46" s="91">
        <v>1062.8505</v>
      </c>
      <c r="CR46" s="91">
        <v>1102.6079999999999</v>
      </c>
      <c r="CS46" s="91">
        <v>1196.259</v>
      </c>
      <c r="CT46" s="91">
        <v>1532.8724999999999</v>
      </c>
      <c r="CU46" s="91">
        <v>2160.1574999999998</v>
      </c>
      <c r="CV46" s="91">
        <v>15253.534499999998</v>
      </c>
      <c r="CW46" s="758"/>
      <c r="CX46" s="884">
        <v>1214.58</v>
      </c>
      <c r="CY46" s="884">
        <v>939.3</v>
      </c>
      <c r="CZ46" s="884">
        <v>1055.7824999999998</v>
      </c>
      <c r="DA46" s="884">
        <v>978.03449999999998</v>
      </c>
      <c r="DB46" s="884">
        <v>1098.1904999999999</v>
      </c>
      <c r="DC46" s="884">
        <v>1322.5994999999998</v>
      </c>
      <c r="DD46" s="884">
        <v>1590.3</v>
      </c>
      <c r="DE46" s="884">
        <v>1062.8505</v>
      </c>
      <c r="DF46" s="884">
        <v>1102.6079999999999</v>
      </c>
      <c r="DG46" s="884">
        <v>1196.259</v>
      </c>
      <c r="DH46" s="884">
        <v>1532.8724999999999</v>
      </c>
      <c r="DI46" s="884">
        <v>2160.1574999999998</v>
      </c>
      <c r="DJ46" s="844">
        <f t="shared" si="70"/>
        <v>12043.871999999999</v>
      </c>
      <c r="DK46" s="948"/>
      <c r="DL46" s="884">
        <v>1214.58</v>
      </c>
      <c r="DM46" s="884">
        <v>939.3</v>
      </c>
      <c r="DN46" s="884">
        <v>1055.7824999999998</v>
      </c>
      <c r="DO46" s="884">
        <v>978.03449999999998</v>
      </c>
      <c r="DP46" s="884">
        <v>1098.1904999999999</v>
      </c>
      <c r="DQ46" s="884">
        <v>1322.5994999999998</v>
      </c>
      <c r="DR46" s="884">
        <v>1590.3</v>
      </c>
      <c r="DS46" s="884">
        <v>1062.8505</v>
      </c>
      <c r="DT46" s="884">
        <v>1102.6079999999999</v>
      </c>
      <c r="DU46" s="884">
        <v>1196.259</v>
      </c>
      <c r="DV46" s="884">
        <v>1532.8724999999999</v>
      </c>
      <c r="DW46" s="884">
        <v>2160.1574999999998</v>
      </c>
      <c r="DX46" s="91">
        <v>15253.534499999998</v>
      </c>
    </row>
    <row r="47" spans="1:129" ht="15" hidden="1" customHeight="1" outlineLevel="1">
      <c r="A47" s="94">
        <v>7</v>
      </c>
      <c r="B47" s="1079" t="s">
        <v>62</v>
      </c>
      <c r="C47" s="1120"/>
      <c r="D47" s="313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314">
        <f t="shared" si="83"/>
        <v>0</v>
      </c>
      <c r="Q47" s="90"/>
      <c r="R47" s="313">
        <v>2000</v>
      </c>
      <c r="S47" s="91">
        <f>2182</f>
        <v>2182</v>
      </c>
      <c r="T47" s="91">
        <f>2455/2</f>
        <v>1227.5</v>
      </c>
      <c r="U47" s="91">
        <f>4*U7</f>
        <v>4</v>
      </c>
      <c r="V47" s="91">
        <v>200</v>
      </c>
      <c r="W47" s="91">
        <v>700</v>
      </c>
      <c r="X47" s="91">
        <v>1600</v>
      </c>
      <c r="Y47" s="91">
        <v>1600</v>
      </c>
      <c r="Z47" s="91">
        <v>1600</v>
      </c>
      <c r="AA47" s="91">
        <v>1600</v>
      </c>
      <c r="AB47" s="91">
        <v>2500</v>
      </c>
      <c r="AC47" s="91">
        <v>3200</v>
      </c>
      <c r="AD47" s="315">
        <f t="shared" si="84"/>
        <v>18413.5</v>
      </c>
      <c r="AE47" s="23"/>
      <c r="AF47" s="316">
        <v>2600</v>
      </c>
      <c r="AG47" s="91">
        <v>1000</v>
      </c>
      <c r="AH47" s="91">
        <v>195</v>
      </c>
      <c r="AI47" s="91">
        <v>844</v>
      </c>
      <c r="AJ47" s="91">
        <v>1973</v>
      </c>
      <c r="AK47" s="91">
        <v>1840</v>
      </c>
      <c r="AL47" s="91">
        <v>2000</v>
      </c>
      <c r="AM47" s="91">
        <v>2300</v>
      </c>
      <c r="AN47" s="91">
        <v>2300</v>
      </c>
      <c r="AO47" s="91">
        <v>2300</v>
      </c>
      <c r="AP47" s="91">
        <v>2530</v>
      </c>
      <c r="AQ47" s="91">
        <v>3680</v>
      </c>
      <c r="AR47" s="92">
        <f t="shared" si="85"/>
        <v>23562</v>
      </c>
      <c r="AS47" s="23"/>
      <c r="AT47" s="91">
        <v>1888</v>
      </c>
      <c r="AU47" s="91">
        <v>1414</v>
      </c>
      <c r="AV47" s="91">
        <v>2073</v>
      </c>
      <c r="AW47" s="91">
        <v>2338</v>
      </c>
      <c r="AX47" s="317">
        <v>1857</v>
      </c>
      <c r="AY47" s="317">
        <v>1857</v>
      </c>
      <c r="AZ47" s="317">
        <v>1772</v>
      </c>
      <c r="BA47" s="317">
        <v>1772</v>
      </c>
      <c r="BB47" s="317">
        <v>1857</v>
      </c>
      <c r="BC47" s="317">
        <v>2194</v>
      </c>
      <c r="BD47" s="317">
        <v>2363</v>
      </c>
      <c r="BE47" s="317">
        <v>3376</v>
      </c>
      <c r="BF47" s="91">
        <f t="shared" si="86"/>
        <v>24761</v>
      </c>
      <c r="BG47" s="93">
        <f t="shared" si="87"/>
        <v>5.0887021475256811E-2</v>
      </c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>
        <v>22941</v>
      </c>
      <c r="BU47" s="54"/>
      <c r="BV47" s="91">
        <v>3211.29</v>
      </c>
      <c r="BW47" s="91">
        <v>2482.1699999999996</v>
      </c>
      <c r="BX47" s="91">
        <f>'META  EM PEÇAS'!U32-('META  EM PEÇAS'!U32*0.05)</f>
        <v>2790.0929999999998</v>
      </c>
      <c r="BY47" s="91">
        <f>'META  EM PEÇAS'!V32-('META  EM PEÇAS'!V32*0.05)</f>
        <v>2586.0044999999996</v>
      </c>
      <c r="BZ47" s="91">
        <f>'META  EM PEÇAS'!W32-('META  EM PEÇAS'!W32*0.05)</f>
        <v>2902.2974999999997</v>
      </c>
      <c r="CA47" s="91">
        <f>'META  EM PEÇAS'!X32-('META  EM PEÇAS'!X32*0.05)</f>
        <v>3495.1259999999997</v>
      </c>
      <c r="CB47" s="91">
        <f>'META  EM PEÇAS'!Y32-('META  EM PEÇAS'!Y32*0.05)</f>
        <v>4203.6929999999993</v>
      </c>
      <c r="CC47" s="91">
        <f>'META  EM PEÇAS'!Z32-('META  EM PEÇAS'!Z32*0.05)</f>
        <v>2810.4135000000001</v>
      </c>
      <c r="CD47" s="91">
        <f>'META  EM PEÇAS'!AA32-('META  EM PEÇAS'!AA32*0.05)</f>
        <v>2914.6664999999998</v>
      </c>
      <c r="CE47" s="91">
        <f>'META  EM PEÇAS'!AB32-('META  EM PEÇAS'!AB32*0.05)</f>
        <v>3162.93</v>
      </c>
      <c r="CF47" s="91">
        <f>'META  EM PEÇAS'!AC32-('META  EM PEÇAS'!AC32*0.05)</f>
        <v>4051.7309999999998</v>
      </c>
      <c r="CG47" s="91">
        <f>'META  EM PEÇAS'!AD32-('META  EM PEÇAS'!AD32*0.05)</f>
        <v>5709.1769999999997</v>
      </c>
      <c r="CH47" s="91">
        <f t="shared" si="88"/>
        <v>40319.59199999999</v>
      </c>
      <c r="CJ47" s="91">
        <v>3211.29</v>
      </c>
      <c r="CK47" s="91">
        <v>2482.1699999999996</v>
      </c>
      <c r="CL47" s="91">
        <v>2790.0929999999998</v>
      </c>
      <c r="CM47" s="91">
        <v>2586.0044999999996</v>
      </c>
      <c r="CN47" s="91">
        <v>2902.2974999999997</v>
      </c>
      <c r="CO47" s="91">
        <v>3495.1259999999997</v>
      </c>
      <c r="CP47" s="91">
        <v>4203.6929999999993</v>
      </c>
      <c r="CQ47" s="91">
        <v>2810.4135000000001</v>
      </c>
      <c r="CR47" s="91">
        <v>2914.6664999999998</v>
      </c>
      <c r="CS47" s="91">
        <v>3162.93</v>
      </c>
      <c r="CT47" s="91">
        <v>4051.7309999999998</v>
      </c>
      <c r="CU47" s="91">
        <v>5709.1769999999997</v>
      </c>
      <c r="CV47" s="91">
        <v>40319.59199999999</v>
      </c>
      <c r="CW47" s="758"/>
      <c r="CX47" s="884">
        <v>3211.29</v>
      </c>
      <c r="CY47" s="884">
        <v>2482.1699999999996</v>
      </c>
      <c r="CZ47" s="884">
        <v>2790.0929999999998</v>
      </c>
      <c r="DA47" s="884">
        <v>2586.0044999999996</v>
      </c>
      <c r="DB47" s="884">
        <v>2902.2974999999997</v>
      </c>
      <c r="DC47" s="884">
        <v>3495.1259999999997</v>
      </c>
      <c r="DD47" s="884">
        <v>4203.6929999999993</v>
      </c>
      <c r="DE47" s="884">
        <v>2810.4135000000001</v>
      </c>
      <c r="DF47" s="884">
        <v>2914.6664999999998</v>
      </c>
      <c r="DG47" s="884">
        <v>3162.93</v>
      </c>
      <c r="DH47" s="884">
        <v>4051.7309999999998</v>
      </c>
      <c r="DI47" s="884">
        <v>5709.1769999999997</v>
      </c>
      <c r="DJ47" s="844">
        <f t="shared" si="70"/>
        <v>31836.039000000001</v>
      </c>
      <c r="DK47" s="948"/>
      <c r="DL47" s="884">
        <v>3211.29</v>
      </c>
      <c r="DM47" s="884">
        <v>2482.1699999999996</v>
      </c>
      <c r="DN47" s="884">
        <v>2790.0929999999998</v>
      </c>
      <c r="DO47" s="884">
        <v>2586.0044999999996</v>
      </c>
      <c r="DP47" s="884">
        <v>2902.2974999999997</v>
      </c>
      <c r="DQ47" s="884">
        <v>3495.1259999999997</v>
      </c>
      <c r="DR47" s="884">
        <v>4203.6929999999993</v>
      </c>
      <c r="DS47" s="884">
        <v>2810.4135000000001</v>
      </c>
      <c r="DT47" s="884">
        <v>2914.6664999999998</v>
      </c>
      <c r="DU47" s="884">
        <v>3162.93</v>
      </c>
      <c r="DV47" s="884">
        <v>4051.7309999999998</v>
      </c>
      <c r="DW47" s="884">
        <v>5709.1769999999997</v>
      </c>
      <c r="DX47" s="91">
        <v>40319.59199999999</v>
      </c>
    </row>
    <row r="48" spans="1:129" ht="15" hidden="1" customHeight="1" outlineLevel="1">
      <c r="A48" s="94">
        <v>9</v>
      </c>
      <c r="B48" s="1079" t="s">
        <v>63</v>
      </c>
      <c r="C48" s="1120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314">
        <f t="shared" si="83"/>
        <v>0</v>
      </c>
      <c r="Q48" s="90"/>
      <c r="R48" s="313">
        <v>1636</v>
      </c>
      <c r="S48" s="91">
        <v>1636</v>
      </c>
      <c r="T48" s="91">
        <f t="shared" ref="T48:T49" si="90">1818/2</f>
        <v>909</v>
      </c>
      <c r="U48" s="91">
        <v>0</v>
      </c>
      <c r="V48" s="91">
        <v>200</v>
      </c>
      <c r="W48" s="91">
        <v>300</v>
      </c>
      <c r="X48" s="91">
        <v>1000</v>
      </c>
      <c r="Y48" s="91">
        <v>1200</v>
      </c>
      <c r="Z48" s="91">
        <v>1600</v>
      </c>
      <c r="AA48" s="91">
        <v>1600</v>
      </c>
      <c r="AB48" s="91">
        <v>1800</v>
      </c>
      <c r="AC48" s="91">
        <v>2300</v>
      </c>
      <c r="AD48" s="315">
        <f t="shared" si="84"/>
        <v>14181</v>
      </c>
      <c r="AE48" s="23"/>
      <c r="AF48" s="316">
        <v>1500</v>
      </c>
      <c r="AG48" s="91">
        <v>1000</v>
      </c>
      <c r="AH48" s="91">
        <v>126</v>
      </c>
      <c r="AI48" s="91">
        <v>387</v>
      </c>
      <c r="AJ48" s="91">
        <v>895</v>
      </c>
      <c r="AK48" s="91">
        <v>800</v>
      </c>
      <c r="AL48" s="91">
        <v>1500</v>
      </c>
      <c r="AM48" s="91">
        <v>1000</v>
      </c>
      <c r="AN48" s="91">
        <v>1000</v>
      </c>
      <c r="AO48" s="91">
        <v>1000</v>
      </c>
      <c r="AP48" s="91">
        <v>1100</v>
      </c>
      <c r="AQ48" s="91">
        <v>1600</v>
      </c>
      <c r="AR48" s="92">
        <f t="shared" si="85"/>
        <v>11908</v>
      </c>
      <c r="AS48" s="23"/>
      <c r="AT48" s="91">
        <v>1182</v>
      </c>
      <c r="AU48" s="91">
        <v>1200</v>
      </c>
      <c r="AV48" s="91">
        <v>932</v>
      </c>
      <c r="AW48" s="91">
        <v>1020</v>
      </c>
      <c r="AX48" s="317">
        <v>0</v>
      </c>
      <c r="AY48" s="317">
        <v>0</v>
      </c>
      <c r="AZ48" s="317">
        <v>0</v>
      </c>
      <c r="BA48" s="317">
        <v>0</v>
      </c>
      <c r="BB48" s="317">
        <v>0</v>
      </c>
      <c r="BC48" s="317">
        <v>0</v>
      </c>
      <c r="BD48" s="317">
        <v>0</v>
      </c>
      <c r="BE48" s="317">
        <v>0</v>
      </c>
      <c r="BF48" s="91">
        <f t="shared" si="86"/>
        <v>4334</v>
      </c>
      <c r="BG48" s="93">
        <f t="shared" si="87"/>
        <v>-0.63604299630500505</v>
      </c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>
        <v>7070</v>
      </c>
      <c r="BU48" s="54"/>
      <c r="BV48" s="91">
        <v>928.14</v>
      </c>
      <c r="BW48" s="91">
        <v>717.95999999999992</v>
      </c>
      <c r="BX48" s="91">
        <f>'META  EM PEÇAS'!U37-('META  EM PEÇAS'!U37*0.05)</f>
        <v>806.63549999999987</v>
      </c>
      <c r="BY48" s="91">
        <f>'META  EM PEÇAS'!V37-('META  EM PEÇAS'!V37*0.05)</f>
        <v>747.44100000000003</v>
      </c>
      <c r="BZ48" s="91">
        <f>'META  EM PEÇAS'!W37-('META  EM PEÇAS'!W37*0.05)</f>
        <v>839.32499999999993</v>
      </c>
      <c r="CA48" s="91">
        <f>'META  EM PEÇAS'!X37-('META  EM PEÇAS'!X37*0.05)</f>
        <v>1010.7239999999998</v>
      </c>
      <c r="CB48" s="91">
        <f>'META  EM PEÇAS'!Y37-('META  EM PEÇAS'!Y37*0.05)</f>
        <v>1214.8125</v>
      </c>
      <c r="CC48" s="91">
        <f>'META  EM PEÇAS'!Z37-('META  EM PEÇAS'!Z37*0.05)</f>
        <v>812.81999999999994</v>
      </c>
      <c r="CD48" s="91">
        <f>'META  EM PEÇAS'!AA37-('META  EM PEÇAS'!AA37*0.05)</f>
        <v>842.85899999999992</v>
      </c>
      <c r="CE48" s="91">
        <f>'META  EM PEÇAS'!AB37-('META  EM PEÇAS'!AB37*0.05)</f>
        <v>914.4224999999999</v>
      </c>
      <c r="CF48" s="91">
        <f>'META  EM PEÇAS'!AC37-('META  EM PEÇAS'!AC37*0.05)</f>
        <v>1171.5209999999997</v>
      </c>
      <c r="CG48" s="91">
        <f>'META  EM PEÇAS'!AD37-('META  EM PEÇAS'!AD37*0.05)</f>
        <v>1650.3779999999997</v>
      </c>
      <c r="CH48" s="91">
        <f t="shared" si="88"/>
        <v>11657.038499999999</v>
      </c>
      <c r="CJ48" s="91">
        <v>928.14</v>
      </c>
      <c r="CK48" s="91">
        <v>717.95999999999992</v>
      </c>
      <c r="CL48" s="91">
        <v>806.63549999999987</v>
      </c>
      <c r="CM48" s="91">
        <v>747.44100000000003</v>
      </c>
      <c r="CN48" s="91">
        <v>839.32499999999993</v>
      </c>
      <c r="CO48" s="91">
        <v>1010.7239999999998</v>
      </c>
      <c r="CP48" s="91">
        <v>1214.8125</v>
      </c>
      <c r="CQ48" s="91">
        <v>812.81999999999994</v>
      </c>
      <c r="CR48" s="91">
        <v>842.85899999999992</v>
      </c>
      <c r="CS48" s="91">
        <v>914.4224999999999</v>
      </c>
      <c r="CT48" s="91">
        <v>1171.5209999999997</v>
      </c>
      <c r="CU48" s="91">
        <v>1650.3779999999997</v>
      </c>
      <c r="CV48" s="91">
        <v>11657.038499999999</v>
      </c>
      <c r="CW48" s="758"/>
      <c r="CX48" s="884">
        <v>928.14</v>
      </c>
      <c r="CY48" s="884">
        <v>717.95999999999992</v>
      </c>
      <c r="CZ48" s="884">
        <v>806.63549999999987</v>
      </c>
      <c r="DA48" s="884">
        <v>747.44100000000003</v>
      </c>
      <c r="DB48" s="884">
        <v>839.32499999999993</v>
      </c>
      <c r="DC48" s="884">
        <v>1010.7239999999998</v>
      </c>
      <c r="DD48" s="884">
        <v>1214.8125</v>
      </c>
      <c r="DE48" s="884">
        <v>812.81999999999994</v>
      </c>
      <c r="DF48" s="884">
        <v>842.85899999999992</v>
      </c>
      <c r="DG48" s="884">
        <v>914.4224999999999</v>
      </c>
      <c r="DH48" s="884">
        <v>1171.5209999999997</v>
      </c>
      <c r="DI48" s="884">
        <v>1650.3779999999997</v>
      </c>
      <c r="DJ48" s="844">
        <f t="shared" si="70"/>
        <v>9204.3029999999999</v>
      </c>
      <c r="DK48" s="948"/>
      <c r="DL48" s="884">
        <v>928.14</v>
      </c>
      <c r="DM48" s="884">
        <v>717.95999999999992</v>
      </c>
      <c r="DN48" s="884">
        <v>806.63549999999987</v>
      </c>
      <c r="DO48" s="884">
        <v>747.44100000000003</v>
      </c>
      <c r="DP48" s="884">
        <v>839.32499999999993</v>
      </c>
      <c r="DQ48" s="884">
        <v>1010.7239999999998</v>
      </c>
      <c r="DR48" s="884">
        <v>1214.8125</v>
      </c>
      <c r="DS48" s="884">
        <v>812.81999999999994</v>
      </c>
      <c r="DT48" s="884">
        <v>842.85899999999992</v>
      </c>
      <c r="DU48" s="884">
        <v>914.4224999999999</v>
      </c>
      <c r="DV48" s="884">
        <v>1171.5209999999997</v>
      </c>
      <c r="DW48" s="884">
        <v>1650.3779999999997</v>
      </c>
      <c r="DX48" s="91">
        <v>11657.038499999999</v>
      </c>
    </row>
    <row r="49" spans="1:128" ht="15" hidden="1" customHeight="1" outlineLevel="1">
      <c r="A49" s="94">
        <v>10</v>
      </c>
      <c r="B49" s="1079" t="s">
        <v>64</v>
      </c>
      <c r="C49" s="1120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>
        <f t="shared" si="83"/>
        <v>0</v>
      </c>
      <c r="Q49" s="90"/>
      <c r="R49" s="313">
        <v>1636</v>
      </c>
      <c r="S49" s="91">
        <v>1636</v>
      </c>
      <c r="T49" s="91">
        <f t="shared" si="90"/>
        <v>909</v>
      </c>
      <c r="U49" s="91">
        <f>0.5*U7</f>
        <v>0.5</v>
      </c>
      <c r="V49" s="91">
        <v>200</v>
      </c>
      <c r="W49" s="91">
        <v>300</v>
      </c>
      <c r="X49" s="91">
        <v>1000</v>
      </c>
      <c r="Y49" s="91">
        <v>1200</v>
      </c>
      <c r="Z49" s="91">
        <v>1600</v>
      </c>
      <c r="AA49" s="91">
        <v>1600</v>
      </c>
      <c r="AB49" s="91">
        <v>1800</v>
      </c>
      <c r="AC49" s="91">
        <v>2300</v>
      </c>
      <c r="AD49" s="315">
        <f t="shared" si="84"/>
        <v>14181.5</v>
      </c>
      <c r="AE49" s="23"/>
      <c r="AF49" s="316">
        <v>1500</v>
      </c>
      <c r="AG49" s="91">
        <v>1000</v>
      </c>
      <c r="AH49" s="91">
        <v>764</v>
      </c>
      <c r="AI49" s="91">
        <v>561</v>
      </c>
      <c r="AJ49" s="91">
        <v>1353</v>
      </c>
      <c r="AK49" s="91">
        <v>960</v>
      </c>
      <c r="AL49" s="91">
        <v>1500</v>
      </c>
      <c r="AM49" s="91">
        <v>1200</v>
      </c>
      <c r="AN49" s="91">
        <v>1200</v>
      </c>
      <c r="AO49" s="91">
        <v>1200</v>
      </c>
      <c r="AP49" s="91">
        <v>1320</v>
      </c>
      <c r="AQ49" s="91">
        <v>1920</v>
      </c>
      <c r="AR49" s="92">
        <f t="shared" si="85"/>
        <v>14478</v>
      </c>
      <c r="AS49" s="23"/>
      <c r="AT49" s="91">
        <v>1285</v>
      </c>
      <c r="AU49" s="91">
        <v>957</v>
      </c>
      <c r="AV49" s="91">
        <v>1426</v>
      </c>
      <c r="AW49" s="91">
        <v>1595</v>
      </c>
      <c r="AX49" s="317">
        <v>1767</v>
      </c>
      <c r="AY49" s="317">
        <v>1767</v>
      </c>
      <c r="AZ49" s="317">
        <v>1686</v>
      </c>
      <c r="BA49" s="317">
        <v>1686</v>
      </c>
      <c r="BB49" s="317">
        <v>1767</v>
      </c>
      <c r="BC49" s="317">
        <v>2088</v>
      </c>
      <c r="BD49" s="317">
        <v>2248</v>
      </c>
      <c r="BE49" s="317">
        <v>3212</v>
      </c>
      <c r="BF49" s="91">
        <f t="shared" si="86"/>
        <v>21484</v>
      </c>
      <c r="BG49" s="93">
        <f t="shared" si="87"/>
        <v>0.48390661693604087</v>
      </c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>
        <v>16952</v>
      </c>
      <c r="BU49" s="54"/>
      <c r="BV49" s="91">
        <v>2631.8999999999996</v>
      </c>
      <c r="BW49" s="91">
        <v>2034.84</v>
      </c>
      <c r="BX49" s="91">
        <f>'META  EM PEÇAS'!U33-('META  EM PEÇAS'!U33*0.05)</f>
        <v>2287.3815</v>
      </c>
      <c r="BY49" s="91">
        <f>'META  EM PEÇAS'!V33-('META  EM PEÇAS'!V33*0.05)</f>
        <v>2119.5164999999997</v>
      </c>
      <c r="BZ49" s="91">
        <f>'META  EM PEÇAS'!W33-('META  EM PEÇAS'!W33*0.05)</f>
        <v>2379.2655</v>
      </c>
      <c r="CA49" s="91">
        <f>'META  EM PEÇAS'!X33-('META  EM PEÇAS'!X33*0.05)</f>
        <v>2865.1904999999997</v>
      </c>
      <c r="CB49" s="91">
        <f>'META  EM PEÇAS'!Y33-('META  EM PEÇAS'!Y33*0.05)</f>
        <v>3445.6499999999996</v>
      </c>
      <c r="CC49" s="91">
        <f>'META  EM PEÇAS'!Z33-('META  EM PEÇAS'!Z33*0.05)</f>
        <v>2303.2844999999998</v>
      </c>
      <c r="CD49" s="91">
        <f>'META  EM PEÇAS'!AA33-('META  EM PEÇAS'!AA33*0.05)</f>
        <v>2388.9839999999999</v>
      </c>
      <c r="CE49" s="91">
        <f>'META  EM PEÇAS'!AB33-('META  EM PEÇAS'!AB33*0.05)</f>
        <v>2592.1889999999999</v>
      </c>
      <c r="CF49" s="91">
        <f>'META  EM PEÇAS'!AC33-('META  EM PEÇAS'!AC33*0.05)</f>
        <v>3321.0765000000001</v>
      </c>
      <c r="CG49" s="91">
        <f>'META  EM PEÇAS'!AD33-('META  EM PEÇAS'!AD33*0.05)</f>
        <v>4679.8995000000004</v>
      </c>
      <c r="CH49" s="91">
        <f t="shared" si="88"/>
        <v>33049.177499999998</v>
      </c>
      <c r="CJ49" s="91">
        <v>2631.8999999999996</v>
      </c>
      <c r="CK49" s="91">
        <v>2034.84</v>
      </c>
      <c r="CL49" s="91">
        <v>2287.3815</v>
      </c>
      <c r="CM49" s="91">
        <v>2119.5164999999997</v>
      </c>
      <c r="CN49" s="91">
        <v>2379.2655</v>
      </c>
      <c r="CO49" s="91">
        <v>2865.1904999999997</v>
      </c>
      <c r="CP49" s="91">
        <v>3445.6499999999996</v>
      </c>
      <c r="CQ49" s="91">
        <v>2303.2844999999998</v>
      </c>
      <c r="CR49" s="91">
        <v>2388.9839999999999</v>
      </c>
      <c r="CS49" s="91">
        <v>2592.1889999999999</v>
      </c>
      <c r="CT49" s="91">
        <v>3321.0765000000001</v>
      </c>
      <c r="CU49" s="91">
        <v>4679.8995000000004</v>
      </c>
      <c r="CV49" s="91">
        <v>33049.177499999998</v>
      </c>
      <c r="CW49" s="758"/>
      <c r="CX49" s="884">
        <v>2631.8999999999996</v>
      </c>
      <c r="CY49" s="884">
        <v>2034.84</v>
      </c>
      <c r="CZ49" s="884">
        <v>2287.3815</v>
      </c>
      <c r="DA49" s="884">
        <v>2119.5164999999997</v>
      </c>
      <c r="DB49" s="884">
        <v>2379.2655</v>
      </c>
      <c r="DC49" s="884">
        <v>2865.1904999999997</v>
      </c>
      <c r="DD49" s="884">
        <v>3445.6499999999996</v>
      </c>
      <c r="DE49" s="884">
        <v>2303.2844999999998</v>
      </c>
      <c r="DF49" s="884">
        <v>2388.9839999999999</v>
      </c>
      <c r="DG49" s="884">
        <v>2592.1889999999999</v>
      </c>
      <c r="DH49" s="884">
        <v>3321.0765000000001</v>
      </c>
      <c r="DI49" s="884">
        <v>4679.8995000000004</v>
      </c>
      <c r="DJ49" s="844">
        <f t="shared" si="70"/>
        <v>26095.055999999997</v>
      </c>
      <c r="DK49" s="948"/>
      <c r="DL49" s="884">
        <v>2631.8999999999996</v>
      </c>
      <c r="DM49" s="884">
        <v>2034.84</v>
      </c>
      <c r="DN49" s="884">
        <v>2287.3815</v>
      </c>
      <c r="DO49" s="884">
        <v>2119.5164999999997</v>
      </c>
      <c r="DP49" s="884">
        <v>2379.2655</v>
      </c>
      <c r="DQ49" s="884">
        <v>2865.1904999999997</v>
      </c>
      <c r="DR49" s="884">
        <v>3445.6499999999996</v>
      </c>
      <c r="DS49" s="884">
        <v>2303.2844999999998</v>
      </c>
      <c r="DT49" s="884">
        <v>2388.9839999999999</v>
      </c>
      <c r="DU49" s="884">
        <v>2592.1889999999999</v>
      </c>
      <c r="DV49" s="884">
        <v>3321.0765000000001</v>
      </c>
      <c r="DW49" s="884">
        <v>4679.8995000000004</v>
      </c>
      <c r="DX49" s="91">
        <v>33049.177499999998</v>
      </c>
    </row>
    <row r="50" spans="1:128" ht="15" hidden="1" customHeight="1" outlineLevel="1">
      <c r="A50" s="94">
        <v>10</v>
      </c>
      <c r="B50" s="1079" t="s">
        <v>65</v>
      </c>
      <c r="C50" s="1120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>
        <f t="shared" si="83"/>
        <v>0</v>
      </c>
      <c r="Q50" s="90"/>
      <c r="R50" s="313">
        <v>0</v>
      </c>
      <c r="S50" s="91">
        <v>0</v>
      </c>
      <c r="T50" s="91">
        <v>0</v>
      </c>
      <c r="U50" s="91">
        <v>0</v>
      </c>
      <c r="V50" s="91">
        <v>3500</v>
      </c>
      <c r="W50" s="91">
        <v>350</v>
      </c>
      <c r="X50" s="91">
        <v>800</v>
      </c>
      <c r="Y50" s="91">
        <v>1000</v>
      </c>
      <c r="Z50" s="91">
        <v>1600</v>
      </c>
      <c r="AA50" s="91">
        <v>2000</v>
      </c>
      <c r="AB50" s="91">
        <v>2400</v>
      </c>
      <c r="AC50" s="91">
        <v>3000</v>
      </c>
      <c r="AD50" s="315">
        <f t="shared" si="84"/>
        <v>14650</v>
      </c>
      <c r="AE50" s="23"/>
      <c r="AF50" s="316">
        <v>2500</v>
      </c>
      <c r="AG50" s="91">
        <v>1000</v>
      </c>
      <c r="AH50" s="91">
        <f>2500*0.15</f>
        <v>375</v>
      </c>
      <c r="AI50" s="91">
        <v>787</v>
      </c>
      <c r="AJ50" s="91">
        <v>1569</v>
      </c>
      <c r="AK50" s="91">
        <v>2000</v>
      </c>
      <c r="AL50" s="91">
        <v>2500</v>
      </c>
      <c r="AM50" s="91">
        <v>2500</v>
      </c>
      <c r="AN50" s="91">
        <v>2500</v>
      </c>
      <c r="AO50" s="91">
        <v>2500</v>
      </c>
      <c r="AP50" s="91">
        <v>2750</v>
      </c>
      <c r="AQ50" s="91">
        <v>4000</v>
      </c>
      <c r="AR50" s="92">
        <f t="shared" si="85"/>
        <v>24981</v>
      </c>
      <c r="AS50" s="23"/>
      <c r="AT50" s="91">
        <v>1806</v>
      </c>
      <c r="AU50" s="91">
        <v>2046</v>
      </c>
      <c r="AV50" s="91">
        <v>1646</v>
      </c>
      <c r="AW50" s="91">
        <v>1902</v>
      </c>
      <c r="AX50" s="317">
        <v>1545</v>
      </c>
      <c r="AY50" s="317">
        <v>1545</v>
      </c>
      <c r="AZ50" s="317">
        <v>1475</v>
      </c>
      <c r="BA50" s="317">
        <v>1475</v>
      </c>
      <c r="BB50" s="317">
        <v>1545</v>
      </c>
      <c r="BC50" s="317">
        <v>1826</v>
      </c>
      <c r="BD50" s="317">
        <v>0</v>
      </c>
      <c r="BE50" s="317">
        <v>0</v>
      </c>
      <c r="BF50" s="91">
        <f t="shared" si="86"/>
        <v>16811</v>
      </c>
      <c r="BG50" s="93">
        <f t="shared" si="87"/>
        <v>-0.32704855690324641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>
        <v>10230</v>
      </c>
      <c r="BU50" s="54"/>
      <c r="BV50" s="91">
        <v>1335.48</v>
      </c>
      <c r="BW50" s="91">
        <v>1032.3</v>
      </c>
      <c r="BX50" s="91">
        <f>'META  EM PEÇAS'!U39-('META  EM PEÇAS'!U39*0.05)</f>
        <v>1160.0355</v>
      </c>
      <c r="BY50" s="91">
        <f>'META  EM PEÇAS'!V39-('META  EM PEÇAS'!V39*0.05)</f>
        <v>1075.2194999999999</v>
      </c>
      <c r="BZ50" s="91">
        <f>'META  EM PEÇAS'!W39-('META  EM PEÇAS'!W39*0.05)</f>
        <v>1206.8609999999999</v>
      </c>
      <c r="CA50" s="91">
        <f>'META  EM PEÇAS'!X39-('META  EM PEÇAS'!X39*0.05)</f>
        <v>1453.3574999999998</v>
      </c>
      <c r="CB50" s="91">
        <f>'META  EM PEÇAS'!Y39-('META  EM PEÇAS'!Y39*0.05)</f>
        <v>1747.5629999999999</v>
      </c>
      <c r="CC50" s="91">
        <f>'META  EM PEÇAS'!Z39-('META  EM PEÇAS'!Z39*0.05)</f>
        <v>1168.8705</v>
      </c>
      <c r="CD50" s="91">
        <f>'META  EM PEÇAS'!AA39-('META  EM PEÇAS'!AA39*0.05)</f>
        <v>1212.1619999999998</v>
      </c>
      <c r="CE50" s="91">
        <f>'META  EM PEÇAS'!AB39-('META  EM PEÇAS'!AB39*0.05)</f>
        <v>1314.6479999999999</v>
      </c>
      <c r="CF50" s="91">
        <f>'META  EM PEÇAS'!AC39-('META  EM PEÇAS'!AC39*0.05)</f>
        <v>1684.8344999999999</v>
      </c>
      <c r="CG50" s="91">
        <f>'META  EM PEÇAS'!AD39-('META  EM PEÇAS'!AD39*0.05)</f>
        <v>2373.9645</v>
      </c>
      <c r="CH50" s="91">
        <f t="shared" si="88"/>
        <v>16765.295999999995</v>
      </c>
      <c r="CJ50" s="91">
        <v>1335.48</v>
      </c>
      <c r="CK50" s="91">
        <v>1032.3</v>
      </c>
      <c r="CL50" s="91">
        <v>1160.0355</v>
      </c>
      <c r="CM50" s="91">
        <v>1075.2194999999999</v>
      </c>
      <c r="CN50" s="91">
        <v>1206.8609999999999</v>
      </c>
      <c r="CO50" s="91">
        <v>1453.3574999999998</v>
      </c>
      <c r="CP50" s="91">
        <v>1747.5629999999999</v>
      </c>
      <c r="CQ50" s="91">
        <v>1168.8705</v>
      </c>
      <c r="CR50" s="91">
        <v>1212.1619999999998</v>
      </c>
      <c r="CS50" s="91">
        <v>1314.6479999999999</v>
      </c>
      <c r="CT50" s="91">
        <v>1684.8344999999999</v>
      </c>
      <c r="CU50" s="91">
        <v>2373.9645</v>
      </c>
      <c r="CV50" s="91">
        <v>16765.295999999995</v>
      </c>
      <c r="CW50" s="758"/>
      <c r="CX50" s="884">
        <v>1335.48</v>
      </c>
      <c r="CY50" s="884">
        <v>1032.3</v>
      </c>
      <c r="CZ50" s="884">
        <v>1160.0355</v>
      </c>
      <c r="DA50" s="884">
        <v>1075.2194999999999</v>
      </c>
      <c r="DB50" s="884">
        <v>1206.8609999999999</v>
      </c>
      <c r="DC50" s="884">
        <v>1453.3574999999998</v>
      </c>
      <c r="DD50" s="884">
        <v>1747.5629999999999</v>
      </c>
      <c r="DE50" s="884">
        <v>1168.8705</v>
      </c>
      <c r="DF50" s="884">
        <v>1212.1619999999998</v>
      </c>
      <c r="DG50" s="884">
        <v>1314.6479999999999</v>
      </c>
      <c r="DH50" s="884">
        <v>1684.8344999999999</v>
      </c>
      <c r="DI50" s="884">
        <v>2373.9645</v>
      </c>
      <c r="DJ50" s="844">
        <f t="shared" si="70"/>
        <v>13237.4805</v>
      </c>
      <c r="DK50" s="948"/>
      <c r="DL50" s="884">
        <v>1335.48</v>
      </c>
      <c r="DM50" s="884">
        <v>1032.3</v>
      </c>
      <c r="DN50" s="884">
        <v>1160.0355</v>
      </c>
      <c r="DO50" s="884">
        <v>1075.2194999999999</v>
      </c>
      <c r="DP50" s="884">
        <v>1206.8609999999999</v>
      </c>
      <c r="DQ50" s="884">
        <v>1453.3574999999998</v>
      </c>
      <c r="DR50" s="884">
        <v>1747.5629999999999</v>
      </c>
      <c r="DS50" s="884">
        <v>1168.8705</v>
      </c>
      <c r="DT50" s="884">
        <v>1212.1619999999998</v>
      </c>
      <c r="DU50" s="884">
        <v>1314.6479999999999</v>
      </c>
      <c r="DV50" s="884">
        <v>1684.8344999999999</v>
      </c>
      <c r="DW50" s="884">
        <v>2373.9645</v>
      </c>
      <c r="DX50" s="91">
        <v>16765.295999999995</v>
      </c>
    </row>
    <row r="51" spans="1:128" ht="15" hidden="1" customHeight="1" outlineLevel="1">
      <c r="A51" s="94">
        <v>11</v>
      </c>
      <c r="B51" s="921" t="s">
        <v>66</v>
      </c>
      <c r="C51" s="922"/>
      <c r="D51" s="313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314">
        <f t="shared" si="83"/>
        <v>0</v>
      </c>
      <c r="Q51" s="90"/>
      <c r="R51" s="313">
        <v>0</v>
      </c>
      <c r="S51" s="91">
        <v>0</v>
      </c>
      <c r="T51" s="91">
        <v>0</v>
      </c>
      <c r="U51" s="91">
        <v>0</v>
      </c>
      <c r="V51" s="91">
        <v>4000</v>
      </c>
      <c r="W51" s="91">
        <v>100</v>
      </c>
      <c r="X51" s="91">
        <v>800</v>
      </c>
      <c r="Y51" s="91">
        <v>800</v>
      </c>
      <c r="Z51" s="91">
        <v>1200</v>
      </c>
      <c r="AA51" s="91">
        <v>1200</v>
      </c>
      <c r="AB51" s="91">
        <v>1800</v>
      </c>
      <c r="AC51" s="91">
        <v>2300</v>
      </c>
      <c r="AD51" s="315">
        <f t="shared" si="84"/>
        <v>12200</v>
      </c>
      <c r="AE51" s="23"/>
      <c r="AF51" s="316">
        <v>1500</v>
      </c>
      <c r="AG51" s="91">
        <v>1000</v>
      </c>
      <c r="AH51" s="91">
        <f t="shared" ref="AH51:AH52" si="91">1500*0.15</f>
        <v>225</v>
      </c>
      <c r="AI51" s="91">
        <v>324</v>
      </c>
      <c r="AJ51" s="91">
        <v>869</v>
      </c>
      <c r="AK51" s="91">
        <v>800</v>
      </c>
      <c r="AL51" s="91">
        <v>1500</v>
      </c>
      <c r="AM51" s="91">
        <v>1000</v>
      </c>
      <c r="AN51" s="91">
        <v>1000</v>
      </c>
      <c r="AO51" s="91">
        <v>1000</v>
      </c>
      <c r="AP51" s="91">
        <v>1100</v>
      </c>
      <c r="AQ51" s="91">
        <v>1600</v>
      </c>
      <c r="AR51" s="92">
        <f t="shared" si="85"/>
        <v>11918</v>
      </c>
      <c r="AS51" s="23"/>
      <c r="AT51" s="91">
        <v>1191</v>
      </c>
      <c r="AU51" s="91">
        <v>1191</v>
      </c>
      <c r="AV51" s="91">
        <v>1191</v>
      </c>
      <c r="AW51" s="91">
        <v>1191</v>
      </c>
      <c r="AX51" s="317">
        <v>876</v>
      </c>
      <c r="AY51" s="317">
        <v>876</v>
      </c>
      <c r="AZ51" s="317">
        <v>836</v>
      </c>
      <c r="BA51" s="317">
        <v>836</v>
      </c>
      <c r="BB51" s="317">
        <v>876</v>
      </c>
      <c r="BC51" s="317">
        <v>1035</v>
      </c>
      <c r="BD51" s="317">
        <v>0</v>
      </c>
      <c r="BE51" s="317">
        <v>0</v>
      </c>
      <c r="BF51" s="91">
        <f t="shared" si="86"/>
        <v>10099</v>
      </c>
      <c r="BG51" s="93">
        <f t="shared" si="87"/>
        <v>-0.15262627957711028</v>
      </c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>
        <v>7342</v>
      </c>
      <c r="BU51" s="54"/>
      <c r="BV51" s="91">
        <v>1643.31</v>
      </c>
      <c r="BW51" s="91">
        <v>1270.3799999999999</v>
      </c>
      <c r="BX51" s="91">
        <f>'META  EM PEÇAS'!U40-('META  EM PEÇAS'!U40*0.05)</f>
        <v>1427.7359999999999</v>
      </c>
      <c r="BY51" s="91">
        <f>'META  EM PEÇAS'!V40-('META  EM PEÇAS'!V40*0.05)</f>
        <v>1323.4829999999999</v>
      </c>
      <c r="BZ51" s="91">
        <f>'META  EM PEÇAS'!W40-('META  EM PEÇAS'!W40*0.05)</f>
        <v>1485.1634999999999</v>
      </c>
      <c r="CA51" s="91">
        <f>'META  EM PEÇAS'!X40-('META  EM PEÇAS'!X40*0.05)</f>
        <v>1788.204</v>
      </c>
      <c r="CB51" s="91">
        <f>'META  EM PEÇAS'!Y40-('META  EM PEÇAS'!Y40*0.05)</f>
        <v>2151.3224999999998</v>
      </c>
      <c r="CC51" s="91">
        <f>'META  EM PEÇAS'!Z40-('META  EM PEÇAS'!Z40*0.05)</f>
        <v>1438.338</v>
      </c>
      <c r="CD51" s="91">
        <f>'META  EM PEÇAS'!AA40-('META  EM PEÇAS'!AA40*0.05)</f>
        <v>1491.348</v>
      </c>
      <c r="CE51" s="91">
        <f>'META  EM PEÇAS'!AB40-('META  EM PEÇAS'!AB40*0.05)</f>
        <v>1618.5719999999999</v>
      </c>
      <c r="CF51" s="91">
        <f>'META  EM PEÇAS'!AC40-('META  EM PEÇAS'!AC40*0.05)</f>
        <v>2073.5745000000002</v>
      </c>
      <c r="CG51" s="91">
        <f>'META  EM PEÇAS'!AD40-('META  EM PEÇAS'!AD40*0.05)</f>
        <v>2921.7344999999996</v>
      </c>
      <c r="CH51" s="91">
        <f t="shared" si="88"/>
        <v>20633.165999999997</v>
      </c>
      <c r="CJ51" s="91">
        <v>1643.31</v>
      </c>
      <c r="CK51" s="91">
        <v>1270.3799999999999</v>
      </c>
      <c r="CL51" s="91">
        <v>1427.7359999999999</v>
      </c>
      <c r="CM51" s="91">
        <v>1323.4829999999999</v>
      </c>
      <c r="CN51" s="91">
        <v>1485.1634999999999</v>
      </c>
      <c r="CO51" s="91">
        <v>1788.204</v>
      </c>
      <c r="CP51" s="91">
        <v>2151.3224999999998</v>
      </c>
      <c r="CQ51" s="91">
        <v>1438.338</v>
      </c>
      <c r="CR51" s="91">
        <v>1491.348</v>
      </c>
      <c r="CS51" s="91">
        <v>1618.5719999999999</v>
      </c>
      <c r="CT51" s="91">
        <v>2073.5745000000002</v>
      </c>
      <c r="CU51" s="91">
        <v>2921.7344999999996</v>
      </c>
      <c r="CV51" s="91">
        <v>20633.165999999997</v>
      </c>
      <c r="CW51" s="758"/>
      <c r="CX51" s="884">
        <v>1643.31</v>
      </c>
      <c r="CY51" s="884">
        <v>1270.3799999999999</v>
      </c>
      <c r="CZ51" s="884">
        <v>1427.7359999999999</v>
      </c>
      <c r="DA51" s="884">
        <v>1323.4829999999999</v>
      </c>
      <c r="DB51" s="884">
        <v>1485.1634999999999</v>
      </c>
      <c r="DC51" s="884">
        <v>1788.204</v>
      </c>
      <c r="DD51" s="884">
        <v>2151.3224999999998</v>
      </c>
      <c r="DE51" s="884">
        <v>1438.338</v>
      </c>
      <c r="DF51" s="884">
        <v>1491.348</v>
      </c>
      <c r="DG51" s="884">
        <v>1618.5719999999999</v>
      </c>
      <c r="DH51" s="884">
        <v>2073.5745000000002</v>
      </c>
      <c r="DI51" s="884">
        <v>2921.7344999999996</v>
      </c>
      <c r="DJ51" s="844">
        <f t="shared" si="70"/>
        <v>16291.739999999998</v>
      </c>
      <c r="DK51" s="948"/>
      <c r="DL51" s="884">
        <v>1643.31</v>
      </c>
      <c r="DM51" s="884">
        <v>1270.3799999999999</v>
      </c>
      <c r="DN51" s="884">
        <v>1427.7359999999999</v>
      </c>
      <c r="DO51" s="884">
        <v>1323.4829999999999</v>
      </c>
      <c r="DP51" s="884">
        <v>1485.1634999999999</v>
      </c>
      <c r="DQ51" s="884">
        <v>1788.204</v>
      </c>
      <c r="DR51" s="884">
        <v>2151.3224999999998</v>
      </c>
      <c r="DS51" s="884">
        <v>1438.338</v>
      </c>
      <c r="DT51" s="884">
        <v>1491.348</v>
      </c>
      <c r="DU51" s="884">
        <v>1618.5719999999999</v>
      </c>
      <c r="DV51" s="884">
        <v>2073.5745000000002</v>
      </c>
      <c r="DW51" s="884">
        <v>2921.7344999999996</v>
      </c>
      <c r="DX51" s="91">
        <v>20633.165999999997</v>
      </c>
    </row>
    <row r="52" spans="1:128" ht="15" hidden="1" customHeight="1" outlineLevel="1">
      <c r="A52" s="94">
        <v>12</v>
      </c>
      <c r="B52" s="921" t="s">
        <v>67</v>
      </c>
      <c r="C52" s="922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>
        <f t="shared" si="83"/>
        <v>0</v>
      </c>
      <c r="Q52" s="90"/>
      <c r="R52" s="313">
        <v>0</v>
      </c>
      <c r="S52" s="91">
        <v>0</v>
      </c>
      <c r="T52" s="91">
        <v>0</v>
      </c>
      <c r="U52" s="91">
        <v>0</v>
      </c>
      <c r="V52" s="91">
        <v>4000</v>
      </c>
      <c r="W52" s="91">
        <v>0</v>
      </c>
      <c r="X52" s="91">
        <v>800</v>
      </c>
      <c r="Y52" s="91">
        <v>1000</v>
      </c>
      <c r="Z52" s="91">
        <v>1200</v>
      </c>
      <c r="AA52" s="91">
        <v>1200</v>
      </c>
      <c r="AB52" s="91">
        <v>1800</v>
      </c>
      <c r="AC52" s="91">
        <v>2300</v>
      </c>
      <c r="AD52" s="315">
        <f t="shared" si="84"/>
        <v>12300</v>
      </c>
      <c r="AE52" s="23"/>
      <c r="AF52" s="316">
        <v>1500</v>
      </c>
      <c r="AG52" s="91">
        <v>1200</v>
      </c>
      <c r="AH52" s="91">
        <f t="shared" si="91"/>
        <v>225</v>
      </c>
      <c r="AI52" s="91">
        <v>332</v>
      </c>
      <c r="AJ52" s="91">
        <v>945</v>
      </c>
      <c r="AK52" s="91">
        <v>960</v>
      </c>
      <c r="AL52" s="91">
        <v>1500</v>
      </c>
      <c r="AM52" s="91">
        <v>1200</v>
      </c>
      <c r="AN52" s="91">
        <v>1200</v>
      </c>
      <c r="AO52" s="91">
        <v>1200</v>
      </c>
      <c r="AP52" s="91">
        <v>1320</v>
      </c>
      <c r="AQ52" s="91">
        <v>1920</v>
      </c>
      <c r="AR52" s="92">
        <f t="shared" si="85"/>
        <v>13502</v>
      </c>
      <c r="AS52" s="23"/>
      <c r="AT52" s="91">
        <v>1254</v>
      </c>
      <c r="AU52" s="91">
        <v>1254</v>
      </c>
      <c r="AV52" s="91">
        <v>1254</v>
      </c>
      <c r="AW52" s="91">
        <v>1254</v>
      </c>
      <c r="AX52" s="317">
        <v>1236</v>
      </c>
      <c r="AY52" s="317">
        <v>1236</v>
      </c>
      <c r="AZ52" s="317">
        <v>0</v>
      </c>
      <c r="BA52" s="317">
        <v>0</v>
      </c>
      <c r="BB52" s="317">
        <v>0</v>
      </c>
      <c r="BC52" s="317">
        <v>0</v>
      </c>
      <c r="BD52" s="317">
        <v>0</v>
      </c>
      <c r="BE52" s="317">
        <v>0</v>
      </c>
      <c r="BF52" s="91">
        <f t="shared" si="86"/>
        <v>7488</v>
      </c>
      <c r="BG52" s="93">
        <f t="shared" si="87"/>
        <v>-0.44541549400088876</v>
      </c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>
        <v>16899</v>
      </c>
      <c r="BU52" s="54"/>
      <c r="BV52" s="91">
        <v>2552.85</v>
      </c>
      <c r="BW52" s="91">
        <v>1973.4599999999998</v>
      </c>
      <c r="BX52" s="91">
        <f>'META  EM PEÇAS'!U34-('META  EM PEÇAS'!U34*0.05)</f>
        <v>2218.4684999999999</v>
      </c>
      <c r="BY52" s="91">
        <f>'META  EM PEÇAS'!V34-('META  EM PEÇAS'!V34*0.05)</f>
        <v>2056.788</v>
      </c>
      <c r="BZ52" s="91">
        <f>'META  EM PEÇAS'!W34-('META  EM PEÇAS'!W34*0.05)</f>
        <v>2307.7019999999998</v>
      </c>
      <c r="CA52" s="91">
        <f>'META  EM PEÇAS'!X34-('META  EM PEÇAS'!X34*0.05)</f>
        <v>2778.6075000000001</v>
      </c>
      <c r="CB52" s="91">
        <f>'META  EM PEÇAS'!Y34-('META  EM PEÇAS'!Y34*0.05)</f>
        <v>3342.2804999999998</v>
      </c>
      <c r="CC52" s="91">
        <f>'META  EM PEÇAS'!Z34-('META  EM PEÇAS'!Z34*0.05)</f>
        <v>2234.3714999999997</v>
      </c>
      <c r="CD52" s="91">
        <f>'META  EM PEÇAS'!AA34-('META  EM PEÇAS'!AA34*0.05)</f>
        <v>2317.4204999999997</v>
      </c>
      <c r="CE52" s="91">
        <f>'META  EM PEÇAS'!AB34-('META  EM PEÇAS'!AB34*0.05)</f>
        <v>2514.4409999999998</v>
      </c>
      <c r="CF52" s="91">
        <f>'META  EM PEÇAS'!AC34-('META  EM PEÇAS'!AC34*0.05)</f>
        <v>3221.241</v>
      </c>
      <c r="CG52" s="91">
        <f>'META  EM PEÇAS'!AD34-('META  EM PEÇAS'!AD34*0.05)</f>
        <v>4539.4229999999989</v>
      </c>
      <c r="CH52" s="91">
        <f t="shared" si="88"/>
        <v>32057.053499999998</v>
      </c>
      <c r="CJ52" s="91">
        <v>2552.85</v>
      </c>
      <c r="CK52" s="91">
        <v>1973.4599999999998</v>
      </c>
      <c r="CL52" s="91">
        <v>2218.4684999999999</v>
      </c>
      <c r="CM52" s="91">
        <v>2056.788</v>
      </c>
      <c r="CN52" s="91">
        <v>2307.7019999999998</v>
      </c>
      <c r="CO52" s="91">
        <v>2778.6075000000001</v>
      </c>
      <c r="CP52" s="91">
        <v>3342.2804999999998</v>
      </c>
      <c r="CQ52" s="91">
        <v>2234.3714999999997</v>
      </c>
      <c r="CR52" s="91">
        <v>2317.4204999999997</v>
      </c>
      <c r="CS52" s="91">
        <v>2514.4409999999998</v>
      </c>
      <c r="CT52" s="91">
        <v>3221.241</v>
      </c>
      <c r="CU52" s="91">
        <v>4539.4229999999989</v>
      </c>
      <c r="CV52" s="91">
        <v>32057.053499999998</v>
      </c>
      <c r="CW52" s="758"/>
      <c r="CX52" s="884">
        <v>2552.85</v>
      </c>
      <c r="CY52" s="884">
        <v>1973.4599999999998</v>
      </c>
      <c r="CZ52" s="884">
        <v>2218.4684999999999</v>
      </c>
      <c r="DA52" s="884">
        <v>2056.788</v>
      </c>
      <c r="DB52" s="884">
        <v>2307.7019999999998</v>
      </c>
      <c r="DC52" s="884">
        <v>2778.6075000000001</v>
      </c>
      <c r="DD52" s="884">
        <v>3342.2804999999998</v>
      </c>
      <c r="DE52" s="884">
        <v>2234.3714999999997</v>
      </c>
      <c r="DF52" s="884">
        <v>2317.4204999999997</v>
      </c>
      <c r="DG52" s="884">
        <v>2514.4409999999998</v>
      </c>
      <c r="DH52" s="884">
        <v>3221.241</v>
      </c>
      <c r="DI52" s="884">
        <v>4539.4229999999989</v>
      </c>
      <c r="DJ52" s="844">
        <f t="shared" si="70"/>
        <v>25312.274999999998</v>
      </c>
      <c r="DK52" s="948"/>
      <c r="DL52" s="884">
        <v>2552.85</v>
      </c>
      <c r="DM52" s="884">
        <v>1973.4599999999998</v>
      </c>
      <c r="DN52" s="884">
        <v>2218.4684999999999</v>
      </c>
      <c r="DO52" s="884">
        <v>2056.788</v>
      </c>
      <c r="DP52" s="884">
        <v>2307.7019999999998</v>
      </c>
      <c r="DQ52" s="884">
        <v>2778.6075000000001</v>
      </c>
      <c r="DR52" s="884">
        <v>3342.2804999999998</v>
      </c>
      <c r="DS52" s="884">
        <v>2234.3714999999997</v>
      </c>
      <c r="DT52" s="884">
        <v>2317.4204999999997</v>
      </c>
      <c r="DU52" s="884">
        <v>2514.4409999999998</v>
      </c>
      <c r="DV52" s="884">
        <v>3221.241</v>
      </c>
      <c r="DW52" s="884">
        <v>4539.4229999999989</v>
      </c>
      <c r="DX52" s="91">
        <v>32057.053499999998</v>
      </c>
    </row>
    <row r="53" spans="1:128" ht="15" hidden="1" customHeight="1" outlineLevel="1">
      <c r="A53" s="94">
        <v>13</v>
      </c>
      <c r="B53" s="921" t="s">
        <v>68</v>
      </c>
      <c r="C53" s="923"/>
      <c r="D53" s="313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314">
        <f t="shared" si="83"/>
        <v>0</v>
      </c>
      <c r="Q53" s="90"/>
      <c r="R53" s="313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2000</v>
      </c>
      <c r="Y53" s="91">
        <v>800</v>
      </c>
      <c r="Z53" s="91">
        <v>800</v>
      </c>
      <c r="AA53" s="91">
        <v>1200</v>
      </c>
      <c r="AB53" s="91">
        <v>1800</v>
      </c>
      <c r="AC53" s="91">
        <v>2300</v>
      </c>
      <c r="AD53" s="315">
        <f t="shared" si="84"/>
        <v>8900</v>
      </c>
      <c r="AE53" s="23"/>
      <c r="AF53" s="316">
        <v>1800</v>
      </c>
      <c r="AG53" s="91">
        <v>1200</v>
      </c>
      <c r="AH53" s="91">
        <f>1800*0.15</f>
        <v>270</v>
      </c>
      <c r="AI53" s="91">
        <v>896</v>
      </c>
      <c r="AJ53" s="91">
        <v>1339</v>
      </c>
      <c r="AK53" s="91">
        <v>1600</v>
      </c>
      <c r="AL53" s="91">
        <v>1800</v>
      </c>
      <c r="AM53" s="91">
        <v>2000</v>
      </c>
      <c r="AN53" s="91">
        <v>2000</v>
      </c>
      <c r="AO53" s="91">
        <v>2000</v>
      </c>
      <c r="AP53" s="91">
        <v>2200</v>
      </c>
      <c r="AQ53" s="91">
        <v>3200</v>
      </c>
      <c r="AR53" s="92">
        <f t="shared" si="85"/>
        <v>20305</v>
      </c>
      <c r="AS53" s="23"/>
      <c r="AT53" s="91">
        <v>1980</v>
      </c>
      <c r="AU53" s="91">
        <v>1980</v>
      </c>
      <c r="AV53" s="91">
        <v>1980</v>
      </c>
      <c r="AW53" s="91">
        <v>1980</v>
      </c>
      <c r="AX53" s="317">
        <v>1409</v>
      </c>
      <c r="AY53" s="317">
        <v>1409</v>
      </c>
      <c r="AZ53" s="317">
        <v>1345</v>
      </c>
      <c r="BA53" s="317">
        <v>1345</v>
      </c>
      <c r="BB53" s="317">
        <v>1409</v>
      </c>
      <c r="BC53" s="317">
        <v>1665</v>
      </c>
      <c r="BD53" s="317">
        <v>1793</v>
      </c>
      <c r="BE53" s="317">
        <v>2562</v>
      </c>
      <c r="BF53" s="91">
        <f t="shared" si="86"/>
        <v>20857</v>
      </c>
      <c r="BG53" s="93">
        <f t="shared" si="87"/>
        <v>2.7185422309775831E-2</v>
      </c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>
        <v>11555</v>
      </c>
      <c r="BU53" s="54"/>
      <c r="BV53" s="91">
        <v>1903.7099999999998</v>
      </c>
      <c r="BW53" s="91">
        <v>1471.26</v>
      </c>
      <c r="BX53" s="91">
        <f>'META  EM PEÇAS'!U35-('META  EM PEÇAS'!U35*0.05)</f>
        <v>1654.7954999999999</v>
      </c>
      <c r="BY53" s="91">
        <f>'META  EM PEÇAS'!V35-('META  EM PEÇAS'!V35*0.05)</f>
        <v>1533.7559999999999</v>
      </c>
      <c r="BZ53" s="91">
        <f>'META  EM PEÇAS'!W35-('META  EM PEÇAS'!W35*0.05)</f>
        <v>1721.058</v>
      </c>
      <c r="CA53" s="91">
        <f>'META  EM PEÇAS'!X35-('META  EM PEÇAS'!X35*0.05)</f>
        <v>2071.8074999999999</v>
      </c>
      <c r="CB53" s="91">
        <f>'META  EM PEÇAS'!Y35-('META  EM PEÇAS'!Y35*0.05)</f>
        <v>2492.3534999999997</v>
      </c>
      <c r="CC53" s="91">
        <f>'META  EM PEÇAS'!Z35-('META  EM PEÇAS'!Z35*0.05)</f>
        <v>1666.2809999999997</v>
      </c>
      <c r="CD53" s="91">
        <f>'META  EM PEÇAS'!AA35-('META  EM PEÇAS'!AA35*0.05)</f>
        <v>1728.126</v>
      </c>
      <c r="CE53" s="91">
        <f>'META  EM PEÇAS'!AB35-('META  EM PEÇAS'!AB35*0.05)</f>
        <v>1874.7869999999998</v>
      </c>
      <c r="CF53" s="91">
        <f>'META  EM PEÇAS'!AC35-('META  EM PEÇAS'!AC35*0.05)</f>
        <v>2402.2364999999995</v>
      </c>
      <c r="CG53" s="91">
        <f>'META  EM PEÇAS'!AD35-('META  EM PEÇAS'!AD35*0.05)</f>
        <v>3384.6884999999997</v>
      </c>
      <c r="CH53" s="91">
        <f t="shared" si="88"/>
        <v>23904.859499999995</v>
      </c>
      <c r="CJ53" s="91">
        <v>1903.7099999999998</v>
      </c>
      <c r="CK53" s="91">
        <v>1471.26</v>
      </c>
      <c r="CL53" s="91">
        <v>1654.7954999999999</v>
      </c>
      <c r="CM53" s="91">
        <v>1533.7559999999999</v>
      </c>
      <c r="CN53" s="91">
        <v>1721.058</v>
      </c>
      <c r="CO53" s="91">
        <v>2071.8074999999999</v>
      </c>
      <c r="CP53" s="91">
        <v>2492.3534999999997</v>
      </c>
      <c r="CQ53" s="91">
        <v>1666.2809999999997</v>
      </c>
      <c r="CR53" s="91">
        <v>1728.126</v>
      </c>
      <c r="CS53" s="91">
        <v>1874.7869999999998</v>
      </c>
      <c r="CT53" s="91">
        <v>2402.2364999999995</v>
      </c>
      <c r="CU53" s="91">
        <v>3384.6884999999997</v>
      </c>
      <c r="CV53" s="91">
        <v>23904.859499999995</v>
      </c>
      <c r="CW53" s="758"/>
      <c r="CX53" s="884">
        <v>1903.7099999999998</v>
      </c>
      <c r="CY53" s="884">
        <v>1471.26</v>
      </c>
      <c r="CZ53" s="884">
        <v>1654.7954999999999</v>
      </c>
      <c r="DA53" s="884">
        <v>1533.7559999999999</v>
      </c>
      <c r="DB53" s="884">
        <v>1721.058</v>
      </c>
      <c r="DC53" s="884">
        <v>2071.8074999999999</v>
      </c>
      <c r="DD53" s="884">
        <v>2492.3534999999997</v>
      </c>
      <c r="DE53" s="884">
        <v>1666.2809999999997</v>
      </c>
      <c r="DF53" s="884">
        <v>1728.126</v>
      </c>
      <c r="DG53" s="884">
        <v>1874.7869999999998</v>
      </c>
      <c r="DH53" s="884">
        <v>2402.2364999999995</v>
      </c>
      <c r="DI53" s="884">
        <v>3384.6884999999997</v>
      </c>
      <c r="DJ53" s="844">
        <f t="shared" si="70"/>
        <v>18875.093999999997</v>
      </c>
      <c r="DK53" s="948"/>
      <c r="DL53" s="884">
        <v>1903.7099999999998</v>
      </c>
      <c r="DM53" s="884">
        <v>1471.26</v>
      </c>
      <c r="DN53" s="884">
        <v>1654.7954999999999</v>
      </c>
      <c r="DO53" s="884">
        <v>1533.7559999999999</v>
      </c>
      <c r="DP53" s="884">
        <v>1721.058</v>
      </c>
      <c r="DQ53" s="884">
        <v>2071.8074999999999</v>
      </c>
      <c r="DR53" s="884">
        <v>2492.3534999999997</v>
      </c>
      <c r="DS53" s="884">
        <v>1666.2809999999997</v>
      </c>
      <c r="DT53" s="884">
        <v>1728.126</v>
      </c>
      <c r="DU53" s="884">
        <v>1874.7869999999998</v>
      </c>
      <c r="DV53" s="884">
        <v>2402.2364999999995</v>
      </c>
      <c r="DW53" s="884">
        <v>3384.6884999999997</v>
      </c>
      <c r="DX53" s="91">
        <v>23904.859499999995</v>
      </c>
    </row>
    <row r="54" spans="1:128" ht="15" hidden="1" customHeight="1" outlineLevel="1">
      <c r="A54" s="94">
        <v>14</v>
      </c>
      <c r="B54" s="921" t="s">
        <v>69</v>
      </c>
      <c r="C54" s="923"/>
      <c r="D54" s="313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314"/>
      <c r="Q54" s="90"/>
      <c r="R54" s="313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2000</v>
      </c>
      <c r="Z54" s="91">
        <v>800</v>
      </c>
      <c r="AA54" s="91">
        <v>800</v>
      </c>
      <c r="AB54" s="91">
        <v>1200</v>
      </c>
      <c r="AC54" s="91">
        <v>1800</v>
      </c>
      <c r="AD54" s="315">
        <f t="shared" si="84"/>
        <v>6600</v>
      </c>
      <c r="AE54" s="23"/>
      <c r="AF54" s="316">
        <v>1500</v>
      </c>
      <c r="AG54" s="91">
        <v>1200</v>
      </c>
      <c r="AH54" s="91">
        <f>1500*0.15</f>
        <v>225</v>
      </c>
      <c r="AI54" s="91">
        <v>374</v>
      </c>
      <c r="AJ54" s="91">
        <v>990</v>
      </c>
      <c r="AK54" s="91">
        <v>960</v>
      </c>
      <c r="AL54" s="91">
        <v>1800</v>
      </c>
      <c r="AM54" s="91">
        <v>1200</v>
      </c>
      <c r="AN54" s="91">
        <v>1200</v>
      </c>
      <c r="AO54" s="91">
        <v>1200</v>
      </c>
      <c r="AP54" s="91">
        <v>1320</v>
      </c>
      <c r="AQ54" s="91">
        <v>1920</v>
      </c>
      <c r="AR54" s="92">
        <f t="shared" si="85"/>
        <v>13889</v>
      </c>
      <c r="AS54" s="23"/>
      <c r="AT54" s="91">
        <v>1518</v>
      </c>
      <c r="AU54" s="91">
        <v>1518</v>
      </c>
      <c r="AV54" s="91">
        <v>1518</v>
      </c>
      <c r="AW54" s="91">
        <v>1518</v>
      </c>
      <c r="AX54" s="317">
        <v>1276</v>
      </c>
      <c r="AY54" s="317">
        <v>1276</v>
      </c>
      <c r="AZ54" s="317">
        <v>1218</v>
      </c>
      <c r="BA54" s="317">
        <v>1218</v>
      </c>
      <c r="BB54" s="317">
        <v>1276</v>
      </c>
      <c r="BC54" s="317">
        <v>1508</v>
      </c>
      <c r="BD54" s="317">
        <v>1624</v>
      </c>
      <c r="BE54" s="317">
        <v>2320</v>
      </c>
      <c r="BF54" s="91">
        <f t="shared" si="86"/>
        <v>17788</v>
      </c>
      <c r="BG54" s="93">
        <f t="shared" si="87"/>
        <v>0.2807257541939665</v>
      </c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>
        <v>19018</v>
      </c>
      <c r="BU54" s="54"/>
      <c r="BV54" s="91">
        <v>2737.9199999999996</v>
      </c>
      <c r="BW54" s="91">
        <v>2116.6799999999998</v>
      </c>
      <c r="BX54" s="91">
        <f>'META  EM PEÇAS'!U36-('META  EM PEÇAS'!U36*0.05)</f>
        <v>2379.2655</v>
      </c>
      <c r="BY54" s="91">
        <f>'META  EM PEÇAS'!V36-('META  EM PEÇAS'!V36*0.05)</f>
        <v>2205.2159999999999</v>
      </c>
      <c r="BZ54" s="91">
        <f>'META  EM PEÇAS'!W36-('META  EM PEÇAS'!W36*0.05)</f>
        <v>2474.6834999999996</v>
      </c>
      <c r="CA54" s="91">
        <f>'META  EM PEÇAS'!X36-('META  EM PEÇAS'!X36*0.05)</f>
        <v>2980.0454999999997</v>
      </c>
      <c r="CB54" s="91">
        <f>'META  EM PEÇAS'!Y36-('META  EM PEÇAS'!Y36*0.05)</f>
        <v>3584.3594999999996</v>
      </c>
      <c r="CC54" s="91">
        <f>'META  EM PEÇAS'!Z36-('META  EM PEÇAS'!Z36*0.05)</f>
        <v>2396.0519999999997</v>
      </c>
      <c r="CD54" s="91">
        <f>'META  EM PEÇAS'!AA36-('META  EM PEÇAS'!AA36*0.05)</f>
        <v>2485.2854999999995</v>
      </c>
      <c r="CE54" s="91">
        <f>'META  EM PEÇAS'!AB36-('META  EM PEÇAS'!AB36*0.05)</f>
        <v>2696.4419999999996</v>
      </c>
      <c r="CF54" s="91">
        <f>'META  EM PEÇAS'!AC36-('META  EM PEÇAS'!AC36*0.05)</f>
        <v>3454.4849999999997</v>
      </c>
      <c r="CG54" s="91">
        <f>'META  EM PEÇAS'!AD36-('META  EM PEÇAS'!AD36*0.05)</f>
        <v>4868.0849999999991</v>
      </c>
      <c r="CH54" s="91">
        <f t="shared" si="88"/>
        <v>34378.519499999995</v>
      </c>
      <c r="CJ54" s="91">
        <v>2737.9199999999996</v>
      </c>
      <c r="CK54" s="91">
        <v>2116.6799999999998</v>
      </c>
      <c r="CL54" s="91">
        <v>2379.2655</v>
      </c>
      <c r="CM54" s="91">
        <v>2205.2159999999999</v>
      </c>
      <c r="CN54" s="91">
        <v>2474.6834999999996</v>
      </c>
      <c r="CO54" s="91">
        <v>2980.0454999999997</v>
      </c>
      <c r="CP54" s="91">
        <v>3584.3594999999996</v>
      </c>
      <c r="CQ54" s="91">
        <v>2396.0519999999997</v>
      </c>
      <c r="CR54" s="91">
        <v>2485.2854999999995</v>
      </c>
      <c r="CS54" s="91">
        <v>2696.4419999999996</v>
      </c>
      <c r="CT54" s="91">
        <v>3454.4849999999997</v>
      </c>
      <c r="CU54" s="91">
        <v>4868.0849999999991</v>
      </c>
      <c r="CV54" s="91">
        <v>34378.519499999995</v>
      </c>
      <c r="CW54" s="758"/>
      <c r="CX54" s="884">
        <v>2737.9199999999996</v>
      </c>
      <c r="CY54" s="884">
        <v>2116.6799999999998</v>
      </c>
      <c r="CZ54" s="884">
        <v>2379.2655</v>
      </c>
      <c r="DA54" s="884">
        <v>2205.2159999999999</v>
      </c>
      <c r="DB54" s="884">
        <v>2474.6834999999996</v>
      </c>
      <c r="DC54" s="884">
        <v>2980.0454999999997</v>
      </c>
      <c r="DD54" s="884">
        <v>3584.3594999999996</v>
      </c>
      <c r="DE54" s="884">
        <v>2396.0519999999997</v>
      </c>
      <c r="DF54" s="884">
        <v>2485.2854999999995</v>
      </c>
      <c r="DG54" s="884">
        <v>2696.4419999999996</v>
      </c>
      <c r="DH54" s="884">
        <v>3454.4849999999997</v>
      </c>
      <c r="DI54" s="884">
        <v>4868.0849999999991</v>
      </c>
      <c r="DJ54" s="844">
        <f t="shared" si="70"/>
        <v>27144.653999999999</v>
      </c>
      <c r="DK54" s="948"/>
      <c r="DL54" s="884">
        <v>2737.9199999999996</v>
      </c>
      <c r="DM54" s="884">
        <v>2116.6799999999998</v>
      </c>
      <c r="DN54" s="884">
        <v>2379.2655</v>
      </c>
      <c r="DO54" s="884">
        <v>2205.2159999999999</v>
      </c>
      <c r="DP54" s="884">
        <v>2474.6834999999996</v>
      </c>
      <c r="DQ54" s="884">
        <v>2980.0454999999997</v>
      </c>
      <c r="DR54" s="884">
        <v>3584.3594999999996</v>
      </c>
      <c r="DS54" s="884">
        <v>2396.0519999999997</v>
      </c>
      <c r="DT54" s="884">
        <v>2485.2854999999995</v>
      </c>
      <c r="DU54" s="884">
        <v>2696.4419999999996</v>
      </c>
      <c r="DV54" s="884">
        <v>3454.4849999999997</v>
      </c>
      <c r="DW54" s="884">
        <v>4868.0849999999991</v>
      </c>
      <c r="DX54" s="91">
        <v>34378.519499999995</v>
      </c>
    </row>
    <row r="55" spans="1:128" ht="15" hidden="1" customHeight="1" outlineLevel="1">
      <c r="A55" s="94">
        <v>15</v>
      </c>
      <c r="B55" s="921" t="s">
        <v>70</v>
      </c>
      <c r="C55" s="923"/>
      <c r="D55" s="313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314"/>
      <c r="Q55" s="90"/>
      <c r="R55" s="313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  <c r="Z55" s="91">
        <v>2000</v>
      </c>
      <c r="AA55" s="91">
        <v>800</v>
      </c>
      <c r="AB55" s="91">
        <v>800</v>
      </c>
      <c r="AC55" s="91">
        <v>1500</v>
      </c>
      <c r="AD55" s="315">
        <f t="shared" si="84"/>
        <v>5100</v>
      </c>
      <c r="AE55" s="23"/>
      <c r="AF55" s="316">
        <v>1800</v>
      </c>
      <c r="AG55" s="91">
        <v>1200</v>
      </c>
      <c r="AH55" s="91">
        <f>1800*0.4</f>
        <v>720</v>
      </c>
      <c r="AI55" s="91">
        <v>1147</v>
      </c>
      <c r="AJ55" s="91">
        <v>1155</v>
      </c>
      <c r="AK55" s="91">
        <v>1600</v>
      </c>
      <c r="AL55" s="91">
        <v>1800</v>
      </c>
      <c r="AM55" s="91">
        <v>2000</v>
      </c>
      <c r="AN55" s="91">
        <v>2000</v>
      </c>
      <c r="AO55" s="91">
        <v>2000</v>
      </c>
      <c r="AP55" s="91">
        <v>2200</v>
      </c>
      <c r="AQ55" s="91">
        <v>3200</v>
      </c>
      <c r="AR55" s="92">
        <f t="shared" si="85"/>
        <v>20822</v>
      </c>
      <c r="AS55" s="23"/>
      <c r="AT55" s="91">
        <v>1544</v>
      </c>
      <c r="AU55" s="91">
        <v>1544</v>
      </c>
      <c r="AV55" s="91">
        <v>1544</v>
      </c>
      <c r="AW55" s="91">
        <v>1544</v>
      </c>
      <c r="AX55" s="317">
        <v>862</v>
      </c>
      <c r="AY55" s="317">
        <v>862</v>
      </c>
      <c r="AZ55" s="317">
        <v>823</v>
      </c>
      <c r="BA55" s="317">
        <v>823</v>
      </c>
      <c r="BB55" s="317">
        <v>862</v>
      </c>
      <c r="BC55" s="317">
        <v>1019</v>
      </c>
      <c r="BD55" s="317">
        <v>1098</v>
      </c>
      <c r="BE55" s="317">
        <v>1568</v>
      </c>
      <c r="BF55" s="91">
        <f t="shared" si="86"/>
        <v>14093</v>
      </c>
      <c r="BG55" s="93">
        <f t="shared" si="87"/>
        <v>-0.32316780328498707</v>
      </c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>
        <v>21133</v>
      </c>
      <c r="BU55" s="54"/>
      <c r="BV55" s="91">
        <v>3593.52</v>
      </c>
      <c r="BW55" s="91">
        <v>2776.98</v>
      </c>
      <c r="BX55" s="91">
        <f>'META  EM PEÇAS'!U38-('META  EM PEÇAS'!U38*0.05)</f>
        <v>3122.2889999999998</v>
      </c>
      <c r="BY55" s="91">
        <f>'META  EM PEÇAS'!V38-('META  EM PEÇAS'!V38*0.05)</f>
        <v>2893.4625000000001</v>
      </c>
      <c r="BZ55" s="91">
        <f>'META  EM PEÇAS'!W38-('META  EM PEÇAS'!W38*0.05)</f>
        <v>3247.7459999999996</v>
      </c>
      <c r="CA55" s="91">
        <f>'META  EM PEÇAS'!X38-('META  EM PEÇAS'!X38*0.05)</f>
        <v>3910.3709999999992</v>
      </c>
      <c r="CB55" s="91">
        <f>'META  EM PEÇAS'!Y38-('META  EM PEÇAS'!Y38*0.05)</f>
        <v>4703.7539999999999</v>
      </c>
      <c r="CC55" s="91">
        <f>'META  EM PEÇAS'!Z38-('META  EM PEÇAS'!Z38*0.05)</f>
        <v>3144.3764999999999</v>
      </c>
      <c r="CD55" s="91">
        <f>'META  EM PEÇAS'!AA38-('META  EM PEÇAS'!AA38*0.05)</f>
        <v>3260.9984999999997</v>
      </c>
      <c r="CE55" s="91">
        <f>'META  EM PEÇAS'!AB38-('META  EM PEÇAS'!AB38*0.05)</f>
        <v>3539.3009999999999</v>
      </c>
      <c r="CF55" s="91">
        <f>'META  EM PEÇAS'!AC38-('META  EM PEÇAS'!AC38*0.05)</f>
        <v>4533.2384999999995</v>
      </c>
      <c r="CG55" s="91">
        <f>'META  EM PEÇAS'!AD38-('META  EM PEÇAS'!AD38*0.05)</f>
        <v>6387.7049999999999</v>
      </c>
      <c r="CH55" s="91">
        <f t="shared" si="88"/>
        <v>45113.741999999998</v>
      </c>
      <c r="CJ55" s="91">
        <v>3593.52</v>
      </c>
      <c r="CK55" s="91">
        <v>2776.98</v>
      </c>
      <c r="CL55" s="91">
        <v>3122.2889999999998</v>
      </c>
      <c r="CM55" s="91">
        <v>2893.4625000000001</v>
      </c>
      <c r="CN55" s="91">
        <v>3247.7459999999996</v>
      </c>
      <c r="CO55" s="91">
        <v>3910.3709999999992</v>
      </c>
      <c r="CP55" s="91">
        <v>4703.7539999999999</v>
      </c>
      <c r="CQ55" s="91">
        <v>3144.3764999999999</v>
      </c>
      <c r="CR55" s="91">
        <v>3260.9984999999997</v>
      </c>
      <c r="CS55" s="91">
        <v>3539.3009999999999</v>
      </c>
      <c r="CT55" s="91">
        <v>4533.2384999999995</v>
      </c>
      <c r="CU55" s="91">
        <v>6387.7049999999999</v>
      </c>
      <c r="CV55" s="91">
        <v>45113.741999999998</v>
      </c>
      <c r="CW55" s="758"/>
      <c r="CX55" s="884">
        <v>3593.52</v>
      </c>
      <c r="CY55" s="884">
        <v>2776.98</v>
      </c>
      <c r="CZ55" s="884">
        <v>3122.2889999999998</v>
      </c>
      <c r="DA55" s="884">
        <v>2893.4625000000001</v>
      </c>
      <c r="DB55" s="884">
        <v>3247.7459999999996</v>
      </c>
      <c r="DC55" s="884">
        <v>3910.3709999999992</v>
      </c>
      <c r="DD55" s="884">
        <v>4703.7539999999999</v>
      </c>
      <c r="DE55" s="884">
        <v>3144.3764999999999</v>
      </c>
      <c r="DF55" s="884">
        <v>3260.9984999999997</v>
      </c>
      <c r="DG55" s="884">
        <v>3539.3009999999999</v>
      </c>
      <c r="DH55" s="884">
        <v>4533.2384999999995</v>
      </c>
      <c r="DI55" s="884">
        <v>6387.7049999999999</v>
      </c>
      <c r="DJ55" s="844">
        <f t="shared" si="70"/>
        <v>35620.953000000001</v>
      </c>
      <c r="DK55" s="948"/>
      <c r="DL55" s="884">
        <v>3593.52</v>
      </c>
      <c r="DM55" s="884">
        <v>2776.98</v>
      </c>
      <c r="DN55" s="884">
        <v>3122.2889999999998</v>
      </c>
      <c r="DO55" s="884">
        <v>2893.4625000000001</v>
      </c>
      <c r="DP55" s="884">
        <v>3247.7459999999996</v>
      </c>
      <c r="DQ55" s="884">
        <v>3910.3709999999992</v>
      </c>
      <c r="DR55" s="884">
        <v>4703.7539999999999</v>
      </c>
      <c r="DS55" s="884">
        <v>3144.3764999999999</v>
      </c>
      <c r="DT55" s="884">
        <v>3260.9984999999997</v>
      </c>
      <c r="DU55" s="884">
        <v>3539.3009999999999</v>
      </c>
      <c r="DV55" s="884">
        <v>4533.2384999999995</v>
      </c>
      <c r="DW55" s="884">
        <v>6387.7049999999999</v>
      </c>
      <c r="DX55" s="91">
        <v>45113.741999999998</v>
      </c>
    </row>
    <row r="56" spans="1:128" ht="15" hidden="1" customHeight="1" outlineLevel="1">
      <c r="A56" s="94">
        <v>16</v>
      </c>
      <c r="B56" s="924" t="s">
        <v>71</v>
      </c>
      <c r="C56" s="923"/>
      <c r="D56" s="313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314"/>
      <c r="Q56" s="90"/>
      <c r="R56" s="313"/>
      <c r="S56" s="91"/>
      <c r="T56" s="91"/>
      <c r="U56" s="91"/>
      <c r="V56" s="91"/>
      <c r="W56" s="91"/>
      <c r="X56" s="91"/>
      <c r="Y56" s="91"/>
      <c r="Z56" s="91"/>
      <c r="AA56" s="91">
        <v>800</v>
      </c>
      <c r="AB56" s="91">
        <v>800</v>
      </c>
      <c r="AC56" s="91">
        <v>1500</v>
      </c>
      <c r="AD56" s="315"/>
      <c r="AE56" s="23"/>
      <c r="AF56" s="316">
        <v>1500</v>
      </c>
      <c r="AG56" s="91">
        <v>1200</v>
      </c>
      <c r="AH56" s="91">
        <f>1500*0.15</f>
        <v>225</v>
      </c>
      <c r="AI56" s="91">
        <v>192</v>
      </c>
      <c r="AJ56" s="91">
        <v>663</v>
      </c>
      <c r="AK56" s="91">
        <v>800</v>
      </c>
      <c r="AL56" s="91">
        <v>1500</v>
      </c>
      <c r="AM56" s="91">
        <v>1000</v>
      </c>
      <c r="AN56" s="91">
        <v>1000</v>
      </c>
      <c r="AO56" s="91">
        <v>1000</v>
      </c>
      <c r="AP56" s="91">
        <v>1100</v>
      </c>
      <c r="AQ56" s="91">
        <v>1600</v>
      </c>
      <c r="AR56" s="92">
        <f t="shared" si="85"/>
        <v>11780</v>
      </c>
      <c r="AS56" s="23"/>
      <c r="AT56" s="91">
        <v>960</v>
      </c>
      <c r="AU56" s="91">
        <v>960</v>
      </c>
      <c r="AV56" s="91">
        <v>960</v>
      </c>
      <c r="AW56" s="91">
        <v>960</v>
      </c>
      <c r="AX56" s="317">
        <v>1414</v>
      </c>
      <c r="AY56" s="317">
        <v>1414</v>
      </c>
      <c r="AZ56" s="317">
        <v>1350</v>
      </c>
      <c r="BA56" s="317">
        <v>1350</v>
      </c>
      <c r="BB56" s="317">
        <v>1414</v>
      </c>
      <c r="BC56" s="317">
        <v>1671</v>
      </c>
      <c r="BD56" s="317">
        <v>1800</v>
      </c>
      <c r="BE56" s="317">
        <v>2571</v>
      </c>
      <c r="BF56" s="91">
        <f t="shared" si="86"/>
        <v>16824</v>
      </c>
      <c r="BG56" s="93">
        <f t="shared" si="87"/>
        <v>0.42818336162988113</v>
      </c>
      <c r="BH56" s="91">
        <v>900</v>
      </c>
      <c r="BI56" s="91">
        <v>643</v>
      </c>
      <c r="BJ56" s="91">
        <v>891</v>
      </c>
      <c r="BK56" s="91">
        <v>679</v>
      </c>
      <c r="BL56" s="91">
        <v>940</v>
      </c>
      <c r="BM56" s="91">
        <v>948</v>
      </c>
      <c r="BN56" s="91">
        <v>1124</v>
      </c>
      <c r="BO56" s="91">
        <v>913</v>
      </c>
      <c r="BP56" s="91">
        <v>911</v>
      </c>
      <c r="BQ56" s="91">
        <v>898</v>
      </c>
      <c r="BR56" s="91">
        <v>1465</v>
      </c>
      <c r="BS56" s="91">
        <v>1278</v>
      </c>
      <c r="BT56" s="91">
        <f>SUM(BH56:BS56)</f>
        <v>11590</v>
      </c>
      <c r="BU56" s="54"/>
      <c r="BV56" s="91">
        <f>'META  EM PEÇAS'!T47</f>
        <v>1749.7324726431702</v>
      </c>
      <c r="BW56" s="91">
        <f>'META  EM PEÇAS'!T48</f>
        <v>1701.1287928475265</v>
      </c>
      <c r="BX56" s="91">
        <f>'META  EM PEÇAS'!T49</f>
        <v>1846.9398322344578</v>
      </c>
      <c r="BY56" s="91">
        <f>'META  EM PEÇAS'!T50</f>
        <v>1701.1287928475265</v>
      </c>
      <c r="BZ56" s="91">
        <f>'META  EM PEÇAS'!T51</f>
        <v>1846.9398322344578</v>
      </c>
      <c r="CA56" s="91">
        <f>'META  EM PEÇAS'!T52</f>
        <v>1749.7324726431702</v>
      </c>
      <c r="CB56" s="91">
        <f>'META  EM PEÇAS'!T53</f>
        <v>2138.5619110083194</v>
      </c>
      <c r="CC56" s="91">
        <f>'META  EM PEÇAS'!T54</f>
        <v>1749.7324726431702</v>
      </c>
      <c r="CD56" s="91">
        <f>'META  EM PEÇAS'!T55</f>
        <v>1749.7324726431702</v>
      </c>
      <c r="CE56" s="91">
        <f>'META  EM PEÇAS'!T56</f>
        <v>1749.7324726431702</v>
      </c>
      <c r="CF56" s="91">
        <f>'META  EM PEÇAS'!T57</f>
        <v>2721.8060685560426</v>
      </c>
      <c r="CG56" s="91">
        <f>'META  EM PEÇAS'!T58</f>
        <v>1944.1471918257448</v>
      </c>
      <c r="CH56" s="91">
        <f t="shared" si="88"/>
        <v>22649.314784769926</v>
      </c>
      <c r="CJ56" s="91">
        <v>1749.7324726431702</v>
      </c>
      <c r="CK56" s="91">
        <v>1701.1287928475265</v>
      </c>
      <c r="CL56" s="91">
        <v>1846.9398322344578</v>
      </c>
      <c r="CM56" s="91">
        <v>1701.1287928475265</v>
      </c>
      <c r="CN56" s="91">
        <v>1846.9398322344578</v>
      </c>
      <c r="CO56" s="91">
        <v>1749.7324726431702</v>
      </c>
      <c r="CP56" s="91">
        <v>2138.5619110083194</v>
      </c>
      <c r="CQ56" s="91">
        <v>1749.7324726431702</v>
      </c>
      <c r="CR56" s="91">
        <v>1749.7324726431702</v>
      </c>
      <c r="CS56" s="91">
        <v>1749.7324726431702</v>
      </c>
      <c r="CT56" s="91">
        <v>2721.8060685560426</v>
      </c>
      <c r="CU56" s="91">
        <v>1944.1471918257448</v>
      </c>
      <c r="CV56" s="91">
        <v>22649.314784769926</v>
      </c>
      <c r="CW56" s="758"/>
      <c r="CX56" s="884">
        <v>1749.7324726431702</v>
      </c>
      <c r="CY56" s="884">
        <v>1701.1287928475265</v>
      </c>
      <c r="CZ56" s="884">
        <v>1846.9398322344578</v>
      </c>
      <c r="DA56" s="884">
        <v>1701.1287928475265</v>
      </c>
      <c r="DB56" s="884">
        <v>1846.9398322344578</v>
      </c>
      <c r="DC56" s="884">
        <v>1749.7324726431702</v>
      </c>
      <c r="DD56" s="884">
        <v>2138.5619110083194</v>
      </c>
      <c r="DE56" s="884">
        <v>1749.7324726431702</v>
      </c>
      <c r="DF56" s="884">
        <v>1749.7324726431702</v>
      </c>
      <c r="DG56" s="884">
        <v>1749.7324726431702</v>
      </c>
      <c r="DH56" s="884">
        <v>2721.8060685560426</v>
      </c>
      <c r="DI56" s="884">
        <v>1944.1471918257448</v>
      </c>
      <c r="DJ56" s="844">
        <f t="shared" si="70"/>
        <v>17351.513687044775</v>
      </c>
      <c r="DK56" s="948"/>
      <c r="DL56" s="884">
        <v>1749.7324726431702</v>
      </c>
      <c r="DM56" s="884">
        <v>1701.1287928475265</v>
      </c>
      <c r="DN56" s="884">
        <v>1846.9398322344578</v>
      </c>
      <c r="DO56" s="884">
        <v>1701.1287928475265</v>
      </c>
      <c r="DP56" s="884">
        <v>1846.9398322344578</v>
      </c>
      <c r="DQ56" s="884">
        <v>1749.7324726431702</v>
      </c>
      <c r="DR56" s="884">
        <v>2138.5619110083194</v>
      </c>
      <c r="DS56" s="884">
        <v>1749.7324726431702</v>
      </c>
      <c r="DT56" s="884">
        <v>1749.7324726431702</v>
      </c>
      <c r="DU56" s="884">
        <v>1749.7324726431702</v>
      </c>
      <c r="DV56" s="884">
        <v>2721.8060685560426</v>
      </c>
      <c r="DW56" s="884">
        <v>1944.1471918257448</v>
      </c>
      <c r="DX56" s="91">
        <v>22649.314784769926</v>
      </c>
    </row>
    <row r="57" spans="1:128" ht="15" hidden="1" customHeight="1" outlineLevel="1">
      <c r="A57" s="94"/>
      <c r="B57" s="921"/>
      <c r="C57" s="925"/>
      <c r="D57" s="313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314"/>
      <c r="Q57" s="90"/>
      <c r="R57" s="313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315"/>
      <c r="AE57" s="23"/>
      <c r="AF57" s="316">
        <v>0</v>
      </c>
      <c r="AG57" s="91">
        <v>0</v>
      </c>
      <c r="AH57" s="91">
        <v>0</v>
      </c>
      <c r="AI57" s="91">
        <v>0</v>
      </c>
      <c r="AJ57" s="91">
        <v>0</v>
      </c>
      <c r="AK57" s="91">
        <v>400</v>
      </c>
      <c r="AL57" s="91">
        <v>500</v>
      </c>
      <c r="AM57" s="91">
        <v>500</v>
      </c>
      <c r="AN57" s="91">
        <v>600</v>
      </c>
      <c r="AO57" s="91">
        <v>600</v>
      </c>
      <c r="AP57" s="91">
        <v>660</v>
      </c>
      <c r="AQ57" s="91">
        <v>960</v>
      </c>
      <c r="AR57" s="92">
        <f t="shared" si="85"/>
        <v>4220</v>
      </c>
      <c r="AS57" s="23"/>
      <c r="AT57" s="91">
        <v>960</v>
      </c>
      <c r="AU57" s="91">
        <v>960</v>
      </c>
      <c r="AV57" s="91">
        <v>960</v>
      </c>
      <c r="AW57" s="91">
        <v>960</v>
      </c>
      <c r="AX57" s="317">
        <v>580</v>
      </c>
      <c r="AY57" s="317">
        <v>580</v>
      </c>
      <c r="AZ57" s="317">
        <v>554</v>
      </c>
      <c r="BA57" s="317">
        <v>554</v>
      </c>
      <c r="BB57" s="317">
        <v>580</v>
      </c>
      <c r="BC57" s="317">
        <v>686</v>
      </c>
      <c r="BD57" s="317">
        <v>739</v>
      </c>
      <c r="BE57" s="317">
        <v>1055</v>
      </c>
      <c r="BF57" s="91">
        <f t="shared" si="86"/>
        <v>9168</v>
      </c>
      <c r="BG57" s="93">
        <f t="shared" si="87"/>
        <v>1.172511848341232</v>
      </c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54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758"/>
      <c r="CX57" s="884"/>
      <c r="CY57" s="884"/>
      <c r="CZ57" s="884"/>
      <c r="DA57" s="884"/>
      <c r="DB57" s="884"/>
      <c r="DC57" s="884"/>
      <c r="DD57" s="884"/>
      <c r="DE57" s="884"/>
      <c r="DF57" s="884"/>
      <c r="DG57" s="884"/>
      <c r="DH57" s="884"/>
      <c r="DI57" s="884"/>
      <c r="DJ57" s="844">
        <f t="shared" si="70"/>
        <v>0</v>
      </c>
      <c r="DK57" s="948"/>
      <c r="DL57" s="884"/>
      <c r="DM57" s="884"/>
      <c r="DN57" s="884"/>
      <c r="DO57" s="884"/>
      <c r="DP57" s="884"/>
      <c r="DQ57" s="884"/>
      <c r="DR57" s="884"/>
      <c r="DS57" s="884"/>
      <c r="DT57" s="884"/>
      <c r="DU57" s="884"/>
      <c r="DV57" s="884"/>
      <c r="DW57" s="884"/>
      <c r="DX57" s="91"/>
    </row>
    <row r="58" spans="1:128" ht="15" hidden="1" customHeight="1" outlineLevel="1">
      <c r="A58" s="95"/>
      <c r="B58" s="924"/>
      <c r="C58" s="926"/>
      <c r="D58" s="421"/>
      <c r="E58" s="422"/>
      <c r="F58" s="422"/>
      <c r="G58" s="422"/>
      <c r="H58" s="422"/>
      <c r="I58" s="422"/>
      <c r="J58" s="422"/>
      <c r="K58" s="422"/>
      <c r="L58" s="422"/>
      <c r="M58" s="422"/>
      <c r="N58" s="422"/>
      <c r="O58" s="422"/>
      <c r="P58" s="423"/>
      <c r="Q58" s="424"/>
      <c r="R58" s="421"/>
      <c r="S58" s="425"/>
      <c r="T58" s="425"/>
      <c r="U58" s="425"/>
      <c r="V58" s="425"/>
      <c r="W58" s="425"/>
      <c r="X58" s="425"/>
      <c r="Y58" s="425"/>
      <c r="Z58" s="425"/>
      <c r="AA58" s="425"/>
      <c r="AB58" s="425"/>
      <c r="AC58" s="425"/>
      <c r="AD58" s="426"/>
      <c r="AE58" s="427"/>
      <c r="AF58" s="428">
        <v>0</v>
      </c>
      <c r="AG58" s="425">
        <v>0</v>
      </c>
      <c r="AH58" s="425">
        <v>0</v>
      </c>
      <c r="AI58" s="425">
        <v>0</v>
      </c>
      <c r="AJ58" s="425">
        <v>0</v>
      </c>
      <c r="AK58" s="425">
        <v>0</v>
      </c>
      <c r="AL58" s="425">
        <v>2500</v>
      </c>
      <c r="AM58" s="425">
        <v>2000</v>
      </c>
      <c r="AN58" s="425">
        <v>500</v>
      </c>
      <c r="AO58" s="425">
        <v>600</v>
      </c>
      <c r="AP58" s="425">
        <v>660</v>
      </c>
      <c r="AQ58" s="425">
        <v>960</v>
      </c>
      <c r="AR58" s="429">
        <f t="shared" si="85"/>
        <v>7220</v>
      </c>
      <c r="AS58" s="23"/>
      <c r="AT58" s="425">
        <v>1518</v>
      </c>
      <c r="AU58" s="425">
        <v>1518</v>
      </c>
      <c r="AV58" s="425">
        <v>1518</v>
      </c>
      <c r="AW58" s="425">
        <v>1518</v>
      </c>
      <c r="AX58" s="317">
        <v>1943</v>
      </c>
      <c r="AY58" s="317">
        <v>1943</v>
      </c>
      <c r="AZ58" s="317">
        <v>1854</v>
      </c>
      <c r="BA58" s="317">
        <v>1854</v>
      </c>
      <c r="BB58" s="317">
        <v>1943</v>
      </c>
      <c r="BC58" s="317">
        <v>2296</v>
      </c>
      <c r="BD58" s="317">
        <v>2472</v>
      </c>
      <c r="BE58" s="317">
        <v>3532</v>
      </c>
      <c r="BF58" s="425">
        <f t="shared" si="86"/>
        <v>23909</v>
      </c>
      <c r="BG58" s="93">
        <f t="shared" si="87"/>
        <v>2.3114958448753464</v>
      </c>
      <c r="BH58" s="425"/>
      <c r="BI58" s="425"/>
      <c r="BJ58" s="425"/>
      <c r="BK58" s="425"/>
      <c r="BL58" s="91"/>
      <c r="BM58" s="91"/>
      <c r="BN58" s="91"/>
      <c r="BO58" s="91"/>
      <c r="BP58" s="91"/>
      <c r="BQ58" s="91"/>
      <c r="BR58" s="91"/>
      <c r="BS58" s="91"/>
      <c r="BT58" s="91"/>
      <c r="BU58" s="54"/>
      <c r="BV58" s="425"/>
      <c r="BW58" s="425"/>
      <c r="BX58" s="425"/>
      <c r="BY58" s="425"/>
      <c r="BZ58" s="91"/>
      <c r="CA58" s="91"/>
      <c r="CB58" s="91"/>
      <c r="CC58" s="91"/>
      <c r="CD58" s="91"/>
      <c r="CE58" s="91"/>
      <c r="CF58" s="91"/>
      <c r="CG58" s="91"/>
      <c r="CH58" s="91"/>
      <c r="CJ58" s="425"/>
      <c r="CK58" s="425"/>
      <c r="CL58" s="425"/>
      <c r="CM58" s="425"/>
      <c r="CN58" s="91"/>
      <c r="CO58" s="91"/>
      <c r="CP58" s="91"/>
      <c r="CQ58" s="91"/>
      <c r="CR58" s="91"/>
      <c r="CS58" s="91"/>
      <c r="CT58" s="91"/>
      <c r="CU58" s="91"/>
      <c r="CV58" s="91"/>
      <c r="CW58" s="758"/>
      <c r="CX58" s="885"/>
      <c r="CY58" s="885"/>
      <c r="CZ58" s="885"/>
      <c r="DA58" s="885"/>
      <c r="DB58" s="884"/>
      <c r="DC58" s="884"/>
      <c r="DD58" s="884"/>
      <c r="DE58" s="884"/>
      <c r="DF58" s="884"/>
      <c r="DG58" s="884"/>
      <c r="DH58" s="884"/>
      <c r="DI58" s="884"/>
      <c r="DJ58" s="844">
        <f t="shared" si="70"/>
        <v>0</v>
      </c>
      <c r="DK58" s="948"/>
      <c r="DL58" s="885"/>
      <c r="DM58" s="885"/>
      <c r="DN58" s="885"/>
      <c r="DO58" s="885"/>
      <c r="DP58" s="884"/>
      <c r="DQ58" s="884"/>
      <c r="DR58" s="884"/>
      <c r="DS58" s="884"/>
      <c r="DT58" s="884"/>
      <c r="DU58" s="884"/>
      <c r="DV58" s="884"/>
      <c r="DW58" s="884"/>
      <c r="DX58" s="91"/>
    </row>
    <row r="59" spans="1:128" ht="15" hidden="1" customHeight="1" outlineLevel="1">
      <c r="A59" s="434"/>
      <c r="B59" s="1075"/>
      <c r="C59" s="1076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6"/>
      <c r="AF59" s="437">
        <v>0</v>
      </c>
      <c r="AG59" s="437">
        <v>0</v>
      </c>
      <c r="AH59" s="437">
        <v>0</v>
      </c>
      <c r="AI59" s="437">
        <v>0</v>
      </c>
      <c r="AJ59" s="437">
        <v>0</v>
      </c>
      <c r="AK59" s="437">
        <v>0</v>
      </c>
      <c r="AL59" s="437">
        <v>0</v>
      </c>
      <c r="AM59" s="437">
        <v>0</v>
      </c>
      <c r="AN59" s="437">
        <v>0</v>
      </c>
      <c r="AO59" s="437">
        <v>0</v>
      </c>
      <c r="AP59" s="437">
        <v>0</v>
      </c>
      <c r="AQ59" s="437">
        <v>0</v>
      </c>
      <c r="AR59" s="438">
        <f t="shared" si="85"/>
        <v>0</v>
      </c>
      <c r="AS59" s="322"/>
      <c r="AT59" s="437">
        <v>0</v>
      </c>
      <c r="AU59" s="437">
        <v>0</v>
      </c>
      <c r="AV59" s="437">
        <v>0</v>
      </c>
      <c r="AW59" s="437">
        <v>0</v>
      </c>
      <c r="AX59" s="439">
        <v>800</v>
      </c>
      <c r="AY59" s="317">
        <v>800</v>
      </c>
      <c r="AZ59" s="317">
        <v>800</v>
      </c>
      <c r="BA59" s="317">
        <v>1050</v>
      </c>
      <c r="BB59" s="317">
        <v>1100</v>
      </c>
      <c r="BC59" s="317">
        <v>1300</v>
      </c>
      <c r="BD59" s="317">
        <v>1400</v>
      </c>
      <c r="BE59" s="440">
        <v>2000</v>
      </c>
      <c r="BF59" s="437">
        <f t="shared" si="86"/>
        <v>9250</v>
      </c>
      <c r="BG59" s="325" t="e">
        <f t="shared" si="87"/>
        <v>#DIV/0!</v>
      </c>
      <c r="BH59" s="437"/>
      <c r="BI59" s="437"/>
      <c r="BJ59" s="437"/>
      <c r="BK59" s="437"/>
      <c r="BL59" s="439"/>
      <c r="BM59" s="317"/>
      <c r="BN59" s="317"/>
      <c r="BO59" s="317"/>
      <c r="BP59" s="317"/>
      <c r="BQ59" s="317"/>
      <c r="BR59" s="317"/>
      <c r="BS59" s="317"/>
      <c r="BT59" s="317"/>
      <c r="BU59" s="326"/>
      <c r="BV59" s="443"/>
      <c r="BW59" s="443"/>
      <c r="BX59" s="443"/>
      <c r="BY59" s="443"/>
      <c r="BZ59" s="444"/>
      <c r="CA59" s="317"/>
      <c r="CB59" s="317"/>
      <c r="CC59" s="317"/>
      <c r="CD59" s="317"/>
      <c r="CE59" s="317"/>
      <c r="CF59" s="317"/>
      <c r="CG59" s="317"/>
      <c r="CH59" s="317"/>
      <c r="CJ59" s="443"/>
      <c r="CK59" s="443"/>
      <c r="CL59" s="443"/>
      <c r="CM59" s="443"/>
      <c r="CN59" s="444"/>
      <c r="CO59" s="317"/>
      <c r="CP59" s="317"/>
      <c r="CQ59" s="317"/>
      <c r="CR59" s="317"/>
      <c r="CS59" s="317"/>
      <c r="CT59" s="317"/>
      <c r="CU59" s="317"/>
      <c r="CV59" s="317"/>
      <c r="CW59" s="758"/>
      <c r="CX59" s="886"/>
      <c r="CY59" s="886"/>
      <c r="CZ59" s="886"/>
      <c r="DA59" s="886"/>
      <c r="DB59" s="887"/>
      <c r="DC59" s="888"/>
      <c r="DD59" s="888"/>
      <c r="DE59" s="888"/>
      <c r="DF59" s="888"/>
      <c r="DG59" s="888"/>
      <c r="DH59" s="888"/>
      <c r="DI59" s="888"/>
      <c r="DJ59" s="844">
        <f t="shared" si="70"/>
        <v>0</v>
      </c>
      <c r="DK59" s="948"/>
      <c r="DL59" s="886"/>
      <c r="DM59" s="886"/>
      <c r="DN59" s="886"/>
      <c r="DO59" s="886"/>
      <c r="DP59" s="887"/>
      <c r="DQ59" s="888"/>
      <c r="DR59" s="888"/>
      <c r="DS59" s="888"/>
      <c r="DT59" s="888"/>
      <c r="DU59" s="888"/>
      <c r="DV59" s="888"/>
      <c r="DW59" s="888"/>
      <c r="DX59" s="317"/>
    </row>
    <row r="60" spans="1:128" ht="15" hidden="1" customHeight="1" outlineLevel="1">
      <c r="A60" s="430"/>
      <c r="B60" s="927"/>
      <c r="C60" s="928"/>
      <c r="D60" s="424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32"/>
      <c r="T60" s="432"/>
      <c r="U60" s="432"/>
      <c r="V60" s="432"/>
      <c r="W60" s="432"/>
      <c r="X60" s="432"/>
      <c r="Y60" s="432"/>
      <c r="Z60" s="432"/>
      <c r="AA60" s="432"/>
      <c r="AB60" s="432"/>
      <c r="AC60" s="432"/>
      <c r="AD60" s="432"/>
      <c r="AE60" s="427"/>
      <c r="AF60" s="432"/>
      <c r="AG60" s="432"/>
      <c r="AH60" s="432"/>
      <c r="AI60" s="432"/>
      <c r="AJ60" s="432"/>
      <c r="AK60" s="432"/>
      <c r="AL60" s="432"/>
      <c r="AM60" s="432"/>
      <c r="AN60" s="432"/>
      <c r="AO60" s="432"/>
      <c r="AP60" s="432"/>
      <c r="AQ60" s="432"/>
      <c r="AR60" s="433"/>
      <c r="AS60" s="23"/>
      <c r="AT60" s="97"/>
      <c r="AU60" s="97"/>
      <c r="AV60" s="97"/>
      <c r="AW60" s="97"/>
      <c r="AX60" s="91"/>
      <c r="AY60" s="91"/>
      <c r="AZ60" s="91"/>
      <c r="BA60" s="91"/>
      <c r="BB60" s="91"/>
      <c r="BC60" s="91"/>
      <c r="BD60" s="91">
        <v>600</v>
      </c>
      <c r="BE60" s="315">
        <v>700</v>
      </c>
      <c r="BF60" s="437">
        <f t="shared" si="86"/>
        <v>1300</v>
      </c>
      <c r="BG60" s="93"/>
      <c r="BH60" s="442"/>
      <c r="BI60" s="442"/>
      <c r="BJ60" s="442"/>
      <c r="BK60" s="442"/>
      <c r="BL60" s="316"/>
      <c r="BM60" s="91"/>
      <c r="BN60" s="91"/>
      <c r="BO60" s="91"/>
      <c r="BP60" s="91"/>
      <c r="BQ60" s="91"/>
      <c r="BR60" s="91"/>
      <c r="BS60" s="91"/>
      <c r="BT60" s="91"/>
      <c r="BU60" s="54"/>
      <c r="BV60" s="442"/>
      <c r="BW60" s="442"/>
      <c r="BX60" s="442"/>
      <c r="BY60" s="442"/>
      <c r="BZ60" s="442"/>
      <c r="CA60" s="316"/>
      <c r="CB60" s="91">
        <v>60</v>
      </c>
      <c r="CC60" s="91"/>
      <c r="CD60" s="91"/>
      <c r="CE60" s="91"/>
      <c r="CF60" s="91"/>
      <c r="CG60" s="91"/>
      <c r="CH60" s="91"/>
      <c r="CJ60" s="708">
        <f>(CJ62-CJ61)/CJ61</f>
        <v>0.03</v>
      </c>
      <c r="CK60" s="708">
        <f t="shared" ref="CK60:CU60" si="92">(CK62-CK61)/CK61</f>
        <v>3.0000000000000079E-2</v>
      </c>
      <c r="CL60" s="708">
        <f t="shared" si="92"/>
        <v>3.0000000000000058E-2</v>
      </c>
      <c r="CM60" s="708">
        <f t="shared" si="92"/>
        <v>3.0000000000000034E-2</v>
      </c>
      <c r="CN60" s="708">
        <f t="shared" si="92"/>
        <v>3.000000000000011E-2</v>
      </c>
      <c r="CO60" s="708">
        <f t="shared" si="92"/>
        <v>3.000000000000012E-2</v>
      </c>
      <c r="CP60" s="708">
        <f t="shared" si="92"/>
        <v>3.0000000000000113E-2</v>
      </c>
      <c r="CQ60" s="708">
        <f t="shared" si="92"/>
        <v>3.0000000000000127E-2</v>
      </c>
      <c r="CR60" s="708">
        <f t="shared" si="92"/>
        <v>3.0000000000000068E-2</v>
      </c>
      <c r="CS60" s="708">
        <f t="shared" si="92"/>
        <v>2.9999999999999982E-2</v>
      </c>
      <c r="CT60" s="708">
        <f t="shared" si="92"/>
        <v>2.9999999999999961E-2</v>
      </c>
      <c r="CU60" s="708">
        <f t="shared" si="92"/>
        <v>0.03</v>
      </c>
      <c r="CV60" s="91"/>
      <c r="CW60" s="758"/>
      <c r="CX60" s="889"/>
      <c r="CY60" s="889"/>
      <c r="CZ60" s="889"/>
      <c r="DA60" s="889"/>
      <c r="DB60" s="889"/>
      <c r="DC60" s="890"/>
      <c r="DD60" s="884"/>
      <c r="DE60" s="884"/>
      <c r="DF60" s="884"/>
      <c r="DG60" s="884"/>
      <c r="DH60" s="884"/>
      <c r="DI60" s="884"/>
      <c r="DJ60" s="844">
        <f t="shared" si="70"/>
        <v>0</v>
      </c>
      <c r="DK60" s="948"/>
      <c r="DL60" s="889"/>
      <c r="DM60" s="889"/>
      <c r="DN60" s="889"/>
      <c r="DO60" s="889"/>
      <c r="DP60" s="889"/>
      <c r="DQ60" s="890"/>
      <c r="DR60" s="884"/>
      <c r="DS60" s="884"/>
      <c r="DT60" s="884"/>
      <c r="DU60" s="884"/>
      <c r="DV60" s="884"/>
      <c r="DW60" s="884"/>
      <c r="DX60" s="91"/>
    </row>
    <row r="61" spans="1:128" ht="15" hidden="1" customHeight="1" outlineLevel="1">
      <c r="A61" s="95"/>
      <c r="B61" s="924" t="s">
        <v>71</v>
      </c>
      <c r="C61" s="922"/>
      <c r="D61" s="313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>
        <f t="shared" ref="P61:P62" si="93">SUM(D61:O61)</f>
        <v>0</v>
      </c>
      <c r="Q61" s="90"/>
      <c r="R61" s="313">
        <v>350</v>
      </c>
      <c r="S61" s="91">
        <v>350</v>
      </c>
      <c r="T61" s="91">
        <v>450</v>
      </c>
      <c r="U61" s="91">
        <v>800</v>
      </c>
      <c r="V61" s="91">
        <v>531</v>
      </c>
      <c r="W61" s="91">
        <v>750</v>
      </c>
      <c r="X61" s="91">
        <v>650</v>
      </c>
      <c r="Y61" s="91">
        <v>750</v>
      </c>
      <c r="Z61" s="91">
        <v>900</v>
      </c>
      <c r="AA61" s="91">
        <v>1000</v>
      </c>
      <c r="AB61" s="91">
        <v>1200</v>
      </c>
      <c r="AC61" s="91">
        <v>1500</v>
      </c>
      <c r="AD61" s="315">
        <f t="shared" ref="AD61:AD62" si="94">SUM(R61:AC61)</f>
        <v>9231</v>
      </c>
      <c r="AE61" s="23"/>
      <c r="AF61" s="316">
        <v>1500</v>
      </c>
      <c r="AG61" s="91">
        <v>800</v>
      </c>
      <c r="AH61" s="91">
        <v>800</v>
      </c>
      <c r="AI61" s="91">
        <v>1820</v>
      </c>
      <c r="AJ61" s="91">
        <v>1630</v>
      </c>
      <c r="AK61" s="91">
        <v>1360</v>
      </c>
      <c r="AL61" s="91">
        <v>1000</v>
      </c>
      <c r="AM61" s="91">
        <v>1700</v>
      </c>
      <c r="AN61" s="91">
        <v>1700</v>
      </c>
      <c r="AO61" s="91">
        <v>1700</v>
      </c>
      <c r="AP61" s="91">
        <v>1870</v>
      </c>
      <c r="AQ61" s="91">
        <v>2720</v>
      </c>
      <c r="AR61" s="92">
        <f t="shared" ref="AR61:AR62" si="95">SUM(AF61:AQ61)</f>
        <v>18600</v>
      </c>
      <c r="AS61" s="23"/>
      <c r="AT61" s="91">
        <v>2053</v>
      </c>
      <c r="AU61" s="91">
        <v>2053</v>
      </c>
      <c r="AV61" s="91">
        <v>2053</v>
      </c>
      <c r="AW61" s="91">
        <v>2053</v>
      </c>
      <c r="AX61" s="91">
        <v>2807</v>
      </c>
      <c r="AY61" s="91">
        <v>2807</v>
      </c>
      <c r="AZ61" s="91">
        <v>2680</v>
      </c>
      <c r="BA61" s="91">
        <v>2680</v>
      </c>
      <c r="BB61" s="91">
        <v>2807</v>
      </c>
      <c r="BC61" s="91">
        <v>3318</v>
      </c>
      <c r="BD61" s="91">
        <v>5870</v>
      </c>
      <c r="BE61" s="91">
        <v>5104</v>
      </c>
      <c r="BF61" s="441">
        <f t="shared" si="86"/>
        <v>36285</v>
      </c>
      <c r="BG61" s="93">
        <f>BF61/AR61-1</f>
        <v>0.95080645161290334</v>
      </c>
      <c r="BH61" s="441"/>
      <c r="BI61" s="441"/>
      <c r="BJ61" s="441"/>
      <c r="BK61" s="441"/>
      <c r="BL61" s="91"/>
      <c r="BM61" s="91"/>
      <c r="BN61" s="91"/>
      <c r="BO61" s="91"/>
      <c r="BP61" s="91"/>
      <c r="BQ61" s="91"/>
      <c r="BR61" s="91"/>
      <c r="BS61" s="91"/>
      <c r="BT61" s="91">
        <f>SUM(BH61:BS61)</f>
        <v>0</v>
      </c>
      <c r="BU61" s="54"/>
      <c r="BV61" s="441"/>
      <c r="BW61" s="441"/>
      <c r="BX61" s="441"/>
      <c r="BY61" s="441"/>
      <c r="BZ61" s="441"/>
      <c r="CA61" s="91"/>
      <c r="CB61" s="91"/>
      <c r="CC61" s="91"/>
      <c r="CD61" s="91"/>
      <c r="CE61" s="91"/>
      <c r="CF61" s="91"/>
      <c r="CG61" s="91"/>
      <c r="CH61" s="91"/>
      <c r="CJ61" s="441">
        <f>BV71</f>
        <v>38900</v>
      </c>
      <c r="CK61" s="441">
        <f t="shared" ref="CK61:CU61" si="96">BW71</f>
        <v>31376</v>
      </c>
      <c r="CL61" s="441">
        <f t="shared" si="96"/>
        <v>29886</v>
      </c>
      <c r="CM61" s="441">
        <f t="shared" si="96"/>
        <v>30671</v>
      </c>
      <c r="CN61" s="441">
        <f t="shared" si="96"/>
        <v>34553</v>
      </c>
      <c r="CO61" s="441">
        <f t="shared" si="96"/>
        <v>36515</v>
      </c>
      <c r="CP61" s="441">
        <f t="shared" si="96"/>
        <v>38915</v>
      </c>
      <c r="CQ61" s="441">
        <f t="shared" si="96"/>
        <v>34615</v>
      </c>
      <c r="CR61" s="441">
        <f t="shared" si="96"/>
        <v>29617</v>
      </c>
      <c r="CS61" s="441">
        <f t="shared" si="96"/>
        <v>34538</v>
      </c>
      <c r="CT61" s="441">
        <f t="shared" si="96"/>
        <v>45914</v>
      </c>
      <c r="CU61" s="441">
        <f t="shared" si="96"/>
        <v>60875</v>
      </c>
      <c r="CV61" s="91"/>
      <c r="CW61" s="758"/>
      <c r="CX61" s="891"/>
      <c r="CY61" s="891"/>
      <c r="CZ61" s="891"/>
      <c r="DA61" s="891"/>
      <c r="DB61" s="891"/>
      <c r="DC61" s="884"/>
      <c r="DD61" s="884"/>
      <c r="DE61" s="884"/>
      <c r="DF61" s="884"/>
      <c r="DG61" s="884"/>
      <c r="DH61" s="884"/>
      <c r="DI61" s="884"/>
      <c r="DJ61" s="844">
        <f t="shared" si="70"/>
        <v>0</v>
      </c>
      <c r="DK61" s="948"/>
      <c r="DL61" s="891"/>
      <c r="DM61" s="891"/>
      <c r="DN61" s="891"/>
      <c r="DO61" s="891"/>
      <c r="DP61" s="891"/>
      <c r="DQ61" s="884"/>
      <c r="DR61" s="884"/>
      <c r="DS61" s="884"/>
      <c r="DT61" s="884"/>
      <c r="DU61" s="884"/>
      <c r="DV61" s="884"/>
      <c r="DW61" s="884"/>
      <c r="DX61" s="91"/>
    </row>
    <row r="62" spans="1:128" ht="18.75" hidden="1" collapsed="1">
      <c r="A62" s="55"/>
      <c r="B62" s="56" t="s">
        <v>123</v>
      </c>
      <c r="C62" s="753"/>
      <c r="D62" s="288">
        <f t="shared" ref="D62:O62" si="97">SUM(D41:D61)</f>
        <v>0</v>
      </c>
      <c r="E62" s="57">
        <f t="shared" si="97"/>
        <v>0</v>
      </c>
      <c r="F62" s="57">
        <f t="shared" si="97"/>
        <v>0</v>
      </c>
      <c r="G62" s="57">
        <f t="shared" si="97"/>
        <v>0</v>
      </c>
      <c r="H62" s="57">
        <f t="shared" si="97"/>
        <v>0</v>
      </c>
      <c r="I62" s="57">
        <f t="shared" si="97"/>
        <v>0</v>
      </c>
      <c r="J62" s="57">
        <f t="shared" si="97"/>
        <v>0</v>
      </c>
      <c r="K62" s="57">
        <f t="shared" si="97"/>
        <v>0</v>
      </c>
      <c r="L62" s="57">
        <f t="shared" si="97"/>
        <v>0</v>
      </c>
      <c r="M62" s="57">
        <f t="shared" si="97"/>
        <v>0</v>
      </c>
      <c r="N62" s="57">
        <f t="shared" si="97"/>
        <v>0</v>
      </c>
      <c r="O62" s="57">
        <f t="shared" si="97"/>
        <v>0</v>
      </c>
      <c r="P62" s="289">
        <f t="shared" si="93"/>
        <v>0</v>
      </c>
      <c r="Q62" s="39"/>
      <c r="R62" s="288">
        <f t="shared" ref="R62:AC62" si="98">SUM(R41:R61)</f>
        <v>20557.543859649122</v>
      </c>
      <c r="S62" s="58">
        <f t="shared" si="98"/>
        <v>20512.543859649122</v>
      </c>
      <c r="T62" s="58">
        <f t="shared" si="98"/>
        <v>13699.771929824561</v>
      </c>
      <c r="U62" s="58">
        <f t="shared" si="98"/>
        <v>912.5</v>
      </c>
      <c r="V62" s="58">
        <f t="shared" si="98"/>
        <v>16851</v>
      </c>
      <c r="W62" s="290">
        <f t="shared" si="98"/>
        <v>13700</v>
      </c>
      <c r="X62" s="290">
        <f t="shared" si="98"/>
        <v>26050</v>
      </c>
      <c r="Y62" s="290">
        <f t="shared" si="98"/>
        <v>27750</v>
      </c>
      <c r="Z62" s="290">
        <f t="shared" si="98"/>
        <v>31100</v>
      </c>
      <c r="AA62" s="290">
        <f t="shared" si="98"/>
        <v>32100</v>
      </c>
      <c r="AB62" s="290">
        <f t="shared" si="98"/>
        <v>37500</v>
      </c>
      <c r="AC62" s="290">
        <f t="shared" si="98"/>
        <v>45300</v>
      </c>
      <c r="AD62" s="291">
        <f t="shared" si="94"/>
        <v>286033.35964912281</v>
      </c>
      <c r="AE62" s="59"/>
      <c r="AF62" s="292">
        <f>SUM(AF41:AF61)</f>
        <v>38500</v>
      </c>
      <c r="AG62" s="58">
        <f t="shared" ref="AG62:AQ62" si="99">SUM(AG41:AG61)</f>
        <v>22400</v>
      </c>
      <c r="AH62" s="58">
        <f t="shared" si="99"/>
        <v>10671</v>
      </c>
      <c r="AI62" s="58">
        <f t="shared" si="99"/>
        <v>16097</v>
      </c>
      <c r="AJ62" s="58">
        <f t="shared" si="99"/>
        <v>30278</v>
      </c>
      <c r="AK62" s="58">
        <f t="shared" si="99"/>
        <v>28560</v>
      </c>
      <c r="AL62" s="58">
        <f t="shared" si="99"/>
        <v>41700</v>
      </c>
      <c r="AM62" s="58">
        <f t="shared" si="99"/>
        <v>38700</v>
      </c>
      <c r="AN62" s="58">
        <f t="shared" si="99"/>
        <v>37300</v>
      </c>
      <c r="AO62" s="58">
        <f t="shared" si="99"/>
        <v>37400</v>
      </c>
      <c r="AP62" s="58">
        <f t="shared" si="99"/>
        <v>40640</v>
      </c>
      <c r="AQ62" s="58">
        <f t="shared" si="99"/>
        <v>54440</v>
      </c>
      <c r="AR62" s="58">
        <f t="shared" si="95"/>
        <v>396686</v>
      </c>
      <c r="AS62" s="59"/>
      <c r="AT62" s="58">
        <f t="shared" ref="AT62:BE62" si="100">SUM(AT41:AT61)</f>
        <v>36153</v>
      </c>
      <c r="AU62" s="58">
        <f>SUM(AU41:AU61)</f>
        <v>35289</v>
      </c>
      <c r="AV62" s="58">
        <f t="shared" si="100"/>
        <v>35872</v>
      </c>
      <c r="AW62" s="58">
        <f t="shared" si="100"/>
        <v>38031</v>
      </c>
      <c r="AX62" s="58">
        <f t="shared" si="100"/>
        <v>33566</v>
      </c>
      <c r="AY62" s="58">
        <f t="shared" si="100"/>
        <v>33566</v>
      </c>
      <c r="AZ62" s="58">
        <f t="shared" si="100"/>
        <v>30896</v>
      </c>
      <c r="BA62" s="58">
        <f t="shared" si="100"/>
        <v>31146</v>
      </c>
      <c r="BB62" s="58">
        <f t="shared" si="100"/>
        <v>32630</v>
      </c>
      <c r="BC62" s="58">
        <f t="shared" si="100"/>
        <v>38562</v>
      </c>
      <c r="BD62" s="58">
        <f t="shared" si="100"/>
        <v>41345</v>
      </c>
      <c r="BE62" s="58">
        <f t="shared" si="100"/>
        <v>49263</v>
      </c>
      <c r="BF62" s="58">
        <f>SUM(AT62:BE62)</f>
        <v>436319</v>
      </c>
      <c r="BG62" s="59">
        <f>BF62-AR62</f>
        <v>39633</v>
      </c>
      <c r="BH62" s="58">
        <v>36153</v>
      </c>
      <c r="BI62" s="58">
        <v>35289</v>
      </c>
      <c r="BJ62" s="58">
        <v>35872</v>
      </c>
      <c r="BK62" s="58">
        <v>38031</v>
      </c>
      <c r="BL62" s="58">
        <v>38570</v>
      </c>
      <c r="BM62" s="58">
        <v>39227</v>
      </c>
      <c r="BN62" s="58">
        <v>41128</v>
      </c>
      <c r="BO62" s="58">
        <v>38191</v>
      </c>
      <c r="BP62" s="58">
        <v>38191</v>
      </c>
      <c r="BQ62" s="58">
        <v>40225</v>
      </c>
      <c r="BR62" s="58">
        <v>43272</v>
      </c>
      <c r="BS62" s="58">
        <v>60327</v>
      </c>
      <c r="BT62" s="58">
        <f t="shared" ref="BT62:BT66" si="101">SUM(BH62:BS62)</f>
        <v>484476</v>
      </c>
      <c r="BU62" s="60"/>
      <c r="BV62" s="58">
        <f>SUM(BV41:BV58)</f>
        <v>35797.912472643162</v>
      </c>
      <c r="BW62" s="58">
        <f t="shared" ref="BW62:CG62" si="102">SUM(BW41:BW58)</f>
        <v>27268.538792847521</v>
      </c>
      <c r="BX62" s="58">
        <f t="shared" si="102"/>
        <v>34357.668832234456</v>
      </c>
      <c r="BY62" s="58">
        <f t="shared" si="102"/>
        <v>29626.958292847525</v>
      </c>
      <c r="BZ62" s="58">
        <f t="shared" si="102"/>
        <v>34139.121332234456</v>
      </c>
      <c r="CA62" s="58">
        <f t="shared" si="102"/>
        <v>39503.881972643161</v>
      </c>
      <c r="CB62" s="58">
        <f t="shared" si="102"/>
        <v>45728.836911008315</v>
      </c>
      <c r="CC62" s="58">
        <f t="shared" si="102"/>
        <v>32260.226972643166</v>
      </c>
      <c r="CD62" s="58">
        <f t="shared" si="102"/>
        <v>33331.522972643164</v>
      </c>
      <c r="CE62" s="58">
        <f t="shared" si="102"/>
        <v>35213.881472643166</v>
      </c>
      <c r="CF62" s="58">
        <f t="shared" si="102"/>
        <v>46168.878068556034</v>
      </c>
      <c r="CG62" s="58">
        <f t="shared" si="102"/>
        <v>57905.502691825735</v>
      </c>
      <c r="CH62" s="58">
        <f>SUM(BV62:CG62)</f>
        <v>451302.93078476982</v>
      </c>
      <c r="CI62" s="395">
        <f>(CH62-BT71)/BT71</f>
        <v>5.1833718555945915E-2</v>
      </c>
      <c r="CJ62" s="58">
        <f>BV71*1.03</f>
        <v>40067</v>
      </c>
      <c r="CK62" s="58">
        <f t="shared" ref="CK62:CU62" si="103">BW71*1.03</f>
        <v>32317.280000000002</v>
      </c>
      <c r="CL62" s="58">
        <f t="shared" si="103"/>
        <v>30782.58</v>
      </c>
      <c r="CM62" s="58">
        <f>BY71*1.03</f>
        <v>31591.13</v>
      </c>
      <c r="CN62" s="58">
        <f t="shared" si="103"/>
        <v>35589.590000000004</v>
      </c>
      <c r="CO62" s="58">
        <f t="shared" si="103"/>
        <v>37610.450000000004</v>
      </c>
      <c r="CP62" s="58">
        <f t="shared" si="103"/>
        <v>40082.450000000004</v>
      </c>
      <c r="CQ62" s="58">
        <f t="shared" si="103"/>
        <v>35653.450000000004</v>
      </c>
      <c r="CR62" s="58">
        <f t="shared" si="103"/>
        <v>30505.510000000002</v>
      </c>
      <c r="CS62" s="58">
        <f>CE71*1.03</f>
        <v>35574.14</v>
      </c>
      <c r="CT62" s="58">
        <f t="shared" si="103"/>
        <v>47291.42</v>
      </c>
      <c r="CU62" s="58">
        <f t="shared" si="103"/>
        <v>62701.25</v>
      </c>
      <c r="CV62" s="58">
        <f>SUM(CJ62:CU62)</f>
        <v>459766.25</v>
      </c>
      <c r="CW62" s="758"/>
      <c r="CX62" s="880">
        <v>25453.360000000001</v>
      </c>
      <c r="CY62" s="880">
        <v>21658.84</v>
      </c>
      <c r="CZ62" s="880">
        <v>25209.25</v>
      </c>
      <c r="DA62" s="880">
        <v>27828.54</v>
      </c>
      <c r="DB62" s="880">
        <v>32049.480000000003</v>
      </c>
      <c r="DC62" s="880">
        <v>32772.54</v>
      </c>
      <c r="DD62" s="880">
        <v>34046.649999999994</v>
      </c>
      <c r="DE62" s="880">
        <v>30567.31</v>
      </c>
      <c r="DF62" s="880">
        <v>29170.629999999997</v>
      </c>
      <c r="DG62" s="880">
        <v>33460.786</v>
      </c>
      <c r="DH62" s="880">
        <v>40405.437400000003</v>
      </c>
      <c r="DI62" s="880">
        <v>57291.782700000003</v>
      </c>
      <c r="DJ62" s="844">
        <f t="shared" si="70"/>
        <v>317593.15609999996</v>
      </c>
      <c r="DK62" s="948"/>
      <c r="DL62" s="880">
        <v>25453.360000000001</v>
      </c>
      <c r="DM62" s="880">
        <v>21658.84</v>
      </c>
      <c r="DN62" s="880">
        <v>25209.25</v>
      </c>
      <c r="DO62" s="880">
        <v>27828.54</v>
      </c>
      <c r="DP62" s="880">
        <v>32049.480000000003</v>
      </c>
      <c r="DQ62" s="880">
        <v>32772.54</v>
      </c>
      <c r="DR62" s="880">
        <v>34046.649999999994</v>
      </c>
      <c r="DS62" s="880">
        <v>30567.31</v>
      </c>
      <c r="DT62" s="880">
        <v>29170.629999999997</v>
      </c>
      <c r="DU62" s="880">
        <v>33460.786</v>
      </c>
      <c r="DV62" s="880">
        <v>40405.437400000003</v>
      </c>
      <c r="DW62" s="880">
        <v>57291.782700000003</v>
      </c>
      <c r="DX62" s="58">
        <f>SUM(DL62:DW62)</f>
        <v>389914.60609999998</v>
      </c>
    </row>
    <row r="63" spans="1:128" ht="18.75" hidden="1">
      <c r="A63" s="99"/>
      <c r="B63" s="929" t="s">
        <v>73</v>
      </c>
      <c r="C63" s="930"/>
      <c r="D63" s="301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302"/>
      <c r="Q63" s="74"/>
      <c r="R63" s="301"/>
      <c r="S63" s="69"/>
      <c r="T63" s="69"/>
      <c r="U63" s="69"/>
      <c r="V63" s="303"/>
      <c r="W63" s="304"/>
      <c r="X63" s="304"/>
      <c r="Y63" s="304"/>
      <c r="Z63" s="304"/>
      <c r="AA63" s="304"/>
      <c r="AB63" s="304"/>
      <c r="AC63" s="75"/>
      <c r="AD63" s="76"/>
      <c r="AE63" s="77"/>
      <c r="AF63" s="305"/>
      <c r="AG63" s="69"/>
      <c r="AH63" s="69"/>
      <c r="AI63" s="69"/>
      <c r="AJ63" s="303"/>
      <c r="AK63" s="303"/>
      <c r="AL63" s="303"/>
      <c r="AM63" s="303"/>
      <c r="AN63" s="69"/>
      <c r="AO63" s="69"/>
      <c r="AP63" s="69"/>
      <c r="AQ63" s="69"/>
      <c r="AR63" s="306"/>
      <c r="AS63" s="77"/>
      <c r="AT63" s="69"/>
      <c r="AU63" s="69"/>
      <c r="AV63" s="69"/>
      <c r="AW63" s="69"/>
      <c r="AX63" s="69"/>
      <c r="AY63" s="69">
        <v>15000</v>
      </c>
      <c r="AZ63" s="69">
        <v>15000</v>
      </c>
      <c r="BA63" s="69">
        <f t="shared" ref="BA63:BB63" si="104">BA62*70%</f>
        <v>21802.199999999997</v>
      </c>
      <c r="BB63" s="69">
        <f t="shared" si="104"/>
        <v>22841</v>
      </c>
      <c r="BC63" s="69">
        <v>35000</v>
      </c>
      <c r="BD63" s="69">
        <v>35000</v>
      </c>
      <c r="BE63" s="69">
        <v>42000</v>
      </c>
      <c r="BF63" s="69">
        <f t="shared" si="86"/>
        <v>186643.20000000001</v>
      </c>
      <c r="BG63" s="77"/>
      <c r="BH63" s="69">
        <f t="shared" ref="BH63:BM63" si="105">BH62*0.8</f>
        <v>28922.400000000001</v>
      </c>
      <c r="BI63" s="69">
        <f t="shared" si="105"/>
        <v>28231.200000000001</v>
      </c>
      <c r="BJ63" s="69">
        <f t="shared" si="105"/>
        <v>28697.600000000002</v>
      </c>
      <c r="BK63" s="69">
        <f t="shared" si="105"/>
        <v>30424.800000000003</v>
      </c>
      <c r="BL63" s="69">
        <f t="shared" si="105"/>
        <v>30856</v>
      </c>
      <c r="BM63" s="69">
        <f t="shared" si="105"/>
        <v>31381.600000000002</v>
      </c>
      <c r="BN63" s="69">
        <f>BN62*0.85</f>
        <v>34958.799999999996</v>
      </c>
      <c r="BO63" s="69">
        <v>29000</v>
      </c>
      <c r="BP63" s="69">
        <v>40223</v>
      </c>
      <c r="BQ63" s="69">
        <v>36735</v>
      </c>
      <c r="BR63" s="69">
        <v>36933</v>
      </c>
      <c r="BS63" s="69">
        <v>52283</v>
      </c>
      <c r="BT63" s="69">
        <f t="shared" si="101"/>
        <v>408646.40000000002</v>
      </c>
      <c r="BU63" s="28"/>
      <c r="BV63" s="69">
        <v>32000</v>
      </c>
      <c r="BW63" s="69">
        <v>32000</v>
      </c>
      <c r="BX63" s="69">
        <v>37000</v>
      </c>
      <c r="BY63" s="69">
        <v>32000</v>
      </c>
      <c r="BZ63" s="69">
        <v>35000</v>
      </c>
      <c r="CA63" s="69">
        <v>35000</v>
      </c>
      <c r="CB63" s="69">
        <v>35000</v>
      </c>
      <c r="CC63" s="69">
        <f>CC62*1</f>
        <v>32260.226972643166</v>
      </c>
      <c r="CD63" s="69">
        <f>CD62*1</f>
        <v>33331.522972643164</v>
      </c>
      <c r="CE63" s="69">
        <f>CE62</f>
        <v>35213.881472643166</v>
      </c>
      <c r="CF63" s="69">
        <v>40000</v>
      </c>
      <c r="CG63" s="69">
        <v>60000</v>
      </c>
      <c r="CH63" s="69"/>
      <c r="CI63" s="395"/>
      <c r="CJ63" s="69">
        <v>32000</v>
      </c>
      <c r="CK63" s="69">
        <v>30000</v>
      </c>
      <c r="CL63" s="69">
        <v>31500</v>
      </c>
      <c r="CM63" s="69">
        <v>32000</v>
      </c>
      <c r="CN63" s="69">
        <v>45000</v>
      </c>
      <c r="CO63" s="69">
        <v>35000</v>
      </c>
      <c r="CP63" s="69">
        <v>36000</v>
      </c>
      <c r="CQ63" s="69">
        <v>35000</v>
      </c>
      <c r="CR63" s="69">
        <v>35000</v>
      </c>
      <c r="CS63" s="69">
        <v>40000</v>
      </c>
      <c r="CT63" s="69">
        <v>51000</v>
      </c>
      <c r="CU63" s="69">
        <v>60000</v>
      </c>
      <c r="CV63" s="69">
        <f>SUM(CJ63:CU63)</f>
        <v>462500</v>
      </c>
      <c r="CW63" s="758"/>
      <c r="CX63" s="881">
        <v>28638.329978114532</v>
      </c>
      <c r="CY63" s="881">
        <v>21814.831034278017</v>
      </c>
      <c r="CZ63" s="881">
        <v>27486.135065787566</v>
      </c>
      <c r="DA63" s="881">
        <v>23701.566634278021</v>
      </c>
      <c r="DB63" s="881">
        <v>27311.297065787567</v>
      </c>
      <c r="DC63" s="881">
        <v>31603.10557811453</v>
      </c>
      <c r="DD63" s="881">
        <v>36583.069528806656</v>
      </c>
      <c r="DE63" s="881">
        <v>25808.181578114534</v>
      </c>
      <c r="DF63" s="881">
        <v>26665.218378114532</v>
      </c>
      <c r="DG63" s="881">
        <v>28171.105178114536</v>
      </c>
      <c r="DH63" s="881">
        <v>36935.102454844826</v>
      </c>
      <c r="DI63" s="881">
        <v>46324.402153460593</v>
      </c>
      <c r="DJ63" s="844">
        <f t="shared" si="70"/>
        <v>283103.0485496358</v>
      </c>
      <c r="DK63" s="948"/>
      <c r="DL63" s="881">
        <v>28638.329978114532</v>
      </c>
      <c r="DM63" s="881">
        <v>21814.831034278017</v>
      </c>
      <c r="DN63" s="881">
        <v>27486.135065787566</v>
      </c>
      <c r="DO63" s="881">
        <v>23701.566634278021</v>
      </c>
      <c r="DP63" s="881">
        <v>27311.297065787567</v>
      </c>
      <c r="DQ63" s="881">
        <v>31603.10557811453</v>
      </c>
      <c r="DR63" s="881">
        <v>36583.069528806656</v>
      </c>
      <c r="DS63" s="881">
        <v>25808.181578114534</v>
      </c>
      <c r="DT63" s="881">
        <v>26665.218378114532</v>
      </c>
      <c r="DU63" s="881">
        <v>28171.105178114536</v>
      </c>
      <c r="DV63" s="881">
        <v>36935.102454844826</v>
      </c>
      <c r="DW63" s="881">
        <v>46324.402153460593</v>
      </c>
      <c r="DX63" s="69"/>
    </row>
    <row r="64" spans="1:128" ht="14.25" hidden="1" customHeight="1">
      <c r="A64" s="55" t="s">
        <v>74</v>
      </c>
      <c r="B64" s="56"/>
      <c r="C64" s="280"/>
      <c r="D64" s="288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289"/>
      <c r="Q64" s="39"/>
      <c r="R64" s="288"/>
      <c r="S64" s="58"/>
      <c r="T64" s="58"/>
      <c r="U64" s="58"/>
      <c r="V64" s="58"/>
      <c r="W64" s="290"/>
      <c r="X64" s="290"/>
      <c r="Y64" s="290"/>
      <c r="Z64" s="290"/>
      <c r="AA64" s="290"/>
      <c r="AB64" s="290"/>
      <c r="AC64" s="290"/>
      <c r="AD64" s="291"/>
      <c r="AE64" s="59"/>
      <c r="AF64" s="292"/>
      <c r="AG64" s="58"/>
      <c r="AH64" s="58"/>
      <c r="AI64" s="58"/>
      <c r="AJ64" s="58"/>
      <c r="AK64" s="58"/>
      <c r="AL64" s="58">
        <f>AL62/AVERAGE($AF$62:$AQ$62)</f>
        <v>1.2614511225503295</v>
      </c>
      <c r="AM64" s="58"/>
      <c r="AN64" s="58"/>
      <c r="AO64" s="58"/>
      <c r="AP64" s="58">
        <f t="shared" ref="AP64:AQ64" si="106">AP62/AVERAGE($AF$62:$AQ$62)</f>
        <v>1.2293854585238704</v>
      </c>
      <c r="AQ64" s="58">
        <f t="shared" si="106"/>
        <v>1.6468441033966412</v>
      </c>
      <c r="AR64" s="58"/>
      <c r="AS64" s="59"/>
      <c r="AT64" s="58">
        <v>109190</v>
      </c>
      <c r="AU64" s="58">
        <v>153667</v>
      </c>
      <c r="AV64" s="58">
        <v>178778</v>
      </c>
      <c r="AW64" s="58">
        <v>151970</v>
      </c>
      <c r="AX64" s="58">
        <v>142416</v>
      </c>
      <c r="AY64" s="58">
        <v>177335</v>
      </c>
      <c r="AZ64" s="58">
        <v>152230</v>
      </c>
      <c r="BA64" s="58">
        <v>245527</v>
      </c>
      <c r="BB64" s="58">
        <f>5261504/27</f>
        <v>194870.51851851851</v>
      </c>
      <c r="BC64" s="58">
        <f>5784000/27</f>
        <v>214222.22222222222</v>
      </c>
      <c r="BD64" s="58">
        <f>3224000/27</f>
        <v>119407.4074074074</v>
      </c>
      <c r="BE64" s="58">
        <f>909800/27</f>
        <v>33696.296296296299</v>
      </c>
      <c r="BF64" s="58">
        <f t="shared" si="86"/>
        <v>1873309.4444444445</v>
      </c>
      <c r="BG64" s="59"/>
      <c r="BH64" s="58">
        <v>156208</v>
      </c>
      <c r="BI64" s="58">
        <v>147340</v>
      </c>
      <c r="BJ64" s="58">
        <v>166759</v>
      </c>
      <c r="BK64" s="58">
        <v>152352</v>
      </c>
      <c r="BL64" s="58">
        <v>128446</v>
      </c>
      <c r="BM64" s="58">
        <v>126790</v>
      </c>
      <c r="BN64" s="58">
        <v>173761</v>
      </c>
      <c r="BO64" s="58">
        <f>144510.599073001+BO63</f>
        <v>173510.59907300101</v>
      </c>
      <c r="BP64" s="58">
        <f>162574.422556972+BP63</f>
        <v>202797.42255697199</v>
      </c>
      <c r="BQ64" s="58">
        <f>166187.186558517+BQ63</f>
        <v>202922.18655851699</v>
      </c>
      <c r="BR64" s="58">
        <f>BQ38+BR34*0.6</f>
        <v>232502.36</v>
      </c>
      <c r="BS64" s="58">
        <f>BR34*0.4+BS34*0.5</f>
        <v>116391.04000000001</v>
      </c>
      <c r="BT64" s="58">
        <f t="shared" si="101"/>
        <v>1979779.6081884899</v>
      </c>
      <c r="BU64" s="60"/>
      <c r="BV64" s="58">
        <f t="shared" ref="BV64:CC64" si="107">BV38+BV63</f>
        <v>162757.867486095</v>
      </c>
      <c r="BW64" s="58">
        <f t="shared" si="107"/>
        <v>157566.83045180296</v>
      </c>
      <c r="BX64" s="58">
        <f t="shared" si="107"/>
        <v>197961.53846153844</v>
      </c>
      <c r="BY64" s="58">
        <f t="shared" si="107"/>
        <v>160769.23076923078</v>
      </c>
      <c r="BZ64" s="58">
        <f t="shared" si="107"/>
        <v>153232.39341785663</v>
      </c>
      <c r="CA64" s="58">
        <f t="shared" si="107"/>
        <v>143192.12910096842</v>
      </c>
      <c r="CB64" s="58">
        <f t="shared" si="107"/>
        <v>178736.21444761599</v>
      </c>
      <c r="CC64" s="58">
        <f t="shared" si="107"/>
        <v>202914.10079748323</v>
      </c>
      <c r="CD64" s="58">
        <f>CD38+CD63</f>
        <v>214499.61628422557</v>
      </c>
      <c r="CE64" s="58">
        <f>CE38+CE63</f>
        <v>217682.99793575107</v>
      </c>
      <c r="CF64" s="58">
        <f>CF38+CF63</f>
        <v>173115.84223630186</v>
      </c>
      <c r="CG64" s="58">
        <f t="shared" ref="CG64" si="108">BS64</f>
        <v>116391.04000000001</v>
      </c>
      <c r="CH64" s="58"/>
      <c r="CJ64" s="58">
        <f>CJ38+CJ63</f>
        <v>161344.16697726428</v>
      </c>
      <c r="CK64" s="58">
        <f t="shared" ref="CK64:CU64" si="109">CK38+CK63</f>
        <v>180873.49981364145</v>
      </c>
      <c r="CL64" s="58">
        <f t="shared" si="109"/>
        <v>172879.05329854641</v>
      </c>
      <c r="CM64" s="58">
        <f t="shared" si="109"/>
        <v>168578.1587774879</v>
      </c>
      <c r="CN64" s="58">
        <f t="shared" si="109"/>
        <v>181291.91203876259</v>
      </c>
      <c r="CO64" s="58">
        <f t="shared" si="109"/>
        <v>138386.95490122997</v>
      </c>
      <c r="CP64" s="58">
        <f t="shared" si="109"/>
        <v>217610.97046413503</v>
      </c>
      <c r="CQ64" s="58">
        <f>CQ38+CQ63</f>
        <v>234329.11392405062</v>
      </c>
      <c r="CR64" s="58">
        <f t="shared" si="109"/>
        <v>269765.40084388189</v>
      </c>
      <c r="CS64" s="58">
        <f t="shared" si="109"/>
        <v>257806.7510548523</v>
      </c>
      <c r="CT64" s="58">
        <f>CT38+CT63</f>
        <v>185135.02109704641</v>
      </c>
      <c r="CU64" s="58">
        <f t="shared" si="109"/>
        <v>111311.39240506329</v>
      </c>
      <c r="CV64" s="58">
        <f>SUM(CJ64:CU64)</f>
        <v>2279312.3955959622</v>
      </c>
      <c r="CW64" s="758"/>
      <c r="CX64" s="880">
        <v>98000</v>
      </c>
      <c r="CY64" s="880">
        <v>147381.66148608096</v>
      </c>
      <c r="CZ64" s="880">
        <v>188447.673527326</v>
      </c>
      <c r="DA64" s="880">
        <v>152352</v>
      </c>
      <c r="DB64" s="880">
        <v>128446</v>
      </c>
      <c r="DC64" s="880">
        <v>126790</v>
      </c>
      <c r="DD64" s="880">
        <v>173761</v>
      </c>
      <c r="DE64" s="880">
        <v>173510.59907300101</v>
      </c>
      <c r="DF64" s="880">
        <v>202797.42255697199</v>
      </c>
      <c r="DG64" s="880">
        <v>202922.18655851699</v>
      </c>
      <c r="DH64" s="880">
        <v>232502.36</v>
      </c>
      <c r="DI64" s="880">
        <v>116391.04000000001</v>
      </c>
      <c r="DJ64" s="844">
        <f t="shared" si="70"/>
        <v>1509472.6081884899</v>
      </c>
      <c r="DK64" s="948"/>
      <c r="DL64" s="880">
        <v>98000</v>
      </c>
      <c r="DM64" s="880">
        <v>147381.66148608096</v>
      </c>
      <c r="DN64" s="880">
        <v>188447.673527326</v>
      </c>
      <c r="DO64" s="880">
        <v>152352</v>
      </c>
      <c r="DP64" s="880">
        <v>128446</v>
      </c>
      <c r="DQ64" s="880">
        <v>126790</v>
      </c>
      <c r="DR64" s="880">
        <v>173761</v>
      </c>
      <c r="DS64" s="880">
        <v>173510.59907300101</v>
      </c>
      <c r="DT64" s="880">
        <v>202797.42255697199</v>
      </c>
      <c r="DU64" s="880">
        <v>202922.18655851699</v>
      </c>
      <c r="DV64" s="880">
        <v>232502.36</v>
      </c>
      <c r="DW64" s="880">
        <v>116391.04000000001</v>
      </c>
      <c r="DX64" s="58"/>
    </row>
    <row r="65" spans="1:129" ht="18.75" hidden="1">
      <c r="A65" s="101" t="s">
        <v>75</v>
      </c>
      <c r="B65" s="931"/>
      <c r="C65" s="909"/>
      <c r="D65" s="277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262"/>
      <c r="Q65" s="15"/>
      <c r="R65" s="277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263"/>
      <c r="AE65" s="16"/>
      <c r="AF65" s="261">
        <v>133791</v>
      </c>
      <c r="AG65" s="14">
        <v>166459</v>
      </c>
      <c r="AH65" s="14">
        <v>149450</v>
      </c>
      <c r="AI65" s="14">
        <v>151073</v>
      </c>
      <c r="AJ65" s="14">
        <v>192944</v>
      </c>
      <c r="AK65" s="14">
        <v>166139</v>
      </c>
      <c r="AL65" s="14">
        <v>151874</v>
      </c>
      <c r="AM65" s="14">
        <v>157771</v>
      </c>
      <c r="AN65" s="14">
        <v>200312</v>
      </c>
      <c r="AO65" s="14">
        <v>202691</v>
      </c>
      <c r="AP65" s="14">
        <v>207768</v>
      </c>
      <c r="AQ65" s="14">
        <v>113286</v>
      </c>
      <c r="AR65" s="14">
        <f>SUM(AF65:AK65)</f>
        <v>959856</v>
      </c>
      <c r="AS65" s="17"/>
      <c r="AT65" s="14">
        <v>89680</v>
      </c>
      <c r="AU65" s="14">
        <v>128308</v>
      </c>
      <c r="AV65" s="14">
        <v>144871</v>
      </c>
      <c r="AW65" s="32">
        <v>161772</v>
      </c>
      <c r="AX65" s="32">
        <v>144516</v>
      </c>
      <c r="AY65" s="32">
        <v>103667</v>
      </c>
      <c r="AZ65" s="32">
        <v>141023</v>
      </c>
      <c r="BA65" s="32">
        <v>172093</v>
      </c>
      <c r="BB65" s="32">
        <f>166606+10000</f>
        <v>176606</v>
      </c>
      <c r="BC65" s="32">
        <v>181091</v>
      </c>
      <c r="BD65" s="32">
        <v>169802</v>
      </c>
      <c r="BE65" s="32">
        <v>120406</v>
      </c>
      <c r="BF65" s="32">
        <f t="shared" si="86"/>
        <v>1733835</v>
      </c>
      <c r="BG65" s="17">
        <f>BG62/AR62</f>
        <v>9.9910256474894502E-2</v>
      </c>
      <c r="BH65" s="14">
        <v>78906</v>
      </c>
      <c r="BI65" s="14">
        <v>119296</v>
      </c>
      <c r="BJ65" s="14">
        <v>165286</v>
      </c>
      <c r="BK65" s="14">
        <v>144532</v>
      </c>
      <c r="BL65" s="32">
        <v>157691</v>
      </c>
      <c r="BM65" s="32">
        <v>129096</v>
      </c>
      <c r="BN65" s="32">
        <v>125800</v>
      </c>
      <c r="BO65" s="32">
        <v>176354</v>
      </c>
      <c r="BP65" s="32">
        <v>173554</v>
      </c>
      <c r="BQ65" s="32">
        <v>185766</v>
      </c>
      <c r="BR65" s="32"/>
      <c r="BS65" s="32"/>
      <c r="BT65" s="32">
        <f t="shared" si="101"/>
        <v>1456281</v>
      </c>
      <c r="BU65" s="28"/>
      <c r="BV65" s="14"/>
      <c r="BW65" s="14"/>
      <c r="BX65" s="14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J65" s="14"/>
      <c r="CK65" s="14"/>
      <c r="CL65" s="14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758"/>
      <c r="CX65" s="873"/>
      <c r="CY65" s="873"/>
      <c r="CZ65" s="873"/>
      <c r="DA65" s="872"/>
      <c r="DB65" s="872"/>
      <c r="DC65" s="872"/>
      <c r="DD65" s="872"/>
      <c r="DE65" s="872"/>
      <c r="DF65" s="872"/>
      <c r="DG65" s="872"/>
      <c r="DH65" s="872"/>
      <c r="DI65" s="872"/>
      <c r="DJ65" s="844">
        <f t="shared" si="70"/>
        <v>0</v>
      </c>
      <c r="DK65" s="948"/>
      <c r="DL65" s="873"/>
      <c r="DM65" s="873"/>
      <c r="DN65" s="873"/>
      <c r="DO65" s="872"/>
      <c r="DP65" s="872"/>
      <c r="DQ65" s="872"/>
      <c r="DR65" s="872"/>
      <c r="DS65" s="872"/>
      <c r="DT65" s="872"/>
      <c r="DU65" s="872"/>
      <c r="DV65" s="872"/>
      <c r="DW65" s="872"/>
      <c r="DX65" s="32"/>
    </row>
    <row r="66" spans="1:129" ht="18.75" hidden="1">
      <c r="A66" s="103"/>
      <c r="B66" s="932" t="s">
        <v>76</v>
      </c>
      <c r="C66" s="933"/>
      <c r="D66" s="331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332"/>
      <c r="Q66" s="105"/>
      <c r="R66" s="333"/>
      <c r="S66" s="333"/>
      <c r="T66" s="333"/>
      <c r="U66" s="333"/>
      <c r="V66" s="333"/>
      <c r="W66" s="333"/>
      <c r="X66" s="333"/>
      <c r="Y66" s="333"/>
      <c r="Z66" s="333"/>
      <c r="AA66" s="333"/>
      <c r="AB66" s="333"/>
      <c r="AC66" s="333"/>
      <c r="AD66" s="334"/>
      <c r="AE66" s="106"/>
      <c r="AF66" s="333">
        <f t="shared" ref="AF66:AQ66" si="110">AF65-AF32</f>
        <v>133789.5653258567</v>
      </c>
      <c r="AG66" s="333">
        <f t="shared" si="110"/>
        <v>166455.02546723894</v>
      </c>
      <c r="AH66" s="333">
        <f t="shared" si="110"/>
        <v>149445.54627453614</v>
      </c>
      <c r="AI66" s="333">
        <f t="shared" si="110"/>
        <v>151069.82181047046</v>
      </c>
      <c r="AJ66" s="333">
        <f t="shared" si="110"/>
        <v>192941.24487749056</v>
      </c>
      <c r="AK66" s="333">
        <f t="shared" si="110"/>
        <v>166135.77020296719</v>
      </c>
      <c r="AL66" s="333">
        <f t="shared" si="110"/>
        <v>151871.64243647002</v>
      </c>
      <c r="AM66" s="333">
        <f t="shared" si="110"/>
        <v>157768.8586839418</v>
      </c>
      <c r="AN66" s="333">
        <f t="shared" si="110"/>
        <v>200310.09576397031</v>
      </c>
      <c r="AO66" s="333">
        <f t="shared" si="110"/>
        <v>202687.83135883085</v>
      </c>
      <c r="AP66" s="333">
        <f t="shared" si="110"/>
        <v>207762.85122649223</v>
      </c>
      <c r="AQ66" s="333">
        <f t="shared" si="110"/>
        <v>113282.51926932538</v>
      </c>
      <c r="AR66" s="107">
        <f t="shared" ref="AR66:AR74" si="111">SUM(AF66:AQ66)</f>
        <v>1993520.772697591</v>
      </c>
      <c r="AS66" s="106"/>
      <c r="AT66" s="333">
        <f t="shared" ref="AT66:BE66" si="112">AT65-AT64</f>
        <v>-19510</v>
      </c>
      <c r="AU66" s="333">
        <f t="shared" si="112"/>
        <v>-25359</v>
      </c>
      <c r="AV66" s="333">
        <f t="shared" si="112"/>
        <v>-33907</v>
      </c>
      <c r="AW66" s="333">
        <f t="shared" si="112"/>
        <v>9802</v>
      </c>
      <c r="AX66" s="333">
        <f t="shared" si="112"/>
        <v>2100</v>
      </c>
      <c r="AY66" s="333">
        <f t="shared" si="112"/>
        <v>-73668</v>
      </c>
      <c r="AZ66" s="333">
        <f t="shared" si="112"/>
        <v>-11207</v>
      </c>
      <c r="BA66" s="333">
        <f t="shared" si="112"/>
        <v>-73434</v>
      </c>
      <c r="BB66" s="333">
        <f t="shared" si="112"/>
        <v>-18264.518518518511</v>
      </c>
      <c r="BC66" s="333">
        <f t="shared" si="112"/>
        <v>-33131.222222222219</v>
      </c>
      <c r="BD66" s="333">
        <f t="shared" si="112"/>
        <v>50394.592592592599</v>
      </c>
      <c r="BE66" s="333">
        <f t="shared" si="112"/>
        <v>86709.703703703708</v>
      </c>
      <c r="BF66" s="108">
        <f t="shared" si="86"/>
        <v>-139474.44444444444</v>
      </c>
      <c r="BG66" s="106"/>
      <c r="BH66" s="333">
        <f t="shared" ref="BH66:BQ66" si="113">BH65-BH64</f>
        <v>-77302</v>
      </c>
      <c r="BI66" s="333">
        <f t="shared" si="113"/>
        <v>-28044</v>
      </c>
      <c r="BJ66" s="333">
        <f t="shared" si="113"/>
        <v>-1473</v>
      </c>
      <c r="BK66" s="333">
        <f t="shared" si="113"/>
        <v>-7820</v>
      </c>
      <c r="BL66" s="333">
        <f t="shared" si="113"/>
        <v>29245</v>
      </c>
      <c r="BM66" s="333">
        <f t="shared" si="113"/>
        <v>2306</v>
      </c>
      <c r="BN66" s="333">
        <f t="shared" si="113"/>
        <v>-47961</v>
      </c>
      <c r="BO66" s="333">
        <f t="shared" si="113"/>
        <v>2843.4009269989911</v>
      </c>
      <c r="BP66" s="333">
        <f t="shared" si="113"/>
        <v>-29243.422556971986</v>
      </c>
      <c r="BQ66" s="333">
        <f t="shared" si="113"/>
        <v>-17156.186558516987</v>
      </c>
      <c r="BR66" s="108"/>
      <c r="BS66" s="108"/>
      <c r="BT66" s="108">
        <f t="shared" si="101"/>
        <v>-174605.20818848998</v>
      </c>
      <c r="BU66" s="28"/>
      <c r="BV66" s="333"/>
      <c r="BW66" s="333"/>
      <c r="BX66" s="333"/>
      <c r="BY66" s="333"/>
      <c r="BZ66" s="108"/>
      <c r="CA66" s="108"/>
      <c r="CB66" s="108"/>
      <c r="CC66" s="108"/>
      <c r="CD66" s="108"/>
      <c r="CE66" s="108"/>
      <c r="CF66" s="108"/>
      <c r="CG66" s="108"/>
      <c r="CH66" s="108"/>
      <c r="CJ66" s="333"/>
      <c r="CK66" s="333"/>
      <c r="CL66" s="333"/>
      <c r="CM66" s="333"/>
      <c r="CN66" s="108"/>
      <c r="CO66" s="108"/>
      <c r="CP66" s="108"/>
      <c r="CQ66" s="108"/>
      <c r="CR66" s="108"/>
      <c r="CS66" s="108"/>
      <c r="CT66" s="108"/>
      <c r="CU66" s="108"/>
      <c r="CV66" s="108"/>
      <c r="CW66" s="758"/>
      <c r="CX66" s="892"/>
      <c r="CY66" s="892"/>
      <c r="CZ66" s="892"/>
      <c r="DA66" s="892"/>
      <c r="DB66" s="893"/>
      <c r="DC66" s="893"/>
      <c r="DD66" s="893"/>
      <c r="DE66" s="893"/>
      <c r="DF66" s="893"/>
      <c r="DG66" s="893"/>
      <c r="DH66" s="893"/>
      <c r="DI66" s="893"/>
      <c r="DJ66" s="844">
        <f t="shared" si="70"/>
        <v>0</v>
      </c>
      <c r="DK66" s="948"/>
      <c r="DL66" s="892"/>
      <c r="DM66" s="892"/>
      <c r="DN66" s="892"/>
      <c r="DO66" s="892"/>
      <c r="DP66" s="893"/>
      <c r="DQ66" s="893"/>
      <c r="DR66" s="893"/>
      <c r="DS66" s="893"/>
      <c r="DT66" s="893"/>
      <c r="DU66" s="893"/>
      <c r="DV66" s="893"/>
      <c r="DW66" s="893"/>
      <c r="DX66" s="108"/>
    </row>
    <row r="67" spans="1:129" ht="15.75" hidden="1" customHeight="1">
      <c r="A67" s="94">
        <v>5</v>
      </c>
      <c r="B67" s="921" t="s">
        <v>77</v>
      </c>
      <c r="C67" s="934"/>
      <c r="D67" s="313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>
        <v>0</v>
      </c>
      <c r="P67" s="314">
        <f>SUM(D67:O67)</f>
        <v>0</v>
      </c>
      <c r="Q67" s="90"/>
      <c r="R67" s="313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315">
        <f>SUM(R67:AC67)</f>
        <v>0</v>
      </c>
      <c r="AE67" s="23"/>
      <c r="AF67" s="316">
        <v>0</v>
      </c>
      <c r="AG67" s="91">
        <v>0</v>
      </c>
      <c r="AH67" s="91">
        <v>0</v>
      </c>
      <c r="AI67" s="91">
        <v>0</v>
      </c>
      <c r="AJ67" s="91">
        <v>0</v>
      </c>
      <c r="AK67" s="91">
        <v>0</v>
      </c>
      <c r="AL67" s="91">
        <v>0</v>
      </c>
      <c r="AM67" s="91">
        <v>0</v>
      </c>
      <c r="AN67" s="91">
        <v>0</v>
      </c>
      <c r="AO67" s="91">
        <v>0</v>
      </c>
      <c r="AP67" s="91"/>
      <c r="AQ67" s="91">
        <v>8938</v>
      </c>
      <c r="AR67" s="92">
        <f t="shared" si="111"/>
        <v>8938</v>
      </c>
      <c r="AS67" s="23"/>
      <c r="AT67" s="91">
        <v>106642</v>
      </c>
      <c r="AU67" s="91">
        <v>90699</v>
      </c>
      <c r="AV67" s="91">
        <v>89681</v>
      </c>
      <c r="AW67" s="91">
        <v>58790</v>
      </c>
      <c r="AX67" s="91">
        <v>35520</v>
      </c>
      <c r="AY67" s="91">
        <v>61551</v>
      </c>
      <c r="AZ67" s="91">
        <v>71511</v>
      </c>
      <c r="BA67" s="91">
        <v>63617</v>
      </c>
      <c r="BB67" s="91">
        <v>66748</v>
      </c>
      <c r="BC67" s="91">
        <v>75532</v>
      </c>
      <c r="BD67" s="91">
        <v>37786</v>
      </c>
      <c r="BE67" s="91">
        <v>4503</v>
      </c>
      <c r="BF67" s="91">
        <f t="shared" si="86"/>
        <v>762580</v>
      </c>
      <c r="BG67" s="27"/>
      <c r="BH67" s="91">
        <v>69404</v>
      </c>
      <c r="BI67" s="91">
        <v>80412</v>
      </c>
      <c r="BJ67" s="91">
        <v>94386</v>
      </c>
      <c r="BK67" s="91">
        <v>78313</v>
      </c>
      <c r="BL67" s="91">
        <v>47034</v>
      </c>
      <c r="BM67" s="91">
        <v>50851</v>
      </c>
      <c r="BN67" s="91">
        <v>93202</v>
      </c>
      <c r="BO67" s="91">
        <v>100687</v>
      </c>
      <c r="BP67" s="91">
        <v>127995</v>
      </c>
      <c r="BQ67" s="91">
        <v>122686</v>
      </c>
      <c r="BR67" s="91"/>
      <c r="BS67" s="91"/>
      <c r="BT67" s="91"/>
      <c r="BU67" s="28"/>
      <c r="BV67" s="91"/>
      <c r="BW67" s="91"/>
      <c r="BX67" s="91"/>
      <c r="BY67" s="91"/>
      <c r="BZ67" s="91"/>
      <c r="CA67" s="91"/>
      <c r="CB67" s="91"/>
      <c r="CC67" s="91"/>
      <c r="CD67" s="91"/>
      <c r="CE67" s="91"/>
      <c r="CF67" s="91"/>
      <c r="CG67" s="91"/>
      <c r="CH67" s="91"/>
      <c r="CJ67" s="91"/>
      <c r="CK67" s="91"/>
      <c r="CL67" s="91"/>
      <c r="CM67" s="91"/>
      <c r="CN67" s="91"/>
      <c r="CO67" s="91"/>
      <c r="CP67" s="91"/>
      <c r="CQ67" s="91"/>
      <c r="CR67" s="91"/>
      <c r="CS67" s="91"/>
      <c r="CT67" s="91"/>
      <c r="CU67" s="91"/>
      <c r="CV67" s="91"/>
      <c r="CW67" s="758"/>
      <c r="CX67" s="884"/>
      <c r="CY67" s="884"/>
      <c r="CZ67" s="884"/>
      <c r="DA67" s="884"/>
      <c r="DB67" s="884"/>
      <c r="DC67" s="884"/>
      <c r="DD67" s="884"/>
      <c r="DE67" s="884"/>
      <c r="DF67" s="884"/>
      <c r="DG67" s="884"/>
      <c r="DH67" s="884"/>
      <c r="DI67" s="884"/>
      <c r="DJ67" s="844">
        <f t="shared" si="70"/>
        <v>0</v>
      </c>
      <c r="DK67" s="948"/>
      <c r="DL67" s="884"/>
      <c r="DM67" s="884"/>
      <c r="DN67" s="884"/>
      <c r="DO67" s="884"/>
      <c r="DP67" s="884"/>
      <c r="DQ67" s="884"/>
      <c r="DR67" s="884"/>
      <c r="DS67" s="884"/>
      <c r="DT67" s="884"/>
      <c r="DU67" s="884"/>
      <c r="DV67" s="884"/>
      <c r="DW67" s="884"/>
      <c r="DX67" s="91"/>
    </row>
    <row r="68" spans="1:129" ht="18.75" hidden="1">
      <c r="A68" s="13" t="s">
        <v>78</v>
      </c>
      <c r="B68" s="908"/>
      <c r="C68" s="909"/>
      <c r="D68" s="277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262"/>
      <c r="Q68" s="15"/>
      <c r="R68" s="277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263"/>
      <c r="AE68" s="16"/>
      <c r="AF68" s="261">
        <f t="shared" ref="AF68:AQ68" si="114">AF69+AF71</f>
        <v>118364</v>
      </c>
      <c r="AG68" s="261">
        <f t="shared" si="114"/>
        <v>173742</v>
      </c>
      <c r="AH68" s="261">
        <f t="shared" si="114"/>
        <v>73470</v>
      </c>
      <c r="AI68" s="261">
        <f t="shared" si="114"/>
        <v>87377</v>
      </c>
      <c r="AJ68" s="261">
        <f t="shared" si="114"/>
        <v>119657</v>
      </c>
      <c r="AK68" s="261">
        <f t="shared" si="114"/>
        <v>154747</v>
      </c>
      <c r="AL68" s="261">
        <f t="shared" si="114"/>
        <v>138073</v>
      </c>
      <c r="AM68" s="261">
        <f t="shared" si="114"/>
        <v>180773</v>
      </c>
      <c r="AN68" s="261">
        <f t="shared" si="114"/>
        <v>194598</v>
      </c>
      <c r="AO68" s="261">
        <f t="shared" si="114"/>
        <v>242931</v>
      </c>
      <c r="AP68" s="261">
        <f t="shared" si="114"/>
        <v>107346</v>
      </c>
      <c r="AQ68" s="261">
        <f t="shared" si="114"/>
        <v>87384</v>
      </c>
      <c r="AR68" s="14">
        <f t="shared" si="111"/>
        <v>1678462</v>
      </c>
      <c r="AS68" s="17"/>
      <c r="AT68" s="261">
        <f t="shared" ref="AT68:BE68" si="115">AT69+AT71</f>
        <v>155346</v>
      </c>
      <c r="AU68" s="261">
        <f t="shared" si="115"/>
        <v>123370</v>
      </c>
      <c r="AV68" s="261">
        <f t="shared" si="115"/>
        <v>144065</v>
      </c>
      <c r="AW68" s="261">
        <f t="shared" si="115"/>
        <v>127865</v>
      </c>
      <c r="AX68" s="261">
        <f t="shared" si="115"/>
        <v>123461</v>
      </c>
      <c r="AY68" s="261">
        <f t="shared" si="115"/>
        <v>121196</v>
      </c>
      <c r="AZ68" s="261">
        <f t="shared" si="115"/>
        <v>168029</v>
      </c>
      <c r="BA68" s="261">
        <f t="shared" si="115"/>
        <v>164268</v>
      </c>
      <c r="BB68" s="261">
        <f t="shared" si="115"/>
        <v>185112</v>
      </c>
      <c r="BC68" s="261">
        <f t="shared" si="115"/>
        <v>147235</v>
      </c>
      <c r="BD68" s="261">
        <f t="shared" si="115"/>
        <v>135608</v>
      </c>
      <c r="BE68" s="261">
        <f t="shared" si="115"/>
        <v>90194</v>
      </c>
      <c r="BF68" s="32">
        <f t="shared" si="86"/>
        <v>1685749</v>
      </c>
      <c r="BG68" s="35">
        <f t="shared" ref="BG68:BG69" si="116">BF68/AR68-1</f>
        <v>4.3414745165515356E-3</v>
      </c>
      <c r="BH68" s="261">
        <f>BH69+BH71</f>
        <v>144332</v>
      </c>
      <c r="BI68" s="261">
        <f t="shared" ref="BI68:BQ68" si="117">BI69+BI71</f>
        <v>128781</v>
      </c>
      <c r="BJ68" s="261">
        <f t="shared" si="117"/>
        <v>193129</v>
      </c>
      <c r="BK68" s="261">
        <f t="shared" si="117"/>
        <v>106092</v>
      </c>
      <c r="BL68" s="261">
        <f t="shared" si="117"/>
        <v>132638</v>
      </c>
      <c r="BM68" s="261">
        <f t="shared" si="117"/>
        <v>139193</v>
      </c>
      <c r="BN68" s="261">
        <f t="shared" si="117"/>
        <v>173703</v>
      </c>
      <c r="BO68" s="261">
        <f t="shared" si="117"/>
        <v>186902</v>
      </c>
      <c r="BP68" s="261">
        <f t="shared" si="117"/>
        <v>200686</v>
      </c>
      <c r="BQ68" s="261">
        <f t="shared" si="117"/>
        <v>191324</v>
      </c>
      <c r="BR68" s="14"/>
      <c r="BS68" s="14"/>
      <c r="BT68" s="14">
        <f t="shared" ref="BT68:BT73" si="118">SUM(BH68:BS68)</f>
        <v>1596780</v>
      </c>
      <c r="BU68" s="18"/>
      <c r="BV68" s="261"/>
      <c r="BW68" s="261"/>
      <c r="BX68" s="261"/>
      <c r="BY68" s="261"/>
      <c r="BZ68" s="14"/>
      <c r="CA68" s="14"/>
      <c r="CB68" s="14"/>
      <c r="CC68" s="14"/>
      <c r="CD68" s="14"/>
      <c r="CE68" s="14"/>
      <c r="CF68" s="14"/>
      <c r="CG68" s="14"/>
      <c r="CH68" s="14"/>
      <c r="CJ68" s="261">
        <f>CJ69+CJ71</f>
        <v>204853</v>
      </c>
      <c r="CK68" s="261">
        <f t="shared" ref="CK68:CM68" si="119">CK69+CK71</f>
        <v>0</v>
      </c>
      <c r="CL68" s="261">
        <f t="shared" si="119"/>
        <v>0</v>
      </c>
      <c r="CM68" s="261">
        <f t="shared" si="119"/>
        <v>0</v>
      </c>
      <c r="CN68" s="14"/>
      <c r="CO68" s="14"/>
      <c r="CP68" s="14"/>
      <c r="CQ68" s="14"/>
      <c r="CR68" s="14"/>
      <c r="CS68" s="14"/>
      <c r="CT68" s="14"/>
      <c r="CU68" s="14"/>
      <c r="CV68" s="14"/>
      <c r="CW68" s="758"/>
      <c r="CX68" s="874"/>
      <c r="CY68" s="874"/>
      <c r="CZ68" s="874"/>
      <c r="DA68" s="874"/>
      <c r="DB68" s="873"/>
      <c r="DC68" s="873"/>
      <c r="DD68" s="873"/>
      <c r="DE68" s="873"/>
      <c r="DF68" s="873"/>
      <c r="DG68" s="873"/>
      <c r="DH68" s="873"/>
      <c r="DI68" s="873"/>
      <c r="DJ68" s="844">
        <f t="shared" si="70"/>
        <v>0</v>
      </c>
      <c r="DK68" s="948"/>
      <c r="DL68" s="874"/>
      <c r="DM68" s="874"/>
      <c r="DN68" s="874"/>
      <c r="DO68" s="874"/>
      <c r="DP68" s="873"/>
      <c r="DQ68" s="873"/>
      <c r="DR68" s="873"/>
      <c r="DS68" s="873"/>
      <c r="DT68" s="873"/>
      <c r="DU68" s="873"/>
      <c r="DV68" s="873"/>
      <c r="DW68" s="873"/>
      <c r="DX68" s="14"/>
    </row>
    <row r="69" spans="1:129" ht="15.75" hidden="1" customHeight="1">
      <c r="A69" s="210"/>
      <c r="B69" s="921" t="s">
        <v>79</v>
      </c>
      <c r="C69" s="890"/>
      <c r="D69" s="313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314"/>
      <c r="Q69" s="90"/>
      <c r="R69" s="313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315"/>
      <c r="AE69" s="23"/>
      <c r="AF69" s="316">
        <v>92193</v>
      </c>
      <c r="AG69" s="91">
        <v>152006</v>
      </c>
      <c r="AH69" s="91">
        <v>62734</v>
      </c>
      <c r="AI69" s="91">
        <v>71526</v>
      </c>
      <c r="AJ69" s="91">
        <v>89409</v>
      </c>
      <c r="AK69" s="91">
        <v>120675</v>
      </c>
      <c r="AL69" s="91">
        <v>100592</v>
      </c>
      <c r="AM69" s="91">
        <v>148128</v>
      </c>
      <c r="AN69" s="91">
        <v>164346</v>
      </c>
      <c r="AO69" s="91">
        <v>203437</v>
      </c>
      <c r="AP69" s="91">
        <v>64957</v>
      </c>
      <c r="AQ69" s="91">
        <v>31837</v>
      </c>
      <c r="AR69" s="92">
        <f t="shared" si="111"/>
        <v>1301840</v>
      </c>
      <c r="AS69" s="23"/>
      <c r="AT69" s="91">
        <v>125048</v>
      </c>
      <c r="AU69" s="91">
        <v>96006</v>
      </c>
      <c r="AV69" s="91">
        <v>111470</v>
      </c>
      <c r="AW69" s="91">
        <v>99222</v>
      </c>
      <c r="AX69" s="91">
        <v>91253</v>
      </c>
      <c r="AY69" s="91">
        <v>90595</v>
      </c>
      <c r="AZ69" s="91">
        <v>129147</v>
      </c>
      <c r="BA69" s="91">
        <v>133525</v>
      </c>
      <c r="BB69" s="91">
        <v>159291</v>
      </c>
      <c r="BC69" s="91">
        <v>115573</v>
      </c>
      <c r="BD69" s="91">
        <v>98386</v>
      </c>
      <c r="BE69" s="91">
        <v>36527</v>
      </c>
      <c r="BF69" s="91">
        <f t="shared" si="86"/>
        <v>1286043</v>
      </c>
      <c r="BG69" s="93">
        <f t="shared" si="116"/>
        <v>-1.2134363669882631E-2</v>
      </c>
      <c r="BH69" s="91">
        <v>110235</v>
      </c>
      <c r="BI69" s="91">
        <v>103047</v>
      </c>
      <c r="BJ69" s="91">
        <v>158855</v>
      </c>
      <c r="BK69" s="91">
        <v>77254</v>
      </c>
      <c r="BL69" s="91">
        <v>99853</v>
      </c>
      <c r="BM69" s="91">
        <v>100723</v>
      </c>
      <c r="BN69" s="91">
        <v>125338</v>
      </c>
      <c r="BO69" s="91">
        <v>153622</v>
      </c>
      <c r="BP69" s="91">
        <v>166483</v>
      </c>
      <c r="BQ69" s="91">
        <v>156140</v>
      </c>
      <c r="BR69" s="91">
        <v>111391</v>
      </c>
      <c r="BS69" s="91">
        <v>26768</v>
      </c>
      <c r="BT69" s="91">
        <f t="shared" si="118"/>
        <v>1389709</v>
      </c>
      <c r="BU69" s="28"/>
      <c r="BV69" s="91">
        <v>128446</v>
      </c>
      <c r="BW69" s="91">
        <v>119229</v>
      </c>
      <c r="BX69" s="91">
        <v>134860</v>
      </c>
      <c r="BY69" s="91">
        <v>111992</v>
      </c>
      <c r="BZ69" s="91">
        <v>102725</v>
      </c>
      <c r="CA69" s="91">
        <v>74472</v>
      </c>
      <c r="CB69" s="91">
        <v>164045</v>
      </c>
      <c r="CC69" s="91">
        <v>148167</v>
      </c>
      <c r="CD69" s="91">
        <v>189715</v>
      </c>
      <c r="CE69" s="91">
        <v>165488</v>
      </c>
      <c r="CF69" s="91">
        <v>103829</v>
      </c>
      <c r="CG69" s="91">
        <v>39967</v>
      </c>
      <c r="CH69" s="91">
        <f t="shared" ref="CH69:CH72" si="120">SUM(BV69:CG69)</f>
        <v>1482935</v>
      </c>
      <c r="CJ69" s="91">
        <v>167136</v>
      </c>
      <c r="CK69" s="91"/>
      <c r="CL69" s="91"/>
      <c r="CM69" s="91"/>
      <c r="CN69" s="91"/>
      <c r="CO69" s="91"/>
      <c r="CP69" s="91"/>
      <c r="CQ69" s="91"/>
      <c r="CR69" s="91"/>
      <c r="CS69" s="91"/>
      <c r="CT69" s="91"/>
      <c r="CU69" s="91"/>
      <c r="CV69" s="91"/>
      <c r="CW69" s="758"/>
      <c r="CX69" s="884">
        <v>54245</v>
      </c>
      <c r="CY69" s="884"/>
      <c r="CZ69" s="884"/>
      <c r="DA69" s="884"/>
      <c r="DB69" s="884"/>
      <c r="DC69" s="884"/>
      <c r="DD69" s="884"/>
      <c r="DE69" s="884"/>
      <c r="DF69" s="884"/>
      <c r="DG69" s="884"/>
      <c r="DH69" s="884"/>
      <c r="DI69" s="884"/>
      <c r="DJ69" s="844">
        <f t="shared" si="70"/>
        <v>0</v>
      </c>
      <c r="DK69" s="948"/>
      <c r="DL69" s="884">
        <v>54245</v>
      </c>
      <c r="DM69" s="884"/>
      <c r="DN69" s="884"/>
      <c r="DO69" s="884"/>
      <c r="DP69" s="884"/>
      <c r="DQ69" s="884"/>
      <c r="DR69" s="884"/>
      <c r="DS69" s="884"/>
      <c r="DT69" s="884"/>
      <c r="DU69" s="884"/>
      <c r="DV69" s="884"/>
      <c r="DW69" s="884"/>
      <c r="DX69" s="91"/>
    </row>
    <row r="70" spans="1:129" ht="18.75" hidden="1">
      <c r="A70" s="103"/>
      <c r="B70" s="932" t="s">
        <v>80</v>
      </c>
      <c r="C70" s="933"/>
      <c r="D70" s="331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332"/>
      <c r="Q70" s="105"/>
      <c r="R70" s="333"/>
      <c r="S70" s="333"/>
      <c r="T70" s="333"/>
      <c r="U70" s="333"/>
      <c r="V70" s="333"/>
      <c r="W70" s="333"/>
      <c r="X70" s="333"/>
      <c r="Y70" s="333"/>
      <c r="Z70" s="333"/>
      <c r="AA70" s="333"/>
      <c r="AB70" s="333"/>
      <c r="AC70" s="333"/>
      <c r="AD70" s="334"/>
      <c r="AE70" s="106"/>
      <c r="AF70" s="333">
        <f t="shared" ref="AF70:AQ70" si="121">AF69-AF38</f>
        <v>2047</v>
      </c>
      <c r="AG70" s="333">
        <f t="shared" si="121"/>
        <v>-3571</v>
      </c>
      <c r="AH70" s="333">
        <f t="shared" si="121"/>
        <v>-219</v>
      </c>
      <c r="AI70" s="333">
        <f t="shared" si="121"/>
        <v>-1735</v>
      </c>
      <c r="AJ70" s="333">
        <f t="shared" si="121"/>
        <v>-2447</v>
      </c>
      <c r="AK70" s="333">
        <f t="shared" si="121"/>
        <v>675</v>
      </c>
      <c r="AL70" s="333">
        <f t="shared" si="121"/>
        <v>-9703</v>
      </c>
      <c r="AM70" s="333">
        <f t="shared" si="121"/>
        <v>-52075</v>
      </c>
      <c r="AN70" s="333">
        <f t="shared" si="121"/>
        <v>-59487.333333333343</v>
      </c>
      <c r="AO70" s="333">
        <f t="shared" si="121"/>
        <v>-15063</v>
      </c>
      <c r="AP70" s="333">
        <f t="shared" si="121"/>
        <v>-23043</v>
      </c>
      <c r="AQ70" s="333">
        <f t="shared" si="121"/>
        <v>-11563</v>
      </c>
      <c r="AR70" s="107">
        <f t="shared" si="111"/>
        <v>-176184.33333333334</v>
      </c>
      <c r="AS70" s="106"/>
      <c r="AT70" s="333">
        <f t="shared" ref="AT70:BE70" si="122">AT69-AT38</f>
        <v>8451.75</v>
      </c>
      <c r="AU70" s="333">
        <f t="shared" si="122"/>
        <v>-37227.103448275855</v>
      </c>
      <c r="AV70" s="333">
        <f t="shared" si="122"/>
        <v>-6779.1379310344782</v>
      </c>
      <c r="AW70" s="333">
        <f t="shared" si="122"/>
        <v>-22342.137931034478</v>
      </c>
      <c r="AX70" s="333">
        <f t="shared" si="122"/>
        <v>4719.0344827586232</v>
      </c>
      <c r="AY70" s="333">
        <f t="shared" si="122"/>
        <v>-14182.777777777781</v>
      </c>
      <c r="AZ70" s="333">
        <f t="shared" si="122"/>
        <v>-6630.777777777781</v>
      </c>
      <c r="BA70" s="333">
        <f t="shared" si="122"/>
        <v>-77771.296296296292</v>
      </c>
      <c r="BB70" s="333">
        <f t="shared" si="122"/>
        <v>-51486.777777777781</v>
      </c>
      <c r="BC70" s="333">
        <f t="shared" si="122"/>
        <v>-99233.290755657828</v>
      </c>
      <c r="BD70" s="333">
        <f t="shared" si="122"/>
        <v>5175.413118527038</v>
      </c>
      <c r="BE70" s="333">
        <f t="shared" si="122"/>
        <v>5840.3870349060235</v>
      </c>
      <c r="BF70" s="108">
        <f t="shared" si="86"/>
        <v>-291466.71505944064</v>
      </c>
      <c r="BG70" s="106"/>
      <c r="BH70" s="333">
        <f t="shared" ref="BH70:BQ70" si="123">BH69-BH35</f>
        <v>-6365</v>
      </c>
      <c r="BI70" s="333">
        <f t="shared" si="123"/>
        <v>-8486.3333333333285</v>
      </c>
      <c r="BJ70" s="333">
        <f t="shared" si="123"/>
        <v>23180.925925925927</v>
      </c>
      <c r="BK70" s="333">
        <f t="shared" si="123"/>
        <v>-44486.740740740745</v>
      </c>
      <c r="BL70" s="333">
        <f t="shared" si="123"/>
        <v>5926.148148148146</v>
      </c>
      <c r="BM70" s="333">
        <f t="shared" si="123"/>
        <v>10043.740740740745</v>
      </c>
      <c r="BN70" s="333">
        <f t="shared" si="123"/>
        <v>-4917.555555555562</v>
      </c>
      <c r="BO70" s="333">
        <f t="shared" si="123"/>
        <v>3071.6218888889125</v>
      </c>
      <c r="BP70" s="333">
        <f t="shared" si="123"/>
        <v>4652.2504629629548</v>
      </c>
      <c r="BQ70" s="333">
        <f t="shared" si="123"/>
        <v>29010</v>
      </c>
      <c r="BR70" s="108"/>
      <c r="BS70" s="108"/>
      <c r="BT70" s="108">
        <f t="shared" si="118"/>
        <v>11629.05753703705</v>
      </c>
      <c r="BU70" s="28"/>
      <c r="BV70" s="333">
        <v>124435</v>
      </c>
      <c r="BW70" s="333">
        <v>117564</v>
      </c>
      <c r="BX70" s="333">
        <v>133262</v>
      </c>
      <c r="BY70" s="333">
        <v>110312</v>
      </c>
      <c r="BZ70" s="108">
        <v>101441</v>
      </c>
      <c r="CA70" s="108">
        <v>67535</v>
      </c>
      <c r="CB70" s="108">
        <v>155594</v>
      </c>
      <c r="CC70" s="108"/>
      <c r="CD70" s="108"/>
      <c r="CE70" s="108"/>
      <c r="CF70" s="108"/>
      <c r="CG70" s="108"/>
      <c r="CH70" s="108">
        <f t="shared" si="120"/>
        <v>810143</v>
      </c>
      <c r="CJ70" s="333">
        <v>159683</v>
      </c>
      <c r="CK70" s="333">
        <v>182683</v>
      </c>
      <c r="CL70" s="333">
        <v>137562</v>
      </c>
      <c r="CM70" s="333">
        <v>131937</v>
      </c>
      <c r="CN70" s="108"/>
      <c r="CO70" s="108"/>
      <c r="CP70" s="108"/>
      <c r="CQ70" s="108"/>
      <c r="CR70" s="108"/>
      <c r="CS70" s="108"/>
      <c r="CT70" s="108"/>
      <c r="CU70" s="108"/>
      <c r="CV70" s="108"/>
      <c r="CW70" s="758"/>
      <c r="CX70" s="892"/>
      <c r="CY70" s="892"/>
      <c r="CZ70" s="892"/>
      <c r="DA70" s="892"/>
      <c r="DB70" s="893"/>
      <c r="DC70" s="893"/>
      <c r="DD70" s="893"/>
      <c r="DE70" s="893"/>
      <c r="DF70" s="893"/>
      <c r="DG70" s="893"/>
      <c r="DH70" s="893"/>
      <c r="DI70" s="893"/>
      <c r="DJ70" s="844">
        <f t="shared" si="70"/>
        <v>0</v>
      </c>
      <c r="DK70" s="948"/>
      <c r="DL70" s="892"/>
      <c r="DM70" s="892"/>
      <c r="DN70" s="892"/>
      <c r="DO70" s="892"/>
      <c r="DP70" s="893"/>
      <c r="DQ70" s="893"/>
      <c r="DR70" s="893"/>
      <c r="DS70" s="893"/>
      <c r="DT70" s="893"/>
      <c r="DU70" s="893"/>
      <c r="DV70" s="893"/>
      <c r="DW70" s="893"/>
      <c r="DX70" s="108"/>
    </row>
    <row r="71" spans="1:129" ht="15.75" hidden="1" customHeight="1">
      <c r="A71" s="94"/>
      <c r="B71" s="935" t="s">
        <v>81</v>
      </c>
      <c r="C71" s="934"/>
      <c r="D71" s="313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314"/>
      <c r="Q71" s="90"/>
      <c r="R71" s="316"/>
      <c r="S71" s="316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5"/>
      <c r="AE71" s="23"/>
      <c r="AF71" s="316">
        <v>26171</v>
      </c>
      <c r="AG71" s="316">
        <v>21736</v>
      </c>
      <c r="AH71" s="316">
        <v>10736</v>
      </c>
      <c r="AI71" s="316">
        <v>15851</v>
      </c>
      <c r="AJ71" s="316">
        <v>30248</v>
      </c>
      <c r="AK71" s="316">
        <v>34072</v>
      </c>
      <c r="AL71" s="316">
        <v>37481</v>
      </c>
      <c r="AM71" s="91">
        <v>32645</v>
      </c>
      <c r="AN71" s="91">
        <v>30252</v>
      </c>
      <c r="AO71" s="91">
        <v>39494</v>
      </c>
      <c r="AP71" s="91">
        <v>42389</v>
      </c>
      <c r="AQ71" s="91">
        <v>55547</v>
      </c>
      <c r="AR71" s="92">
        <f t="shared" si="111"/>
        <v>376622</v>
      </c>
      <c r="AS71" s="23"/>
      <c r="AT71" s="91">
        <v>30298</v>
      </c>
      <c r="AU71" s="91">
        <v>27364</v>
      </c>
      <c r="AV71" s="91">
        <v>32595</v>
      </c>
      <c r="AW71" s="91">
        <v>28643</v>
      </c>
      <c r="AX71" s="91">
        <v>32208</v>
      </c>
      <c r="AY71" s="91">
        <v>30601</v>
      </c>
      <c r="AZ71" s="91">
        <v>38882</v>
      </c>
      <c r="BA71" s="91">
        <v>30743</v>
      </c>
      <c r="BB71" s="91">
        <f>24621+1200</f>
        <v>25821</v>
      </c>
      <c r="BC71" s="91">
        <v>31662</v>
      </c>
      <c r="BD71" s="91">
        <v>37222</v>
      </c>
      <c r="BE71" s="91">
        <v>53667</v>
      </c>
      <c r="BF71" s="91">
        <f t="shared" si="86"/>
        <v>399706</v>
      </c>
      <c r="BG71" s="93">
        <f>BF71/AR71-1</f>
        <v>6.1292224033646425E-2</v>
      </c>
      <c r="BH71" s="91">
        <v>34097</v>
      </c>
      <c r="BI71" s="91">
        <v>25734</v>
      </c>
      <c r="BJ71" s="91">
        <v>34274</v>
      </c>
      <c r="BK71" s="91">
        <v>28838</v>
      </c>
      <c r="BL71" s="91">
        <v>32785</v>
      </c>
      <c r="BM71" s="91">
        <v>38470</v>
      </c>
      <c r="BN71" s="91">
        <v>48365</v>
      </c>
      <c r="BO71" s="91">
        <v>33280</v>
      </c>
      <c r="BP71" s="91">
        <v>34203</v>
      </c>
      <c r="BQ71" s="91">
        <v>35184</v>
      </c>
      <c r="BR71" s="91">
        <v>34873</v>
      </c>
      <c r="BS71" s="91">
        <v>48960</v>
      </c>
      <c r="BT71" s="91">
        <f t="shared" si="118"/>
        <v>429063</v>
      </c>
      <c r="BU71" s="28"/>
      <c r="BV71" s="91">
        <v>38900</v>
      </c>
      <c r="BW71" s="91">
        <v>31376</v>
      </c>
      <c r="BX71" s="91">
        <v>29886</v>
      </c>
      <c r="BY71" s="91">
        <v>30671</v>
      </c>
      <c r="BZ71" s="91">
        <v>34553</v>
      </c>
      <c r="CA71" s="91">
        <v>36515</v>
      </c>
      <c r="CB71" s="91">
        <v>38915</v>
      </c>
      <c r="CC71" s="91">
        <v>34615</v>
      </c>
      <c r="CD71" s="91">
        <v>29617</v>
      </c>
      <c r="CE71" s="91">
        <v>34538</v>
      </c>
      <c r="CF71" s="91">
        <v>45914</v>
      </c>
      <c r="CG71" s="91">
        <v>60875</v>
      </c>
      <c r="CH71" s="91">
        <f t="shared" si="120"/>
        <v>446375</v>
      </c>
      <c r="CJ71" s="91">
        <v>37717</v>
      </c>
      <c r="CK71" s="91"/>
      <c r="CL71" s="91"/>
      <c r="CM71" s="91"/>
      <c r="CN71" s="91"/>
      <c r="CO71" s="91"/>
      <c r="CP71" s="91"/>
      <c r="CQ71" s="91"/>
      <c r="CR71" s="91"/>
      <c r="CS71" s="91"/>
      <c r="CT71" s="91"/>
      <c r="CU71" s="91"/>
      <c r="CV71" s="91"/>
      <c r="CW71" s="758"/>
      <c r="CX71" s="884">
        <v>22115</v>
      </c>
      <c r="CY71" s="884"/>
      <c r="CZ71" s="884"/>
      <c r="DA71" s="884"/>
      <c r="DB71" s="884"/>
      <c r="DC71" s="884"/>
      <c r="DD71" s="884"/>
      <c r="DE71" s="884"/>
      <c r="DF71" s="884"/>
      <c r="DG71" s="884"/>
      <c r="DH71" s="884"/>
      <c r="DI71" s="884"/>
      <c r="DJ71" s="844">
        <f t="shared" si="70"/>
        <v>0</v>
      </c>
      <c r="DK71" s="948"/>
      <c r="DL71" s="884">
        <v>22115</v>
      </c>
      <c r="DM71" s="884"/>
      <c r="DN71" s="884"/>
      <c r="DO71" s="884"/>
      <c r="DP71" s="884"/>
      <c r="DQ71" s="884"/>
      <c r="DR71" s="884"/>
      <c r="DS71" s="884"/>
      <c r="DT71" s="884"/>
      <c r="DU71" s="884"/>
      <c r="DV71" s="884"/>
      <c r="DW71" s="884"/>
      <c r="DX71" s="91"/>
    </row>
    <row r="72" spans="1:129" ht="18.75" hidden="1">
      <c r="A72" s="103"/>
      <c r="B72" s="932" t="s">
        <v>82</v>
      </c>
      <c r="C72" s="933"/>
      <c r="D72" s="331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332"/>
      <c r="Q72" s="105"/>
      <c r="R72" s="333"/>
      <c r="S72" s="333"/>
      <c r="T72" s="333"/>
      <c r="U72" s="333"/>
      <c r="V72" s="333"/>
      <c r="W72" s="333"/>
      <c r="X72" s="333"/>
      <c r="Y72" s="333"/>
      <c r="Z72" s="333"/>
      <c r="AA72" s="333"/>
      <c r="AB72" s="333"/>
      <c r="AC72" s="333"/>
      <c r="AD72" s="334"/>
      <c r="AE72" s="106"/>
      <c r="AF72" s="333">
        <f t="shared" ref="AF72:AQ72" si="124">AF71-AF62</f>
        <v>-12329</v>
      </c>
      <c r="AG72" s="333">
        <f t="shared" si="124"/>
        <v>-664</v>
      </c>
      <c r="AH72" s="333">
        <f t="shared" si="124"/>
        <v>65</v>
      </c>
      <c r="AI72" s="333">
        <f t="shared" si="124"/>
        <v>-246</v>
      </c>
      <c r="AJ72" s="333">
        <f t="shared" si="124"/>
        <v>-30</v>
      </c>
      <c r="AK72" s="333">
        <f t="shared" si="124"/>
        <v>5512</v>
      </c>
      <c r="AL72" s="333">
        <f t="shared" si="124"/>
        <v>-4219</v>
      </c>
      <c r="AM72" s="333">
        <f t="shared" si="124"/>
        <v>-6055</v>
      </c>
      <c r="AN72" s="333">
        <f t="shared" si="124"/>
        <v>-7048</v>
      </c>
      <c r="AO72" s="333">
        <f t="shared" si="124"/>
        <v>2094</v>
      </c>
      <c r="AP72" s="333">
        <f t="shared" si="124"/>
        <v>1749</v>
      </c>
      <c r="AQ72" s="333">
        <f t="shared" si="124"/>
        <v>1107</v>
      </c>
      <c r="AR72" s="107">
        <f t="shared" si="111"/>
        <v>-20064</v>
      </c>
      <c r="AS72" s="106"/>
      <c r="AT72" s="333">
        <f t="shared" ref="AT72:BE72" si="125">AT71-AT62</f>
        <v>-5855</v>
      </c>
      <c r="AU72" s="333">
        <f t="shared" si="125"/>
        <v>-7925</v>
      </c>
      <c r="AV72" s="333">
        <f t="shared" si="125"/>
        <v>-3277</v>
      </c>
      <c r="AW72" s="333">
        <f t="shared" si="125"/>
        <v>-9388</v>
      </c>
      <c r="AX72" s="333">
        <f t="shared" si="125"/>
        <v>-1358</v>
      </c>
      <c r="AY72" s="333">
        <f t="shared" si="125"/>
        <v>-2965</v>
      </c>
      <c r="AZ72" s="333">
        <f t="shared" si="125"/>
        <v>7986</v>
      </c>
      <c r="BA72" s="333">
        <f t="shared" si="125"/>
        <v>-403</v>
      </c>
      <c r="BB72" s="333">
        <f t="shared" si="125"/>
        <v>-6809</v>
      </c>
      <c r="BC72" s="333">
        <f t="shared" si="125"/>
        <v>-6900</v>
      </c>
      <c r="BD72" s="333">
        <f t="shared" si="125"/>
        <v>-4123</v>
      </c>
      <c r="BE72" s="333">
        <f t="shared" si="125"/>
        <v>4404</v>
      </c>
      <c r="BF72" s="108">
        <f t="shared" si="86"/>
        <v>-36613</v>
      </c>
      <c r="BG72" s="106"/>
      <c r="BH72" s="333">
        <f t="shared" ref="BH72:BQ72" si="126">BH71-BH62</f>
        <v>-2056</v>
      </c>
      <c r="BI72" s="333">
        <f t="shared" si="126"/>
        <v>-9555</v>
      </c>
      <c r="BJ72" s="333">
        <f t="shared" si="126"/>
        <v>-1598</v>
      </c>
      <c r="BK72" s="333">
        <f t="shared" si="126"/>
        <v>-9193</v>
      </c>
      <c r="BL72" s="333">
        <f t="shared" si="126"/>
        <v>-5785</v>
      </c>
      <c r="BM72" s="333">
        <f t="shared" si="126"/>
        <v>-757</v>
      </c>
      <c r="BN72" s="333">
        <f t="shared" si="126"/>
        <v>7237</v>
      </c>
      <c r="BO72" s="333">
        <f t="shared" si="126"/>
        <v>-4911</v>
      </c>
      <c r="BP72" s="333">
        <f t="shared" si="126"/>
        <v>-3988</v>
      </c>
      <c r="BQ72" s="333">
        <f t="shared" si="126"/>
        <v>-5041</v>
      </c>
      <c r="BR72" s="108"/>
      <c r="BS72" s="108"/>
      <c r="BT72" s="108">
        <f t="shared" si="118"/>
        <v>-35647</v>
      </c>
      <c r="BU72" s="28"/>
      <c r="BV72" s="333">
        <v>27740</v>
      </c>
      <c r="BW72" s="333">
        <v>23272</v>
      </c>
      <c r="BX72" s="333">
        <v>24576</v>
      </c>
      <c r="BY72" s="108">
        <v>26006</v>
      </c>
      <c r="BZ72" s="108">
        <v>30640</v>
      </c>
      <c r="CA72" s="108">
        <v>30640</v>
      </c>
      <c r="CB72" s="108">
        <v>29618</v>
      </c>
      <c r="CC72" s="108">
        <v>29686</v>
      </c>
      <c r="CD72" s="108">
        <v>29993</v>
      </c>
      <c r="CE72" s="108">
        <v>31540</v>
      </c>
      <c r="CF72" s="108">
        <v>38086</v>
      </c>
      <c r="CG72" s="108">
        <v>54003</v>
      </c>
      <c r="CH72" s="108">
        <f t="shared" si="120"/>
        <v>375800</v>
      </c>
      <c r="CJ72" s="333">
        <f>BV72*1.03</f>
        <v>28572.2</v>
      </c>
      <c r="CK72" s="333">
        <f>BW72*1.03</f>
        <v>23970.16</v>
      </c>
      <c r="CL72" s="333">
        <f t="shared" ref="CL72:CT72" si="127">BX72*1.03</f>
        <v>25313.279999999999</v>
      </c>
      <c r="CM72" s="333">
        <v>29046</v>
      </c>
      <c r="CN72" s="333">
        <f t="shared" si="127"/>
        <v>31559.200000000001</v>
      </c>
      <c r="CO72" s="333">
        <f t="shared" si="127"/>
        <v>31559.200000000001</v>
      </c>
      <c r="CP72" s="333">
        <f t="shared" si="127"/>
        <v>30506.54</v>
      </c>
      <c r="CQ72" s="333">
        <f t="shared" si="127"/>
        <v>30576.58</v>
      </c>
      <c r="CR72" s="333">
        <f t="shared" si="127"/>
        <v>30892.79</v>
      </c>
      <c r="CS72" s="333">
        <f t="shared" si="127"/>
        <v>32486.2</v>
      </c>
      <c r="CT72" s="333">
        <f t="shared" si="127"/>
        <v>39228.58</v>
      </c>
      <c r="CU72" s="333">
        <v>45000</v>
      </c>
      <c r="CV72" s="108">
        <f>SUM(CJ72:CU72)</f>
        <v>378710.73000000004</v>
      </c>
      <c r="CW72" s="758"/>
      <c r="CX72" s="892">
        <v>24000</v>
      </c>
      <c r="CY72" s="892">
        <v>21000</v>
      </c>
      <c r="CZ72" s="892">
        <v>24000</v>
      </c>
      <c r="DA72" s="892">
        <f t="shared" ref="DA72:DI72" si="128">CM72</f>
        <v>29046</v>
      </c>
      <c r="DB72" s="892">
        <f t="shared" si="128"/>
        <v>31559.200000000001</v>
      </c>
      <c r="DC72" s="892">
        <f t="shared" si="128"/>
        <v>31559.200000000001</v>
      </c>
      <c r="DD72" s="892">
        <f t="shared" si="128"/>
        <v>30506.54</v>
      </c>
      <c r="DE72" s="892">
        <f t="shared" si="128"/>
        <v>30576.58</v>
      </c>
      <c r="DF72" s="892">
        <f t="shared" si="128"/>
        <v>30892.79</v>
      </c>
      <c r="DG72" s="892">
        <f>CS72</f>
        <v>32486.2</v>
      </c>
      <c r="DH72" s="892">
        <f t="shared" si="128"/>
        <v>39228.58</v>
      </c>
      <c r="DI72" s="892">
        <f t="shared" si="128"/>
        <v>45000</v>
      </c>
      <c r="DJ72" s="844">
        <f t="shared" si="70"/>
        <v>300855.09000000003</v>
      </c>
      <c r="DK72" s="952">
        <f>DJ72-CV72</f>
        <v>-77855.640000000014</v>
      </c>
      <c r="DL72" s="892">
        <f>CX72*1.03</f>
        <v>24720</v>
      </c>
      <c r="DM72" s="892">
        <f t="shared" ref="DM72:DW72" si="129">CY72*1.03</f>
        <v>21630</v>
      </c>
      <c r="DN72" s="892">
        <f t="shared" si="129"/>
        <v>24720</v>
      </c>
      <c r="DO72" s="892">
        <f t="shared" si="129"/>
        <v>29917.38</v>
      </c>
      <c r="DP72" s="892">
        <f t="shared" si="129"/>
        <v>32505.976000000002</v>
      </c>
      <c r="DQ72" s="892">
        <f t="shared" si="129"/>
        <v>32505.976000000002</v>
      </c>
      <c r="DR72" s="892">
        <f t="shared" si="129"/>
        <v>31421.736200000003</v>
      </c>
      <c r="DS72" s="892">
        <f t="shared" si="129"/>
        <v>31493.877400000001</v>
      </c>
      <c r="DT72" s="892">
        <f t="shared" si="129"/>
        <v>31819.573700000001</v>
      </c>
      <c r="DU72" s="892">
        <f t="shared" si="129"/>
        <v>33460.786</v>
      </c>
      <c r="DV72" s="892">
        <f t="shared" si="129"/>
        <v>40405.437400000003</v>
      </c>
      <c r="DW72" s="892">
        <f t="shared" si="129"/>
        <v>46350</v>
      </c>
      <c r="DX72" s="108">
        <f>SUM(DL72:DW72)</f>
        <v>380950.7427</v>
      </c>
      <c r="DY72" s="598">
        <f>DX72-DJ72</f>
        <v>80095.652699999977</v>
      </c>
    </row>
    <row r="73" spans="1:129" ht="18.75" hidden="1">
      <c r="A73" s="103" t="s">
        <v>83</v>
      </c>
      <c r="B73" s="932" t="s">
        <v>84</v>
      </c>
      <c r="C73" s="933"/>
      <c r="D73" s="331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332"/>
      <c r="Q73" s="105"/>
      <c r="R73" s="333"/>
      <c r="S73" s="333"/>
      <c r="T73" s="333"/>
      <c r="U73" s="333"/>
      <c r="V73" s="333"/>
      <c r="W73" s="333"/>
      <c r="X73" s="333"/>
      <c r="Y73" s="333"/>
      <c r="Z73" s="333"/>
      <c r="AA73" s="333"/>
      <c r="AB73" s="333"/>
      <c r="AC73" s="333"/>
      <c r="AD73" s="334"/>
      <c r="AE73" s="106"/>
      <c r="AF73" s="333">
        <f>AF68-AF34</f>
        <v>-10282</v>
      </c>
      <c r="AG73" s="333">
        <f>AG68-AG34</f>
        <v>-4235</v>
      </c>
      <c r="AH73" s="333">
        <f>AH68-AH34</f>
        <v>-154</v>
      </c>
      <c r="AI73" s="333">
        <f>AI68-AI34</f>
        <v>-1981</v>
      </c>
      <c r="AJ73" s="333">
        <f>AJ68-AJ34</f>
        <v>-2477</v>
      </c>
      <c r="AK73" s="333">
        <f>AK68-AK34</f>
        <v>6187</v>
      </c>
      <c r="AL73" s="333">
        <f>AL68-AL34</f>
        <v>-13922</v>
      </c>
      <c r="AM73" s="333">
        <f>AM68-AM34</f>
        <v>-58130</v>
      </c>
      <c r="AN73" s="333">
        <f>AN68-AN34</f>
        <v>-66535.333333333343</v>
      </c>
      <c r="AO73" s="333">
        <f>AO68-AO34</f>
        <v>-12969</v>
      </c>
      <c r="AP73" s="333">
        <f>AP68-AP34</f>
        <v>-21294</v>
      </c>
      <c r="AQ73" s="333">
        <f>AQ68-AQ34</f>
        <v>-10456</v>
      </c>
      <c r="AR73" s="107">
        <f t="shared" si="111"/>
        <v>-196248.33333333334</v>
      </c>
      <c r="AS73" s="106"/>
      <c r="AT73" s="333">
        <f t="shared" ref="AT73:BE73" si="130">AT68-AT34</f>
        <v>2596.75</v>
      </c>
      <c r="AU73" s="333">
        <f t="shared" si="130"/>
        <v>-45152.103448275855</v>
      </c>
      <c r="AV73" s="333">
        <f t="shared" si="130"/>
        <v>-10056.137931034493</v>
      </c>
      <c r="AW73" s="333">
        <f t="shared" si="130"/>
        <v>-31730.137931034493</v>
      </c>
      <c r="AX73" s="333">
        <f t="shared" si="130"/>
        <v>3361.0344827586232</v>
      </c>
      <c r="AY73" s="333">
        <f t="shared" si="130"/>
        <v>-17147.777777777781</v>
      </c>
      <c r="AZ73" s="333">
        <f t="shared" si="130"/>
        <v>1355.222222222219</v>
      </c>
      <c r="BA73" s="333">
        <f t="shared" si="130"/>
        <v>-78174.296296296292</v>
      </c>
      <c r="BB73" s="333">
        <f t="shared" si="130"/>
        <v>-58295.777777777781</v>
      </c>
      <c r="BC73" s="333">
        <f t="shared" si="130"/>
        <v>-106133.29075565783</v>
      </c>
      <c r="BD73" s="333">
        <f t="shared" si="130"/>
        <v>1052.413118527038</v>
      </c>
      <c r="BE73" s="333">
        <f t="shared" si="130"/>
        <v>17507.387034906016</v>
      </c>
      <c r="BF73" s="108">
        <f t="shared" si="86"/>
        <v>-320816.71505944064</v>
      </c>
      <c r="BG73" s="106"/>
      <c r="BH73" s="333">
        <f t="shared" ref="BH73:BQ73" si="131">BH68-BH34</f>
        <v>-8421</v>
      </c>
      <c r="BI73" s="333">
        <f t="shared" si="131"/>
        <v>-18041.333333333314</v>
      </c>
      <c r="BJ73" s="333">
        <f t="shared" si="131"/>
        <v>21582.925925925927</v>
      </c>
      <c r="BK73" s="333">
        <f t="shared" si="131"/>
        <v>-53679.74074074073</v>
      </c>
      <c r="BL73" s="333">
        <f t="shared" si="131"/>
        <v>141.14814814814599</v>
      </c>
      <c r="BM73" s="333">
        <f t="shared" si="131"/>
        <v>9286.7407407407445</v>
      </c>
      <c r="BN73" s="333">
        <f t="shared" si="131"/>
        <v>2319.444444444438</v>
      </c>
      <c r="BO73" s="333">
        <f t="shared" si="131"/>
        <v>7351.6218888889125</v>
      </c>
      <c r="BP73" s="333">
        <f t="shared" si="131"/>
        <v>-1367.7495370370452</v>
      </c>
      <c r="BQ73" s="333">
        <f t="shared" si="131"/>
        <v>27459</v>
      </c>
      <c r="BR73" s="108"/>
      <c r="BS73" s="108"/>
      <c r="BT73" s="108">
        <f t="shared" si="118"/>
        <v>-13368.942462962921</v>
      </c>
      <c r="BU73" s="28"/>
      <c r="BV73" s="333"/>
      <c r="BW73" s="333"/>
      <c r="BX73" s="333"/>
      <c r="BY73" s="333"/>
      <c r="BZ73" s="108"/>
      <c r="CA73" s="108"/>
      <c r="CB73" s="108">
        <f>CB72+CB69</f>
        <v>193663</v>
      </c>
      <c r="CC73" s="108">
        <f>CC72+CC69</f>
        <v>177853</v>
      </c>
      <c r="CD73" s="108">
        <f t="shared" ref="CD73:CH73" si="132">CD72+CD69</f>
        <v>219708</v>
      </c>
      <c r="CE73" s="108">
        <f t="shared" si="132"/>
        <v>197028</v>
      </c>
      <c r="CF73" s="108">
        <f t="shared" si="132"/>
        <v>141915</v>
      </c>
      <c r="CG73" s="108">
        <f t="shared" si="132"/>
        <v>93970</v>
      </c>
      <c r="CH73" s="108"/>
      <c r="CJ73" s="333">
        <v>27785</v>
      </c>
      <c r="CK73" s="333">
        <v>23447</v>
      </c>
      <c r="CL73" s="333">
        <v>26944</v>
      </c>
      <c r="CM73" s="333"/>
      <c r="CN73" s="108"/>
      <c r="CO73" s="108"/>
      <c r="CP73" s="108"/>
      <c r="CQ73" s="108"/>
      <c r="CR73" s="108"/>
      <c r="CS73" s="108"/>
      <c r="CT73" s="108"/>
      <c r="CU73" s="108"/>
      <c r="CV73" s="108"/>
      <c r="CW73" s="758"/>
      <c r="CX73" s="892"/>
      <c r="CY73" s="892"/>
      <c r="CZ73" s="892"/>
      <c r="DA73" s="892"/>
      <c r="DB73" s="893"/>
      <c r="DC73" s="893"/>
      <c r="DD73" s="893"/>
      <c r="DE73" s="893"/>
      <c r="DF73" s="893"/>
      <c r="DG73" s="893"/>
      <c r="DH73" s="893"/>
      <c r="DI73" s="893"/>
      <c r="DJ73" s="844">
        <f t="shared" si="70"/>
        <v>0</v>
      </c>
      <c r="DK73" s="948"/>
      <c r="DL73" s="892"/>
      <c r="DM73" s="892"/>
      <c r="DN73" s="892"/>
      <c r="DO73" s="892"/>
      <c r="DP73" s="893"/>
      <c r="DQ73" s="893"/>
      <c r="DR73" s="893"/>
      <c r="DS73" s="893"/>
      <c r="DT73" s="893"/>
      <c r="DU73" s="893"/>
      <c r="DV73" s="893"/>
      <c r="DW73" s="893"/>
      <c r="DX73" s="108"/>
    </row>
    <row r="74" spans="1:129" ht="18.75" hidden="1">
      <c r="A74" s="103" t="s">
        <v>85</v>
      </c>
      <c r="B74" s="932"/>
      <c r="C74" s="933"/>
      <c r="D74" s="331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332"/>
      <c r="Q74" s="105"/>
      <c r="R74" s="333"/>
      <c r="S74" s="333"/>
      <c r="T74" s="333"/>
      <c r="U74" s="333"/>
      <c r="V74" s="333"/>
      <c r="W74" s="333"/>
      <c r="X74" s="333"/>
      <c r="Y74" s="333"/>
      <c r="Z74" s="333"/>
      <c r="AA74" s="333"/>
      <c r="AB74" s="333"/>
      <c r="AC74" s="333"/>
      <c r="AD74" s="334"/>
      <c r="AE74" s="106"/>
      <c r="AF74" s="333">
        <f>AF69-AF35</f>
        <v>92193</v>
      </c>
      <c r="AG74" s="333">
        <f>AG69-AG35</f>
        <v>152006</v>
      </c>
      <c r="AH74" s="333">
        <f>AH69-AH35</f>
        <v>62734</v>
      </c>
      <c r="AI74" s="333">
        <f>AI69-AI35</f>
        <v>71526</v>
      </c>
      <c r="AJ74" s="333">
        <f>AJ69-AJ35</f>
        <v>89409</v>
      </c>
      <c r="AK74" s="333">
        <f>AK69-AK35</f>
        <v>120675</v>
      </c>
      <c r="AL74" s="333">
        <f>AL69-AL35</f>
        <v>100592</v>
      </c>
      <c r="AM74" s="333">
        <f>AM69-AM35</f>
        <v>148128</v>
      </c>
      <c r="AN74" s="333">
        <f>AN69-AN35</f>
        <v>164346</v>
      </c>
      <c r="AO74" s="333">
        <f>AO69-AO35</f>
        <v>203437</v>
      </c>
      <c r="AP74" s="333">
        <f>AP69-AP35</f>
        <v>64957</v>
      </c>
      <c r="AQ74" s="333">
        <f>AQ69-AQ35</f>
        <v>31837</v>
      </c>
      <c r="AR74" s="107">
        <f t="shared" si="111"/>
        <v>1301840</v>
      </c>
      <c r="AS74" s="106"/>
      <c r="AT74" s="338">
        <f t="shared" ref="AT74:BE74" si="133">AT73/AT34</f>
        <v>1.7000083470131603E-2</v>
      </c>
      <c r="AU74" s="338">
        <f t="shared" si="133"/>
        <v>-0.26792985919579565</v>
      </c>
      <c r="AV74" s="338">
        <f t="shared" si="133"/>
        <v>-6.5248272015318062E-2</v>
      </c>
      <c r="AW74" s="338">
        <f t="shared" si="133"/>
        <v>-0.19881644480138216</v>
      </c>
      <c r="AX74" s="338">
        <f t="shared" si="133"/>
        <v>2.798530764170884E-2</v>
      </c>
      <c r="AY74" s="338">
        <f t="shared" si="133"/>
        <v>-0.12395048084722922</v>
      </c>
      <c r="AZ74" s="338">
        <f t="shared" si="133"/>
        <v>8.1309864112464342E-3</v>
      </c>
      <c r="BA74" s="338">
        <f t="shared" si="133"/>
        <v>-0.32244495902957893</v>
      </c>
      <c r="BB74" s="338">
        <f t="shared" si="133"/>
        <v>-0.23949841829212068</v>
      </c>
      <c r="BC74" s="338">
        <f t="shared" si="133"/>
        <v>-0.41888939787658819</v>
      </c>
      <c r="BD74" s="338">
        <f t="shared" si="133"/>
        <v>7.8214003811977375E-3</v>
      </c>
      <c r="BE74" s="338">
        <f t="shared" si="133"/>
        <v>0.24086123043473662</v>
      </c>
      <c r="BF74" s="109">
        <f>AVERAGE(AT74:BE74)</f>
        <v>-0.11124823530991597</v>
      </c>
      <c r="BG74" s="106"/>
      <c r="BH74" s="338">
        <f t="shared" ref="BH74:BQ74" si="134">BH73/BH34</f>
        <v>-5.512821352117471E-2</v>
      </c>
      <c r="BI74" s="338">
        <f t="shared" si="134"/>
        <v>-0.12287867195499311</v>
      </c>
      <c r="BJ74" s="338">
        <f t="shared" si="134"/>
        <v>0.12581416416796784</v>
      </c>
      <c r="BK74" s="338">
        <f t="shared" si="134"/>
        <v>-0.33597769224938256</v>
      </c>
      <c r="BL74" s="338">
        <f t="shared" si="134"/>
        <v>1.0652943536044719E-3</v>
      </c>
      <c r="BM74" s="338">
        <f t="shared" si="134"/>
        <v>7.1488016002422286E-2</v>
      </c>
      <c r="BN74" s="338">
        <f t="shared" si="134"/>
        <v>1.3533646427895287E-2</v>
      </c>
      <c r="BO74" s="338">
        <f t="shared" si="134"/>
        <v>4.0944619366602007E-2</v>
      </c>
      <c r="BP74" s="338">
        <f t="shared" si="134"/>
        <v>-6.7692361075750926E-3</v>
      </c>
      <c r="BQ74" s="338">
        <f t="shared" si="134"/>
        <v>0.16757086626186191</v>
      </c>
      <c r="BR74" s="109"/>
      <c r="BS74" s="109"/>
      <c r="BT74" s="338">
        <f>BT73/BT34</f>
        <v>-7.1185036907011742E-3</v>
      </c>
      <c r="BU74" s="54"/>
      <c r="BV74" s="338"/>
      <c r="BW74" s="338"/>
      <c r="BX74" s="338"/>
      <c r="BY74" s="338"/>
      <c r="BZ74" s="109"/>
      <c r="CA74" s="109"/>
      <c r="CB74" s="109"/>
      <c r="CC74" s="109"/>
      <c r="CD74" s="109"/>
      <c r="CE74" s="109"/>
      <c r="CF74" s="109"/>
      <c r="CG74" s="109"/>
      <c r="CH74" s="109"/>
      <c r="CJ74" s="338"/>
      <c r="CK74" s="338"/>
      <c r="CL74" s="338"/>
      <c r="CM74" s="338"/>
      <c r="CN74" s="109"/>
      <c r="CO74" s="109"/>
      <c r="CP74" s="109"/>
      <c r="CQ74" s="109"/>
      <c r="CR74" s="109"/>
      <c r="CS74" s="109"/>
      <c r="CT74" s="109"/>
      <c r="CU74" s="109"/>
      <c r="CV74" s="109"/>
      <c r="CW74" s="758"/>
      <c r="CX74" s="894"/>
      <c r="CY74" s="894"/>
      <c r="CZ74" s="894"/>
      <c r="DA74" s="894"/>
      <c r="DB74" s="895"/>
      <c r="DC74" s="895"/>
      <c r="DD74" s="895"/>
      <c r="DE74" s="895"/>
      <c r="DF74" s="895"/>
      <c r="DG74" s="895"/>
      <c r="DH74" s="895"/>
      <c r="DI74" s="895"/>
      <c r="DJ74" s="844">
        <f t="shared" si="70"/>
        <v>0</v>
      </c>
      <c r="DK74" s="948"/>
      <c r="DL74" s="894"/>
      <c r="DM74" s="894"/>
      <c r="DN74" s="894"/>
      <c r="DO74" s="894"/>
      <c r="DP74" s="895"/>
      <c r="DQ74" s="895"/>
      <c r="DR74" s="895"/>
      <c r="DS74" s="895"/>
      <c r="DT74" s="895"/>
      <c r="DU74" s="895"/>
      <c r="DV74" s="895"/>
      <c r="DW74" s="895"/>
      <c r="DX74" s="109"/>
    </row>
    <row r="75" spans="1:129" ht="14.25" hidden="1" customHeight="1">
      <c r="A75" s="55" t="s">
        <v>86</v>
      </c>
      <c r="B75" s="958" t="s">
        <v>124</v>
      </c>
      <c r="C75" s="959"/>
      <c r="D75" s="960"/>
      <c r="E75" s="961"/>
      <c r="F75" s="961"/>
      <c r="G75" s="961"/>
      <c r="H75" s="961"/>
      <c r="I75" s="961"/>
      <c r="J75" s="961"/>
      <c r="K75" s="961"/>
      <c r="L75" s="961"/>
      <c r="M75" s="961"/>
      <c r="N75" s="961"/>
      <c r="O75" s="961"/>
      <c r="P75" s="962"/>
      <c r="Q75" s="963"/>
      <c r="R75" s="960"/>
      <c r="S75" s="964"/>
      <c r="T75" s="964"/>
      <c r="U75" s="964"/>
      <c r="V75" s="964"/>
      <c r="W75" s="965"/>
      <c r="X75" s="965"/>
      <c r="Y75" s="965"/>
      <c r="Z75" s="965"/>
      <c r="AA75" s="965"/>
      <c r="AB75" s="965"/>
      <c r="AC75" s="965"/>
      <c r="AD75" s="966"/>
      <c r="AE75" s="967"/>
      <c r="AF75" s="599"/>
      <c r="AG75" s="964"/>
      <c r="AH75" s="964"/>
      <c r="AI75" s="964"/>
      <c r="AJ75" s="964"/>
      <c r="AK75" s="964"/>
      <c r="AL75" s="964"/>
      <c r="AM75" s="964"/>
      <c r="AN75" s="964"/>
      <c r="AO75" s="964"/>
      <c r="AP75" s="964"/>
      <c r="AQ75" s="964"/>
      <c r="AR75" s="964"/>
      <c r="AS75" s="967"/>
      <c r="AT75" s="964"/>
      <c r="AU75" s="964"/>
      <c r="AV75" s="964"/>
      <c r="AW75" s="964"/>
      <c r="AX75" s="964"/>
      <c r="AY75" s="964"/>
      <c r="AZ75" s="964"/>
      <c r="BA75" s="964"/>
      <c r="BB75" s="964"/>
      <c r="BC75" s="964"/>
      <c r="BD75" s="964"/>
      <c r="BE75" s="964"/>
      <c r="BF75" s="964"/>
      <c r="BG75" s="967"/>
      <c r="BH75" s="964"/>
      <c r="BI75" s="964"/>
      <c r="BJ75" s="964"/>
      <c r="BK75" s="964"/>
      <c r="BL75" s="964"/>
      <c r="BM75" s="964"/>
      <c r="BN75" s="964"/>
      <c r="BO75" s="964"/>
      <c r="BP75" s="964"/>
      <c r="BQ75" s="964"/>
      <c r="BR75" s="964"/>
      <c r="BS75" s="964"/>
      <c r="BT75" s="964"/>
      <c r="BU75" s="968"/>
      <c r="BV75" s="964"/>
      <c r="BW75" s="964"/>
      <c r="BX75" s="964"/>
      <c r="BY75" s="964"/>
      <c r="BZ75" s="964"/>
      <c r="CA75" s="964"/>
      <c r="CB75" s="964"/>
      <c r="CC75" s="964"/>
      <c r="CD75" s="964"/>
      <c r="CE75" s="964"/>
      <c r="CF75" s="964"/>
      <c r="CG75" s="964"/>
      <c r="CH75" s="964"/>
      <c r="CI75" s="969"/>
      <c r="CJ75" s="964"/>
      <c r="CK75" s="964"/>
      <c r="CL75" s="964"/>
      <c r="CM75" s="964"/>
      <c r="CN75" s="964"/>
      <c r="CO75" s="964"/>
      <c r="CP75" s="964"/>
      <c r="CQ75" s="964"/>
      <c r="CR75" s="964"/>
      <c r="CS75" s="964"/>
      <c r="CT75" s="964">
        <f>SUM(CT77:CT79)</f>
        <v>164656.85004219407</v>
      </c>
      <c r="CU75" s="964">
        <f>SUM(CU77:CU79)</f>
        <v>91745.822784810123</v>
      </c>
      <c r="CV75" s="964"/>
      <c r="CW75" s="956">
        <f>SUM(CX75:DC75)</f>
        <v>996971.73999999987</v>
      </c>
      <c r="CX75" s="964">
        <f>SUM(CX77:CX79)</f>
        <v>194469.46000000002</v>
      </c>
      <c r="CY75" s="964">
        <f t="shared" ref="CY75:DJ75" si="135">SUM(CY77:CY79)</f>
        <v>159466.88999999998</v>
      </c>
      <c r="CZ75" s="964">
        <f t="shared" si="135"/>
        <v>208203.57</v>
      </c>
      <c r="DA75" s="964">
        <f t="shared" si="135"/>
        <v>158532.44</v>
      </c>
      <c r="DB75" s="964">
        <f t="shared" si="135"/>
        <v>157404.75999999998</v>
      </c>
      <c r="DC75" s="964">
        <f t="shared" si="135"/>
        <v>118894.62</v>
      </c>
      <c r="DD75" s="964">
        <f t="shared" si="135"/>
        <v>211625.73</v>
      </c>
      <c r="DE75" s="964">
        <f t="shared" si="135"/>
        <v>208193.11</v>
      </c>
      <c r="DF75" s="964">
        <f t="shared" si="135"/>
        <v>269889.13</v>
      </c>
      <c r="DG75" s="964">
        <f>SUM(DG77:DG79)</f>
        <v>258868.84085232066</v>
      </c>
      <c r="DH75" s="964">
        <f t="shared" si="135"/>
        <v>178376.53444641351</v>
      </c>
      <c r="DI75" s="964">
        <f t="shared" si="135"/>
        <v>114212.18776329115</v>
      </c>
      <c r="DJ75" s="844">
        <f t="shared" si="70"/>
        <v>1675997.3530620255</v>
      </c>
      <c r="DK75" s="948"/>
      <c r="DL75" s="896">
        <f>SUM(DL77:DL79)</f>
        <v>213916.40600000005</v>
      </c>
      <c r="DM75" s="896">
        <f t="shared" ref="DM75:DX75" si="136">SUM(DM77:DM79)</f>
        <v>175413.579</v>
      </c>
      <c r="DN75" s="896">
        <f t="shared" si="136"/>
        <v>229023.92700000003</v>
      </c>
      <c r="DO75" s="896">
        <f t="shared" si="136"/>
        <v>174385.68400000001</v>
      </c>
      <c r="DP75" s="896">
        <f t="shared" si="136"/>
        <v>173145.236</v>
      </c>
      <c r="DQ75" s="896">
        <f t="shared" si="136"/>
        <v>130784.08200000001</v>
      </c>
      <c r="DR75" s="896">
        <f t="shared" si="136"/>
        <v>232788.30300000004</v>
      </c>
      <c r="DS75" s="896">
        <f t="shared" si="136"/>
        <v>229012.421</v>
      </c>
      <c r="DT75" s="896">
        <f t="shared" si="136"/>
        <v>296878.04300000001</v>
      </c>
      <c r="DU75" s="896">
        <f t="shared" si="136"/>
        <v>284755.72493755276</v>
      </c>
      <c r="DV75" s="896">
        <f t="shared" si="136"/>
        <v>196214.18789105487</v>
      </c>
      <c r="DW75" s="896">
        <f t="shared" si="136"/>
        <v>125633.40653962028</v>
      </c>
      <c r="DX75" s="778">
        <f>SUM(DL75:DW75)</f>
        <v>2461951.0003682282</v>
      </c>
    </row>
    <row r="76" spans="1:129" ht="21" hidden="1" customHeight="1">
      <c r="A76" s="55"/>
      <c r="B76" s="766" t="s">
        <v>87</v>
      </c>
      <c r="C76" s="767"/>
      <c r="D76" s="768"/>
      <c r="E76" s="769"/>
      <c r="F76" s="769"/>
      <c r="G76" s="769"/>
      <c r="H76" s="769"/>
      <c r="I76" s="769"/>
      <c r="J76" s="769"/>
      <c r="K76" s="769"/>
      <c r="L76" s="769"/>
      <c r="M76" s="769"/>
      <c r="N76" s="769"/>
      <c r="O76" s="769"/>
      <c r="P76" s="770"/>
      <c r="Q76" s="771"/>
      <c r="R76" s="768"/>
      <c r="S76" s="772"/>
      <c r="T76" s="772"/>
      <c r="U76" s="772"/>
      <c r="V76" s="772"/>
      <c r="W76" s="773"/>
      <c r="X76" s="773"/>
      <c r="Y76" s="773"/>
      <c r="Z76" s="773"/>
      <c r="AA76" s="773"/>
      <c r="AB76" s="773"/>
      <c r="AC76" s="773"/>
      <c r="AD76" s="774"/>
      <c r="AE76" s="775"/>
      <c r="AF76" s="776"/>
      <c r="AG76" s="776"/>
      <c r="AH76" s="776"/>
      <c r="AI76" s="776"/>
      <c r="AJ76" s="776"/>
      <c r="AK76" s="776"/>
      <c r="AL76" s="776"/>
      <c r="AM76" s="776"/>
      <c r="AN76" s="776"/>
      <c r="AO76" s="776"/>
      <c r="AP76" s="776"/>
      <c r="AQ76" s="776"/>
      <c r="AR76" s="772"/>
      <c r="AS76" s="775"/>
      <c r="AT76" s="776"/>
      <c r="AU76" s="776"/>
      <c r="AV76" s="776"/>
      <c r="AW76" s="776"/>
      <c r="AX76" s="776"/>
      <c r="AY76" s="776"/>
      <c r="AZ76" s="776"/>
      <c r="BA76" s="776"/>
      <c r="BB76" s="776"/>
      <c r="BC76" s="776"/>
      <c r="BD76" s="776"/>
      <c r="BE76" s="776"/>
      <c r="BF76" s="772"/>
      <c r="BG76" s="775"/>
      <c r="BH76" s="776"/>
      <c r="BI76" s="776"/>
      <c r="BJ76" s="776"/>
      <c r="BK76" s="776"/>
      <c r="BL76" s="776"/>
      <c r="BM76" s="776"/>
      <c r="BN76" s="776"/>
      <c r="BO76" s="776"/>
      <c r="BP76" s="776"/>
      <c r="BQ76" s="776"/>
      <c r="BR76" s="776"/>
      <c r="BS76" s="776"/>
      <c r="BT76" s="776"/>
      <c r="BU76" s="777"/>
      <c r="BV76" s="778">
        <v>152642</v>
      </c>
      <c r="BW76" s="778">
        <v>141495</v>
      </c>
      <c r="BX76" s="778">
        <v>158268</v>
      </c>
      <c r="BY76" s="778">
        <v>135742</v>
      </c>
      <c r="BZ76" s="778">
        <v>130614</v>
      </c>
      <c r="CA76" s="778">
        <v>97296</v>
      </c>
      <c r="CB76" s="778">
        <v>180319</v>
      </c>
      <c r="CC76" s="778">
        <v>175137</v>
      </c>
      <c r="CD76" s="778">
        <v>216035</v>
      </c>
      <c r="CE76" s="778">
        <v>188049</v>
      </c>
      <c r="CF76" s="778">
        <v>139782</v>
      </c>
      <c r="CG76" s="778">
        <v>90604</v>
      </c>
      <c r="CH76" s="776">
        <f>SUM(BV76:CG76)</f>
        <v>1805983</v>
      </c>
      <c r="CI76" s="779"/>
      <c r="CJ76" s="778" t="s">
        <v>88</v>
      </c>
      <c r="CK76" s="778">
        <f t="shared" ref="CK76:CV76" si="137">BW76</f>
        <v>141495</v>
      </c>
      <c r="CL76" s="778">
        <f t="shared" si="137"/>
        <v>158268</v>
      </c>
      <c r="CM76" s="778">
        <f t="shared" si="137"/>
        <v>135742</v>
      </c>
      <c r="CN76" s="778">
        <f t="shared" si="137"/>
        <v>130614</v>
      </c>
      <c r="CO76" s="778">
        <f t="shared" si="137"/>
        <v>97296</v>
      </c>
      <c r="CP76" s="778">
        <f t="shared" si="137"/>
        <v>180319</v>
      </c>
      <c r="CQ76" s="778">
        <f t="shared" si="137"/>
        <v>175137</v>
      </c>
      <c r="CR76" s="778">
        <f t="shared" si="137"/>
        <v>216035</v>
      </c>
      <c r="CS76" s="778">
        <f>CS77</f>
        <v>237402.61350210969</v>
      </c>
      <c r="CT76" s="778">
        <f>CT77</f>
        <v>113946.85004219407</v>
      </c>
      <c r="CU76" s="778">
        <f t="shared" ref="CU76:CV76" si="138">CU77</f>
        <v>79742.822784810123</v>
      </c>
      <c r="CV76" s="778">
        <f t="shared" si="137"/>
        <v>1805983</v>
      </c>
      <c r="CW76" s="758"/>
      <c r="CX76" s="897"/>
      <c r="CY76" s="897"/>
      <c r="CZ76" s="897"/>
      <c r="DA76" s="897"/>
      <c r="DB76" s="897"/>
      <c r="DC76" s="897"/>
      <c r="DD76" s="897"/>
      <c r="DE76" s="897"/>
      <c r="DF76" s="897"/>
      <c r="DG76" s="897"/>
      <c r="DH76" s="897"/>
      <c r="DI76" s="897">
        <v>114212.18776329115</v>
      </c>
      <c r="DJ76" s="844">
        <f t="shared" si="70"/>
        <v>114212.18776329115</v>
      </c>
      <c r="DK76" s="948"/>
      <c r="DL76" s="897"/>
      <c r="DM76" s="897"/>
      <c r="DN76" s="897"/>
      <c r="DO76" s="897"/>
      <c r="DP76" s="897"/>
      <c r="DQ76" s="897"/>
      <c r="DR76" s="897"/>
      <c r="DS76" s="897"/>
      <c r="DT76" s="897"/>
      <c r="DU76" s="897"/>
      <c r="DV76" s="897"/>
      <c r="DW76" s="897">
        <v>114212.18776329115</v>
      </c>
      <c r="DX76" s="778"/>
    </row>
    <row r="77" spans="1:129" ht="22.5" hidden="1" customHeight="1">
      <c r="A77" s="765"/>
      <c r="B77" s="766" t="s">
        <v>125</v>
      </c>
      <c r="C77" s="767"/>
      <c r="D77" s="768"/>
      <c r="E77" s="769"/>
      <c r="F77" s="769"/>
      <c r="G77" s="769"/>
      <c r="H77" s="769"/>
      <c r="I77" s="769"/>
      <c r="J77" s="769"/>
      <c r="K77" s="769"/>
      <c r="L77" s="769"/>
      <c r="M77" s="769"/>
      <c r="N77" s="769"/>
      <c r="O77" s="769"/>
      <c r="P77" s="770"/>
      <c r="Q77" s="771"/>
      <c r="R77" s="768"/>
      <c r="S77" s="772"/>
      <c r="T77" s="772"/>
      <c r="U77" s="772"/>
      <c r="V77" s="772"/>
      <c r="W77" s="773"/>
      <c r="X77" s="773"/>
      <c r="Y77" s="773"/>
      <c r="Z77" s="773"/>
      <c r="AA77" s="773"/>
      <c r="AB77" s="773"/>
      <c r="AC77" s="773"/>
      <c r="AD77" s="774"/>
      <c r="AE77" s="775"/>
      <c r="AF77" s="776"/>
      <c r="AG77" s="776"/>
      <c r="AH77" s="776"/>
      <c r="AI77" s="776"/>
      <c r="AJ77" s="776"/>
      <c r="AK77" s="776"/>
      <c r="AL77" s="776"/>
      <c r="AM77" s="776"/>
      <c r="AN77" s="776"/>
      <c r="AO77" s="776"/>
      <c r="AP77" s="776"/>
      <c r="AQ77" s="776"/>
      <c r="AR77" s="772"/>
      <c r="AS77" s="775"/>
      <c r="AT77" s="776"/>
      <c r="AU77" s="776"/>
      <c r="AV77" s="776"/>
      <c r="AW77" s="776"/>
      <c r="AX77" s="776"/>
      <c r="AY77" s="776"/>
      <c r="AZ77" s="776"/>
      <c r="BA77" s="776"/>
      <c r="BB77" s="776"/>
      <c r="BC77" s="776"/>
      <c r="BD77" s="776"/>
      <c r="BE77" s="776"/>
      <c r="BF77" s="772"/>
      <c r="BG77" s="775"/>
      <c r="BH77" s="776"/>
      <c r="BI77" s="776"/>
      <c r="BJ77" s="776"/>
      <c r="BK77" s="776"/>
      <c r="BL77" s="776"/>
      <c r="BM77" s="776"/>
      <c r="BN77" s="776"/>
      <c r="BO77" s="776"/>
      <c r="BP77" s="776"/>
      <c r="BQ77" s="776"/>
      <c r="BR77" s="776"/>
      <c r="BS77" s="776"/>
      <c r="BT77" s="776"/>
      <c r="BU77" s="777"/>
      <c r="BV77" s="778">
        <f>BV34</f>
        <v>161157.867486095</v>
      </c>
      <c r="BW77" s="778">
        <f>BW34</f>
        <v>155966.83045180296</v>
      </c>
      <c r="BX77" s="778">
        <f t="shared" ref="BX77:CH77" si="139">BX34</f>
        <v>196111.53846153844</v>
      </c>
      <c r="BY77" s="778">
        <f t="shared" si="139"/>
        <v>159169.23076923078</v>
      </c>
      <c r="BZ77" s="778">
        <f t="shared" si="139"/>
        <v>151482.39341785663</v>
      </c>
      <c r="CA77" s="778">
        <f t="shared" si="139"/>
        <v>141442.12910096842</v>
      </c>
      <c r="CB77" s="778">
        <f t="shared" si="139"/>
        <v>176986.21444761599</v>
      </c>
      <c r="CC77" s="778">
        <f t="shared" si="139"/>
        <v>201301.08944885107</v>
      </c>
      <c r="CD77" s="778">
        <f t="shared" si="139"/>
        <v>212833.04013559342</v>
      </c>
      <c r="CE77" s="778">
        <f t="shared" si="139"/>
        <v>215922.30386211892</v>
      </c>
      <c r="CF77" s="778">
        <f t="shared" si="139"/>
        <v>171115.84223630186</v>
      </c>
      <c r="CG77" s="778">
        <f t="shared" si="139"/>
        <v>87483.816691710366</v>
      </c>
      <c r="CH77" s="776">
        <f>SUM(BV77:CG77)</f>
        <v>2030972.2965096838</v>
      </c>
      <c r="CI77" s="779"/>
      <c r="CJ77" s="778">
        <f>CJ72+CJ39</f>
        <v>149449.15862840106</v>
      </c>
      <c r="CK77" s="778">
        <f t="shared" ref="CK77:CU77" si="140">CK72+CK39</f>
        <v>165299.98482295938</v>
      </c>
      <c r="CL77" s="778">
        <f t="shared" si="140"/>
        <v>157623.38063361909</v>
      </c>
      <c r="CM77" s="778">
        <f t="shared" si="140"/>
        <v>156795.25083861349</v>
      </c>
      <c r="CN77" s="778">
        <f>CN72+CN39</f>
        <v>159036.51643682446</v>
      </c>
      <c r="CO77" s="778">
        <f t="shared" si="140"/>
        <v>127776.80715616846</v>
      </c>
      <c r="CP77" s="778">
        <f t="shared" si="140"/>
        <v>201036.96194092827</v>
      </c>
      <c r="CQ77" s="778">
        <f t="shared" si="140"/>
        <v>217939.23822784808</v>
      </c>
      <c r="CR77" s="778">
        <f>CR72+CR39</f>
        <v>251919.92080168775</v>
      </c>
      <c r="CS77" s="778">
        <f>CS72+CS39</f>
        <v>237402.61350210969</v>
      </c>
      <c r="CT77" s="778">
        <f>CT72+CT39-CT79-CT78</f>
        <v>113946.85004219407</v>
      </c>
      <c r="CU77" s="778">
        <f>CU72+CU39-CU79-CU78</f>
        <v>79742.822784810123</v>
      </c>
      <c r="CV77" s="778"/>
      <c r="CW77" s="758"/>
      <c r="CX77" s="897">
        <f>CX97-CX100-CX78</f>
        <v>137996.46000000002</v>
      </c>
      <c r="CY77" s="897">
        <f t="shared" ref="CY77:DI77" si="141">CY97-CY100-CY78</f>
        <v>109115.58999999998</v>
      </c>
      <c r="CZ77" s="897">
        <f t="shared" si="141"/>
        <v>159971.47</v>
      </c>
      <c r="DA77" s="897">
        <f t="shared" si="141"/>
        <v>111340.64</v>
      </c>
      <c r="DB77" s="897">
        <f t="shared" si="141"/>
        <v>123131.75999999998</v>
      </c>
      <c r="DC77" s="897">
        <f t="shared" si="141"/>
        <v>93542.01999999999</v>
      </c>
      <c r="DD77" s="897">
        <f t="shared" si="141"/>
        <v>143602.83000000002</v>
      </c>
      <c r="DE77" s="897">
        <f t="shared" si="141"/>
        <v>139580.60999999999</v>
      </c>
      <c r="DF77" s="897">
        <f>DF97-DF100-DF78</f>
        <v>185916.23</v>
      </c>
      <c r="DG77" s="897">
        <f t="shared" si="141"/>
        <v>212260.74085232065</v>
      </c>
      <c r="DH77" s="897">
        <f t="shared" si="141"/>
        <v>147017.18444641351</v>
      </c>
      <c r="DI77" s="897">
        <f t="shared" si="141"/>
        <v>100014.48776329115</v>
      </c>
      <c r="DJ77" s="844">
        <f t="shared" si="70"/>
        <v>1256406.5030620252</v>
      </c>
      <c r="DK77" s="952">
        <f>AVERAGE(CX77:DI77)</f>
        <v>138624.16858850213</v>
      </c>
      <c r="DL77" s="897">
        <f>DL97-DL100-DL78</f>
        <v>157443.40600000005</v>
      </c>
      <c r="DM77" s="897">
        <f t="shared" ref="DM77:DW77" si="142">DM97-DM100-DM78</f>
        <v>125062.27899999999</v>
      </c>
      <c r="DN77" s="897">
        <f t="shared" si="142"/>
        <v>180791.82700000002</v>
      </c>
      <c r="DO77" s="897">
        <f t="shared" si="142"/>
        <v>127193.88400000001</v>
      </c>
      <c r="DP77" s="897">
        <f t="shared" si="142"/>
        <v>138872.236</v>
      </c>
      <c r="DQ77" s="897">
        <f t="shared" si="142"/>
        <v>105431.482</v>
      </c>
      <c r="DR77" s="897">
        <f t="shared" si="142"/>
        <v>164765.40300000005</v>
      </c>
      <c r="DS77" s="897">
        <f t="shared" si="142"/>
        <v>160399.921</v>
      </c>
      <c r="DT77" s="897">
        <f t="shared" si="142"/>
        <v>212905.14300000001</v>
      </c>
      <c r="DU77" s="897">
        <f t="shared" si="142"/>
        <v>238147.62493755276</v>
      </c>
      <c r="DV77" s="897">
        <f t="shared" si="142"/>
        <v>164854.83789105486</v>
      </c>
      <c r="DW77" s="897">
        <f t="shared" si="142"/>
        <v>111435.70653962028</v>
      </c>
      <c r="DX77" s="778">
        <f>SUM(DL77:DW77)</f>
        <v>1887303.7503682277</v>
      </c>
      <c r="DY77" s="598">
        <f>AVERAGE(DL77:DW77)</f>
        <v>157275.31253068565</v>
      </c>
    </row>
    <row r="78" spans="1:129" ht="22.5" hidden="1" customHeight="1">
      <c r="A78" s="765"/>
      <c r="B78" s="766" t="s">
        <v>126</v>
      </c>
      <c r="C78" s="767"/>
      <c r="D78" s="768"/>
      <c r="E78" s="769"/>
      <c r="F78" s="769"/>
      <c r="G78" s="769"/>
      <c r="H78" s="769"/>
      <c r="I78" s="769"/>
      <c r="J78" s="769"/>
      <c r="K78" s="769"/>
      <c r="L78" s="769"/>
      <c r="M78" s="769"/>
      <c r="N78" s="769"/>
      <c r="O78" s="769"/>
      <c r="P78" s="770"/>
      <c r="Q78" s="771"/>
      <c r="R78" s="768"/>
      <c r="S78" s="772"/>
      <c r="T78" s="772"/>
      <c r="U78" s="772"/>
      <c r="V78" s="772"/>
      <c r="W78" s="773"/>
      <c r="X78" s="773"/>
      <c r="Y78" s="773"/>
      <c r="Z78" s="773"/>
      <c r="AA78" s="773"/>
      <c r="AB78" s="773"/>
      <c r="AC78" s="773"/>
      <c r="AD78" s="774"/>
      <c r="AE78" s="775"/>
      <c r="AF78" s="776"/>
      <c r="AG78" s="776"/>
      <c r="AH78" s="776"/>
      <c r="AI78" s="776"/>
      <c r="AJ78" s="776"/>
      <c r="AK78" s="776"/>
      <c r="AL78" s="776"/>
      <c r="AM78" s="776"/>
      <c r="AN78" s="776"/>
      <c r="AO78" s="776"/>
      <c r="AP78" s="776"/>
      <c r="AQ78" s="776"/>
      <c r="AR78" s="772"/>
      <c r="AS78" s="775"/>
      <c r="AT78" s="776"/>
      <c r="AU78" s="776"/>
      <c r="AV78" s="776"/>
      <c r="AW78" s="776"/>
      <c r="AX78" s="776"/>
      <c r="AY78" s="776"/>
      <c r="AZ78" s="776"/>
      <c r="BA78" s="776"/>
      <c r="BB78" s="776"/>
      <c r="BC78" s="776"/>
      <c r="BD78" s="776"/>
      <c r="BE78" s="776"/>
      <c r="BF78" s="772"/>
      <c r="BG78" s="775"/>
      <c r="BH78" s="776"/>
      <c r="BI78" s="776"/>
      <c r="BJ78" s="776"/>
      <c r="BK78" s="776"/>
      <c r="BL78" s="776"/>
      <c r="BM78" s="776"/>
      <c r="BN78" s="776"/>
      <c r="BO78" s="776"/>
      <c r="BP78" s="776"/>
      <c r="BQ78" s="776"/>
      <c r="BR78" s="776"/>
      <c r="BS78" s="776"/>
      <c r="BT78" s="776"/>
      <c r="BU78" s="777"/>
      <c r="BV78" s="778"/>
      <c r="BW78" s="778"/>
      <c r="BX78" s="778"/>
      <c r="BY78" s="778"/>
      <c r="BZ78" s="778"/>
      <c r="CA78" s="778"/>
      <c r="CB78" s="778"/>
      <c r="CC78" s="778"/>
      <c r="CD78" s="778"/>
      <c r="CE78" s="778"/>
      <c r="CF78" s="778"/>
      <c r="CG78" s="778"/>
      <c r="CH78" s="776"/>
      <c r="CI78" s="779"/>
      <c r="CJ78" s="778"/>
      <c r="CK78" s="778"/>
      <c r="CL78" s="778"/>
      <c r="CM78" s="778"/>
      <c r="CN78" s="778"/>
      <c r="CO78" s="778"/>
      <c r="CP78" s="778"/>
      <c r="CQ78" s="778"/>
      <c r="CR78" s="778"/>
      <c r="CS78" s="778"/>
      <c r="CT78" s="778">
        <v>15710</v>
      </c>
      <c r="CU78" s="778">
        <v>9907</v>
      </c>
      <c r="CV78" s="778"/>
      <c r="CW78" s="758">
        <f>CW79/6</f>
        <v>-20363.673333333321</v>
      </c>
      <c r="CX78" s="897">
        <f>CX109*1.1</f>
        <v>16863</v>
      </c>
      <c r="CY78" s="897">
        <f t="shared" ref="CY78:DI78" si="143">CY109*1.1</f>
        <v>13357.300000000001</v>
      </c>
      <c r="CZ78" s="897">
        <f t="shared" si="143"/>
        <v>18888.100000000002</v>
      </c>
      <c r="DA78" s="897">
        <f t="shared" si="143"/>
        <v>13813.800000000001</v>
      </c>
      <c r="DB78" s="897">
        <f t="shared" si="143"/>
        <v>14784.000000000002</v>
      </c>
      <c r="DC78" s="897">
        <f t="shared" si="143"/>
        <v>10588.6</v>
      </c>
      <c r="DD78" s="897">
        <f t="shared" si="143"/>
        <v>18337</v>
      </c>
      <c r="DE78" s="897">
        <f t="shared" si="143"/>
        <v>20026.600000000002</v>
      </c>
      <c r="DF78" s="897">
        <f>DF109*1.1</f>
        <v>28050.000000000004</v>
      </c>
      <c r="DG78" s="897">
        <f t="shared" si="143"/>
        <v>18451.400000000001</v>
      </c>
      <c r="DH78" s="897">
        <f t="shared" si="143"/>
        <v>17281</v>
      </c>
      <c r="DI78" s="897">
        <f t="shared" si="143"/>
        <v>10897.7</v>
      </c>
      <c r="DJ78" s="844">
        <f t="shared" si="70"/>
        <v>152230.1</v>
      </c>
      <c r="DK78" s="952">
        <f>AVERAGE(CX78:DI78)</f>
        <v>16778.208333333336</v>
      </c>
      <c r="DL78" s="897">
        <f>DL109*1.1</f>
        <v>16863</v>
      </c>
      <c r="DM78" s="897">
        <f t="shared" ref="DM78:DW78" si="144">DM109*1.1</f>
        <v>13357.300000000001</v>
      </c>
      <c r="DN78" s="897">
        <f t="shared" si="144"/>
        <v>18888.100000000002</v>
      </c>
      <c r="DO78" s="897">
        <f t="shared" si="144"/>
        <v>13813.800000000001</v>
      </c>
      <c r="DP78" s="897">
        <f t="shared" si="144"/>
        <v>14784.000000000002</v>
      </c>
      <c r="DQ78" s="897">
        <f t="shared" si="144"/>
        <v>10588.6</v>
      </c>
      <c r="DR78" s="897">
        <f t="shared" si="144"/>
        <v>18337</v>
      </c>
      <c r="DS78" s="897">
        <f t="shared" si="144"/>
        <v>20026.600000000002</v>
      </c>
      <c r="DT78" s="897">
        <f>DT109*1.1</f>
        <v>28050.000000000004</v>
      </c>
      <c r="DU78" s="897">
        <f t="shared" ref="DU78:DY78" si="145">DU109*1.1</f>
        <v>18451.400000000001</v>
      </c>
      <c r="DV78" s="897">
        <f t="shared" si="145"/>
        <v>17281</v>
      </c>
      <c r="DW78" s="897">
        <f t="shared" si="145"/>
        <v>10897.7</v>
      </c>
      <c r="DX78" s="778">
        <f>SUM(DL78:DW78)</f>
        <v>201338.50000000003</v>
      </c>
      <c r="DY78" s="598">
        <f>AVERAGE(DL78:DW78)</f>
        <v>16778.208333333336</v>
      </c>
    </row>
    <row r="79" spans="1:129" ht="18" hidden="1" customHeight="1">
      <c r="A79" s="765"/>
      <c r="B79" s="766" t="s">
        <v>127</v>
      </c>
      <c r="C79" s="767"/>
      <c r="D79" s="768"/>
      <c r="E79" s="769"/>
      <c r="F79" s="769"/>
      <c r="G79" s="769"/>
      <c r="H79" s="769"/>
      <c r="I79" s="769"/>
      <c r="J79" s="769"/>
      <c r="K79" s="769"/>
      <c r="L79" s="769"/>
      <c r="M79" s="769"/>
      <c r="N79" s="769"/>
      <c r="O79" s="769"/>
      <c r="P79" s="770"/>
      <c r="Q79" s="771"/>
      <c r="R79" s="768"/>
      <c r="S79" s="772"/>
      <c r="T79" s="772"/>
      <c r="U79" s="772"/>
      <c r="V79" s="772"/>
      <c r="W79" s="773"/>
      <c r="X79" s="773"/>
      <c r="Y79" s="773"/>
      <c r="Z79" s="773"/>
      <c r="AA79" s="773"/>
      <c r="AB79" s="773"/>
      <c r="AC79" s="773"/>
      <c r="AD79" s="774"/>
      <c r="AE79" s="775"/>
      <c r="AF79" s="776"/>
      <c r="AG79" s="776"/>
      <c r="AH79" s="776"/>
      <c r="AI79" s="776"/>
      <c r="AJ79" s="776"/>
      <c r="AK79" s="776"/>
      <c r="AL79" s="776"/>
      <c r="AM79" s="776"/>
      <c r="AN79" s="776"/>
      <c r="AO79" s="776"/>
      <c r="AP79" s="776"/>
      <c r="AQ79" s="776"/>
      <c r="AR79" s="772"/>
      <c r="AS79" s="775"/>
      <c r="AT79" s="776"/>
      <c r="AU79" s="776"/>
      <c r="AV79" s="776"/>
      <c r="AW79" s="776"/>
      <c r="AX79" s="776"/>
      <c r="AY79" s="776"/>
      <c r="AZ79" s="776"/>
      <c r="BA79" s="776"/>
      <c r="BB79" s="776"/>
      <c r="BC79" s="776"/>
      <c r="BD79" s="776"/>
      <c r="BE79" s="776"/>
      <c r="BF79" s="772"/>
      <c r="BG79" s="775"/>
      <c r="BH79" s="776"/>
      <c r="BI79" s="776"/>
      <c r="BJ79" s="776"/>
      <c r="BK79" s="776"/>
      <c r="BL79" s="776"/>
      <c r="BM79" s="776"/>
      <c r="BN79" s="776"/>
      <c r="BO79" s="776"/>
      <c r="BP79" s="776"/>
      <c r="BQ79" s="776"/>
      <c r="BR79" s="776"/>
      <c r="BS79" s="776"/>
      <c r="BT79" s="776"/>
      <c r="BU79" s="777"/>
      <c r="BV79" s="778"/>
      <c r="BW79" s="778"/>
      <c r="BX79" s="778"/>
      <c r="BY79" s="778"/>
      <c r="BZ79" s="778"/>
      <c r="CA79" s="778"/>
      <c r="CB79" s="778"/>
      <c r="CC79" s="778"/>
      <c r="CD79" s="778"/>
      <c r="CE79" s="778"/>
      <c r="CF79" s="778"/>
      <c r="CG79" s="778"/>
      <c r="CH79" s="776"/>
      <c r="CI79" s="779"/>
      <c r="CJ79" s="778"/>
      <c r="CK79" s="778"/>
      <c r="CL79" s="778"/>
      <c r="CM79" s="778"/>
      <c r="CN79" s="778"/>
      <c r="CO79" s="778"/>
      <c r="CP79" s="778"/>
      <c r="CQ79" s="778"/>
      <c r="CR79" s="778"/>
      <c r="CS79" s="778">
        <v>28812</v>
      </c>
      <c r="CT79" s="778">
        <f>CT100</f>
        <v>35000</v>
      </c>
      <c r="CU79" s="778">
        <f>CU100</f>
        <v>2096</v>
      </c>
      <c r="CV79" s="778"/>
      <c r="CW79" s="869">
        <f>CW80-CW75</f>
        <v>-122182.03999999992</v>
      </c>
      <c r="CX79" s="897">
        <f>CX100</f>
        <v>39610</v>
      </c>
      <c r="CY79" s="897">
        <f t="shared" ref="CY79:DC79" si="146">CY100</f>
        <v>36994</v>
      </c>
      <c r="CZ79" s="897">
        <f t="shared" si="146"/>
        <v>29344</v>
      </c>
      <c r="DA79" s="897">
        <f t="shared" si="146"/>
        <v>33378</v>
      </c>
      <c r="DB79" s="897">
        <f t="shared" si="146"/>
        <v>19489</v>
      </c>
      <c r="DC79" s="897">
        <f t="shared" si="146"/>
        <v>14764</v>
      </c>
      <c r="DD79" s="897">
        <f>DD100</f>
        <v>49685.9</v>
      </c>
      <c r="DE79" s="897">
        <f t="shared" ref="DE79:DJ79" si="147">DE100</f>
        <v>48585.9</v>
      </c>
      <c r="DF79" s="897">
        <f t="shared" si="147"/>
        <v>55922.9</v>
      </c>
      <c r="DG79" s="897">
        <f t="shared" si="147"/>
        <v>28156.7</v>
      </c>
      <c r="DH79" s="897">
        <f t="shared" si="147"/>
        <v>14078.35</v>
      </c>
      <c r="DI79" s="897">
        <f t="shared" si="147"/>
        <v>3300.0000000000005</v>
      </c>
      <c r="DJ79" s="844">
        <f t="shared" si="70"/>
        <v>267360.75</v>
      </c>
      <c r="DK79" s="948"/>
      <c r="DL79" s="897">
        <f>DL100</f>
        <v>39610</v>
      </c>
      <c r="DM79" s="897">
        <f t="shared" ref="DM79:DQ79" si="148">DM100</f>
        <v>36994</v>
      </c>
      <c r="DN79" s="897">
        <f t="shared" si="148"/>
        <v>29344</v>
      </c>
      <c r="DO79" s="897">
        <f t="shared" si="148"/>
        <v>33378</v>
      </c>
      <c r="DP79" s="897">
        <f t="shared" si="148"/>
        <v>19489</v>
      </c>
      <c r="DQ79" s="897">
        <f t="shared" si="148"/>
        <v>14764</v>
      </c>
      <c r="DR79" s="897">
        <f>DR100</f>
        <v>49685.9</v>
      </c>
      <c r="DS79" s="897">
        <f t="shared" ref="DS79:DX79" si="149">DS100</f>
        <v>48585.9</v>
      </c>
      <c r="DT79" s="897">
        <f t="shared" si="149"/>
        <v>55922.9</v>
      </c>
      <c r="DU79" s="897">
        <f t="shared" si="149"/>
        <v>28156.7</v>
      </c>
      <c r="DV79" s="897">
        <f t="shared" si="149"/>
        <v>14078.35</v>
      </c>
      <c r="DW79" s="897">
        <f t="shared" si="149"/>
        <v>3300.0000000000005</v>
      </c>
      <c r="DX79" s="778">
        <f>SUM(DL79:DW79)</f>
        <v>373308.75</v>
      </c>
    </row>
    <row r="80" spans="1:129" s="1004" customFormat="1" ht="14.25" customHeight="1">
      <c r="A80" s="1003"/>
      <c r="B80" s="990" t="s">
        <v>128</v>
      </c>
      <c r="C80" s="991"/>
      <c r="D80" s="992"/>
      <c r="E80" s="993"/>
      <c r="F80" s="993"/>
      <c r="G80" s="993"/>
      <c r="H80" s="993"/>
      <c r="I80" s="993"/>
      <c r="J80" s="993"/>
      <c r="K80" s="993"/>
      <c r="L80" s="993"/>
      <c r="M80" s="993"/>
      <c r="N80" s="993"/>
      <c r="O80" s="993"/>
      <c r="P80" s="994"/>
      <c r="Q80" s="995"/>
      <c r="R80" s="992"/>
      <c r="S80" s="836"/>
      <c r="T80" s="836"/>
      <c r="U80" s="836"/>
      <c r="V80" s="836"/>
      <c r="W80" s="996"/>
      <c r="X80" s="996"/>
      <c r="Y80" s="996"/>
      <c r="Z80" s="996"/>
      <c r="AA80" s="996"/>
      <c r="AB80" s="996"/>
      <c r="AC80" s="996"/>
      <c r="AD80" s="997"/>
      <c r="AE80" s="998"/>
      <c r="AF80" s="999"/>
      <c r="AG80" s="836"/>
      <c r="AH80" s="836"/>
      <c r="AI80" s="836"/>
      <c r="AJ80" s="836"/>
      <c r="AK80" s="836"/>
      <c r="AL80" s="836"/>
      <c r="AM80" s="836"/>
      <c r="AN80" s="836"/>
      <c r="AO80" s="836"/>
      <c r="AP80" s="836"/>
      <c r="AQ80" s="836"/>
      <c r="AR80" s="836"/>
      <c r="AS80" s="998"/>
      <c r="AT80" s="836"/>
      <c r="AU80" s="836"/>
      <c r="AV80" s="836"/>
      <c r="AW80" s="836"/>
      <c r="AX80" s="836"/>
      <c r="AY80" s="836"/>
      <c r="AZ80" s="836"/>
      <c r="BA80" s="836"/>
      <c r="BB80" s="836"/>
      <c r="BC80" s="836"/>
      <c r="BD80" s="836"/>
      <c r="BE80" s="836"/>
      <c r="BF80" s="836"/>
      <c r="BG80" s="998"/>
      <c r="BH80" s="836"/>
      <c r="BI80" s="836"/>
      <c r="BJ80" s="836"/>
      <c r="BK80" s="836"/>
      <c r="BL80" s="836"/>
      <c r="BM80" s="836"/>
      <c r="BN80" s="836"/>
      <c r="BO80" s="836"/>
      <c r="BP80" s="836"/>
      <c r="BQ80" s="836"/>
      <c r="BR80" s="836"/>
      <c r="BS80" s="836"/>
      <c r="BT80" s="836"/>
      <c r="BU80" s="1000"/>
      <c r="BV80" s="836"/>
      <c r="BW80" s="836"/>
      <c r="BX80" s="836"/>
      <c r="BY80" s="836"/>
      <c r="BZ80" s="836"/>
      <c r="CA80" s="836"/>
      <c r="CB80" s="836"/>
      <c r="CC80" s="836"/>
      <c r="CD80" s="836"/>
      <c r="CE80" s="836"/>
      <c r="CF80" s="836"/>
      <c r="CG80" s="836"/>
      <c r="CH80" s="836"/>
      <c r="CI80" s="1001"/>
      <c r="CJ80" s="836"/>
      <c r="CK80" s="836"/>
      <c r="CL80" s="836"/>
      <c r="CM80" s="836"/>
      <c r="CN80" s="836"/>
      <c r="CO80" s="836"/>
      <c r="CP80" s="836"/>
      <c r="CQ80" s="836"/>
      <c r="CR80" s="836"/>
      <c r="CS80" s="836"/>
      <c r="CT80" s="836">
        <f>SUM(CT81:CT83)</f>
        <v>210269</v>
      </c>
      <c r="CU80" s="836">
        <f>SUM(CU81:CU83)</f>
        <v>172780</v>
      </c>
      <c r="CV80" s="836"/>
      <c r="CW80" s="1002">
        <f>SUM(CX80:DC80)</f>
        <v>874789.7</v>
      </c>
      <c r="CX80" s="836">
        <f>SUM(CX81:CX83)</f>
        <v>194767.09999999998</v>
      </c>
      <c r="CY80" s="836">
        <f t="shared" ref="CY80:DE80" si="150">SUM(CY81:CY83)</f>
        <v>161944.6</v>
      </c>
      <c r="CZ80" s="836">
        <f>SUM(CZ81:CZ83)</f>
        <v>53400</v>
      </c>
      <c r="DA80" s="836">
        <f>SUM(DA81:DA83)</f>
        <v>85000</v>
      </c>
      <c r="DB80" s="836">
        <f t="shared" si="150"/>
        <v>200508</v>
      </c>
      <c r="DC80" s="836">
        <f t="shared" si="150"/>
        <v>179170</v>
      </c>
      <c r="DD80" s="836">
        <f t="shared" si="150"/>
        <v>235200</v>
      </c>
      <c r="DE80" s="836">
        <f t="shared" si="150"/>
        <v>214130</v>
      </c>
      <c r="DF80" s="836">
        <f>SUM(DF81:DF83)</f>
        <v>220892</v>
      </c>
      <c r="DG80" s="836">
        <f t="shared" ref="DG80:DI80" si="151">SUM(DG81:DG83)</f>
        <v>220892</v>
      </c>
      <c r="DH80" s="836">
        <f t="shared" si="151"/>
        <v>201684</v>
      </c>
      <c r="DI80" s="836">
        <f t="shared" si="151"/>
        <v>153664</v>
      </c>
      <c r="DJ80" s="836">
        <f t="shared" si="70"/>
        <v>1711140</v>
      </c>
      <c r="DL80" s="831">
        <f>SUM(DL81:DL83)</f>
        <v>204820</v>
      </c>
      <c r="DM80" s="831">
        <f t="shared" ref="DM80:DQ80" si="152">SUM(DM81:DM83)</f>
        <v>176890</v>
      </c>
      <c r="DN80" s="831">
        <f>SUM(DN81:DN83)</f>
        <v>215600</v>
      </c>
      <c r="DO80" s="831">
        <f>SUM(DO81:DO83)</f>
        <v>215600</v>
      </c>
      <c r="DP80" s="831">
        <f t="shared" ref="DP80:DW80" si="153">SUM(DP81:DP83)</f>
        <v>192080</v>
      </c>
      <c r="DQ80" s="831">
        <f t="shared" si="153"/>
        <v>195510</v>
      </c>
      <c r="DR80" s="831">
        <f t="shared" si="153"/>
        <v>220892</v>
      </c>
      <c r="DS80" s="831">
        <f t="shared" si="153"/>
        <v>195510</v>
      </c>
      <c r="DT80" s="831">
        <f t="shared" si="153"/>
        <v>220892</v>
      </c>
      <c r="DU80" s="831">
        <f t="shared" si="153"/>
        <v>220892</v>
      </c>
      <c r="DV80" s="831">
        <f t="shared" si="153"/>
        <v>201684</v>
      </c>
      <c r="DW80" s="831">
        <f t="shared" si="153"/>
        <v>153664</v>
      </c>
      <c r="DX80" s="999">
        <f>SUM(DL80:DW80)</f>
        <v>2414034</v>
      </c>
    </row>
    <row r="81" spans="1:129" ht="15.75" hidden="1" customHeight="1" outlineLevel="1">
      <c r="A81" s="719">
        <v>7</v>
      </c>
      <c r="B81" s="936" t="s">
        <v>129</v>
      </c>
      <c r="C81" s="781"/>
      <c r="D81" s="793">
        <v>98048</v>
      </c>
      <c r="E81" s="794">
        <v>128688</v>
      </c>
      <c r="F81" s="794">
        <v>124704</v>
      </c>
      <c r="G81" s="794">
        <v>157500</v>
      </c>
      <c r="H81" s="794">
        <v>182600</v>
      </c>
      <c r="I81" s="794">
        <v>157700</v>
      </c>
      <c r="J81" s="794">
        <v>181700</v>
      </c>
      <c r="K81" s="794">
        <v>165900</v>
      </c>
      <c r="L81" s="794">
        <v>174300</v>
      </c>
      <c r="M81" s="794">
        <v>215800</v>
      </c>
      <c r="N81" s="794">
        <v>180000</v>
      </c>
      <c r="O81" s="794">
        <v>112500</v>
      </c>
      <c r="P81" s="795">
        <f t="shared" ref="P81:P84" si="154">SUM(D81:O81)</f>
        <v>1879440</v>
      </c>
      <c r="Q81" s="796"/>
      <c r="R81" s="793">
        <v>158400</v>
      </c>
      <c r="S81" s="797">
        <v>161000</v>
      </c>
      <c r="T81" s="797">
        <v>117800</v>
      </c>
      <c r="U81" s="797">
        <v>2000</v>
      </c>
      <c r="V81" s="797">
        <v>53800</v>
      </c>
      <c r="W81" s="797">
        <v>190600</v>
      </c>
      <c r="X81" s="797">
        <v>187900</v>
      </c>
      <c r="Y81" s="797">
        <v>196800</v>
      </c>
      <c r="Z81" s="797">
        <v>192300</v>
      </c>
      <c r="AA81" s="797">
        <v>182300</v>
      </c>
      <c r="AB81" s="797">
        <v>175000</v>
      </c>
      <c r="AC81" s="797">
        <v>134100</v>
      </c>
      <c r="AD81" s="798">
        <f>SUM(R81:AC81)</f>
        <v>1752000</v>
      </c>
      <c r="AE81" s="799"/>
      <c r="AF81" s="800">
        <f t="shared" ref="AF81:AL81" si="155">SUM(AF84,AF86)</f>
        <v>161400</v>
      </c>
      <c r="AG81" s="800">
        <f t="shared" si="155"/>
        <v>166000</v>
      </c>
      <c r="AH81" s="800">
        <f t="shared" si="155"/>
        <v>150471</v>
      </c>
      <c r="AI81" s="800">
        <f t="shared" si="155"/>
        <v>149040</v>
      </c>
      <c r="AJ81" s="800">
        <f t="shared" si="155"/>
        <v>196360</v>
      </c>
      <c r="AK81" s="800">
        <f t="shared" si="155"/>
        <v>163300</v>
      </c>
      <c r="AL81" s="800">
        <f t="shared" si="155"/>
        <v>190000</v>
      </c>
      <c r="AM81" s="800">
        <f t="shared" ref="AM81:AQ81" si="156">SUM(AM84,AM86,AM87)</f>
        <v>167000</v>
      </c>
      <c r="AN81" s="800">
        <f t="shared" si="156"/>
        <v>170500</v>
      </c>
      <c r="AO81" s="800">
        <f t="shared" si="156"/>
        <v>140000</v>
      </c>
      <c r="AP81" s="800">
        <f t="shared" si="156"/>
        <v>130000</v>
      </c>
      <c r="AQ81" s="800">
        <f t="shared" si="156"/>
        <v>100000</v>
      </c>
      <c r="AR81" s="786">
        <f t="shared" ref="AR81:AR84" si="157">SUM(AF81:AQ81)</f>
        <v>1884071</v>
      </c>
      <c r="AS81" s="799"/>
      <c r="AT81" s="800">
        <f t="shared" ref="AT81:BC81" si="158">SUM(AT84,AT86,AT87)</f>
        <v>133000</v>
      </c>
      <c r="AU81" s="800">
        <f t="shared" si="158"/>
        <v>125180</v>
      </c>
      <c r="AV81" s="800">
        <f t="shared" si="158"/>
        <v>117228</v>
      </c>
      <c r="AW81" s="800">
        <f t="shared" si="158"/>
        <v>127500</v>
      </c>
      <c r="AX81" s="800">
        <f t="shared" si="158"/>
        <v>140000</v>
      </c>
      <c r="AY81" s="800">
        <f t="shared" si="158"/>
        <v>158342.99999899999</v>
      </c>
      <c r="AZ81" s="800">
        <f t="shared" si="158"/>
        <v>152409</v>
      </c>
      <c r="BA81" s="800">
        <f t="shared" si="158"/>
        <v>173520</v>
      </c>
      <c r="BB81" s="800">
        <f t="shared" si="158"/>
        <v>165000</v>
      </c>
      <c r="BC81" s="800">
        <f t="shared" si="158"/>
        <v>157500</v>
      </c>
      <c r="BD81" s="800">
        <v>129431</v>
      </c>
      <c r="BE81" s="800">
        <v>61700</v>
      </c>
      <c r="BF81" s="797">
        <f t="shared" ref="BF81:BF84" si="159">SUM(AT81:BE81)</f>
        <v>1640810.999999</v>
      </c>
      <c r="BG81" s="799">
        <f>BF81-AR81</f>
        <v>-243260.00000100001</v>
      </c>
      <c r="BH81" s="790">
        <f>SUM(BH84,BH86,BH87)</f>
        <v>139760</v>
      </c>
      <c r="BI81" s="790">
        <f t="shared" ref="BI81:BP81" si="160">SUM(BI84,BI86,BI87)</f>
        <v>116580</v>
      </c>
      <c r="BJ81" s="790">
        <f t="shared" si="160"/>
        <v>148340</v>
      </c>
      <c r="BK81" s="790">
        <f t="shared" si="160"/>
        <v>112360</v>
      </c>
      <c r="BL81" s="790">
        <f t="shared" si="160"/>
        <v>108660</v>
      </c>
      <c r="BM81" s="790">
        <f t="shared" si="160"/>
        <v>153416</v>
      </c>
      <c r="BN81" s="790">
        <f t="shared" si="160"/>
        <v>137676</v>
      </c>
      <c r="BO81" s="790">
        <f t="shared" si="160"/>
        <v>160654</v>
      </c>
      <c r="BP81" s="790">
        <f t="shared" si="160"/>
        <v>157000</v>
      </c>
      <c r="BQ81" s="790">
        <v>156725</v>
      </c>
      <c r="BR81" s="790">
        <v>182069</v>
      </c>
      <c r="BS81" s="790">
        <f>BS84+BS87</f>
        <v>156420</v>
      </c>
      <c r="BT81" s="790">
        <f t="shared" ref="BT81:BT84" si="161">SUM(BH81:BS81)</f>
        <v>1729660</v>
      </c>
      <c r="BU81" s="791"/>
      <c r="BV81" s="801">
        <f>BV7*BV85</f>
        <v>133000</v>
      </c>
      <c r="BW81" s="801">
        <f>BW7*BW85</f>
        <v>133000</v>
      </c>
      <c r="BX81" s="801">
        <f>BX7*BX85</f>
        <v>147000</v>
      </c>
      <c r="BY81" s="801">
        <f>BY7*BY85</f>
        <v>172800</v>
      </c>
      <c r="BZ81" s="801">
        <f>BZ7*BZ85</f>
        <v>165600</v>
      </c>
      <c r="CA81" s="801">
        <f>CA7*CA85</f>
        <v>158400</v>
      </c>
      <c r="CB81" s="801">
        <f>CB7*CB85</f>
        <v>180000</v>
      </c>
      <c r="CC81" s="801">
        <f>CC7*CC85</f>
        <v>172800</v>
      </c>
      <c r="CD81" s="801">
        <f>CD7*CD85</f>
        <v>172800</v>
      </c>
      <c r="CE81" s="801">
        <f>CE7*CE85</f>
        <v>172800</v>
      </c>
      <c r="CF81" s="801">
        <f>CF7*CF85</f>
        <v>167200</v>
      </c>
      <c r="CG81" s="801">
        <f>CG7*CG85</f>
        <v>98800</v>
      </c>
      <c r="CH81" s="801">
        <f t="shared" ref="CH81:CH86" si="162">SUM(BV81:CG81)</f>
        <v>1874200</v>
      </c>
      <c r="CI81" s="801"/>
      <c r="CJ81" s="801">
        <f>CJ7*CJ85</f>
        <v>165000</v>
      </c>
      <c r="CK81" s="801">
        <f>CK7*CK85</f>
        <v>188600</v>
      </c>
      <c r="CL81" s="801">
        <f>CL7*CL85</f>
        <v>171000</v>
      </c>
      <c r="CM81" s="801">
        <f>CM7*CM85</f>
        <v>200000</v>
      </c>
      <c r="CN81" s="801">
        <f>CN7*CN85</f>
        <v>178290</v>
      </c>
      <c r="CO81" s="801">
        <f>CO7*CO85</f>
        <v>198000</v>
      </c>
      <c r="CP81" s="801">
        <f>CP7*CP85</f>
        <v>245000</v>
      </c>
      <c r="CQ81" s="801">
        <f>CQ7*CQ85</f>
        <v>207900</v>
      </c>
      <c r="CR81" s="801">
        <f>CR7*CR85</f>
        <v>217800</v>
      </c>
      <c r="CS81" s="801">
        <v>205579</v>
      </c>
      <c r="CT81" s="801">
        <f>(CT7*CT85)-CT83</f>
        <v>164340</v>
      </c>
      <c r="CU81" s="801">
        <f>(CU7*CU85)-CU83</f>
        <v>118660</v>
      </c>
      <c r="CV81" s="790">
        <f>SUM(CJ81:CU81)</f>
        <v>2260169</v>
      </c>
      <c r="CW81" s="758"/>
      <c r="CX81" s="899">
        <f>(CX7*CX85)*0.95-CX83-CX82</f>
        <v>131887.09999999998</v>
      </c>
      <c r="CY81" s="899">
        <f>(CY7*CY85)*0.95-CY83-CY82</f>
        <v>117864.6</v>
      </c>
      <c r="CZ81" s="899">
        <f>(CZ7*CZ85)*1-CZ83-CZ82</f>
        <v>1380</v>
      </c>
      <c r="DA81" s="899">
        <f>(DA7*DA85)*1-DA83-DA82</f>
        <v>45840</v>
      </c>
      <c r="DB81" s="899">
        <f>(DB7*DB85)*0.98-DB83-DB82</f>
        <v>171508</v>
      </c>
      <c r="DC81" s="899">
        <f>(DC7*DC85)*0.95-DC83-DC82</f>
        <v>115170</v>
      </c>
      <c r="DD81" s="899">
        <f>(DD7*DD85)*0.98-DD83-DD82</f>
        <v>175200</v>
      </c>
      <c r="DE81" s="899">
        <f>(DE7*DE85)*0.95-DE83-DE82</f>
        <v>156130</v>
      </c>
      <c r="DF81" s="899">
        <f>(DF7*DF85)*0.98-DF83-DF82</f>
        <v>161892</v>
      </c>
      <c r="DG81" s="899">
        <f>(DG7*DG85)*0.98-DG83-DG82</f>
        <v>186892</v>
      </c>
      <c r="DH81" s="899">
        <f>(DH7*DH85)*0.98-DH83-DH82</f>
        <v>172684</v>
      </c>
      <c r="DI81" s="899">
        <f>(DI7*DI85)*0.98-DI83-DI82</f>
        <v>93664</v>
      </c>
      <c r="DJ81" s="844">
        <f>SUM(CX81:DI81)</f>
        <v>1530111.7</v>
      </c>
      <c r="DK81" s="952">
        <f>AVERAGE(CX81:DI81)</f>
        <v>127509.30833333333</v>
      </c>
      <c r="DL81" s="899">
        <f>(DL7*DL85)*0.95-DL83-DL82</f>
        <v>141940</v>
      </c>
      <c r="DM81" s="899">
        <f>(DM7*DM85)*0.95-DM83-DM82</f>
        <v>132810</v>
      </c>
      <c r="DN81" s="899">
        <f>(DN7*DN85)*1-DN83-DN82</f>
        <v>163580</v>
      </c>
      <c r="DO81" s="899">
        <f>(DO7*DO85)*1-DO83-DO82</f>
        <v>176440</v>
      </c>
      <c r="DP81" s="899">
        <f>(DP7*DP85)*0.98-DP83-DP82</f>
        <v>163080</v>
      </c>
      <c r="DQ81" s="899">
        <f>(DQ7*DQ85)*0.95-DQ83-DQ82</f>
        <v>131510</v>
      </c>
      <c r="DR81" s="899">
        <f>(DR7*DR85)*0.98-DR83-DR82</f>
        <v>160892</v>
      </c>
      <c r="DS81" s="899">
        <f>(DS7*DS85)*0.95-DS83-DS82</f>
        <v>137510</v>
      </c>
      <c r="DT81" s="899">
        <f>(DT7*DT85)*0.98-DT83-DT82</f>
        <v>161892</v>
      </c>
      <c r="DU81" s="899">
        <f>(DU7*DU85)*0.98-DU83-DU82</f>
        <v>186892</v>
      </c>
      <c r="DV81" s="899">
        <f>(DV7*DV85)*0.98-DV83-DV82</f>
        <v>172684</v>
      </c>
      <c r="DW81" s="899">
        <f>(DW7*DW85)*0.98-DW83-DW82</f>
        <v>93664</v>
      </c>
      <c r="DX81" s="801">
        <f>SUM(DL81:DW81)</f>
        <v>1822894</v>
      </c>
      <c r="DY81" s="598">
        <f>AVERAGE(DL81:DW81)</f>
        <v>151907.83333333334</v>
      </c>
    </row>
    <row r="82" spans="1:129" ht="15.75" hidden="1" customHeight="1" outlineLevel="1">
      <c r="A82" s="719"/>
      <c r="B82" s="936" t="s">
        <v>130</v>
      </c>
      <c r="C82" s="781"/>
      <c r="D82" s="793"/>
      <c r="E82" s="794"/>
      <c r="F82" s="794"/>
      <c r="G82" s="794"/>
      <c r="H82" s="794"/>
      <c r="I82" s="794"/>
      <c r="J82" s="794"/>
      <c r="K82" s="794"/>
      <c r="L82" s="794"/>
      <c r="M82" s="794"/>
      <c r="N82" s="794"/>
      <c r="O82" s="794"/>
      <c r="P82" s="795"/>
      <c r="Q82" s="796"/>
      <c r="R82" s="793"/>
      <c r="S82" s="797"/>
      <c r="T82" s="797"/>
      <c r="U82" s="797"/>
      <c r="V82" s="797"/>
      <c r="W82" s="797"/>
      <c r="X82" s="797"/>
      <c r="Y82" s="797"/>
      <c r="Z82" s="797"/>
      <c r="AA82" s="797"/>
      <c r="AB82" s="797"/>
      <c r="AC82" s="797"/>
      <c r="AD82" s="798"/>
      <c r="AE82" s="799"/>
      <c r="AF82" s="800"/>
      <c r="AG82" s="800"/>
      <c r="AH82" s="800"/>
      <c r="AI82" s="800"/>
      <c r="AJ82" s="800"/>
      <c r="AK82" s="800"/>
      <c r="AL82" s="800"/>
      <c r="AM82" s="800"/>
      <c r="AN82" s="800"/>
      <c r="AO82" s="800"/>
      <c r="AP82" s="800"/>
      <c r="AQ82" s="800"/>
      <c r="AR82" s="786"/>
      <c r="AS82" s="799"/>
      <c r="AT82" s="800"/>
      <c r="AU82" s="800"/>
      <c r="AV82" s="800"/>
      <c r="AW82" s="800"/>
      <c r="AX82" s="800"/>
      <c r="AY82" s="800"/>
      <c r="AZ82" s="800"/>
      <c r="BA82" s="800"/>
      <c r="BB82" s="800"/>
      <c r="BC82" s="800"/>
      <c r="BD82" s="800"/>
      <c r="BE82" s="800"/>
      <c r="BF82" s="797"/>
      <c r="BG82" s="799"/>
      <c r="BH82" s="790"/>
      <c r="BI82" s="790"/>
      <c r="BJ82" s="790"/>
      <c r="BK82" s="790"/>
      <c r="BL82" s="790"/>
      <c r="BM82" s="790"/>
      <c r="BN82" s="790"/>
      <c r="BO82" s="790"/>
      <c r="BP82" s="790"/>
      <c r="BQ82" s="790"/>
      <c r="BR82" s="790"/>
      <c r="BS82" s="790"/>
      <c r="BT82" s="790"/>
      <c r="BU82" s="791"/>
      <c r="BV82" s="801"/>
      <c r="BW82" s="801"/>
      <c r="BX82" s="801"/>
      <c r="BY82" s="801"/>
      <c r="BZ82" s="801"/>
      <c r="CA82" s="801"/>
      <c r="CB82" s="801"/>
      <c r="CC82" s="801"/>
      <c r="CD82" s="801"/>
      <c r="CE82" s="801"/>
      <c r="CF82" s="801"/>
      <c r="CG82" s="801"/>
      <c r="CH82" s="801"/>
      <c r="CI82" s="802"/>
      <c r="CJ82" s="801"/>
      <c r="CK82" s="801"/>
      <c r="CL82" s="801"/>
      <c r="CM82" s="801"/>
      <c r="CN82" s="801"/>
      <c r="CO82" s="801"/>
      <c r="CP82" s="801"/>
      <c r="CQ82" s="801"/>
      <c r="CR82" s="801"/>
      <c r="CS82" s="801"/>
      <c r="CT82" s="801">
        <v>25469</v>
      </c>
      <c r="CU82" s="801">
        <v>14680</v>
      </c>
      <c r="CV82" s="790"/>
      <c r="CW82" s="758"/>
      <c r="CX82" s="900">
        <v>9000</v>
      </c>
      <c r="CY82" s="900">
        <v>14000</v>
      </c>
      <c r="CZ82" s="900">
        <v>18000</v>
      </c>
      <c r="DA82" s="900">
        <v>18000</v>
      </c>
      <c r="DB82" s="900">
        <v>19000</v>
      </c>
      <c r="DC82" s="900">
        <v>14000</v>
      </c>
      <c r="DD82" s="900">
        <v>20000</v>
      </c>
      <c r="DE82" s="900">
        <v>18000</v>
      </c>
      <c r="DF82" s="900">
        <v>24000</v>
      </c>
      <c r="DG82" s="900">
        <v>14000</v>
      </c>
      <c r="DH82" s="900">
        <v>19000</v>
      </c>
      <c r="DI82" s="900">
        <v>10000</v>
      </c>
      <c r="DJ82" s="844">
        <f t="shared" ref="DJ82:DJ83" si="163">SUM(CX82:DI82)</f>
        <v>197000</v>
      </c>
      <c r="DK82" s="952">
        <f>AVERAGE(CX82:DI82)</f>
        <v>16416.666666666668</v>
      </c>
      <c r="DL82" s="900">
        <v>9000</v>
      </c>
      <c r="DM82" s="900">
        <v>14000</v>
      </c>
      <c r="DN82" s="900">
        <v>18000</v>
      </c>
      <c r="DO82" s="900">
        <v>18000</v>
      </c>
      <c r="DP82" s="900">
        <v>19000</v>
      </c>
      <c r="DQ82" s="900">
        <v>14000</v>
      </c>
      <c r="DR82" s="900">
        <v>20000</v>
      </c>
      <c r="DS82" s="900">
        <v>18000</v>
      </c>
      <c r="DT82" s="900">
        <v>24000</v>
      </c>
      <c r="DU82" s="900">
        <v>14000</v>
      </c>
      <c r="DV82" s="900">
        <v>19000</v>
      </c>
      <c r="DW82" s="900">
        <v>10000</v>
      </c>
      <c r="DX82" s="801">
        <f t="shared" ref="DX82:DX83" si="164">SUM(DL82:DW82)</f>
        <v>197000</v>
      </c>
      <c r="DY82" s="598">
        <f>AVERAGE(DL82:DW82)</f>
        <v>16416.666666666668</v>
      </c>
    </row>
    <row r="83" spans="1:129" ht="15.75" hidden="1" customHeight="1" outlineLevel="1">
      <c r="A83" s="719"/>
      <c r="B83" s="936" t="s">
        <v>131</v>
      </c>
      <c r="C83" s="781"/>
      <c r="D83" s="793"/>
      <c r="E83" s="794"/>
      <c r="F83" s="794"/>
      <c r="G83" s="794"/>
      <c r="H83" s="794"/>
      <c r="I83" s="794"/>
      <c r="J83" s="794"/>
      <c r="K83" s="794"/>
      <c r="L83" s="794"/>
      <c r="M83" s="794"/>
      <c r="N83" s="794"/>
      <c r="O83" s="794"/>
      <c r="P83" s="795"/>
      <c r="Q83" s="796"/>
      <c r="R83" s="793"/>
      <c r="S83" s="797"/>
      <c r="T83" s="797"/>
      <c r="U83" s="797"/>
      <c r="V83" s="797"/>
      <c r="W83" s="797"/>
      <c r="X83" s="797"/>
      <c r="Y83" s="797"/>
      <c r="Z83" s="797"/>
      <c r="AA83" s="797"/>
      <c r="AB83" s="797"/>
      <c r="AC83" s="797"/>
      <c r="AD83" s="798"/>
      <c r="AE83" s="799"/>
      <c r="AF83" s="800"/>
      <c r="AG83" s="800"/>
      <c r="AH83" s="800"/>
      <c r="AI83" s="800"/>
      <c r="AJ83" s="800"/>
      <c r="AK83" s="800"/>
      <c r="AL83" s="800"/>
      <c r="AM83" s="800"/>
      <c r="AN83" s="800"/>
      <c r="AO83" s="800"/>
      <c r="AP83" s="800"/>
      <c r="AQ83" s="800"/>
      <c r="AR83" s="786"/>
      <c r="AS83" s="799"/>
      <c r="AT83" s="800"/>
      <c r="AU83" s="800"/>
      <c r="AV83" s="800"/>
      <c r="AW83" s="800"/>
      <c r="AX83" s="800"/>
      <c r="AY83" s="800"/>
      <c r="AZ83" s="800"/>
      <c r="BA83" s="800"/>
      <c r="BB83" s="800"/>
      <c r="BC83" s="800"/>
      <c r="BD83" s="800"/>
      <c r="BE83" s="800"/>
      <c r="BF83" s="797"/>
      <c r="BG83" s="799"/>
      <c r="BH83" s="790"/>
      <c r="BI83" s="790"/>
      <c r="BJ83" s="790"/>
      <c r="BK83" s="790"/>
      <c r="BL83" s="790"/>
      <c r="BM83" s="790"/>
      <c r="BN83" s="790"/>
      <c r="BO83" s="790"/>
      <c r="BP83" s="790"/>
      <c r="BQ83" s="790"/>
      <c r="BR83" s="790"/>
      <c r="BS83" s="790"/>
      <c r="BT83" s="790"/>
      <c r="BU83" s="791"/>
      <c r="BV83" s="801"/>
      <c r="BW83" s="801"/>
      <c r="BX83" s="801"/>
      <c r="BY83" s="801"/>
      <c r="BZ83" s="801"/>
      <c r="CA83" s="801"/>
      <c r="CB83" s="801"/>
      <c r="CC83" s="801"/>
      <c r="CD83" s="801"/>
      <c r="CE83" s="801"/>
      <c r="CF83" s="801"/>
      <c r="CG83" s="801"/>
      <c r="CH83" s="801"/>
      <c r="CI83" s="802"/>
      <c r="CJ83" s="801"/>
      <c r="CK83" s="801"/>
      <c r="CL83" s="801"/>
      <c r="CM83" s="801"/>
      <c r="CN83" s="801"/>
      <c r="CO83" s="801"/>
      <c r="CP83" s="801"/>
      <c r="CQ83" s="801"/>
      <c r="CR83" s="801"/>
      <c r="CS83" s="801"/>
      <c r="CT83" s="801">
        <f>CT99</f>
        <v>20460</v>
      </c>
      <c r="CU83" s="801">
        <f>CU99</f>
        <v>39440</v>
      </c>
      <c r="CV83" s="790"/>
      <c r="CW83" s="758"/>
      <c r="CX83" s="900">
        <f>CX99</f>
        <v>53880</v>
      </c>
      <c r="CY83" s="900">
        <f t="shared" ref="CY83:DI83" si="165">CY99</f>
        <v>30080</v>
      </c>
      <c r="CZ83" s="900">
        <f t="shared" si="165"/>
        <v>34020</v>
      </c>
      <c r="DA83" s="900">
        <f t="shared" si="165"/>
        <v>21160</v>
      </c>
      <c r="DB83" s="900">
        <f t="shared" si="165"/>
        <v>10000</v>
      </c>
      <c r="DC83" s="900">
        <f t="shared" si="165"/>
        <v>50000</v>
      </c>
      <c r="DD83" s="900">
        <f t="shared" si="165"/>
        <v>40000</v>
      </c>
      <c r="DE83" s="900">
        <f t="shared" si="165"/>
        <v>40000</v>
      </c>
      <c r="DF83" s="900">
        <f>DF99</f>
        <v>35000</v>
      </c>
      <c r="DG83" s="900">
        <f t="shared" si="165"/>
        <v>20000</v>
      </c>
      <c r="DH83" s="900">
        <f t="shared" si="165"/>
        <v>10000</v>
      </c>
      <c r="DI83" s="900">
        <f t="shared" si="165"/>
        <v>50000</v>
      </c>
      <c r="DJ83" s="844">
        <f t="shared" si="163"/>
        <v>394140</v>
      </c>
      <c r="DK83" s="948"/>
      <c r="DL83" s="900">
        <f>DL99</f>
        <v>53880</v>
      </c>
      <c r="DM83" s="900">
        <f t="shared" ref="DM83:DW83" si="166">DM99</f>
        <v>30080</v>
      </c>
      <c r="DN83" s="900">
        <f t="shared" si="166"/>
        <v>34020</v>
      </c>
      <c r="DO83" s="900">
        <f t="shared" si="166"/>
        <v>21160</v>
      </c>
      <c r="DP83" s="900">
        <f t="shared" si="166"/>
        <v>10000</v>
      </c>
      <c r="DQ83" s="900">
        <f t="shared" si="166"/>
        <v>50000</v>
      </c>
      <c r="DR83" s="900">
        <f t="shared" si="166"/>
        <v>40000</v>
      </c>
      <c r="DS83" s="900">
        <f t="shared" si="166"/>
        <v>40000</v>
      </c>
      <c r="DT83" s="900">
        <f t="shared" si="166"/>
        <v>35000</v>
      </c>
      <c r="DU83" s="900">
        <f t="shared" si="166"/>
        <v>20000</v>
      </c>
      <c r="DV83" s="900">
        <f t="shared" si="166"/>
        <v>10000</v>
      </c>
      <c r="DW83" s="900">
        <f t="shared" si="166"/>
        <v>50000</v>
      </c>
      <c r="DX83" s="801">
        <f t="shared" si="164"/>
        <v>394140</v>
      </c>
    </row>
    <row r="84" spans="1:129" ht="18.75" outlineLevel="1">
      <c r="A84" s="94"/>
      <c r="B84" s="921" t="s">
        <v>91</v>
      </c>
      <c r="C84" s="934"/>
      <c r="D84" s="313">
        <v>98048</v>
      </c>
      <c r="E84" s="89">
        <v>128688</v>
      </c>
      <c r="F84" s="89">
        <v>124704</v>
      </c>
      <c r="G84" s="89">
        <v>157500</v>
      </c>
      <c r="H84" s="89">
        <v>182600</v>
      </c>
      <c r="I84" s="89">
        <v>157700</v>
      </c>
      <c r="J84" s="89">
        <v>181700</v>
      </c>
      <c r="K84" s="89">
        <v>165900</v>
      </c>
      <c r="L84" s="89">
        <v>174300</v>
      </c>
      <c r="M84" s="89">
        <v>215800</v>
      </c>
      <c r="N84" s="89">
        <v>180000</v>
      </c>
      <c r="O84" s="89">
        <v>112500</v>
      </c>
      <c r="P84" s="314">
        <f t="shared" si="154"/>
        <v>1879440</v>
      </c>
      <c r="Q84" s="90"/>
      <c r="R84" s="313">
        <v>158400</v>
      </c>
      <c r="S84" s="91">
        <v>146000</v>
      </c>
      <c r="T84" s="91">
        <v>102200</v>
      </c>
      <c r="U84" s="91">
        <v>0</v>
      </c>
      <c r="V84" s="91">
        <v>43800</v>
      </c>
      <c r="W84" s="91">
        <v>160600</v>
      </c>
      <c r="X84" s="91">
        <v>167900</v>
      </c>
      <c r="Y84" s="91">
        <v>153300</v>
      </c>
      <c r="Z84" s="91">
        <v>153300</v>
      </c>
      <c r="AA84" s="91">
        <v>153300</v>
      </c>
      <c r="AB84" s="91">
        <v>146000</v>
      </c>
      <c r="AC84" s="91">
        <v>124100</v>
      </c>
      <c r="AD84" s="315"/>
      <c r="AE84" s="23"/>
      <c r="AF84" s="316">
        <v>131400</v>
      </c>
      <c r="AG84" s="91">
        <v>146000</v>
      </c>
      <c r="AH84" s="91">
        <v>125511</v>
      </c>
      <c r="AI84" s="91">
        <v>135000</v>
      </c>
      <c r="AJ84" s="91">
        <v>177320</v>
      </c>
      <c r="AK84" s="91">
        <v>151300</v>
      </c>
      <c r="AL84" s="91">
        <v>176000</v>
      </c>
      <c r="AM84" s="91">
        <f>AM85*AM7</f>
        <v>154000</v>
      </c>
      <c r="AN84" s="91">
        <f>AN85*AN7</f>
        <v>157500</v>
      </c>
      <c r="AO84" s="91">
        <f>AO85*AO7</f>
        <v>140000</v>
      </c>
      <c r="AP84" s="91">
        <f>AP85*AP7</f>
        <v>130000</v>
      </c>
      <c r="AQ84" s="91">
        <f>AQ85*AQ7+16000</f>
        <v>100000</v>
      </c>
      <c r="AR84" s="92">
        <f t="shared" si="157"/>
        <v>1724031</v>
      </c>
      <c r="AS84" s="23"/>
      <c r="AT84" s="91">
        <f>AT85*AT7</f>
        <v>133000</v>
      </c>
      <c r="AU84" s="91">
        <f>125180</f>
        <v>125180</v>
      </c>
      <c r="AV84" s="91">
        <f>AV85*AV7+7428</f>
        <v>117228</v>
      </c>
      <c r="AW84" s="91">
        <f>AW85*AW7</f>
        <v>123500</v>
      </c>
      <c r="AX84" s="91">
        <f>AX85*AX7</f>
        <v>132000</v>
      </c>
      <c r="AY84" s="91">
        <f>AY85*AY7</f>
        <v>153342.99999899999</v>
      </c>
      <c r="AZ84" s="91">
        <v>142409</v>
      </c>
      <c r="BA84" s="91">
        <v>163520</v>
      </c>
      <c r="BB84" s="91">
        <f>BB85*BB7</f>
        <v>165000</v>
      </c>
      <c r="BC84" s="91">
        <f>BC85*BC7</f>
        <v>157500</v>
      </c>
      <c r="BD84" s="316">
        <v>129431</v>
      </c>
      <c r="BE84" s="316">
        <v>61700</v>
      </c>
      <c r="BF84" s="91">
        <f t="shared" si="159"/>
        <v>1603810.999999</v>
      </c>
      <c r="BG84" s="27">
        <f>BF84+BF87-AR84-AR87</f>
        <v>-113040.00000100001</v>
      </c>
      <c r="BH84" s="91">
        <v>136760</v>
      </c>
      <c r="BI84" s="91">
        <v>116580</v>
      </c>
      <c r="BJ84" s="91">
        <v>148340</v>
      </c>
      <c r="BK84" s="91">
        <v>112360</v>
      </c>
      <c r="BL84" s="91">
        <v>108660</v>
      </c>
      <c r="BM84" s="91">
        <v>153416</v>
      </c>
      <c r="BN84" s="91">
        <v>137676</v>
      </c>
      <c r="BO84" s="91">
        <v>150654</v>
      </c>
      <c r="BP84" s="91">
        <f>7100*BP7</f>
        <v>142000</v>
      </c>
      <c r="BQ84" s="91">
        <f t="shared" ref="BQ84:BR84" si="167">BQ81-BQ87</f>
        <v>136725</v>
      </c>
      <c r="BR84" s="91">
        <f t="shared" si="167"/>
        <v>167069</v>
      </c>
      <c r="BS84" s="91">
        <v>124020</v>
      </c>
      <c r="BT84" s="91">
        <f t="shared" si="161"/>
        <v>1634260</v>
      </c>
      <c r="BU84" s="28"/>
      <c r="BV84" s="397">
        <f>BV85*BV86-24551</f>
        <v>108449</v>
      </c>
      <c r="BW84" s="397">
        <f>BW85*BW86</f>
        <v>133000</v>
      </c>
      <c r="BX84" s="397">
        <f t="shared" ref="BX84:CG84" si="168">BX85*BX86</f>
        <v>147000</v>
      </c>
      <c r="BY84" s="397">
        <f>BY85*BY86</f>
        <v>172800</v>
      </c>
      <c r="BZ84" s="397">
        <f>BZ85*BZ86</f>
        <v>165600</v>
      </c>
      <c r="CA84" s="397">
        <f>CA85*CA86</f>
        <v>158400</v>
      </c>
      <c r="CB84" s="397">
        <f>CB85*CB86</f>
        <v>180000</v>
      </c>
      <c r="CC84" s="397">
        <f t="shared" si="168"/>
        <v>172800</v>
      </c>
      <c r="CD84" s="397">
        <f t="shared" si="168"/>
        <v>172800</v>
      </c>
      <c r="CE84" s="397">
        <f t="shared" si="168"/>
        <v>172800</v>
      </c>
      <c r="CF84" s="397">
        <f t="shared" si="168"/>
        <v>167200</v>
      </c>
      <c r="CG84" s="397">
        <f t="shared" si="168"/>
        <v>98800</v>
      </c>
      <c r="CH84" s="91">
        <f t="shared" si="162"/>
        <v>1849649</v>
      </c>
      <c r="CI84" s="395">
        <f>(CH84-BT90)/BT90</f>
        <v>0.29391868731173409</v>
      </c>
      <c r="CJ84" s="397">
        <f>CJ81</f>
        <v>165000</v>
      </c>
      <c r="CK84" s="397">
        <f t="shared" ref="CK84:CO84" si="169">CK81</f>
        <v>188600</v>
      </c>
      <c r="CL84" s="397">
        <f t="shared" si="169"/>
        <v>171000</v>
      </c>
      <c r="CM84" s="397">
        <f t="shared" si="169"/>
        <v>200000</v>
      </c>
      <c r="CN84" s="397">
        <f t="shared" si="169"/>
        <v>178290</v>
      </c>
      <c r="CO84" s="397">
        <f t="shared" si="169"/>
        <v>198000</v>
      </c>
      <c r="CP84" s="397">
        <v>168760</v>
      </c>
      <c r="CQ84" s="397">
        <v>194340</v>
      </c>
      <c r="CR84" s="397">
        <v>208000</v>
      </c>
      <c r="CS84" s="397">
        <v>201780</v>
      </c>
      <c r="CT84" s="397">
        <v>154060</v>
      </c>
      <c r="CU84" s="397">
        <v>96720</v>
      </c>
      <c r="CV84" s="91">
        <v>1949109</v>
      </c>
      <c r="CW84" s="758"/>
      <c r="CX84" s="397">
        <f>CX81</f>
        <v>131887.09999999998</v>
      </c>
      <c r="CY84" s="397">
        <f t="shared" ref="CY84:DC84" si="170">CY81</f>
        <v>117864.6</v>
      </c>
      <c r="CZ84" s="397">
        <f t="shared" si="170"/>
        <v>1380</v>
      </c>
      <c r="DA84" s="397">
        <f t="shared" si="170"/>
        <v>45840</v>
      </c>
      <c r="DB84" s="397">
        <f t="shared" si="170"/>
        <v>171508</v>
      </c>
      <c r="DC84" s="397">
        <f t="shared" si="170"/>
        <v>115170</v>
      </c>
      <c r="DD84" s="397">
        <v>168760</v>
      </c>
      <c r="DE84" s="397">
        <v>194340</v>
      </c>
      <c r="DF84" s="397">
        <v>208000</v>
      </c>
      <c r="DG84" s="397">
        <v>201780</v>
      </c>
      <c r="DH84" s="397">
        <v>154060</v>
      </c>
      <c r="DI84" s="397">
        <v>96720</v>
      </c>
      <c r="DJ84" s="844">
        <v>1949109</v>
      </c>
      <c r="DK84" s="948"/>
      <c r="DL84" s="397">
        <f>DL81</f>
        <v>141940</v>
      </c>
      <c r="DM84" s="397">
        <f t="shared" ref="DM84:DQ84" si="171">DM81</f>
        <v>132810</v>
      </c>
      <c r="DN84" s="397">
        <f t="shared" si="171"/>
        <v>163580</v>
      </c>
      <c r="DO84" s="397">
        <f t="shared" si="171"/>
        <v>176440</v>
      </c>
      <c r="DP84" s="397">
        <f t="shared" si="171"/>
        <v>163080</v>
      </c>
      <c r="DQ84" s="397">
        <f t="shared" si="171"/>
        <v>131510</v>
      </c>
      <c r="DR84" s="397">
        <v>168760</v>
      </c>
      <c r="DS84" s="397">
        <v>194340</v>
      </c>
      <c r="DT84" s="397">
        <v>208000</v>
      </c>
      <c r="DU84" s="397">
        <v>201780</v>
      </c>
      <c r="DV84" s="397">
        <v>154060</v>
      </c>
      <c r="DW84" s="397">
        <v>96720</v>
      </c>
      <c r="DX84" s="91">
        <v>1949109</v>
      </c>
    </row>
    <row r="85" spans="1:129" ht="15.75" customHeight="1" outlineLevel="1">
      <c r="A85" s="821"/>
      <c r="B85" s="937" t="s">
        <v>92</v>
      </c>
      <c r="C85" s="902"/>
      <c r="D85" s="804"/>
      <c r="E85" s="805"/>
      <c r="F85" s="805"/>
      <c r="G85" s="805"/>
      <c r="H85" s="805"/>
      <c r="I85" s="805"/>
      <c r="J85" s="805"/>
      <c r="K85" s="805"/>
      <c r="L85" s="805"/>
      <c r="M85" s="805"/>
      <c r="N85" s="805"/>
      <c r="O85" s="805"/>
      <c r="P85" s="806"/>
      <c r="Q85" s="807"/>
      <c r="R85" s="808">
        <f>R84/R7</f>
        <v>7200</v>
      </c>
      <c r="S85" s="808">
        <f>S84/S7</f>
        <v>7300</v>
      </c>
      <c r="T85" s="808">
        <f>T84/T7</f>
        <v>7300</v>
      </c>
      <c r="U85" s="808">
        <f>U84/U7</f>
        <v>0</v>
      </c>
      <c r="V85" s="808">
        <f>V84/V7</f>
        <v>3650</v>
      </c>
      <c r="W85" s="808">
        <f>W84/W7</f>
        <v>7300</v>
      </c>
      <c r="X85" s="808">
        <f>X84/X7</f>
        <v>7300</v>
      </c>
      <c r="Y85" s="808">
        <f>Y84/Y7</f>
        <v>7300</v>
      </c>
      <c r="Z85" s="808">
        <f>Z84/Z7</f>
        <v>7300</v>
      </c>
      <c r="AA85" s="808">
        <f>AA84/AA7</f>
        <v>7300</v>
      </c>
      <c r="AB85" s="808">
        <f>AB84/AB7</f>
        <v>7300</v>
      </c>
      <c r="AC85" s="808">
        <f>AC84/AC7</f>
        <v>7300</v>
      </c>
      <c r="AD85" s="809"/>
      <c r="AE85" s="28"/>
      <c r="AF85" s="808">
        <f>AF84/AF7</f>
        <v>7300</v>
      </c>
      <c r="AG85" s="808">
        <f>AG84/AG7</f>
        <v>7300</v>
      </c>
      <c r="AH85" s="808">
        <f>AH84/AH7</f>
        <v>6275.55</v>
      </c>
      <c r="AI85" s="808">
        <f>AI84/AI7</f>
        <v>6750</v>
      </c>
      <c r="AJ85" s="808">
        <f>AJ84/AJ7</f>
        <v>8060</v>
      </c>
      <c r="AK85" s="808">
        <f>AK84/AK7</f>
        <v>7565</v>
      </c>
      <c r="AL85" s="808">
        <f>AL84/AL7</f>
        <v>8000</v>
      </c>
      <c r="AM85" s="596">
        <v>7000</v>
      </c>
      <c r="AN85" s="596">
        <v>7500</v>
      </c>
      <c r="AO85" s="596">
        <v>7000</v>
      </c>
      <c r="AP85" s="596">
        <v>6500</v>
      </c>
      <c r="AQ85" s="596">
        <v>7000</v>
      </c>
      <c r="AR85" s="810">
        <f>AVERAGE(AF85:AQ85)</f>
        <v>7187.5458333333336</v>
      </c>
      <c r="AS85" s="28"/>
      <c r="AT85" s="596">
        <v>7000</v>
      </c>
      <c r="AU85" s="596">
        <f>AU84/AU7</f>
        <v>6588.4210526315792</v>
      </c>
      <c r="AV85" s="596">
        <v>6100</v>
      </c>
      <c r="AW85" s="596">
        <v>6500</v>
      </c>
      <c r="AX85" s="596">
        <v>6000</v>
      </c>
      <c r="AY85" s="596">
        <v>7302.0476189999999</v>
      </c>
      <c r="AZ85" s="596">
        <v>7000</v>
      </c>
      <c r="BA85" s="596">
        <f>BA84/BA7</f>
        <v>7432.727272727273</v>
      </c>
      <c r="BB85" s="596">
        <v>7500</v>
      </c>
      <c r="BC85" s="596">
        <v>7500</v>
      </c>
      <c r="BD85" s="596">
        <f>BD84/BD7</f>
        <v>6471.55</v>
      </c>
      <c r="BE85" s="596">
        <f>BE84/BE7</f>
        <v>6170</v>
      </c>
      <c r="BF85" s="596">
        <f>AVERAGE(AT85:BE85)</f>
        <v>6797.0621620299053</v>
      </c>
      <c r="BG85" s="28"/>
      <c r="BH85" s="596">
        <f>BH84/BH7</f>
        <v>6838</v>
      </c>
      <c r="BI85" s="596">
        <f>BI84/BI7</f>
        <v>6857.6470588235297</v>
      </c>
      <c r="BJ85" s="596">
        <f>BJ84/BJ7</f>
        <v>6449.565217391304</v>
      </c>
      <c r="BK85" s="596">
        <f>BK84/BK7</f>
        <v>6242.2222222222226</v>
      </c>
      <c r="BL85" s="596">
        <f>BL84/BL7</f>
        <v>4939.090909090909</v>
      </c>
      <c r="BM85" s="596">
        <f>BM84/BM7</f>
        <v>6670.260869565217</v>
      </c>
      <c r="BN85" s="596">
        <f>BN84/BN7</f>
        <v>6556</v>
      </c>
      <c r="BO85" s="596">
        <f>BO84/BO7</f>
        <v>7174</v>
      </c>
      <c r="BP85" s="596">
        <f>BP84/BP7</f>
        <v>7100</v>
      </c>
      <c r="BQ85" s="596">
        <f>BQ84/BQ7</f>
        <v>6510.7142857142853</v>
      </c>
      <c r="BR85" s="596">
        <f>BR84/BR7</f>
        <v>8353.4500000000007</v>
      </c>
      <c r="BS85" s="596">
        <f>BS84/BS7</f>
        <v>8858.5714285714294</v>
      </c>
      <c r="BT85" s="596">
        <f>AVERAGE(BH85:BS85)</f>
        <v>6879.1268326149084</v>
      </c>
      <c r="BU85" s="28"/>
      <c r="BV85" s="596">
        <v>7000</v>
      </c>
      <c r="BW85" s="596">
        <v>7000</v>
      </c>
      <c r="BX85" s="596">
        <v>7000</v>
      </c>
      <c r="BY85" s="596">
        <v>7200</v>
      </c>
      <c r="BZ85" s="596">
        <v>7200</v>
      </c>
      <c r="CA85" s="596">
        <v>7200</v>
      </c>
      <c r="CB85" s="596">
        <v>7200</v>
      </c>
      <c r="CC85" s="596">
        <f t="shared" ref="CC85" si="172">CB85</f>
        <v>7200</v>
      </c>
      <c r="CD85" s="596">
        <v>7200</v>
      </c>
      <c r="CE85" s="596">
        <v>7200</v>
      </c>
      <c r="CF85" s="596">
        <v>7600</v>
      </c>
      <c r="CG85" s="596">
        <v>7600</v>
      </c>
      <c r="CH85" s="596"/>
      <c r="CI85" s="596"/>
      <c r="CJ85" s="596">
        <v>7500</v>
      </c>
      <c r="CK85" s="596">
        <v>8200</v>
      </c>
      <c r="CL85" s="596">
        <v>9000</v>
      </c>
      <c r="CM85" s="596">
        <v>10000</v>
      </c>
      <c r="CN85" s="596">
        <v>8490</v>
      </c>
      <c r="CO85" s="596">
        <v>9000</v>
      </c>
      <c r="CP85" s="596">
        <v>9800</v>
      </c>
      <c r="CQ85" s="596">
        <v>9900</v>
      </c>
      <c r="CR85" s="596">
        <f t="shared" ref="CR85" si="173">CQ85</f>
        <v>9900</v>
      </c>
      <c r="CS85" s="596">
        <v>9300</v>
      </c>
      <c r="CT85" s="596">
        <v>8400</v>
      </c>
      <c r="CU85" s="596">
        <v>9300</v>
      </c>
      <c r="CV85" s="596"/>
      <c r="CW85" s="758"/>
      <c r="CX85" s="596">
        <v>9319</v>
      </c>
      <c r="CY85" s="596">
        <v>8972</v>
      </c>
      <c r="CZ85" s="596">
        <v>8900</v>
      </c>
      <c r="DA85" s="596">
        <v>8500</v>
      </c>
      <c r="DB85" s="596">
        <v>9300</v>
      </c>
      <c r="DC85" s="596">
        <v>8200</v>
      </c>
      <c r="DD85" s="596">
        <v>9600</v>
      </c>
      <c r="DE85" s="596">
        <v>9800</v>
      </c>
      <c r="DF85" s="596">
        <f>DE85</f>
        <v>9800</v>
      </c>
      <c r="DG85" s="596">
        <f>DF85</f>
        <v>9800</v>
      </c>
      <c r="DH85" s="596">
        <f t="shared" ref="DH85:DI85" si="174">DG85</f>
        <v>9800</v>
      </c>
      <c r="DI85" s="596">
        <f t="shared" si="174"/>
        <v>9800</v>
      </c>
      <c r="DJ85" s="844"/>
      <c r="DK85" s="948"/>
      <c r="DL85" s="596">
        <f>DI85</f>
        <v>9800</v>
      </c>
      <c r="DM85" s="596">
        <f>DL85</f>
        <v>9800</v>
      </c>
      <c r="DN85" s="596">
        <f t="shared" ref="DN85:DW85" si="175">DM85</f>
        <v>9800</v>
      </c>
      <c r="DO85" s="596">
        <f t="shared" si="175"/>
        <v>9800</v>
      </c>
      <c r="DP85" s="596">
        <f t="shared" si="175"/>
        <v>9800</v>
      </c>
      <c r="DQ85" s="596">
        <f t="shared" si="175"/>
        <v>9800</v>
      </c>
      <c r="DR85" s="596">
        <f t="shared" si="175"/>
        <v>9800</v>
      </c>
      <c r="DS85" s="596">
        <f t="shared" si="175"/>
        <v>9800</v>
      </c>
      <c r="DT85" s="596">
        <f t="shared" si="175"/>
        <v>9800</v>
      </c>
      <c r="DU85" s="596">
        <f t="shared" si="175"/>
        <v>9800</v>
      </c>
      <c r="DV85" s="596">
        <f t="shared" si="175"/>
        <v>9800</v>
      </c>
      <c r="DW85" s="596">
        <f t="shared" si="175"/>
        <v>9800</v>
      </c>
      <c r="DX85" s="596"/>
    </row>
    <row r="86" spans="1:129" ht="15.75" hidden="1" customHeight="1" outlineLevel="1">
      <c r="A86" s="821"/>
      <c r="B86" s="822" t="s">
        <v>93</v>
      </c>
      <c r="C86" s="803"/>
      <c r="D86" s="804"/>
      <c r="E86" s="805"/>
      <c r="F86" s="805"/>
      <c r="G86" s="805"/>
      <c r="H86" s="805"/>
      <c r="I86" s="805"/>
      <c r="J86" s="805"/>
      <c r="K86" s="805"/>
      <c r="L86" s="805"/>
      <c r="M86" s="805"/>
      <c r="N86" s="805"/>
      <c r="O86" s="805"/>
      <c r="P86" s="806"/>
      <c r="Q86" s="807"/>
      <c r="R86" s="804"/>
      <c r="S86" s="596">
        <v>15000</v>
      </c>
      <c r="T86" s="596">
        <v>15600</v>
      </c>
      <c r="U86" s="596">
        <v>2000</v>
      </c>
      <c r="V86" s="596">
        <v>10000</v>
      </c>
      <c r="W86" s="596">
        <v>30000</v>
      </c>
      <c r="X86" s="596">
        <v>20000</v>
      </c>
      <c r="Y86" s="596">
        <v>30000</v>
      </c>
      <c r="Z86" s="596">
        <v>30000</v>
      </c>
      <c r="AA86" s="596">
        <v>20000</v>
      </c>
      <c r="AB86" s="596">
        <v>20000</v>
      </c>
      <c r="AC86" s="596">
        <v>10000</v>
      </c>
      <c r="AD86" s="809"/>
      <c r="AE86" s="28"/>
      <c r="AF86" s="808">
        <v>30000</v>
      </c>
      <c r="AG86" s="596">
        <v>20000</v>
      </c>
      <c r="AH86" s="596">
        <v>24960</v>
      </c>
      <c r="AI86" s="596">
        <v>14040</v>
      </c>
      <c r="AJ86" s="596">
        <v>19040</v>
      </c>
      <c r="AK86" s="596">
        <v>12000</v>
      </c>
      <c r="AL86" s="596">
        <v>14000</v>
      </c>
      <c r="AM86" s="596">
        <v>13000</v>
      </c>
      <c r="AN86" s="596">
        <v>13000</v>
      </c>
      <c r="AO86" s="596">
        <v>0</v>
      </c>
      <c r="AP86" s="596">
        <v>0</v>
      </c>
      <c r="AQ86" s="596">
        <v>0</v>
      </c>
      <c r="AR86" s="810">
        <f t="shared" ref="AR86:AR87" si="176">SUM(AF86:AQ86)</f>
        <v>160040</v>
      </c>
      <c r="AS86" s="28"/>
      <c r="AT86" s="596">
        <v>0</v>
      </c>
      <c r="AU86" s="596">
        <v>0</v>
      </c>
      <c r="AV86" s="596"/>
      <c r="AW86" s="596"/>
      <c r="AX86" s="596"/>
      <c r="AY86" s="596"/>
      <c r="AZ86" s="596"/>
      <c r="BA86" s="596"/>
      <c r="BB86" s="596"/>
      <c r="BC86" s="596"/>
      <c r="BD86" s="596"/>
      <c r="BE86" s="596"/>
      <c r="BF86" s="596">
        <f t="shared" ref="BF86:BF87" si="177">SUM(AT86:BE86)</f>
        <v>0</v>
      </c>
      <c r="BG86" s="28">
        <f>BF86-AR86</f>
        <v>-160040</v>
      </c>
      <c r="BH86" s="596"/>
      <c r="BI86" s="596"/>
      <c r="BJ86" s="596"/>
      <c r="BK86" s="596"/>
      <c r="BL86" s="596"/>
      <c r="BM86" s="596"/>
      <c r="BN86" s="596"/>
      <c r="BO86" s="596"/>
      <c r="BP86" s="596"/>
      <c r="BQ86" s="596"/>
      <c r="BR86" s="596"/>
      <c r="BS86" s="596"/>
      <c r="BT86" s="596">
        <f t="shared" ref="BT86" si="178">SUM(BH86:BS86)</f>
        <v>0</v>
      </c>
      <c r="BU86" s="28"/>
      <c r="BV86" s="811">
        <f t="shared" ref="BV86:BZ86" si="179">BV7</f>
        <v>19</v>
      </c>
      <c r="BW86" s="811">
        <f t="shared" si="179"/>
        <v>19</v>
      </c>
      <c r="BX86" s="811">
        <f t="shared" si="179"/>
        <v>21</v>
      </c>
      <c r="BY86" s="811">
        <f t="shared" si="179"/>
        <v>24</v>
      </c>
      <c r="BZ86" s="811">
        <f t="shared" si="179"/>
        <v>23</v>
      </c>
      <c r="CA86" s="811">
        <f>CA7</f>
        <v>22</v>
      </c>
      <c r="CB86" s="811">
        <f t="shared" ref="CB86:CG86" si="180">CB7</f>
        <v>25</v>
      </c>
      <c r="CC86" s="811">
        <f t="shared" si="180"/>
        <v>24</v>
      </c>
      <c r="CD86" s="811">
        <f t="shared" si="180"/>
        <v>24</v>
      </c>
      <c r="CE86" s="811">
        <f t="shared" si="180"/>
        <v>24</v>
      </c>
      <c r="CF86" s="811">
        <f t="shared" si="180"/>
        <v>22</v>
      </c>
      <c r="CG86" s="811">
        <f t="shared" si="180"/>
        <v>13</v>
      </c>
      <c r="CH86" s="596">
        <f t="shared" ref="CH86" si="181">SUM(BV86:CG86)</f>
        <v>260</v>
      </c>
      <c r="CJ86" s="812">
        <f>CJ7</f>
        <v>22</v>
      </c>
      <c r="CK86" s="812">
        <f t="shared" ref="CK86:CO86" si="182">CK7</f>
        <v>23</v>
      </c>
      <c r="CL86" s="812">
        <f t="shared" si="182"/>
        <v>19</v>
      </c>
      <c r="CM86" s="812">
        <f t="shared" si="182"/>
        <v>20</v>
      </c>
      <c r="CN86" s="812">
        <f t="shared" si="182"/>
        <v>21</v>
      </c>
      <c r="CO86" s="812">
        <f t="shared" si="182"/>
        <v>22</v>
      </c>
      <c r="CP86" s="596"/>
      <c r="CQ86" s="596"/>
      <c r="CR86" s="596"/>
      <c r="CS86" s="596"/>
      <c r="CT86" s="596"/>
      <c r="CU86" s="596"/>
      <c r="CV86" s="596">
        <v>131</v>
      </c>
      <c r="CW86" s="758"/>
      <c r="CX86" s="812">
        <f>CX7</f>
        <v>22</v>
      </c>
      <c r="CY86" s="812">
        <f t="shared" ref="CY86:DC86" si="183">CY7</f>
        <v>19</v>
      </c>
      <c r="CZ86" s="812">
        <f t="shared" si="183"/>
        <v>6</v>
      </c>
      <c r="DA86" s="812">
        <f>21-6</f>
        <v>15</v>
      </c>
      <c r="DB86" s="812">
        <f t="shared" si="183"/>
        <v>22</v>
      </c>
      <c r="DC86" s="812">
        <f>DC7</f>
        <v>23</v>
      </c>
      <c r="DD86" s="812">
        <f t="shared" ref="DD86:DI86" si="184">DD7</f>
        <v>25</v>
      </c>
      <c r="DE86" s="812">
        <f t="shared" si="184"/>
        <v>23</v>
      </c>
      <c r="DF86" s="812">
        <f t="shared" si="184"/>
        <v>23</v>
      </c>
      <c r="DG86" s="812">
        <f t="shared" si="184"/>
        <v>23</v>
      </c>
      <c r="DH86" s="812">
        <f t="shared" si="184"/>
        <v>21</v>
      </c>
      <c r="DI86" s="812">
        <f t="shared" si="184"/>
        <v>16</v>
      </c>
      <c r="DJ86" s="844">
        <v>131</v>
      </c>
      <c r="DK86" s="948"/>
      <c r="DL86" s="812">
        <f>DL7</f>
        <v>22</v>
      </c>
      <c r="DM86" s="812">
        <f t="shared" ref="DM86:DQ86" si="185">DM7</f>
        <v>19</v>
      </c>
      <c r="DN86" s="812">
        <f t="shared" si="185"/>
        <v>22</v>
      </c>
      <c r="DO86" s="812">
        <f t="shared" si="185"/>
        <v>22</v>
      </c>
      <c r="DP86" s="812">
        <f t="shared" si="185"/>
        <v>20</v>
      </c>
      <c r="DQ86" s="812">
        <f>DQ7</f>
        <v>21</v>
      </c>
      <c r="DR86" s="812">
        <f t="shared" ref="DR86:DW86" si="186">DR7</f>
        <v>23</v>
      </c>
      <c r="DS86" s="812">
        <f t="shared" si="186"/>
        <v>21</v>
      </c>
      <c r="DT86" s="812">
        <f t="shared" si="186"/>
        <v>23</v>
      </c>
      <c r="DU86" s="812">
        <f t="shared" si="186"/>
        <v>23</v>
      </c>
      <c r="DV86" s="812">
        <f t="shared" si="186"/>
        <v>21</v>
      </c>
      <c r="DW86" s="812">
        <f t="shared" si="186"/>
        <v>16</v>
      </c>
      <c r="DX86" s="596">
        <v>131</v>
      </c>
    </row>
    <row r="87" spans="1:129" ht="15.75" customHeight="1" outlineLevel="1">
      <c r="A87" s="821"/>
      <c r="B87" s="970" t="s">
        <v>132</v>
      </c>
      <c r="C87" s="955"/>
      <c r="D87" s="971"/>
      <c r="E87" s="972"/>
      <c r="F87" s="972"/>
      <c r="G87" s="972"/>
      <c r="H87" s="972"/>
      <c r="I87" s="972"/>
      <c r="J87" s="972"/>
      <c r="K87" s="972"/>
      <c r="L87" s="972"/>
      <c r="M87" s="972"/>
      <c r="N87" s="972"/>
      <c r="O87" s="972"/>
      <c r="P87" s="973"/>
      <c r="Q87" s="974"/>
      <c r="R87" s="971"/>
      <c r="S87" s="975"/>
      <c r="T87" s="975">
        <v>0</v>
      </c>
      <c r="U87" s="975">
        <v>0</v>
      </c>
      <c r="V87" s="975">
        <v>0</v>
      </c>
      <c r="W87" s="975">
        <v>0</v>
      </c>
      <c r="X87" s="975">
        <v>0</v>
      </c>
      <c r="Y87" s="975">
        <v>13500</v>
      </c>
      <c r="Z87" s="975">
        <v>9000</v>
      </c>
      <c r="AA87" s="975">
        <v>9000</v>
      </c>
      <c r="AB87" s="975">
        <v>9000</v>
      </c>
      <c r="AC87" s="975">
        <v>0</v>
      </c>
      <c r="AD87" s="976"/>
      <c r="AE87" s="977"/>
      <c r="AF87" s="975">
        <v>13500</v>
      </c>
      <c r="AG87" s="975">
        <v>13500</v>
      </c>
      <c r="AH87" s="975">
        <v>2820</v>
      </c>
      <c r="AI87" s="975">
        <v>0</v>
      </c>
      <c r="AJ87" s="975">
        <v>0</v>
      </c>
      <c r="AK87" s="975">
        <v>0</v>
      </c>
      <c r="AL87" s="975">
        <v>0</v>
      </c>
      <c r="AM87" s="975"/>
      <c r="AN87" s="975"/>
      <c r="AO87" s="975"/>
      <c r="AP87" s="975"/>
      <c r="AQ87" s="975"/>
      <c r="AR87" s="957">
        <f t="shared" si="176"/>
        <v>29820</v>
      </c>
      <c r="AS87" s="977"/>
      <c r="AT87" s="975"/>
      <c r="AU87" s="975"/>
      <c r="AV87" s="975"/>
      <c r="AW87" s="975">
        <v>4000</v>
      </c>
      <c r="AX87" s="975">
        <v>8000</v>
      </c>
      <c r="AY87" s="975">
        <v>5000</v>
      </c>
      <c r="AZ87" s="975">
        <v>10000</v>
      </c>
      <c r="BA87" s="975">
        <v>10000</v>
      </c>
      <c r="BB87" s="975">
        <v>0</v>
      </c>
      <c r="BC87" s="975">
        <v>0</v>
      </c>
      <c r="BD87" s="975">
        <v>0</v>
      </c>
      <c r="BE87" s="975"/>
      <c r="BF87" s="975">
        <f t="shared" si="177"/>
        <v>37000</v>
      </c>
      <c r="BG87" s="977"/>
      <c r="BH87" s="975">
        <v>3000</v>
      </c>
      <c r="BI87" s="975"/>
      <c r="BJ87" s="975"/>
      <c r="BK87" s="975"/>
      <c r="BL87" s="975"/>
      <c r="BM87" s="975"/>
      <c r="BN87" s="975"/>
      <c r="BO87" s="975">
        <v>10000</v>
      </c>
      <c r="BP87" s="975">
        <v>15000</v>
      </c>
      <c r="BQ87" s="975">
        <v>20000</v>
      </c>
      <c r="BR87" s="975">
        <v>15000</v>
      </c>
      <c r="BS87" s="975">
        <f>7200*9/2</f>
        <v>32400</v>
      </c>
      <c r="BT87" s="975">
        <f>SUM(BH87:BS87)</f>
        <v>95400</v>
      </c>
      <c r="BU87" s="977"/>
      <c r="BV87" s="975">
        <f>BV90-BV81</f>
        <v>21584</v>
      </c>
      <c r="BW87" s="975">
        <f t="shared" ref="BW87:CG87" si="187">BW90-BW81</f>
        <v>18963</v>
      </c>
      <c r="BX87" s="975">
        <f t="shared" si="187"/>
        <v>-2354</v>
      </c>
      <c r="BY87" s="975">
        <f t="shared" si="187"/>
        <v>5998</v>
      </c>
      <c r="BZ87" s="975">
        <f t="shared" si="187"/>
        <v>-13737</v>
      </c>
      <c r="CA87" s="975">
        <f t="shared" si="187"/>
        <v>-6090</v>
      </c>
      <c r="CB87" s="975">
        <f t="shared" si="187"/>
        <v>-2176</v>
      </c>
      <c r="CC87" s="975">
        <f t="shared" si="187"/>
        <v>-17344</v>
      </c>
      <c r="CD87" s="975">
        <f t="shared" si="187"/>
        <v>-13369</v>
      </c>
      <c r="CE87" s="975">
        <f t="shared" si="187"/>
        <v>793</v>
      </c>
      <c r="CF87" s="975">
        <f t="shared" si="187"/>
        <v>-12350</v>
      </c>
      <c r="CG87" s="975">
        <f t="shared" si="187"/>
        <v>-98800</v>
      </c>
      <c r="CH87" s="957">
        <f>SUM(CD87:CG87)</f>
        <v>-123726</v>
      </c>
      <c r="CI87" s="748"/>
      <c r="CJ87" s="975">
        <f>BV90</f>
        <v>154584</v>
      </c>
      <c r="CK87" s="975">
        <f t="shared" ref="CK87:CS87" si="188">BW90</f>
        <v>151963</v>
      </c>
      <c r="CL87" s="975">
        <f>BX90</f>
        <v>144646</v>
      </c>
      <c r="CM87" s="975">
        <f t="shared" si="188"/>
        <v>178798</v>
      </c>
      <c r="CN87" s="975">
        <f t="shared" si="188"/>
        <v>151863</v>
      </c>
      <c r="CO87" s="975">
        <f t="shared" si="188"/>
        <v>152310</v>
      </c>
      <c r="CP87" s="975">
        <f t="shared" si="188"/>
        <v>177824</v>
      </c>
      <c r="CQ87" s="975">
        <f t="shared" si="188"/>
        <v>155456</v>
      </c>
      <c r="CR87" s="975">
        <f t="shared" si="188"/>
        <v>159431</v>
      </c>
      <c r="CS87" s="975">
        <f t="shared" si="188"/>
        <v>173593</v>
      </c>
      <c r="CT87" s="975">
        <v>146546</v>
      </c>
      <c r="CU87" s="975">
        <v>111901</v>
      </c>
      <c r="CV87" s="975">
        <v>127800</v>
      </c>
      <c r="CW87" s="978"/>
      <c r="CX87" s="975">
        <v>155428</v>
      </c>
      <c r="CY87" s="975">
        <v>182691</v>
      </c>
      <c r="CZ87" s="975">
        <v>176747</v>
      </c>
      <c r="DA87" s="975">
        <v>190424</v>
      </c>
      <c r="DB87" s="975">
        <v>214788</v>
      </c>
      <c r="DC87" s="975">
        <v>150000</v>
      </c>
      <c r="DD87" s="975">
        <v>191217</v>
      </c>
      <c r="DE87" s="975">
        <v>180648</v>
      </c>
      <c r="DF87" s="975">
        <v>180874</v>
      </c>
      <c r="DG87" s="975">
        <v>208228</v>
      </c>
      <c r="DH87" s="975">
        <v>184911</v>
      </c>
      <c r="DI87" s="975">
        <v>135942</v>
      </c>
      <c r="DJ87" s="844">
        <f>SUM(CX87:DI87)</f>
        <v>2151898</v>
      </c>
      <c r="DK87" s="948"/>
      <c r="DL87" s="596">
        <f>CX87</f>
        <v>155428</v>
      </c>
      <c r="DM87" s="596">
        <f t="shared" ref="DM87:DW87" si="189">CY87</f>
        <v>182691</v>
      </c>
      <c r="DN87" s="596">
        <f t="shared" si="189"/>
        <v>176747</v>
      </c>
      <c r="DO87" s="596">
        <f t="shared" si="189"/>
        <v>190424</v>
      </c>
      <c r="DP87" s="596">
        <f t="shared" si="189"/>
        <v>214788</v>
      </c>
      <c r="DQ87" s="596">
        <f t="shared" si="189"/>
        <v>150000</v>
      </c>
      <c r="DR87" s="596">
        <f t="shared" si="189"/>
        <v>191217</v>
      </c>
      <c r="DS87" s="596">
        <f t="shared" si="189"/>
        <v>180648</v>
      </c>
      <c r="DT87" s="596">
        <f t="shared" si="189"/>
        <v>180874</v>
      </c>
      <c r="DU87" s="596">
        <f t="shared" si="189"/>
        <v>208228</v>
      </c>
      <c r="DV87" s="596">
        <f t="shared" si="189"/>
        <v>184911</v>
      </c>
      <c r="DW87" s="596">
        <f t="shared" si="189"/>
        <v>135942</v>
      </c>
      <c r="DX87" s="596">
        <v>127800</v>
      </c>
    </row>
    <row r="88" spans="1:129" ht="15.75" hidden="1" customHeight="1" outlineLevel="1">
      <c r="A88" s="821"/>
      <c r="B88" s="822" t="s">
        <v>105</v>
      </c>
      <c r="C88" s="803"/>
      <c r="D88" s="804"/>
      <c r="E88" s="805"/>
      <c r="F88" s="805"/>
      <c r="G88" s="805"/>
      <c r="H88" s="805"/>
      <c r="I88" s="805"/>
      <c r="J88" s="805"/>
      <c r="K88" s="805"/>
      <c r="L88" s="805"/>
      <c r="M88" s="805"/>
      <c r="N88" s="805"/>
      <c r="O88" s="805"/>
      <c r="P88" s="806"/>
      <c r="Q88" s="807"/>
      <c r="R88" s="804"/>
      <c r="S88" s="596"/>
      <c r="T88" s="596"/>
      <c r="U88" s="596"/>
      <c r="V88" s="596"/>
      <c r="W88" s="596"/>
      <c r="X88" s="596"/>
      <c r="Y88" s="596"/>
      <c r="Z88" s="596"/>
      <c r="AA88" s="596"/>
      <c r="AB88" s="596"/>
      <c r="AC88" s="596"/>
      <c r="AD88" s="809"/>
      <c r="AE88" s="28"/>
      <c r="AF88" s="596"/>
      <c r="AG88" s="596"/>
      <c r="AH88" s="596"/>
      <c r="AI88" s="596"/>
      <c r="AJ88" s="596"/>
      <c r="AK88" s="596"/>
      <c r="AL88" s="596"/>
      <c r="AM88" s="596"/>
      <c r="AN88" s="596"/>
      <c r="AO88" s="596">
        <f t="shared" ref="AO88:AQ88" si="190">AO81*9.68</f>
        <v>1355200</v>
      </c>
      <c r="AP88" s="596">
        <f t="shared" si="190"/>
        <v>1258400</v>
      </c>
      <c r="AQ88" s="596">
        <f t="shared" si="190"/>
        <v>968000</v>
      </c>
      <c r="AR88" s="810"/>
      <c r="AS88" s="28"/>
      <c r="AT88" s="596">
        <f t="shared" ref="AT88:BF88" si="191">AT81*9.68</f>
        <v>1287440</v>
      </c>
      <c r="AU88" s="596">
        <f t="shared" si="191"/>
        <v>1211742.3999999999</v>
      </c>
      <c r="AV88" s="596">
        <f t="shared" si="191"/>
        <v>1134767.04</v>
      </c>
      <c r="AW88" s="596">
        <f t="shared" si="191"/>
        <v>1234200</v>
      </c>
      <c r="AX88" s="596">
        <f t="shared" si="191"/>
        <v>1355200</v>
      </c>
      <c r="AY88" s="596">
        <f t="shared" si="191"/>
        <v>1532760.2399903198</v>
      </c>
      <c r="AZ88" s="596">
        <f t="shared" si="191"/>
        <v>1475319.1199999999</v>
      </c>
      <c r="BA88" s="596">
        <f t="shared" si="191"/>
        <v>1679673.5999999999</v>
      </c>
      <c r="BB88" s="596">
        <f t="shared" si="191"/>
        <v>1597200</v>
      </c>
      <c r="BC88" s="596">
        <f t="shared" si="191"/>
        <v>1524600</v>
      </c>
      <c r="BD88" s="596">
        <f t="shared" si="191"/>
        <v>1252892.08</v>
      </c>
      <c r="BE88" s="596">
        <f t="shared" si="191"/>
        <v>597256</v>
      </c>
      <c r="BF88" s="596">
        <f t="shared" si="191"/>
        <v>15883050.47999032</v>
      </c>
      <c r="BG88" s="28"/>
      <c r="BH88" s="596"/>
      <c r="BI88" s="596"/>
      <c r="BJ88" s="596"/>
      <c r="BK88" s="596"/>
      <c r="BL88" s="596"/>
      <c r="BM88" s="596"/>
      <c r="BN88" s="596"/>
      <c r="BO88" s="596"/>
      <c r="BP88" s="596"/>
      <c r="BQ88" s="596"/>
      <c r="BR88" s="596"/>
      <c r="BS88" s="596"/>
      <c r="BT88" s="596"/>
      <c r="BU88" s="28"/>
      <c r="BV88" s="596"/>
      <c r="BW88" s="596"/>
      <c r="BX88" s="596"/>
      <c r="BY88" s="596"/>
      <c r="BZ88" s="596"/>
      <c r="CA88" s="596"/>
      <c r="CB88" s="596"/>
      <c r="CC88" s="596"/>
      <c r="CD88" s="596" t="s">
        <v>96</v>
      </c>
      <c r="CE88" s="596"/>
      <c r="CF88" s="813" t="s">
        <v>97</v>
      </c>
      <c r="CG88" s="596"/>
      <c r="CH88" s="596"/>
      <c r="CJ88" s="596"/>
      <c r="CK88" s="596"/>
      <c r="CL88" s="596"/>
      <c r="CM88" s="596">
        <v>61884.012959999985</v>
      </c>
      <c r="CN88" s="596">
        <f>CM88</f>
        <v>61884.012959999985</v>
      </c>
      <c r="CO88" s="596">
        <f t="shared" ref="CO88:CU88" si="192">CN88</f>
        <v>61884.012959999985</v>
      </c>
      <c r="CP88" s="596">
        <f t="shared" si="192"/>
        <v>61884.012959999985</v>
      </c>
      <c r="CQ88" s="596">
        <f t="shared" si="192"/>
        <v>61884.012959999985</v>
      </c>
      <c r="CR88" s="596">
        <f t="shared" si="192"/>
        <v>61884.012959999985</v>
      </c>
      <c r="CS88" s="596">
        <f t="shared" si="192"/>
        <v>61884.012959999985</v>
      </c>
      <c r="CT88" s="596">
        <f t="shared" si="192"/>
        <v>61884.012959999985</v>
      </c>
      <c r="CU88" s="596">
        <f t="shared" si="192"/>
        <v>61884.012959999985</v>
      </c>
      <c r="CV88" s="596"/>
      <c r="CW88" s="758"/>
      <c r="CX88" s="596" t="s">
        <v>133</v>
      </c>
      <c r="CY88" s="596"/>
      <c r="CZ88" s="596"/>
      <c r="DA88" s="596"/>
      <c r="DB88" s="596"/>
      <c r="DC88" s="596"/>
      <c r="DD88" s="596"/>
      <c r="DE88" s="596"/>
      <c r="DF88" s="596"/>
      <c r="DG88" s="596"/>
      <c r="DH88" s="596"/>
      <c r="DI88" s="596"/>
      <c r="DJ88" s="596"/>
      <c r="DK88" s="948"/>
      <c r="DL88" s="596" t="s">
        <v>133</v>
      </c>
      <c r="DM88" s="596"/>
      <c r="DN88" s="596"/>
      <c r="DO88" s="596"/>
      <c r="DP88" s="596"/>
      <c r="DQ88" s="596"/>
      <c r="DR88" s="596"/>
      <c r="DS88" s="596"/>
      <c r="DT88" s="596"/>
      <c r="DU88" s="596"/>
      <c r="DV88" s="596"/>
      <c r="DW88" s="596"/>
      <c r="DX88" s="596"/>
    </row>
    <row r="89" spans="1:129" ht="15.75" hidden="1" customHeight="1" outlineLevel="1">
      <c r="A89" s="821"/>
      <c r="B89" s="822" t="s">
        <v>98</v>
      </c>
      <c r="C89" s="803"/>
      <c r="D89" s="804"/>
      <c r="E89" s="805"/>
      <c r="F89" s="805"/>
      <c r="G89" s="805"/>
      <c r="H89" s="805"/>
      <c r="I89" s="805"/>
      <c r="J89" s="805"/>
      <c r="K89" s="805"/>
      <c r="L89" s="805"/>
      <c r="M89" s="805"/>
      <c r="N89" s="805"/>
      <c r="O89" s="805"/>
      <c r="P89" s="806"/>
      <c r="Q89" s="807"/>
      <c r="R89" s="804"/>
      <c r="S89" s="596"/>
      <c r="T89" s="596"/>
      <c r="U89" s="596"/>
      <c r="V89" s="596"/>
      <c r="W89" s="596"/>
      <c r="X89" s="596"/>
      <c r="Y89" s="596"/>
      <c r="Z89" s="596"/>
      <c r="AA89" s="596"/>
      <c r="AB89" s="596"/>
      <c r="AC89" s="596"/>
      <c r="AD89" s="809"/>
      <c r="AE89" s="28"/>
      <c r="AF89" s="808"/>
      <c r="AG89" s="596"/>
      <c r="AH89" s="596"/>
      <c r="AI89" s="596"/>
      <c r="AJ89" s="596"/>
      <c r="AK89" s="596"/>
      <c r="AL89" s="596"/>
      <c r="AM89" s="596"/>
      <c r="AN89" s="596"/>
      <c r="AO89" s="596"/>
      <c r="AP89" s="596"/>
      <c r="AQ89" s="596"/>
      <c r="AR89" s="810"/>
      <c r="AS89" s="28"/>
      <c r="AT89" s="596"/>
      <c r="AU89" s="596"/>
      <c r="AV89" s="596"/>
      <c r="AW89" s="596"/>
      <c r="AX89" s="596"/>
      <c r="AY89" s="596"/>
      <c r="AZ89" s="596"/>
      <c r="BA89" s="596"/>
      <c r="BB89" s="596"/>
      <c r="BC89" s="596"/>
      <c r="BD89" s="596"/>
      <c r="BE89" s="596"/>
      <c r="BF89" s="596"/>
      <c r="BG89" s="28"/>
      <c r="BH89" s="596"/>
      <c r="BI89" s="596"/>
      <c r="BJ89" s="596"/>
      <c r="BK89" s="596"/>
      <c r="BL89" s="596"/>
      <c r="BM89" s="596"/>
      <c r="BN89" s="596"/>
      <c r="BO89" s="596"/>
      <c r="BP89" s="596"/>
      <c r="BQ89" s="596"/>
      <c r="BR89" s="596"/>
      <c r="BS89" s="596"/>
      <c r="BT89" s="596"/>
      <c r="BU89" s="28"/>
      <c r="BV89" s="596"/>
      <c r="BW89" s="596"/>
      <c r="BX89" s="596"/>
      <c r="BY89" s="596"/>
      <c r="BZ89" s="596"/>
      <c r="CA89" s="596"/>
      <c r="CB89" s="596"/>
      <c r="CC89" s="596"/>
      <c r="CD89" s="596"/>
      <c r="CE89" s="596"/>
      <c r="CF89" s="813"/>
      <c r="CG89" s="596"/>
      <c r="CH89" s="596"/>
      <c r="CJ89" s="596"/>
      <c r="CK89" s="596"/>
      <c r="CL89" s="596"/>
      <c r="CM89" s="596">
        <f>CM88*CM7</f>
        <v>1237680.2591999997</v>
      </c>
      <c r="CN89" s="596">
        <f>CN88*CN7</f>
        <v>1299564.2721599997</v>
      </c>
      <c r="CO89" s="596">
        <f>CO88*CO7</f>
        <v>1361448.2851199997</v>
      </c>
      <c r="CP89" s="596">
        <f>CP88*CP7</f>
        <v>1547100.3239999996</v>
      </c>
      <c r="CQ89" s="596">
        <f>CQ88*CQ7</f>
        <v>1299564.2721599997</v>
      </c>
      <c r="CR89" s="596">
        <f>CR88*CR7</f>
        <v>1361448.2851199997</v>
      </c>
      <c r="CS89" s="596">
        <f>CS88*CS7</f>
        <v>1423332.2980799996</v>
      </c>
      <c r="CT89" s="596">
        <f>CT88*CT7</f>
        <v>1361448.2851199997</v>
      </c>
      <c r="CU89" s="596">
        <f>CU88*CU7</f>
        <v>1052028.2203199998</v>
      </c>
      <c r="CV89" s="596"/>
      <c r="CW89" s="758"/>
      <c r="CX89" s="596"/>
      <c r="CY89" s="596"/>
      <c r="CZ89" s="596"/>
      <c r="DA89" s="596"/>
      <c r="DB89" s="596"/>
      <c r="DC89" s="596"/>
      <c r="DD89" s="596"/>
      <c r="DE89" s="596"/>
      <c r="DF89" s="596"/>
      <c r="DG89" s="596"/>
      <c r="DH89" s="596"/>
      <c r="DI89" s="596"/>
      <c r="DJ89" s="596"/>
      <c r="DK89" s="948"/>
      <c r="DL89" s="596"/>
      <c r="DM89" s="596"/>
      <c r="DN89" s="596"/>
      <c r="DO89" s="596"/>
      <c r="DP89" s="596"/>
      <c r="DQ89" s="596"/>
      <c r="DR89" s="596"/>
      <c r="DS89" s="596"/>
      <c r="DT89" s="596"/>
      <c r="DU89" s="596"/>
      <c r="DV89" s="596"/>
      <c r="DW89" s="596"/>
      <c r="DX89" s="596"/>
    </row>
    <row r="90" spans="1:129" ht="18.75" hidden="1">
      <c r="A90" s="821" t="s">
        <v>99</v>
      </c>
      <c r="B90" s="823" t="s">
        <v>100</v>
      </c>
      <c r="C90" s="814"/>
      <c r="D90" s="815">
        <v>95972</v>
      </c>
      <c r="E90" s="816">
        <v>130805</v>
      </c>
      <c r="F90" s="816">
        <v>121914</v>
      </c>
      <c r="G90" s="816">
        <v>165455</v>
      </c>
      <c r="H90" s="816">
        <v>192013</v>
      </c>
      <c r="I90" s="816">
        <v>167281</v>
      </c>
      <c r="J90" s="816">
        <v>181409</v>
      </c>
      <c r="K90" s="816">
        <v>163138</v>
      </c>
      <c r="L90" s="816">
        <v>169051</v>
      </c>
      <c r="M90" s="816">
        <v>183254</v>
      </c>
      <c r="N90" s="816"/>
      <c r="O90" s="816"/>
      <c r="P90" s="817">
        <f>SUM(D90:O90)</f>
        <v>1570292</v>
      </c>
      <c r="Q90" s="818"/>
      <c r="R90" s="815">
        <v>149582</v>
      </c>
      <c r="S90" s="810">
        <v>152735</v>
      </c>
      <c r="T90" s="810">
        <v>107681</v>
      </c>
      <c r="U90" s="810">
        <v>2974</v>
      </c>
      <c r="V90" s="810">
        <v>32639</v>
      </c>
      <c r="W90" s="810">
        <v>153121</v>
      </c>
      <c r="X90" s="810">
        <v>198635</v>
      </c>
      <c r="Y90" s="810">
        <v>160489</v>
      </c>
      <c r="Z90" s="810">
        <v>160893</v>
      </c>
      <c r="AA90" s="810">
        <v>180999</v>
      </c>
      <c r="AB90" s="810">
        <v>167265</v>
      </c>
      <c r="AC90" s="810">
        <v>135424</v>
      </c>
      <c r="AD90" s="819">
        <f>SUM(R90:AC90)</f>
        <v>1602437</v>
      </c>
      <c r="AE90" s="18"/>
      <c r="AF90" s="820">
        <v>145616</v>
      </c>
      <c r="AG90" s="810">
        <v>168450</v>
      </c>
      <c r="AH90" s="810">
        <v>153291</v>
      </c>
      <c r="AI90" s="810">
        <v>149378</v>
      </c>
      <c r="AJ90" s="810">
        <v>196360</v>
      </c>
      <c r="AK90" s="810">
        <v>170558</v>
      </c>
      <c r="AL90" s="810">
        <v>171758</v>
      </c>
      <c r="AM90" s="810">
        <f t="shared" ref="AM90:AQ90" si="193">SUM(AM91:AM92)</f>
        <v>168974</v>
      </c>
      <c r="AN90" s="810">
        <f t="shared" si="193"/>
        <v>144792</v>
      </c>
      <c r="AO90" s="810">
        <f t="shared" si="193"/>
        <v>141375</v>
      </c>
      <c r="AP90" s="810">
        <f t="shared" si="193"/>
        <v>143221</v>
      </c>
      <c r="AQ90" s="810">
        <f t="shared" si="193"/>
        <v>85543</v>
      </c>
      <c r="AR90" s="810">
        <f t="shared" ref="AR90:AR94" si="194">SUM(AF90:AQ90)</f>
        <v>1839316</v>
      </c>
      <c r="AS90" s="28"/>
      <c r="AT90" s="810">
        <f t="shared" ref="AT90:BE90" si="195">SUM(AT91:AT92)</f>
        <v>120211</v>
      </c>
      <c r="AU90" s="810">
        <f t="shared" si="195"/>
        <v>120216</v>
      </c>
      <c r="AV90" s="810">
        <f t="shared" si="195"/>
        <v>101053</v>
      </c>
      <c r="AW90" s="810">
        <f t="shared" si="195"/>
        <v>137388</v>
      </c>
      <c r="AX90" s="810">
        <f t="shared" si="195"/>
        <v>137400</v>
      </c>
      <c r="AY90" s="810">
        <f t="shared" si="195"/>
        <v>135412</v>
      </c>
      <c r="AZ90" s="810">
        <f t="shared" si="195"/>
        <v>157032</v>
      </c>
      <c r="BA90" s="810">
        <f t="shared" si="195"/>
        <v>173287</v>
      </c>
      <c r="BB90" s="596">
        <f t="shared" si="195"/>
        <v>166815</v>
      </c>
      <c r="BC90" s="596">
        <f t="shared" si="195"/>
        <v>153816</v>
      </c>
      <c r="BD90" s="596">
        <f t="shared" si="195"/>
        <v>138051</v>
      </c>
      <c r="BE90" s="596">
        <f t="shared" si="195"/>
        <v>55950</v>
      </c>
      <c r="BF90" s="596">
        <f t="shared" ref="BF90:BF94" si="196">SUM(AT90:BE90)</f>
        <v>1596631</v>
      </c>
      <c r="BG90" s="54">
        <f>BF90/AR90-1</f>
        <v>-0.1319430701412917</v>
      </c>
      <c r="BH90" s="810">
        <f t="shared" ref="BH90:BQ90" si="197">SUM(BH91:BH92)</f>
        <v>138562</v>
      </c>
      <c r="BI90" s="810">
        <f t="shared" si="197"/>
        <v>109391</v>
      </c>
      <c r="BJ90" s="810">
        <f t="shared" si="197"/>
        <v>160056</v>
      </c>
      <c r="BK90" s="810">
        <f t="shared" si="197"/>
        <v>124826</v>
      </c>
      <c r="BL90" s="810">
        <f t="shared" si="197"/>
        <v>151185</v>
      </c>
      <c r="BM90" s="810">
        <f t="shared" si="197"/>
        <v>134688</v>
      </c>
      <c r="BN90" s="810">
        <f t="shared" si="197"/>
        <v>157005</v>
      </c>
      <c r="BO90" s="810">
        <f t="shared" si="197"/>
        <v>151231</v>
      </c>
      <c r="BP90" s="810">
        <f t="shared" si="197"/>
        <v>143335</v>
      </c>
      <c r="BQ90" s="810">
        <f t="shared" si="197"/>
        <v>159215</v>
      </c>
      <c r="BR90" s="810"/>
      <c r="BS90" s="810"/>
      <c r="BT90" s="810">
        <f t="shared" ref="BT90:BT94" si="198">SUM(BH90:BS90)</f>
        <v>1429494</v>
      </c>
      <c r="BU90" s="18"/>
      <c r="BV90" s="810">
        <v>154584</v>
      </c>
      <c r="BW90" s="810">
        <v>151963</v>
      </c>
      <c r="BX90" s="810">
        <v>144646</v>
      </c>
      <c r="BY90" s="810">
        <v>178798</v>
      </c>
      <c r="BZ90" s="810">
        <v>151863</v>
      </c>
      <c r="CA90" s="810">
        <v>152310</v>
      </c>
      <c r="CB90" s="810">
        <f>CB91+CB92</f>
        <v>177824</v>
      </c>
      <c r="CC90" s="810">
        <f t="shared" ref="CC90:CJ90" si="199">CC91+CC92</f>
        <v>155456</v>
      </c>
      <c r="CD90" s="810">
        <f t="shared" si="199"/>
        <v>159431</v>
      </c>
      <c r="CE90" s="810">
        <v>173593</v>
      </c>
      <c r="CF90" s="810">
        <v>154850</v>
      </c>
      <c r="CG90" s="810">
        <f t="shared" si="199"/>
        <v>0</v>
      </c>
      <c r="CH90" s="810">
        <f t="shared" ref="CH90" si="200">SUM(BV90:CG90)</f>
        <v>1755318</v>
      </c>
      <c r="CJ90" s="810">
        <v>155428</v>
      </c>
      <c r="CK90" s="810">
        <f>SUM(CK91:CK92)</f>
        <v>182595</v>
      </c>
      <c r="CL90" s="810">
        <f>SUM(CL91:CL92)</f>
        <v>175111</v>
      </c>
      <c r="CM90" s="810">
        <f>SUM(CM91:CM92)</f>
        <v>192052</v>
      </c>
      <c r="CN90" s="810">
        <v>214788</v>
      </c>
      <c r="CO90" s="810">
        <v>143727</v>
      </c>
      <c r="CP90" s="810">
        <v>191217</v>
      </c>
      <c r="CQ90" s="810">
        <v>180648</v>
      </c>
      <c r="CR90" s="810">
        <v>180874</v>
      </c>
      <c r="CS90" s="810"/>
      <c r="CT90" s="810"/>
      <c r="CU90" s="810"/>
      <c r="CV90" s="810"/>
      <c r="CW90" s="758"/>
      <c r="CX90" s="810">
        <v>191345</v>
      </c>
      <c r="CY90" s="810">
        <v>145396</v>
      </c>
      <c r="CZ90" s="810">
        <f t="shared" ref="CZ90:DI90" si="201">CL90</f>
        <v>175111</v>
      </c>
      <c r="DA90" s="810">
        <f t="shared" si="201"/>
        <v>192052</v>
      </c>
      <c r="DB90" s="810">
        <f t="shared" si="201"/>
        <v>214788</v>
      </c>
      <c r="DC90" s="810">
        <f t="shared" si="201"/>
        <v>143727</v>
      </c>
      <c r="DD90" s="810">
        <f t="shared" si="201"/>
        <v>191217</v>
      </c>
      <c r="DE90" s="810">
        <f t="shared" si="201"/>
        <v>180648</v>
      </c>
      <c r="DF90" s="810">
        <f t="shared" si="201"/>
        <v>180874</v>
      </c>
      <c r="DG90" s="810">
        <f t="shared" si="201"/>
        <v>0</v>
      </c>
      <c r="DH90" s="810">
        <f t="shared" si="201"/>
        <v>0</v>
      </c>
      <c r="DI90" s="810">
        <f t="shared" si="201"/>
        <v>0</v>
      </c>
      <c r="DJ90" s="810"/>
      <c r="DK90" s="948"/>
      <c r="DL90" s="810">
        <f>CX90</f>
        <v>191345</v>
      </c>
      <c r="DM90" s="810">
        <f t="shared" ref="DM90:DW90" si="202">CY90</f>
        <v>145396</v>
      </c>
      <c r="DN90" s="810">
        <f t="shared" si="202"/>
        <v>175111</v>
      </c>
      <c r="DO90" s="810">
        <f t="shared" si="202"/>
        <v>192052</v>
      </c>
      <c r="DP90" s="810">
        <f t="shared" si="202"/>
        <v>214788</v>
      </c>
      <c r="DQ90" s="810">
        <f t="shared" si="202"/>
        <v>143727</v>
      </c>
      <c r="DR90" s="810">
        <f t="shared" si="202"/>
        <v>191217</v>
      </c>
      <c r="DS90" s="810">
        <f t="shared" si="202"/>
        <v>180648</v>
      </c>
      <c r="DT90" s="810">
        <f t="shared" si="202"/>
        <v>180874</v>
      </c>
      <c r="DU90" s="810">
        <f t="shared" si="202"/>
        <v>0</v>
      </c>
      <c r="DV90" s="810">
        <f t="shared" si="202"/>
        <v>0</v>
      </c>
      <c r="DW90" s="810">
        <f t="shared" si="202"/>
        <v>0</v>
      </c>
      <c r="DX90" s="810"/>
    </row>
    <row r="91" spans="1:129" ht="15.75" hidden="1" customHeight="1">
      <c r="A91" s="821"/>
      <c r="B91" s="823" t="s">
        <v>134</v>
      </c>
      <c r="C91" s="814"/>
      <c r="D91" s="804"/>
      <c r="E91" s="805"/>
      <c r="F91" s="805"/>
      <c r="G91" s="805"/>
      <c r="H91" s="805"/>
      <c r="I91" s="805"/>
      <c r="J91" s="805"/>
      <c r="K91" s="805"/>
      <c r="L91" s="805"/>
      <c r="M91" s="805"/>
      <c r="N91" s="805"/>
      <c r="O91" s="805"/>
      <c r="P91" s="806"/>
      <c r="Q91" s="807"/>
      <c r="R91" s="804"/>
      <c r="S91" s="596"/>
      <c r="T91" s="596"/>
      <c r="U91" s="596"/>
      <c r="V91" s="596"/>
      <c r="W91" s="596"/>
      <c r="X91" s="596"/>
      <c r="Y91" s="596"/>
      <c r="Z91" s="596"/>
      <c r="AA91" s="596"/>
      <c r="AB91" s="596"/>
      <c r="AC91" s="596"/>
      <c r="AD91" s="809"/>
      <c r="AE91" s="28"/>
      <c r="AF91" s="808">
        <v>126362</v>
      </c>
      <c r="AG91" s="596">
        <v>153970</v>
      </c>
      <c r="AH91" s="596">
        <v>128331</v>
      </c>
      <c r="AI91" s="596">
        <v>135338</v>
      </c>
      <c r="AJ91" s="596">
        <v>177312</v>
      </c>
      <c r="AK91" s="596">
        <v>150818</v>
      </c>
      <c r="AL91" s="596">
        <v>158858</v>
      </c>
      <c r="AM91" s="596">
        <v>153933</v>
      </c>
      <c r="AN91" s="596">
        <v>134244</v>
      </c>
      <c r="AO91" s="596">
        <v>137435</v>
      </c>
      <c r="AP91" s="596">
        <v>143221</v>
      </c>
      <c r="AQ91" s="596">
        <v>85543</v>
      </c>
      <c r="AR91" s="810">
        <f t="shared" si="194"/>
        <v>1685365</v>
      </c>
      <c r="AS91" s="28"/>
      <c r="AT91" s="596">
        <v>120211</v>
      </c>
      <c r="AU91" s="596">
        <v>120216</v>
      </c>
      <c r="AV91" s="596">
        <v>101053</v>
      </c>
      <c r="AW91" s="596">
        <v>137388</v>
      </c>
      <c r="AX91" s="596">
        <v>137400</v>
      </c>
      <c r="AY91" s="596">
        <v>135412</v>
      </c>
      <c r="AZ91" s="596">
        <v>157032</v>
      </c>
      <c r="BA91" s="596">
        <v>172227</v>
      </c>
      <c r="BB91" s="596">
        <f>157995+8500</f>
        <v>166495</v>
      </c>
      <c r="BC91" s="596">
        <v>153816</v>
      </c>
      <c r="BD91" s="596">
        <v>138051</v>
      </c>
      <c r="BE91" s="596">
        <v>55950</v>
      </c>
      <c r="BF91" s="596">
        <f t="shared" si="196"/>
        <v>1595251</v>
      </c>
      <c r="BG91" s="28"/>
      <c r="BH91" s="596">
        <v>138562</v>
      </c>
      <c r="BI91" s="596">
        <v>109391</v>
      </c>
      <c r="BJ91" s="596">
        <v>160056</v>
      </c>
      <c r="BK91" s="596">
        <v>124826</v>
      </c>
      <c r="BL91" s="596">
        <v>151185</v>
      </c>
      <c r="BM91" s="596">
        <v>134688</v>
      </c>
      <c r="BN91" s="596">
        <v>157005</v>
      </c>
      <c r="BO91" s="596">
        <v>151231</v>
      </c>
      <c r="BP91" s="596">
        <v>143335</v>
      </c>
      <c r="BQ91" s="596">
        <v>159215</v>
      </c>
      <c r="BR91" s="596"/>
      <c r="BS91" s="596"/>
      <c r="BT91" s="596">
        <f t="shared" si="198"/>
        <v>1429494</v>
      </c>
      <c r="BU91" s="28"/>
      <c r="BV91" s="596">
        <v>154584</v>
      </c>
      <c r="BW91" s="596">
        <v>151963</v>
      </c>
      <c r="BX91" s="596">
        <v>144646</v>
      </c>
      <c r="BY91" s="596">
        <v>178798</v>
      </c>
      <c r="BZ91" s="596">
        <v>151863</v>
      </c>
      <c r="CA91" s="596">
        <v>152310</v>
      </c>
      <c r="CB91" s="596">
        <v>177824</v>
      </c>
      <c r="CC91" s="596">
        <v>155456</v>
      </c>
      <c r="CD91" s="596">
        <v>159431</v>
      </c>
      <c r="CE91" s="596"/>
      <c r="CF91" s="596"/>
      <c r="CG91" s="596"/>
      <c r="CH91" s="596"/>
      <c r="CJ91" s="596">
        <v>145276</v>
      </c>
      <c r="CK91" s="596">
        <v>157921</v>
      </c>
      <c r="CL91" s="596">
        <v>147905</v>
      </c>
      <c r="CM91" s="596">
        <v>157807</v>
      </c>
      <c r="CN91" s="596"/>
      <c r="CO91" s="596"/>
      <c r="CP91" s="596"/>
      <c r="CQ91" s="596"/>
      <c r="CR91" s="596"/>
      <c r="CS91" s="596"/>
      <c r="CT91" s="596"/>
      <c r="CU91" s="596"/>
      <c r="CV91" s="596"/>
      <c r="CW91" s="758"/>
      <c r="CX91" s="940"/>
      <c r="CY91" s="940"/>
      <c r="CZ91" s="596">
        <v>6339</v>
      </c>
      <c r="DA91" s="940"/>
      <c r="DB91" s="940"/>
      <c r="DC91" s="940"/>
      <c r="DD91" s="940"/>
      <c r="DE91" s="940"/>
      <c r="DF91" s="940"/>
      <c r="DG91" s="940"/>
      <c r="DH91" s="940"/>
      <c r="DI91" s="940"/>
      <c r="DJ91" s="596"/>
      <c r="DK91" s="948"/>
      <c r="DL91" s="940">
        <f>DL18-DL17</f>
        <v>0.53897234587788267</v>
      </c>
      <c r="DM91" s="940">
        <f t="shared" ref="DM91:DW91" si="203">DM18-DM17</f>
        <v>0.52138786839585949</v>
      </c>
      <c r="DN91" s="940">
        <f t="shared" si="203"/>
        <v>0.59261791924350926</v>
      </c>
      <c r="DO91" s="940">
        <f t="shared" si="203"/>
        <v>0.48687099059071048</v>
      </c>
      <c r="DP91" s="940">
        <f t="shared" si="203"/>
        <v>0.56352056967163189</v>
      </c>
      <c r="DQ91" s="940">
        <f t="shared" si="203"/>
        <v>0.57871993762679219</v>
      </c>
      <c r="DR91" s="940">
        <f t="shared" si="203"/>
        <v>0.70577835757259066</v>
      </c>
      <c r="DS91" s="940">
        <f t="shared" si="203"/>
        <v>0.75011288051467551</v>
      </c>
      <c r="DT91" s="940">
        <f t="shared" si="203"/>
        <v>0.87672437143999082</v>
      </c>
      <c r="DU91" s="940">
        <f t="shared" si="203"/>
        <v>0.98116117690374405</v>
      </c>
      <c r="DV91" s="940">
        <f t="shared" si="203"/>
        <v>1.0271378886046905</v>
      </c>
      <c r="DW91" s="940">
        <f t="shared" si="203"/>
        <v>1.0494901126114164</v>
      </c>
      <c r="DX91" s="596"/>
    </row>
    <row r="92" spans="1:129" ht="15.75" hidden="1" customHeight="1">
      <c r="A92" s="821"/>
      <c r="B92" s="823" t="s">
        <v>135</v>
      </c>
      <c r="C92" s="814"/>
      <c r="D92" s="804"/>
      <c r="E92" s="805"/>
      <c r="F92" s="805"/>
      <c r="G92" s="805"/>
      <c r="H92" s="805"/>
      <c r="I92" s="805"/>
      <c r="J92" s="805"/>
      <c r="K92" s="805"/>
      <c r="L92" s="805"/>
      <c r="M92" s="805"/>
      <c r="N92" s="805"/>
      <c r="O92" s="805"/>
      <c r="P92" s="806"/>
      <c r="Q92" s="807"/>
      <c r="R92" s="804"/>
      <c r="S92" s="596"/>
      <c r="T92" s="596"/>
      <c r="U92" s="596"/>
      <c r="V92" s="596"/>
      <c r="W92" s="596"/>
      <c r="X92" s="596"/>
      <c r="Y92" s="596"/>
      <c r="Z92" s="596"/>
      <c r="AA92" s="596"/>
      <c r="AB92" s="596"/>
      <c r="AC92" s="596"/>
      <c r="AD92" s="809"/>
      <c r="AE92" s="28"/>
      <c r="AF92" s="596">
        <f t="shared" ref="AF92:AL92" si="204">AF90-AF91</f>
        <v>19254</v>
      </c>
      <c r="AG92" s="596">
        <f t="shared" si="204"/>
        <v>14480</v>
      </c>
      <c r="AH92" s="596">
        <f t="shared" si="204"/>
        <v>24960</v>
      </c>
      <c r="AI92" s="596">
        <f t="shared" si="204"/>
        <v>14040</v>
      </c>
      <c r="AJ92" s="596">
        <f t="shared" si="204"/>
        <v>19048</v>
      </c>
      <c r="AK92" s="596">
        <f t="shared" si="204"/>
        <v>19740</v>
      </c>
      <c r="AL92" s="596">
        <f t="shared" si="204"/>
        <v>12900</v>
      </c>
      <c r="AM92" s="596">
        <v>15041</v>
      </c>
      <c r="AN92" s="596">
        <v>10548</v>
      </c>
      <c r="AO92" s="596">
        <v>3940</v>
      </c>
      <c r="AP92" s="596">
        <v>0</v>
      </c>
      <c r="AQ92" s="596">
        <v>0</v>
      </c>
      <c r="AR92" s="810">
        <f t="shared" si="194"/>
        <v>153951</v>
      </c>
      <c r="AS92" s="28"/>
      <c r="AT92" s="596">
        <v>0</v>
      </c>
      <c r="AU92" s="596">
        <v>0</v>
      </c>
      <c r="AV92" s="596">
        <v>0</v>
      </c>
      <c r="AW92" s="596">
        <v>0</v>
      </c>
      <c r="AX92" s="596">
        <v>0</v>
      </c>
      <c r="AY92" s="596">
        <v>0</v>
      </c>
      <c r="AZ92" s="596">
        <v>0</v>
      </c>
      <c r="BA92" s="596">
        <v>1060</v>
      </c>
      <c r="BB92" s="596">
        <v>320</v>
      </c>
      <c r="BC92" s="596">
        <v>0</v>
      </c>
      <c r="BD92" s="596">
        <v>0</v>
      </c>
      <c r="BE92" s="596"/>
      <c r="BF92" s="596">
        <f t="shared" si="196"/>
        <v>1380</v>
      </c>
      <c r="BG92" s="28"/>
      <c r="BH92" s="596"/>
      <c r="BI92" s="596"/>
      <c r="BJ92" s="596"/>
      <c r="BK92" s="596"/>
      <c r="BL92" s="596"/>
      <c r="BM92" s="596"/>
      <c r="BN92" s="596"/>
      <c r="BO92" s="596"/>
      <c r="BP92" s="596"/>
      <c r="BQ92" s="596"/>
      <c r="BR92" s="596"/>
      <c r="BS92" s="596"/>
      <c r="BT92" s="596">
        <f t="shared" si="198"/>
        <v>0</v>
      </c>
      <c r="BU92" s="28"/>
      <c r="BV92" s="596"/>
      <c r="BW92" s="596"/>
      <c r="BX92" s="596"/>
      <c r="BY92" s="596"/>
      <c r="BZ92" s="596"/>
      <c r="CA92" s="596"/>
      <c r="CB92" s="596"/>
      <c r="CC92" s="596"/>
      <c r="CD92" s="596"/>
      <c r="CE92" s="596"/>
      <c r="CF92" s="596"/>
      <c r="CG92" s="596"/>
      <c r="CH92" s="596"/>
      <c r="CJ92" s="596">
        <v>14444</v>
      </c>
      <c r="CK92" s="596">
        <v>24674</v>
      </c>
      <c r="CL92" s="596">
        <v>27206</v>
      </c>
      <c r="CM92" s="596">
        <v>34245</v>
      </c>
      <c r="CN92" s="596"/>
      <c r="CO92" s="596"/>
      <c r="CP92" s="596"/>
      <c r="CQ92" s="596"/>
      <c r="CR92" s="596"/>
      <c r="CS92" s="596"/>
      <c r="CT92" s="596"/>
      <c r="CU92" s="596"/>
      <c r="CV92" s="596"/>
      <c r="CW92" s="758"/>
      <c r="CX92" s="596">
        <v>2341</v>
      </c>
      <c r="CY92" s="596">
        <v>2341</v>
      </c>
      <c r="CZ92" s="596">
        <v>2469</v>
      </c>
      <c r="DA92" s="596"/>
      <c r="DB92" s="596"/>
      <c r="DC92" s="596"/>
      <c r="DD92" s="596"/>
      <c r="DE92" s="596"/>
      <c r="DF92" s="596"/>
      <c r="DG92" s="596"/>
      <c r="DH92" s="596"/>
      <c r="DI92" s="596"/>
      <c r="DJ92" s="596"/>
      <c r="DK92" s="948"/>
      <c r="DL92" s="596"/>
      <c r="DM92" s="596"/>
      <c r="DN92" s="596"/>
      <c r="DO92" s="596"/>
      <c r="DP92" s="596"/>
      <c r="DQ92" s="596"/>
      <c r="DR92" s="596"/>
      <c r="DS92" s="596"/>
      <c r="DT92" s="596"/>
      <c r="DU92" s="596"/>
      <c r="DV92" s="596"/>
      <c r="DW92" s="596"/>
      <c r="DX92" s="596"/>
    </row>
    <row r="93" spans="1:129" ht="18.75" hidden="1">
      <c r="A93" s="103" t="s">
        <v>103</v>
      </c>
      <c r="B93" s="337"/>
      <c r="C93" s="330"/>
      <c r="D93" s="331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332"/>
      <c r="Q93" s="105"/>
      <c r="R93" s="333"/>
      <c r="S93" s="333"/>
      <c r="T93" s="333"/>
      <c r="U93" s="333"/>
      <c r="V93" s="333"/>
      <c r="W93" s="333"/>
      <c r="X93" s="333"/>
      <c r="Y93" s="333"/>
      <c r="Z93" s="333"/>
      <c r="AA93" s="333"/>
      <c r="AB93" s="333"/>
      <c r="AC93" s="333"/>
      <c r="AD93" s="334"/>
      <c r="AE93" s="106"/>
      <c r="AF93" s="333">
        <f t="shared" ref="AF93:AQ93" si="205">AF90-AF81</f>
        <v>-15784</v>
      </c>
      <c r="AG93" s="333">
        <f t="shared" si="205"/>
        <v>2450</v>
      </c>
      <c r="AH93" s="333">
        <f t="shared" si="205"/>
        <v>2820</v>
      </c>
      <c r="AI93" s="333">
        <f t="shared" si="205"/>
        <v>338</v>
      </c>
      <c r="AJ93" s="333">
        <f t="shared" si="205"/>
        <v>0</v>
      </c>
      <c r="AK93" s="333">
        <f t="shared" si="205"/>
        <v>7258</v>
      </c>
      <c r="AL93" s="333">
        <f t="shared" si="205"/>
        <v>-18242</v>
      </c>
      <c r="AM93" s="333">
        <f t="shared" si="205"/>
        <v>1974</v>
      </c>
      <c r="AN93" s="333">
        <f t="shared" si="205"/>
        <v>-25708</v>
      </c>
      <c r="AO93" s="333">
        <f t="shared" si="205"/>
        <v>1375</v>
      </c>
      <c r="AP93" s="333">
        <f t="shared" si="205"/>
        <v>13221</v>
      </c>
      <c r="AQ93" s="333">
        <f t="shared" si="205"/>
        <v>-14457</v>
      </c>
      <c r="AR93" s="107">
        <f t="shared" si="194"/>
        <v>-44755</v>
      </c>
      <c r="AS93" s="106"/>
      <c r="AT93" s="333">
        <f t="shared" ref="AT93:BE93" si="206">AT90-AT81</f>
        <v>-12789</v>
      </c>
      <c r="AU93" s="333">
        <f t="shared" si="206"/>
        <v>-4964</v>
      </c>
      <c r="AV93" s="333">
        <f t="shared" si="206"/>
        <v>-16175</v>
      </c>
      <c r="AW93" s="333">
        <f t="shared" si="206"/>
        <v>9888</v>
      </c>
      <c r="AX93" s="333">
        <f t="shared" si="206"/>
        <v>-2600</v>
      </c>
      <c r="AY93" s="333">
        <f t="shared" si="206"/>
        <v>-22930.999998999992</v>
      </c>
      <c r="AZ93" s="333">
        <f t="shared" si="206"/>
        <v>4623</v>
      </c>
      <c r="BA93" s="333">
        <f t="shared" si="206"/>
        <v>-233</v>
      </c>
      <c r="BB93" s="333">
        <f t="shared" si="206"/>
        <v>1815</v>
      </c>
      <c r="BC93" s="333">
        <f t="shared" si="206"/>
        <v>-3684</v>
      </c>
      <c r="BD93" s="333">
        <f t="shared" si="206"/>
        <v>8620</v>
      </c>
      <c r="BE93" s="333">
        <f t="shared" si="206"/>
        <v>-5750</v>
      </c>
      <c r="BF93" s="108">
        <f t="shared" si="196"/>
        <v>-44179.999998999992</v>
      </c>
      <c r="BG93" s="106"/>
      <c r="BH93" s="333">
        <f t="shared" ref="BH93:BQ93" si="207">BH90-BH81</f>
        <v>-1198</v>
      </c>
      <c r="BI93" s="333">
        <f t="shared" si="207"/>
        <v>-7189</v>
      </c>
      <c r="BJ93" s="333">
        <f t="shared" si="207"/>
        <v>11716</v>
      </c>
      <c r="BK93" s="333">
        <f t="shared" si="207"/>
        <v>12466</v>
      </c>
      <c r="BL93" s="333">
        <f t="shared" si="207"/>
        <v>42525</v>
      </c>
      <c r="BM93" s="333">
        <f t="shared" si="207"/>
        <v>-18728</v>
      </c>
      <c r="BN93" s="333">
        <f t="shared" si="207"/>
        <v>19329</v>
      </c>
      <c r="BO93" s="333">
        <f t="shared" si="207"/>
        <v>-9423</v>
      </c>
      <c r="BP93" s="333">
        <f t="shared" si="207"/>
        <v>-13665</v>
      </c>
      <c r="BQ93" s="333">
        <f t="shared" si="207"/>
        <v>2490</v>
      </c>
      <c r="BR93" s="108"/>
      <c r="BS93" s="108"/>
      <c r="BT93" s="108">
        <f t="shared" si="198"/>
        <v>38323</v>
      </c>
      <c r="BU93" s="28"/>
      <c r="BV93" s="333"/>
      <c r="BW93" s="333"/>
      <c r="BX93" s="333"/>
      <c r="BY93" s="333">
        <f>BY90-BY81</f>
        <v>5998</v>
      </c>
      <c r="BZ93" s="333">
        <f t="shared" ref="BZ93:CG93" si="208">BZ90-BZ81</f>
        <v>-13737</v>
      </c>
      <c r="CA93" s="333">
        <f t="shared" si="208"/>
        <v>-6090</v>
      </c>
      <c r="CB93" s="333">
        <f t="shared" si="208"/>
        <v>-2176</v>
      </c>
      <c r="CC93" s="333">
        <f t="shared" si="208"/>
        <v>-17344</v>
      </c>
      <c r="CD93" s="333">
        <f t="shared" si="208"/>
        <v>-13369</v>
      </c>
      <c r="CE93" s="333">
        <f t="shared" si="208"/>
        <v>793</v>
      </c>
      <c r="CF93" s="333">
        <f t="shared" si="208"/>
        <v>-12350</v>
      </c>
      <c r="CG93" s="333">
        <f t="shared" si="208"/>
        <v>-98800</v>
      </c>
      <c r="CH93" s="333">
        <f>CH90-CH81</f>
        <v>-118882</v>
      </c>
      <c r="CJ93" s="333">
        <f t="shared" ref="CJ93:CV93" si="209">CJ90-CJ81</f>
        <v>-9572</v>
      </c>
      <c r="CK93" s="333">
        <f>CK90-CK81</f>
        <v>-6005</v>
      </c>
      <c r="CL93" s="333">
        <f t="shared" si="209"/>
        <v>4111</v>
      </c>
      <c r="CM93" s="333">
        <f t="shared" si="209"/>
        <v>-7948</v>
      </c>
      <c r="CN93" s="333">
        <f t="shared" si="209"/>
        <v>36498</v>
      </c>
      <c r="CO93" s="333">
        <f t="shared" si="209"/>
        <v>-54273</v>
      </c>
      <c r="CP93" s="333">
        <f t="shared" si="209"/>
        <v>-53783</v>
      </c>
      <c r="CQ93" s="333">
        <f t="shared" si="209"/>
        <v>-27252</v>
      </c>
      <c r="CR93" s="333">
        <f t="shared" si="209"/>
        <v>-36926</v>
      </c>
      <c r="CS93" s="333">
        <f t="shared" si="209"/>
        <v>-205579</v>
      </c>
      <c r="CT93" s="333">
        <f t="shared" si="209"/>
        <v>-164340</v>
      </c>
      <c r="CU93" s="333">
        <f t="shared" si="209"/>
        <v>-118660</v>
      </c>
      <c r="CV93" s="333">
        <f t="shared" si="209"/>
        <v>-2260169</v>
      </c>
      <c r="CW93" s="758"/>
      <c r="CX93" s="333">
        <f>CX90-CX80</f>
        <v>-3422.0999999999767</v>
      </c>
      <c r="CY93" s="333">
        <f t="shared" ref="CY93:DK93" si="210">CY90-CY81</f>
        <v>27531.399999999994</v>
      </c>
      <c r="CZ93" s="333">
        <f t="shared" si="210"/>
        <v>173731</v>
      </c>
      <c r="DA93" s="333">
        <f t="shared" si="210"/>
        <v>146212</v>
      </c>
      <c r="DB93" s="333">
        <f t="shared" si="210"/>
        <v>43280</v>
      </c>
      <c r="DC93" s="333">
        <f t="shared" si="210"/>
        <v>28557</v>
      </c>
      <c r="DD93" s="333">
        <f t="shared" si="210"/>
        <v>16017</v>
      </c>
      <c r="DE93" s="333">
        <f t="shared" si="210"/>
        <v>24518</v>
      </c>
      <c r="DF93" s="333">
        <f t="shared" si="210"/>
        <v>18982</v>
      </c>
      <c r="DG93" s="333">
        <f t="shared" si="210"/>
        <v>-186892</v>
      </c>
      <c r="DH93" s="333">
        <f t="shared" si="210"/>
        <v>-172684</v>
      </c>
      <c r="DI93" s="333">
        <f t="shared" si="210"/>
        <v>-93664</v>
      </c>
      <c r="DJ93" s="333">
        <f t="shared" si="210"/>
        <v>-1530111.7</v>
      </c>
      <c r="DK93" s="948"/>
      <c r="DL93" s="333">
        <f t="shared" ref="DL93:DX93" si="211">DL90-DL81</f>
        <v>49405</v>
      </c>
      <c r="DM93" s="333">
        <f t="shared" si="211"/>
        <v>12586</v>
      </c>
      <c r="DN93" s="333">
        <f t="shared" si="211"/>
        <v>11531</v>
      </c>
      <c r="DO93" s="333">
        <f t="shared" si="211"/>
        <v>15612</v>
      </c>
      <c r="DP93" s="333">
        <f t="shared" si="211"/>
        <v>51708</v>
      </c>
      <c r="DQ93" s="333">
        <f t="shared" si="211"/>
        <v>12217</v>
      </c>
      <c r="DR93" s="333">
        <f t="shared" si="211"/>
        <v>30325</v>
      </c>
      <c r="DS93" s="333">
        <f t="shared" si="211"/>
        <v>43138</v>
      </c>
      <c r="DT93" s="333">
        <f t="shared" si="211"/>
        <v>18982</v>
      </c>
      <c r="DU93" s="333">
        <f t="shared" si="211"/>
        <v>-186892</v>
      </c>
      <c r="DV93" s="333">
        <f t="shared" si="211"/>
        <v>-172684</v>
      </c>
      <c r="DW93" s="333">
        <f t="shared" si="211"/>
        <v>-93664</v>
      </c>
      <c r="DX93" s="333">
        <f t="shared" si="211"/>
        <v>-1822894</v>
      </c>
    </row>
    <row r="94" spans="1:129" ht="14.25" hidden="1" customHeight="1">
      <c r="A94" s="55" t="s">
        <v>104</v>
      </c>
      <c r="B94" s="56"/>
      <c r="C94" s="280"/>
      <c r="D94" s="288" t="e">
        <f t="shared" ref="D94:F94" si="212">#REF!-#REF!</f>
        <v>#REF!</v>
      </c>
      <c r="E94" s="57" t="e">
        <f t="shared" si="212"/>
        <v>#REF!</v>
      </c>
      <c r="F94" s="57" t="e">
        <f t="shared" si="212"/>
        <v>#REF!</v>
      </c>
      <c r="G94" s="57" t="e">
        <f t="shared" ref="G94:I94" si="213">G81-#REF!</f>
        <v>#REF!</v>
      </c>
      <c r="H94" s="57" t="e">
        <f t="shared" si="213"/>
        <v>#REF!</v>
      </c>
      <c r="I94" s="57" t="e">
        <f t="shared" si="213"/>
        <v>#REF!</v>
      </c>
      <c r="J94" s="57" t="e">
        <f t="shared" ref="J94:K94" si="214">#REF!-#REF!</f>
        <v>#REF!</v>
      </c>
      <c r="K94" s="57" t="e">
        <f t="shared" si="214"/>
        <v>#REF!</v>
      </c>
      <c r="L94" s="57">
        <f>L81-L34</f>
        <v>-24911</v>
      </c>
      <c r="M94" s="57">
        <f>M81-M34</f>
        <v>-13674</v>
      </c>
      <c r="N94" s="57">
        <f>N81-N34</f>
        <v>57632</v>
      </c>
      <c r="O94" s="57">
        <f>O81-O34</f>
        <v>74079</v>
      </c>
      <c r="P94" s="289" t="e">
        <f>SUM(D94:O94)</f>
        <v>#REF!</v>
      </c>
      <c r="Q94" s="39"/>
      <c r="R94" s="288">
        <f t="shared" ref="R94:AD94" si="215">R81-R34</f>
        <v>22222.660017050745</v>
      </c>
      <c r="S94" s="58">
        <f t="shared" si="215"/>
        <v>17159.673608830723</v>
      </c>
      <c r="T94" s="58">
        <f t="shared" si="215"/>
        <v>-24753.77192982455</v>
      </c>
      <c r="U94" s="58">
        <f t="shared" si="215"/>
        <v>-17814.899999999998</v>
      </c>
      <c r="V94" s="58">
        <f t="shared" si="215"/>
        <v>1715</v>
      </c>
      <c r="W94" s="290">
        <f t="shared" si="215"/>
        <v>120430.6180497602</v>
      </c>
      <c r="X94" s="290">
        <f t="shared" si="215"/>
        <v>43436.666666667006</v>
      </c>
      <c r="Y94" s="290">
        <f t="shared" si="215"/>
        <v>-29747.083333333314</v>
      </c>
      <c r="Z94" s="290">
        <f t="shared" si="215"/>
        <v>-80887.5</v>
      </c>
      <c r="AA94" s="290">
        <f t="shared" si="215"/>
        <v>10200</v>
      </c>
      <c r="AB94" s="290">
        <f t="shared" si="215"/>
        <v>137500</v>
      </c>
      <c r="AC94" s="290">
        <f t="shared" si="215"/>
        <v>134100</v>
      </c>
      <c r="AD94" s="291">
        <f t="shared" si="215"/>
        <v>333561.36307915067</v>
      </c>
      <c r="AE94" s="59"/>
      <c r="AF94" s="292">
        <f t="shared" ref="AF94:AQ94" si="216">AF81-AF34</f>
        <v>32754</v>
      </c>
      <c r="AG94" s="58">
        <f t="shared" si="216"/>
        <v>-11977</v>
      </c>
      <c r="AH94" s="58">
        <f t="shared" si="216"/>
        <v>76847</v>
      </c>
      <c r="AI94" s="58">
        <f t="shared" si="216"/>
        <v>59682</v>
      </c>
      <c r="AJ94" s="58">
        <f t="shared" si="216"/>
        <v>74226</v>
      </c>
      <c r="AK94" s="58">
        <f t="shared" si="216"/>
        <v>14740</v>
      </c>
      <c r="AL94" s="58">
        <f t="shared" si="216"/>
        <v>38005</v>
      </c>
      <c r="AM94" s="58">
        <f t="shared" si="216"/>
        <v>-71903</v>
      </c>
      <c r="AN94" s="58">
        <f t="shared" si="216"/>
        <v>-90633.333333333343</v>
      </c>
      <c r="AO94" s="58">
        <f t="shared" si="216"/>
        <v>-115900</v>
      </c>
      <c r="AP94" s="58">
        <f t="shared" si="216"/>
        <v>1360</v>
      </c>
      <c r="AQ94" s="58">
        <f t="shared" si="216"/>
        <v>2160</v>
      </c>
      <c r="AR94" s="58">
        <f t="shared" si="194"/>
        <v>9360.666666666657</v>
      </c>
      <c r="AS94" s="59"/>
      <c r="AT94" s="58">
        <f t="shared" ref="AT94:BE94" si="217">AT81-AT34</f>
        <v>-19749.25</v>
      </c>
      <c r="AU94" s="58">
        <f t="shared" si="217"/>
        <v>-43342.103448275855</v>
      </c>
      <c r="AV94" s="58">
        <f t="shared" si="217"/>
        <v>-36893.137931034493</v>
      </c>
      <c r="AW94" s="58">
        <f t="shared" si="217"/>
        <v>-32095.137931034493</v>
      </c>
      <c r="AX94" s="58">
        <f t="shared" si="217"/>
        <v>19900.034482758623</v>
      </c>
      <c r="AY94" s="58">
        <f t="shared" si="217"/>
        <v>19999.222221222211</v>
      </c>
      <c r="AZ94" s="58">
        <f t="shared" si="217"/>
        <v>-14264.777777777781</v>
      </c>
      <c r="BA94" s="58">
        <f t="shared" si="217"/>
        <v>-68922.296296296292</v>
      </c>
      <c r="BB94" s="58">
        <f t="shared" si="217"/>
        <v>-78407.777777777781</v>
      </c>
      <c r="BC94" s="58">
        <f t="shared" si="217"/>
        <v>-95868.290755657828</v>
      </c>
      <c r="BD94" s="58">
        <f t="shared" si="217"/>
        <v>-5124.586881472962</v>
      </c>
      <c r="BE94" s="58">
        <f t="shared" si="217"/>
        <v>-10986.612965093984</v>
      </c>
      <c r="BF94" s="58">
        <f t="shared" si="196"/>
        <v>-365754.71506044065</v>
      </c>
      <c r="BG94" s="59"/>
      <c r="BH94" s="58">
        <f t="shared" ref="BH94:BQ94" si="218">BH81-BH34</f>
        <v>-12993</v>
      </c>
      <c r="BI94" s="58">
        <f t="shared" si="218"/>
        <v>-30242.333333333314</v>
      </c>
      <c r="BJ94" s="58">
        <f t="shared" si="218"/>
        <v>-23206.074074074073</v>
      </c>
      <c r="BK94" s="58">
        <f t="shared" si="218"/>
        <v>-47411.74074074073</v>
      </c>
      <c r="BL94" s="58">
        <f t="shared" si="218"/>
        <v>-23836.851851851854</v>
      </c>
      <c r="BM94" s="58">
        <f t="shared" si="218"/>
        <v>23509.740740740745</v>
      </c>
      <c r="BN94" s="58">
        <f t="shared" si="218"/>
        <v>-33707.555555555562</v>
      </c>
      <c r="BO94" s="58">
        <f t="shared" si="218"/>
        <v>-18896.378111111087</v>
      </c>
      <c r="BP94" s="58">
        <f t="shared" si="218"/>
        <v>-45053.749537037045</v>
      </c>
      <c r="BQ94" s="58">
        <f t="shared" si="218"/>
        <v>-7140</v>
      </c>
      <c r="BR94" s="58"/>
      <c r="BS94" s="58"/>
      <c r="BT94" s="58">
        <f t="shared" si="198"/>
        <v>-218977.94246296291</v>
      </c>
      <c r="BU94" s="60"/>
      <c r="BV94" s="58"/>
      <c r="BW94" s="58"/>
      <c r="BX94" s="58"/>
      <c r="BY94" s="58">
        <f>BY81-BY34</f>
        <v>13630.76923076922</v>
      </c>
      <c r="BZ94" s="58">
        <f t="shared" ref="BZ94:CG94" si="219">BZ81-BZ34</f>
        <v>14117.606582143373</v>
      </c>
      <c r="CA94" s="58">
        <f t="shared" si="219"/>
        <v>16957.870899031579</v>
      </c>
      <c r="CB94" s="58">
        <f t="shared" si="219"/>
        <v>3013.7855523840117</v>
      </c>
      <c r="CC94" s="58">
        <f t="shared" si="219"/>
        <v>-28501.089448851068</v>
      </c>
      <c r="CD94" s="58">
        <f t="shared" si="219"/>
        <v>-40033.040135593415</v>
      </c>
      <c r="CE94" s="58">
        <f t="shared" si="219"/>
        <v>-43122.303862118919</v>
      </c>
      <c r="CF94" s="58">
        <f t="shared" si="219"/>
        <v>-3915.8422363018617</v>
      </c>
      <c r="CG94" s="58">
        <f t="shared" si="219"/>
        <v>11316.183308289634</v>
      </c>
      <c r="CH94" s="58">
        <f>CH90-CH76</f>
        <v>-50665</v>
      </c>
      <c r="CJ94" s="58">
        <f t="shared" ref="CJ94:CV94" si="220">CJ81-CJ34</f>
        <v>7083.6330227357394</v>
      </c>
      <c r="CK94" s="58">
        <f t="shared" si="220"/>
        <v>13756.340186358546</v>
      </c>
      <c r="CL94" s="58">
        <f t="shared" si="220"/>
        <v>4307.6667014535924</v>
      </c>
      <c r="CM94" s="58">
        <f t="shared" si="220"/>
        <v>34375.841222512099</v>
      </c>
      <c r="CN94" s="58">
        <f t="shared" si="220"/>
        <v>10438.8879612374</v>
      </c>
      <c r="CO94" s="58">
        <f t="shared" si="220"/>
        <v>63053.84509877002</v>
      </c>
      <c r="CP94" s="58">
        <f t="shared" si="220"/>
        <v>32882.489535864966</v>
      </c>
      <c r="CQ94" s="58">
        <f t="shared" si="220"/>
        <v>-22005.693924050604</v>
      </c>
      <c r="CR94" s="58">
        <f t="shared" si="220"/>
        <v>-47858.190843881865</v>
      </c>
      <c r="CS94" s="58">
        <f t="shared" si="220"/>
        <v>-44713.95105485231</v>
      </c>
      <c r="CT94" s="58">
        <f t="shared" si="220"/>
        <v>-9023.6010970463976</v>
      </c>
      <c r="CU94" s="58">
        <f t="shared" si="220"/>
        <v>22348.607594936708</v>
      </c>
      <c r="CV94" s="58">
        <f t="shared" si="220"/>
        <v>64645.874404037837</v>
      </c>
      <c r="CW94" s="758"/>
      <c r="CX94" s="58">
        <f>CX81-CX34</f>
        <v>-58112.900000000023</v>
      </c>
      <c r="CY94" s="58">
        <f t="shared" ref="CY94:DK94" si="221">CY81-CY34</f>
        <v>-27135.399999999994</v>
      </c>
      <c r="CZ94" s="58">
        <f t="shared" si="221"/>
        <v>-178620</v>
      </c>
      <c r="DA94" s="58">
        <f t="shared" si="221"/>
        <v>-70160</v>
      </c>
      <c r="DB94" s="58">
        <f t="shared" si="221"/>
        <v>-3442.2500000000291</v>
      </c>
      <c r="DC94" s="58">
        <f t="shared" si="221"/>
        <v>-15667.280000000013</v>
      </c>
      <c r="DD94" s="58">
        <f t="shared" si="221"/>
        <v>-38251.280000000057</v>
      </c>
      <c r="DE94" s="58">
        <f t="shared" si="221"/>
        <v>-69834.960000000021</v>
      </c>
      <c r="DF94" s="58">
        <f t="shared" si="221"/>
        <v>-133791.14000000001</v>
      </c>
      <c r="DG94" s="58">
        <f t="shared" si="221"/>
        <v>-93543.060337552743</v>
      </c>
      <c r="DH94" s="58">
        <f t="shared" si="221"/>
        <v>-18312.786751054868</v>
      </c>
      <c r="DI94" s="58">
        <f t="shared" si="221"/>
        <v>-13948.445569620264</v>
      </c>
      <c r="DJ94" s="58">
        <f t="shared" si="221"/>
        <v>-205819.50265822816</v>
      </c>
      <c r="DK94" s="948"/>
      <c r="DL94" s="58">
        <f>DL81-DL34</f>
        <v>-74180.000000000029</v>
      </c>
      <c r="DM94" s="58">
        <f t="shared" ref="DM94:DY94" si="222">DM81-DM34</f>
        <v>-28520</v>
      </c>
      <c r="DN94" s="58">
        <f t="shared" si="222"/>
        <v>-32740</v>
      </c>
      <c r="DO94" s="58">
        <f t="shared" si="222"/>
        <v>-16622.043000000063</v>
      </c>
      <c r="DP94" s="58">
        <f t="shared" si="222"/>
        <v>-27156.131000000023</v>
      </c>
      <c r="DQ94" s="58">
        <f t="shared" si="222"/>
        <v>-10201.864000000031</v>
      </c>
      <c r="DR94" s="58">
        <f t="shared" si="222"/>
        <v>-71768.950200000079</v>
      </c>
      <c r="DS94" s="58">
        <f t="shared" si="222"/>
        <v>-108911.09540000002</v>
      </c>
      <c r="DT94" s="58">
        <f t="shared" si="222"/>
        <v>-161196.95870000008</v>
      </c>
      <c r="DU94" s="58">
        <f t="shared" si="222"/>
        <v>-119312.53237130807</v>
      </c>
      <c r="DV94" s="58">
        <f t="shared" si="222"/>
        <v>-34666.464826160372</v>
      </c>
      <c r="DW94" s="58">
        <f t="shared" si="222"/>
        <v>-21559.690126582282</v>
      </c>
      <c r="DX94" s="58">
        <f t="shared" si="222"/>
        <v>-706835.7296240516</v>
      </c>
    </row>
    <row r="95" spans="1:129" ht="15" hidden="1" customHeight="1">
      <c r="B95" t="s">
        <v>106</v>
      </c>
      <c r="BZ95" s="598"/>
      <c r="CA95" s="598">
        <f>BZ95+CA94</f>
        <v>16957.870899031579</v>
      </c>
      <c r="CB95" s="598">
        <f t="shared" ref="CB95:CG95" si="223">CA95+CB94</f>
        <v>19971.656451415591</v>
      </c>
      <c r="CC95" s="598">
        <f t="shared" si="223"/>
        <v>-8529.4329974354769</v>
      </c>
      <c r="CD95" s="598">
        <f t="shared" si="223"/>
        <v>-48562.473133028892</v>
      </c>
      <c r="CE95" s="598">
        <f t="shared" si="223"/>
        <v>-91684.776995147811</v>
      </c>
      <c r="CF95" s="598">
        <f t="shared" si="223"/>
        <v>-95600.619231449673</v>
      </c>
      <c r="CG95" s="598">
        <f t="shared" si="223"/>
        <v>-84284.435923160039</v>
      </c>
      <c r="CN95">
        <v>147</v>
      </c>
      <c r="CO95">
        <v>147</v>
      </c>
      <c r="CP95">
        <v>147</v>
      </c>
      <c r="CQ95">
        <v>147</v>
      </c>
      <c r="CR95">
        <v>147</v>
      </c>
      <c r="CS95">
        <v>147</v>
      </c>
      <c r="CT95">
        <v>147</v>
      </c>
      <c r="CU95">
        <v>147</v>
      </c>
      <c r="CW95" s="758"/>
      <c r="CX95">
        <f>CX78/(CX77+CX78)</f>
        <v>0.10889228207304867</v>
      </c>
      <c r="CY95">
        <f t="shared" ref="CY95:DI95" si="224">CY78/(CY77+CY78)</f>
        <v>0.10906332005393196</v>
      </c>
      <c r="CZ95">
        <f t="shared" si="224"/>
        <v>0.10560295990871499</v>
      </c>
      <c r="DA95">
        <f t="shared" si="224"/>
        <v>0.1103740306776172</v>
      </c>
      <c r="DB95">
        <f t="shared" si="224"/>
        <v>0.10719587087074026</v>
      </c>
      <c r="DC95">
        <f t="shared" si="224"/>
        <v>0.10168574814977574</v>
      </c>
      <c r="DD95">
        <f t="shared" si="224"/>
        <v>0.11323341515178816</v>
      </c>
      <c r="DE95">
        <f t="shared" si="224"/>
        <v>0.12547428151898654</v>
      </c>
      <c r="DF95">
        <f t="shared" si="224"/>
        <v>0.13109545370781175</v>
      </c>
      <c r="DG95">
        <f t="shared" si="224"/>
        <v>7.9975851863863481E-2</v>
      </c>
      <c r="DH95">
        <f t="shared" si="224"/>
        <v>0.10518071187595056</v>
      </c>
      <c r="DI95">
        <f t="shared" si="224"/>
        <v>9.825520729297918E-2</v>
      </c>
      <c r="DK95" s="948"/>
      <c r="DL95">
        <f>DL78/(DL77+DL78)</f>
        <v>9.6743432367023818E-2</v>
      </c>
      <c r="DM95">
        <f t="shared" ref="DM95:DW95" si="225">DM78/(DM77+DM78)</f>
        <v>9.6498631887906555E-2</v>
      </c>
      <c r="DN95">
        <f t="shared" si="225"/>
        <v>9.4591881536495157E-2</v>
      </c>
      <c r="DO95">
        <f t="shared" si="225"/>
        <v>9.7964874027716115E-2</v>
      </c>
      <c r="DP95">
        <f t="shared" si="225"/>
        <v>9.6214773867036557E-2</v>
      </c>
      <c r="DQ95">
        <f t="shared" si="225"/>
        <v>9.1265234582406166E-2</v>
      </c>
      <c r="DR95">
        <f t="shared" si="225"/>
        <v>0.10014614608853602</v>
      </c>
      <c r="DS95">
        <f t="shared" si="225"/>
        <v>0.11099587737436893</v>
      </c>
      <c r="DT95">
        <f t="shared" si="225"/>
        <v>0.1164117090457787</v>
      </c>
      <c r="DU95">
        <f t="shared" si="225"/>
        <v>7.1907521879673655E-2</v>
      </c>
      <c r="DV95">
        <f t="shared" si="225"/>
        <v>9.4879734818233225E-2</v>
      </c>
      <c r="DW95">
        <f t="shared" si="225"/>
        <v>8.908196304065602E-2</v>
      </c>
    </row>
    <row r="96" spans="1:129" ht="15" hidden="1" customHeight="1">
      <c r="B96" t="s">
        <v>107</v>
      </c>
      <c r="CN96" s="735">
        <f>CN89/CN95</f>
        <v>8840.5732799999987</v>
      </c>
      <c r="CO96" s="735">
        <f t="shared" ref="CO96:CU96" si="226">CO89/CO95</f>
        <v>9261.5529599999973</v>
      </c>
      <c r="CP96" s="735">
        <f t="shared" si="226"/>
        <v>10524.491999999997</v>
      </c>
      <c r="CQ96" s="735">
        <f t="shared" si="226"/>
        <v>8840.5732799999987</v>
      </c>
      <c r="CR96" s="735">
        <f t="shared" si="226"/>
        <v>9261.5529599999973</v>
      </c>
      <c r="CS96" s="735">
        <f t="shared" si="226"/>
        <v>9682.5326399999976</v>
      </c>
      <c r="CT96" s="735">
        <f t="shared" si="226"/>
        <v>9261.5529599999973</v>
      </c>
      <c r="CU96" s="735">
        <f t="shared" si="226"/>
        <v>7156.654559999999</v>
      </c>
      <c r="CW96" s="758"/>
      <c r="CX96">
        <f>ROUND(CX95*CX81,0)</f>
        <v>14361</v>
      </c>
      <c r="CY96">
        <f t="shared" ref="CY96:DI96" si="227">ROUND(CY95*CY81,0)</f>
        <v>12855</v>
      </c>
      <c r="CZ96">
        <f t="shared" si="227"/>
        <v>146</v>
      </c>
      <c r="DA96">
        <f t="shared" si="227"/>
        <v>5060</v>
      </c>
      <c r="DB96">
        <f t="shared" si="227"/>
        <v>18385</v>
      </c>
      <c r="DC96">
        <f t="shared" si="227"/>
        <v>11711</v>
      </c>
      <c r="DD96">
        <f t="shared" si="227"/>
        <v>19838</v>
      </c>
      <c r="DE96">
        <f t="shared" si="227"/>
        <v>19590</v>
      </c>
      <c r="DF96">
        <f t="shared" si="227"/>
        <v>21223</v>
      </c>
      <c r="DG96">
        <f t="shared" si="227"/>
        <v>14947</v>
      </c>
      <c r="DH96">
        <f t="shared" si="227"/>
        <v>18163</v>
      </c>
      <c r="DI96">
        <f t="shared" si="227"/>
        <v>9203</v>
      </c>
      <c r="DK96" s="948"/>
      <c r="DL96">
        <f>ROUND(DL95*DL81,0)</f>
        <v>13732</v>
      </c>
      <c r="DM96">
        <f t="shared" ref="DM96:DW96" si="228">ROUND(DM95*DM81,0)</f>
        <v>12816</v>
      </c>
      <c r="DN96">
        <f t="shared" si="228"/>
        <v>15473</v>
      </c>
      <c r="DO96">
        <f t="shared" si="228"/>
        <v>17285</v>
      </c>
      <c r="DP96">
        <f t="shared" si="228"/>
        <v>15691</v>
      </c>
      <c r="DQ96">
        <f t="shared" si="228"/>
        <v>12002</v>
      </c>
      <c r="DR96">
        <f t="shared" si="228"/>
        <v>16113</v>
      </c>
      <c r="DS96">
        <f t="shared" si="228"/>
        <v>15263</v>
      </c>
      <c r="DT96">
        <f t="shared" si="228"/>
        <v>18846</v>
      </c>
      <c r="DU96">
        <f t="shared" si="228"/>
        <v>13439</v>
      </c>
      <c r="DV96">
        <f t="shared" si="228"/>
        <v>16384</v>
      </c>
      <c r="DW96">
        <f t="shared" si="228"/>
        <v>8344</v>
      </c>
    </row>
    <row r="97" spans="1:128" ht="15" hidden="1" customHeight="1">
      <c r="CO97" s="598">
        <f>CO85</f>
        <v>9000</v>
      </c>
      <c r="CP97" s="598">
        <f t="shared" ref="CP97:CU97" si="229">CP85</f>
        <v>9800</v>
      </c>
      <c r="CQ97" s="598">
        <f t="shared" si="229"/>
        <v>9900</v>
      </c>
      <c r="CR97" s="598">
        <f t="shared" si="229"/>
        <v>9900</v>
      </c>
      <c r="CS97" s="598">
        <f t="shared" si="229"/>
        <v>9300</v>
      </c>
      <c r="CT97" s="598">
        <f t="shared" si="229"/>
        <v>8400</v>
      </c>
      <c r="CU97" s="598">
        <f t="shared" si="229"/>
        <v>9300</v>
      </c>
      <c r="CW97" s="758"/>
      <c r="CX97" s="413">
        <v>194469.46000000002</v>
      </c>
      <c r="CY97" s="413">
        <v>159466.88999999998</v>
      </c>
      <c r="CZ97" s="413">
        <v>208203.57</v>
      </c>
      <c r="DA97" s="413">
        <v>158532.44</v>
      </c>
      <c r="DB97" s="413">
        <v>157404.75999999998</v>
      </c>
      <c r="DC97" s="413">
        <v>118894.62</v>
      </c>
      <c r="DD97" s="413">
        <v>211625.73</v>
      </c>
      <c r="DE97" s="413">
        <v>208193.11</v>
      </c>
      <c r="DF97" s="413">
        <v>269889.13</v>
      </c>
      <c r="DG97" s="413">
        <v>258868.84085232066</v>
      </c>
      <c r="DH97" s="413">
        <v>178376.53444641351</v>
      </c>
      <c r="DI97" s="413">
        <v>114212.18776329115</v>
      </c>
      <c r="DK97" s="948"/>
      <c r="DL97" s="413">
        <f>DL98*1.1</f>
        <v>213916.40600000005</v>
      </c>
      <c r="DM97" s="413">
        <f t="shared" ref="DM97:DW97" si="230">DM98*1.1</f>
        <v>175413.579</v>
      </c>
      <c r="DN97" s="413">
        <f t="shared" si="230"/>
        <v>229023.92700000003</v>
      </c>
      <c r="DO97" s="413">
        <f t="shared" si="230"/>
        <v>174385.68400000001</v>
      </c>
      <c r="DP97" s="413">
        <f t="shared" si="230"/>
        <v>173145.236</v>
      </c>
      <c r="DQ97" s="413">
        <f t="shared" si="230"/>
        <v>130784.08200000001</v>
      </c>
      <c r="DR97" s="413">
        <f t="shared" si="230"/>
        <v>232788.30300000004</v>
      </c>
      <c r="DS97" s="413">
        <f t="shared" si="230"/>
        <v>229012.421</v>
      </c>
      <c r="DT97" s="413">
        <f t="shared" si="230"/>
        <v>296878.04300000001</v>
      </c>
      <c r="DU97" s="413">
        <f t="shared" si="230"/>
        <v>284755.72493755276</v>
      </c>
      <c r="DV97" s="413">
        <f t="shared" si="230"/>
        <v>196214.18789105487</v>
      </c>
      <c r="DW97" s="413">
        <f t="shared" si="230"/>
        <v>125633.40653962028</v>
      </c>
    </row>
    <row r="98" spans="1:128" ht="15" hidden="1" customHeight="1">
      <c r="B98" s="576"/>
      <c r="C98" s="576"/>
      <c r="D98" s="576"/>
      <c r="E98" s="576"/>
      <c r="F98" s="576"/>
      <c r="G98" s="576"/>
      <c r="H98" s="576"/>
      <c r="I98" s="576"/>
      <c r="J98" s="576"/>
      <c r="K98" s="576"/>
      <c r="L98" s="576"/>
      <c r="M98" s="576"/>
      <c r="N98" s="576"/>
      <c r="O98" s="576"/>
      <c r="P98" s="576"/>
      <c r="Q98" s="576"/>
      <c r="R98" s="576"/>
      <c r="S98" s="576"/>
      <c r="T98" s="576"/>
      <c r="U98" s="576"/>
      <c r="V98" s="576"/>
      <c r="W98" s="576"/>
      <c r="X98" s="576"/>
      <c r="Y98" s="576"/>
      <c r="Z98" s="576"/>
      <c r="AA98" s="576"/>
      <c r="AB98" s="576"/>
      <c r="AC98" s="576"/>
      <c r="AD98" s="576"/>
      <c r="AE98" s="576"/>
      <c r="AF98" s="576"/>
      <c r="AG98" s="576"/>
      <c r="AH98" s="576"/>
      <c r="AI98" s="576"/>
      <c r="AJ98" s="576"/>
      <c r="AK98" s="576"/>
      <c r="AL98" s="576"/>
      <c r="AM98" s="576"/>
      <c r="AN98" s="576"/>
      <c r="AO98" s="576"/>
      <c r="AP98" s="576"/>
      <c r="AQ98" s="576"/>
      <c r="AR98" s="576"/>
      <c r="AS98" s="576"/>
      <c r="AT98" s="576"/>
      <c r="AU98" s="576"/>
      <c r="AV98" s="576"/>
      <c r="AW98" s="576"/>
      <c r="AX98" s="576"/>
      <c r="AY98" s="576"/>
      <c r="AZ98" s="576"/>
      <c r="BA98" s="576"/>
      <c r="BB98" s="576"/>
      <c r="BC98" s="576"/>
      <c r="BD98" s="576"/>
      <c r="BE98" s="576"/>
      <c r="BF98" s="576"/>
      <c r="BG98" s="576"/>
      <c r="BH98" s="576"/>
      <c r="BI98" s="576"/>
      <c r="BJ98" s="576"/>
      <c r="BK98" s="576"/>
      <c r="BL98" s="576"/>
      <c r="BM98" s="576"/>
      <c r="BN98" s="576"/>
      <c r="BO98" s="576"/>
      <c r="BP98" s="576"/>
      <c r="BQ98" s="576"/>
      <c r="BR98" s="576"/>
      <c r="BS98" s="576"/>
      <c r="BT98" s="576"/>
      <c r="BU98" s="576"/>
      <c r="BV98" s="576"/>
      <c r="BW98" s="576"/>
      <c r="BX98" s="576"/>
      <c r="BY98" s="576"/>
      <c r="BZ98" s="576"/>
      <c r="CA98" s="576"/>
      <c r="CB98" s="576"/>
      <c r="CC98" s="576"/>
      <c r="CD98" s="576"/>
      <c r="CE98" s="576"/>
      <c r="CF98" s="576"/>
      <c r="CG98" s="576"/>
      <c r="CH98" s="576"/>
      <c r="CI98" s="576"/>
      <c r="CJ98" s="576"/>
      <c r="CK98" s="576"/>
      <c r="CL98" s="576"/>
      <c r="CM98" s="576"/>
      <c r="CN98" s="576"/>
      <c r="CO98" s="576">
        <f>CO81*0.95</f>
        <v>188100</v>
      </c>
      <c r="CP98" s="576">
        <f t="shared" ref="CP98:CU98" si="231">CP81*0.95</f>
        <v>232750</v>
      </c>
      <c r="CQ98" s="576">
        <f t="shared" si="231"/>
        <v>197505</v>
      </c>
      <c r="CR98" s="576">
        <f t="shared" si="231"/>
        <v>206910</v>
      </c>
      <c r="CS98" s="576">
        <f t="shared" si="231"/>
        <v>195300.05</v>
      </c>
      <c r="CT98" s="576">
        <f t="shared" si="231"/>
        <v>156123</v>
      </c>
      <c r="CU98" s="576">
        <f t="shared" si="231"/>
        <v>112727</v>
      </c>
      <c r="CV98" s="576"/>
      <c r="CW98" s="758"/>
      <c r="CX98" s="576"/>
      <c r="CY98" s="576"/>
      <c r="CZ98" s="576"/>
      <c r="DA98" s="576"/>
      <c r="DB98" s="576"/>
      <c r="DC98" s="576"/>
      <c r="DD98" s="576"/>
      <c r="DE98" s="576"/>
      <c r="DF98" s="576"/>
      <c r="DG98" s="576"/>
      <c r="DH98" s="576"/>
      <c r="DI98" s="576"/>
      <c r="DK98" s="948"/>
      <c r="DL98" s="413">
        <v>194469.46000000002</v>
      </c>
      <c r="DM98" s="413">
        <v>159466.88999999998</v>
      </c>
      <c r="DN98" s="413">
        <v>208203.57</v>
      </c>
      <c r="DO98" s="413">
        <v>158532.44</v>
      </c>
      <c r="DP98" s="413">
        <v>157404.75999999998</v>
      </c>
      <c r="DQ98" s="413">
        <v>118894.62</v>
      </c>
      <c r="DR98" s="413">
        <v>211625.73</v>
      </c>
      <c r="DS98" s="413">
        <v>208193.11</v>
      </c>
      <c r="DT98" s="413">
        <v>269889.13</v>
      </c>
      <c r="DU98" s="413">
        <v>258868.84085232066</v>
      </c>
      <c r="DV98" s="413">
        <v>178376.53444641351</v>
      </c>
      <c r="DW98" s="413">
        <v>114212.18776329115</v>
      </c>
    </row>
    <row r="99" spans="1:128" ht="15" hidden="1" customHeight="1">
      <c r="A99" s="576"/>
      <c r="B99" s="760" t="s">
        <v>136</v>
      </c>
      <c r="C99" s="761"/>
      <c r="D99" s="761"/>
      <c r="E99" s="761"/>
      <c r="F99" s="761"/>
      <c r="G99" s="761"/>
      <c r="H99" s="761"/>
      <c r="I99" s="761"/>
      <c r="J99" s="761"/>
      <c r="K99" s="761"/>
      <c r="L99" s="761"/>
      <c r="M99" s="761"/>
      <c r="N99" s="761"/>
      <c r="O99" s="761"/>
      <c r="P99" s="761"/>
      <c r="Q99" s="761"/>
      <c r="R99" s="761"/>
      <c r="S99" s="761"/>
      <c r="T99" s="761"/>
      <c r="U99" s="761"/>
      <c r="V99" s="761"/>
      <c r="W99" s="761"/>
      <c r="X99" s="761"/>
      <c r="Y99" s="761"/>
      <c r="Z99" s="761"/>
      <c r="AA99" s="761"/>
      <c r="AB99" s="761"/>
      <c r="AC99" s="761"/>
      <c r="AD99" s="761"/>
      <c r="AE99" s="761"/>
      <c r="AF99" s="761"/>
      <c r="AG99" s="761"/>
      <c r="AH99" s="761"/>
      <c r="AI99" s="761"/>
      <c r="AJ99" s="761"/>
      <c r="AK99" s="761"/>
      <c r="AL99" s="761"/>
      <c r="AM99" s="761"/>
      <c r="AN99" s="761"/>
      <c r="AO99" s="761"/>
      <c r="AP99" s="761"/>
      <c r="AQ99" s="761"/>
      <c r="AR99" s="761"/>
      <c r="AS99" s="761"/>
      <c r="AT99" s="761"/>
      <c r="AU99" s="761"/>
      <c r="AV99" s="761"/>
      <c r="AW99" s="761"/>
      <c r="AX99" s="761"/>
      <c r="AY99" s="761"/>
      <c r="AZ99" s="761"/>
      <c r="BA99" s="761"/>
      <c r="BB99" s="761"/>
      <c r="BC99" s="761"/>
      <c r="BD99" s="761"/>
      <c r="BE99" s="761"/>
      <c r="BF99" s="761"/>
      <c r="BG99" s="761"/>
      <c r="BH99" s="761"/>
      <c r="BI99" s="761"/>
      <c r="BJ99" s="761"/>
      <c r="BK99" s="761"/>
      <c r="BL99" s="761"/>
      <c r="BM99" s="761"/>
      <c r="BN99" s="761"/>
      <c r="BO99" s="761"/>
      <c r="BP99" s="761"/>
      <c r="BQ99" s="761"/>
      <c r="BR99" s="761"/>
      <c r="BS99" s="761"/>
      <c r="BT99" s="761"/>
      <c r="BU99" s="761"/>
      <c r="BV99" s="761"/>
      <c r="BW99" s="761"/>
      <c r="BX99" s="761"/>
      <c r="BY99" s="761"/>
      <c r="BZ99" s="761"/>
      <c r="CA99" s="761"/>
      <c r="CB99" s="761"/>
      <c r="CC99" s="761"/>
      <c r="CD99" s="761"/>
      <c r="CE99" s="761"/>
      <c r="CF99" s="761"/>
      <c r="CG99" s="761"/>
      <c r="CH99" s="761"/>
      <c r="CI99" s="761"/>
      <c r="CJ99" s="761"/>
      <c r="CK99" s="761"/>
      <c r="CL99" s="761"/>
      <c r="CM99" s="761"/>
      <c r="CN99" s="761"/>
      <c r="CO99" s="761"/>
      <c r="CP99" s="761"/>
      <c r="CQ99" s="761"/>
      <c r="CR99" s="761"/>
      <c r="CS99" s="761">
        <v>0</v>
      </c>
      <c r="CT99" s="761">
        <v>20460</v>
      </c>
      <c r="CU99" s="761">
        <f>CU105-CU104</f>
        <v>39440</v>
      </c>
      <c r="CV99" s="761"/>
      <c r="CW99" s="758"/>
      <c r="CX99" s="761">
        <f>CX105-CX104</f>
        <v>53880</v>
      </c>
      <c r="CY99" s="761">
        <f t="shared" ref="CY99:DB99" si="232">CY105-CY104</f>
        <v>30080</v>
      </c>
      <c r="CZ99" s="761">
        <f t="shared" si="232"/>
        <v>34020</v>
      </c>
      <c r="DA99" s="761">
        <f t="shared" si="232"/>
        <v>21160</v>
      </c>
      <c r="DB99" s="761">
        <v>10000</v>
      </c>
      <c r="DC99" s="761">
        <v>50000</v>
      </c>
      <c r="DD99" s="761">
        <v>40000</v>
      </c>
      <c r="DE99" s="761">
        <v>40000</v>
      </c>
      <c r="DF99" s="761">
        <v>35000</v>
      </c>
      <c r="DG99" s="761">
        <v>20000</v>
      </c>
      <c r="DH99" s="761">
        <v>10000</v>
      </c>
      <c r="DI99" s="761">
        <f>DC99</f>
        <v>50000</v>
      </c>
      <c r="DJ99" s="576"/>
      <c r="DK99" s="948"/>
      <c r="DL99" s="761">
        <f>DL105-DL104</f>
        <v>53880</v>
      </c>
      <c r="DM99" s="761">
        <f t="shared" ref="DM99:DP99" si="233">DM105-DM104</f>
        <v>30080</v>
      </c>
      <c r="DN99" s="761">
        <f t="shared" si="233"/>
        <v>34020</v>
      </c>
      <c r="DO99" s="761">
        <f t="shared" si="233"/>
        <v>21160</v>
      </c>
      <c r="DP99" s="761">
        <v>10000</v>
      </c>
      <c r="DQ99" s="761">
        <v>50000</v>
      </c>
      <c r="DR99" s="761">
        <v>40000</v>
      </c>
      <c r="DS99" s="761">
        <v>40000</v>
      </c>
      <c r="DT99" s="761">
        <v>35000</v>
      </c>
      <c r="DU99" s="761">
        <v>20000</v>
      </c>
      <c r="DV99" s="761">
        <v>10000</v>
      </c>
      <c r="DW99" s="761">
        <f>DQ99</f>
        <v>50000</v>
      </c>
      <c r="DX99" s="576"/>
    </row>
    <row r="100" spans="1:128" ht="15" hidden="1" customHeight="1">
      <c r="A100" s="576"/>
      <c r="B100" s="762" t="s">
        <v>137</v>
      </c>
      <c r="C100" s="763"/>
      <c r="D100" s="763"/>
      <c r="E100" s="763"/>
      <c r="F100" s="763"/>
      <c r="G100" s="763"/>
      <c r="H100" s="763"/>
      <c r="I100" s="763"/>
      <c r="J100" s="763"/>
      <c r="K100" s="763"/>
      <c r="L100" s="763"/>
      <c r="M100" s="763"/>
      <c r="N100" s="763"/>
      <c r="O100" s="763"/>
      <c r="P100" s="763"/>
      <c r="Q100" s="763"/>
      <c r="R100" s="763"/>
      <c r="S100" s="763"/>
      <c r="T100" s="763"/>
      <c r="U100" s="763"/>
      <c r="V100" s="763"/>
      <c r="W100" s="763"/>
      <c r="X100" s="763"/>
      <c r="Y100" s="763"/>
      <c r="Z100" s="763"/>
      <c r="AA100" s="763"/>
      <c r="AB100" s="763"/>
      <c r="AC100" s="763"/>
      <c r="AD100" s="763"/>
      <c r="AE100" s="763"/>
      <c r="AF100" s="763"/>
      <c r="AG100" s="763"/>
      <c r="AH100" s="763"/>
      <c r="AI100" s="763"/>
      <c r="AJ100" s="763"/>
      <c r="AK100" s="763"/>
      <c r="AL100" s="763"/>
      <c r="AM100" s="763"/>
      <c r="AN100" s="763"/>
      <c r="AO100" s="763"/>
      <c r="AP100" s="763"/>
      <c r="AQ100" s="763"/>
      <c r="AR100" s="763"/>
      <c r="AS100" s="763"/>
      <c r="AT100" s="763"/>
      <c r="AU100" s="763"/>
      <c r="AV100" s="763"/>
      <c r="AW100" s="763"/>
      <c r="AX100" s="763"/>
      <c r="AY100" s="763"/>
      <c r="AZ100" s="763"/>
      <c r="BA100" s="763"/>
      <c r="BB100" s="763"/>
      <c r="BC100" s="763"/>
      <c r="BD100" s="763"/>
      <c r="BE100" s="763"/>
      <c r="BF100" s="763"/>
      <c r="BG100" s="763"/>
      <c r="BH100" s="763"/>
      <c r="BI100" s="763"/>
      <c r="BJ100" s="763"/>
      <c r="BK100" s="763"/>
      <c r="BL100" s="763"/>
      <c r="BM100" s="763"/>
      <c r="BN100" s="763"/>
      <c r="BO100" s="763"/>
      <c r="BP100" s="763"/>
      <c r="BQ100" s="763"/>
      <c r="BR100" s="763"/>
      <c r="BS100" s="763"/>
      <c r="BT100" s="763"/>
      <c r="BU100" s="763"/>
      <c r="BV100" s="763"/>
      <c r="BW100" s="763"/>
      <c r="BX100" s="763"/>
      <c r="BY100" s="763"/>
      <c r="BZ100" s="763"/>
      <c r="CA100" s="763"/>
      <c r="CB100" s="763"/>
      <c r="CC100" s="763"/>
      <c r="CD100" s="763"/>
      <c r="CE100" s="763"/>
      <c r="CF100" s="763"/>
      <c r="CG100" s="763"/>
      <c r="CH100" s="763"/>
      <c r="CI100" s="763"/>
      <c r="CJ100" s="763"/>
      <c r="CK100" s="763"/>
      <c r="CL100" s="763"/>
      <c r="CM100" s="763"/>
      <c r="CN100" s="763"/>
      <c r="CO100" s="763"/>
      <c r="CP100" s="763"/>
      <c r="CQ100" s="763"/>
      <c r="CR100" s="763"/>
      <c r="CS100" s="763"/>
      <c r="CT100" s="763">
        <v>35000</v>
      </c>
      <c r="CU100" s="763">
        <v>2096</v>
      </c>
      <c r="CV100" s="763"/>
      <c r="CW100" s="758"/>
      <c r="CX100" s="764">
        <f>CX107-CX106</f>
        <v>39610</v>
      </c>
      <c r="CY100" s="764">
        <f t="shared" ref="CY100:DC100" si="234">CY107-CY106</f>
        <v>36994</v>
      </c>
      <c r="CZ100" s="764">
        <f t="shared" si="234"/>
        <v>29344</v>
      </c>
      <c r="DA100" s="764">
        <f t="shared" si="234"/>
        <v>33378</v>
      </c>
      <c r="DB100" s="764">
        <f t="shared" si="234"/>
        <v>19489</v>
      </c>
      <c r="DC100" s="764">
        <f t="shared" si="234"/>
        <v>14764</v>
      </c>
      <c r="DD100" s="763">
        <f>DD101*1.1</f>
        <v>49685.9</v>
      </c>
      <c r="DE100" s="763">
        <f t="shared" ref="DE100:DI100" si="235">DE101*1.1</f>
        <v>48585.9</v>
      </c>
      <c r="DF100" s="763">
        <f t="shared" si="235"/>
        <v>55922.9</v>
      </c>
      <c r="DG100" s="763">
        <f t="shared" si="235"/>
        <v>28156.7</v>
      </c>
      <c r="DH100" s="763">
        <f t="shared" si="235"/>
        <v>14078.35</v>
      </c>
      <c r="DI100" s="763">
        <f t="shared" si="235"/>
        <v>3300.0000000000005</v>
      </c>
      <c r="DJ100" s="576"/>
      <c r="DK100" s="948"/>
      <c r="DL100" s="764">
        <f>DL107-DL106</f>
        <v>39610</v>
      </c>
      <c r="DM100" s="764">
        <f t="shared" ref="DM100:DQ100" si="236">DM107-DM106</f>
        <v>36994</v>
      </c>
      <c r="DN100" s="764">
        <f t="shared" si="236"/>
        <v>29344</v>
      </c>
      <c r="DO100" s="764">
        <f t="shared" si="236"/>
        <v>33378</v>
      </c>
      <c r="DP100" s="764">
        <f t="shared" si="236"/>
        <v>19489</v>
      </c>
      <c r="DQ100" s="764">
        <f t="shared" si="236"/>
        <v>14764</v>
      </c>
      <c r="DR100" s="763">
        <f>DR101*1.1</f>
        <v>49685.9</v>
      </c>
      <c r="DS100" s="763">
        <f t="shared" ref="DS100:DW100" si="237">DS101*1.1</f>
        <v>48585.9</v>
      </c>
      <c r="DT100" s="763">
        <f t="shared" si="237"/>
        <v>55922.9</v>
      </c>
      <c r="DU100" s="763">
        <f t="shared" si="237"/>
        <v>28156.7</v>
      </c>
      <c r="DV100" s="763">
        <f t="shared" si="237"/>
        <v>14078.35</v>
      </c>
      <c r="DW100" s="763">
        <f t="shared" si="237"/>
        <v>3300.0000000000005</v>
      </c>
      <c r="DX100" s="576"/>
    </row>
    <row r="101" spans="1:128" ht="15" hidden="1" customHeight="1">
      <c r="B101" s="576"/>
      <c r="C101" s="576"/>
      <c r="D101" s="576"/>
      <c r="E101" s="576"/>
      <c r="F101" s="576"/>
      <c r="G101" s="576"/>
      <c r="H101" s="576"/>
      <c r="I101" s="576"/>
      <c r="J101" s="576"/>
      <c r="K101" s="576"/>
      <c r="L101" s="576"/>
      <c r="M101" s="576"/>
      <c r="N101" s="576"/>
      <c r="O101" s="576"/>
      <c r="P101" s="576"/>
      <c r="Q101" s="576"/>
      <c r="R101" s="576"/>
      <c r="S101" s="576"/>
      <c r="T101" s="576"/>
      <c r="U101" s="576"/>
      <c r="V101" s="576"/>
      <c r="W101" s="576"/>
      <c r="X101" s="576"/>
      <c r="Y101" s="576"/>
      <c r="Z101" s="576"/>
      <c r="AA101" s="576"/>
      <c r="AB101" s="576"/>
      <c r="AC101" s="576"/>
      <c r="AD101" s="576"/>
      <c r="AE101" s="576"/>
      <c r="AF101" s="576"/>
      <c r="AG101" s="576"/>
      <c r="AH101" s="576"/>
      <c r="AI101" s="576"/>
      <c r="AJ101" s="576"/>
      <c r="AK101" s="576"/>
      <c r="AL101" s="576"/>
      <c r="AM101" s="576"/>
      <c r="AN101" s="576"/>
      <c r="AO101" s="576"/>
      <c r="AP101" s="576"/>
      <c r="AQ101" s="576"/>
      <c r="AR101" s="576"/>
      <c r="AS101" s="576"/>
      <c r="AT101" s="576"/>
      <c r="AU101" s="576"/>
      <c r="AV101" s="576"/>
      <c r="AW101" s="576"/>
      <c r="AX101" s="576"/>
      <c r="AY101" s="576"/>
      <c r="AZ101" s="576"/>
      <c r="BA101" s="576"/>
      <c r="BB101" s="576"/>
      <c r="BC101" s="576"/>
      <c r="BD101" s="576"/>
      <c r="BE101" s="576"/>
      <c r="BF101" s="576"/>
      <c r="BG101" s="576"/>
      <c r="BH101" s="576"/>
      <c r="BI101" s="576"/>
      <c r="BJ101" s="576"/>
      <c r="BK101" s="576"/>
      <c r="BL101" s="576"/>
      <c r="BM101" s="576"/>
      <c r="BN101" s="576"/>
      <c r="BO101" s="576"/>
      <c r="BP101" s="576"/>
      <c r="BQ101" s="576"/>
      <c r="BR101" s="576"/>
      <c r="BS101" s="576"/>
      <c r="BT101" s="576"/>
      <c r="BU101" s="576"/>
      <c r="BV101" s="576"/>
      <c r="BW101" s="576"/>
      <c r="BX101" s="576"/>
      <c r="BY101" s="576"/>
      <c r="BZ101" s="576"/>
      <c r="CA101" s="576"/>
      <c r="CB101" s="576"/>
      <c r="CC101" s="576"/>
      <c r="CD101" s="576"/>
      <c r="CE101" s="576"/>
      <c r="CF101" s="576"/>
      <c r="CG101" s="576"/>
      <c r="CH101" s="576"/>
      <c r="CI101" s="576"/>
      <c r="CJ101" s="576"/>
      <c r="CK101" s="576"/>
      <c r="CL101" s="576"/>
      <c r="CM101" s="576"/>
      <c r="CN101" s="576"/>
      <c r="CO101" s="576"/>
      <c r="CP101" s="576"/>
      <c r="CQ101" s="576"/>
      <c r="CR101" s="576"/>
      <c r="CS101" s="576"/>
      <c r="CT101" s="576"/>
      <c r="CU101" s="576"/>
      <c r="CV101" s="576"/>
      <c r="CW101" s="758"/>
      <c r="CX101" s="576"/>
      <c r="CY101" s="576"/>
      <c r="CZ101" s="576"/>
      <c r="DA101" s="576"/>
      <c r="DB101" s="576"/>
      <c r="DC101" s="576"/>
      <c r="DD101" s="576">
        <v>45169</v>
      </c>
      <c r="DE101" s="576">
        <v>44169</v>
      </c>
      <c r="DF101" s="576">
        <v>50839</v>
      </c>
      <c r="DG101" s="576">
        <v>25597</v>
      </c>
      <c r="DH101" s="763">
        <f>DG101/2</f>
        <v>12798.5</v>
      </c>
      <c r="DI101" s="763">
        <v>3000</v>
      </c>
      <c r="DK101" s="948"/>
      <c r="DL101" s="576"/>
      <c r="DM101" s="576"/>
      <c r="DN101" s="576"/>
      <c r="DO101" s="576"/>
      <c r="DP101" s="576"/>
      <c r="DQ101" s="576"/>
      <c r="DR101" s="576">
        <v>45169</v>
      </c>
      <c r="DS101" s="576">
        <v>44169</v>
      </c>
      <c r="DT101" s="576">
        <v>50839</v>
      </c>
      <c r="DU101" s="576">
        <v>25597</v>
      </c>
      <c r="DV101" s="763">
        <f>DU101/2</f>
        <v>12798.5</v>
      </c>
      <c r="DW101" s="763">
        <v>3000</v>
      </c>
    </row>
    <row r="102" spans="1:128" ht="15" hidden="1" customHeight="1">
      <c r="CU102">
        <v>50000</v>
      </c>
      <c r="CX102">
        <v>40000</v>
      </c>
      <c r="CY102">
        <v>40000</v>
      </c>
      <c r="CZ102">
        <v>35000</v>
      </c>
      <c r="DA102">
        <v>20000</v>
      </c>
      <c r="DL102">
        <v>40000</v>
      </c>
      <c r="DM102">
        <v>40000</v>
      </c>
      <c r="DN102">
        <v>35000</v>
      </c>
      <c r="DO102">
        <v>20000</v>
      </c>
    </row>
    <row r="103" spans="1:128" ht="15" hidden="1" customHeight="1"/>
    <row r="104" spans="1:128" ht="15" hidden="1" customHeight="1">
      <c r="CT104" s="682" t="s">
        <v>138</v>
      </c>
      <c r="CU104">
        <v>31560</v>
      </c>
      <c r="CX104">
        <v>26320</v>
      </c>
      <c r="CY104">
        <v>21280</v>
      </c>
      <c r="CZ104">
        <v>19180</v>
      </c>
      <c r="DA104">
        <v>14700</v>
      </c>
      <c r="DL104">
        <v>26320</v>
      </c>
      <c r="DM104">
        <v>21280</v>
      </c>
      <c r="DN104">
        <v>19180</v>
      </c>
      <c r="DO104">
        <v>14700</v>
      </c>
    </row>
    <row r="105" spans="1:128" ht="15" hidden="1" customHeight="1">
      <c r="CU105" s="761">
        <v>71000</v>
      </c>
      <c r="CV105" s="761"/>
      <c r="CW105" s="761"/>
      <c r="CX105" s="761">
        <v>80200</v>
      </c>
      <c r="CY105" s="761">
        <v>51360</v>
      </c>
      <c r="CZ105" s="761">
        <v>53200</v>
      </c>
      <c r="DA105" s="761">
        <v>35860</v>
      </c>
      <c r="DL105" s="761">
        <v>80200</v>
      </c>
      <c r="DM105" s="761">
        <v>51360</v>
      </c>
      <c r="DN105" s="761">
        <v>53200</v>
      </c>
      <c r="DO105" s="761">
        <v>35860</v>
      </c>
    </row>
    <row r="106" spans="1:128" ht="15" hidden="1" customHeight="1">
      <c r="B106" s="576"/>
      <c r="C106" s="576"/>
      <c r="CT106" t="s">
        <v>139</v>
      </c>
      <c r="CX106" s="764">
        <v>24332</v>
      </c>
      <c r="CY106" s="764">
        <v>18419</v>
      </c>
      <c r="CZ106" s="764">
        <v>19179</v>
      </c>
      <c r="DA106" s="764">
        <v>17338</v>
      </c>
      <c r="DB106" s="764">
        <v>12064</v>
      </c>
      <c r="DC106" s="764">
        <v>9136</v>
      </c>
      <c r="DL106" s="764">
        <v>24332</v>
      </c>
      <c r="DM106" s="764">
        <v>18419</v>
      </c>
      <c r="DN106" s="764">
        <v>19179</v>
      </c>
      <c r="DO106" s="764">
        <v>17338</v>
      </c>
      <c r="DP106" s="764">
        <v>12064</v>
      </c>
      <c r="DQ106" s="764">
        <v>9136</v>
      </c>
    </row>
    <row r="107" spans="1:128" ht="15" hidden="1" customHeight="1">
      <c r="A107" s="576"/>
      <c r="B107" s="946" t="s">
        <v>140</v>
      </c>
      <c r="C107" s="947" t="s">
        <v>141</v>
      </c>
      <c r="D107" s="576"/>
      <c r="CX107" s="764">
        <v>63942</v>
      </c>
      <c r="CY107" s="764">
        <v>55413</v>
      </c>
      <c r="CZ107" s="764">
        <v>48523</v>
      </c>
      <c r="DA107" s="764">
        <v>50716</v>
      </c>
      <c r="DB107" s="764">
        <v>31553</v>
      </c>
      <c r="DC107" s="764">
        <v>23900</v>
      </c>
      <c r="DL107" s="764">
        <v>63942</v>
      </c>
      <c r="DM107" s="764">
        <v>55413</v>
      </c>
      <c r="DN107" s="764">
        <v>48523</v>
      </c>
      <c r="DO107" s="764">
        <v>50716</v>
      </c>
      <c r="DP107" s="764">
        <v>31553</v>
      </c>
      <c r="DQ107" s="764">
        <v>23900</v>
      </c>
    </row>
    <row r="108" spans="1:128" ht="15" hidden="1" customHeight="1">
      <c r="A108" s="576"/>
      <c r="B108" s="944" t="s">
        <v>142</v>
      </c>
      <c r="C108" s="945">
        <f>COUNTIFS(grupos!C:C,B108)</f>
        <v>1</v>
      </c>
      <c r="D108" s="576"/>
    </row>
    <row r="109" spans="1:128" ht="15" hidden="1" customHeight="1">
      <c r="A109" s="576"/>
      <c r="B109" s="941" t="s">
        <v>143</v>
      </c>
      <c r="C109" s="942">
        <v>12</v>
      </c>
      <c r="D109" s="576"/>
      <c r="CV109" t="s">
        <v>144</v>
      </c>
      <c r="CX109">
        <v>15330</v>
      </c>
      <c r="CY109">
        <v>12143</v>
      </c>
      <c r="CZ109">
        <v>17171</v>
      </c>
      <c r="DA109">
        <v>12558</v>
      </c>
      <c r="DB109">
        <v>13440</v>
      </c>
      <c r="DC109">
        <v>9626</v>
      </c>
      <c r="DD109">
        <v>16670</v>
      </c>
      <c r="DE109">
        <v>18206</v>
      </c>
      <c r="DF109">
        <v>25500</v>
      </c>
      <c r="DG109">
        <v>16774</v>
      </c>
      <c r="DH109">
        <v>15710</v>
      </c>
      <c r="DI109">
        <v>9907</v>
      </c>
      <c r="DL109">
        <v>15330</v>
      </c>
      <c r="DM109">
        <v>12143</v>
      </c>
      <c r="DN109">
        <v>17171</v>
      </c>
      <c r="DO109">
        <v>12558</v>
      </c>
      <c r="DP109">
        <v>13440</v>
      </c>
      <c r="DQ109">
        <v>9626</v>
      </c>
      <c r="DR109">
        <v>16670</v>
      </c>
      <c r="DS109">
        <v>18206</v>
      </c>
      <c r="DT109">
        <v>25500</v>
      </c>
      <c r="DU109">
        <v>16774</v>
      </c>
      <c r="DV109">
        <v>15710</v>
      </c>
      <c r="DW109">
        <v>9907</v>
      </c>
    </row>
    <row r="110" spans="1:128" ht="15" hidden="1" customHeight="1">
      <c r="A110" s="576"/>
      <c r="B110" s="941" t="s">
        <v>145</v>
      </c>
      <c r="C110" s="942">
        <f>COUNTIFS(grupos!C:C,B110)</f>
        <v>1</v>
      </c>
      <c r="D110" s="576"/>
      <c r="DL110" s="881">
        <v>166555.77995873816</v>
      </c>
      <c r="DM110" s="881">
        <v>152835.36924465047</v>
      </c>
      <c r="DN110" s="881">
        <v>195319.2072937729</v>
      </c>
      <c r="DO110" s="881">
        <v>158396.18906207831</v>
      </c>
      <c r="DP110" s="881">
        <v>152371.51475009107</v>
      </c>
      <c r="DQ110" s="881">
        <v>147696.01107361159</v>
      </c>
      <c r="DR110" s="881">
        <v>189465.0513586243</v>
      </c>
      <c r="DS110" s="881">
        <v>202914.10079748323</v>
      </c>
      <c r="DT110" s="881">
        <v>214499.61628422557</v>
      </c>
      <c r="DU110" s="881">
        <v>217682.99793575107</v>
      </c>
      <c r="DV110" s="881">
        <v>179284.72030485788</v>
      </c>
      <c r="DW110" s="881">
        <v>88389.319383536102</v>
      </c>
      <c r="DX110" s="69">
        <v>2065409.8774474205</v>
      </c>
    </row>
    <row r="111" spans="1:128" ht="15" hidden="1" customHeight="1">
      <c r="A111" s="576"/>
      <c r="B111" s="941" t="s">
        <v>146</v>
      </c>
      <c r="C111" s="942">
        <v>3</v>
      </c>
      <c r="D111" s="576"/>
    </row>
    <row r="112" spans="1:128" ht="15" hidden="1" customHeight="1">
      <c r="A112" s="576"/>
      <c r="B112" s="762" t="s">
        <v>147</v>
      </c>
      <c r="C112" s="943">
        <v>5</v>
      </c>
      <c r="D112" s="576"/>
    </row>
    <row r="113" spans="2:103" ht="15" hidden="1" customHeight="1">
      <c r="B113" s="576"/>
      <c r="C113" s="602">
        <f>SUM(C108:C112)</f>
        <v>22</v>
      </c>
    </row>
    <row r="114" spans="2:103" s="594" customFormat="1" ht="15" hidden="1" customHeight="1">
      <c r="B114" s="594" t="s">
        <v>148</v>
      </c>
      <c r="CX114" s="953">
        <v>191345</v>
      </c>
      <c r="CY114" s="953">
        <v>145396</v>
      </c>
    </row>
    <row r="115" spans="2:103" ht="15" hidden="1" customHeight="1">
      <c r="B115" t="s">
        <v>149</v>
      </c>
      <c r="CX115" s="862">
        <v>27823</v>
      </c>
      <c r="CY115" s="862">
        <v>27550</v>
      </c>
    </row>
    <row r="116" spans="2:103" ht="15" hidden="1" customHeight="1">
      <c r="B116" t="s">
        <v>150</v>
      </c>
      <c r="CX116" s="862">
        <v>14235</v>
      </c>
      <c r="CY116" s="862">
        <v>15739</v>
      </c>
    </row>
    <row r="117" spans="2:103" ht="15" hidden="1" customHeight="1"/>
    <row r="118" spans="2:103" ht="15" hidden="1" customHeight="1"/>
  </sheetData>
  <mergeCells count="28">
    <mergeCell ref="CX1:DI1"/>
    <mergeCell ref="DL1:DW1"/>
    <mergeCell ref="D2:P2"/>
    <mergeCell ref="R2:AD2"/>
    <mergeCell ref="AF2:AR2"/>
    <mergeCell ref="AT2:BF2"/>
    <mergeCell ref="BH2:BS2"/>
    <mergeCell ref="BV2:CG2"/>
    <mergeCell ref="CJ2:CU2"/>
    <mergeCell ref="CX2:DI2"/>
    <mergeCell ref="R1:AD1"/>
    <mergeCell ref="AF1:AR1"/>
    <mergeCell ref="AT1:BF1"/>
    <mergeCell ref="BH1:BS1"/>
    <mergeCell ref="BV1:CG1"/>
    <mergeCell ref="CJ1:CU1"/>
    <mergeCell ref="B59:C59"/>
    <mergeCell ref="DL2:DW2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</mergeCells>
  <pageMargins left="0.25" right="0.25" top="0.75" bottom="0.75" header="0" footer="0"/>
  <pageSetup paperSize="9" scale="55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5638-EF90-41EE-927D-6E37C30DDEB5}">
  <sheetPr>
    <tabColor rgb="FFFFFF00"/>
  </sheetPr>
  <dimension ref="A1:DY117"/>
  <sheetViews>
    <sheetView showGridLines="0" zoomScale="80" zoomScaleNormal="80" workbookViewId="0">
      <pane xSplit="3" ySplit="9" topLeftCell="CZ11" activePane="bottomRight" state="frozen"/>
      <selection pane="bottomRight" activeCell="DB85" sqref="DB85"/>
      <selection pane="bottomLeft"/>
      <selection pane="topRight"/>
    </sheetView>
  </sheetViews>
  <sheetFormatPr defaultColWidth="14.42578125" defaultRowHeight="15" customHeight="1" outlineLevelRow="1" outlineLevelCol="1"/>
  <cols>
    <col min="1" max="1" width="3" customWidth="1"/>
    <col min="2" max="2" width="17.85546875" customWidth="1"/>
    <col min="3" max="3" width="14.710937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3.140625" hidden="1" customWidth="1" collapsed="1"/>
    <col min="74" max="87" width="12.28515625" hidden="1" customWidth="1"/>
    <col min="88" max="88" width="12.28515625" hidden="1" customWidth="1" collapsed="1"/>
    <col min="89" max="99" width="12.28515625" hidden="1" customWidth="1"/>
    <col min="100" max="100" width="16.85546875" hidden="1" customWidth="1"/>
    <col min="101" max="101" width="12" hidden="1" customWidth="1"/>
    <col min="102" max="103" width="13" hidden="1" customWidth="1"/>
    <col min="104" max="104" width="12.140625" customWidth="1"/>
    <col min="105" max="105" width="13.5703125" customWidth="1"/>
    <col min="106" max="106" width="12.28515625" customWidth="1"/>
    <col min="107" max="107" width="12.85546875" customWidth="1"/>
    <col min="108" max="108" width="13.5703125" customWidth="1"/>
    <col min="109" max="109" width="12.42578125" customWidth="1"/>
    <col min="110" max="110" width="13.28515625" customWidth="1"/>
    <col min="111" max="111" width="13.140625" customWidth="1"/>
    <col min="112" max="112" width="13.85546875" customWidth="1"/>
    <col min="113" max="113" width="12.28515625" customWidth="1"/>
    <col min="114" max="114" width="12.5703125" customWidth="1"/>
    <col min="115" max="115" width="2.7109375" customWidth="1"/>
    <col min="116" max="128" width="10.5703125" customWidth="1"/>
  </cols>
  <sheetData>
    <row r="1" spans="1:128" ht="22.5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s="699" t="s">
        <v>1</v>
      </c>
      <c r="CJ1" s="1089" t="s">
        <v>2</v>
      </c>
      <c r="CK1" s="1090"/>
      <c r="CL1" s="1090"/>
      <c r="CM1" s="1090"/>
      <c r="CN1" s="1090"/>
      <c r="CO1" s="1090"/>
      <c r="CP1" s="1090"/>
      <c r="CQ1" s="1090"/>
      <c r="CR1" s="1090"/>
      <c r="CS1" s="1090"/>
      <c r="CT1" s="1090"/>
      <c r="CU1" s="1091"/>
      <c r="CX1" s="1080" t="s">
        <v>156</v>
      </c>
      <c r="CY1" s="1121"/>
      <c r="CZ1" s="1121"/>
      <c r="DA1" s="1121"/>
      <c r="DB1" s="1121"/>
      <c r="DC1" s="1121"/>
      <c r="DD1" s="1121"/>
      <c r="DE1" s="1121"/>
      <c r="DF1" s="1121"/>
      <c r="DG1" s="1121"/>
      <c r="DH1" s="1121"/>
      <c r="DI1" s="1122"/>
      <c r="DK1" s="948"/>
      <c r="DL1" s="1081" t="s">
        <v>0</v>
      </c>
      <c r="DM1" s="1113"/>
      <c r="DN1" s="1113"/>
      <c r="DO1" s="1113"/>
      <c r="DP1" s="1113"/>
      <c r="DQ1" s="1113"/>
      <c r="DR1" s="1113"/>
      <c r="DS1" s="1113"/>
      <c r="DT1" s="1113"/>
      <c r="DU1" s="1113"/>
      <c r="DV1" s="1113"/>
      <c r="DW1" s="1114"/>
    </row>
    <row r="2" spans="1:128" ht="15" customHeight="1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H2" s="700" t="s">
        <v>3</v>
      </c>
      <c r="CJ2" s="1085" t="s">
        <v>4</v>
      </c>
      <c r="CK2" s="1086"/>
      <c r="CL2" s="1086"/>
      <c r="CM2" s="1086"/>
      <c r="CN2" s="1086"/>
      <c r="CO2" s="1086"/>
      <c r="CP2" s="1086"/>
      <c r="CQ2" s="1086"/>
      <c r="CR2" s="1086"/>
      <c r="CS2" s="1086"/>
      <c r="CT2" s="1086"/>
      <c r="CU2" s="1087"/>
      <c r="CX2" s="1077">
        <v>2026</v>
      </c>
      <c r="CY2" s="1115"/>
      <c r="CZ2" s="1115"/>
      <c r="DA2" s="1115"/>
      <c r="DB2" s="1115"/>
      <c r="DC2" s="1115"/>
      <c r="DD2" s="1115"/>
      <c r="DE2" s="1115"/>
      <c r="DF2" s="1115"/>
      <c r="DG2" s="1115"/>
      <c r="DH2" s="1115"/>
      <c r="DI2" s="1116"/>
      <c r="DK2" s="948"/>
      <c r="DL2" s="1077" t="s">
        <v>154</v>
      </c>
      <c r="DM2" s="1115"/>
      <c r="DN2" s="1115"/>
      <c r="DO2" s="1115"/>
      <c r="DP2" s="1115"/>
      <c r="DQ2" s="1115"/>
      <c r="DR2" s="1115"/>
      <c r="DS2" s="1115"/>
      <c r="DT2" s="1115"/>
      <c r="DU2" s="1115"/>
      <c r="DV2" s="1115"/>
      <c r="DW2" s="1116"/>
    </row>
    <row r="3" spans="1:128" ht="15.75">
      <c r="A3" s="703" t="s">
        <v>5</v>
      </c>
      <c r="B3" s="4"/>
      <c r="C3" s="4" t="str">
        <f>A3</f>
        <v>Dias Uteis Produção</v>
      </c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H3" t="s">
        <v>6</v>
      </c>
      <c r="CJ3" s="253">
        <v>23</v>
      </c>
      <c r="CK3" s="566">
        <v>20</v>
      </c>
      <c r="CL3" s="566">
        <v>21</v>
      </c>
      <c r="CM3" s="252">
        <v>22</v>
      </c>
      <c r="CN3" s="248">
        <v>22</v>
      </c>
      <c r="CO3" s="248">
        <v>21</v>
      </c>
      <c r="CP3" s="248">
        <v>23</v>
      </c>
      <c r="CQ3" s="248">
        <v>21</v>
      </c>
      <c r="CR3" s="248">
        <v>22</v>
      </c>
      <c r="CS3" s="248">
        <v>23</v>
      </c>
      <c r="CT3" s="248">
        <v>20</v>
      </c>
      <c r="CU3" s="248">
        <v>13</v>
      </c>
      <c r="CX3" s="253">
        <v>22</v>
      </c>
      <c r="CY3" s="252">
        <v>20</v>
      </c>
      <c r="CZ3" s="252">
        <v>22</v>
      </c>
      <c r="DA3" s="252">
        <v>21</v>
      </c>
      <c r="DB3" s="248">
        <v>21</v>
      </c>
      <c r="DC3" s="248">
        <v>22</v>
      </c>
      <c r="DD3" s="248">
        <v>23</v>
      </c>
      <c r="DE3" s="248">
        <v>21</v>
      </c>
      <c r="DF3" s="248">
        <v>22</v>
      </c>
      <c r="DG3" s="248">
        <v>22</v>
      </c>
      <c r="DH3" s="248">
        <v>21</v>
      </c>
      <c r="DI3" s="248">
        <v>21</v>
      </c>
      <c r="DK3" s="948"/>
      <c r="DL3" s="253">
        <v>22</v>
      </c>
      <c r="DM3" s="252">
        <v>20</v>
      </c>
      <c r="DN3" s="252">
        <v>22</v>
      </c>
      <c r="DO3" s="252">
        <v>22</v>
      </c>
      <c r="DP3" s="248">
        <v>21</v>
      </c>
      <c r="DQ3" s="248">
        <v>22</v>
      </c>
      <c r="DR3" s="248">
        <v>23</v>
      </c>
      <c r="DS3" s="248">
        <v>21</v>
      </c>
      <c r="DT3" s="248">
        <v>22</v>
      </c>
      <c r="DU3" s="248">
        <v>22</v>
      </c>
      <c r="DV3" s="248">
        <v>21</v>
      </c>
      <c r="DW3" s="248">
        <v>21</v>
      </c>
    </row>
    <row r="4" spans="1:128" ht="11.25" customHeight="1">
      <c r="A4" s="703" t="s">
        <v>7</v>
      </c>
      <c r="B4" s="4"/>
      <c r="C4" s="4" t="str">
        <f t="shared" ref="C4:C7" si="0">A4</f>
        <v>(-) FÉRIAS</v>
      </c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H4" t="s">
        <v>8</v>
      </c>
      <c r="CJ4" s="253">
        <v>3</v>
      </c>
      <c r="CK4" s="566"/>
      <c r="CL4" s="566">
        <v>1.5</v>
      </c>
      <c r="CM4" s="252"/>
      <c r="CN4" s="248"/>
      <c r="CO4" s="248"/>
      <c r="CP4" s="248" t="s">
        <v>109</v>
      </c>
      <c r="CQ4" s="248"/>
      <c r="CR4" s="248"/>
      <c r="CS4" s="248"/>
      <c r="CT4" s="248" t="s">
        <v>110</v>
      </c>
      <c r="CU4" s="248"/>
      <c r="CX4" s="253">
        <v>2</v>
      </c>
      <c r="CY4" s="252">
        <v>0</v>
      </c>
      <c r="CZ4" s="252"/>
      <c r="DA4" s="252"/>
      <c r="DB4" s="248"/>
      <c r="DC4" s="248"/>
      <c r="DD4" s="248"/>
      <c r="DE4" s="248"/>
      <c r="DF4" s="248"/>
      <c r="DG4" s="248"/>
      <c r="DH4" s="248"/>
      <c r="DI4" s="248">
        <v>5</v>
      </c>
      <c r="DK4" s="948"/>
      <c r="DL4" s="253">
        <v>2</v>
      </c>
      <c r="DM4" s="252">
        <v>0</v>
      </c>
      <c r="DN4" s="252"/>
      <c r="DO4" s="252"/>
      <c r="DP4" s="248"/>
      <c r="DQ4" s="248"/>
      <c r="DR4" s="248"/>
      <c r="DS4" s="248"/>
      <c r="DT4" s="248"/>
      <c r="DU4" s="248"/>
      <c r="DV4" s="248"/>
      <c r="DW4" s="248">
        <v>5</v>
      </c>
    </row>
    <row r="5" spans="1:128" ht="15.75" customHeight="1">
      <c r="A5" s="703" t="s">
        <v>9</v>
      </c>
      <c r="B5" s="4"/>
      <c r="C5" s="4" t="str">
        <f t="shared" si="0"/>
        <v>(+) SABADO</v>
      </c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H5" t="s">
        <v>10</v>
      </c>
      <c r="CJ5" s="701">
        <v>2</v>
      </c>
      <c r="CK5" s="701">
        <v>3</v>
      </c>
      <c r="CL5" s="701">
        <v>1.5</v>
      </c>
      <c r="CM5" s="733">
        <v>0</v>
      </c>
      <c r="CN5" s="733">
        <v>0</v>
      </c>
      <c r="CO5" s="733">
        <v>2</v>
      </c>
      <c r="CP5" s="750">
        <v>2</v>
      </c>
      <c r="CQ5" s="679">
        <v>0</v>
      </c>
      <c r="CR5" s="679">
        <v>0</v>
      </c>
      <c r="CS5" s="679">
        <v>0</v>
      </c>
      <c r="CT5" s="679">
        <v>3</v>
      </c>
      <c r="CU5" s="643"/>
      <c r="CV5" s="682" t="s">
        <v>111</v>
      </c>
      <c r="CX5" s="701">
        <v>2</v>
      </c>
      <c r="CY5" s="733">
        <v>2</v>
      </c>
      <c r="CZ5" s="733">
        <v>2</v>
      </c>
      <c r="DA5" s="938">
        <v>2</v>
      </c>
      <c r="DB5" s="938"/>
      <c r="DC5" s="938"/>
      <c r="DD5" s="938"/>
      <c r="DE5" s="938">
        <v>2</v>
      </c>
      <c r="DF5" s="938">
        <v>2</v>
      </c>
      <c r="DG5" s="938">
        <v>2</v>
      </c>
      <c r="DH5" s="938">
        <v>2</v>
      </c>
      <c r="DI5" s="939"/>
      <c r="DK5" s="948"/>
      <c r="DL5" s="701">
        <v>2</v>
      </c>
      <c r="DM5" s="733">
        <v>2</v>
      </c>
      <c r="DN5" s="733">
        <v>2</v>
      </c>
      <c r="DO5" s="938">
        <v>2</v>
      </c>
      <c r="DP5" s="938"/>
      <c r="DQ5" s="938"/>
      <c r="DR5" s="938"/>
      <c r="DS5" s="938"/>
      <c r="DT5" s="938">
        <v>2</v>
      </c>
      <c r="DU5" s="938">
        <v>2</v>
      </c>
      <c r="DV5" s="938">
        <v>2</v>
      </c>
      <c r="DW5" s="939"/>
    </row>
    <row r="6" spans="1:128" ht="9.75" customHeight="1">
      <c r="A6" s="703" t="s">
        <v>11</v>
      </c>
      <c r="B6" s="4"/>
      <c r="C6" s="4" t="str">
        <f t="shared" si="0"/>
        <v>(-)FERIADO</v>
      </c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 t="s">
        <v>12</v>
      </c>
      <c r="CJ6" s="644"/>
      <c r="CK6" s="679"/>
      <c r="CL6" s="679">
        <v>2</v>
      </c>
      <c r="CM6" s="679">
        <v>2</v>
      </c>
      <c r="CN6" s="679">
        <v>1</v>
      </c>
      <c r="CO6" s="679">
        <v>1</v>
      </c>
      <c r="CP6" s="679"/>
      <c r="CQ6" s="679"/>
      <c r="CR6" s="679">
        <v>0</v>
      </c>
      <c r="CS6" s="643">
        <v>0</v>
      </c>
      <c r="CT6" s="643">
        <v>1</v>
      </c>
      <c r="CU6" s="643"/>
      <c r="CX6" s="644"/>
      <c r="CY6" s="938">
        <v>3</v>
      </c>
      <c r="CZ6" s="938">
        <v>2</v>
      </c>
      <c r="DA6" s="938">
        <v>3</v>
      </c>
      <c r="DB6" s="938">
        <v>1</v>
      </c>
      <c r="DC6" s="938">
        <v>1</v>
      </c>
      <c r="DD6" s="938"/>
      <c r="DE6" s="938">
        <v>0</v>
      </c>
      <c r="DF6" s="938">
        <v>1</v>
      </c>
      <c r="DG6" s="938">
        <v>1</v>
      </c>
      <c r="DH6" s="938">
        <v>2</v>
      </c>
      <c r="DI6" s="939">
        <v>5</v>
      </c>
      <c r="DK6" s="948"/>
      <c r="DL6" s="644"/>
      <c r="DM6" s="938">
        <v>3</v>
      </c>
      <c r="DN6" s="938">
        <v>2</v>
      </c>
      <c r="DO6" s="938">
        <v>2</v>
      </c>
      <c r="DP6" s="938">
        <v>1</v>
      </c>
      <c r="DQ6" s="938">
        <v>1</v>
      </c>
      <c r="DR6" s="938"/>
      <c r="DS6" s="938">
        <v>0</v>
      </c>
      <c r="DT6" s="938">
        <v>1</v>
      </c>
      <c r="DU6" s="938">
        <v>1</v>
      </c>
      <c r="DV6" s="938">
        <v>2</v>
      </c>
      <c r="DW6" s="939">
        <v>5</v>
      </c>
    </row>
    <row r="7" spans="1:128">
      <c r="A7" s="704" t="s">
        <v>13</v>
      </c>
      <c r="B7" s="3"/>
      <c r="C7" s="3" t="str">
        <f t="shared" si="0"/>
        <v>Dias Trabalhados</v>
      </c>
      <c r="D7" s="252">
        <v>16</v>
      </c>
      <c r="E7" s="252">
        <v>21</v>
      </c>
      <c r="F7" s="252">
        <v>18</v>
      </c>
      <c r="G7" s="252">
        <v>21</v>
      </c>
      <c r="H7" s="252">
        <v>22</v>
      </c>
      <c r="I7" s="252">
        <v>19</v>
      </c>
      <c r="J7" s="252">
        <v>23</v>
      </c>
      <c r="K7" s="252">
        <v>21</v>
      </c>
      <c r="L7" s="252">
        <v>21</v>
      </c>
      <c r="M7" s="252">
        <v>26</v>
      </c>
      <c r="N7" s="252">
        <v>24</v>
      </c>
      <c r="O7" s="252">
        <v>15</v>
      </c>
      <c r="P7" s="4"/>
      <c r="Q7" s="247"/>
      <c r="R7" s="252">
        <v>22</v>
      </c>
      <c r="S7" s="252">
        <v>20</v>
      </c>
      <c r="T7" s="252">
        <v>14</v>
      </c>
      <c r="U7" s="252">
        <v>1</v>
      </c>
      <c r="V7" s="252">
        <v>12</v>
      </c>
      <c r="W7" s="252">
        <v>22</v>
      </c>
      <c r="X7" s="252">
        <v>23</v>
      </c>
      <c r="Y7" s="252">
        <v>21</v>
      </c>
      <c r="Z7" s="252">
        <v>21</v>
      </c>
      <c r="AA7" s="252">
        <v>21</v>
      </c>
      <c r="AB7" s="252">
        <v>20</v>
      </c>
      <c r="AC7" s="252">
        <v>17</v>
      </c>
      <c r="AD7" s="2"/>
      <c r="AE7" s="253"/>
      <c r="AF7" s="254">
        <v>18</v>
      </c>
      <c r="AG7" s="252">
        <v>20</v>
      </c>
      <c r="AH7" s="248">
        <v>20</v>
      </c>
      <c r="AI7" s="248">
        <v>20</v>
      </c>
      <c r="AJ7" s="252">
        <v>22</v>
      </c>
      <c r="AK7" s="252">
        <v>20</v>
      </c>
      <c r="AL7" s="252">
        <v>22</v>
      </c>
      <c r="AM7" s="252">
        <v>22</v>
      </c>
      <c r="AN7" s="252">
        <v>21</v>
      </c>
      <c r="AO7" s="252">
        <v>20</v>
      </c>
      <c r="AP7" s="252">
        <v>20</v>
      </c>
      <c r="AQ7" s="248">
        <v>12</v>
      </c>
      <c r="AR7" s="2"/>
      <c r="AS7" s="124"/>
      <c r="AT7" s="253">
        <v>19</v>
      </c>
      <c r="AU7" s="248">
        <v>19</v>
      </c>
      <c r="AV7" s="248">
        <v>18</v>
      </c>
      <c r="AW7" s="248">
        <v>19</v>
      </c>
      <c r="AX7" s="248">
        <v>22</v>
      </c>
      <c r="AY7" s="248">
        <v>21</v>
      </c>
      <c r="AZ7" s="248">
        <v>21</v>
      </c>
      <c r="BA7" s="248">
        <v>22</v>
      </c>
      <c r="BB7" s="248">
        <v>22</v>
      </c>
      <c r="BC7" s="248">
        <v>21</v>
      </c>
      <c r="BD7" s="248">
        <v>20</v>
      </c>
      <c r="BE7" s="248">
        <v>10</v>
      </c>
      <c r="BF7" s="2"/>
      <c r="BG7" s="125"/>
      <c r="BH7" s="253">
        <v>20</v>
      </c>
      <c r="BI7" s="248">
        <v>17</v>
      </c>
      <c r="BJ7" s="248">
        <v>23</v>
      </c>
      <c r="BK7" s="248">
        <v>18</v>
      </c>
      <c r="BL7" s="248">
        <v>22</v>
      </c>
      <c r="BM7" s="248">
        <v>23</v>
      </c>
      <c r="BN7" s="248">
        <v>21</v>
      </c>
      <c r="BO7" s="248">
        <v>21</v>
      </c>
      <c r="BP7" s="248">
        <v>20</v>
      </c>
      <c r="BQ7" s="248">
        <v>21</v>
      </c>
      <c r="BR7" s="248">
        <v>20</v>
      </c>
      <c r="BS7" s="248">
        <v>14</v>
      </c>
      <c r="BT7" s="253">
        <v>20</v>
      </c>
      <c r="BU7" s="252"/>
      <c r="BV7" s="253">
        <v>19</v>
      </c>
      <c r="BW7" s="248">
        <v>19</v>
      </c>
      <c r="BX7" s="566">
        <v>21</v>
      </c>
      <c r="BY7" s="566">
        <f>22+2</f>
        <v>24</v>
      </c>
      <c r="BZ7" s="248">
        <f>21+2</f>
        <v>23</v>
      </c>
      <c r="CA7" s="567">
        <f>20+2</f>
        <v>22</v>
      </c>
      <c r="CB7" s="567">
        <f>23+2</f>
        <v>25</v>
      </c>
      <c r="CC7" s="252">
        <f>21+3</f>
        <v>24</v>
      </c>
      <c r="CD7" s="252">
        <f>21+3</f>
        <v>24</v>
      </c>
      <c r="CE7" s="248">
        <f>23+1</f>
        <v>24</v>
      </c>
      <c r="CF7" s="248">
        <f>19+3</f>
        <v>22</v>
      </c>
      <c r="CG7" s="248">
        <f>12+1</f>
        <v>13</v>
      </c>
      <c r="CH7" s="248"/>
      <c r="CJ7" s="253">
        <f>CJ3+CJ5-CJ6-CJ4</f>
        <v>22</v>
      </c>
      <c r="CK7" s="253">
        <f>CK3+CK5-CK6-CK4</f>
        <v>23</v>
      </c>
      <c r="CL7" s="253">
        <v>19</v>
      </c>
      <c r="CM7" s="734">
        <f t="shared" ref="CM7:CQ7" si="1">CM3+CM5-CM6-CM4</f>
        <v>20</v>
      </c>
      <c r="CN7" s="734">
        <f>CN3+CN5-CN6-CN4</f>
        <v>21</v>
      </c>
      <c r="CO7" s="734">
        <f>CO3+CO5-CO6-CO4</f>
        <v>22</v>
      </c>
      <c r="CP7" s="734">
        <f t="shared" ref="CP7:CU7" si="2">CP3+CP5-CP6</f>
        <v>25</v>
      </c>
      <c r="CQ7" s="734">
        <f>CQ3+CQ5-CQ6</f>
        <v>21</v>
      </c>
      <c r="CR7" s="734">
        <f t="shared" si="2"/>
        <v>22</v>
      </c>
      <c r="CS7" s="734">
        <f>CS3+CS5-CS6</f>
        <v>23</v>
      </c>
      <c r="CT7" s="734">
        <f>CT3+CT5-CT6</f>
        <v>22</v>
      </c>
      <c r="CU7" s="734">
        <v>17</v>
      </c>
      <c r="CV7" s="248"/>
      <c r="CX7" s="253">
        <f>CX3+CX5-CX6-CX4</f>
        <v>22</v>
      </c>
      <c r="CY7" s="253">
        <f t="shared" ref="CY7:DC7" si="3">CY3+CY5-CY6-CY4</f>
        <v>19</v>
      </c>
      <c r="CZ7" s="253">
        <v>6</v>
      </c>
      <c r="DA7" s="253">
        <v>10</v>
      </c>
      <c r="DB7" s="253">
        <f t="shared" si="3"/>
        <v>20</v>
      </c>
      <c r="DC7" s="253">
        <f>DC3+DC5-DC6-DC4</f>
        <v>21</v>
      </c>
      <c r="DD7" s="253">
        <f t="shared" ref="DD7:DI7" si="4">DD3+DD5-DD6</f>
        <v>23</v>
      </c>
      <c r="DE7" s="253">
        <f>DE3+DE5-DE6</f>
        <v>23</v>
      </c>
      <c r="DF7" s="253">
        <f>DF3+DF5-DF6</f>
        <v>23</v>
      </c>
      <c r="DG7" s="253">
        <f>DG3+DG5-DG6</f>
        <v>23</v>
      </c>
      <c r="DH7" s="253">
        <f>DH3+DH5-DH6</f>
        <v>21</v>
      </c>
      <c r="DI7" s="253">
        <f>DI3+DI5-DI6</f>
        <v>16</v>
      </c>
      <c r="DJ7" s="248"/>
      <c r="DK7" s="948"/>
      <c r="DL7" s="253">
        <f>DL3+DL5-DL6-DL4</f>
        <v>22</v>
      </c>
      <c r="DM7" s="253">
        <f t="shared" ref="DM7:DQ7" si="5">DM3+DM5-DM6-DM4</f>
        <v>19</v>
      </c>
      <c r="DN7" s="253">
        <f>DN3+DN5-DN6-DN4</f>
        <v>22</v>
      </c>
      <c r="DO7" s="253">
        <f>DO3+DO5-DO6-DO4</f>
        <v>22</v>
      </c>
      <c r="DP7" s="253">
        <f t="shared" ref="DP7:DT7" si="6">DP3+DP5-DP6-DP4</f>
        <v>20</v>
      </c>
      <c r="DQ7" s="253">
        <f t="shared" si="6"/>
        <v>21</v>
      </c>
      <c r="DR7" s="253">
        <f t="shared" ref="DR7:DW7" si="7">DR3+DR5-DR6</f>
        <v>23</v>
      </c>
      <c r="DS7" s="253">
        <f>DS3+DS5-DS6</f>
        <v>21</v>
      </c>
      <c r="DT7" s="253">
        <f>DT3+DT5-DT6</f>
        <v>23</v>
      </c>
      <c r="DU7" s="253">
        <f>DU3+DU5-DU6</f>
        <v>23</v>
      </c>
      <c r="DV7" s="253">
        <f>DV3+DV5-DV6</f>
        <v>21</v>
      </c>
      <c r="DW7" s="253">
        <f>DW3+DW5-DW6</f>
        <v>16</v>
      </c>
      <c r="DX7" s="248"/>
    </row>
    <row r="8" spans="1:128" ht="18" customHeight="1">
      <c r="A8" s="8"/>
      <c r="B8" s="255"/>
      <c r="C8" s="256"/>
      <c r="D8" s="257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258" t="s">
        <v>26</v>
      </c>
      <c r="Q8" s="10"/>
      <c r="R8" s="257" t="s">
        <v>14</v>
      </c>
      <c r="S8" s="9" t="s">
        <v>15</v>
      </c>
      <c r="T8" s="9" t="s">
        <v>16</v>
      </c>
      <c r="U8" s="9" t="s">
        <v>17</v>
      </c>
      <c r="V8" s="9" t="s">
        <v>18</v>
      </c>
      <c r="W8" s="9" t="s">
        <v>19</v>
      </c>
      <c r="X8" s="9" t="s">
        <v>20</v>
      </c>
      <c r="Y8" s="9" t="s">
        <v>21</v>
      </c>
      <c r="Z8" s="9" t="s">
        <v>22</v>
      </c>
      <c r="AA8" s="9" t="s">
        <v>23</v>
      </c>
      <c r="AB8" s="9" t="s">
        <v>24</v>
      </c>
      <c r="AC8" s="9" t="s">
        <v>25</v>
      </c>
      <c r="AD8" s="258" t="s">
        <v>26</v>
      </c>
      <c r="AE8" s="11"/>
      <c r="AF8" s="257" t="s">
        <v>14</v>
      </c>
      <c r="AG8" s="9" t="s">
        <v>15</v>
      </c>
      <c r="AH8" s="9" t="s">
        <v>16</v>
      </c>
      <c r="AI8" s="9" t="s">
        <v>17</v>
      </c>
      <c r="AJ8" s="9" t="s">
        <v>18</v>
      </c>
      <c r="AK8" s="9" t="s">
        <v>19</v>
      </c>
      <c r="AL8" s="9" t="s">
        <v>20</v>
      </c>
      <c r="AM8" s="9" t="s">
        <v>21</v>
      </c>
      <c r="AN8" s="9" t="s">
        <v>22</v>
      </c>
      <c r="AO8" s="9" t="s">
        <v>23</v>
      </c>
      <c r="AP8" s="9" t="s">
        <v>24</v>
      </c>
      <c r="AQ8" s="9" t="s">
        <v>25</v>
      </c>
      <c r="AR8" s="9" t="s">
        <v>26</v>
      </c>
      <c r="AS8" s="11"/>
      <c r="AT8" s="9" t="s">
        <v>14</v>
      </c>
      <c r="AU8" s="9" t="s">
        <v>15</v>
      </c>
      <c r="AV8" s="9" t="s">
        <v>16</v>
      </c>
      <c r="AW8" s="9" t="s">
        <v>17</v>
      </c>
      <c r="AX8" s="9" t="s">
        <v>18</v>
      </c>
      <c r="AY8" s="9" t="s">
        <v>19</v>
      </c>
      <c r="AZ8" s="9" t="s">
        <v>20</v>
      </c>
      <c r="BA8" s="9" t="s">
        <v>21</v>
      </c>
      <c r="BB8" s="9" t="s">
        <v>22</v>
      </c>
      <c r="BC8" s="9" t="s">
        <v>23</v>
      </c>
      <c r="BD8" s="9" t="s">
        <v>24</v>
      </c>
      <c r="BE8" s="9" t="s">
        <v>25</v>
      </c>
      <c r="BF8" s="9" t="s">
        <v>26</v>
      </c>
      <c r="BG8" s="10"/>
      <c r="BH8" s="9" t="s">
        <v>14</v>
      </c>
      <c r="BI8" s="9" t="s">
        <v>15</v>
      </c>
      <c r="BJ8" s="9" t="s">
        <v>16</v>
      </c>
      <c r="BK8" s="9" t="s">
        <v>17</v>
      </c>
      <c r="BL8" s="9" t="s">
        <v>18</v>
      </c>
      <c r="BM8" s="9" t="s">
        <v>19</v>
      </c>
      <c r="BN8" s="9" t="s">
        <v>20</v>
      </c>
      <c r="BO8" s="9" t="s">
        <v>21</v>
      </c>
      <c r="BP8" s="9" t="s">
        <v>22</v>
      </c>
      <c r="BQ8" s="9" t="s">
        <v>23</v>
      </c>
      <c r="BR8" s="9" t="s">
        <v>24</v>
      </c>
      <c r="BS8" s="9" t="s">
        <v>25</v>
      </c>
      <c r="BT8" s="9" t="s">
        <v>26</v>
      </c>
      <c r="BU8" s="12"/>
      <c r="BV8" s="9" t="s">
        <v>14</v>
      </c>
      <c r="BW8" s="9" t="s">
        <v>15</v>
      </c>
      <c r="BX8" s="9" t="s">
        <v>16</v>
      </c>
      <c r="BY8" s="9" t="s">
        <v>17</v>
      </c>
      <c r="BZ8" s="9" t="s">
        <v>18</v>
      </c>
      <c r="CA8" s="9" t="s">
        <v>19</v>
      </c>
      <c r="CB8" s="9" t="s">
        <v>20</v>
      </c>
      <c r="CC8" s="9" t="s">
        <v>21</v>
      </c>
      <c r="CD8" s="9" t="s">
        <v>22</v>
      </c>
      <c r="CE8" s="9" t="s">
        <v>23</v>
      </c>
      <c r="CF8" s="9" t="s">
        <v>24</v>
      </c>
      <c r="CG8" s="9" t="s">
        <v>25</v>
      </c>
      <c r="CH8" s="9" t="s">
        <v>26</v>
      </c>
      <c r="CJ8" s="9" t="s">
        <v>14</v>
      </c>
      <c r="CK8" s="9" t="s">
        <v>15</v>
      </c>
      <c r="CL8" s="9" t="s">
        <v>16</v>
      </c>
      <c r="CM8" s="9" t="s">
        <v>17</v>
      </c>
      <c r="CN8" s="9" t="s">
        <v>18</v>
      </c>
      <c r="CO8" s="9" t="s">
        <v>19</v>
      </c>
      <c r="CP8" s="9" t="s">
        <v>20</v>
      </c>
      <c r="CQ8" s="9" t="s">
        <v>21</v>
      </c>
      <c r="CR8" s="9" t="s">
        <v>22</v>
      </c>
      <c r="CS8" s="9" t="s">
        <v>23</v>
      </c>
      <c r="CT8" s="9" t="s">
        <v>24</v>
      </c>
      <c r="CU8" s="9" t="s">
        <v>25</v>
      </c>
      <c r="CV8" s="9" t="s">
        <v>26</v>
      </c>
      <c r="CX8" s="9" t="s">
        <v>14</v>
      </c>
      <c r="CY8" s="9" t="s">
        <v>15</v>
      </c>
      <c r="CZ8" s="9" t="s">
        <v>16</v>
      </c>
      <c r="DA8" s="9" t="s">
        <v>17</v>
      </c>
      <c r="DB8" s="9" t="s">
        <v>18</v>
      </c>
      <c r="DC8" s="9" t="s">
        <v>19</v>
      </c>
      <c r="DD8" s="9" t="s">
        <v>20</v>
      </c>
      <c r="DE8" s="980" t="s">
        <v>21</v>
      </c>
      <c r="DF8" s="980" t="s">
        <v>22</v>
      </c>
      <c r="DG8" s="980" t="s">
        <v>23</v>
      </c>
      <c r="DH8" s="9" t="s">
        <v>24</v>
      </c>
      <c r="DI8" s="9" t="s">
        <v>25</v>
      </c>
      <c r="DJ8" s="9" t="s">
        <v>26</v>
      </c>
      <c r="DK8" s="948"/>
      <c r="DL8" s="9" t="s">
        <v>14</v>
      </c>
      <c r="DM8" s="9" t="s">
        <v>15</v>
      </c>
      <c r="DN8" s="9" t="s">
        <v>16</v>
      </c>
      <c r="DO8" s="9" t="s">
        <v>17</v>
      </c>
      <c r="DP8" s="9" t="s">
        <v>18</v>
      </c>
      <c r="DQ8" s="9" t="s">
        <v>19</v>
      </c>
      <c r="DR8" s="9" t="s">
        <v>20</v>
      </c>
      <c r="DS8" s="9" t="s">
        <v>21</v>
      </c>
      <c r="DT8" s="9" t="s">
        <v>22</v>
      </c>
      <c r="DU8" s="9" t="s">
        <v>23</v>
      </c>
      <c r="DV8" s="9" t="s">
        <v>24</v>
      </c>
      <c r="DW8" s="9" t="s">
        <v>25</v>
      </c>
      <c r="DX8" s="9" t="s">
        <v>26</v>
      </c>
    </row>
    <row r="9" spans="1:128" ht="10.5" customHeight="1">
      <c r="A9" s="13"/>
      <c r="B9" s="259"/>
      <c r="C9" s="260"/>
      <c r="D9" s="26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62"/>
      <c r="Q9" s="15"/>
      <c r="R9" s="261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263"/>
      <c r="AE9" s="16"/>
      <c r="AF9" s="261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7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7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8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682" t="s">
        <v>27</v>
      </c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682" t="s">
        <v>27</v>
      </c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948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</row>
    <row r="10" spans="1:128" ht="30.75" hidden="1">
      <c r="A10" s="13" t="s">
        <v>28</v>
      </c>
      <c r="B10" s="706" t="s">
        <v>29</v>
      </c>
      <c r="C10" s="260"/>
      <c r="D10" s="261">
        <f t="shared" ref="D10:O10" si="8">SUM(D20:D24)</f>
        <v>304786</v>
      </c>
      <c r="E10" s="14">
        <f t="shared" si="8"/>
        <v>311986</v>
      </c>
      <c r="F10" s="14">
        <f t="shared" si="8"/>
        <v>328231</v>
      </c>
      <c r="G10" s="14">
        <f t="shared" si="8"/>
        <v>317873</v>
      </c>
      <c r="H10" s="14">
        <f t="shared" si="8"/>
        <v>347196</v>
      </c>
      <c r="I10" s="14">
        <f t="shared" si="8"/>
        <v>402253</v>
      </c>
      <c r="J10" s="14">
        <f t="shared" si="8"/>
        <v>454488</v>
      </c>
      <c r="K10" s="14">
        <f t="shared" si="8"/>
        <v>447182</v>
      </c>
      <c r="L10" s="14">
        <f t="shared" si="8"/>
        <v>416931</v>
      </c>
      <c r="M10" s="14">
        <f t="shared" si="8"/>
        <v>304402</v>
      </c>
      <c r="N10" s="14">
        <f t="shared" si="8"/>
        <v>0</v>
      </c>
      <c r="O10" s="14">
        <f t="shared" si="8"/>
        <v>188264</v>
      </c>
      <c r="P10" s="262"/>
      <c r="Q10" s="15"/>
      <c r="R10" s="14">
        <f t="shared" ref="R10:AC10" si="9">SUM(R20:R24)</f>
        <v>283359</v>
      </c>
      <c r="S10" s="14">
        <f t="shared" si="9"/>
        <v>342718</v>
      </c>
      <c r="T10" s="14">
        <f t="shared" si="9"/>
        <v>313212</v>
      </c>
      <c r="U10" s="14">
        <f t="shared" si="9"/>
        <v>298093</v>
      </c>
      <c r="V10" s="14">
        <f t="shared" si="9"/>
        <v>206617</v>
      </c>
      <c r="W10" s="14">
        <f t="shared" si="9"/>
        <v>235875</v>
      </c>
      <c r="X10" s="14">
        <f t="shared" si="9"/>
        <v>360135</v>
      </c>
      <c r="Y10" s="14">
        <f t="shared" si="9"/>
        <v>361665</v>
      </c>
      <c r="Z10" s="14">
        <f t="shared" si="9"/>
        <v>353400</v>
      </c>
      <c r="AA10" s="14">
        <f t="shared" si="9"/>
        <v>272097</v>
      </c>
      <c r="AB10" s="14">
        <f t="shared" si="9"/>
        <v>170626</v>
      </c>
      <c r="AC10" s="14">
        <f t="shared" si="9"/>
        <v>197551</v>
      </c>
      <c r="AD10" s="263"/>
      <c r="AE10" s="16"/>
      <c r="AF10" s="14">
        <f t="shared" ref="AF10:AQ10" si="10">SUM(AF20:AF26)</f>
        <v>255339</v>
      </c>
      <c r="AG10" s="14">
        <f t="shared" si="10"/>
        <v>292621</v>
      </c>
      <c r="AH10" s="14">
        <f t="shared" si="10"/>
        <v>397976</v>
      </c>
      <c r="AI10" s="14">
        <f t="shared" si="10"/>
        <v>388165</v>
      </c>
      <c r="AJ10" s="14">
        <f t="shared" si="10"/>
        <v>409301</v>
      </c>
      <c r="AK10" s="14">
        <f t="shared" si="10"/>
        <v>490913</v>
      </c>
      <c r="AL10" s="14">
        <f t="shared" si="10"/>
        <v>563229</v>
      </c>
      <c r="AM10" s="14">
        <f t="shared" si="10"/>
        <v>559169</v>
      </c>
      <c r="AN10" s="14">
        <f t="shared" si="10"/>
        <v>487294</v>
      </c>
      <c r="AO10" s="14">
        <f t="shared" si="10"/>
        <v>407614</v>
      </c>
      <c r="AP10" s="14">
        <f t="shared" si="10"/>
        <v>503756</v>
      </c>
      <c r="AQ10" s="14">
        <f t="shared" si="10"/>
        <v>531679</v>
      </c>
      <c r="AR10" s="14">
        <f t="shared" ref="AR10:AR31" si="11">AQ10</f>
        <v>531679</v>
      </c>
      <c r="AS10" s="17"/>
      <c r="AT10" s="14">
        <f t="shared" ref="AT10:BE10" si="12">SUM(AT20:AT26)</f>
        <v>471378</v>
      </c>
      <c r="AU10" s="14">
        <f t="shared" si="12"/>
        <v>473307</v>
      </c>
      <c r="AV10" s="14">
        <f t="shared" si="12"/>
        <v>412518</v>
      </c>
      <c r="AW10" s="14">
        <f t="shared" si="12"/>
        <v>398039</v>
      </c>
      <c r="AX10" s="14">
        <f t="shared" si="12"/>
        <v>417827</v>
      </c>
      <c r="AY10" s="14">
        <f t="shared" si="12"/>
        <v>507968</v>
      </c>
      <c r="AZ10" s="14">
        <f t="shared" si="12"/>
        <v>477530</v>
      </c>
      <c r="BA10" s="14">
        <f t="shared" si="12"/>
        <v>520708</v>
      </c>
      <c r="BB10" s="14">
        <f t="shared" si="12"/>
        <v>505851</v>
      </c>
      <c r="BC10" s="14">
        <f t="shared" si="12"/>
        <v>454245</v>
      </c>
      <c r="BD10" s="14">
        <f t="shared" si="12"/>
        <v>405700</v>
      </c>
      <c r="BE10" s="14">
        <f t="shared" si="12"/>
        <v>356505</v>
      </c>
      <c r="BF10" s="14">
        <f t="shared" ref="BF10:BF26" si="13">BE10</f>
        <v>356505</v>
      </c>
      <c r="BG10" s="17"/>
      <c r="BH10" s="14">
        <f t="shared" ref="BH10:BQ10" si="14">SUM(BH20:BH26)</f>
        <v>357143</v>
      </c>
      <c r="BI10" s="14">
        <f t="shared" si="14"/>
        <v>355011</v>
      </c>
      <c r="BJ10" s="14">
        <f t="shared" si="14"/>
        <v>344281</v>
      </c>
      <c r="BK10" s="14">
        <f t="shared" si="14"/>
        <v>389628</v>
      </c>
      <c r="BL10" s="14">
        <f t="shared" si="14"/>
        <v>324889</v>
      </c>
      <c r="BM10" s="14">
        <f t="shared" si="14"/>
        <v>352666</v>
      </c>
      <c r="BN10" s="14">
        <f t="shared" si="14"/>
        <v>418721</v>
      </c>
      <c r="BO10" s="14">
        <f t="shared" si="14"/>
        <v>356602</v>
      </c>
      <c r="BP10" s="14">
        <f t="shared" si="14"/>
        <v>326706</v>
      </c>
      <c r="BQ10" s="14">
        <f t="shared" si="14"/>
        <v>304987</v>
      </c>
      <c r="BR10" s="14">
        <f>SUM(BR20:BR26)</f>
        <v>228035</v>
      </c>
      <c r="BS10" s="14">
        <f>BS20+BS23+BS26</f>
        <v>201165</v>
      </c>
      <c r="BT10" s="14">
        <f>BS10</f>
        <v>201165</v>
      </c>
      <c r="BU10" s="18"/>
      <c r="BV10" s="14">
        <f>BV11+BV23+BV26</f>
        <v>247713</v>
      </c>
      <c r="BW10" s="14">
        <f t="shared" ref="BW10:CF10" si="15">BW11+BW23+BW26</f>
        <v>278707</v>
      </c>
      <c r="BX10" s="14">
        <f t="shared" si="15"/>
        <v>281829</v>
      </c>
      <c r="BY10" s="14">
        <f t="shared" si="15"/>
        <v>317753</v>
      </c>
      <c r="BZ10" s="14">
        <f t="shared" si="15"/>
        <v>270339</v>
      </c>
      <c r="CA10" s="14">
        <f t="shared" si="15"/>
        <v>310383</v>
      </c>
      <c r="CB10" s="14">
        <f t="shared" si="15"/>
        <v>328365</v>
      </c>
      <c r="CC10" s="14">
        <f t="shared" si="15"/>
        <v>333476</v>
      </c>
      <c r="CD10" s="14">
        <f>CD11+CD23+CD26</f>
        <v>306264</v>
      </c>
      <c r="CE10" s="14">
        <f t="shared" si="15"/>
        <v>270370</v>
      </c>
      <c r="CF10" s="14">
        <f t="shared" si="15"/>
        <v>194014</v>
      </c>
      <c r="CG10" s="14">
        <f>CG11+CG23+CG26</f>
        <v>182266</v>
      </c>
      <c r="CH10" s="14">
        <f t="shared" ref="CH10" si="16">CH20+CH23+CH26</f>
        <v>161447</v>
      </c>
      <c r="CJ10" s="14">
        <f>CH10+CJ81-CJ34</f>
        <v>168530.63302273574</v>
      </c>
      <c r="CK10" s="14">
        <f>CJ10+CK81-CK34</f>
        <v>182286.97320909426</v>
      </c>
      <c r="CL10" s="14">
        <f>CL20+CL23</f>
        <v>127909</v>
      </c>
      <c r="CM10" s="14">
        <f>CM20+CM23</f>
        <v>174007</v>
      </c>
      <c r="CN10" s="14">
        <f>CM10+CN81-CN34</f>
        <v>184445.8879612374</v>
      </c>
      <c r="CO10" s="14">
        <f>CN10+CO81-CO34</f>
        <v>247499.73306000742</v>
      </c>
      <c r="CP10" s="14">
        <f>CO10+CP81-CP34</f>
        <v>280382.22259587242</v>
      </c>
      <c r="CQ10" s="14">
        <f>CP10+CQ81-CQ34</f>
        <v>258376.52867182181</v>
      </c>
      <c r="CR10" s="14">
        <f>CQ10+CR81-CR34</f>
        <v>210518.33782793995</v>
      </c>
      <c r="CS10" s="14">
        <f>CR10+CS81-CS34</f>
        <v>165804.38677308764</v>
      </c>
      <c r="CT10" s="14">
        <f>CS10+CT81-CT34</f>
        <v>156780.78567604127</v>
      </c>
      <c r="CU10" s="14">
        <f>CT10+CU81-CU34</f>
        <v>179129.39327097798</v>
      </c>
      <c r="CV10" s="14">
        <v>116080.10690622788</v>
      </c>
      <c r="CX10" s="14">
        <f>CU10+CX81-CX34</f>
        <v>121016.49327097798</v>
      </c>
      <c r="CY10" s="14">
        <f>CX10+CY81-CY34</f>
        <v>93881.093270977988</v>
      </c>
      <c r="CZ10" s="14">
        <f>CY10+CZ81-CZ34</f>
        <v>-84738.906729022012</v>
      </c>
      <c r="DA10" s="14">
        <f>CZ10+DA81-DA34</f>
        <v>-154898.90672902201</v>
      </c>
      <c r="DB10" s="14">
        <f>DA10+DB81-DB34</f>
        <v>-176569.15672902204</v>
      </c>
      <c r="DC10" s="14">
        <f>DB10+DC81-DC34</f>
        <v>-207816.43672902207</v>
      </c>
      <c r="DD10" s="14">
        <f>DC10+DD81-DD34</f>
        <v>-264883.7167290221</v>
      </c>
      <c r="DE10" s="14">
        <f>DD10+DE81-DE34</f>
        <v>-334718.67672902212</v>
      </c>
      <c r="DF10" s="14">
        <f>DE10+DF81-DF34</f>
        <v>-468509.81672902213</v>
      </c>
      <c r="DG10" s="14">
        <f>DF10+DG81-DG34</f>
        <v>-562052.87706657487</v>
      </c>
      <c r="DH10" s="14">
        <f>DG10+DH81-DH34</f>
        <v>-580365.66381762968</v>
      </c>
      <c r="DI10" s="14">
        <f>DH10+DI81-DI34</f>
        <v>-594314.10938724992</v>
      </c>
      <c r="DJ10" s="14">
        <v>116080.10690622788</v>
      </c>
      <c r="DK10" s="948"/>
      <c r="DL10" s="14">
        <f>DI10+DL81-DL34</f>
        <v>-668494.10938724992</v>
      </c>
      <c r="DM10" s="14">
        <f>DL10+DM81-DM34</f>
        <v>-697014.10938724992</v>
      </c>
      <c r="DN10" s="14">
        <f>DM10+DN81-DN34</f>
        <v>-729754.10938724992</v>
      </c>
      <c r="DO10" s="14">
        <f>DN10+DO81-DO34</f>
        <v>-746376.15238724998</v>
      </c>
      <c r="DP10" s="14">
        <f>DO10+DP81-DP34</f>
        <v>-773532.28338725003</v>
      </c>
      <c r="DQ10" s="14">
        <f>DP10+DQ81-DQ34</f>
        <v>-783734.14738725009</v>
      </c>
      <c r="DR10" s="14">
        <f>DQ10+DR81-DR34</f>
        <v>-855503.09758725017</v>
      </c>
      <c r="DS10" s="14">
        <f>DR10+DS81-DS34</f>
        <v>-964414.19298725016</v>
      </c>
      <c r="DT10" s="14">
        <f>DS10+DT81-DT34</f>
        <v>-1125611.1516872502</v>
      </c>
      <c r="DU10" s="14">
        <f>DT10+DU81-DU34</f>
        <v>-1244923.6840585582</v>
      </c>
      <c r="DV10" s="14">
        <f>DU10+DV81-DV34</f>
        <v>-1279590.1488847185</v>
      </c>
      <c r="DW10" s="14">
        <f>DV10+DW81-DW34</f>
        <v>-1301149.8390113008</v>
      </c>
      <c r="DX10" s="14">
        <v>116080.10690622788</v>
      </c>
    </row>
    <row r="11" spans="1:128">
      <c r="A11" s="19">
        <v>0</v>
      </c>
      <c r="B11" s="158" t="s">
        <v>30</v>
      </c>
      <c r="C11" s="264"/>
      <c r="D11" s="265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66"/>
      <c r="Q11" s="21"/>
      <c r="R11" s="265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67"/>
      <c r="AE11" s="23"/>
      <c r="AF11" s="22"/>
      <c r="AG11" s="22"/>
      <c r="AH11" s="22"/>
      <c r="AI11" s="22"/>
      <c r="AJ11" s="24"/>
      <c r="AK11" s="22"/>
      <c r="AL11" s="22"/>
      <c r="AM11" s="22"/>
      <c r="AN11" s="22"/>
      <c r="AO11" s="22"/>
      <c r="AP11" s="25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6"/>
      <c r="BC11" s="22"/>
      <c r="BD11" s="22"/>
      <c r="BE11" s="22"/>
      <c r="BF11" s="22"/>
      <c r="BG11" s="27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8"/>
      <c r="BV11" s="22">
        <v>204006</v>
      </c>
      <c r="BW11" s="22">
        <v>241182</v>
      </c>
      <c r="BX11" s="22">
        <v>245950</v>
      </c>
      <c r="BY11" s="22">
        <v>281974</v>
      </c>
      <c r="BZ11" s="22">
        <v>202865</v>
      </c>
      <c r="CA11" s="22">
        <v>240895</v>
      </c>
      <c r="CB11" s="22">
        <v>273565</v>
      </c>
      <c r="CC11" s="22">
        <v>288981</v>
      </c>
      <c r="CD11" s="22">
        <v>273990</v>
      </c>
      <c r="CE11" s="22">
        <v>237556</v>
      </c>
      <c r="CF11" s="22">
        <v>168313</v>
      </c>
      <c r="CG11" s="22">
        <v>150819</v>
      </c>
      <c r="CH11" s="22">
        <f>CG11</f>
        <v>150819</v>
      </c>
      <c r="CJ11" s="22">
        <v>205037</v>
      </c>
      <c r="CK11" s="22">
        <v>230430</v>
      </c>
      <c r="CL11" s="22">
        <v>234343</v>
      </c>
      <c r="CM11" s="22">
        <v>266388</v>
      </c>
      <c r="CN11" s="22"/>
      <c r="CO11" s="22"/>
      <c r="CP11" s="22"/>
      <c r="CQ11" s="22"/>
      <c r="CR11" s="22"/>
      <c r="CS11" s="22">
        <v>278269</v>
      </c>
      <c r="CT11" s="22"/>
      <c r="CU11" s="22"/>
      <c r="CV11" s="22"/>
      <c r="CX11" s="22">
        <v>315473</v>
      </c>
      <c r="CY11" s="22">
        <v>340292</v>
      </c>
      <c r="CZ11" s="22">
        <v>246000</v>
      </c>
      <c r="DA11" s="22">
        <f>CZ11-DA34+DA80</f>
        <v>215000</v>
      </c>
      <c r="DB11" s="22">
        <f>DA11-DB34+DB80</f>
        <v>222329.74999999997</v>
      </c>
      <c r="DC11" s="22">
        <f>DB11-DC34+DC80</f>
        <v>255082.46999999997</v>
      </c>
      <c r="DD11" s="22">
        <f>DC11-DD34+DD80</f>
        <v>258015.18999999992</v>
      </c>
      <c r="DE11" s="22">
        <f>DD11-DE34+DE80</f>
        <v>246180.22999999989</v>
      </c>
      <c r="DF11" s="22">
        <f>DE11-DF75+DF80</f>
        <v>197183.09999999989</v>
      </c>
      <c r="DG11" s="22">
        <f>DF11-DG75+DG80</f>
        <v>159206.25914767923</v>
      </c>
      <c r="DH11" s="22">
        <f>DG11-DH75+DH80</f>
        <v>182513.72470126572</v>
      </c>
      <c r="DI11" s="22">
        <f>DH11-DI75+DI80</f>
        <v>221965.53693797457</v>
      </c>
      <c r="DJ11" s="22"/>
      <c r="DK11" s="948"/>
      <c r="DL11" s="22">
        <f>DI11-DL75+DL80</f>
        <v>212869.13093797452</v>
      </c>
      <c r="DM11" s="22">
        <f>DL11-DM75+DM80</f>
        <v>214345.55193797452</v>
      </c>
      <c r="DN11" s="22">
        <f t="shared" ref="DN11:DX11" si="17">DM11-DN75+DN80</f>
        <v>200921.6249379745</v>
      </c>
      <c r="DO11" s="22">
        <f t="shared" si="17"/>
        <v>242135.94093797449</v>
      </c>
      <c r="DP11" s="22">
        <f t="shared" si="17"/>
        <v>261070.70493797449</v>
      </c>
      <c r="DQ11" s="22">
        <f t="shared" si="17"/>
        <v>325796.62293797446</v>
      </c>
      <c r="DR11" s="22">
        <f t="shared" si="17"/>
        <v>313900.31993797445</v>
      </c>
      <c r="DS11" s="22">
        <f t="shared" si="17"/>
        <v>280397.89893797447</v>
      </c>
      <c r="DT11" s="22">
        <f t="shared" si="17"/>
        <v>204411.85593797447</v>
      </c>
      <c r="DU11" s="22">
        <f t="shared" si="17"/>
        <v>140548.13100042171</v>
      </c>
      <c r="DV11" s="22">
        <f t="shared" si="17"/>
        <v>146017.94310936684</v>
      </c>
      <c r="DW11" s="22">
        <f t="shared" si="17"/>
        <v>174048.53656974656</v>
      </c>
      <c r="DX11" s="22"/>
    </row>
    <row r="12" spans="1:128">
      <c r="A12" s="19"/>
      <c r="B12" s="158" t="s">
        <v>112</v>
      </c>
      <c r="C12" s="264"/>
      <c r="D12" s="265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66"/>
      <c r="Q12" s="21"/>
      <c r="R12" s="265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67"/>
      <c r="AE12" s="23"/>
      <c r="AF12" s="22"/>
      <c r="AG12" s="22"/>
      <c r="AH12" s="22"/>
      <c r="AI12" s="22"/>
      <c r="AJ12" s="24"/>
      <c r="AK12" s="22"/>
      <c r="AL12" s="22"/>
      <c r="AM12" s="22"/>
      <c r="AN12" s="22"/>
      <c r="AO12" s="22"/>
      <c r="AP12" s="25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6"/>
      <c r="BC12" s="22"/>
      <c r="BD12" s="22"/>
      <c r="BE12" s="22"/>
      <c r="BF12" s="22"/>
      <c r="BG12" s="27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8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>
        <v>40000</v>
      </c>
      <c r="CT12" s="22"/>
      <c r="CU12" s="22"/>
      <c r="CV12" s="22"/>
      <c r="CX12" s="22">
        <v>27585</v>
      </c>
      <c r="CY12" s="22">
        <v>35241</v>
      </c>
      <c r="CZ12" s="22">
        <v>33500</v>
      </c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948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</row>
    <row r="13" spans="1:128">
      <c r="A13" s="19"/>
      <c r="B13" s="158" t="s">
        <v>113</v>
      </c>
      <c r="C13" s="264"/>
      <c r="D13" s="26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66"/>
      <c r="Q13" s="21"/>
      <c r="R13" s="265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67"/>
      <c r="AE13" s="23"/>
      <c r="AF13" s="22"/>
      <c r="AG13" s="22"/>
      <c r="AH13" s="22"/>
      <c r="AI13" s="22"/>
      <c r="AJ13" s="24"/>
      <c r="AK13" s="22"/>
      <c r="AL13" s="22"/>
      <c r="AM13" s="22"/>
      <c r="AN13" s="22"/>
      <c r="AO13" s="22"/>
      <c r="AP13" s="25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6"/>
      <c r="BC13" s="22"/>
      <c r="BD13" s="22"/>
      <c r="BE13" s="22"/>
      <c r="BF13" s="22"/>
      <c r="BG13" s="27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8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>
        <v>25428</v>
      </c>
      <c r="CT13" s="22"/>
      <c r="CU13" s="22"/>
      <c r="CV13" s="22"/>
      <c r="CX13" s="22">
        <v>47014</v>
      </c>
      <c r="CY13" s="22">
        <v>54401</v>
      </c>
      <c r="CZ13" s="22">
        <v>68100</v>
      </c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948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</row>
    <row r="14" spans="1:128">
      <c r="A14" s="19">
        <v>0</v>
      </c>
      <c r="B14" s="158" t="s">
        <v>114</v>
      </c>
      <c r="C14" s="264"/>
      <c r="D14" s="26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66"/>
      <c r="Q14" s="21"/>
      <c r="R14" s="265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67"/>
      <c r="AE14" s="23"/>
      <c r="AF14" s="22"/>
      <c r="AG14" s="22"/>
      <c r="AH14" s="22"/>
      <c r="AI14" s="22"/>
      <c r="AJ14" s="24"/>
      <c r="AK14" s="22"/>
      <c r="AL14" s="22"/>
      <c r="AM14" s="22"/>
      <c r="AN14" s="22"/>
      <c r="AO14" s="22"/>
      <c r="AP14" s="25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6"/>
      <c r="BC14" s="22"/>
      <c r="BD14" s="22"/>
      <c r="BE14" s="22"/>
      <c r="BF14" s="22"/>
      <c r="BG14" s="27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8"/>
      <c r="BV14" s="22">
        <v>80956</v>
      </c>
      <c r="BW14" s="22">
        <v>110544</v>
      </c>
      <c r="BX14" s="22">
        <v>134506</v>
      </c>
      <c r="BY14" s="22">
        <v>127959</v>
      </c>
      <c r="BZ14" s="22">
        <v>66136</v>
      </c>
      <c r="CA14" s="22">
        <v>72582</v>
      </c>
      <c r="CB14" s="22">
        <v>94286</v>
      </c>
      <c r="CC14" s="22">
        <v>133081</v>
      </c>
      <c r="CD14" s="22">
        <v>148174</v>
      </c>
      <c r="CE14" s="22">
        <v>154201</v>
      </c>
      <c r="CF14" s="22">
        <v>97365</v>
      </c>
      <c r="CG14" s="22">
        <v>30184</v>
      </c>
      <c r="CH14" s="22"/>
      <c r="CJ14" s="22">
        <v>132209</v>
      </c>
      <c r="CK14" s="22">
        <v>180000</v>
      </c>
      <c r="CL14" s="22">
        <v>177643</v>
      </c>
      <c r="CM14" s="22">
        <v>153210</v>
      </c>
      <c r="CN14" s="22"/>
      <c r="CO14" s="22"/>
      <c r="CP14" s="22"/>
      <c r="CQ14" s="22"/>
      <c r="CR14" s="22"/>
      <c r="CS14" s="22">
        <v>189875</v>
      </c>
      <c r="CT14" s="22"/>
      <c r="CU14" s="22"/>
      <c r="CV14" s="22"/>
      <c r="CX14" s="22">
        <v>101210</v>
      </c>
      <c r="CY14" s="22">
        <v>105819</v>
      </c>
      <c r="CZ14" s="22">
        <v>12500</v>
      </c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948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</row>
    <row r="15" spans="1:128">
      <c r="A15" s="19">
        <v>0</v>
      </c>
      <c r="B15" s="158" t="s">
        <v>32</v>
      </c>
      <c r="C15" s="264"/>
      <c r="D15" s="26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66"/>
      <c r="Q15" s="21"/>
      <c r="R15" s="265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67"/>
      <c r="AE15" s="23"/>
      <c r="AF15" s="22"/>
      <c r="AG15" s="22"/>
      <c r="AH15" s="22"/>
      <c r="AI15" s="22"/>
      <c r="AJ15" s="24"/>
      <c r="AK15" s="22"/>
      <c r="AL15" s="22"/>
      <c r="AM15" s="22"/>
      <c r="AN15" s="22"/>
      <c r="AO15" s="22"/>
      <c r="AP15" s="25"/>
      <c r="AQ15" s="22"/>
      <c r="AR15" s="22"/>
      <c r="AS15" s="23"/>
      <c r="AT15" s="22"/>
      <c r="AU15" s="22"/>
      <c r="AV15" s="22"/>
      <c r="AW15" s="22"/>
      <c r="AX15" s="22"/>
      <c r="AY15" s="22"/>
      <c r="AZ15" s="22"/>
      <c r="BA15" s="22"/>
      <c r="BB15" s="26"/>
      <c r="BC15" s="22"/>
      <c r="BD15" s="22"/>
      <c r="BE15" s="22"/>
      <c r="BF15" s="22"/>
      <c r="BG15" s="27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8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J15" s="22">
        <v>150321</v>
      </c>
      <c r="CK15" s="22">
        <v>133602</v>
      </c>
      <c r="CL15" s="22">
        <v>135672</v>
      </c>
      <c r="CM15" s="22">
        <v>133268</v>
      </c>
      <c r="CN15" s="22"/>
      <c r="CO15" s="22"/>
      <c r="CP15" s="22"/>
      <c r="CQ15" s="22"/>
      <c r="CR15" s="22"/>
      <c r="CS15" s="22">
        <v>113875</v>
      </c>
      <c r="CT15" s="22"/>
      <c r="CU15" s="22"/>
      <c r="CV15" s="22"/>
      <c r="CX15" s="726">
        <v>109268</v>
      </c>
      <c r="CY15" s="726">
        <v>114943</v>
      </c>
      <c r="CZ15" s="22">
        <v>133000</v>
      </c>
      <c r="DA15" s="22"/>
      <c r="DB15" s="22"/>
      <c r="DC15" s="22"/>
      <c r="DD15" s="22"/>
      <c r="DE15" s="22"/>
      <c r="DF15" s="22"/>
      <c r="DG15" s="22"/>
      <c r="DH15" s="22"/>
      <c r="DI15" s="22">
        <f t="shared" ref="DI15" si="18">DH15</f>
        <v>0</v>
      </c>
      <c r="DJ15" s="22"/>
      <c r="DK15" s="948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>
        <f t="shared" ref="DW15" si="19">DV15</f>
        <v>0</v>
      </c>
      <c r="DX15" s="22"/>
    </row>
    <row r="16" spans="1:128">
      <c r="A16" s="19">
        <v>0</v>
      </c>
      <c r="B16" s="717" t="s">
        <v>33</v>
      </c>
      <c r="C16" s="264"/>
      <c r="D16" s="265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66"/>
      <c r="Q16" s="21"/>
      <c r="R16" s="265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67"/>
      <c r="AE16" s="23"/>
      <c r="AF16" s="22"/>
      <c r="AG16" s="22"/>
      <c r="AH16" s="22"/>
      <c r="AI16" s="22"/>
      <c r="AJ16" s="24"/>
      <c r="AK16" s="22"/>
      <c r="AL16" s="22"/>
      <c r="AM16" s="22"/>
      <c r="AN16" s="22"/>
      <c r="AO16" s="22"/>
      <c r="AP16" s="25"/>
      <c r="AQ16" s="22"/>
      <c r="AR16" s="22"/>
      <c r="AS16" s="23"/>
      <c r="AT16" s="22"/>
      <c r="AU16" s="22"/>
      <c r="AV16" s="22"/>
      <c r="AW16" s="22"/>
      <c r="AX16" s="22"/>
      <c r="AY16" s="22"/>
      <c r="AZ16" s="22"/>
      <c r="BA16" s="22"/>
      <c r="BB16" s="26"/>
      <c r="BC16" s="22"/>
      <c r="BD16" s="22"/>
      <c r="BE16" s="22"/>
      <c r="BF16" s="22"/>
      <c r="BG16" s="27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8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J16" s="718">
        <v>36757</v>
      </c>
      <c r="CK16" s="718">
        <v>55826</v>
      </c>
      <c r="CL16" s="718">
        <v>60438</v>
      </c>
      <c r="CM16" s="718">
        <v>52291</v>
      </c>
      <c r="CN16" s="22"/>
      <c r="CO16" s="22"/>
      <c r="CP16" s="22"/>
      <c r="CQ16" s="22"/>
      <c r="CR16" s="22"/>
      <c r="CS16" s="718">
        <v>35740</v>
      </c>
      <c r="CT16" s="22"/>
      <c r="CU16" s="22"/>
      <c r="CV16" s="22"/>
      <c r="CX16" s="22">
        <v>-44963</v>
      </c>
      <c r="CY16" s="22">
        <v>-45395</v>
      </c>
      <c r="CZ16" s="22">
        <v>89000</v>
      </c>
      <c r="DA16" s="22"/>
      <c r="DB16" s="22"/>
      <c r="DC16" s="22"/>
      <c r="DD16" s="22"/>
      <c r="DE16" s="22"/>
      <c r="DF16" s="22"/>
      <c r="DG16" s="22">
        <v>50000</v>
      </c>
      <c r="DH16" s="22"/>
      <c r="DI16" s="22"/>
      <c r="DJ16" s="22"/>
      <c r="DK16" s="948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</row>
    <row r="17" spans="1:128" s="758" customFormat="1" ht="18.75" hidden="1">
      <c r="A17" s="839"/>
      <c r="B17" s="901" t="s">
        <v>115</v>
      </c>
      <c r="C17" s="902"/>
      <c r="D17" s="840"/>
      <c r="E17" s="841"/>
      <c r="F17" s="841"/>
      <c r="G17" s="841"/>
      <c r="H17" s="841"/>
      <c r="I17" s="841"/>
      <c r="J17" s="841"/>
      <c r="K17" s="841"/>
      <c r="L17" s="841"/>
      <c r="M17" s="841"/>
      <c r="N17" s="841"/>
      <c r="O17" s="841"/>
      <c r="P17" s="842"/>
      <c r="Q17" s="843"/>
      <c r="R17" s="840"/>
      <c r="S17" s="844"/>
      <c r="T17" s="844"/>
      <c r="U17" s="844"/>
      <c r="V17" s="844"/>
      <c r="W17" s="844"/>
      <c r="X17" s="844"/>
      <c r="Y17" s="844"/>
      <c r="Z17" s="844"/>
      <c r="AA17" s="844"/>
      <c r="AB17" s="844"/>
      <c r="AC17" s="844"/>
      <c r="AD17" s="845"/>
      <c r="AE17" s="846"/>
      <c r="AF17" s="844"/>
      <c r="AG17" s="844"/>
      <c r="AH17" s="844"/>
      <c r="AI17" s="844"/>
      <c r="AJ17" s="846"/>
      <c r="AK17" s="844"/>
      <c r="AL17" s="844"/>
      <c r="AM17" s="844"/>
      <c r="AN17" s="844"/>
      <c r="AO17" s="844"/>
      <c r="AP17" s="844"/>
      <c r="AQ17" s="844"/>
      <c r="AR17" s="844"/>
      <c r="AS17" s="846"/>
      <c r="AT17" s="844"/>
      <c r="AU17" s="844"/>
      <c r="AV17" s="844"/>
      <c r="AW17" s="844"/>
      <c r="AX17" s="844"/>
      <c r="AY17" s="844"/>
      <c r="AZ17" s="844"/>
      <c r="BA17" s="844"/>
      <c r="BB17" s="847"/>
      <c r="BC17" s="844"/>
      <c r="BD17" s="844"/>
      <c r="BE17" s="844"/>
      <c r="BF17" s="844"/>
      <c r="BG17" s="846"/>
      <c r="BH17" s="844"/>
      <c r="BI17" s="844"/>
      <c r="BJ17" s="844"/>
      <c r="BK17" s="844"/>
      <c r="BL17" s="844"/>
      <c r="BM17" s="844"/>
      <c r="BN17" s="844"/>
      <c r="BO17" s="844"/>
      <c r="BP17" s="844"/>
      <c r="BQ17" s="844"/>
      <c r="BR17" s="844"/>
      <c r="BS17" s="844"/>
      <c r="BT17" s="844"/>
      <c r="BU17" s="846"/>
      <c r="BV17" s="844"/>
      <c r="BW17" s="844"/>
      <c r="BX17" s="844"/>
      <c r="BY17" s="844"/>
      <c r="BZ17" s="844"/>
      <c r="CA17" s="844"/>
      <c r="CB17" s="844"/>
      <c r="CC17" s="844"/>
      <c r="CD17" s="844"/>
      <c r="CE17" s="844"/>
      <c r="CF17" s="844"/>
      <c r="CG17" s="844"/>
      <c r="CH17" s="844"/>
      <c r="CJ17" s="848"/>
      <c r="CK17" s="848"/>
      <c r="CL17" s="848"/>
      <c r="CM17" s="848"/>
      <c r="CN17" s="844"/>
      <c r="CO17" s="844"/>
      <c r="CP17" s="844"/>
      <c r="CQ17" s="844"/>
      <c r="CR17" s="844"/>
      <c r="CS17" s="849" t="e">
        <f>CS20/$DK$77</f>
        <v>#DIV/0!</v>
      </c>
      <c r="CT17" s="849" t="e">
        <f>CT20/$DK$77</f>
        <v>#DIV/0!</v>
      </c>
      <c r="CU17" s="849" t="e">
        <f>CU20/$DK$77</f>
        <v>#DIV/0!</v>
      </c>
      <c r="CV17" s="844"/>
      <c r="CX17" s="849" t="e">
        <f>CX20/$DK$77</f>
        <v>#DIV/0!</v>
      </c>
      <c r="CY17" s="849" t="e">
        <f t="shared" ref="CY17:DH17" si="20">CY20/$DK$77</f>
        <v>#DIV/0!</v>
      </c>
      <c r="CZ17" s="849" t="e">
        <f t="shared" si="20"/>
        <v>#DIV/0!</v>
      </c>
      <c r="DA17" s="849" t="e">
        <f t="shared" si="20"/>
        <v>#DIV/0!</v>
      </c>
      <c r="DB17" s="849" t="e">
        <f t="shared" si="20"/>
        <v>#DIV/0!</v>
      </c>
      <c r="DC17" s="849" t="e">
        <f t="shared" si="20"/>
        <v>#DIV/0!</v>
      </c>
      <c r="DD17" s="849" t="e">
        <f t="shared" si="20"/>
        <v>#DIV/0!</v>
      </c>
      <c r="DE17" s="849" t="e">
        <f t="shared" si="20"/>
        <v>#DIV/0!</v>
      </c>
      <c r="DF17" s="849" t="e">
        <f t="shared" si="20"/>
        <v>#DIV/0!</v>
      </c>
      <c r="DG17" s="849" t="e">
        <f t="shared" si="20"/>
        <v>#DIV/0!</v>
      </c>
      <c r="DH17" s="849" t="e">
        <f t="shared" si="20"/>
        <v>#DIV/0!</v>
      </c>
      <c r="DI17" s="849">
        <f t="shared" ref="DI17:DS17" si="21">DI20/138624</f>
        <v>0.80190513142006159</v>
      </c>
      <c r="DJ17" s="844"/>
      <c r="DK17" s="949"/>
      <c r="DL17" s="849" t="e">
        <f>DL20/$DK$77</f>
        <v>#DIV/0!</v>
      </c>
      <c r="DM17" s="849" t="e">
        <f t="shared" ref="DM17:DV17" si="22">DM20/$DK$77</f>
        <v>#DIV/0!</v>
      </c>
      <c r="DN17" s="849" t="e">
        <f t="shared" si="22"/>
        <v>#DIV/0!</v>
      </c>
      <c r="DO17" s="849" t="e">
        <f t="shared" si="22"/>
        <v>#DIV/0!</v>
      </c>
      <c r="DP17" s="849" t="e">
        <f t="shared" si="22"/>
        <v>#DIV/0!</v>
      </c>
      <c r="DQ17" s="849" t="e">
        <f t="shared" si="22"/>
        <v>#DIV/0!</v>
      </c>
      <c r="DR17" s="849" t="e">
        <f t="shared" si="22"/>
        <v>#DIV/0!</v>
      </c>
      <c r="DS17" s="849" t="e">
        <f t="shared" si="22"/>
        <v>#DIV/0!</v>
      </c>
      <c r="DT17" s="849" t="e">
        <f t="shared" si="22"/>
        <v>#DIV/0!</v>
      </c>
      <c r="DU17" s="849" t="e">
        <f t="shared" si="22"/>
        <v>#DIV/0!</v>
      </c>
      <c r="DV17" s="849" t="e">
        <f t="shared" si="22"/>
        <v>#DIV/0!</v>
      </c>
      <c r="DW17" s="849">
        <f t="shared" ref="DW17:DY17" si="23">DW20/138624</f>
        <v>0.33726877430853602</v>
      </c>
      <c r="DX17" s="844"/>
    </row>
    <row r="18" spans="1:128" s="758" customFormat="1" ht="18.75" hidden="1">
      <c r="A18" s="839"/>
      <c r="B18" s="901" t="s">
        <v>116</v>
      </c>
      <c r="C18" s="902"/>
      <c r="D18" s="840"/>
      <c r="E18" s="841"/>
      <c r="F18" s="841"/>
      <c r="G18" s="841"/>
      <c r="H18" s="841"/>
      <c r="I18" s="841"/>
      <c r="J18" s="841"/>
      <c r="K18" s="841"/>
      <c r="L18" s="841"/>
      <c r="M18" s="841"/>
      <c r="N18" s="841"/>
      <c r="O18" s="841"/>
      <c r="P18" s="842"/>
      <c r="Q18" s="843"/>
      <c r="R18" s="840"/>
      <c r="S18" s="844"/>
      <c r="T18" s="844"/>
      <c r="U18" s="844"/>
      <c r="V18" s="844"/>
      <c r="W18" s="844"/>
      <c r="X18" s="844"/>
      <c r="Y18" s="844"/>
      <c r="Z18" s="844"/>
      <c r="AA18" s="844"/>
      <c r="AB18" s="844"/>
      <c r="AC18" s="844"/>
      <c r="AD18" s="845"/>
      <c r="AE18" s="846"/>
      <c r="AF18" s="844"/>
      <c r="AG18" s="844"/>
      <c r="AH18" s="844"/>
      <c r="AI18" s="844"/>
      <c r="AJ18" s="846"/>
      <c r="AK18" s="844"/>
      <c r="AL18" s="844"/>
      <c r="AM18" s="844"/>
      <c r="AN18" s="844"/>
      <c r="AO18" s="844"/>
      <c r="AP18" s="844"/>
      <c r="AQ18" s="844"/>
      <c r="AR18" s="844"/>
      <c r="AS18" s="846"/>
      <c r="AT18" s="844"/>
      <c r="AU18" s="844"/>
      <c r="AV18" s="844"/>
      <c r="AW18" s="844"/>
      <c r="AX18" s="844"/>
      <c r="AY18" s="844"/>
      <c r="AZ18" s="844"/>
      <c r="BA18" s="844"/>
      <c r="BB18" s="847"/>
      <c r="BC18" s="844"/>
      <c r="BD18" s="844"/>
      <c r="BE18" s="844"/>
      <c r="BF18" s="844"/>
      <c r="BG18" s="846"/>
      <c r="BH18" s="844"/>
      <c r="BI18" s="844"/>
      <c r="BJ18" s="844"/>
      <c r="BK18" s="844"/>
      <c r="BL18" s="844"/>
      <c r="BM18" s="844"/>
      <c r="BN18" s="844"/>
      <c r="BO18" s="844"/>
      <c r="BP18" s="844"/>
      <c r="BQ18" s="844"/>
      <c r="BR18" s="844"/>
      <c r="BS18" s="844"/>
      <c r="BT18" s="844"/>
      <c r="BU18" s="846"/>
      <c r="BV18" s="844"/>
      <c r="BW18" s="844"/>
      <c r="BX18" s="844"/>
      <c r="BY18" s="844"/>
      <c r="BZ18" s="844"/>
      <c r="CA18" s="844"/>
      <c r="CB18" s="844"/>
      <c r="CC18" s="844"/>
      <c r="CD18" s="844"/>
      <c r="CE18" s="844"/>
      <c r="CF18" s="844"/>
      <c r="CG18" s="844"/>
      <c r="CH18" s="844"/>
      <c r="CJ18" s="848"/>
      <c r="CK18" s="848"/>
      <c r="CL18" s="848"/>
      <c r="CM18" s="848"/>
      <c r="CN18" s="844"/>
      <c r="CO18" s="844"/>
      <c r="CP18" s="844"/>
      <c r="CQ18" s="844"/>
      <c r="CR18" s="844"/>
      <c r="CS18" s="849" t="e">
        <f>CS21/$DK$78</f>
        <v>#DIV/0!</v>
      </c>
      <c r="CT18" s="849" t="e">
        <f>CT21/$DK$78</f>
        <v>#DIV/0!</v>
      </c>
      <c r="CU18" s="849" t="e">
        <f>CU21/$DK$78</f>
        <v>#DIV/0!</v>
      </c>
      <c r="CV18" s="844"/>
      <c r="CX18" s="849" t="e">
        <f>CX21/$DK$78</f>
        <v>#DIV/0!</v>
      </c>
      <c r="CY18" s="849" t="e">
        <f t="shared" ref="CY18:DH18" si="24">CY21/$DK$78</f>
        <v>#DIV/0!</v>
      </c>
      <c r="CZ18" s="849" t="e">
        <f t="shared" si="24"/>
        <v>#DIV/0!</v>
      </c>
      <c r="DA18" s="849" t="e">
        <f t="shared" si="24"/>
        <v>#DIV/0!</v>
      </c>
      <c r="DB18" s="849" t="e">
        <f t="shared" si="24"/>
        <v>#DIV/0!</v>
      </c>
      <c r="DC18" s="849" t="e">
        <f t="shared" si="24"/>
        <v>#DIV/0!</v>
      </c>
      <c r="DD18" s="849" t="e">
        <f t="shared" si="24"/>
        <v>#DIV/0!</v>
      </c>
      <c r="DE18" s="849" t="e">
        <f t="shared" si="24"/>
        <v>#DIV/0!</v>
      </c>
      <c r="DF18" s="849" t="e">
        <f>DF21/$DK$78</f>
        <v>#DIV/0!</v>
      </c>
      <c r="DG18" s="849" t="e">
        <f t="shared" si="24"/>
        <v>#DIV/0!</v>
      </c>
      <c r="DH18" s="849" t="e">
        <f t="shared" si="24"/>
        <v>#DIV/0!</v>
      </c>
      <c r="DI18" s="849">
        <f t="shared" ref="DI18:DS18" si="25">DI21/17313</f>
        <v>0.89852134234390313</v>
      </c>
      <c r="DJ18" s="844"/>
      <c r="DK18" s="949"/>
      <c r="DL18" s="849" t="e">
        <f>DL21/$DK$78</f>
        <v>#DIV/0!</v>
      </c>
      <c r="DM18" s="849" t="e">
        <f t="shared" ref="DM18:DV18" si="26">DM21/$DK$78</f>
        <v>#DIV/0!</v>
      </c>
      <c r="DN18" s="849" t="e">
        <f t="shared" si="26"/>
        <v>#DIV/0!</v>
      </c>
      <c r="DO18" s="849" t="e">
        <f t="shared" si="26"/>
        <v>#DIV/0!</v>
      </c>
      <c r="DP18" s="849" t="e">
        <f t="shared" si="26"/>
        <v>#DIV/0!</v>
      </c>
      <c r="DQ18" s="849" t="e">
        <f t="shared" si="26"/>
        <v>#DIV/0!</v>
      </c>
      <c r="DR18" s="849" t="e">
        <f t="shared" si="26"/>
        <v>#DIV/0!</v>
      </c>
      <c r="DS18" s="849" t="e">
        <f t="shared" si="26"/>
        <v>#DIV/0!</v>
      </c>
      <c r="DT18" s="849" t="e">
        <f>DT21/$DK$78</f>
        <v>#DIV/0!</v>
      </c>
      <c r="DU18" s="849" t="e">
        <f t="shared" ref="DU18:DY18" si="27">DU21/$DK$78</f>
        <v>#DIV/0!</v>
      </c>
      <c r="DV18" s="849" t="e">
        <f t="shared" si="27"/>
        <v>#DIV/0!</v>
      </c>
      <c r="DW18" s="849">
        <f t="shared" ref="DW18:DY18" si="28">DW21/17313</f>
        <v>0.64792930168081742</v>
      </c>
      <c r="DX18" s="844"/>
    </row>
    <row r="19" spans="1:128" s="758" customFormat="1" ht="18.75">
      <c r="A19" s="839"/>
      <c r="B19" s="1022" t="s">
        <v>155</v>
      </c>
      <c r="C19" s="1023"/>
      <c r="D19" s="840"/>
      <c r="E19" s="841"/>
      <c r="F19" s="841"/>
      <c r="G19" s="841"/>
      <c r="H19" s="841"/>
      <c r="I19" s="841"/>
      <c r="J19" s="841"/>
      <c r="K19" s="841"/>
      <c r="L19" s="841"/>
      <c r="M19" s="841"/>
      <c r="N19" s="841"/>
      <c r="O19" s="841"/>
      <c r="P19" s="842"/>
      <c r="Q19" s="843"/>
      <c r="R19" s="840"/>
      <c r="S19" s="844"/>
      <c r="T19" s="844"/>
      <c r="U19" s="844"/>
      <c r="V19" s="844"/>
      <c r="W19" s="844"/>
      <c r="X19" s="844"/>
      <c r="Y19" s="844"/>
      <c r="Z19" s="844"/>
      <c r="AA19" s="844"/>
      <c r="AB19" s="844"/>
      <c r="AC19" s="844"/>
      <c r="AD19" s="845"/>
      <c r="AE19" s="846"/>
      <c r="AF19" s="844"/>
      <c r="AG19" s="844"/>
      <c r="AH19" s="844"/>
      <c r="AI19" s="844"/>
      <c r="AJ19" s="846"/>
      <c r="AK19" s="844"/>
      <c r="AL19" s="844"/>
      <c r="AM19" s="844"/>
      <c r="AN19" s="844"/>
      <c r="AO19" s="844"/>
      <c r="AP19" s="844"/>
      <c r="AQ19" s="844"/>
      <c r="AR19" s="844"/>
      <c r="AS19" s="846"/>
      <c r="AT19" s="844"/>
      <c r="AU19" s="844"/>
      <c r="AV19" s="844"/>
      <c r="AW19" s="844"/>
      <c r="AX19" s="844"/>
      <c r="AY19" s="844"/>
      <c r="AZ19" s="844"/>
      <c r="BA19" s="844"/>
      <c r="BB19" s="847"/>
      <c r="BC19" s="844"/>
      <c r="BD19" s="844"/>
      <c r="BE19" s="844"/>
      <c r="BF19" s="844"/>
      <c r="BG19" s="846"/>
      <c r="BH19" s="844"/>
      <c r="BI19" s="844"/>
      <c r="BJ19" s="844"/>
      <c r="BK19" s="844"/>
      <c r="BL19" s="844"/>
      <c r="BM19" s="844"/>
      <c r="BN19" s="844"/>
      <c r="BO19" s="844"/>
      <c r="BP19" s="844"/>
      <c r="BQ19" s="844"/>
      <c r="BR19" s="844"/>
      <c r="BS19" s="844"/>
      <c r="BT19" s="844"/>
      <c r="BU19" s="846"/>
      <c r="BV19" s="844"/>
      <c r="BW19" s="844"/>
      <c r="BX19" s="844"/>
      <c r="BY19" s="844"/>
      <c r="BZ19" s="844"/>
      <c r="CA19" s="844"/>
      <c r="CB19" s="844"/>
      <c r="CC19" s="844"/>
      <c r="CD19" s="844"/>
      <c r="CE19" s="844"/>
      <c r="CF19" s="844"/>
      <c r="CG19" s="844"/>
      <c r="CH19" s="844"/>
      <c r="CJ19" s="848"/>
      <c r="CK19" s="848"/>
      <c r="CL19" s="848"/>
      <c r="CM19" s="848"/>
      <c r="CN19" s="844"/>
      <c r="CO19" s="844"/>
      <c r="CP19" s="844"/>
      <c r="CQ19" s="844"/>
      <c r="CR19" s="844"/>
      <c r="CS19" s="849"/>
      <c r="CT19" s="849"/>
      <c r="CU19" s="849"/>
      <c r="CV19" s="844"/>
      <c r="CX19" s="849"/>
      <c r="CY19" s="849"/>
      <c r="CZ19" s="844">
        <f>CZ20+CZ21</f>
        <v>203000</v>
      </c>
      <c r="DA19" s="844">
        <f t="shared" ref="DA19:DI19" si="29">DA20+DA21</f>
        <v>141685.56</v>
      </c>
      <c r="DB19" s="844">
        <f t="shared" si="29"/>
        <v>176049.8</v>
      </c>
      <c r="DC19" s="844">
        <f t="shared" si="29"/>
        <v>185509.18</v>
      </c>
      <c r="DD19" s="844">
        <f t="shared" si="29"/>
        <v>199953.34999999998</v>
      </c>
      <c r="DE19" s="844">
        <f t="shared" si="29"/>
        <v>214476.13999999996</v>
      </c>
      <c r="DF19" s="844">
        <f t="shared" si="29"/>
        <v>186401.90999999992</v>
      </c>
      <c r="DG19" s="844">
        <f t="shared" si="29"/>
        <v>106581.7691476793</v>
      </c>
      <c r="DH19" s="844">
        <f t="shared" si="29"/>
        <v>133967.58470126576</v>
      </c>
      <c r="DI19" s="844">
        <f>DI20+DI21</f>
        <v>126719.39693797461</v>
      </c>
      <c r="DJ19" s="844"/>
      <c r="DK19" s="949"/>
      <c r="DL19" s="844">
        <f>DL20+DL21</f>
        <v>103352.99093797458</v>
      </c>
      <c r="DM19" s="844">
        <f t="shared" ref="DM19:DW19" si="30">DM20+DM21</f>
        <v>111743.41193797458</v>
      </c>
      <c r="DN19" s="844">
        <f t="shared" si="30"/>
        <v>93643.484937974557</v>
      </c>
      <c r="DO19" s="844">
        <f t="shared" si="30"/>
        <v>147075.80093797451</v>
      </c>
      <c r="DP19" s="844">
        <f t="shared" si="30"/>
        <v>175499.5649379745</v>
      </c>
      <c r="DQ19" s="844">
        <f t="shared" si="30"/>
        <v>204989.48293797451</v>
      </c>
      <c r="DR19" s="844">
        <f t="shared" si="30"/>
        <v>202779.07993797446</v>
      </c>
      <c r="DS19" s="844">
        <f t="shared" si="30"/>
        <v>177862.55893797445</v>
      </c>
      <c r="DT19" s="844">
        <f t="shared" si="30"/>
        <v>122799.41593797442</v>
      </c>
      <c r="DU19" s="844">
        <f t="shared" si="30"/>
        <v>67092.39100042163</v>
      </c>
      <c r="DV19" s="844">
        <f t="shared" si="30"/>
        <v>76640.553109366767</v>
      </c>
      <c r="DW19" s="844">
        <f t="shared" si="30"/>
        <v>57971.146569746488</v>
      </c>
      <c r="DX19" s="844"/>
    </row>
    <row r="20" spans="1:128" s="1008" customFormat="1" ht="18.75">
      <c r="A20" s="1007">
        <v>1</v>
      </c>
      <c r="B20" s="1009" t="s">
        <v>117</v>
      </c>
      <c r="C20" s="1010"/>
      <c r="D20" s="1011">
        <v>197000</v>
      </c>
      <c r="E20" s="1012">
        <v>223027</v>
      </c>
      <c r="F20" s="1012">
        <v>230513</v>
      </c>
      <c r="G20" s="1012">
        <v>231174</v>
      </c>
      <c r="H20" s="1012">
        <v>255028</v>
      </c>
      <c r="I20" s="1012">
        <f>316386+3241</f>
        <v>319627</v>
      </c>
      <c r="J20" s="1012">
        <v>377712</v>
      </c>
      <c r="K20" s="1012">
        <v>382411</v>
      </c>
      <c r="L20" s="1012">
        <v>394107</v>
      </c>
      <c r="M20" s="1012">
        <v>267954</v>
      </c>
      <c r="N20" s="1012"/>
      <c r="O20" s="1012">
        <v>143875</v>
      </c>
      <c r="P20" s="1013"/>
      <c r="Q20" s="1014"/>
      <c r="R20" s="1011">
        <v>208084</v>
      </c>
      <c r="S20" s="1015">
        <v>268431</v>
      </c>
      <c r="T20" s="1015">
        <v>250616</v>
      </c>
      <c r="U20" s="1015">
        <v>237088</v>
      </c>
      <c r="V20" s="1015">
        <v>147777</v>
      </c>
      <c r="W20" s="1015">
        <v>215818</v>
      </c>
      <c r="X20" s="1015">
        <v>273510</v>
      </c>
      <c r="Y20" s="1015">
        <v>299059</v>
      </c>
      <c r="Z20" s="1015">
        <v>304980</v>
      </c>
      <c r="AA20" s="1015">
        <v>231197</v>
      </c>
      <c r="AB20" s="1015">
        <v>143086</v>
      </c>
      <c r="AC20" s="1015">
        <v>172491</v>
      </c>
      <c r="AD20" s="1016"/>
      <c r="AE20" s="1017"/>
      <c r="AF20" s="1015">
        <v>198695</v>
      </c>
      <c r="AG20" s="1015">
        <v>234210</v>
      </c>
      <c r="AH20" s="1015">
        <v>327560</v>
      </c>
      <c r="AI20" s="1015">
        <v>332523</v>
      </c>
      <c r="AJ20" s="1017">
        <v>356667</v>
      </c>
      <c r="AK20" s="1015">
        <v>384165</v>
      </c>
      <c r="AL20" s="1015">
        <v>317268</v>
      </c>
      <c r="AM20" s="1015">
        <v>370708</v>
      </c>
      <c r="AN20" s="1015">
        <v>354503</v>
      </c>
      <c r="AO20" s="1015">
        <v>314605</v>
      </c>
      <c r="AP20" s="1015">
        <v>90490</v>
      </c>
      <c r="AQ20" s="1015">
        <v>58348</v>
      </c>
      <c r="AR20" s="1015">
        <f t="shared" si="11"/>
        <v>58348</v>
      </c>
      <c r="AS20" s="1017"/>
      <c r="AT20" s="1015">
        <v>158701</v>
      </c>
      <c r="AU20" s="1015">
        <v>115369</v>
      </c>
      <c r="AV20" s="1015">
        <v>142379</v>
      </c>
      <c r="AW20" s="1015">
        <v>118765</v>
      </c>
      <c r="AX20" s="1015">
        <v>113246</v>
      </c>
      <c r="AY20" s="1015">
        <v>106776</v>
      </c>
      <c r="AZ20" s="1015">
        <v>175234</v>
      </c>
      <c r="BA20" s="1015">
        <v>151553</v>
      </c>
      <c r="BB20" s="1018">
        <v>167082</v>
      </c>
      <c r="BC20" s="1015">
        <v>150959</v>
      </c>
      <c r="BD20" s="1015">
        <v>119787</v>
      </c>
      <c r="BE20" s="1015">
        <v>65426</v>
      </c>
      <c r="BF20" s="1015">
        <f t="shared" si="13"/>
        <v>65426</v>
      </c>
      <c r="BG20" s="1017"/>
      <c r="BH20" s="1015">
        <v>166918</v>
      </c>
      <c r="BI20" s="1015">
        <v>167160</v>
      </c>
      <c r="BJ20" s="1015">
        <v>204571</v>
      </c>
      <c r="BK20" s="1015">
        <v>153197</v>
      </c>
      <c r="BL20" s="1015">
        <v>196798</v>
      </c>
      <c r="BM20" s="1015">
        <v>145596</v>
      </c>
      <c r="BN20" s="1015">
        <v>166021</v>
      </c>
      <c r="BO20" s="1015">
        <v>211305</v>
      </c>
      <c r="BP20" s="1015">
        <v>201071</v>
      </c>
      <c r="BQ20" s="1015">
        <v>177743</v>
      </c>
      <c r="BR20" s="1015">
        <v>144020</v>
      </c>
      <c r="BS20" s="1015">
        <v>154347</v>
      </c>
      <c r="BT20" s="1015">
        <f>BS20</f>
        <v>154347</v>
      </c>
      <c r="BU20" s="1017"/>
      <c r="BV20" s="1015">
        <v>151471</v>
      </c>
      <c r="BW20" s="1015">
        <v>155653</v>
      </c>
      <c r="BX20" s="1015">
        <v>151611</v>
      </c>
      <c r="BY20" s="1015">
        <v>177044</v>
      </c>
      <c r="BZ20" s="1015">
        <v>170481</v>
      </c>
      <c r="CA20" s="1015">
        <v>221665</v>
      </c>
      <c r="CB20" s="1015">
        <v>218105</v>
      </c>
      <c r="CC20" s="1015">
        <v>188153</v>
      </c>
      <c r="CD20" s="1015">
        <v>147751</v>
      </c>
      <c r="CE20" s="1015">
        <v>112996</v>
      </c>
      <c r="CF20" s="1015">
        <v>135968</v>
      </c>
      <c r="CG20" s="1015">
        <v>130000</v>
      </c>
      <c r="CH20" s="1015">
        <f t="shared" ref="CH20:CH31" si="31">CG20</f>
        <v>130000</v>
      </c>
      <c r="CI20" s="988">
        <v>114000</v>
      </c>
      <c r="CJ20" s="1015">
        <v>109585</v>
      </c>
      <c r="CK20" s="1015">
        <v>103815</v>
      </c>
      <c r="CL20" s="1015">
        <v>117138</v>
      </c>
      <c r="CM20" s="1015">
        <v>165469</v>
      </c>
      <c r="CN20" s="1015">
        <f>CM20+CN81-CN34</f>
        <v>175907.8879612374</v>
      </c>
      <c r="CO20" s="1015">
        <f>CN20+CO81-CO34</f>
        <v>238961.73306000742</v>
      </c>
      <c r="CP20" s="1015">
        <f>CO20+CP81-CP34</f>
        <v>271844.22259587242</v>
      </c>
      <c r="CQ20" s="1015">
        <f>CP20+CQ81-CQ34</f>
        <v>249838.52867182181</v>
      </c>
      <c r="CR20" s="1015">
        <f>CQ20+CR81-CR34</f>
        <v>201980.33782793995</v>
      </c>
      <c r="CS20" s="1019">
        <f>91286-CS21</f>
        <v>76250</v>
      </c>
      <c r="CT20" s="1019">
        <f>CS20+CT81-CT77-CT21</f>
        <v>101848.14995780593</v>
      </c>
      <c r="CU20" s="1019">
        <f>CT20+CU81-CU77-CU21</f>
        <v>111197.32717299581</v>
      </c>
      <c r="CV20" s="1020"/>
      <c r="CW20" s="1021"/>
      <c r="CX20" s="1015">
        <v>205563</v>
      </c>
      <c r="CY20" s="1015">
        <v>222075</v>
      </c>
      <c r="CZ20" s="1015">
        <v>174000</v>
      </c>
      <c r="DA20" s="1015">
        <f>CZ20+DA81-DA77+DA15-DA16</f>
        <v>108499.36</v>
      </c>
      <c r="DB20" s="1015">
        <f>DA20+DB81-DB77+DB15-DB16</f>
        <v>141863.6</v>
      </c>
      <c r="DC20" s="1015">
        <f>DB20+DC81-DC77+DC15-DC16</f>
        <v>149322.98000000001</v>
      </c>
      <c r="DD20" s="1015">
        <f>DC20+DD81-DD77+DD15-DD16</f>
        <v>168767.14999999997</v>
      </c>
      <c r="DE20" s="1015">
        <f>DD20+DE81-DE77+DE15-DE16</f>
        <v>189289.93999999997</v>
      </c>
      <c r="DF20" s="1015">
        <f>DE20+DF81-DF77+DF15-DF16</f>
        <v>167215.70999999993</v>
      </c>
      <c r="DG20" s="1015">
        <f>DF20+DG81-DG77+DG15-DG16</f>
        <v>91846.969147679309</v>
      </c>
      <c r="DH20" s="1015">
        <f>DG20+DH81-DH77+DH15-DH16</f>
        <v>117513.78470126577</v>
      </c>
      <c r="DI20" s="1015">
        <f>DH20+DI81-DI77+DI15-DI16</f>
        <v>111163.29693797462</v>
      </c>
      <c r="DJ20" s="989"/>
      <c r="DK20" s="949"/>
      <c r="DL20" s="898">
        <f>DI20+DL81-DL77</f>
        <v>95659.890937974589</v>
      </c>
      <c r="DM20" s="898">
        <f>DL20+DM81-DM77+DM15-DM16</f>
        <v>103407.61193797459</v>
      </c>
      <c r="DN20" s="898">
        <f>DM20+DN81-DN77+DN15-DN16</f>
        <v>86195.78493797456</v>
      </c>
      <c r="DO20" s="898">
        <f>DN20+DO81-DO77+DO15-DO16</f>
        <v>135441.90093797451</v>
      </c>
      <c r="DP20" s="898">
        <f>DO20+DP81-DP77+DP15-DP16</f>
        <v>159649.66493797451</v>
      </c>
      <c r="DQ20" s="898">
        <f>DP20+DQ81-DQ77+DQ15-DQ16</f>
        <v>185728.18293797452</v>
      </c>
      <c r="DR20" s="898">
        <f>DQ20+DR81-DR77+DR15</f>
        <v>181854.77993797447</v>
      </c>
      <c r="DS20" s="898">
        <f>DR20+DS81-DS77+DS15</f>
        <v>158964.85893797447</v>
      </c>
      <c r="DT20" s="898">
        <f>DS20+DT81-DT77+DT15</f>
        <v>107951.71593797443</v>
      </c>
      <c r="DU20" s="898">
        <f>DT20+DU81-DU77+DU15</f>
        <v>56696.091000421642</v>
      </c>
      <c r="DV20" s="898">
        <f>DU20+DV81-DV77+DV15</f>
        <v>64525.253109366779</v>
      </c>
      <c r="DW20" s="898">
        <f>DV20+DW81-DW77+DW15</f>
        <v>46753.546569746497</v>
      </c>
      <c r="DX20" s="989"/>
    </row>
    <row r="21" spans="1:128" s="1008" customFormat="1" ht="18.75">
      <c r="A21" s="1007"/>
      <c r="B21" s="1009" t="s">
        <v>118</v>
      </c>
      <c r="C21" s="1010"/>
      <c r="D21" s="1011"/>
      <c r="E21" s="1012"/>
      <c r="F21" s="1012"/>
      <c r="G21" s="1012"/>
      <c r="H21" s="1012"/>
      <c r="I21" s="1012"/>
      <c r="J21" s="1012"/>
      <c r="K21" s="1012"/>
      <c r="L21" s="1012"/>
      <c r="M21" s="1012"/>
      <c r="N21" s="1012"/>
      <c r="O21" s="1012"/>
      <c r="P21" s="1013"/>
      <c r="Q21" s="1014"/>
      <c r="R21" s="1011"/>
      <c r="S21" s="1015"/>
      <c r="T21" s="1015"/>
      <c r="U21" s="1015"/>
      <c r="V21" s="1015"/>
      <c r="W21" s="1015"/>
      <c r="X21" s="1015"/>
      <c r="Y21" s="1015"/>
      <c r="Z21" s="1015"/>
      <c r="AA21" s="1015"/>
      <c r="AB21" s="1015"/>
      <c r="AC21" s="1015"/>
      <c r="AD21" s="1016"/>
      <c r="AE21" s="1017"/>
      <c r="AF21" s="1015"/>
      <c r="AG21" s="1015"/>
      <c r="AH21" s="1015"/>
      <c r="AI21" s="1015"/>
      <c r="AJ21" s="1017"/>
      <c r="AK21" s="1015"/>
      <c r="AL21" s="1015"/>
      <c r="AM21" s="1015"/>
      <c r="AN21" s="1015"/>
      <c r="AO21" s="1015"/>
      <c r="AP21" s="1015"/>
      <c r="AQ21" s="1015"/>
      <c r="AR21" s="1015"/>
      <c r="AS21" s="1017"/>
      <c r="AT21" s="1015"/>
      <c r="AU21" s="1015"/>
      <c r="AV21" s="1015"/>
      <c r="AW21" s="1015"/>
      <c r="AX21" s="1015"/>
      <c r="AY21" s="1015"/>
      <c r="AZ21" s="1015"/>
      <c r="BA21" s="1015"/>
      <c r="BB21" s="1018"/>
      <c r="BC21" s="1015"/>
      <c r="BD21" s="1015"/>
      <c r="BE21" s="1015"/>
      <c r="BF21" s="1015"/>
      <c r="BG21" s="1017"/>
      <c r="BH21" s="1015"/>
      <c r="BI21" s="1015"/>
      <c r="BJ21" s="1015"/>
      <c r="BK21" s="1015"/>
      <c r="BL21" s="1015"/>
      <c r="BM21" s="1015"/>
      <c r="BN21" s="1015"/>
      <c r="BO21" s="1015"/>
      <c r="BP21" s="1015"/>
      <c r="BQ21" s="1015"/>
      <c r="BR21" s="1015"/>
      <c r="BS21" s="1015"/>
      <c r="BT21" s="1015"/>
      <c r="BU21" s="1017"/>
      <c r="BV21" s="1015"/>
      <c r="BW21" s="1015"/>
      <c r="BX21" s="1015"/>
      <c r="BY21" s="1015"/>
      <c r="BZ21" s="1015"/>
      <c r="CA21" s="1015"/>
      <c r="CB21" s="1015"/>
      <c r="CC21" s="1015"/>
      <c r="CD21" s="1015"/>
      <c r="CE21" s="1015"/>
      <c r="CF21" s="1015"/>
      <c r="CG21" s="1015"/>
      <c r="CH21" s="1015"/>
      <c r="CI21" s="988"/>
      <c r="CJ21" s="1015"/>
      <c r="CK21" s="1015"/>
      <c r="CL21" s="1015"/>
      <c r="CM21" s="1015"/>
      <c r="CN21" s="1015"/>
      <c r="CO21" s="1015"/>
      <c r="CP21" s="1015"/>
      <c r="CQ21" s="1015"/>
      <c r="CR21" s="1015"/>
      <c r="CS21" s="1019">
        <v>15036</v>
      </c>
      <c r="CT21" s="1019">
        <f>CS21+CT82-CT78</f>
        <v>24795</v>
      </c>
      <c r="CU21" s="1019">
        <f>CT21+CU82-CU78</f>
        <v>29568</v>
      </c>
      <c r="CV21" s="1020"/>
      <c r="CW21" s="1021"/>
      <c r="CX21" s="1015">
        <v>25049</v>
      </c>
      <c r="CY21" s="1015">
        <v>24195</v>
      </c>
      <c r="CZ21" s="1015">
        <v>29000</v>
      </c>
      <c r="DA21" s="1015">
        <f>CZ21+DA82-DA78</f>
        <v>33186.199999999997</v>
      </c>
      <c r="DB21" s="1015">
        <f>DA21+DB82-DB78</f>
        <v>34186.199999999997</v>
      </c>
      <c r="DC21" s="1015">
        <f>DB21+DC82-DC78</f>
        <v>36186.199999999997</v>
      </c>
      <c r="DD21" s="1015">
        <f>DC21+DD82-DD78</f>
        <v>31186.199999999997</v>
      </c>
      <c r="DE21" s="1015">
        <f>DD21+DE82-DE78</f>
        <v>25186.199999999997</v>
      </c>
      <c r="DF21" s="1015">
        <f>DE21+DF82-DF78</f>
        <v>19186.199999999997</v>
      </c>
      <c r="DG21" s="1015">
        <f>DF21+DG82-DG78</f>
        <v>14734.799999999996</v>
      </c>
      <c r="DH21" s="1015">
        <f>DG21+DH82-DH78</f>
        <v>16453.799999999996</v>
      </c>
      <c r="DI21" s="1015">
        <f>DH21+DI82-DI78</f>
        <v>15556.099999999995</v>
      </c>
      <c r="DJ21" s="989"/>
      <c r="DK21" s="949"/>
      <c r="DL21" s="898">
        <f>DI21+DL82-DL78</f>
        <v>7693.0999999999949</v>
      </c>
      <c r="DM21" s="898">
        <f>DL21+DM82-DM78</f>
        <v>8335.7999999999938</v>
      </c>
      <c r="DN21" s="898">
        <f>DM21+DN82-DN78</f>
        <v>7447.6999999999935</v>
      </c>
      <c r="DO21" s="898">
        <f>DN21+DO82-DO78</f>
        <v>11633.899999999992</v>
      </c>
      <c r="DP21" s="898">
        <f>DO21+DP82-DP78</f>
        <v>15849.899999999992</v>
      </c>
      <c r="DQ21" s="898">
        <f>DP21+DQ82-DQ78</f>
        <v>19261.299999999996</v>
      </c>
      <c r="DR21" s="898">
        <f>DQ21+DR82-DR78</f>
        <v>20924.299999999996</v>
      </c>
      <c r="DS21" s="898">
        <f>DR21+DS82-DS78</f>
        <v>18897.699999999993</v>
      </c>
      <c r="DT21" s="898">
        <f>DS21+DT82-DT78</f>
        <v>14847.699999999993</v>
      </c>
      <c r="DU21" s="898">
        <f>DT21+DU82-DU78</f>
        <v>10396.299999999992</v>
      </c>
      <c r="DV21" s="898">
        <f>DU21+DV82-DV78</f>
        <v>12115.299999999992</v>
      </c>
      <c r="DW21" s="898">
        <f>DV21+DW82-DW78</f>
        <v>11217.599999999991</v>
      </c>
      <c r="DX21" s="989"/>
    </row>
    <row r="22" spans="1:128" s="698" customFormat="1" ht="18.75" hidden="1">
      <c r="A22" s="683"/>
      <c r="B22" s="684" t="s">
        <v>119</v>
      </c>
      <c r="C22" s="685"/>
      <c r="D22" s="686"/>
      <c r="E22" s="687"/>
      <c r="F22" s="687"/>
      <c r="G22" s="687"/>
      <c r="H22" s="687"/>
      <c r="I22" s="687"/>
      <c r="J22" s="687"/>
      <c r="K22" s="687"/>
      <c r="L22" s="687"/>
      <c r="M22" s="687"/>
      <c r="N22" s="687"/>
      <c r="O22" s="687"/>
      <c r="P22" s="688"/>
      <c r="Q22" s="689"/>
      <c r="R22" s="686"/>
      <c r="S22" s="690"/>
      <c r="T22" s="690"/>
      <c r="U22" s="690"/>
      <c r="V22" s="690"/>
      <c r="W22" s="690"/>
      <c r="X22" s="690"/>
      <c r="Y22" s="690"/>
      <c r="Z22" s="690"/>
      <c r="AA22" s="690"/>
      <c r="AB22" s="690"/>
      <c r="AC22" s="690"/>
      <c r="AD22" s="691"/>
      <c r="AE22" s="692"/>
      <c r="AF22" s="690"/>
      <c r="AG22" s="690"/>
      <c r="AH22" s="690"/>
      <c r="AI22" s="690"/>
      <c r="AJ22" s="693"/>
      <c r="AK22" s="690"/>
      <c r="AL22" s="690"/>
      <c r="AM22" s="690"/>
      <c r="AN22" s="690"/>
      <c r="AO22" s="690"/>
      <c r="AP22" s="694"/>
      <c r="AQ22" s="690"/>
      <c r="AR22" s="690"/>
      <c r="AS22" s="692"/>
      <c r="AT22" s="690"/>
      <c r="AU22" s="690"/>
      <c r="AV22" s="690"/>
      <c r="AW22" s="690"/>
      <c r="AX22" s="690"/>
      <c r="AY22" s="690"/>
      <c r="AZ22" s="690"/>
      <c r="BA22" s="690"/>
      <c r="BB22" s="695"/>
      <c r="BC22" s="690"/>
      <c r="BD22" s="690"/>
      <c r="BE22" s="690"/>
      <c r="BF22" s="690"/>
      <c r="BG22" s="696"/>
      <c r="BH22" s="690"/>
      <c r="BI22" s="690"/>
      <c r="BJ22" s="690"/>
      <c r="BK22" s="690"/>
      <c r="BL22" s="690"/>
      <c r="BM22" s="690"/>
      <c r="BN22" s="690"/>
      <c r="BO22" s="690"/>
      <c r="BP22" s="690"/>
      <c r="BQ22" s="690"/>
      <c r="BR22" s="690"/>
      <c r="BS22" s="690"/>
      <c r="BT22" s="690"/>
      <c r="BU22" s="697"/>
      <c r="BV22" s="690"/>
      <c r="BW22" s="690"/>
      <c r="BX22" s="690"/>
      <c r="BY22" s="690"/>
      <c r="BZ22" s="690"/>
      <c r="CA22" s="690"/>
      <c r="CB22" s="690"/>
      <c r="CC22" s="690"/>
      <c r="CD22" s="690"/>
      <c r="CE22" s="690"/>
      <c r="CF22" s="690"/>
      <c r="CG22" s="690"/>
      <c r="CH22" s="690"/>
      <c r="CI22" s="707"/>
      <c r="CJ22" s="690"/>
      <c r="CK22" s="690"/>
      <c r="CL22" s="690"/>
      <c r="CM22" s="690"/>
      <c r="CN22" s="690"/>
      <c r="CO22" s="690"/>
      <c r="CP22" s="690"/>
      <c r="CQ22" s="690"/>
      <c r="CR22" s="690"/>
      <c r="CS22" s="756">
        <v>28927</v>
      </c>
      <c r="CT22" s="756">
        <f>CS22+CT83-CT79</f>
        <v>14387</v>
      </c>
      <c r="CU22" s="756">
        <f>CT22+CU83-CU79</f>
        <v>51731</v>
      </c>
      <c r="CV22" s="757"/>
      <c r="CW22" s="758"/>
      <c r="CX22" s="690">
        <v>6272</v>
      </c>
      <c r="CY22" s="690">
        <v>6499</v>
      </c>
      <c r="CZ22" s="690">
        <f>CY22+CZ83-CZ79+CZ16</f>
        <v>100175</v>
      </c>
      <c r="DA22" s="690">
        <f>CZ22+DA83-DA79+DA16</f>
        <v>87957</v>
      </c>
      <c r="DB22" s="690">
        <f>DA22+DB83-DB79+DB16</f>
        <v>78468</v>
      </c>
      <c r="DC22" s="690">
        <f>DB22+DC83-DC79+DC16</f>
        <v>113704</v>
      </c>
      <c r="DD22" s="690">
        <f>DC22+DD83-DD79+DD16</f>
        <v>104018.1</v>
      </c>
      <c r="DE22" s="690">
        <f>DD22+DE83-DE79+DE16</f>
        <v>95432.200000000012</v>
      </c>
      <c r="DF22" s="690">
        <f>DE22+DF83-DF79+DF16</f>
        <v>74509.300000000017</v>
      </c>
      <c r="DG22" s="690">
        <f>DF22+DG83-DG79+DG16</f>
        <v>116352.60000000002</v>
      </c>
      <c r="DH22" s="690">
        <f>DG22+DH83-DH79+DH16</f>
        <v>112274.25000000001</v>
      </c>
      <c r="DI22" s="690">
        <f>DH22+DI83-DI79+DI16</f>
        <v>158974.25</v>
      </c>
      <c r="DJ22" s="756"/>
      <c r="DK22" s="949"/>
      <c r="DL22" s="690">
        <f>DI22+DL83-DL79+DL16</f>
        <v>173244.25</v>
      </c>
      <c r="DM22" s="690">
        <f>DL22+DM83-DM79+DM16</f>
        <v>166330.25</v>
      </c>
      <c r="DN22" s="690">
        <f>DM22+DN83-DN79+DN16</f>
        <v>171006.25</v>
      </c>
      <c r="DO22" s="690">
        <f>DN22+DO83-DO79+DO16</f>
        <v>158788.25</v>
      </c>
      <c r="DP22" s="690">
        <f>DO22+DP83-DP79+DP16</f>
        <v>149299.25</v>
      </c>
      <c r="DQ22" s="690">
        <f>DP22+DQ83-DQ79+DQ16</f>
        <v>184535.25</v>
      </c>
      <c r="DR22" s="690">
        <f>DQ22+DR83-DR79+DR16</f>
        <v>174849.35</v>
      </c>
      <c r="DS22" s="690">
        <f>DR22+DS83-DS79+DS16</f>
        <v>166263.45000000001</v>
      </c>
      <c r="DT22" s="690">
        <f>DS22+DT83-DT79+DT16</f>
        <v>145340.55000000002</v>
      </c>
      <c r="DU22" s="690">
        <f>DT22+DU83-DU79+DU16</f>
        <v>137183.85</v>
      </c>
      <c r="DV22" s="690">
        <f>DU22+DV83-DV79+DV16</f>
        <v>133105.5</v>
      </c>
      <c r="DW22" s="690">
        <f>DV22+DW83-DW79+DW16</f>
        <v>179805.5</v>
      </c>
      <c r="DX22" s="756"/>
    </row>
    <row r="23" spans="1:128" ht="18.75" hidden="1">
      <c r="A23" s="19">
        <v>2</v>
      </c>
      <c r="B23" s="684" t="s">
        <v>35</v>
      </c>
      <c r="C23" s="903"/>
      <c r="D23" s="265">
        <v>73670</v>
      </c>
      <c r="E23" s="20">
        <v>59682</v>
      </c>
      <c r="F23" s="20">
        <v>54710</v>
      </c>
      <c r="G23" s="20">
        <v>56175</v>
      </c>
      <c r="H23" s="20">
        <v>58933</v>
      </c>
      <c r="I23" s="20">
        <v>42784</v>
      </c>
      <c r="J23" s="20">
        <v>35755</v>
      </c>
      <c r="K23" s="20">
        <v>33547</v>
      </c>
      <c r="L23" s="20">
        <v>22824</v>
      </c>
      <c r="M23" s="20">
        <v>26162</v>
      </c>
      <c r="N23" s="20"/>
      <c r="O23" s="20">
        <v>44389</v>
      </c>
      <c r="P23" s="266"/>
      <c r="Q23" s="21"/>
      <c r="R23" s="265">
        <v>39759</v>
      </c>
      <c r="S23" s="22">
        <v>38325</v>
      </c>
      <c r="T23" s="22">
        <v>26634</v>
      </c>
      <c r="U23" s="22">
        <f>14430+2754+7859</f>
        <v>25043</v>
      </c>
      <c r="V23" s="22">
        <v>23840</v>
      </c>
      <c r="W23" s="22">
        <v>20057</v>
      </c>
      <c r="X23" s="22">
        <v>80502</v>
      </c>
      <c r="Y23" s="22">
        <v>56483</v>
      </c>
      <c r="Z23" s="22">
        <v>44233</v>
      </c>
      <c r="AA23" s="22">
        <v>38155</v>
      </c>
      <c r="AB23" s="22">
        <v>27540</v>
      </c>
      <c r="AC23" s="22">
        <v>25060</v>
      </c>
      <c r="AD23" s="267"/>
      <c r="AE23" s="23"/>
      <c r="AF23" s="22">
        <v>21326</v>
      </c>
      <c r="AG23" s="22">
        <v>17804</v>
      </c>
      <c r="AH23" s="22">
        <v>27157</v>
      </c>
      <c r="AI23" s="22">
        <v>19677</v>
      </c>
      <c r="AJ23" s="22">
        <v>18817</v>
      </c>
      <c r="AK23" s="22">
        <v>25034</v>
      </c>
      <c r="AL23" s="22">
        <v>28090</v>
      </c>
      <c r="AM23" s="22">
        <v>25660</v>
      </c>
      <c r="AN23" s="22">
        <v>33752</v>
      </c>
      <c r="AO23" s="22">
        <v>24699</v>
      </c>
      <c r="AP23" s="25">
        <v>19340</v>
      </c>
      <c r="AQ23" s="22">
        <v>29842</v>
      </c>
      <c r="AR23" s="22">
        <f t="shared" si="11"/>
        <v>29842</v>
      </c>
      <c r="AS23" s="23"/>
      <c r="AT23" s="22">
        <v>46493</v>
      </c>
      <c r="AU23" s="22">
        <v>37125</v>
      </c>
      <c r="AV23" s="22">
        <v>38574</v>
      </c>
      <c r="AW23" s="22">
        <v>43626</v>
      </c>
      <c r="AX23" s="22">
        <v>39641</v>
      </c>
      <c r="AY23" s="22">
        <v>55553</v>
      </c>
      <c r="AZ23" s="22">
        <v>48023</v>
      </c>
      <c r="BA23" s="22">
        <v>55043</v>
      </c>
      <c r="BB23" s="26">
        <v>50383</v>
      </c>
      <c r="BC23" s="22">
        <v>54355</v>
      </c>
      <c r="BD23" s="22">
        <v>82473</v>
      </c>
      <c r="BE23" s="22">
        <v>65398</v>
      </c>
      <c r="BF23" s="22">
        <f t="shared" si="13"/>
        <v>65398</v>
      </c>
      <c r="BG23" s="27"/>
      <c r="BH23" s="22">
        <v>68747</v>
      </c>
      <c r="BI23" s="22">
        <v>62843</v>
      </c>
      <c r="BJ23" s="22">
        <v>62154</v>
      </c>
      <c r="BK23" s="22">
        <v>49337</v>
      </c>
      <c r="BL23" s="22">
        <v>27730</v>
      </c>
      <c r="BM23" s="22">
        <v>42459</v>
      </c>
      <c r="BN23" s="22">
        <v>44049</v>
      </c>
      <c r="BO23" s="22">
        <v>29196</v>
      </c>
      <c r="BP23" s="22">
        <v>36882</v>
      </c>
      <c r="BQ23" s="22">
        <v>35965</v>
      </c>
      <c r="BR23" s="22">
        <v>31343</v>
      </c>
      <c r="BS23" s="22">
        <v>23087</v>
      </c>
      <c r="BT23" s="22">
        <f t="shared" ref="BT23:BT31" si="32">BS23</f>
        <v>23087</v>
      </c>
      <c r="BU23" s="28"/>
      <c r="BV23" s="22">
        <v>15202</v>
      </c>
      <c r="BW23" s="22">
        <v>12471</v>
      </c>
      <c r="BX23" s="22">
        <v>11483</v>
      </c>
      <c r="BY23" s="22">
        <v>14071</v>
      </c>
      <c r="BZ23" s="22">
        <v>49617</v>
      </c>
      <c r="CA23" s="22">
        <v>36385</v>
      </c>
      <c r="CB23" s="22">
        <v>25473</v>
      </c>
      <c r="CC23" s="22">
        <v>16933</v>
      </c>
      <c r="CD23" s="22">
        <v>12684</v>
      </c>
      <c r="CE23" s="22">
        <v>21084</v>
      </c>
      <c r="CF23" s="22">
        <v>15172</v>
      </c>
      <c r="CG23" s="22">
        <v>11469</v>
      </c>
      <c r="CH23" s="22">
        <f>CG23</f>
        <v>11469</v>
      </c>
      <c r="CI23">
        <f>7500*5</f>
        <v>37500</v>
      </c>
      <c r="CJ23" s="22">
        <v>9465</v>
      </c>
      <c r="CK23" s="22">
        <v>13722</v>
      </c>
      <c r="CL23" s="22">
        <v>10771</v>
      </c>
      <c r="CM23" s="22">
        <v>8538</v>
      </c>
      <c r="CN23" s="22"/>
      <c r="CO23" s="22"/>
      <c r="CP23" s="22"/>
      <c r="CQ23" s="22"/>
      <c r="CR23" s="22"/>
      <c r="CS23" s="22">
        <v>4128</v>
      </c>
      <c r="CT23" s="22"/>
      <c r="CU23" s="22"/>
      <c r="CV23" s="22">
        <v>0</v>
      </c>
      <c r="CW23" s="758"/>
      <c r="CX23" s="870"/>
      <c r="CY23" s="870"/>
      <c r="CZ23" s="870"/>
      <c r="DA23" s="870"/>
      <c r="DB23" s="870"/>
      <c r="DC23" s="870"/>
      <c r="DD23" s="870"/>
      <c r="DE23" s="870"/>
      <c r="DF23" s="870"/>
      <c r="DG23" s="870"/>
      <c r="DH23" s="870"/>
      <c r="DI23" s="870"/>
      <c r="DJ23" s="22">
        <v>0</v>
      </c>
      <c r="DK23" s="949"/>
      <c r="DL23" s="870"/>
      <c r="DM23" s="870"/>
      <c r="DN23" s="870"/>
      <c r="DO23" s="870"/>
      <c r="DP23" s="870"/>
      <c r="DQ23" s="870"/>
      <c r="DR23" s="870"/>
      <c r="DS23" s="870"/>
      <c r="DT23" s="870"/>
      <c r="DU23" s="870"/>
      <c r="DV23" s="870"/>
      <c r="DW23" s="870"/>
      <c r="DX23" s="22">
        <v>0</v>
      </c>
    </row>
    <row r="24" spans="1:128" ht="18.75" hidden="1">
      <c r="A24" s="19">
        <v>3</v>
      </c>
      <c r="B24" s="684" t="s">
        <v>36</v>
      </c>
      <c r="C24" s="903"/>
      <c r="D24" s="268">
        <v>34116</v>
      </c>
      <c r="E24" s="269">
        <v>29277</v>
      </c>
      <c r="F24" s="269">
        <v>43008</v>
      </c>
      <c r="G24" s="269">
        <v>30524</v>
      </c>
      <c r="H24" s="269">
        <v>33235</v>
      </c>
      <c r="I24" s="269">
        <v>39842</v>
      </c>
      <c r="J24" s="269">
        <v>41021</v>
      </c>
      <c r="K24" s="269">
        <v>31224</v>
      </c>
      <c r="L24" s="269"/>
      <c r="M24" s="269">
        <v>10286</v>
      </c>
      <c r="N24" s="269"/>
      <c r="O24" s="269"/>
      <c r="P24" s="266"/>
      <c r="Q24" s="21"/>
      <c r="R24" s="268">
        <v>35516</v>
      </c>
      <c r="S24" s="270">
        <v>35962</v>
      </c>
      <c r="T24" s="270">
        <v>35962</v>
      </c>
      <c r="U24" s="270">
        <v>35962</v>
      </c>
      <c r="V24" s="270">
        <v>35000</v>
      </c>
      <c r="W24" s="270"/>
      <c r="X24" s="270">
        <v>6123</v>
      </c>
      <c r="Y24" s="270">
        <v>6123</v>
      </c>
      <c r="Z24" s="270">
        <v>4187</v>
      </c>
      <c r="AA24" s="270">
        <v>2745</v>
      </c>
      <c r="AB24" s="270"/>
      <c r="AC24" s="270"/>
      <c r="AD24" s="267"/>
      <c r="AE24" s="23"/>
      <c r="AF24" s="270">
        <v>8366</v>
      </c>
      <c r="AG24" s="270">
        <v>11534</v>
      </c>
      <c r="AH24" s="270">
        <v>11507</v>
      </c>
      <c r="AI24" s="270">
        <v>9148</v>
      </c>
      <c r="AJ24" s="22">
        <v>8524</v>
      </c>
      <c r="AK24" s="270">
        <v>25290</v>
      </c>
      <c r="AL24" s="270">
        <v>91080</v>
      </c>
      <c r="AM24" s="270">
        <v>66830</v>
      </c>
      <c r="AN24" s="270">
        <v>36866</v>
      </c>
      <c r="AO24" s="270">
        <v>16173</v>
      </c>
      <c r="AP24" s="271">
        <v>178274</v>
      </c>
      <c r="AQ24" s="270">
        <v>210665</v>
      </c>
      <c r="AR24" s="22">
        <f t="shared" si="11"/>
        <v>210665</v>
      </c>
      <c r="AS24" s="23"/>
      <c r="AT24" s="270">
        <v>121075</v>
      </c>
      <c r="AU24" s="270">
        <v>149376</v>
      </c>
      <c r="AV24" s="270">
        <v>104538</v>
      </c>
      <c r="AW24" s="270">
        <v>105262</v>
      </c>
      <c r="AX24" s="270">
        <v>121073</v>
      </c>
      <c r="AY24" s="270">
        <v>163931</v>
      </c>
      <c r="AZ24" s="270">
        <v>109964</v>
      </c>
      <c r="BA24" s="270">
        <v>148266</v>
      </c>
      <c r="BB24" s="26">
        <v>130697</v>
      </c>
      <c r="BC24" s="270">
        <v>113779</v>
      </c>
      <c r="BD24" s="270">
        <v>91119</v>
      </c>
      <c r="BE24" s="270">
        <v>103286</v>
      </c>
      <c r="BF24" s="22">
        <f t="shared" si="13"/>
        <v>103286</v>
      </c>
      <c r="BG24" s="27"/>
      <c r="BH24" s="270">
        <v>49631</v>
      </c>
      <c r="BI24" s="270">
        <v>52953</v>
      </c>
      <c r="BJ24" s="270">
        <v>28440</v>
      </c>
      <c r="BK24" s="270">
        <v>83601</v>
      </c>
      <c r="BL24" s="22">
        <v>25812</v>
      </c>
      <c r="BM24" s="22">
        <v>59545</v>
      </c>
      <c r="BN24" s="22">
        <v>83435</v>
      </c>
      <c r="BO24" s="22">
        <v>34041</v>
      </c>
      <c r="BP24" s="22">
        <v>22399</v>
      </c>
      <c r="BQ24" s="22">
        <v>24887</v>
      </c>
      <c r="BR24" s="22">
        <v>12183</v>
      </c>
      <c r="BS24" s="22">
        <v>12183</v>
      </c>
      <c r="BT24" s="22">
        <f t="shared" si="32"/>
        <v>12183</v>
      </c>
      <c r="BU24" s="28"/>
      <c r="BV24" s="270">
        <v>5216</v>
      </c>
      <c r="BW24" s="270"/>
      <c r="BX24" s="270">
        <v>65273</v>
      </c>
      <c r="BY24" s="270">
        <v>70182</v>
      </c>
      <c r="BZ24" s="22">
        <v>57659</v>
      </c>
      <c r="CA24" s="22">
        <v>71669</v>
      </c>
      <c r="CB24" s="22">
        <v>73078</v>
      </c>
      <c r="CC24" s="22">
        <v>85302</v>
      </c>
      <c r="CD24" s="22">
        <v>25343</v>
      </c>
      <c r="CE24" s="22">
        <v>19030</v>
      </c>
      <c r="CF24" s="22">
        <v>19422</v>
      </c>
      <c r="CG24" s="22">
        <v>25927</v>
      </c>
      <c r="CH24" s="22">
        <f>CG24</f>
        <v>25927</v>
      </c>
      <c r="CI24">
        <v>29000</v>
      </c>
      <c r="CJ24" s="270">
        <v>21580</v>
      </c>
      <c r="CK24" s="270">
        <v>18052</v>
      </c>
      <c r="CL24" s="270">
        <v>30722</v>
      </c>
      <c r="CM24" s="270">
        <v>33641</v>
      </c>
      <c r="CN24" s="22"/>
      <c r="CO24" s="22"/>
      <c r="CP24" s="22"/>
      <c r="CQ24" s="22"/>
      <c r="CR24" s="22"/>
      <c r="CS24" s="22">
        <v>10634</v>
      </c>
      <c r="CT24" s="22"/>
      <c r="CU24" s="22"/>
      <c r="CV24" s="22">
        <v>0</v>
      </c>
      <c r="CW24" s="758"/>
      <c r="CX24" s="871">
        <v>29749</v>
      </c>
      <c r="CY24" s="871">
        <v>27364</v>
      </c>
      <c r="CZ24" s="871"/>
      <c r="DA24" s="871"/>
      <c r="DB24" s="870"/>
      <c r="DC24" s="870"/>
      <c r="DD24" s="870"/>
      <c r="DE24" s="870"/>
      <c r="DF24" s="870"/>
      <c r="DG24" s="870"/>
      <c r="DH24" s="870"/>
      <c r="DI24" s="870"/>
      <c r="DJ24" s="22">
        <v>0</v>
      </c>
      <c r="DK24" s="949"/>
      <c r="DL24" s="871"/>
      <c r="DM24" s="871"/>
      <c r="DN24" s="871"/>
      <c r="DO24" s="871"/>
      <c r="DP24" s="870"/>
      <c r="DQ24" s="870"/>
      <c r="DR24" s="870"/>
      <c r="DS24" s="870"/>
      <c r="DT24" s="870"/>
      <c r="DU24" s="870"/>
      <c r="DV24" s="870"/>
      <c r="DW24" s="870"/>
      <c r="DX24" s="22">
        <v>0</v>
      </c>
    </row>
    <row r="25" spans="1:128" ht="18.75" hidden="1">
      <c r="A25" s="19">
        <v>4</v>
      </c>
      <c r="B25" s="684" t="s">
        <v>37</v>
      </c>
      <c r="C25" s="903"/>
      <c r="D25" s="268">
        <v>34116</v>
      </c>
      <c r="E25" s="269">
        <v>29277</v>
      </c>
      <c r="F25" s="269">
        <v>43008</v>
      </c>
      <c r="G25" s="269">
        <v>30524</v>
      </c>
      <c r="H25" s="269">
        <v>33235</v>
      </c>
      <c r="I25" s="269">
        <v>39842</v>
      </c>
      <c r="J25" s="269">
        <v>41021</v>
      </c>
      <c r="K25" s="269">
        <v>31224</v>
      </c>
      <c r="L25" s="269"/>
      <c r="M25" s="269">
        <v>10286</v>
      </c>
      <c r="N25" s="269"/>
      <c r="O25" s="269"/>
      <c r="P25" s="266"/>
      <c r="Q25" s="21"/>
      <c r="R25" s="268">
        <v>35516</v>
      </c>
      <c r="S25" s="270">
        <v>35962</v>
      </c>
      <c r="T25" s="270">
        <v>35962</v>
      </c>
      <c r="U25" s="270">
        <v>35962</v>
      </c>
      <c r="V25" s="270">
        <v>35000</v>
      </c>
      <c r="W25" s="270"/>
      <c r="X25" s="270">
        <v>6123</v>
      </c>
      <c r="Y25" s="270">
        <v>6123</v>
      </c>
      <c r="Z25" s="270">
        <v>4187</v>
      </c>
      <c r="AA25" s="270">
        <v>2745</v>
      </c>
      <c r="AB25" s="270"/>
      <c r="AC25" s="270"/>
      <c r="AD25" s="267"/>
      <c r="AE25" s="23"/>
      <c r="AF25" s="270">
        <v>8366</v>
      </c>
      <c r="AG25" s="270">
        <v>11534</v>
      </c>
      <c r="AH25" s="270">
        <v>11507</v>
      </c>
      <c r="AI25" s="270">
        <v>9148</v>
      </c>
      <c r="AJ25" s="22">
        <v>8524</v>
      </c>
      <c r="AK25" s="270">
        <v>25290</v>
      </c>
      <c r="AL25" s="270">
        <v>91080</v>
      </c>
      <c r="AM25" s="270">
        <v>66830</v>
      </c>
      <c r="AN25" s="270">
        <v>36866</v>
      </c>
      <c r="AO25" s="270">
        <v>16173</v>
      </c>
      <c r="AP25" s="271">
        <v>178274</v>
      </c>
      <c r="AQ25" s="270">
        <v>210665</v>
      </c>
      <c r="AR25" s="22">
        <f t="shared" si="11"/>
        <v>210665</v>
      </c>
      <c r="AS25" s="23"/>
      <c r="AT25" s="270">
        <v>121075</v>
      </c>
      <c r="AU25" s="270">
        <v>149376</v>
      </c>
      <c r="AV25" s="270">
        <v>104538</v>
      </c>
      <c r="AW25" s="270">
        <v>105262</v>
      </c>
      <c r="AX25" s="270">
        <v>121073</v>
      </c>
      <c r="AY25" s="270">
        <v>163931</v>
      </c>
      <c r="AZ25" s="270">
        <v>109964</v>
      </c>
      <c r="BA25" s="270">
        <v>148266</v>
      </c>
      <c r="BB25" s="26">
        <v>130697</v>
      </c>
      <c r="BC25" s="270">
        <v>113779</v>
      </c>
      <c r="BD25" s="270">
        <v>91119</v>
      </c>
      <c r="BE25" s="270">
        <v>103286</v>
      </c>
      <c r="BF25" s="22">
        <f t="shared" si="13"/>
        <v>103286</v>
      </c>
      <c r="BG25" s="27"/>
      <c r="BH25" s="270">
        <v>49631</v>
      </c>
      <c r="BI25" s="270">
        <v>52953</v>
      </c>
      <c r="BJ25" s="270">
        <v>28440</v>
      </c>
      <c r="BK25" s="270">
        <v>83601</v>
      </c>
      <c r="BL25" s="22">
        <v>25812</v>
      </c>
      <c r="BM25" s="22">
        <v>59545</v>
      </c>
      <c r="BN25" s="22">
        <v>83435</v>
      </c>
      <c r="BO25" s="22">
        <v>34041</v>
      </c>
      <c r="BP25" s="22">
        <v>22399</v>
      </c>
      <c r="BQ25" s="22">
        <v>24887</v>
      </c>
      <c r="BR25" s="22">
        <v>12183</v>
      </c>
      <c r="BS25" s="22">
        <v>12183</v>
      </c>
      <c r="BT25" s="22">
        <f t="shared" si="32"/>
        <v>12183</v>
      </c>
      <c r="BU25" s="28"/>
      <c r="BV25" s="270"/>
      <c r="BW25" s="270"/>
      <c r="BX25" s="270"/>
      <c r="BY25" s="270"/>
      <c r="BZ25" s="22"/>
      <c r="CA25" s="22"/>
      <c r="CB25" s="22"/>
      <c r="CC25" s="22"/>
      <c r="CD25" s="22">
        <v>6361</v>
      </c>
      <c r="CE25" s="22">
        <v>7759</v>
      </c>
      <c r="CF25" s="22">
        <v>6573</v>
      </c>
      <c r="CG25" s="22">
        <v>9541</v>
      </c>
      <c r="CH25" s="22">
        <f t="shared" si="31"/>
        <v>9541</v>
      </c>
      <c r="CI25">
        <f>CI20+CI23-CI24</f>
        <v>122500</v>
      </c>
      <c r="CJ25" s="270">
        <v>9582</v>
      </c>
      <c r="CK25" s="270">
        <v>7266</v>
      </c>
      <c r="CL25" s="270">
        <v>11364</v>
      </c>
      <c r="CM25" s="270">
        <v>10698</v>
      </c>
      <c r="CN25" s="22"/>
      <c r="CO25" s="22"/>
      <c r="CP25" s="22"/>
      <c r="CQ25" s="22"/>
      <c r="CR25" s="22"/>
      <c r="CS25" s="22">
        <v>2650</v>
      </c>
      <c r="CT25" s="22"/>
      <c r="CU25" s="22"/>
      <c r="CV25" s="22">
        <v>0</v>
      </c>
      <c r="CW25" s="758"/>
      <c r="CX25" s="871">
        <v>13676</v>
      </c>
      <c r="CY25" s="871">
        <v>12313</v>
      </c>
      <c r="CZ25" s="871"/>
      <c r="DA25" s="871"/>
      <c r="DB25" s="870"/>
      <c r="DC25" s="870"/>
      <c r="DD25" s="870"/>
      <c r="DE25" s="870"/>
      <c r="DF25" s="870"/>
      <c r="DG25" s="870"/>
      <c r="DH25" s="870"/>
      <c r="DI25" s="870"/>
      <c r="DJ25" s="22">
        <v>0</v>
      </c>
      <c r="DK25" s="949"/>
      <c r="DL25" s="871"/>
      <c r="DM25" s="871"/>
      <c r="DN25" s="871"/>
      <c r="DO25" s="871"/>
      <c r="DP25" s="870"/>
      <c r="DQ25" s="870"/>
      <c r="DR25" s="870"/>
      <c r="DS25" s="870"/>
      <c r="DT25" s="870"/>
      <c r="DU25" s="870"/>
      <c r="DV25" s="870"/>
      <c r="DW25" s="870"/>
      <c r="DX25" s="22">
        <v>0</v>
      </c>
    </row>
    <row r="26" spans="1:128" ht="18.75" hidden="1">
      <c r="A26" s="19">
        <v>1</v>
      </c>
      <c r="B26" s="904" t="s">
        <v>38</v>
      </c>
      <c r="C26" s="905"/>
      <c r="D26" s="265">
        <v>6409</v>
      </c>
      <c r="E26" s="20">
        <v>6860</v>
      </c>
      <c r="F26" s="20">
        <v>4970</v>
      </c>
      <c r="G26" s="20">
        <v>31203</v>
      </c>
      <c r="H26" s="20">
        <v>31499</v>
      </c>
      <c r="I26" s="20">
        <v>25903</v>
      </c>
      <c r="J26" s="20">
        <v>18606</v>
      </c>
      <c r="K26" s="20">
        <v>16014</v>
      </c>
      <c r="L26" s="20">
        <v>13416</v>
      </c>
      <c r="M26" s="20">
        <v>40079</v>
      </c>
      <c r="N26" s="20"/>
      <c r="O26" s="20">
        <v>0</v>
      </c>
      <c r="P26" s="266"/>
      <c r="Q26" s="21"/>
      <c r="R26" s="265">
        <v>3376</v>
      </c>
      <c r="S26" s="22">
        <v>11736</v>
      </c>
      <c r="T26" s="22">
        <v>22454</v>
      </c>
      <c r="U26" s="22">
        <v>21384</v>
      </c>
      <c r="V26" s="22">
        <v>66870</v>
      </c>
      <c r="W26" s="22">
        <v>73769</v>
      </c>
      <c r="X26" s="22">
        <v>13944</v>
      </c>
      <c r="Y26" s="22">
        <v>32750</v>
      </c>
      <c r="Z26" s="22">
        <v>18536</v>
      </c>
      <c r="AA26" s="22">
        <v>40211</v>
      </c>
      <c r="AB26" s="22">
        <v>44457</v>
      </c>
      <c r="AC26" s="22">
        <v>24504</v>
      </c>
      <c r="AD26" s="267"/>
      <c r="AE26" s="23"/>
      <c r="AF26" s="22">
        <v>18586</v>
      </c>
      <c r="AG26" s="22">
        <v>17539</v>
      </c>
      <c r="AH26" s="22">
        <v>20245</v>
      </c>
      <c r="AI26" s="22">
        <v>17669</v>
      </c>
      <c r="AJ26" s="22">
        <v>16769</v>
      </c>
      <c r="AK26" s="22">
        <v>31134</v>
      </c>
      <c r="AL26" s="22">
        <v>35711</v>
      </c>
      <c r="AM26" s="22">
        <v>29141</v>
      </c>
      <c r="AN26" s="22">
        <v>25307</v>
      </c>
      <c r="AO26" s="22">
        <v>35964</v>
      </c>
      <c r="AP26" s="25">
        <v>37378</v>
      </c>
      <c r="AQ26" s="22">
        <v>22159</v>
      </c>
      <c r="AR26" s="22">
        <f t="shared" si="11"/>
        <v>22159</v>
      </c>
      <c r="AS26" s="23"/>
      <c r="AT26" s="22">
        <v>24034</v>
      </c>
      <c r="AU26" s="270">
        <v>22061</v>
      </c>
      <c r="AV26" s="22">
        <v>22489</v>
      </c>
      <c r="AW26" s="22">
        <v>25124</v>
      </c>
      <c r="AX26" s="22">
        <v>22794</v>
      </c>
      <c r="AY26" s="22">
        <v>17777</v>
      </c>
      <c r="AZ26" s="22">
        <v>34345</v>
      </c>
      <c r="BA26" s="22">
        <v>17580</v>
      </c>
      <c r="BB26" s="26">
        <v>26992</v>
      </c>
      <c r="BC26" s="22">
        <v>21373</v>
      </c>
      <c r="BD26" s="22">
        <v>21202</v>
      </c>
      <c r="BE26" s="22">
        <v>19109</v>
      </c>
      <c r="BF26" s="22">
        <f t="shared" si="13"/>
        <v>19109</v>
      </c>
      <c r="BG26" s="27"/>
      <c r="BH26" s="22">
        <v>22216</v>
      </c>
      <c r="BI26" s="270">
        <v>19102</v>
      </c>
      <c r="BJ26" s="22">
        <v>20676</v>
      </c>
      <c r="BK26" s="22">
        <v>19892</v>
      </c>
      <c r="BL26" s="22">
        <v>48737</v>
      </c>
      <c r="BM26" s="22">
        <v>45521</v>
      </c>
      <c r="BN26" s="22">
        <v>41781</v>
      </c>
      <c r="BO26" s="22">
        <v>48019</v>
      </c>
      <c r="BP26" s="22">
        <v>43955</v>
      </c>
      <c r="BQ26" s="22">
        <v>41505</v>
      </c>
      <c r="BR26" s="22">
        <v>28306</v>
      </c>
      <c r="BS26" s="22">
        <v>23731</v>
      </c>
      <c r="BT26" s="22">
        <f t="shared" si="32"/>
        <v>23731</v>
      </c>
      <c r="BU26" s="28"/>
      <c r="BV26" s="22">
        <v>28505</v>
      </c>
      <c r="BW26" s="270">
        <v>25054</v>
      </c>
      <c r="BX26" s="22">
        <v>24396</v>
      </c>
      <c r="BY26" s="22">
        <v>21708</v>
      </c>
      <c r="BZ26" s="22">
        <v>17857</v>
      </c>
      <c r="CA26" s="22">
        <v>33103</v>
      </c>
      <c r="CB26" s="22">
        <v>29327</v>
      </c>
      <c r="CC26" s="22">
        <v>27562</v>
      </c>
      <c r="CD26" s="22">
        <v>19590</v>
      </c>
      <c r="CE26" s="22">
        <v>11730</v>
      </c>
      <c r="CF26" s="22">
        <v>10529</v>
      </c>
      <c r="CG26" s="22">
        <v>19978</v>
      </c>
      <c r="CH26" s="22">
        <f t="shared" si="31"/>
        <v>19978</v>
      </c>
      <c r="CJ26" s="22">
        <v>18456</v>
      </c>
      <c r="CK26" s="270">
        <v>15409</v>
      </c>
      <c r="CL26" s="22">
        <v>18755</v>
      </c>
      <c r="CM26" s="22">
        <v>15399</v>
      </c>
      <c r="CN26" s="22"/>
      <c r="CO26" s="22"/>
      <c r="CP26" s="22"/>
      <c r="CQ26" s="22"/>
      <c r="CR26" s="22"/>
      <c r="CS26" s="22">
        <v>14419</v>
      </c>
      <c r="CT26" s="22"/>
      <c r="CU26" s="22"/>
      <c r="CV26" s="22">
        <v>0</v>
      </c>
      <c r="CW26" s="758"/>
      <c r="CX26" s="870"/>
      <c r="CY26" s="871"/>
      <c r="CZ26" s="870"/>
      <c r="DA26" s="870"/>
      <c r="DB26" s="870"/>
      <c r="DC26" s="870"/>
      <c r="DD26" s="870"/>
      <c r="DE26" s="870"/>
      <c r="DF26" s="870"/>
      <c r="DG26" s="870"/>
      <c r="DH26" s="870"/>
      <c r="DI26" s="870"/>
      <c r="DJ26" s="22">
        <v>0</v>
      </c>
      <c r="DK26" s="949"/>
      <c r="DL26" s="870"/>
      <c r="DM26" s="871"/>
      <c r="DN26" s="870"/>
      <c r="DO26" s="870"/>
      <c r="DP26" s="870"/>
      <c r="DQ26" s="870"/>
      <c r="DR26" s="870"/>
      <c r="DS26" s="870"/>
      <c r="DT26" s="870"/>
      <c r="DU26" s="870"/>
      <c r="DV26" s="870"/>
      <c r="DW26" s="870"/>
      <c r="DX26" s="22">
        <v>0</v>
      </c>
    </row>
    <row r="27" spans="1:128" ht="18.75" hidden="1">
      <c r="A27" s="19">
        <v>0</v>
      </c>
      <c r="B27" s="904" t="s">
        <v>39</v>
      </c>
      <c r="C27" s="905"/>
      <c r="D27" s="265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66"/>
      <c r="Q27" s="21"/>
      <c r="R27" s="265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67"/>
      <c r="AE27" s="23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5"/>
      <c r="AQ27" s="22"/>
      <c r="AR27" s="22"/>
      <c r="AS27" s="23"/>
      <c r="AT27" s="22"/>
      <c r="AU27" s="270"/>
      <c r="AV27" s="22"/>
      <c r="AW27" s="22"/>
      <c r="AX27" s="22"/>
      <c r="AY27" s="22"/>
      <c r="AZ27" s="22"/>
      <c r="BA27" s="22"/>
      <c r="BB27" s="26"/>
      <c r="BC27" s="22"/>
      <c r="BD27" s="22"/>
      <c r="BE27" s="22"/>
      <c r="BF27" s="22"/>
      <c r="BG27" s="27"/>
      <c r="BH27" s="22"/>
      <c r="BI27" s="270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8"/>
      <c r="BV27" s="22"/>
      <c r="BW27" s="270"/>
      <c r="BX27" s="22"/>
      <c r="BY27" s="22"/>
      <c r="BZ27" s="22"/>
      <c r="CA27" s="22"/>
      <c r="CB27" s="22"/>
      <c r="CC27" s="22"/>
      <c r="CD27" s="22"/>
      <c r="CE27" s="22">
        <v>34501</v>
      </c>
      <c r="CF27" s="22">
        <v>18809</v>
      </c>
      <c r="CG27" s="22">
        <v>12618</v>
      </c>
      <c r="CH27" s="22"/>
      <c r="CJ27" s="22">
        <v>11940</v>
      </c>
      <c r="CK27" s="270">
        <v>19956</v>
      </c>
      <c r="CL27" s="22">
        <v>15650</v>
      </c>
      <c r="CM27" s="22">
        <v>12005</v>
      </c>
      <c r="CN27" s="22"/>
      <c r="CO27" s="22"/>
      <c r="CP27" s="22"/>
      <c r="CQ27" s="22"/>
      <c r="CR27" s="22"/>
      <c r="CS27" s="22">
        <v>6064</v>
      </c>
      <c r="CT27" s="22"/>
      <c r="CU27" s="22"/>
      <c r="CV27" s="22"/>
      <c r="CW27" s="758"/>
      <c r="CX27" s="870"/>
      <c r="CY27" s="871"/>
      <c r="CZ27" s="870"/>
      <c r="DA27" s="870"/>
      <c r="DB27" s="870"/>
      <c r="DC27" s="870"/>
      <c r="DD27" s="870"/>
      <c r="DE27" s="870"/>
      <c r="DF27" s="870"/>
      <c r="DG27" s="870"/>
      <c r="DH27" s="870"/>
      <c r="DI27" s="870"/>
      <c r="DJ27" s="22"/>
      <c r="DK27" s="949"/>
      <c r="DL27" s="870"/>
      <c r="DM27" s="871"/>
      <c r="DN27" s="870"/>
      <c r="DO27" s="870"/>
      <c r="DP27" s="870"/>
      <c r="DQ27" s="870"/>
      <c r="DR27" s="870"/>
      <c r="DS27" s="870"/>
      <c r="DT27" s="870"/>
      <c r="DU27" s="870"/>
      <c r="DV27" s="870"/>
      <c r="DW27" s="870"/>
      <c r="DX27" s="22"/>
    </row>
    <row r="28" spans="1:128" ht="18.75" hidden="1">
      <c r="A28" s="19">
        <v>0</v>
      </c>
      <c r="B28" s="904" t="s">
        <v>40</v>
      </c>
      <c r="C28" s="905"/>
      <c r="D28" s="265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66"/>
      <c r="Q28" s="21"/>
      <c r="R28" s="265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67"/>
      <c r="AE28" s="23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5"/>
      <c r="AQ28" s="22"/>
      <c r="AR28" s="22"/>
      <c r="AS28" s="23"/>
      <c r="AT28" s="22"/>
      <c r="AU28" s="270"/>
      <c r="AV28" s="22"/>
      <c r="AW28" s="22"/>
      <c r="AX28" s="22"/>
      <c r="AY28" s="22"/>
      <c r="AZ28" s="22"/>
      <c r="BA28" s="22"/>
      <c r="BB28" s="26"/>
      <c r="BC28" s="22"/>
      <c r="BD28" s="22"/>
      <c r="BE28" s="22"/>
      <c r="BF28" s="22"/>
      <c r="BG28" s="27"/>
      <c r="BH28" s="22"/>
      <c r="BI28" s="270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8"/>
      <c r="BV28" s="22"/>
      <c r="BW28" s="270"/>
      <c r="BX28" s="22"/>
      <c r="BY28" s="22"/>
      <c r="BZ28" s="22"/>
      <c r="CA28" s="22"/>
      <c r="CB28" s="22"/>
      <c r="CC28" s="22"/>
      <c r="CD28" s="22"/>
      <c r="CE28" s="22">
        <v>12837</v>
      </c>
      <c r="CF28" s="22">
        <v>11839</v>
      </c>
      <c r="CG28" s="22">
        <v>20519</v>
      </c>
      <c r="CH28" s="22"/>
      <c r="CJ28" s="22">
        <v>17816</v>
      </c>
      <c r="CK28" s="270">
        <v>17432</v>
      </c>
      <c r="CL28" s="22">
        <v>21670</v>
      </c>
      <c r="CM28" s="22">
        <v>19092</v>
      </c>
      <c r="CN28" s="22"/>
      <c r="CO28" s="22"/>
      <c r="CP28" s="22"/>
      <c r="CQ28" s="22"/>
      <c r="CR28" s="22"/>
      <c r="CS28" s="22">
        <v>20858</v>
      </c>
      <c r="CT28" s="22"/>
      <c r="CU28" s="22"/>
      <c r="CV28" s="22"/>
      <c r="CW28" s="758"/>
      <c r="CX28" s="870"/>
      <c r="CY28" s="871"/>
      <c r="CZ28" s="870"/>
      <c r="DA28" s="870"/>
      <c r="DB28" s="870"/>
      <c r="DC28" s="870"/>
      <c r="DD28" s="870"/>
      <c r="DE28" s="870"/>
      <c r="DF28" s="870"/>
      <c r="DG28" s="870"/>
      <c r="DH28" s="870"/>
      <c r="DI28" s="870"/>
      <c r="DJ28" s="22"/>
      <c r="DK28" s="949"/>
      <c r="DL28" s="870"/>
      <c r="DM28" s="871"/>
      <c r="DN28" s="870"/>
      <c r="DO28" s="870"/>
      <c r="DP28" s="870"/>
      <c r="DQ28" s="870"/>
      <c r="DR28" s="870"/>
      <c r="DS28" s="870"/>
      <c r="DT28" s="870"/>
      <c r="DU28" s="870"/>
      <c r="DV28" s="870"/>
      <c r="DW28" s="870"/>
      <c r="DX28" s="22"/>
    </row>
    <row r="29" spans="1:128" ht="18.75" hidden="1">
      <c r="A29" s="13" t="s">
        <v>42</v>
      </c>
      <c r="B29" s="908"/>
      <c r="C29" s="909" t="s">
        <v>43</v>
      </c>
      <c r="D29" s="277">
        <f>D20-D24</f>
        <v>162884</v>
      </c>
      <c r="E29" s="33">
        <f>E20+E26-E24-E67</f>
        <v>200610</v>
      </c>
      <c r="F29" s="33">
        <f>F20+F26-F24-F67</f>
        <v>192475</v>
      </c>
      <c r="G29" s="33">
        <f>G20+G26-G24-G67</f>
        <v>231853</v>
      </c>
      <c r="H29" s="33">
        <f>H20+H26-H24-H67</f>
        <v>253292</v>
      </c>
      <c r="I29" s="33">
        <f>I20+I26-I24-I67</f>
        <v>305688</v>
      </c>
      <c r="J29" s="33">
        <f>J20+J26-J24-J67</f>
        <v>355297</v>
      </c>
      <c r="K29" s="33">
        <f>K20+K26-K24-K67</f>
        <v>367201</v>
      </c>
      <c r="L29" s="33">
        <f>L20+L26-L24-L67</f>
        <v>407523</v>
      </c>
      <c r="M29" s="33">
        <f>M20+M26-M24-M67</f>
        <v>297747</v>
      </c>
      <c r="N29" s="33">
        <f>N20+N26-N24-N67</f>
        <v>0</v>
      </c>
      <c r="O29" s="33">
        <f>O20+O26-O24-O67</f>
        <v>143875</v>
      </c>
      <c r="P29" s="262">
        <f>J29</f>
        <v>355297</v>
      </c>
      <c r="Q29" s="15"/>
      <c r="R29" s="277">
        <f>R20-R24</f>
        <v>172568</v>
      </c>
      <c r="S29" s="14">
        <f>S20+S26-S24-S67</f>
        <v>244205</v>
      </c>
      <c r="T29" s="14">
        <f>T20+T26-T24-T67</f>
        <v>237108</v>
      </c>
      <c r="U29" s="14">
        <f>U20+U26-U24-U67</f>
        <v>222510</v>
      </c>
      <c r="V29" s="14">
        <f>V20+V26-V24-V67</f>
        <v>179647</v>
      </c>
      <c r="W29" s="14">
        <f>W20+W26-W24-W67</f>
        <v>289587</v>
      </c>
      <c r="X29" s="14">
        <f>X20+X26-X24-X67</f>
        <v>281331</v>
      </c>
      <c r="Y29" s="14">
        <f>Y20+Y26-Y24-Y67</f>
        <v>325686</v>
      </c>
      <c r="Z29" s="14">
        <f>Z20+Z26-Z24-Z67</f>
        <v>319329</v>
      </c>
      <c r="AA29" s="14">
        <f>AA20+AA26-AA24-AA67</f>
        <v>268663</v>
      </c>
      <c r="AB29" s="14">
        <f>AB20+AB26-AB24-AB67</f>
        <v>187543</v>
      </c>
      <c r="AC29" s="14">
        <f>AC20+AC26-AC24-AC67</f>
        <v>196995</v>
      </c>
      <c r="AD29" s="263">
        <f>X29</f>
        <v>281331</v>
      </c>
      <c r="AE29" s="16"/>
      <c r="AF29" s="14">
        <f t="shared" ref="AF29:AQ29" si="33">AF20+AF24+AF23</f>
        <v>228387</v>
      </c>
      <c r="AG29" s="14">
        <f t="shared" si="33"/>
        <v>263548</v>
      </c>
      <c r="AH29" s="14">
        <f t="shared" si="33"/>
        <v>366224</v>
      </c>
      <c r="AI29" s="14">
        <f t="shared" si="33"/>
        <v>361348</v>
      </c>
      <c r="AJ29" s="14">
        <f t="shared" si="33"/>
        <v>384008</v>
      </c>
      <c r="AK29" s="14">
        <f t="shared" si="33"/>
        <v>434489</v>
      </c>
      <c r="AL29" s="14">
        <f t="shared" si="33"/>
        <v>436438</v>
      </c>
      <c r="AM29" s="14">
        <f t="shared" si="33"/>
        <v>463198</v>
      </c>
      <c r="AN29" s="14">
        <f t="shared" si="33"/>
        <v>425121</v>
      </c>
      <c r="AO29" s="14">
        <f t="shared" si="33"/>
        <v>355477</v>
      </c>
      <c r="AP29" s="14">
        <f t="shared" si="33"/>
        <v>288104</v>
      </c>
      <c r="AQ29" s="14">
        <f t="shared" si="33"/>
        <v>298855</v>
      </c>
      <c r="AR29" s="14">
        <f t="shared" si="11"/>
        <v>298855</v>
      </c>
      <c r="AS29" s="17"/>
      <c r="AT29" s="14">
        <f t="shared" ref="AT29:BE29" si="34">AT20+AT24+AT23</f>
        <v>326269</v>
      </c>
      <c r="AU29" s="14">
        <f t="shared" si="34"/>
        <v>301870</v>
      </c>
      <c r="AV29" s="14">
        <f t="shared" si="34"/>
        <v>285491</v>
      </c>
      <c r="AW29" s="14">
        <f t="shared" si="34"/>
        <v>267653</v>
      </c>
      <c r="AX29" s="14">
        <f t="shared" si="34"/>
        <v>273960</v>
      </c>
      <c r="AY29" s="14">
        <f t="shared" si="34"/>
        <v>326260</v>
      </c>
      <c r="AZ29" s="14">
        <f t="shared" si="34"/>
        <v>333221</v>
      </c>
      <c r="BA29" s="14">
        <f t="shared" si="34"/>
        <v>354862</v>
      </c>
      <c r="BB29" s="14">
        <f t="shared" si="34"/>
        <v>348162</v>
      </c>
      <c r="BC29" s="14">
        <f t="shared" si="34"/>
        <v>319093</v>
      </c>
      <c r="BD29" s="14">
        <f t="shared" si="34"/>
        <v>293379</v>
      </c>
      <c r="BE29" s="14">
        <f t="shared" si="34"/>
        <v>234110</v>
      </c>
      <c r="BF29" s="32">
        <f t="shared" ref="BF29:BF30" si="35">SUM(AT29:BE29)</f>
        <v>3664330</v>
      </c>
      <c r="BG29" s="17"/>
      <c r="BH29" s="14">
        <f t="shared" ref="BH29:BS29" si="36">BH20+BH24+BH23</f>
        <v>285296</v>
      </c>
      <c r="BI29" s="14">
        <f t="shared" si="36"/>
        <v>282956</v>
      </c>
      <c r="BJ29" s="14">
        <f t="shared" si="36"/>
        <v>295165</v>
      </c>
      <c r="BK29" s="14">
        <f t="shared" si="36"/>
        <v>286135</v>
      </c>
      <c r="BL29" s="14">
        <f t="shared" si="36"/>
        <v>250340</v>
      </c>
      <c r="BM29" s="14">
        <f t="shared" si="36"/>
        <v>247600</v>
      </c>
      <c r="BN29" s="14">
        <f t="shared" si="36"/>
        <v>293505</v>
      </c>
      <c r="BO29" s="14">
        <f t="shared" si="36"/>
        <v>274542</v>
      </c>
      <c r="BP29" s="14">
        <f t="shared" si="36"/>
        <v>260352</v>
      </c>
      <c r="BQ29" s="14">
        <f>BQ20+BQ24+BQ23</f>
        <v>238595</v>
      </c>
      <c r="BR29" s="14">
        <f t="shared" si="36"/>
        <v>187546</v>
      </c>
      <c r="BS29" s="14">
        <f t="shared" si="36"/>
        <v>189617</v>
      </c>
      <c r="BT29" s="14">
        <f t="shared" si="32"/>
        <v>189617</v>
      </c>
      <c r="BU29" s="18"/>
      <c r="BV29" s="14">
        <f>BV20+BV24+BV23</f>
        <v>171889</v>
      </c>
      <c r="BW29" s="14">
        <f>BW20+BW26+BW23</f>
        <v>193178</v>
      </c>
      <c r="BX29" s="14">
        <f>BX20+BX24+BX23</f>
        <v>228367</v>
      </c>
      <c r="BY29" s="14">
        <f>BY20+BY24+BY23</f>
        <v>261297</v>
      </c>
      <c r="BZ29" s="14">
        <f>BZ20+BZ24+BZ23</f>
        <v>277757</v>
      </c>
      <c r="CA29" s="14">
        <f>CA20+CA24+CA23</f>
        <v>329719</v>
      </c>
      <c r="CB29" s="14">
        <f>CB20+CB24+CB23</f>
        <v>316656</v>
      </c>
      <c r="CC29" s="14">
        <f>CC20+CC24+CC23</f>
        <v>290388</v>
      </c>
      <c r="CD29" s="14">
        <f>CD20+CD24+CD23</f>
        <v>185778</v>
      </c>
      <c r="CE29" s="14">
        <f>CE20+CE24+CE23</f>
        <v>153110</v>
      </c>
      <c r="CF29" s="14">
        <f>CF20+CF24+CF23</f>
        <v>170562</v>
      </c>
      <c r="CG29" s="14">
        <f>CG20+CG24+CG23</f>
        <v>167396</v>
      </c>
      <c r="CH29" s="14">
        <f t="shared" si="31"/>
        <v>167396</v>
      </c>
      <c r="CJ29" s="14">
        <v>224424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758"/>
      <c r="CX29" s="873">
        <v>224424</v>
      </c>
      <c r="CY29" s="873">
        <v>0</v>
      </c>
      <c r="CZ29" s="873">
        <v>0</v>
      </c>
      <c r="DA29" s="873">
        <v>0</v>
      </c>
      <c r="DB29" s="873">
        <v>0</v>
      </c>
      <c r="DC29" s="873">
        <v>0</v>
      </c>
      <c r="DD29" s="873">
        <v>0</v>
      </c>
      <c r="DE29" s="873">
        <v>0</v>
      </c>
      <c r="DF29" s="873">
        <v>0</v>
      </c>
      <c r="DG29" s="873">
        <v>0</v>
      </c>
      <c r="DH29" s="873">
        <v>0</v>
      </c>
      <c r="DI29" s="873">
        <v>0</v>
      </c>
      <c r="DJ29" s="14">
        <v>0</v>
      </c>
      <c r="DK29" s="949"/>
      <c r="DL29" s="873">
        <v>224424</v>
      </c>
      <c r="DM29" s="873">
        <v>0</v>
      </c>
      <c r="DN29" s="873">
        <v>0</v>
      </c>
      <c r="DO29" s="873">
        <v>0</v>
      </c>
      <c r="DP29" s="873">
        <v>0</v>
      </c>
      <c r="DQ29" s="873">
        <v>0</v>
      </c>
      <c r="DR29" s="873">
        <v>0</v>
      </c>
      <c r="DS29" s="873">
        <v>0</v>
      </c>
      <c r="DT29" s="873">
        <v>0</v>
      </c>
      <c r="DU29" s="873">
        <v>0</v>
      </c>
      <c r="DV29" s="873">
        <v>0</v>
      </c>
      <c r="DW29" s="873">
        <v>0</v>
      </c>
      <c r="DX29" s="14">
        <v>0</v>
      </c>
    </row>
    <row r="30" spans="1:128" ht="18.75" hidden="1">
      <c r="A30" s="34" t="s">
        <v>44</v>
      </c>
      <c r="B30" s="910"/>
      <c r="C30" s="911" t="s">
        <v>45</v>
      </c>
      <c r="D30" s="277">
        <f t="shared" ref="D30:O30" si="37">D10-D26-D24</f>
        <v>264261</v>
      </c>
      <c r="E30" s="33">
        <f t="shared" si="37"/>
        <v>275849</v>
      </c>
      <c r="F30" s="33">
        <f t="shared" si="37"/>
        <v>280253</v>
      </c>
      <c r="G30" s="33">
        <f t="shared" si="37"/>
        <v>256146</v>
      </c>
      <c r="H30" s="33">
        <f t="shared" si="37"/>
        <v>282462</v>
      </c>
      <c r="I30" s="33">
        <f t="shared" si="37"/>
        <v>336508</v>
      </c>
      <c r="J30" s="33">
        <f t="shared" si="37"/>
        <v>394861</v>
      </c>
      <c r="K30" s="33">
        <f t="shared" si="37"/>
        <v>399944</v>
      </c>
      <c r="L30" s="33">
        <f t="shared" si="37"/>
        <v>403515</v>
      </c>
      <c r="M30" s="33">
        <f t="shared" si="37"/>
        <v>254037</v>
      </c>
      <c r="N30" s="33">
        <f t="shared" si="37"/>
        <v>0</v>
      </c>
      <c r="O30" s="33">
        <f t="shared" si="37"/>
        <v>188264</v>
      </c>
      <c r="P30" s="262">
        <f t="shared" ref="P30:P31" si="38">O30</f>
        <v>188264</v>
      </c>
      <c r="Q30" s="15"/>
      <c r="R30" s="277">
        <f t="shared" ref="R30:AC30" si="39">R10-R26-R24</f>
        <v>244467</v>
      </c>
      <c r="S30" s="14">
        <f t="shared" si="39"/>
        <v>295020</v>
      </c>
      <c r="T30" s="14">
        <f t="shared" si="39"/>
        <v>254796</v>
      </c>
      <c r="U30" s="14">
        <f t="shared" si="39"/>
        <v>240747</v>
      </c>
      <c r="V30" s="14">
        <f t="shared" si="39"/>
        <v>104747</v>
      </c>
      <c r="W30" s="14">
        <f t="shared" si="39"/>
        <v>162106</v>
      </c>
      <c r="X30" s="14">
        <f t="shared" si="39"/>
        <v>340068</v>
      </c>
      <c r="Y30" s="14">
        <f t="shared" si="39"/>
        <v>322792</v>
      </c>
      <c r="Z30" s="14">
        <f t="shared" si="39"/>
        <v>330677</v>
      </c>
      <c r="AA30" s="14">
        <f t="shared" si="39"/>
        <v>229141</v>
      </c>
      <c r="AB30" s="14">
        <f t="shared" si="39"/>
        <v>126169</v>
      </c>
      <c r="AC30" s="14">
        <f t="shared" si="39"/>
        <v>173047</v>
      </c>
      <c r="AD30" s="263">
        <f t="shared" ref="AD30:AD31" si="40">AC30</f>
        <v>173047</v>
      </c>
      <c r="AE30" s="16"/>
      <c r="AF30" s="261">
        <f>AF29-AF24</f>
        <v>220021</v>
      </c>
      <c r="AG30" s="261">
        <f>AG29-AG24</f>
        <v>252014</v>
      </c>
      <c r="AH30" s="261">
        <f>AH29-AH24</f>
        <v>354717</v>
      </c>
      <c r="AI30" s="261">
        <f>AI29-AI24</f>
        <v>352200</v>
      </c>
      <c r="AJ30" s="261">
        <f>AJ29-AJ24</f>
        <v>375484</v>
      </c>
      <c r="AK30" s="261">
        <f>AK29-AK24</f>
        <v>409199</v>
      </c>
      <c r="AL30" s="261">
        <f>AL29-AL24</f>
        <v>345358</v>
      </c>
      <c r="AM30" s="261">
        <f>AM29-AM24</f>
        <v>396368</v>
      </c>
      <c r="AN30" s="261">
        <f>AN29-AN24</f>
        <v>388255</v>
      </c>
      <c r="AO30" s="261">
        <f>AO29-AO24</f>
        <v>339304</v>
      </c>
      <c r="AP30" s="261">
        <f>AP29-AP24</f>
        <v>109830</v>
      </c>
      <c r="AQ30" s="261">
        <f>AQ29-AQ24</f>
        <v>88190</v>
      </c>
      <c r="AR30" s="14">
        <f t="shared" si="11"/>
        <v>88190</v>
      </c>
      <c r="AS30" s="17"/>
      <c r="AT30" s="261">
        <f>AT29-AT24</f>
        <v>205194</v>
      </c>
      <c r="AU30" s="261">
        <f>AU29-AU24</f>
        <v>152494</v>
      </c>
      <c r="AV30" s="261">
        <f>AV29-AV24</f>
        <v>180953</v>
      </c>
      <c r="AW30" s="261">
        <f>AW29-AW24</f>
        <v>162391</v>
      </c>
      <c r="AX30" s="261">
        <f>AX29-AX24</f>
        <v>152887</v>
      </c>
      <c r="AY30" s="261">
        <f>AY29-AY24</f>
        <v>162329</v>
      </c>
      <c r="AZ30" s="261">
        <f>AZ29-AZ24</f>
        <v>223257</v>
      </c>
      <c r="BA30" s="261">
        <f>BA29-BA24</f>
        <v>206596</v>
      </c>
      <c r="BB30" s="261">
        <f>BB29-BB24</f>
        <v>217465</v>
      </c>
      <c r="BC30" s="261">
        <f>BC29-BC24</f>
        <v>205314</v>
      </c>
      <c r="BD30" s="261">
        <f>BD29-BD24</f>
        <v>202260</v>
      </c>
      <c r="BE30" s="261">
        <f>BE29-BE24</f>
        <v>130824</v>
      </c>
      <c r="BF30" s="32">
        <f t="shared" si="35"/>
        <v>2201964</v>
      </c>
      <c r="BG30" s="35">
        <f>SUM(AT34:AY34)/SUM(AF68:AK68)-1</f>
        <v>0.2283258050797119</v>
      </c>
      <c r="BH30" s="416">
        <f>BH29-BH24</f>
        <v>235665</v>
      </c>
      <c r="BI30" s="416">
        <f>BI29-BI24</f>
        <v>230003</v>
      </c>
      <c r="BJ30" s="416">
        <f>BJ29-BJ24</f>
        <v>266725</v>
      </c>
      <c r="BK30" s="416">
        <f>BK29-BK24</f>
        <v>202534</v>
      </c>
      <c r="BL30" s="417">
        <f>BL29-BL24</f>
        <v>224528</v>
      </c>
      <c r="BM30" s="417">
        <f>BM29-BM24</f>
        <v>188055</v>
      </c>
      <c r="BN30" s="417">
        <f>BN29-BN24</f>
        <v>210070</v>
      </c>
      <c r="BO30" s="417">
        <f>BO29-BO24</f>
        <v>240501</v>
      </c>
      <c r="BP30" s="417">
        <f>BP29-BP24</f>
        <v>237953</v>
      </c>
      <c r="BQ30" s="417">
        <f>BQ29-BQ24</f>
        <v>213708</v>
      </c>
      <c r="BR30" s="417">
        <f>BR29-BR24</f>
        <v>175363</v>
      </c>
      <c r="BS30" s="417">
        <f>BS29-BS24</f>
        <v>177434</v>
      </c>
      <c r="BT30" s="417">
        <f t="shared" si="32"/>
        <v>177434</v>
      </c>
      <c r="BU30" s="18"/>
      <c r="BV30" s="261">
        <f>BV29-BV24</f>
        <v>166673</v>
      </c>
      <c r="BW30" s="261">
        <f>BW29-BW24</f>
        <v>193178</v>
      </c>
      <c r="BX30" s="261">
        <f>BX29-BX24</f>
        <v>163094</v>
      </c>
      <c r="BY30" s="416">
        <f>BY29-BY24</f>
        <v>191115</v>
      </c>
      <c r="BZ30" s="417">
        <f>BZ29-BZ24</f>
        <v>220098</v>
      </c>
      <c r="CA30" s="417">
        <f>CA29-CA24</f>
        <v>258050</v>
      </c>
      <c r="CB30" s="417">
        <f>CB29-CB24</f>
        <v>243578</v>
      </c>
      <c r="CC30" s="417">
        <f>CC29-CC24</f>
        <v>205086</v>
      </c>
      <c r="CD30" s="417">
        <f>CD29-CD24</f>
        <v>160435</v>
      </c>
      <c r="CE30" s="417">
        <f>CE29-CE24</f>
        <v>134080</v>
      </c>
      <c r="CF30" s="417">
        <f>CF29-CF24</f>
        <v>151140</v>
      </c>
      <c r="CG30" s="417">
        <f>CG29-CG24</f>
        <v>141469</v>
      </c>
      <c r="CH30" s="417">
        <f t="shared" si="31"/>
        <v>141469</v>
      </c>
      <c r="CJ30" s="261">
        <v>219208</v>
      </c>
      <c r="CK30" s="261">
        <v>0</v>
      </c>
      <c r="CL30" s="261">
        <v>0</v>
      </c>
      <c r="CM30" s="416">
        <v>0</v>
      </c>
      <c r="CN30" s="417">
        <v>0</v>
      </c>
      <c r="CO30" s="417">
        <v>0</v>
      </c>
      <c r="CP30" s="417">
        <v>0</v>
      </c>
      <c r="CQ30" s="417">
        <v>0</v>
      </c>
      <c r="CR30" s="417">
        <v>0</v>
      </c>
      <c r="CS30" s="417">
        <v>0</v>
      </c>
      <c r="CT30" s="417">
        <v>0</v>
      </c>
      <c r="CU30" s="417">
        <v>0</v>
      </c>
      <c r="CV30" s="417">
        <v>0</v>
      </c>
      <c r="CW30" s="758"/>
      <c r="CX30" s="874">
        <v>219208</v>
      </c>
      <c r="CY30" s="874">
        <v>0</v>
      </c>
      <c r="CZ30" s="874">
        <v>0</v>
      </c>
      <c r="DA30" s="875">
        <v>0</v>
      </c>
      <c r="DB30" s="876">
        <v>0</v>
      </c>
      <c r="DC30" s="876">
        <v>0</v>
      </c>
      <c r="DD30" s="876">
        <v>0</v>
      </c>
      <c r="DE30" s="876">
        <v>0</v>
      </c>
      <c r="DF30" s="876">
        <v>0</v>
      </c>
      <c r="DG30" s="876">
        <v>0</v>
      </c>
      <c r="DH30" s="876">
        <v>0</v>
      </c>
      <c r="DI30" s="876">
        <v>0</v>
      </c>
      <c r="DJ30" s="417">
        <v>0</v>
      </c>
      <c r="DK30" s="949"/>
      <c r="DL30" s="874">
        <v>219208</v>
      </c>
      <c r="DM30" s="874">
        <v>0</v>
      </c>
      <c r="DN30" s="874">
        <v>0</v>
      </c>
      <c r="DO30" s="875">
        <v>0</v>
      </c>
      <c r="DP30" s="876">
        <v>0</v>
      </c>
      <c r="DQ30" s="876">
        <v>0</v>
      </c>
      <c r="DR30" s="876">
        <v>0</v>
      </c>
      <c r="DS30" s="876">
        <v>0</v>
      </c>
      <c r="DT30" s="876">
        <v>0</v>
      </c>
      <c r="DU30" s="876">
        <v>0</v>
      </c>
      <c r="DV30" s="876">
        <v>0</v>
      </c>
      <c r="DW30" s="876">
        <v>0</v>
      </c>
      <c r="DX30" s="417">
        <v>0</v>
      </c>
    </row>
    <row r="31" spans="1:128" s="748" customFormat="1" ht="18.75" hidden="1">
      <c r="A31" s="739" t="s">
        <v>120</v>
      </c>
      <c r="B31" s="736"/>
      <c r="C31" s="737" t="s">
        <v>47</v>
      </c>
      <c r="D31" s="738">
        <f t="shared" ref="D31:O31" si="41">D10</f>
        <v>304786</v>
      </c>
      <c r="E31" s="740">
        <f t="shared" si="41"/>
        <v>311986</v>
      </c>
      <c r="F31" s="740">
        <f t="shared" si="41"/>
        <v>328231</v>
      </c>
      <c r="G31" s="740">
        <f t="shared" si="41"/>
        <v>317873</v>
      </c>
      <c r="H31" s="740">
        <f t="shared" si="41"/>
        <v>347196</v>
      </c>
      <c r="I31" s="740">
        <f t="shared" si="41"/>
        <v>402253</v>
      </c>
      <c r="J31" s="740">
        <f t="shared" si="41"/>
        <v>454488</v>
      </c>
      <c r="K31" s="740">
        <f t="shared" si="41"/>
        <v>447182</v>
      </c>
      <c r="L31" s="740">
        <f t="shared" si="41"/>
        <v>416931</v>
      </c>
      <c r="M31" s="740">
        <f t="shared" si="41"/>
        <v>304402</v>
      </c>
      <c r="N31" s="740">
        <f t="shared" si="41"/>
        <v>0</v>
      </c>
      <c r="O31" s="740">
        <f t="shared" si="41"/>
        <v>188264</v>
      </c>
      <c r="P31" s="741">
        <f t="shared" si="38"/>
        <v>188264</v>
      </c>
      <c r="Q31" s="742"/>
      <c r="R31" s="743">
        <f t="shared" ref="R31:AC31" si="42">R10</f>
        <v>283359</v>
      </c>
      <c r="S31" s="744">
        <f t="shared" si="42"/>
        <v>342718</v>
      </c>
      <c r="T31" s="744">
        <f t="shared" si="42"/>
        <v>313212</v>
      </c>
      <c r="U31" s="744">
        <f t="shared" si="42"/>
        <v>298093</v>
      </c>
      <c r="V31" s="744">
        <f t="shared" si="42"/>
        <v>206617</v>
      </c>
      <c r="W31" s="744">
        <f t="shared" si="42"/>
        <v>235875</v>
      </c>
      <c r="X31" s="744">
        <f t="shared" si="42"/>
        <v>360135</v>
      </c>
      <c r="Y31" s="744">
        <f t="shared" si="42"/>
        <v>361665</v>
      </c>
      <c r="Z31" s="744">
        <f t="shared" si="42"/>
        <v>353400</v>
      </c>
      <c r="AA31" s="744">
        <f t="shared" si="42"/>
        <v>272097</v>
      </c>
      <c r="AB31" s="744">
        <f t="shared" si="42"/>
        <v>170626</v>
      </c>
      <c r="AC31" s="744">
        <f t="shared" si="42"/>
        <v>197551</v>
      </c>
      <c r="AD31" s="745">
        <f t="shared" si="40"/>
        <v>197551</v>
      </c>
      <c r="AE31" s="746"/>
      <c r="AF31" s="744">
        <f>AF10-AF67</f>
        <v>255339</v>
      </c>
      <c r="AG31" s="744">
        <f>AG10-AG67</f>
        <v>292621</v>
      </c>
      <c r="AH31" s="744">
        <f>AH10-AH67</f>
        <v>397976</v>
      </c>
      <c r="AI31" s="744">
        <f>AI10-AI67</f>
        <v>388165</v>
      </c>
      <c r="AJ31" s="744">
        <f>AJ10-AJ67</f>
        <v>409301</v>
      </c>
      <c r="AK31" s="744">
        <f>AK10-AK67</f>
        <v>490913</v>
      </c>
      <c r="AL31" s="744">
        <f>AL10-AL67</f>
        <v>563229</v>
      </c>
      <c r="AM31" s="744">
        <f>AM10-AM67</f>
        <v>559169</v>
      </c>
      <c r="AN31" s="744">
        <f>AN10-AN67</f>
        <v>487294</v>
      </c>
      <c r="AO31" s="744">
        <f>AO10-AO67</f>
        <v>407614</v>
      </c>
      <c r="AP31" s="744">
        <f>AP10-AP67</f>
        <v>503756</v>
      </c>
      <c r="AQ31" s="744">
        <f>AQ10-AQ67</f>
        <v>522741</v>
      </c>
      <c r="AR31" s="744">
        <f t="shared" si="11"/>
        <v>522741</v>
      </c>
      <c r="AS31" s="746"/>
      <c r="AT31" s="744">
        <f>AT10-AT67</f>
        <v>364736</v>
      </c>
      <c r="AU31" s="744">
        <f>AU10-AU67</f>
        <v>382608</v>
      </c>
      <c r="AV31" s="744">
        <f>AV10-AV67</f>
        <v>322837</v>
      </c>
      <c r="AW31" s="744">
        <f>AW10-AW67</f>
        <v>339249</v>
      </c>
      <c r="AX31" s="744">
        <f>AX10-AX67</f>
        <v>382307</v>
      </c>
      <c r="AY31" s="744">
        <f>AY10-AY67</f>
        <v>446417</v>
      </c>
      <c r="AZ31" s="744">
        <f>AZ10-AZ67</f>
        <v>406019</v>
      </c>
      <c r="BA31" s="744">
        <f>BA10-BA67</f>
        <v>457091</v>
      </c>
      <c r="BB31" s="744">
        <f>BB10-BB67</f>
        <v>439103</v>
      </c>
      <c r="BC31" s="744">
        <f>BB31-BC34+BC81-BC67</f>
        <v>267702.70924434217</v>
      </c>
      <c r="BD31" s="744">
        <f>BC31-BD34+BD81-BD67</f>
        <v>224792.12236286921</v>
      </c>
      <c r="BE31" s="744">
        <f>BD31-BE34+BE81-BE67</f>
        <v>209302.50939777523</v>
      </c>
      <c r="BF31" s="744">
        <f>BE31</f>
        <v>209302.50939777523</v>
      </c>
      <c r="BG31" s="747">
        <f>BG34/AR34</f>
        <v>7.0333736034655189E-2</v>
      </c>
      <c r="BH31" s="744">
        <f>BH10-BH67</f>
        <v>287739</v>
      </c>
      <c r="BI31" s="744">
        <f>BI10-BI67</f>
        <v>274599</v>
      </c>
      <c r="BJ31" s="744">
        <f>BJ10-BJ67</f>
        <v>249895</v>
      </c>
      <c r="BK31" s="744">
        <f>BK10-BK67</f>
        <v>311315</v>
      </c>
      <c r="BL31" s="744">
        <f>BL10-BL67</f>
        <v>277855</v>
      </c>
      <c r="BM31" s="744">
        <f>BM10-BM67</f>
        <v>301815</v>
      </c>
      <c r="BN31" s="744">
        <f>BN10-BN67</f>
        <v>325519</v>
      </c>
      <c r="BO31" s="744">
        <f>BO10-BO67</f>
        <v>255915</v>
      </c>
      <c r="BP31" s="744">
        <f>BP10-BP67</f>
        <v>198711</v>
      </c>
      <c r="BQ31" s="744">
        <f>BQ10-BQ67</f>
        <v>182301</v>
      </c>
      <c r="BR31" s="744">
        <f>BR10-BR67</f>
        <v>228035</v>
      </c>
      <c r="BS31" s="744">
        <f>BS10-BS67</f>
        <v>201165</v>
      </c>
      <c r="BT31" s="744">
        <f t="shared" si="32"/>
        <v>201165</v>
      </c>
      <c r="BU31" s="746"/>
      <c r="BV31" s="744">
        <f>BV10-BV67</f>
        <v>247713</v>
      </c>
      <c r="BW31" s="744">
        <f>BW10-BW67</f>
        <v>278707</v>
      </c>
      <c r="BX31" s="744">
        <f>BX10-BX67</f>
        <v>281829</v>
      </c>
      <c r="BY31" s="744">
        <f>BY10-BY67</f>
        <v>317753</v>
      </c>
      <c r="BZ31" s="744">
        <f>BZ10-BZ67</f>
        <v>270339</v>
      </c>
      <c r="CA31" s="744">
        <f>CA10-CA67</f>
        <v>310383</v>
      </c>
      <c r="CB31" s="744">
        <f>CB10-CB67</f>
        <v>328365</v>
      </c>
      <c r="CC31" s="744">
        <f>CC10-CC67</f>
        <v>333476</v>
      </c>
      <c r="CD31" s="744">
        <f>CD10-CD67</f>
        <v>306264</v>
      </c>
      <c r="CE31" s="744">
        <f>CE10-CE67</f>
        <v>270370</v>
      </c>
      <c r="CF31" s="744">
        <f>CF10-CF67</f>
        <v>194014</v>
      </c>
      <c r="CG31" s="744">
        <f>CG10-CG67</f>
        <v>182266</v>
      </c>
      <c r="CH31" s="744">
        <f t="shared" si="31"/>
        <v>182266</v>
      </c>
      <c r="CJ31" s="744">
        <f t="shared" ref="CJ31:CL31" si="43">CJ28+CJ27+CJ11</f>
        <v>234793</v>
      </c>
      <c r="CK31" s="744">
        <f t="shared" si="43"/>
        <v>267818</v>
      </c>
      <c r="CL31" s="744">
        <f t="shared" si="43"/>
        <v>271663</v>
      </c>
      <c r="CM31" s="744">
        <f>CM28+CM27+CM11</f>
        <v>297485</v>
      </c>
      <c r="CN31" s="744">
        <f>CM31-CN34+CN81</f>
        <v>307923.8879612374</v>
      </c>
      <c r="CO31" s="744">
        <f>CN31-CO34+CO81</f>
        <v>370977.73306000745</v>
      </c>
      <c r="CP31" s="744">
        <f>CO31-CP34+CP81</f>
        <v>403860.22259587242</v>
      </c>
      <c r="CQ31" s="744">
        <f>CP31-CQ34+CQ81</f>
        <v>381854.52867182181</v>
      </c>
      <c r="CR31" s="744">
        <f>CQ31-CR34+CR81</f>
        <v>333996.33782793995</v>
      </c>
      <c r="CS31" s="744">
        <f>CR31-CS34+CS81</f>
        <v>289282.38677308767</v>
      </c>
      <c r="CT31" s="744">
        <f>CS31-CT34+CT81</f>
        <v>280258.78567604127</v>
      </c>
      <c r="CU31" s="744">
        <f>CT31-CU34+CU81</f>
        <v>302607.39327097801</v>
      </c>
      <c r="CV31" s="744">
        <v>116080.10690622788</v>
      </c>
      <c r="CW31" s="758"/>
      <c r="CX31" s="744">
        <f>CU31-CX34+CX81</f>
        <v>244494.49327097798</v>
      </c>
      <c r="CY31" s="744">
        <f>CX31-CY34+CY81</f>
        <v>217359.09327097799</v>
      </c>
      <c r="CZ31" s="744">
        <f t="shared" ref="CZ31:DI31" si="44">CY31-CZ34+CZ81</f>
        <v>38739.093270977988</v>
      </c>
      <c r="DA31" s="744">
        <f t="shared" si="44"/>
        <v>-31420.906729022012</v>
      </c>
      <c r="DB31" s="744">
        <f t="shared" si="44"/>
        <v>-53091.156729022041</v>
      </c>
      <c r="DC31" s="744">
        <f t="shared" si="44"/>
        <v>-84338.436729022069</v>
      </c>
      <c r="DD31" s="744">
        <f t="shared" si="44"/>
        <v>-141405.7167290221</v>
      </c>
      <c r="DE31" s="744">
        <f t="shared" si="44"/>
        <v>-211240.67672902212</v>
      </c>
      <c r="DF31" s="744">
        <f t="shared" si="44"/>
        <v>-345031.81672902213</v>
      </c>
      <c r="DG31" s="744">
        <f t="shared" si="44"/>
        <v>-438574.87706657487</v>
      </c>
      <c r="DH31" s="744">
        <f t="shared" si="44"/>
        <v>-456887.66381762968</v>
      </c>
      <c r="DI31" s="744">
        <f t="shared" si="44"/>
        <v>-470836.10938724992</v>
      </c>
      <c r="DJ31" s="744">
        <v>116080.10690622788</v>
      </c>
      <c r="DK31" s="949"/>
      <c r="DL31" s="744"/>
      <c r="DM31" s="744"/>
      <c r="DN31" s="744"/>
      <c r="DO31" s="744"/>
      <c r="DP31" s="744"/>
      <c r="DQ31" s="744"/>
      <c r="DR31" s="744"/>
      <c r="DS31" s="744"/>
      <c r="DT31" s="744"/>
      <c r="DU31" s="744"/>
      <c r="DV31" s="744"/>
      <c r="DW31" s="744"/>
      <c r="DX31" s="744"/>
    </row>
    <row r="32" spans="1:128" ht="18.75" hidden="1">
      <c r="A32" s="46"/>
      <c r="B32" s="912" t="s">
        <v>48</v>
      </c>
      <c r="C32" s="913"/>
      <c r="D32" s="283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284"/>
      <c r="Q32" s="49"/>
      <c r="R32" s="283"/>
      <c r="S32" s="50"/>
      <c r="T32" s="50"/>
      <c r="U32" s="50"/>
      <c r="V32" s="51"/>
      <c r="W32" s="51"/>
      <c r="X32" s="51"/>
      <c r="Y32" s="51"/>
      <c r="Z32" s="51"/>
      <c r="AA32" s="51"/>
      <c r="AB32" s="51"/>
      <c r="AC32" s="50"/>
      <c r="AD32" s="285"/>
      <c r="AE32" s="23"/>
      <c r="AF32" s="286">
        <f>AF10/AG34</f>
        <v>1.4346741432881778</v>
      </c>
      <c r="AG32" s="286">
        <f>AG10/AH34</f>
        <v>3.9745327610561771</v>
      </c>
      <c r="AH32" s="286">
        <f>AH10/AI34</f>
        <v>4.4537254638644557</v>
      </c>
      <c r="AI32" s="286">
        <f>AI10/AJ34</f>
        <v>3.1781895295331357</v>
      </c>
      <c r="AJ32" s="286">
        <f>AJ10/AK34</f>
        <v>2.7551225094238019</v>
      </c>
      <c r="AK32" s="286">
        <f>AK10/AL34</f>
        <v>3.2297970327971317</v>
      </c>
      <c r="AL32" s="286">
        <f>AL10/AM34</f>
        <v>2.3575635299682296</v>
      </c>
      <c r="AM32" s="286">
        <f>AM10/AN34</f>
        <v>2.1413160582078121</v>
      </c>
      <c r="AN32" s="286">
        <f>AN10/AO34</f>
        <v>1.9042360296991012</v>
      </c>
      <c r="AO32" s="286">
        <f>AO10/AP34</f>
        <v>3.1686411691542289</v>
      </c>
      <c r="AP32" s="286">
        <f>AP10/AQ34</f>
        <v>5.1487735077677845</v>
      </c>
      <c r="AQ32" s="286">
        <f>AQ10/AT34</f>
        <v>3.4807306746186968</v>
      </c>
      <c r="AR32" s="287">
        <f>AQ32</f>
        <v>3.4807306746186968</v>
      </c>
      <c r="AS32" s="23"/>
      <c r="AT32" s="286">
        <f>AT10/AU34</f>
        <v>2.7971286279646934</v>
      </c>
      <c r="AU32" s="286">
        <f>AU10/AV34</f>
        <v>3.0710063937614676</v>
      </c>
      <c r="AV32" s="286">
        <f>AV10/AW34</f>
        <v>2.5847779910329129</v>
      </c>
      <c r="AW32" s="286">
        <f>AW10/AX34</f>
        <v>3.3142307600651066</v>
      </c>
      <c r="AX32" s="286">
        <f>AX10/AY34</f>
        <v>3.0202081128011216</v>
      </c>
      <c r="AY32" s="286">
        <f>AY10/(AZ64+AZ63)</f>
        <v>3.0375411110446691</v>
      </c>
      <c r="AZ32" s="286">
        <f>AZ10/(BA64+BA63)</f>
        <v>1.7862994390436959</v>
      </c>
      <c r="BA32" s="286">
        <f>BA10/(BB64+BB63)</f>
        <v>2.3917338115287117</v>
      </c>
      <c r="BB32" s="286">
        <f>BB10/(BC64+BC63)</f>
        <v>2.0297186803388318</v>
      </c>
      <c r="BC32" s="286">
        <f>BC10/(BD64+BD63)</f>
        <v>2.9418601583113455</v>
      </c>
      <c r="BD32" s="286">
        <f>BD10/(BE64+BE63)</f>
        <v>5.3595753009100697</v>
      </c>
      <c r="BE32" s="286">
        <f>BE10/BH34</f>
        <v>2.3338657833234047</v>
      </c>
      <c r="BF32" s="52"/>
      <c r="BG32" s="27"/>
      <c r="BH32" s="418">
        <f>BH10/BI34</f>
        <v>2.4324841588586663</v>
      </c>
      <c r="BI32" s="418">
        <f>BI10/BJ34</f>
        <v>2.0694790126570033</v>
      </c>
      <c r="BJ32" s="418">
        <f>BJ10/BK34</f>
        <v>2.1548303749075362</v>
      </c>
      <c r="BK32" s="418">
        <f>BK10/BL34</f>
        <v>2.940658548141605</v>
      </c>
      <c r="BL32" s="418">
        <f>BL10/BM34</f>
        <v>2.5009495450993295</v>
      </c>
      <c r="BM32" s="418">
        <f>BM10/BN34</f>
        <v>2.0577586855214944</v>
      </c>
      <c r="BN32" s="418">
        <f>BN10/BO34</f>
        <v>2.3320530115558045</v>
      </c>
      <c r="BO32" s="419"/>
      <c r="BP32" s="419"/>
      <c r="BQ32" s="419"/>
      <c r="BR32" s="419"/>
      <c r="BS32" s="419"/>
      <c r="BT32" s="419"/>
      <c r="BU32" s="54"/>
      <c r="BV32" s="286">
        <v>0</v>
      </c>
      <c r="BW32" s="286">
        <v>0</v>
      </c>
      <c r="BX32" s="286">
        <v>0</v>
      </c>
      <c r="BY32" s="418">
        <v>0</v>
      </c>
      <c r="BZ32" s="418">
        <v>0</v>
      </c>
      <c r="CA32" s="418">
        <v>0</v>
      </c>
      <c r="CB32" s="418">
        <v>0</v>
      </c>
      <c r="CC32" s="418">
        <v>0</v>
      </c>
      <c r="CD32" s="418">
        <v>0</v>
      </c>
      <c r="CE32" s="418">
        <v>0</v>
      </c>
      <c r="CF32" s="418">
        <v>0</v>
      </c>
      <c r="CG32" s="419"/>
      <c r="CH32" s="419"/>
      <c r="CJ32" s="286">
        <v>0</v>
      </c>
      <c r="CK32" s="286">
        <v>0</v>
      </c>
      <c r="CL32" s="286">
        <v>0</v>
      </c>
      <c r="CM32" s="418">
        <v>0</v>
      </c>
      <c r="CN32" s="418">
        <v>0</v>
      </c>
      <c r="CO32" s="418">
        <v>0</v>
      </c>
      <c r="CP32" s="418">
        <v>0</v>
      </c>
      <c r="CQ32" s="418">
        <v>0</v>
      </c>
      <c r="CR32" s="418">
        <v>0</v>
      </c>
      <c r="CS32" s="418">
        <v>0</v>
      </c>
      <c r="CT32" s="418">
        <v>0</v>
      </c>
      <c r="CU32" s="419"/>
      <c r="CV32" s="419"/>
      <c r="CW32" s="758"/>
      <c r="CX32" s="877">
        <v>0</v>
      </c>
      <c r="CY32" s="877">
        <v>0</v>
      </c>
      <c r="CZ32" s="877">
        <v>0</v>
      </c>
      <c r="DA32" s="878">
        <v>0</v>
      </c>
      <c r="DB32" s="878">
        <v>0</v>
      </c>
      <c r="DC32" s="878">
        <v>0</v>
      </c>
      <c r="DD32" s="878">
        <v>0</v>
      </c>
      <c r="DE32" s="878">
        <v>0</v>
      </c>
      <c r="DF32" s="878">
        <v>0</v>
      </c>
      <c r="DG32" s="878">
        <v>0</v>
      </c>
      <c r="DH32" s="878">
        <v>0</v>
      </c>
      <c r="DI32" s="879"/>
      <c r="DJ32" s="419"/>
      <c r="DK32" s="949"/>
      <c r="DL32" s="877">
        <v>0</v>
      </c>
      <c r="DM32" s="877">
        <v>0</v>
      </c>
      <c r="DN32" s="877">
        <v>0</v>
      </c>
      <c r="DO32" s="878">
        <v>0</v>
      </c>
      <c r="DP32" s="878">
        <v>0</v>
      </c>
      <c r="DQ32" s="878">
        <v>0</v>
      </c>
      <c r="DR32" s="878">
        <v>0</v>
      </c>
      <c r="DS32" s="878">
        <v>0</v>
      </c>
      <c r="DT32" s="878">
        <v>0</v>
      </c>
      <c r="DU32" s="878">
        <v>0</v>
      </c>
      <c r="DV32" s="878">
        <v>0</v>
      </c>
      <c r="DW32" s="879"/>
      <c r="DX32" s="419"/>
    </row>
    <row r="33" spans="1:129" ht="18.75" hidden="1">
      <c r="A33" s="29"/>
      <c r="B33" s="906" t="s">
        <v>41</v>
      </c>
      <c r="C33" s="907"/>
      <c r="D33" s="274">
        <f>D10-D24</f>
        <v>270670</v>
      </c>
      <c r="E33" s="30">
        <f>E10-E24</f>
        <v>282709</v>
      </c>
      <c r="F33" s="30">
        <f>F10-F24</f>
        <v>285223</v>
      </c>
      <c r="G33" s="30">
        <f>G10-G24</f>
        <v>287349</v>
      </c>
      <c r="H33" s="30">
        <f>H10-H24</f>
        <v>313961</v>
      </c>
      <c r="I33" s="30">
        <f>I10-I24</f>
        <v>362411</v>
      </c>
      <c r="J33" s="30">
        <f>J10-J24</f>
        <v>413467</v>
      </c>
      <c r="K33" s="30">
        <f>K10-K24</f>
        <v>415958</v>
      </c>
      <c r="L33" s="30">
        <f>L10-L24</f>
        <v>416931</v>
      </c>
      <c r="M33" s="30">
        <f>M10-M24</f>
        <v>294116</v>
      </c>
      <c r="N33" s="30">
        <f>N10-N24</f>
        <v>0</v>
      </c>
      <c r="O33" s="30">
        <f>O10-O24</f>
        <v>188264</v>
      </c>
      <c r="P33" s="275"/>
      <c r="Q33" s="31"/>
      <c r="R33" s="274">
        <f>R10-R24</f>
        <v>247843</v>
      </c>
      <c r="S33" s="32">
        <f>S10-S24</f>
        <v>306756</v>
      </c>
      <c r="T33" s="32">
        <f>T10-T24</f>
        <v>277250</v>
      </c>
      <c r="U33" s="32">
        <f>U10-U24</f>
        <v>262131</v>
      </c>
      <c r="V33" s="32">
        <f>V10-V24</f>
        <v>171617</v>
      </c>
      <c r="W33" s="32">
        <f>W10-W24</f>
        <v>235875</v>
      </c>
      <c r="X33" s="32">
        <f>X10-X24</f>
        <v>354012</v>
      </c>
      <c r="Y33" s="32">
        <f>Y10-Y24</f>
        <v>355542</v>
      </c>
      <c r="Z33" s="32">
        <f>Z10-Z24</f>
        <v>349213</v>
      </c>
      <c r="AA33" s="32">
        <f>AA10-AA24</f>
        <v>269352</v>
      </c>
      <c r="AB33" s="32">
        <f>AB10-AB24</f>
        <v>170626</v>
      </c>
      <c r="AC33" s="32"/>
      <c r="AD33" s="276"/>
      <c r="AE33" s="17"/>
      <c r="AF33" s="32">
        <f>AF10-AF24</f>
        <v>246973</v>
      </c>
      <c r="AG33" s="32">
        <f>AG10-AG24</f>
        <v>281087</v>
      </c>
      <c r="AH33" s="32">
        <f>AH10-AH24</f>
        <v>386469</v>
      </c>
      <c r="AI33" s="32">
        <f>AI10-AI24</f>
        <v>379017</v>
      </c>
      <c r="AJ33" s="32">
        <f>AJ10-AJ24</f>
        <v>400777</v>
      </c>
      <c r="AK33" s="32">
        <f>AK10-AK24</f>
        <v>465623</v>
      </c>
      <c r="AL33" s="32">
        <f>AL10-AL24</f>
        <v>472149</v>
      </c>
      <c r="AM33" s="32">
        <f>AM10-AM24</f>
        <v>492339</v>
      </c>
      <c r="AN33" s="32">
        <f>AN10-AN24</f>
        <v>450428</v>
      </c>
      <c r="AO33" s="32">
        <f>AO10-AO24</f>
        <v>391441</v>
      </c>
      <c r="AP33" s="32">
        <f>AP10-AP24</f>
        <v>325482</v>
      </c>
      <c r="AQ33" s="32">
        <f>AQ10-AQ24</f>
        <v>321014</v>
      </c>
      <c r="AR33" s="32">
        <f>AQ33</f>
        <v>321014</v>
      </c>
      <c r="AS33" s="17"/>
      <c r="AT33" s="32">
        <f>AT10-AT24</f>
        <v>350303</v>
      </c>
      <c r="AU33" s="32">
        <f>AU10-AU24</f>
        <v>323931</v>
      </c>
      <c r="AV33" s="32">
        <f>AV10-AV24</f>
        <v>307980</v>
      </c>
      <c r="AW33" s="32">
        <f>AW10-AW24</f>
        <v>292777</v>
      </c>
      <c r="AX33" s="32">
        <f>AX10-AX24</f>
        <v>296754</v>
      </c>
      <c r="AY33" s="32">
        <f>AY10-AY24</f>
        <v>344037</v>
      </c>
      <c r="AZ33" s="32">
        <f>AZ10-AZ24</f>
        <v>367566</v>
      </c>
      <c r="BA33" s="32">
        <f>BA10-BA24</f>
        <v>372442</v>
      </c>
      <c r="BB33" s="32">
        <f>BB10-BB24</f>
        <v>375154</v>
      </c>
      <c r="BC33" s="32">
        <f>BC10-BC24</f>
        <v>340466</v>
      </c>
      <c r="BD33" s="32">
        <f>BD10-BD24</f>
        <v>314581</v>
      </c>
      <c r="BE33" s="32">
        <f>BE10-BE24</f>
        <v>253219</v>
      </c>
      <c r="BF33" s="32">
        <f>BE33</f>
        <v>253219</v>
      </c>
      <c r="BG33" s="17"/>
      <c r="BH33" s="32">
        <f>BH10-BH24</f>
        <v>307512</v>
      </c>
      <c r="BI33" s="32">
        <f>BI10-BI24</f>
        <v>302058</v>
      </c>
      <c r="BJ33" s="32">
        <f>BJ10-BJ24</f>
        <v>315841</v>
      </c>
      <c r="BK33" s="32">
        <f>BK10-BK24</f>
        <v>306027</v>
      </c>
      <c r="BL33" s="32">
        <f>BL10-BL24</f>
        <v>299077</v>
      </c>
      <c r="BM33" s="32">
        <f>BM10-BM24</f>
        <v>293121</v>
      </c>
      <c r="BN33" s="32">
        <f>BN10-BN24</f>
        <v>335286</v>
      </c>
      <c r="BO33" s="32">
        <f>BO10-BO24</f>
        <v>322561</v>
      </c>
      <c r="BP33" s="32">
        <f>BP10-BP24</f>
        <v>304307</v>
      </c>
      <c r="BQ33" s="32">
        <f>BQ10-BQ24</f>
        <v>280100</v>
      </c>
      <c r="BR33" s="32">
        <f>BR10-BR24</f>
        <v>215852</v>
      </c>
      <c r="BS33" s="32">
        <f>BS10-BS24</f>
        <v>188982</v>
      </c>
      <c r="BT33" s="32">
        <f>BS33</f>
        <v>188982</v>
      </c>
      <c r="BU33" s="28"/>
      <c r="BV33" s="32">
        <f>BV20-BV24-BV25</f>
        <v>146255</v>
      </c>
      <c r="BW33" s="32">
        <f>BW20-BW24-BW25</f>
        <v>155653</v>
      </c>
      <c r="BX33" s="32">
        <f>BX20-BX24-BX25</f>
        <v>86338</v>
      </c>
      <c r="BY33" s="32">
        <f>BY20-BY24-BY25</f>
        <v>106862</v>
      </c>
      <c r="BZ33" s="32">
        <f>BZ20-BZ24-BZ25</f>
        <v>112822</v>
      </c>
      <c r="CA33" s="32">
        <f>CA20-CA24-CA25</f>
        <v>149996</v>
      </c>
      <c r="CB33" s="32">
        <f>CB20-CB24-CB25</f>
        <v>145027</v>
      </c>
      <c r="CC33" s="32">
        <f>CC20-CC24-CC25</f>
        <v>102851</v>
      </c>
      <c r="CD33" s="32">
        <f>CD20-CD24-CD25</f>
        <v>116047</v>
      </c>
      <c r="CE33" s="32">
        <f>CE20-CE24-CE25</f>
        <v>86207</v>
      </c>
      <c r="CF33" s="32">
        <f>CF20-CF24-CF25</f>
        <v>109973</v>
      </c>
      <c r="CG33" s="32">
        <f>CG20-CG24-CG25</f>
        <v>94532</v>
      </c>
      <c r="CH33" s="32">
        <f>CH20-CH24-CH25</f>
        <v>94532</v>
      </c>
      <c r="CJ33" s="32">
        <f>CJ20-CJ24-CJ25</f>
        <v>78423</v>
      </c>
      <c r="CK33" s="32">
        <f>CK20-CK24-CK25</f>
        <v>78497</v>
      </c>
      <c r="CL33" s="32">
        <f>CL20-CL24-CL25</f>
        <v>75052</v>
      </c>
      <c r="CM33" s="32">
        <f>CM20-CM24-CM25</f>
        <v>121130</v>
      </c>
      <c r="CN33" s="32">
        <f>CN20-CN24-CN25</f>
        <v>175907.8879612374</v>
      </c>
      <c r="CO33" s="32">
        <f>CO20-CO24-CO25</f>
        <v>238961.73306000742</v>
      </c>
      <c r="CP33" s="32">
        <f>CP20-CP24-CP25</f>
        <v>271844.22259587242</v>
      </c>
      <c r="CQ33" s="32">
        <f>CQ20-CQ24-CQ25</f>
        <v>249838.52867182181</v>
      </c>
      <c r="CR33" s="32">
        <f>CR20-CR24-CR25</f>
        <v>201980.33782793995</v>
      </c>
      <c r="CS33" s="32">
        <f>CS20-CS24-CS25</f>
        <v>62966</v>
      </c>
      <c r="CT33" s="32">
        <f>CT20-CT24-CT25</f>
        <v>101848.14995780593</v>
      </c>
      <c r="CU33" s="32">
        <f>CU20-CU24-CU25</f>
        <v>111197.32717299581</v>
      </c>
      <c r="CV33" s="32">
        <v>116080.10690622788</v>
      </c>
      <c r="CW33" s="758"/>
      <c r="CX33" s="872">
        <v>242497</v>
      </c>
      <c r="CY33" s="872">
        <v>234422.08006563294</v>
      </c>
      <c r="CZ33" s="872">
        <v>194348.7132915963</v>
      </c>
      <c r="DA33" s="872">
        <v>223062.99421980139</v>
      </c>
      <c r="DB33" s="872">
        <v>228884.86858944659</v>
      </c>
      <c r="DC33" s="872">
        <v>240669.78918926936</v>
      </c>
      <c r="DD33" s="872">
        <v>234679.65868928705</v>
      </c>
      <c r="DE33" s="872">
        <v>197008.01236523816</v>
      </c>
      <c r="DF33" s="872">
        <v>148007.96159444697</v>
      </c>
      <c r="DG33" s="872">
        <v>111276.29521213027</v>
      </c>
      <c r="DH33" s="872">
        <v>93072.105643725808</v>
      </c>
      <c r="DI33" s="872">
        <v>116080.10690622788</v>
      </c>
      <c r="DJ33" s="32">
        <v>116080.10690622788</v>
      </c>
      <c r="DK33" s="949"/>
      <c r="DL33" s="872">
        <v>242497</v>
      </c>
      <c r="DM33" s="872">
        <v>234422.08006563294</v>
      </c>
      <c r="DN33" s="872">
        <v>194348.7132915963</v>
      </c>
      <c r="DO33" s="872">
        <v>223062.99421980139</v>
      </c>
      <c r="DP33" s="872">
        <v>228884.86858944659</v>
      </c>
      <c r="DQ33" s="872">
        <v>240669.78918926936</v>
      </c>
      <c r="DR33" s="872">
        <v>234679.65868928705</v>
      </c>
      <c r="DS33" s="872">
        <v>197008.01236523816</v>
      </c>
      <c r="DT33" s="872">
        <v>148007.96159444697</v>
      </c>
      <c r="DU33" s="872">
        <v>111276.29521213027</v>
      </c>
      <c r="DV33" s="872">
        <v>93072.105643725808</v>
      </c>
      <c r="DW33" s="872">
        <v>116080.10690622788</v>
      </c>
      <c r="DX33" s="32">
        <v>116080.10690622788</v>
      </c>
    </row>
    <row r="34" spans="1:129" s="594" customFormat="1" ht="18.75">
      <c r="A34" s="1005">
        <v>6</v>
      </c>
      <c r="B34" s="958" t="s">
        <v>49</v>
      </c>
      <c r="C34" s="959"/>
      <c r="D34" s="960">
        <f t="shared" ref="D34:P34" si="45">SUM(D38:D61)</f>
        <v>82250</v>
      </c>
      <c r="E34" s="961">
        <f t="shared" si="45"/>
        <v>117000</v>
      </c>
      <c r="F34" s="961">
        <f t="shared" si="45"/>
        <v>121750</v>
      </c>
      <c r="G34" s="961">
        <f t="shared" si="45"/>
        <v>150000</v>
      </c>
      <c r="H34" s="961">
        <f t="shared" si="45"/>
        <v>99500</v>
      </c>
      <c r="I34" s="961">
        <f t="shared" si="45"/>
        <v>102000</v>
      </c>
      <c r="J34" s="961">
        <f t="shared" si="45"/>
        <v>177632</v>
      </c>
      <c r="K34" s="961">
        <f t="shared" si="45"/>
        <v>178158</v>
      </c>
      <c r="L34" s="961">
        <f t="shared" si="45"/>
        <v>199211</v>
      </c>
      <c r="M34" s="961">
        <f t="shared" si="45"/>
        <v>229474</v>
      </c>
      <c r="N34" s="961">
        <f t="shared" si="45"/>
        <v>122368</v>
      </c>
      <c r="O34" s="961">
        <f t="shared" si="45"/>
        <v>38421</v>
      </c>
      <c r="P34" s="962">
        <f t="shared" si="45"/>
        <v>1617764</v>
      </c>
      <c r="Q34" s="963"/>
      <c r="R34" s="960">
        <f t="shared" ref="R34:AC34" si="46">R38+R62</f>
        <v>136177.33998294926</v>
      </c>
      <c r="S34" s="964">
        <f t="shared" si="46"/>
        <v>143840.32639116928</v>
      </c>
      <c r="T34" s="964">
        <f t="shared" si="46"/>
        <v>142553.77192982455</v>
      </c>
      <c r="U34" s="964">
        <f t="shared" si="46"/>
        <v>19814.899999999998</v>
      </c>
      <c r="V34" s="964">
        <f t="shared" si="46"/>
        <v>52085</v>
      </c>
      <c r="W34" s="965">
        <f t="shared" si="46"/>
        <v>70169.381950239796</v>
      </c>
      <c r="X34" s="965">
        <f t="shared" si="46"/>
        <v>144463.33333333299</v>
      </c>
      <c r="Y34" s="965">
        <f t="shared" si="46"/>
        <v>226547.08333333331</v>
      </c>
      <c r="Z34" s="965">
        <f t="shared" si="46"/>
        <v>273187.5</v>
      </c>
      <c r="AA34" s="965">
        <f t="shared" si="46"/>
        <v>172100</v>
      </c>
      <c r="AB34" s="965">
        <f t="shared" si="46"/>
        <v>37500</v>
      </c>
      <c r="AC34" s="965">
        <f t="shared" si="46"/>
        <v>0</v>
      </c>
      <c r="AD34" s="966">
        <f>SUM(R34:AC34)</f>
        <v>1418438.6369208493</v>
      </c>
      <c r="AE34" s="967"/>
      <c r="AF34" s="599">
        <f>AF38+AF62</f>
        <v>128646</v>
      </c>
      <c r="AG34" s="964">
        <f t="shared" ref="AG34:AQ34" si="47">AG38+AG62</f>
        <v>177977</v>
      </c>
      <c r="AH34" s="964">
        <f t="shared" si="47"/>
        <v>73624</v>
      </c>
      <c r="AI34" s="964">
        <f t="shared" si="47"/>
        <v>89358</v>
      </c>
      <c r="AJ34" s="964">
        <f t="shared" si="47"/>
        <v>122134</v>
      </c>
      <c r="AK34" s="964">
        <f t="shared" si="47"/>
        <v>148560</v>
      </c>
      <c r="AL34" s="964">
        <f t="shared" si="47"/>
        <v>151995</v>
      </c>
      <c r="AM34" s="964">
        <f t="shared" si="47"/>
        <v>238903</v>
      </c>
      <c r="AN34" s="964">
        <f t="shared" si="47"/>
        <v>261133.33333333334</v>
      </c>
      <c r="AO34" s="964">
        <f t="shared" si="47"/>
        <v>255900</v>
      </c>
      <c r="AP34" s="964">
        <f t="shared" si="47"/>
        <v>128640</v>
      </c>
      <c r="AQ34" s="964">
        <f t="shared" si="47"/>
        <v>97840</v>
      </c>
      <c r="AR34" s="964">
        <f>SUM(AF34:AQ34)</f>
        <v>1874710.3333333333</v>
      </c>
      <c r="AS34" s="967"/>
      <c r="AT34" s="964">
        <f t="shared" ref="AT34:BD34" si="48">AT38+AT62</f>
        <v>152749.25</v>
      </c>
      <c r="AU34" s="964">
        <f t="shared" si="48"/>
        <v>168522.10344827586</v>
      </c>
      <c r="AV34" s="964">
        <f t="shared" si="48"/>
        <v>154121.13793103449</v>
      </c>
      <c r="AW34" s="964">
        <f t="shared" si="48"/>
        <v>159595.13793103449</v>
      </c>
      <c r="AX34" s="964">
        <f t="shared" si="48"/>
        <v>120099.96551724138</v>
      </c>
      <c r="AY34" s="964">
        <f t="shared" si="48"/>
        <v>138343.77777777778</v>
      </c>
      <c r="AZ34" s="964">
        <f t="shared" si="48"/>
        <v>166673.77777777778</v>
      </c>
      <c r="BA34" s="964">
        <f t="shared" si="48"/>
        <v>242442.29629629629</v>
      </c>
      <c r="BB34" s="964">
        <f t="shared" si="48"/>
        <v>243407.77777777778</v>
      </c>
      <c r="BC34" s="964">
        <f t="shared" si="48"/>
        <v>253368.29075565783</v>
      </c>
      <c r="BD34" s="964">
        <f t="shared" si="48"/>
        <v>134555.58688147296</v>
      </c>
      <c r="BE34" s="964">
        <f>BE38+BE63</f>
        <v>72686.612965093984</v>
      </c>
      <c r="BF34" s="964">
        <f t="shared" ref="BF34:BF36" si="49">SUM(AT34:BE34)</f>
        <v>2006565.7150594404</v>
      </c>
      <c r="BG34" s="967">
        <f>BF34-AR34</f>
        <v>131855.38172610709</v>
      </c>
      <c r="BH34" s="964">
        <f>BH35+BH62</f>
        <v>152753</v>
      </c>
      <c r="BI34" s="964">
        <f t="shared" ref="BI34:BN34" si="50">BI35+BI62</f>
        <v>146822.33333333331</v>
      </c>
      <c r="BJ34" s="964">
        <f t="shared" si="50"/>
        <v>171546.07407407407</v>
      </c>
      <c r="BK34" s="964">
        <f t="shared" si="50"/>
        <v>159771.74074074073</v>
      </c>
      <c r="BL34" s="964">
        <f t="shared" si="50"/>
        <v>132496.85185185185</v>
      </c>
      <c r="BM34" s="964">
        <f t="shared" si="50"/>
        <v>129906.25925925926</v>
      </c>
      <c r="BN34" s="964">
        <f t="shared" si="50"/>
        <v>171383.55555555556</v>
      </c>
      <c r="BO34" s="964">
        <f>BO35+BO63</f>
        <v>179550.37811111109</v>
      </c>
      <c r="BP34" s="964">
        <f>BP35+BP63</f>
        <v>202053.74953703705</v>
      </c>
      <c r="BQ34" s="964">
        <f>BQ35+BQ63</f>
        <v>163865</v>
      </c>
      <c r="BR34" s="964">
        <f>BR35+BR63</f>
        <v>175620.6</v>
      </c>
      <c r="BS34" s="964">
        <v>92285.6</v>
      </c>
      <c r="BT34" s="964">
        <f t="shared" ref="BT34:BT36" si="51">SUM(BH34:BS34)</f>
        <v>1878055.142462963</v>
      </c>
      <c r="BU34" s="968"/>
      <c r="BV34" s="964">
        <f>BV38+(BV63)*$CI$34</f>
        <v>161157.867486095</v>
      </c>
      <c r="BW34" s="964">
        <f t="shared" ref="BW34:CG34" si="52">BW38+(BW63)*$CI$34</f>
        <v>155966.83045180296</v>
      </c>
      <c r="BX34" s="964">
        <f>BX38+(BX63)*$CI$34</f>
        <v>196111.53846153844</v>
      </c>
      <c r="BY34" s="964">
        <f t="shared" si="52"/>
        <v>159169.23076923078</v>
      </c>
      <c r="BZ34" s="964">
        <f>BZ38+(BZ63)*$CI$34</f>
        <v>151482.39341785663</v>
      </c>
      <c r="CA34" s="964">
        <f t="shared" si="52"/>
        <v>141442.12910096842</v>
      </c>
      <c r="CB34" s="964">
        <f>CB38+(CB63)*$CI$34</f>
        <v>176986.21444761599</v>
      </c>
      <c r="CC34" s="964">
        <f t="shared" si="52"/>
        <v>201301.08944885107</v>
      </c>
      <c r="CD34" s="964">
        <f t="shared" si="52"/>
        <v>212833.04013559342</v>
      </c>
      <c r="CE34" s="964">
        <f t="shared" si="52"/>
        <v>215922.30386211892</v>
      </c>
      <c r="CF34" s="964">
        <f>CF38+(CF63)*$CI$34</f>
        <v>171115.84223630186</v>
      </c>
      <c r="CG34" s="964">
        <f t="shared" si="52"/>
        <v>87483.816691710366</v>
      </c>
      <c r="CH34" s="964">
        <f t="shared" ref="CH34:CH35" si="53">SUM(BV34:CG34)</f>
        <v>2030972.2965096838</v>
      </c>
      <c r="CI34" s="969">
        <v>0.95</v>
      </c>
      <c r="CJ34" s="964">
        <f>CJ38+CJ72</f>
        <v>157916.36697726426</v>
      </c>
      <c r="CK34" s="964">
        <f t="shared" ref="CK34:CU34" si="54">CK38+CK72</f>
        <v>174843.65981364145</v>
      </c>
      <c r="CL34" s="964">
        <f t="shared" si="54"/>
        <v>166692.33329854641</v>
      </c>
      <c r="CM34" s="964">
        <f t="shared" si="54"/>
        <v>165624.1587774879</v>
      </c>
      <c r="CN34" s="964">
        <f>CN38+CN72</f>
        <v>167851.1120387626</v>
      </c>
      <c r="CO34" s="964">
        <f>CO38+CO72</f>
        <v>134946.15490122998</v>
      </c>
      <c r="CP34" s="964">
        <f t="shared" si="54"/>
        <v>212117.51046413503</v>
      </c>
      <c r="CQ34" s="964">
        <f t="shared" si="54"/>
        <v>229905.6939240506</v>
      </c>
      <c r="CR34" s="964">
        <f t="shared" si="54"/>
        <v>265658.19084388186</v>
      </c>
      <c r="CS34" s="964">
        <f>CS38+CS72</f>
        <v>250292.95105485231</v>
      </c>
      <c r="CT34" s="964">
        <f>CT38+CT72</f>
        <v>173363.6010970464</v>
      </c>
      <c r="CU34" s="964">
        <f>CU38+CU72</f>
        <v>96311.392405063292</v>
      </c>
      <c r="CV34" s="964">
        <f>SUM(CJ34:CU34)</f>
        <v>2195523.1255959622</v>
      </c>
      <c r="CW34" s="954"/>
      <c r="CX34" s="964">
        <v>190000</v>
      </c>
      <c r="CY34" s="964">
        <v>145000</v>
      </c>
      <c r="CZ34" s="964">
        <f>CZ38+CZ72</f>
        <v>180000</v>
      </c>
      <c r="DA34" s="964">
        <v>116000</v>
      </c>
      <c r="DB34" s="964">
        <f t="shared" ref="DA34:DJ34" si="55">DB38+DB72</f>
        <v>174950.25000000003</v>
      </c>
      <c r="DC34" s="964">
        <f t="shared" si="55"/>
        <v>130837.28000000001</v>
      </c>
      <c r="DD34" s="964">
        <f t="shared" si="55"/>
        <v>213451.28000000006</v>
      </c>
      <c r="DE34" s="964">
        <f>DE38+DE72</f>
        <v>225964.96000000002</v>
      </c>
      <c r="DF34" s="964">
        <f t="shared" si="55"/>
        <v>295683.14</v>
      </c>
      <c r="DG34" s="964">
        <f>DG38+DG72</f>
        <v>280435.06033755274</v>
      </c>
      <c r="DH34" s="964">
        <f t="shared" si="55"/>
        <v>190996.78675105487</v>
      </c>
      <c r="DI34" s="964">
        <f t="shared" si="55"/>
        <v>107612.44556962026</v>
      </c>
      <c r="DJ34" s="964">
        <f>SUM(DA34:DI34)</f>
        <v>1735931.2026582281</v>
      </c>
      <c r="DK34" s="949"/>
      <c r="DL34" s="957">
        <f>DL38+DL72</f>
        <v>216120.00000000003</v>
      </c>
      <c r="DM34" s="957">
        <f>DM38+DM72</f>
        <v>161330</v>
      </c>
      <c r="DN34" s="957">
        <f t="shared" ref="DN34:DW34" si="56">DN38+DN72</f>
        <v>196320</v>
      </c>
      <c r="DO34" s="957">
        <f t="shared" si="56"/>
        <v>193062.04300000006</v>
      </c>
      <c r="DP34" s="957">
        <f t="shared" si="56"/>
        <v>190236.13100000002</v>
      </c>
      <c r="DQ34" s="957">
        <f t="shared" si="56"/>
        <v>141711.86400000003</v>
      </c>
      <c r="DR34" s="957">
        <f t="shared" si="56"/>
        <v>232660.95020000008</v>
      </c>
      <c r="DS34" s="957">
        <f t="shared" si="56"/>
        <v>246421.09540000002</v>
      </c>
      <c r="DT34" s="957">
        <f t="shared" si="56"/>
        <v>323088.95870000008</v>
      </c>
      <c r="DU34" s="957">
        <f t="shared" si="56"/>
        <v>306204.53237130807</v>
      </c>
      <c r="DV34" s="957">
        <f t="shared" si="56"/>
        <v>207350.46482616037</v>
      </c>
      <c r="DW34" s="957">
        <f t="shared" si="56"/>
        <v>115223.69012658228</v>
      </c>
      <c r="DX34" s="730">
        <f>SUM(DL34:DW34)</f>
        <v>2529729.7296240516</v>
      </c>
      <c r="DY34" s="1006">
        <f>DX34-DJ34</f>
        <v>793798.52696582349</v>
      </c>
    </row>
    <row r="35" spans="1:129" ht="18.75" hidden="1">
      <c r="A35" s="61"/>
      <c r="B35" s="914" t="s">
        <v>51</v>
      </c>
      <c r="C35" s="915"/>
      <c r="D35" s="294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295"/>
      <c r="Q35" s="64"/>
      <c r="R35" s="294"/>
      <c r="S35" s="65"/>
      <c r="T35" s="65"/>
      <c r="U35" s="65"/>
      <c r="V35" s="296"/>
      <c r="W35" s="297"/>
      <c r="X35" s="297"/>
      <c r="Y35" s="297"/>
      <c r="Z35" s="297"/>
      <c r="AA35" s="297"/>
      <c r="AB35" s="297"/>
      <c r="AC35" s="66"/>
      <c r="AD35" s="67"/>
      <c r="AE35" s="68"/>
      <c r="AF35" s="298"/>
      <c r="AG35" s="65"/>
      <c r="AH35" s="65"/>
      <c r="AI35" s="65"/>
      <c r="AJ35" s="296"/>
      <c r="AK35" s="296"/>
      <c r="AL35" s="296"/>
      <c r="AM35" s="296"/>
      <c r="AN35" s="65"/>
      <c r="AO35" s="65"/>
      <c r="AP35" s="65"/>
      <c r="AQ35" s="65"/>
      <c r="AR35" s="299"/>
      <c r="AS35" s="68"/>
      <c r="AT35" s="65"/>
      <c r="AU35" s="65"/>
      <c r="AV35" s="65"/>
      <c r="AW35" s="65"/>
      <c r="AX35" s="65"/>
      <c r="AY35" s="69">
        <f t="shared" ref="AY35:BA35" si="57">AY38+AY63</f>
        <v>119777.77777777778</v>
      </c>
      <c r="AZ35" s="69">
        <f t="shared" si="57"/>
        <v>150777.77777777778</v>
      </c>
      <c r="BA35" s="69">
        <f t="shared" si="57"/>
        <v>233098.4962962963</v>
      </c>
      <c r="BB35" s="69">
        <f>BB36/BB37</f>
        <v>210777.77777777778</v>
      </c>
      <c r="BC35" s="69">
        <f>BC38+BC63</f>
        <v>249806.29075565783</v>
      </c>
      <c r="BD35" s="69">
        <f t="shared" ref="BD35:BE35" si="58">BD38+BD63*0.85</f>
        <v>122960.58688147296</v>
      </c>
      <c r="BE35" s="69">
        <f t="shared" si="58"/>
        <v>66386.612965093984</v>
      </c>
      <c r="BF35" s="69">
        <f t="shared" si="49"/>
        <v>1153585.3202318544</v>
      </c>
      <c r="BG35" s="68"/>
      <c r="BH35" s="69">
        <f>BH36/BH37-0.1*BH36/BH37</f>
        <v>116600</v>
      </c>
      <c r="BI35" s="69">
        <f t="shared" ref="BI35" si="59">BI36/BI37-0.1*BI36/BI37</f>
        <v>111533.33333333333</v>
      </c>
      <c r="BJ35" s="69">
        <f t="shared" ref="BJ35:BP35" si="60">BJ36/BJ37-0.05*BJ36/BJ37</f>
        <v>135674.07407407407</v>
      </c>
      <c r="BK35" s="69">
        <f t="shared" si="60"/>
        <v>121740.74074074074</v>
      </c>
      <c r="BL35" s="69">
        <f t="shared" si="60"/>
        <v>93926.851851851854</v>
      </c>
      <c r="BM35" s="69">
        <f t="shared" si="60"/>
        <v>90679.259259259255</v>
      </c>
      <c r="BN35" s="69">
        <f t="shared" si="60"/>
        <v>130255.55555555556</v>
      </c>
      <c r="BO35" s="69">
        <f t="shared" si="60"/>
        <v>150550.37811111109</v>
      </c>
      <c r="BP35" s="69">
        <f t="shared" si="60"/>
        <v>161830.74953703705</v>
      </c>
      <c r="BQ35" s="69">
        <v>127130</v>
      </c>
      <c r="BR35" s="69">
        <v>138687.6</v>
      </c>
      <c r="BS35" s="69">
        <v>43639.199999999997</v>
      </c>
      <c r="BT35" s="69">
        <f t="shared" si="51"/>
        <v>1422247.7424629631</v>
      </c>
      <c r="BU35" s="54"/>
      <c r="BV35" s="69">
        <f>BV38+BV62</f>
        <v>166555.77995873816</v>
      </c>
      <c r="BW35" s="69">
        <f>BW38+BW62</f>
        <v>152835.36924465047</v>
      </c>
      <c r="BX35" s="69">
        <f t="shared" ref="BX35:CG35" si="61">BX38+BX62</f>
        <v>195319.2072937729</v>
      </c>
      <c r="BY35" s="69">
        <f t="shared" si="61"/>
        <v>158396.18906207831</v>
      </c>
      <c r="BZ35" s="69">
        <f t="shared" si="61"/>
        <v>152371.51475009107</v>
      </c>
      <c r="CA35" s="69">
        <f t="shared" si="61"/>
        <v>147696.01107361159</v>
      </c>
      <c r="CB35" s="69">
        <f t="shared" si="61"/>
        <v>189465.0513586243</v>
      </c>
      <c r="CC35" s="69">
        <f t="shared" si="61"/>
        <v>202914.10079748323</v>
      </c>
      <c r="CD35" s="69">
        <f t="shared" si="61"/>
        <v>214499.61628422557</v>
      </c>
      <c r="CE35" s="69">
        <f t="shared" si="61"/>
        <v>217682.99793575107</v>
      </c>
      <c r="CF35" s="69">
        <f t="shared" si="61"/>
        <v>179284.72030485788</v>
      </c>
      <c r="CG35" s="69">
        <f t="shared" si="61"/>
        <v>88389.319383536102</v>
      </c>
      <c r="CH35" s="69">
        <f t="shared" si="53"/>
        <v>2065409.8774474205</v>
      </c>
      <c r="CI35" s="395">
        <f>(CH35-BT69)/BT69</f>
        <v>0.48621753003500767</v>
      </c>
      <c r="CJ35" s="69"/>
      <c r="CK35" s="69"/>
      <c r="CL35" s="69"/>
      <c r="CM35" s="69"/>
      <c r="CN35" s="69"/>
      <c r="CO35" s="69"/>
      <c r="CP35" s="69"/>
      <c r="CQ35" s="69"/>
      <c r="CR35" s="69"/>
      <c r="CS35" s="69"/>
      <c r="CT35" s="69"/>
      <c r="CU35" s="69"/>
      <c r="CV35" s="69"/>
      <c r="CW35" s="758"/>
      <c r="CX35" s="881">
        <v>166555.77995873816</v>
      </c>
      <c r="CY35" s="881">
        <v>152835.36924465047</v>
      </c>
      <c r="CZ35" s="881">
        <v>195319.2072937729</v>
      </c>
      <c r="DA35" s="881">
        <v>158396.18906207831</v>
      </c>
      <c r="DB35" s="881">
        <v>152371.51475009107</v>
      </c>
      <c r="DC35" s="881">
        <v>147696.01107361159</v>
      </c>
      <c r="DD35" s="881">
        <v>189465.0513586243</v>
      </c>
      <c r="DE35" s="881">
        <v>202914.10079748323</v>
      </c>
      <c r="DF35" s="881">
        <v>214499.61628422557</v>
      </c>
      <c r="DG35" s="881">
        <v>217682.99793575107</v>
      </c>
      <c r="DH35" s="881">
        <v>179284.72030485788</v>
      </c>
      <c r="DI35" s="881">
        <v>88389.319383536102</v>
      </c>
      <c r="DJ35" s="69">
        <v>2065409.8774474205</v>
      </c>
      <c r="DK35" s="949"/>
      <c r="DL35" s="881">
        <f>DL110*1.1</f>
        <v>183211.357954612</v>
      </c>
      <c r="DM35" s="881">
        <f t="shared" ref="DM35:DX35" si="62">DM110*1.1</f>
        <v>168118.90616911554</v>
      </c>
      <c r="DN35" s="881">
        <f t="shared" si="62"/>
        <v>214851.1280231502</v>
      </c>
      <c r="DO35" s="881">
        <f t="shared" si="62"/>
        <v>174235.80796828616</v>
      </c>
      <c r="DP35" s="881">
        <f t="shared" si="62"/>
        <v>167608.6662251002</v>
      </c>
      <c r="DQ35" s="881">
        <f t="shared" si="62"/>
        <v>162465.61218097276</v>
      </c>
      <c r="DR35" s="881">
        <f t="shared" si="62"/>
        <v>208411.55649448675</v>
      </c>
      <c r="DS35" s="881">
        <f t="shared" si="62"/>
        <v>223205.51087723157</v>
      </c>
      <c r="DT35" s="881">
        <f t="shared" si="62"/>
        <v>235949.57791264815</v>
      </c>
      <c r="DU35" s="881">
        <f t="shared" si="62"/>
        <v>239451.29772932621</v>
      </c>
      <c r="DV35" s="881">
        <f t="shared" si="62"/>
        <v>197213.19233534369</v>
      </c>
      <c r="DW35" s="881">
        <f t="shared" si="62"/>
        <v>97228.251321889722</v>
      </c>
      <c r="DX35" s="881">
        <f t="shared" si="62"/>
        <v>2271950.8651921628</v>
      </c>
    </row>
    <row r="36" spans="1:129" ht="18.75" hidden="1">
      <c r="A36" s="61"/>
      <c r="B36" s="914" t="s">
        <v>52</v>
      </c>
      <c r="C36" s="915"/>
      <c r="D36" s="294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295"/>
      <c r="Q36" s="64"/>
      <c r="R36" s="294"/>
      <c r="S36" s="65"/>
      <c r="T36" s="65"/>
      <c r="U36" s="65"/>
      <c r="V36" s="296"/>
      <c r="W36" s="297"/>
      <c r="X36" s="297"/>
      <c r="Y36" s="297"/>
      <c r="Z36" s="297"/>
      <c r="AA36" s="297"/>
      <c r="AB36" s="297"/>
      <c r="AC36" s="66"/>
      <c r="AD36" s="67"/>
      <c r="AE36" s="68"/>
      <c r="AF36" s="298"/>
      <c r="AG36" s="65"/>
      <c r="AH36" s="65" t="s">
        <v>53</v>
      </c>
      <c r="AI36" s="65"/>
      <c r="AJ36" s="296"/>
      <c r="AK36" s="296"/>
      <c r="AL36" s="296"/>
      <c r="AM36" s="296"/>
      <c r="AN36" s="65">
        <v>6715000</v>
      </c>
      <c r="AO36" s="65">
        <v>6555000</v>
      </c>
      <c r="AP36" s="65">
        <v>2640000</v>
      </c>
      <c r="AQ36" s="65">
        <v>1302000</v>
      </c>
      <c r="AR36" s="299"/>
      <c r="AS36" s="68"/>
      <c r="AT36" s="65">
        <v>3264695</v>
      </c>
      <c r="AU36" s="65">
        <v>3863760</v>
      </c>
      <c r="AV36" s="65">
        <v>3429225</v>
      </c>
      <c r="AW36" s="65">
        <v>3525360</v>
      </c>
      <c r="AX36" s="65">
        <v>2509485</v>
      </c>
      <c r="AY36" s="65">
        <v>2829000</v>
      </c>
      <c r="AZ36" s="65">
        <v>3666000</v>
      </c>
      <c r="BA36" s="65">
        <v>5705000</v>
      </c>
      <c r="BB36" s="65">
        <v>5691000</v>
      </c>
      <c r="BC36" s="65">
        <v>5600000</v>
      </c>
      <c r="BD36" s="65">
        <v>2430000</v>
      </c>
      <c r="BE36" s="65">
        <v>800000</v>
      </c>
      <c r="BF36" s="69">
        <f t="shared" si="49"/>
        <v>43313525</v>
      </c>
      <c r="BG36" s="68"/>
      <c r="BH36" s="70">
        <v>3498000</v>
      </c>
      <c r="BI36" s="70">
        <v>3346000</v>
      </c>
      <c r="BJ36" s="70">
        <v>3856000</v>
      </c>
      <c r="BK36" s="70">
        <v>3460000</v>
      </c>
      <c r="BL36" s="70">
        <v>2669500</v>
      </c>
      <c r="BM36" s="70">
        <v>2577200</v>
      </c>
      <c r="BN36" s="70">
        <v>3702000</v>
      </c>
      <c r="BO36" s="70">
        <v>4278800.22</v>
      </c>
      <c r="BP36" s="70">
        <v>4599400.25</v>
      </c>
      <c r="BQ36" s="70">
        <f>BQ35*BQ37</f>
        <v>3432510</v>
      </c>
      <c r="BR36" s="70">
        <v>2954493.21</v>
      </c>
      <c r="BS36" s="70">
        <v>984831.07</v>
      </c>
      <c r="BT36" s="65">
        <f t="shared" si="51"/>
        <v>39358734.75</v>
      </c>
      <c r="BU36" s="54"/>
      <c r="BV36" s="70">
        <f>BV37*BV38</f>
        <v>3399704.5546384701</v>
      </c>
      <c r="BW36" s="70">
        <f t="shared" ref="BW36:CG36" si="63">BW37*BW38</f>
        <v>3264737.5917468769</v>
      </c>
      <c r="BX36" s="70">
        <f t="shared" si="63"/>
        <v>4184999.9999999995</v>
      </c>
      <c r="BY36" s="70">
        <f t="shared" si="63"/>
        <v>3348000.0000000005</v>
      </c>
      <c r="BZ36" s="70">
        <f t="shared" si="63"/>
        <v>3074042.2288642721</v>
      </c>
      <c r="CA36" s="70">
        <f t="shared" si="63"/>
        <v>2812995.3566251793</v>
      </c>
      <c r="CB36" s="70">
        <f t="shared" si="63"/>
        <v>3737141.5756380158</v>
      </c>
      <c r="CC36" s="70">
        <f t="shared" si="63"/>
        <v>4437000.7194458414</v>
      </c>
      <c r="CD36" s="70">
        <f t="shared" si="63"/>
        <v>4710370.4261011425</v>
      </c>
      <c r="CE36" s="70">
        <f t="shared" si="63"/>
        <v>4744197.0280408058</v>
      </c>
      <c r="CF36" s="70">
        <f t="shared" si="63"/>
        <v>3461011.8981438484</v>
      </c>
      <c r="CG36" s="70">
        <f t="shared" si="63"/>
        <v>792579.23398446955</v>
      </c>
      <c r="CH36" s="65">
        <f>SUM(BV36:CG36)</f>
        <v>41966780.613228925</v>
      </c>
      <c r="CJ36" s="70">
        <v>3470304</v>
      </c>
      <c r="CK36" s="70">
        <v>4047936</v>
      </c>
      <c r="CL36" s="70">
        <v>3793200</v>
      </c>
      <c r="CM36" s="70">
        <v>3664392</v>
      </c>
      <c r="CN36" s="70">
        <v>3656712</v>
      </c>
      <c r="CO36" s="70">
        <v>2773872</v>
      </c>
      <c r="CP36" s="70">
        <v>5165016</v>
      </c>
      <c r="CQ36" s="70">
        <v>5668920</v>
      </c>
      <c r="CR36" s="70">
        <v>6676728</v>
      </c>
      <c r="CS36" s="70">
        <v>6194424</v>
      </c>
      <c r="CT36" s="70">
        <v>3814800</v>
      </c>
      <c r="CU36" s="70">
        <v>1459296</v>
      </c>
      <c r="CV36" s="70">
        <f>SUM(CJ36:CU36)</f>
        <v>50385600</v>
      </c>
      <c r="CW36" s="758"/>
      <c r="CX36" s="882">
        <v>3399704.5546384701</v>
      </c>
      <c r="CY36" s="882">
        <v>3264737.5917468769</v>
      </c>
      <c r="CZ36" s="882">
        <v>4184999.9999999995</v>
      </c>
      <c r="DA36" s="882">
        <v>3348000.0000000005</v>
      </c>
      <c r="DB36" s="882">
        <v>3074042.2288642721</v>
      </c>
      <c r="DC36" s="882">
        <v>2812995.3566251793</v>
      </c>
      <c r="DD36" s="882">
        <v>3737141.5756380158</v>
      </c>
      <c r="DE36" s="882">
        <v>4437000.7194458414</v>
      </c>
      <c r="DF36" s="882">
        <v>4710370.4261011425</v>
      </c>
      <c r="DG36" s="882">
        <v>4744197.0280408058</v>
      </c>
      <c r="DH36" s="882">
        <v>3461011.8981438484</v>
      </c>
      <c r="DI36" s="882">
        <v>792579.23398446955</v>
      </c>
      <c r="DJ36" s="70">
        <v>41966780.613228925</v>
      </c>
      <c r="DK36" s="949"/>
      <c r="DL36" s="882">
        <v>3399704.5546384701</v>
      </c>
      <c r="DM36" s="882">
        <v>3264737.5917468769</v>
      </c>
      <c r="DN36" s="882">
        <v>4184999.9999999995</v>
      </c>
      <c r="DO36" s="882">
        <v>3348000.0000000005</v>
      </c>
      <c r="DP36" s="882">
        <v>3074042.2288642721</v>
      </c>
      <c r="DQ36" s="882">
        <v>2812995.3566251793</v>
      </c>
      <c r="DR36" s="882">
        <v>3737141.5756380158</v>
      </c>
      <c r="DS36" s="882">
        <v>4437000.7194458414</v>
      </c>
      <c r="DT36" s="882">
        <v>4710370.4261011425</v>
      </c>
      <c r="DU36" s="882">
        <v>4744197.0280408058</v>
      </c>
      <c r="DV36" s="882">
        <v>3461011.8981438484</v>
      </c>
      <c r="DW36" s="882">
        <v>792579.23398446955</v>
      </c>
      <c r="DX36" s="65">
        <v>41966780.613228925</v>
      </c>
    </row>
    <row r="37" spans="1:129" ht="18.75" hidden="1">
      <c r="A37" s="71"/>
      <c r="B37" s="916" t="s">
        <v>54</v>
      </c>
      <c r="C37" s="917"/>
      <c r="D37" s="301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302"/>
      <c r="Q37" s="74"/>
      <c r="R37" s="301"/>
      <c r="S37" s="69"/>
      <c r="T37" s="69"/>
      <c r="U37" s="69"/>
      <c r="V37" s="303"/>
      <c r="W37" s="304"/>
      <c r="X37" s="304"/>
      <c r="Y37" s="304"/>
      <c r="Z37" s="304"/>
      <c r="AA37" s="304"/>
      <c r="AB37" s="304"/>
      <c r="AC37" s="75"/>
      <c r="AD37" s="76"/>
      <c r="AE37" s="77"/>
      <c r="AF37" s="305"/>
      <c r="AG37" s="69"/>
      <c r="AH37" s="69"/>
      <c r="AI37" s="69"/>
      <c r="AJ37" s="303"/>
      <c r="AK37" s="303"/>
      <c r="AL37" s="303"/>
      <c r="AM37" s="303"/>
      <c r="AN37" s="69">
        <f t="shared" ref="AN37:AQ37" si="64">30</f>
        <v>30</v>
      </c>
      <c r="AO37" s="69">
        <f t="shared" si="64"/>
        <v>30</v>
      </c>
      <c r="AP37" s="69">
        <f t="shared" si="64"/>
        <v>30</v>
      </c>
      <c r="AQ37" s="69">
        <f t="shared" si="64"/>
        <v>30</v>
      </c>
      <c r="AR37" s="306"/>
      <c r="AS37" s="77"/>
      <c r="AT37" s="69">
        <v>28</v>
      </c>
      <c r="AU37" s="69">
        <v>29</v>
      </c>
      <c r="AV37" s="69">
        <v>29</v>
      </c>
      <c r="AW37" s="69">
        <v>29</v>
      </c>
      <c r="AX37" s="69">
        <v>29</v>
      </c>
      <c r="AY37" s="69">
        <v>27</v>
      </c>
      <c r="AZ37" s="69">
        <v>27</v>
      </c>
      <c r="BA37" s="69">
        <v>27</v>
      </c>
      <c r="BB37" s="69">
        <v>27</v>
      </c>
      <c r="BC37" s="69">
        <v>26.07</v>
      </c>
      <c r="BD37" s="69">
        <v>26.07</v>
      </c>
      <c r="BE37" s="69">
        <v>26.07</v>
      </c>
      <c r="BF37" s="305"/>
      <c r="BG37" s="78"/>
      <c r="BH37" s="69">
        <v>27</v>
      </c>
      <c r="BI37" s="69">
        <v>27</v>
      </c>
      <c r="BJ37" s="69">
        <v>27</v>
      </c>
      <c r="BK37" s="69">
        <v>27</v>
      </c>
      <c r="BL37" s="69">
        <v>27</v>
      </c>
      <c r="BM37" s="69">
        <v>27</v>
      </c>
      <c r="BN37" s="69">
        <v>27</v>
      </c>
      <c r="BO37" s="69">
        <v>27</v>
      </c>
      <c r="BP37" s="69">
        <v>27</v>
      </c>
      <c r="BQ37" s="69">
        <v>27</v>
      </c>
      <c r="BR37" s="69">
        <v>27</v>
      </c>
      <c r="BS37" s="69">
        <v>27</v>
      </c>
      <c r="BT37" s="69"/>
      <c r="BU37" s="54"/>
      <c r="BV37" s="69">
        <v>26</v>
      </c>
      <c r="BW37" s="69">
        <v>26</v>
      </c>
      <c r="BX37" s="69">
        <v>26</v>
      </c>
      <c r="BY37" s="69">
        <v>26</v>
      </c>
      <c r="BZ37" s="69">
        <v>26</v>
      </c>
      <c r="CA37" s="69">
        <v>26</v>
      </c>
      <c r="CB37" s="69">
        <v>26</v>
      </c>
      <c r="CC37" s="69">
        <v>26</v>
      </c>
      <c r="CD37" s="69">
        <v>26</v>
      </c>
      <c r="CE37" s="69">
        <v>26</v>
      </c>
      <c r="CF37" s="69">
        <v>26</v>
      </c>
      <c r="CG37" s="69">
        <v>26</v>
      </c>
      <c r="CH37" s="69"/>
      <c r="CJ37" s="751">
        <v>26.83</v>
      </c>
      <c r="CK37" s="751">
        <f>CJ37</f>
        <v>26.83</v>
      </c>
      <c r="CL37" s="751">
        <f t="shared" ref="CL37:CV37" si="65">CK37</f>
        <v>26.83</v>
      </c>
      <c r="CM37" s="751">
        <f t="shared" si="65"/>
        <v>26.83</v>
      </c>
      <c r="CN37" s="751">
        <f t="shared" si="65"/>
        <v>26.83</v>
      </c>
      <c r="CO37" s="751">
        <f t="shared" si="65"/>
        <v>26.83</v>
      </c>
      <c r="CP37" s="751">
        <v>28.44</v>
      </c>
      <c r="CQ37" s="751">
        <f t="shared" si="65"/>
        <v>28.44</v>
      </c>
      <c r="CR37" s="751">
        <f t="shared" si="65"/>
        <v>28.44</v>
      </c>
      <c r="CS37" s="751">
        <f t="shared" si="65"/>
        <v>28.44</v>
      </c>
      <c r="CT37" s="751">
        <f t="shared" si="65"/>
        <v>28.44</v>
      </c>
      <c r="CU37" s="751">
        <f t="shared" si="65"/>
        <v>28.44</v>
      </c>
      <c r="CV37" s="69">
        <f t="shared" si="65"/>
        <v>28.44</v>
      </c>
      <c r="CW37" s="758"/>
      <c r="CX37" s="881">
        <v>26</v>
      </c>
      <c r="CY37" s="881">
        <v>26</v>
      </c>
      <c r="CZ37" s="881">
        <v>26</v>
      </c>
      <c r="DA37" s="881">
        <v>26</v>
      </c>
      <c r="DB37" s="881">
        <v>26</v>
      </c>
      <c r="DC37" s="881">
        <v>26</v>
      </c>
      <c r="DD37" s="881">
        <v>26</v>
      </c>
      <c r="DE37" s="881">
        <v>26</v>
      </c>
      <c r="DF37" s="881">
        <v>26</v>
      </c>
      <c r="DG37" s="881">
        <v>26</v>
      </c>
      <c r="DH37" s="881">
        <v>26</v>
      </c>
      <c r="DI37" s="881">
        <v>26</v>
      </c>
      <c r="DJ37" s="69"/>
      <c r="DK37" s="949"/>
      <c r="DL37" s="881">
        <v>26</v>
      </c>
      <c r="DM37" s="881">
        <v>26</v>
      </c>
      <c r="DN37" s="881">
        <v>26</v>
      </c>
      <c r="DO37" s="881">
        <v>26</v>
      </c>
      <c r="DP37" s="881">
        <v>26</v>
      </c>
      <c r="DQ37" s="881">
        <v>26</v>
      </c>
      <c r="DR37" s="881">
        <v>26</v>
      </c>
      <c r="DS37" s="881">
        <v>26</v>
      </c>
      <c r="DT37" s="881">
        <v>26</v>
      </c>
      <c r="DU37" s="881">
        <v>26</v>
      </c>
      <c r="DV37" s="881">
        <v>26</v>
      </c>
      <c r="DW37" s="881">
        <v>26</v>
      </c>
      <c r="DX37" s="69"/>
    </row>
    <row r="38" spans="1:129" ht="18.75" hidden="1">
      <c r="A38" s="79"/>
      <c r="B38" s="80" t="s">
        <v>121</v>
      </c>
      <c r="C38" s="81"/>
      <c r="D38" s="288">
        <v>82250</v>
      </c>
      <c r="E38" s="57">
        <v>117000</v>
      </c>
      <c r="F38" s="57">
        <v>121750</v>
      </c>
      <c r="G38" s="57">
        <v>150000</v>
      </c>
      <c r="H38" s="57">
        <v>99500</v>
      </c>
      <c r="I38" s="57">
        <v>102000</v>
      </c>
      <c r="J38" s="57">
        <v>177632</v>
      </c>
      <c r="K38" s="57">
        <v>178158</v>
      </c>
      <c r="L38" s="57">
        <v>199211</v>
      </c>
      <c r="M38" s="57">
        <v>229474</v>
      </c>
      <c r="N38" s="57">
        <v>122368</v>
      </c>
      <c r="O38" s="57">
        <v>38421</v>
      </c>
      <c r="P38" s="289">
        <f>SUM(D38:O38)</f>
        <v>1617764</v>
      </c>
      <c r="Q38" s="39"/>
      <c r="R38" s="288">
        <v>115619.79612330014</v>
      </c>
      <c r="S38" s="58">
        <v>123327.78253152016</v>
      </c>
      <c r="T38" s="58">
        <v>128854</v>
      </c>
      <c r="U38" s="58">
        <f>126016*0.15</f>
        <v>18902.399999999998</v>
      </c>
      <c r="V38" s="58">
        <v>35234</v>
      </c>
      <c r="W38" s="290">
        <v>56469.381950239796</v>
      </c>
      <c r="X38" s="290">
        <v>118413.33333333299</v>
      </c>
      <c r="Y38" s="290">
        <v>198797.08333333331</v>
      </c>
      <c r="Z38" s="290">
        <v>242087.5</v>
      </c>
      <c r="AA38" s="290">
        <v>140000</v>
      </c>
      <c r="AB38" s="290">
        <v>0</v>
      </c>
      <c r="AC38" s="290">
        <v>-45300</v>
      </c>
      <c r="AD38" s="291">
        <f>SUM(R38:AC38)</f>
        <v>1132405.2772717264</v>
      </c>
      <c r="AE38" s="59"/>
      <c r="AF38" s="292">
        <v>90146</v>
      </c>
      <c r="AG38" s="58">
        <v>155577</v>
      </c>
      <c r="AH38" s="58">
        <v>62953</v>
      </c>
      <c r="AI38" s="58">
        <v>73261</v>
      </c>
      <c r="AJ38" s="58">
        <v>91856</v>
      </c>
      <c r="AK38" s="58">
        <v>120000</v>
      </c>
      <c r="AL38" s="58">
        <v>110295</v>
      </c>
      <c r="AM38" s="58">
        <v>200203</v>
      </c>
      <c r="AN38" s="58">
        <f t="shared" ref="AN38:AQ38" si="66">AN36/AN37</f>
        <v>223833.33333333334</v>
      </c>
      <c r="AO38" s="58">
        <f t="shared" si="66"/>
        <v>218500</v>
      </c>
      <c r="AP38" s="58">
        <f t="shared" si="66"/>
        <v>88000</v>
      </c>
      <c r="AQ38" s="58">
        <f t="shared" si="66"/>
        <v>43400</v>
      </c>
      <c r="AR38" s="58">
        <f>SUM(AF38:AQ38)</f>
        <v>1478024.3333333333</v>
      </c>
      <c r="AS38" s="59"/>
      <c r="AT38" s="58">
        <f t="shared" ref="AT38:BE38" si="67">AT36/AT37</f>
        <v>116596.25</v>
      </c>
      <c r="AU38" s="58">
        <f t="shared" si="67"/>
        <v>133233.10344827586</v>
      </c>
      <c r="AV38" s="58">
        <f t="shared" si="67"/>
        <v>118249.13793103448</v>
      </c>
      <c r="AW38" s="58">
        <f t="shared" si="67"/>
        <v>121564.13793103448</v>
      </c>
      <c r="AX38" s="58">
        <f t="shared" si="67"/>
        <v>86533.965517241377</v>
      </c>
      <c r="AY38" s="58">
        <f t="shared" si="67"/>
        <v>104777.77777777778</v>
      </c>
      <c r="AZ38" s="58">
        <f t="shared" si="67"/>
        <v>135777.77777777778</v>
      </c>
      <c r="BA38" s="58">
        <f t="shared" si="67"/>
        <v>211296.29629629629</v>
      </c>
      <c r="BB38" s="58">
        <f t="shared" si="67"/>
        <v>210777.77777777778</v>
      </c>
      <c r="BC38" s="58">
        <f t="shared" si="67"/>
        <v>214806.29075565783</v>
      </c>
      <c r="BD38" s="58">
        <f t="shared" si="67"/>
        <v>93210.586881472962</v>
      </c>
      <c r="BE38" s="58">
        <f t="shared" si="67"/>
        <v>30686.612965093977</v>
      </c>
      <c r="BF38" s="58">
        <f>SUM(AT38:BE38)</f>
        <v>1577509.7150594404</v>
      </c>
      <c r="BG38" s="59">
        <f>BF38-AR38</f>
        <v>99485.381726107094</v>
      </c>
      <c r="BH38" s="58">
        <f>BH35</f>
        <v>116600</v>
      </c>
      <c r="BI38" s="58">
        <f t="shared" ref="BI38:BT38" si="68">BI35</f>
        <v>111533.33333333333</v>
      </c>
      <c r="BJ38" s="58">
        <f t="shared" si="68"/>
        <v>135674.07407407407</v>
      </c>
      <c r="BK38" s="58">
        <f t="shared" si="68"/>
        <v>121740.74074074074</v>
      </c>
      <c r="BL38" s="58">
        <f t="shared" si="68"/>
        <v>93926.851851851854</v>
      </c>
      <c r="BM38" s="58">
        <f t="shared" si="68"/>
        <v>90679.259259259255</v>
      </c>
      <c r="BN38" s="58">
        <f t="shared" si="68"/>
        <v>130255.55555555556</v>
      </c>
      <c r="BO38" s="58">
        <f t="shared" si="68"/>
        <v>150550.37811111109</v>
      </c>
      <c r="BP38" s="58">
        <f t="shared" si="68"/>
        <v>161830.74953703705</v>
      </c>
      <c r="BQ38" s="58">
        <f t="shared" si="68"/>
        <v>127130</v>
      </c>
      <c r="BR38" s="58">
        <f>BR35</f>
        <v>138687.6</v>
      </c>
      <c r="BS38" s="58">
        <f t="shared" si="68"/>
        <v>43639.199999999997</v>
      </c>
      <c r="BT38" s="58">
        <f t="shared" si="68"/>
        <v>1422247.7424629631</v>
      </c>
      <c r="BU38" s="60"/>
      <c r="BV38" s="58">
        <f>'META  EM PEÇAS'!S73</f>
        <v>130757.867486095</v>
      </c>
      <c r="BW38" s="58">
        <f>'META  EM PEÇAS'!T73</f>
        <v>125566.83045180296</v>
      </c>
      <c r="BX38" s="58">
        <f>'META  EM PEÇAS'!U73</f>
        <v>160961.53846153844</v>
      </c>
      <c r="BY38" s="58">
        <f>'META  EM PEÇAS'!V73</f>
        <v>128769.23076923078</v>
      </c>
      <c r="BZ38" s="58">
        <f>'META  EM PEÇAS'!W73</f>
        <v>118232.39341785663</v>
      </c>
      <c r="CA38" s="58">
        <f>'META  EM PEÇAS'!X73</f>
        <v>108192.12910096844</v>
      </c>
      <c r="CB38" s="58">
        <f>'META  EM PEÇAS'!Y73</f>
        <v>143736.21444761599</v>
      </c>
      <c r="CC38" s="58">
        <f>'META  EM PEÇAS'!Z73</f>
        <v>170653.87382484006</v>
      </c>
      <c r="CD38" s="58">
        <f>'META  EM PEÇAS'!AA73</f>
        <v>181168.0933115824</v>
      </c>
      <c r="CE38" s="58">
        <f>'META  EM PEÇAS'!AB73</f>
        <v>182469.1164631079</v>
      </c>
      <c r="CF38" s="58">
        <f>'META  EM PEÇAS'!AC73</f>
        <v>133115.84223630186</v>
      </c>
      <c r="CG38" s="58">
        <f>'META  EM PEÇAS'!AD73</f>
        <v>30483.816691710366</v>
      </c>
      <c r="CH38" s="58">
        <v>45</v>
      </c>
      <c r="CI38">
        <f>CH38*26</f>
        <v>1170</v>
      </c>
      <c r="CJ38" s="58">
        <f>CJ36/CJ37</f>
        <v>129344.16697726426</v>
      </c>
      <c r="CK38" s="58">
        <f t="shared" ref="CK38:CU38" si="69">CK36/CK37</f>
        <v>150873.49981364145</v>
      </c>
      <c r="CL38" s="58">
        <f t="shared" si="69"/>
        <v>141379.05329854641</v>
      </c>
      <c r="CM38" s="58">
        <f t="shared" si="69"/>
        <v>136578.1587774879</v>
      </c>
      <c r="CN38" s="58">
        <f>CN36/CN37</f>
        <v>136291.91203876259</v>
      </c>
      <c r="CO38" s="58">
        <f t="shared" si="69"/>
        <v>103386.95490122997</v>
      </c>
      <c r="CP38" s="58">
        <f>CP36/CP37</f>
        <v>181610.97046413503</v>
      </c>
      <c r="CQ38" s="58">
        <f t="shared" si="69"/>
        <v>199329.11392405062</v>
      </c>
      <c r="CR38" s="58">
        <f t="shared" si="69"/>
        <v>234765.40084388186</v>
      </c>
      <c r="CS38" s="58">
        <f>CS36/CS37</f>
        <v>217806.7510548523</v>
      </c>
      <c r="CT38" s="58">
        <f t="shared" si="69"/>
        <v>134135.02109704641</v>
      </c>
      <c r="CU38" s="58">
        <f t="shared" si="69"/>
        <v>51311.392405063292</v>
      </c>
      <c r="CV38" s="58">
        <f>SUM(CJ38:CU38)</f>
        <v>1816812.3955959619</v>
      </c>
      <c r="CW38" s="758"/>
      <c r="CX38" s="880">
        <v>174000</v>
      </c>
      <c r="CY38" s="880">
        <v>127000</v>
      </c>
      <c r="CZ38" s="880">
        <v>156000</v>
      </c>
      <c r="DA38" s="880">
        <f t="shared" ref="DA38:DK38" si="70">DA39*1.1</f>
        <v>148313.33000000005</v>
      </c>
      <c r="DB38" s="880">
        <f t="shared" si="70"/>
        <v>143391.05000000002</v>
      </c>
      <c r="DC38" s="880">
        <f t="shared" si="70"/>
        <v>99278.080000000016</v>
      </c>
      <c r="DD38" s="880">
        <f t="shared" si="70"/>
        <v>182944.74000000005</v>
      </c>
      <c r="DE38" s="880">
        <f t="shared" si="70"/>
        <v>195388.38</v>
      </c>
      <c r="DF38" s="880">
        <f>DF39*1.1</f>
        <v>264790.35000000003</v>
      </c>
      <c r="DG38" s="880">
        <f>DG39*1.1</f>
        <v>247948.86033755276</v>
      </c>
      <c r="DH38" s="880">
        <f t="shared" si="70"/>
        <v>151768.20675105488</v>
      </c>
      <c r="DI38" s="880">
        <f t="shared" si="70"/>
        <v>62612.445569620257</v>
      </c>
      <c r="DJ38" s="58">
        <f>SUM(CX38:DI38)</f>
        <v>1953435.4426582281</v>
      </c>
      <c r="DK38" s="949"/>
      <c r="DL38" s="880">
        <f>CX38*1.1</f>
        <v>191400.00000000003</v>
      </c>
      <c r="DM38" s="880">
        <f t="shared" ref="DM38:DW38" si="71">CY38*1.1</f>
        <v>139700</v>
      </c>
      <c r="DN38" s="880">
        <f t="shared" si="71"/>
        <v>171600</v>
      </c>
      <c r="DO38" s="880">
        <f t="shared" si="71"/>
        <v>163144.66300000006</v>
      </c>
      <c r="DP38" s="880">
        <f t="shared" si="71"/>
        <v>157730.15500000003</v>
      </c>
      <c r="DQ38" s="880">
        <f t="shared" si="71"/>
        <v>109205.88800000002</v>
      </c>
      <c r="DR38" s="880">
        <f t="shared" si="71"/>
        <v>201239.21400000007</v>
      </c>
      <c r="DS38" s="880">
        <f t="shared" si="71"/>
        <v>214927.21800000002</v>
      </c>
      <c r="DT38" s="880">
        <f t="shared" si="71"/>
        <v>291269.38500000007</v>
      </c>
      <c r="DU38" s="880">
        <f t="shared" si="71"/>
        <v>272743.74637130805</v>
      </c>
      <c r="DV38" s="880">
        <f t="shared" si="71"/>
        <v>166945.02742616038</v>
      </c>
      <c r="DW38" s="880">
        <f t="shared" si="71"/>
        <v>68873.690126582282</v>
      </c>
      <c r="DX38" s="58">
        <f>SUM(DL38:DW38)</f>
        <v>2148778.9869240513</v>
      </c>
      <c r="DY38" s="598">
        <f>DX38-DJ38</f>
        <v>195343.54426582321</v>
      </c>
    </row>
    <row r="39" spans="1:129" ht="18.75" hidden="1">
      <c r="A39" s="307"/>
      <c r="B39" s="918"/>
      <c r="C39" s="919" t="s">
        <v>122</v>
      </c>
      <c r="D39" s="309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310"/>
      <c r="Q39" s="84"/>
      <c r="R39" s="309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311"/>
      <c r="AE39" s="23"/>
      <c r="AF39" s="312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6"/>
      <c r="AS39" s="23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2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54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J39" s="87">
        <f t="shared" ref="CJ39:CT39" si="72">(CJ38*0.95)-2000</f>
        <v>120876.95862840104</v>
      </c>
      <c r="CK39" s="87">
        <f t="shared" si="72"/>
        <v>141329.82482295937</v>
      </c>
      <c r="CL39" s="87">
        <f t="shared" si="72"/>
        <v>132310.10063361909</v>
      </c>
      <c r="CM39" s="87">
        <f t="shared" si="72"/>
        <v>127749.2508386135</v>
      </c>
      <c r="CN39" s="87">
        <f t="shared" si="72"/>
        <v>127477.31643682445</v>
      </c>
      <c r="CO39" s="87">
        <f t="shared" si="72"/>
        <v>96217.607156168466</v>
      </c>
      <c r="CP39" s="87">
        <f>(CP38*0.95)-2000</f>
        <v>170530.42194092827</v>
      </c>
      <c r="CQ39" s="87">
        <f t="shared" si="72"/>
        <v>187362.65822784806</v>
      </c>
      <c r="CR39" s="87">
        <f t="shared" si="72"/>
        <v>221027.13080168774</v>
      </c>
      <c r="CS39" s="87">
        <f t="shared" si="72"/>
        <v>204916.41350210967</v>
      </c>
      <c r="CT39" s="87">
        <f t="shared" si="72"/>
        <v>125428.27004219408</v>
      </c>
      <c r="CU39" s="87">
        <f>(CU38*0.95)-2000</f>
        <v>46745.822784810123</v>
      </c>
      <c r="CV39" s="87">
        <f>SUM(CJ39:CU39)</f>
        <v>1701971.775816164</v>
      </c>
      <c r="CW39" s="758"/>
      <c r="CX39" s="883">
        <v>169016.1</v>
      </c>
      <c r="CY39" s="883">
        <v>192696.9</v>
      </c>
      <c r="CZ39" s="883">
        <v>138243.6</v>
      </c>
      <c r="DA39" s="883">
        <v>134830.30000000002</v>
      </c>
      <c r="DB39" s="883">
        <v>130355.5</v>
      </c>
      <c r="DC39" s="883">
        <v>90252.800000000003</v>
      </c>
      <c r="DD39" s="883">
        <v>166313.40000000002</v>
      </c>
      <c r="DE39" s="883">
        <v>177625.8</v>
      </c>
      <c r="DF39" s="883">
        <v>240718.5</v>
      </c>
      <c r="DG39" s="883">
        <v>225408.05485232067</v>
      </c>
      <c r="DH39" s="883">
        <v>137971.09704641352</v>
      </c>
      <c r="DI39" s="883">
        <v>56920.405063291139</v>
      </c>
      <c r="DJ39" s="87">
        <f>SUM(CX39:DI39)</f>
        <v>1860352.4569620253</v>
      </c>
      <c r="DK39" s="949"/>
      <c r="DL39" s="883">
        <v>169016.1</v>
      </c>
      <c r="DM39" s="883">
        <v>192696.9</v>
      </c>
      <c r="DN39" s="883">
        <v>138243.6</v>
      </c>
      <c r="DO39" s="883">
        <v>134830.30000000002</v>
      </c>
      <c r="DP39" s="883">
        <v>130355.5</v>
      </c>
      <c r="DQ39" s="883">
        <v>90252.800000000003</v>
      </c>
      <c r="DR39" s="883">
        <v>166313.40000000002</v>
      </c>
      <c r="DS39" s="883">
        <v>177625.8</v>
      </c>
      <c r="DT39" s="883">
        <v>240718.5</v>
      </c>
      <c r="DU39" s="883">
        <v>225408.05485232067</v>
      </c>
      <c r="DV39" s="883">
        <v>137971.09704641352</v>
      </c>
      <c r="DW39" s="883">
        <v>56920.405063291139</v>
      </c>
      <c r="DX39" s="87">
        <f>SUM(DL39:DW39)</f>
        <v>1860352.4569620253</v>
      </c>
    </row>
    <row r="40" spans="1:129" ht="18.75" hidden="1">
      <c r="A40" s="709"/>
      <c r="B40" s="920"/>
      <c r="C40" s="920"/>
      <c r="D40" s="309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310"/>
      <c r="Q40" s="84"/>
      <c r="R40" s="309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311"/>
      <c r="AE40" s="23"/>
      <c r="AF40" s="312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6"/>
      <c r="AS40" s="23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2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54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J40" s="711">
        <f>(CJ38-CJ39)/CJ39</f>
        <v>7.0048158432683957E-2</v>
      </c>
      <c r="CK40" s="711">
        <f t="shared" ref="CK40:CU40" si="73">(CK38-CK39)/CK39</f>
        <v>6.7527678624361279E-2</v>
      </c>
      <c r="CL40" s="711">
        <f t="shared" si="73"/>
        <v>6.8543162022378201E-2</v>
      </c>
      <c r="CM40" s="711">
        <f t="shared" si="73"/>
        <v>6.911123064062441E-2</v>
      </c>
      <c r="CN40" s="711">
        <f t="shared" si="73"/>
        <v>6.9146385006516056E-2</v>
      </c>
      <c r="CO40" s="711">
        <f t="shared" si="73"/>
        <v>7.4511806694850649E-2</v>
      </c>
      <c r="CP40" s="711">
        <f t="shared" si="73"/>
        <v>6.4976960691770641E-2</v>
      </c>
      <c r="CQ40" s="711">
        <f t="shared" si="73"/>
        <v>6.3867879594504795E-2</v>
      </c>
      <c r="CR40" s="711">
        <f t="shared" si="73"/>
        <v>6.2156487270879454E-2</v>
      </c>
      <c r="CS40" s="711">
        <f t="shared" si="73"/>
        <v>6.2905344342316025E-2</v>
      </c>
      <c r="CT40" s="711">
        <f t="shared" si="73"/>
        <v>6.94161774847359E-2</v>
      </c>
      <c r="CU40" s="711">
        <f t="shared" si="73"/>
        <v>9.7667970061631554E-2</v>
      </c>
      <c r="CV40" s="87"/>
      <c r="CW40" s="758"/>
      <c r="CX40" s="883"/>
      <c r="CY40" s="883"/>
      <c r="CZ40" s="883"/>
      <c r="DA40" s="883"/>
      <c r="DB40" s="883"/>
      <c r="DC40" s="883"/>
      <c r="DD40" s="883"/>
      <c r="DE40" s="883"/>
      <c r="DF40" s="883"/>
      <c r="DG40" s="883"/>
      <c r="DH40" s="883"/>
      <c r="DI40" s="883"/>
      <c r="DJ40" s="87"/>
      <c r="DK40" s="949"/>
      <c r="DL40" s="883"/>
      <c r="DM40" s="883"/>
      <c r="DN40" s="883"/>
      <c r="DO40" s="883"/>
      <c r="DP40" s="883"/>
      <c r="DQ40" s="883"/>
      <c r="DR40" s="883"/>
      <c r="DS40" s="883"/>
      <c r="DT40" s="883"/>
      <c r="DU40" s="883"/>
      <c r="DV40" s="883"/>
      <c r="DW40" s="883"/>
      <c r="DX40" s="87"/>
    </row>
    <row r="41" spans="1:129" ht="15" hidden="1" customHeight="1" outlineLevel="1">
      <c r="A41" s="88">
        <v>1</v>
      </c>
      <c r="B41" s="1078" t="s">
        <v>56</v>
      </c>
      <c r="C41" s="1119"/>
      <c r="D41" s="313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314">
        <f t="shared" ref="P41:P53" si="74">SUM(D41:O41)</f>
        <v>0</v>
      </c>
      <c r="Q41" s="90"/>
      <c r="R41" s="313">
        <v>7017.5438596491231</v>
      </c>
      <c r="S41" s="91">
        <v>7017.5438596491231</v>
      </c>
      <c r="T41" s="91">
        <f>7017.54385964912/2</f>
        <v>3508.7719298245602</v>
      </c>
      <c r="U41" s="91">
        <f>96*U7</f>
        <v>96</v>
      </c>
      <c r="V41" s="91">
        <v>3000</v>
      </c>
      <c r="W41" s="91">
        <v>7200</v>
      </c>
      <c r="X41" s="91">
        <v>8500</v>
      </c>
      <c r="Y41" s="91">
        <v>8500</v>
      </c>
      <c r="Z41" s="91">
        <v>8500</v>
      </c>
      <c r="AA41" s="91">
        <v>9000</v>
      </c>
      <c r="AB41" s="91">
        <v>9500</v>
      </c>
      <c r="AC41" s="91">
        <v>8500</v>
      </c>
      <c r="AD41" s="315">
        <f t="shared" ref="AD41:AD55" si="75">SUM(R41:AC41)</f>
        <v>80339.859649122809</v>
      </c>
      <c r="AE41" s="23"/>
      <c r="AF41" s="316">
        <v>8000</v>
      </c>
      <c r="AG41" s="91">
        <v>4000</v>
      </c>
      <c r="AH41" s="91">
        <v>5673</v>
      </c>
      <c r="AI41" s="91">
        <v>4500</v>
      </c>
      <c r="AJ41" s="91">
        <v>7892</v>
      </c>
      <c r="AK41" s="91">
        <v>6400</v>
      </c>
      <c r="AL41" s="91">
        <v>8000</v>
      </c>
      <c r="AM41" s="91">
        <v>8000</v>
      </c>
      <c r="AN41" s="91">
        <v>8000</v>
      </c>
      <c r="AO41" s="91">
        <v>8000</v>
      </c>
      <c r="AP41" s="91">
        <v>8800</v>
      </c>
      <c r="AQ41" s="91">
        <v>6400</v>
      </c>
      <c r="AR41" s="92">
        <f t="shared" ref="AR41:AR59" si="76">SUM(AF41:AQ41)</f>
        <v>83665</v>
      </c>
      <c r="AS41" s="23"/>
      <c r="AT41" s="91">
        <v>4861</v>
      </c>
      <c r="AU41" s="91">
        <v>5809</v>
      </c>
      <c r="AV41" s="91">
        <v>5072</v>
      </c>
      <c r="AW41" s="91">
        <v>4725</v>
      </c>
      <c r="AX41" s="317">
        <v>5832</v>
      </c>
      <c r="AY41" s="317">
        <v>5832</v>
      </c>
      <c r="AZ41" s="317">
        <v>5567</v>
      </c>
      <c r="BA41" s="317">
        <v>5567</v>
      </c>
      <c r="BB41" s="317">
        <v>5832</v>
      </c>
      <c r="BC41" s="317">
        <v>6892</v>
      </c>
      <c r="BD41" s="317">
        <v>7422</v>
      </c>
      <c r="BE41" s="317">
        <v>4241</v>
      </c>
      <c r="BF41" s="91">
        <f t="shared" ref="BF41:BF73" si="77">SUM(AT41:BE41)</f>
        <v>67652</v>
      </c>
      <c r="BG41" s="93">
        <f t="shared" ref="BG41:BG59" si="78">BF41/AR41-1</f>
        <v>-0.19139425088149165</v>
      </c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>
        <v>36051</v>
      </c>
      <c r="BU41" s="54"/>
      <c r="BV41" s="91">
        <v>4782.99</v>
      </c>
      <c r="BW41" s="91">
        <v>2945.31</v>
      </c>
      <c r="BX41" s="91">
        <f>'META  EM PEÇAS'!U26-('META  EM PEÇAS'!U26*0.05)</f>
        <v>7080.3689999999997</v>
      </c>
      <c r="BY41" s="91">
        <f>'META  EM PEÇAS'!V26-('META  EM PEÇAS'!V26*0.05)</f>
        <v>4355.6549999999997</v>
      </c>
      <c r="BZ41" s="91">
        <f>'META  EM PEÇAS'!W26-('META  EM PEÇAS'!W26*0.05)</f>
        <v>5839.9349999999995</v>
      </c>
      <c r="CA41" s="91">
        <f>'META  EM PEÇAS'!X26-('META  EM PEÇAS'!X26*0.05)</f>
        <v>5900.8964999999989</v>
      </c>
      <c r="CB41" s="91">
        <f>'META  EM PEÇAS'!Y26-('META  EM PEÇAS'!Y26*0.05)</f>
        <v>5279.7959999999994</v>
      </c>
      <c r="CC41" s="91">
        <f>'META  EM PEÇAS'!Z26-('META  EM PEÇAS'!Z26*0.05)</f>
        <v>4897.2404999999999</v>
      </c>
      <c r="CD41" s="91">
        <f>'META  EM PEÇAS'!AA26-('META  EM PEÇAS'!AA26*0.05)</f>
        <v>5018.28</v>
      </c>
      <c r="CE41" s="91">
        <f>'META  EM PEÇAS'!AB26-('META  EM PEÇAS'!AB26*0.05)</f>
        <v>4641.0254999999997</v>
      </c>
      <c r="CF41" s="91">
        <f>'META  EM PEÇAS'!AC26-('META  EM PEÇAS'!AC26*0.05)</f>
        <v>6521.1134999999995</v>
      </c>
      <c r="CG41" s="91">
        <f>'META  EM PEÇAS'!AD26-('META  EM PEÇAS'!AD26*0.05)</f>
        <v>3929.8079999999995</v>
      </c>
      <c r="CH41" s="91">
        <v>4136.6400000000003</v>
      </c>
      <c r="CJ41" s="91">
        <v>4782.99</v>
      </c>
      <c r="CK41" s="91">
        <v>2945.31</v>
      </c>
      <c r="CL41" s="91">
        <v>7080.3689999999997</v>
      </c>
      <c r="CM41" s="91">
        <v>4355.6549999999997</v>
      </c>
      <c r="CN41" s="91">
        <v>5839.9349999999995</v>
      </c>
      <c r="CO41" s="91">
        <v>5900.8964999999989</v>
      </c>
      <c r="CP41" s="91">
        <v>5279.7959999999994</v>
      </c>
      <c r="CQ41" s="91">
        <v>4897.2404999999999</v>
      </c>
      <c r="CR41" s="91">
        <v>5018.28</v>
      </c>
      <c r="CS41" s="91">
        <v>4641.0254999999997</v>
      </c>
      <c r="CT41" s="91">
        <v>6521.1134999999995</v>
      </c>
      <c r="CU41" s="91">
        <v>3929.8079999999995</v>
      </c>
      <c r="CV41" s="91">
        <v>4136.6400000000003</v>
      </c>
      <c r="CW41" s="758"/>
      <c r="CX41" s="884">
        <v>4782.99</v>
      </c>
      <c r="CY41" s="884">
        <v>2945.31</v>
      </c>
      <c r="CZ41" s="884">
        <v>7080.3689999999997</v>
      </c>
      <c r="DA41" s="884">
        <v>4355.6549999999997</v>
      </c>
      <c r="DB41" s="884">
        <v>5839.9349999999995</v>
      </c>
      <c r="DC41" s="884">
        <v>5900.8964999999989</v>
      </c>
      <c r="DD41" s="884">
        <v>5279.7959999999994</v>
      </c>
      <c r="DE41" s="884">
        <v>4897.2404999999999</v>
      </c>
      <c r="DF41" s="884">
        <v>5018.28</v>
      </c>
      <c r="DG41" s="884">
        <v>4641.0254999999997</v>
      </c>
      <c r="DH41" s="884">
        <v>6521.1134999999995</v>
      </c>
      <c r="DI41" s="884">
        <v>3929.8079999999995</v>
      </c>
      <c r="DJ41" s="91">
        <v>4136.6400000000003</v>
      </c>
      <c r="DK41" s="949"/>
      <c r="DL41" s="884">
        <v>4782.99</v>
      </c>
      <c r="DM41" s="884">
        <v>2945.31</v>
      </c>
      <c r="DN41" s="884">
        <v>7080.3689999999997</v>
      </c>
      <c r="DO41" s="884">
        <v>4355.6549999999997</v>
      </c>
      <c r="DP41" s="884">
        <v>5839.9349999999995</v>
      </c>
      <c r="DQ41" s="884">
        <v>5900.8964999999989</v>
      </c>
      <c r="DR41" s="884">
        <v>5279.7959999999994</v>
      </c>
      <c r="DS41" s="884">
        <v>4897.2404999999999</v>
      </c>
      <c r="DT41" s="884">
        <v>5018.28</v>
      </c>
      <c r="DU41" s="884">
        <v>4641.0254999999997</v>
      </c>
      <c r="DV41" s="884">
        <v>6521.1134999999995</v>
      </c>
      <c r="DW41" s="884">
        <v>3929.8079999999995</v>
      </c>
      <c r="DX41" s="91">
        <v>4136.6400000000003</v>
      </c>
    </row>
    <row r="42" spans="1:129" ht="15" hidden="1" customHeight="1" outlineLevel="1">
      <c r="A42" s="94">
        <v>2</v>
      </c>
      <c r="B42" s="1079" t="s">
        <v>57</v>
      </c>
      <c r="C42" s="1120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si="74"/>
        <v>0</v>
      </c>
      <c r="Q42" s="90"/>
      <c r="R42" s="313">
        <v>2909</v>
      </c>
      <c r="S42" s="91">
        <v>2545</v>
      </c>
      <c r="T42" s="91">
        <f>2727/1.2</f>
        <v>2272.5</v>
      </c>
      <c r="U42" s="91">
        <f>2*U7</f>
        <v>2</v>
      </c>
      <c r="V42" s="91">
        <v>500</v>
      </c>
      <c r="W42" s="91">
        <v>1300</v>
      </c>
      <c r="X42" s="91">
        <v>3200</v>
      </c>
      <c r="Y42" s="91">
        <v>3200</v>
      </c>
      <c r="Z42" s="91">
        <v>3600</v>
      </c>
      <c r="AA42" s="91">
        <v>3600</v>
      </c>
      <c r="AB42" s="91">
        <v>3600</v>
      </c>
      <c r="AC42" s="91">
        <v>4500</v>
      </c>
      <c r="AD42" s="315">
        <f t="shared" si="75"/>
        <v>31228.5</v>
      </c>
      <c r="AE42" s="23"/>
      <c r="AF42" s="316">
        <v>4000</v>
      </c>
      <c r="AG42" s="91">
        <v>1500</v>
      </c>
      <c r="AH42" s="91">
        <v>189</v>
      </c>
      <c r="AI42" s="91">
        <v>1842</v>
      </c>
      <c r="AJ42" s="91">
        <v>3764</v>
      </c>
      <c r="AK42" s="91">
        <v>3200</v>
      </c>
      <c r="AL42" s="91">
        <v>6000</v>
      </c>
      <c r="AM42" s="91">
        <v>5000</v>
      </c>
      <c r="AN42" s="91">
        <v>5000</v>
      </c>
      <c r="AO42" s="91">
        <v>5000</v>
      </c>
      <c r="AP42" s="91">
        <v>5000</v>
      </c>
      <c r="AQ42" s="91">
        <v>9000</v>
      </c>
      <c r="AR42" s="92">
        <f t="shared" si="76"/>
        <v>49495</v>
      </c>
      <c r="AS42" s="23"/>
      <c r="AT42" s="91">
        <v>5468</v>
      </c>
      <c r="AU42" s="91">
        <v>5468</v>
      </c>
      <c r="AV42" s="91">
        <v>6249</v>
      </c>
      <c r="AW42" s="91">
        <v>6249</v>
      </c>
      <c r="AX42" s="317">
        <v>3923</v>
      </c>
      <c r="AY42" s="317">
        <v>3923</v>
      </c>
      <c r="AZ42" s="317">
        <v>3745</v>
      </c>
      <c r="BA42" s="317">
        <v>3745</v>
      </c>
      <c r="BB42" s="317">
        <v>3923</v>
      </c>
      <c r="BC42" s="317">
        <v>4636</v>
      </c>
      <c r="BD42" s="317">
        <v>4993</v>
      </c>
      <c r="BE42" s="317">
        <v>7133</v>
      </c>
      <c r="BF42" s="91">
        <f t="shared" si="77"/>
        <v>59455</v>
      </c>
      <c r="BG42" s="93">
        <f t="shared" si="78"/>
        <v>0.20123244772199222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40562</v>
      </c>
      <c r="BU42" s="54"/>
      <c r="BV42" s="91">
        <v>4442.6099999999997</v>
      </c>
      <c r="BW42" s="91">
        <v>3433.56</v>
      </c>
      <c r="BX42" s="91">
        <f>'META  EM PEÇAS'!U27-('META  EM PEÇAS'!U27*0.05)</f>
        <v>3860.0114999999996</v>
      </c>
      <c r="BY42" s="91">
        <f>'META  EM PEÇAS'!V27-('META  EM PEÇAS'!V27*0.05)</f>
        <v>3578.1749999999997</v>
      </c>
      <c r="BZ42" s="91">
        <f>'META  EM PEÇAS'!W27-('META  EM PEÇAS'!W27*0.05)</f>
        <v>4015.5074999999997</v>
      </c>
      <c r="CA42" s="91">
        <f>'META  EM PEÇAS'!X27-('META  EM PEÇAS'!X27*0.05)</f>
        <v>4835.3954999999996</v>
      </c>
      <c r="CB42" s="91">
        <f>'META  EM PEÇAS'!Y27-('META  EM PEÇAS'!Y27*0.05)</f>
        <v>5815.1969999999992</v>
      </c>
      <c r="CC42" s="91">
        <f>'META  EM PEÇAS'!Z27-('META  EM PEÇAS'!Z27*0.05)</f>
        <v>3888.2835</v>
      </c>
      <c r="CD42" s="91">
        <f>'META  EM PEÇAS'!AA27-('META  EM PEÇAS'!AA27*0.05)</f>
        <v>4032.2939999999994</v>
      </c>
      <c r="CE42" s="91">
        <f>'META  EM PEÇAS'!AB27-('META  EM PEÇAS'!AB27*0.05)</f>
        <v>4375.0919999999996</v>
      </c>
      <c r="CF42" s="91">
        <f>'META  EM PEÇAS'!AC27-('META  EM PEÇAS'!AC27*0.05)</f>
        <v>5604.9239999999991</v>
      </c>
      <c r="CG42" s="91">
        <f>'META  EM PEÇAS'!AD27-('META  EM PEÇAS'!AD27*0.05)</f>
        <v>7897.606499999999</v>
      </c>
      <c r="CH42" s="91">
        <f>SUM(BV42:CG42)</f>
        <v>55778.656499999997</v>
      </c>
      <c r="CJ42" s="91">
        <v>4442.6099999999997</v>
      </c>
      <c r="CK42" s="91">
        <v>3433.56</v>
      </c>
      <c r="CL42" s="91">
        <v>3860.0114999999996</v>
      </c>
      <c r="CM42" s="91">
        <v>3578.1749999999997</v>
      </c>
      <c r="CN42" s="91">
        <v>4015.5074999999997</v>
      </c>
      <c r="CO42" s="91">
        <v>4835.3954999999996</v>
      </c>
      <c r="CP42" s="91">
        <v>5815.1969999999992</v>
      </c>
      <c r="CQ42" s="91">
        <v>3888.2835</v>
      </c>
      <c r="CR42" s="91">
        <v>4032.2939999999994</v>
      </c>
      <c r="CS42" s="91">
        <v>4375.0919999999996</v>
      </c>
      <c r="CT42" s="91">
        <v>5604.9239999999991</v>
      </c>
      <c r="CU42" s="91">
        <v>7897.606499999999</v>
      </c>
      <c r="CV42" s="91">
        <v>55778.656499999997</v>
      </c>
      <c r="CW42" s="758"/>
      <c r="CX42" s="884">
        <v>4442.6099999999997</v>
      </c>
      <c r="CY42" s="884">
        <v>3433.56</v>
      </c>
      <c r="CZ42" s="884">
        <v>3860.0114999999996</v>
      </c>
      <c r="DA42" s="884">
        <v>3578.1749999999997</v>
      </c>
      <c r="DB42" s="884">
        <v>4015.5074999999997</v>
      </c>
      <c r="DC42" s="884">
        <v>4835.3954999999996</v>
      </c>
      <c r="DD42" s="884">
        <v>5815.1969999999992</v>
      </c>
      <c r="DE42" s="884">
        <v>3888.2835</v>
      </c>
      <c r="DF42" s="884">
        <v>4032.2939999999994</v>
      </c>
      <c r="DG42" s="884">
        <v>4375.0919999999996</v>
      </c>
      <c r="DH42" s="884">
        <v>5604.9239999999991</v>
      </c>
      <c r="DI42" s="884">
        <v>7897.606499999999</v>
      </c>
      <c r="DJ42" s="91">
        <v>55778.656499999997</v>
      </c>
      <c r="DK42" s="949"/>
      <c r="DL42" s="884">
        <v>4442.6099999999997</v>
      </c>
      <c r="DM42" s="884">
        <v>3433.56</v>
      </c>
      <c r="DN42" s="884">
        <v>3860.0114999999996</v>
      </c>
      <c r="DO42" s="884">
        <v>3578.1749999999997</v>
      </c>
      <c r="DP42" s="884">
        <v>4015.5074999999997</v>
      </c>
      <c r="DQ42" s="884">
        <v>4835.3954999999996</v>
      </c>
      <c r="DR42" s="884">
        <v>5815.1969999999992</v>
      </c>
      <c r="DS42" s="884">
        <v>3888.2835</v>
      </c>
      <c r="DT42" s="884">
        <v>4032.2939999999994</v>
      </c>
      <c r="DU42" s="884">
        <v>4375.0919999999996</v>
      </c>
      <c r="DV42" s="884">
        <v>5604.9239999999991</v>
      </c>
      <c r="DW42" s="884">
        <v>7897.606499999999</v>
      </c>
      <c r="DX42" s="91">
        <v>55778.656499999997</v>
      </c>
    </row>
    <row r="43" spans="1:129" ht="15" hidden="1" customHeight="1" outlineLevel="1">
      <c r="A43" s="94">
        <v>3</v>
      </c>
      <c r="B43" s="1079" t="s">
        <v>58</v>
      </c>
      <c r="C43" s="1120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>
        <f t="shared" si="74"/>
        <v>0</v>
      </c>
      <c r="Q43" s="90"/>
      <c r="R43" s="313">
        <v>746</v>
      </c>
      <c r="S43" s="91">
        <v>653</v>
      </c>
      <c r="T43" s="91">
        <v>700</v>
      </c>
      <c r="U43" s="91">
        <v>0</v>
      </c>
      <c r="V43" s="91">
        <v>200</v>
      </c>
      <c r="W43" s="91">
        <v>400</v>
      </c>
      <c r="X43" s="91">
        <v>900</v>
      </c>
      <c r="Y43" s="91">
        <v>900</v>
      </c>
      <c r="Z43" s="91">
        <v>900</v>
      </c>
      <c r="AA43" s="91">
        <v>900</v>
      </c>
      <c r="AB43" s="91">
        <v>900</v>
      </c>
      <c r="AC43" s="91">
        <v>1200</v>
      </c>
      <c r="AD43" s="315">
        <f t="shared" si="75"/>
        <v>8399</v>
      </c>
      <c r="AE43" s="23"/>
      <c r="AF43" s="316">
        <v>1800</v>
      </c>
      <c r="AG43" s="91">
        <v>1200</v>
      </c>
      <c r="AH43" s="91">
        <v>230</v>
      </c>
      <c r="AI43" s="91">
        <v>472</v>
      </c>
      <c r="AJ43" s="91">
        <v>1495</v>
      </c>
      <c r="AK43" s="91">
        <v>1200</v>
      </c>
      <c r="AL43" s="91">
        <v>1500</v>
      </c>
      <c r="AM43" s="91">
        <v>1500</v>
      </c>
      <c r="AN43" s="91">
        <v>1500</v>
      </c>
      <c r="AO43" s="91">
        <v>1500</v>
      </c>
      <c r="AP43" s="91">
        <v>1650</v>
      </c>
      <c r="AQ43" s="91">
        <v>2400</v>
      </c>
      <c r="AR43" s="92">
        <f t="shared" si="76"/>
        <v>16447</v>
      </c>
      <c r="AS43" s="23"/>
      <c r="AT43" s="91">
        <v>2438</v>
      </c>
      <c r="AU43" s="91">
        <v>1501</v>
      </c>
      <c r="AV43" s="91">
        <v>1566</v>
      </c>
      <c r="AW43" s="91">
        <v>2127</v>
      </c>
      <c r="AX43" s="317">
        <v>1928</v>
      </c>
      <c r="AY43" s="317">
        <v>1928</v>
      </c>
      <c r="AZ43" s="317">
        <v>1840</v>
      </c>
      <c r="BA43" s="317">
        <v>1840</v>
      </c>
      <c r="BB43" s="317">
        <v>1928</v>
      </c>
      <c r="BC43" s="317">
        <v>2278</v>
      </c>
      <c r="BD43" s="317">
        <v>2454</v>
      </c>
      <c r="BE43" s="317">
        <v>3505</v>
      </c>
      <c r="BF43" s="91">
        <f t="shared" si="77"/>
        <v>25333</v>
      </c>
      <c r="BG43" s="93">
        <f t="shared" si="78"/>
        <v>0.54028090229221126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7784</v>
      </c>
      <c r="BU43" s="54"/>
      <c r="BV43" s="91">
        <v>450.99999999999989</v>
      </c>
      <c r="BW43" s="91">
        <v>348.59999999999991</v>
      </c>
      <c r="BX43" s="91">
        <f>'META  EM PEÇAS'!U28-('META  EM PEÇAS'!U28*0.05)</f>
        <v>391.96999999999991</v>
      </c>
      <c r="BY43" s="91">
        <f>'META  EM PEÇAS'!V28-('META  EM PEÇAS'!V28*0.05)</f>
        <v>363.27999999999992</v>
      </c>
      <c r="BZ43" s="91">
        <f>'META  EM PEÇAS'!W28-('META  EM PEÇAS'!W28*0.05)</f>
        <v>407.5499999999999</v>
      </c>
      <c r="CA43" s="91">
        <f>'META  EM PEÇAS'!X28-('META  EM PEÇAS'!X28*0.05)</f>
        <v>490.76999999999992</v>
      </c>
      <c r="CB43" s="91">
        <f>'META  EM PEÇAS'!Y28-('META  EM PEÇAS'!Y28*0.05)</f>
        <v>590.32999999999993</v>
      </c>
      <c r="CC43" s="91">
        <f>'META  EM PEÇAS'!Z28-('META  EM PEÇAS'!Z28*0.05)</f>
        <v>394.62999999999994</v>
      </c>
      <c r="CD43" s="91">
        <f>'META  EM PEÇAS'!AA28-('META  EM PEÇAS'!AA28*0.05)</f>
        <v>409.25999999999988</v>
      </c>
      <c r="CE43" s="91">
        <f>'META  EM PEÇAS'!AB28-('META  EM PEÇAS'!AB28*0.05)</f>
        <v>444.21999999999991</v>
      </c>
      <c r="CF43" s="91">
        <f>'META  EM PEÇAS'!AC28-('META  EM PEÇAS'!AC28*0.05)</f>
        <v>569.04999999999984</v>
      </c>
      <c r="CG43" s="91">
        <f>'META  EM PEÇAS'!AD28-('META  EM PEÇAS'!AD28*0.05)</f>
        <v>801.79999999999973</v>
      </c>
      <c r="CH43" s="91">
        <f t="shared" ref="CH43:CH56" si="79">SUM(BV43:CG43)</f>
        <v>5662.4599999999991</v>
      </c>
      <c r="CJ43" s="91">
        <v>450.99999999999989</v>
      </c>
      <c r="CK43" s="91">
        <v>348.59999999999991</v>
      </c>
      <c r="CL43" s="91">
        <v>391.96999999999991</v>
      </c>
      <c r="CM43" s="91">
        <v>363.27999999999992</v>
      </c>
      <c r="CN43" s="91">
        <v>407.5499999999999</v>
      </c>
      <c r="CO43" s="91">
        <v>490.76999999999992</v>
      </c>
      <c r="CP43" s="91">
        <v>590.32999999999993</v>
      </c>
      <c r="CQ43" s="91">
        <v>394.62999999999994</v>
      </c>
      <c r="CR43" s="91">
        <v>409.25999999999988</v>
      </c>
      <c r="CS43" s="91">
        <v>444.21999999999991</v>
      </c>
      <c r="CT43" s="91">
        <v>569.04999999999984</v>
      </c>
      <c r="CU43" s="91">
        <v>801.79999999999973</v>
      </c>
      <c r="CV43" s="91">
        <v>5662.4599999999991</v>
      </c>
      <c r="CW43" s="758"/>
      <c r="CX43" s="884">
        <v>450.99999999999989</v>
      </c>
      <c r="CY43" s="884">
        <v>348.59999999999991</v>
      </c>
      <c r="CZ43" s="884">
        <v>391.96999999999991</v>
      </c>
      <c r="DA43" s="884">
        <v>363.27999999999992</v>
      </c>
      <c r="DB43" s="884">
        <v>407.5499999999999</v>
      </c>
      <c r="DC43" s="884">
        <v>490.76999999999992</v>
      </c>
      <c r="DD43" s="884">
        <v>590.32999999999993</v>
      </c>
      <c r="DE43" s="884">
        <v>394.62999999999994</v>
      </c>
      <c r="DF43" s="884">
        <v>409.25999999999988</v>
      </c>
      <c r="DG43" s="884">
        <v>444.21999999999991</v>
      </c>
      <c r="DH43" s="884">
        <v>569.04999999999984</v>
      </c>
      <c r="DI43" s="884">
        <v>801.79999999999973</v>
      </c>
      <c r="DJ43" s="91">
        <v>5662.4599999999991</v>
      </c>
      <c r="DK43" s="949"/>
      <c r="DL43" s="884">
        <v>450.99999999999989</v>
      </c>
      <c r="DM43" s="884">
        <v>348.59999999999991</v>
      </c>
      <c r="DN43" s="884">
        <v>391.96999999999991</v>
      </c>
      <c r="DO43" s="884">
        <v>363.27999999999992</v>
      </c>
      <c r="DP43" s="884">
        <v>407.5499999999999</v>
      </c>
      <c r="DQ43" s="884">
        <v>490.76999999999992</v>
      </c>
      <c r="DR43" s="884">
        <v>590.32999999999993</v>
      </c>
      <c r="DS43" s="884">
        <v>394.62999999999994</v>
      </c>
      <c r="DT43" s="884">
        <v>409.25999999999988</v>
      </c>
      <c r="DU43" s="884">
        <v>444.21999999999991</v>
      </c>
      <c r="DV43" s="884">
        <v>569.04999999999984</v>
      </c>
      <c r="DW43" s="884">
        <v>801.79999999999973</v>
      </c>
      <c r="DX43" s="91">
        <v>5662.4599999999991</v>
      </c>
    </row>
    <row r="44" spans="1:129" ht="15" hidden="1" customHeight="1" outlineLevel="1">
      <c r="A44" s="94">
        <v>4</v>
      </c>
      <c r="B44" s="1079" t="s">
        <v>59</v>
      </c>
      <c r="C44" s="1120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>
        <f t="shared" si="74"/>
        <v>0</v>
      </c>
      <c r="Q44" s="90"/>
      <c r="R44" s="313">
        <v>1455</v>
      </c>
      <c r="S44" s="91">
        <f>2036</f>
        <v>2036</v>
      </c>
      <c r="T44" s="91">
        <f>2182/2</f>
        <v>1091</v>
      </c>
      <c r="U44" s="91">
        <v>0</v>
      </c>
      <c r="V44" s="91">
        <v>200</v>
      </c>
      <c r="W44" s="91">
        <v>900</v>
      </c>
      <c r="X44" s="91">
        <v>1600</v>
      </c>
      <c r="Y44" s="91">
        <v>1600</v>
      </c>
      <c r="Z44" s="91">
        <v>1600</v>
      </c>
      <c r="AA44" s="91">
        <v>1600</v>
      </c>
      <c r="AB44" s="91">
        <v>2200</v>
      </c>
      <c r="AC44" s="91">
        <v>2500</v>
      </c>
      <c r="AD44" s="315">
        <f t="shared" si="75"/>
        <v>16782</v>
      </c>
      <c r="AE44" s="23"/>
      <c r="AF44" s="316">
        <v>2200</v>
      </c>
      <c r="AG44" s="91">
        <v>1500</v>
      </c>
      <c r="AH44" s="91">
        <v>121</v>
      </c>
      <c r="AI44" s="91">
        <v>565</v>
      </c>
      <c r="AJ44" s="91">
        <v>1514</v>
      </c>
      <c r="AK44" s="91">
        <v>1760</v>
      </c>
      <c r="AL44" s="91">
        <v>1800</v>
      </c>
      <c r="AM44" s="91">
        <v>2200</v>
      </c>
      <c r="AN44" s="91">
        <v>2200</v>
      </c>
      <c r="AO44" s="91">
        <v>2200</v>
      </c>
      <c r="AP44" s="91">
        <v>2420</v>
      </c>
      <c r="AQ44" s="91">
        <v>3520</v>
      </c>
      <c r="AR44" s="92">
        <f t="shared" si="76"/>
        <v>22000</v>
      </c>
      <c r="AS44" s="23"/>
      <c r="AT44" s="91">
        <v>1529</v>
      </c>
      <c r="AU44" s="91">
        <v>1516</v>
      </c>
      <c r="AV44" s="91">
        <v>1586</v>
      </c>
      <c r="AW44" s="91">
        <v>1979</v>
      </c>
      <c r="AX44" s="317">
        <v>1283</v>
      </c>
      <c r="AY44" s="317">
        <v>1283</v>
      </c>
      <c r="AZ44" s="317">
        <v>1224</v>
      </c>
      <c r="BA44" s="317">
        <v>1224</v>
      </c>
      <c r="BB44" s="317">
        <v>1283</v>
      </c>
      <c r="BC44" s="317">
        <v>1516</v>
      </c>
      <c r="BD44" s="317">
        <v>1632</v>
      </c>
      <c r="BE44" s="317">
        <v>2332</v>
      </c>
      <c r="BF44" s="91">
        <f t="shared" si="77"/>
        <v>18387</v>
      </c>
      <c r="BG44" s="93">
        <f t="shared" si="78"/>
        <v>-0.16422727272727278</v>
      </c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>
        <v>9018</v>
      </c>
      <c r="BU44" s="54"/>
      <c r="BV44" s="91">
        <v>1143.8999999999999</v>
      </c>
      <c r="BW44" s="91">
        <v>884.43</v>
      </c>
      <c r="BX44" s="91">
        <f>'META  EM PEÇAS'!U29-('META  EM PEÇAS'!U29*0.05)</f>
        <v>993.9375</v>
      </c>
      <c r="BY44" s="91">
        <f>'META  EM PEÇAS'!V29-('META  EM PEÇAS'!V29*0.05)</f>
        <v>921.49049999999988</v>
      </c>
      <c r="BZ44" s="91">
        <f>'META  EM PEÇAS'!W29-('META  EM PEÇAS'!W29*0.05)</f>
        <v>1033.6949999999999</v>
      </c>
      <c r="CA44" s="91">
        <f>'META  EM PEÇAS'!X29-('META  EM PEÇAS'!X29*0.05)</f>
        <v>1244.8515</v>
      </c>
      <c r="CB44" s="91">
        <f>'META  EM PEÇAS'!Y29-('META  EM PEÇAS'!Y29*0.05)</f>
        <v>1497.5324999999998</v>
      </c>
      <c r="CC44" s="91">
        <f>'META  EM PEÇAS'!Z29-('META  EM PEÇAS'!Z29*0.05)</f>
        <v>1001.0054999999999</v>
      </c>
      <c r="CD44" s="91">
        <f>'META  EM PEÇAS'!AA29-('META  EM PEÇAS'!AA29*0.05)</f>
        <v>1038.1125</v>
      </c>
      <c r="CE44" s="91">
        <f>'META  EM PEÇAS'!AB29-('META  EM PEÇAS'!AB29*0.05)</f>
        <v>1126.4625000000001</v>
      </c>
      <c r="CF44" s="91">
        <f>'META  EM PEÇAS'!AC29-('META  EM PEÇAS'!AC29*0.05)</f>
        <v>1443.6389999999999</v>
      </c>
      <c r="CG44" s="91">
        <f>'META  EM PEÇAS'!AD29-('META  EM PEÇAS'!AD29*0.05)</f>
        <v>2033.8169999999998</v>
      </c>
      <c r="CH44" s="91">
        <f t="shared" si="79"/>
        <v>14362.873499999996</v>
      </c>
      <c r="CJ44" s="91">
        <v>1143.8999999999999</v>
      </c>
      <c r="CK44" s="91">
        <v>884.43</v>
      </c>
      <c r="CL44" s="91">
        <v>993.9375</v>
      </c>
      <c r="CM44" s="91">
        <v>921.49049999999988</v>
      </c>
      <c r="CN44" s="91">
        <v>1033.6949999999999</v>
      </c>
      <c r="CO44" s="91">
        <v>1244.8515</v>
      </c>
      <c r="CP44" s="91">
        <v>1497.5324999999998</v>
      </c>
      <c r="CQ44" s="91">
        <v>1001.0054999999999</v>
      </c>
      <c r="CR44" s="91">
        <v>1038.1125</v>
      </c>
      <c r="CS44" s="91">
        <v>1126.4625000000001</v>
      </c>
      <c r="CT44" s="91">
        <v>1443.6389999999999</v>
      </c>
      <c r="CU44" s="91">
        <v>2033.8169999999998</v>
      </c>
      <c r="CV44" s="91">
        <v>14362.873499999996</v>
      </c>
      <c r="CW44" s="758"/>
      <c r="CX44" s="884">
        <v>1143.8999999999999</v>
      </c>
      <c r="CY44" s="884">
        <v>884.43</v>
      </c>
      <c r="CZ44" s="884">
        <v>993.9375</v>
      </c>
      <c r="DA44" s="884">
        <v>921.49049999999988</v>
      </c>
      <c r="DB44" s="884">
        <v>1033.6949999999999</v>
      </c>
      <c r="DC44" s="884">
        <v>1244.8515</v>
      </c>
      <c r="DD44" s="884">
        <v>1497.5324999999998</v>
      </c>
      <c r="DE44" s="884">
        <v>1001.0054999999999</v>
      </c>
      <c r="DF44" s="884">
        <v>1038.1125</v>
      </c>
      <c r="DG44" s="884">
        <v>1126.4625000000001</v>
      </c>
      <c r="DH44" s="884">
        <v>1443.6389999999999</v>
      </c>
      <c r="DI44" s="884">
        <v>2033.8169999999998</v>
      </c>
      <c r="DJ44" s="91">
        <v>14362.873499999996</v>
      </c>
      <c r="DK44" s="949"/>
      <c r="DL44" s="884">
        <v>1143.8999999999999</v>
      </c>
      <c r="DM44" s="884">
        <v>884.43</v>
      </c>
      <c r="DN44" s="884">
        <v>993.9375</v>
      </c>
      <c r="DO44" s="884">
        <v>921.49049999999988</v>
      </c>
      <c r="DP44" s="884">
        <v>1033.6949999999999</v>
      </c>
      <c r="DQ44" s="884">
        <v>1244.8515</v>
      </c>
      <c r="DR44" s="884">
        <v>1497.5324999999998</v>
      </c>
      <c r="DS44" s="884">
        <v>1001.0054999999999</v>
      </c>
      <c r="DT44" s="884">
        <v>1038.1125</v>
      </c>
      <c r="DU44" s="884">
        <v>1126.4625000000001</v>
      </c>
      <c r="DV44" s="884">
        <v>1443.6389999999999</v>
      </c>
      <c r="DW44" s="884">
        <v>2033.8169999999998</v>
      </c>
      <c r="DX44" s="91">
        <v>14362.873499999996</v>
      </c>
    </row>
    <row r="45" spans="1:129" ht="15" hidden="1" customHeight="1" outlineLevel="1">
      <c r="A45" s="94">
        <v>5</v>
      </c>
      <c r="B45" s="1079" t="s">
        <v>60</v>
      </c>
      <c r="C45" s="1120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>
        <f t="shared" si="74"/>
        <v>0</v>
      </c>
      <c r="Q45" s="90"/>
      <c r="R45" s="313">
        <v>1353</v>
      </c>
      <c r="S45" s="91">
        <v>1184</v>
      </c>
      <c r="T45" s="91">
        <v>1268</v>
      </c>
      <c r="U45" s="91">
        <f t="shared" ref="U45:V45" si="80">10*U7</f>
        <v>10</v>
      </c>
      <c r="V45" s="91">
        <f t="shared" si="80"/>
        <v>120</v>
      </c>
      <c r="W45" s="91">
        <v>600</v>
      </c>
      <c r="X45" s="91">
        <v>1600</v>
      </c>
      <c r="Y45" s="91">
        <v>1600</v>
      </c>
      <c r="Z45" s="91">
        <v>1600</v>
      </c>
      <c r="AA45" s="91">
        <v>1600</v>
      </c>
      <c r="AB45" s="91">
        <v>1600</v>
      </c>
      <c r="AC45" s="91">
        <v>2200</v>
      </c>
      <c r="AD45" s="315">
        <f t="shared" si="75"/>
        <v>14735</v>
      </c>
      <c r="AE45" s="23"/>
      <c r="AF45" s="316">
        <v>1800</v>
      </c>
      <c r="AG45" s="91">
        <v>1200</v>
      </c>
      <c r="AH45" s="91">
        <v>181</v>
      </c>
      <c r="AI45" s="91">
        <v>628</v>
      </c>
      <c r="AJ45" s="91">
        <v>1169</v>
      </c>
      <c r="AK45" s="91">
        <v>960</v>
      </c>
      <c r="AL45" s="91">
        <v>1500</v>
      </c>
      <c r="AM45" s="91">
        <v>1200</v>
      </c>
      <c r="AN45" s="91">
        <v>1200</v>
      </c>
      <c r="AO45" s="91">
        <v>1200</v>
      </c>
      <c r="AP45" s="91">
        <v>1320</v>
      </c>
      <c r="AQ45" s="91">
        <v>1920</v>
      </c>
      <c r="AR45" s="92">
        <f t="shared" si="76"/>
        <v>14278</v>
      </c>
      <c r="AS45" s="23"/>
      <c r="AT45" s="91">
        <v>1496</v>
      </c>
      <c r="AU45" s="91">
        <v>1200</v>
      </c>
      <c r="AV45" s="91">
        <v>1227</v>
      </c>
      <c r="AW45" s="91">
        <v>1655</v>
      </c>
      <c r="AX45" s="317">
        <v>1141</v>
      </c>
      <c r="AY45" s="317">
        <v>1141</v>
      </c>
      <c r="AZ45" s="317">
        <v>1089</v>
      </c>
      <c r="BA45" s="317">
        <v>1089</v>
      </c>
      <c r="BB45" s="317">
        <v>1141</v>
      </c>
      <c r="BC45" s="317">
        <v>1349</v>
      </c>
      <c r="BD45" s="317">
        <v>1453</v>
      </c>
      <c r="BE45" s="317">
        <v>2075</v>
      </c>
      <c r="BF45" s="91">
        <f t="shared" si="77"/>
        <v>16056</v>
      </c>
      <c r="BG45" s="93">
        <f t="shared" si="78"/>
        <v>0.1245272447121446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>
        <v>10591</v>
      </c>
      <c r="BU45" s="54"/>
      <c r="BV45" s="91">
        <v>1474.9799999999998</v>
      </c>
      <c r="BW45" s="91">
        <v>1140.1799999999998</v>
      </c>
      <c r="BX45" s="91">
        <f>'META  EM PEÇAS'!U30-('META  EM PEÇAS'!U30*0.05)</f>
        <v>1281.9584999999997</v>
      </c>
      <c r="BY45" s="91">
        <f>'META  EM PEÇAS'!V30-('META  EM PEÇAS'!V30*0.05)</f>
        <v>1188.3074999999999</v>
      </c>
      <c r="BZ45" s="91">
        <f>'META  EM PEÇAS'!W30-('META  EM PEÇAS'!W30*0.05)</f>
        <v>1333.2014999999999</v>
      </c>
      <c r="CA45" s="91">
        <f>'META  EM PEÇAS'!X30-('META  EM PEÇAS'!X30*0.05)</f>
        <v>1606.2029999999997</v>
      </c>
      <c r="CB45" s="91">
        <f>'META  EM PEÇAS'!Y30-('META  EM PEÇAS'!Y30*0.05)</f>
        <v>1931.3309999999997</v>
      </c>
      <c r="CC45" s="91">
        <f>'META  EM PEÇAS'!Z30-('META  EM PEÇAS'!Z30*0.05)</f>
        <v>1291.6769999999999</v>
      </c>
      <c r="CD45" s="91">
        <f>'META  EM PEÇAS'!AA30-('META  EM PEÇAS'!AA30*0.05)</f>
        <v>1339.386</v>
      </c>
      <c r="CE45" s="91">
        <f>'META  EM PEÇAS'!AB30-('META  EM PEÇAS'!AB30*0.05)</f>
        <v>1453.3574999999998</v>
      </c>
      <c r="CF45" s="91">
        <f>'META  EM PEÇAS'!AC30-('META  EM PEÇAS'!AC30*0.05)</f>
        <v>1861.5344999999998</v>
      </c>
      <c r="CG45" s="91">
        <f>'META  EM PEÇAS'!AD30-('META  EM PEÇAS'!AD30*0.05)</f>
        <v>2623.1114999999995</v>
      </c>
      <c r="CH45" s="91">
        <f t="shared" si="79"/>
        <v>18525.227999999999</v>
      </c>
      <c r="CI45" s="450"/>
      <c r="CJ45" s="91">
        <v>1474.9799999999998</v>
      </c>
      <c r="CK45" s="91">
        <v>1140.1799999999998</v>
      </c>
      <c r="CL45" s="91">
        <v>1281.9584999999997</v>
      </c>
      <c r="CM45" s="91">
        <v>1188.3074999999999</v>
      </c>
      <c r="CN45" s="91">
        <v>1333.2014999999999</v>
      </c>
      <c r="CO45" s="91">
        <v>1606.2029999999997</v>
      </c>
      <c r="CP45" s="91">
        <v>1931.3309999999997</v>
      </c>
      <c r="CQ45" s="91">
        <v>1291.6769999999999</v>
      </c>
      <c r="CR45" s="91">
        <v>1339.386</v>
      </c>
      <c r="CS45" s="91">
        <v>1453.3574999999998</v>
      </c>
      <c r="CT45" s="91">
        <v>1861.5344999999998</v>
      </c>
      <c r="CU45" s="91">
        <v>2623.1114999999995</v>
      </c>
      <c r="CV45" s="91">
        <v>18525.227999999999</v>
      </c>
      <c r="CW45" s="758"/>
      <c r="CX45" s="884">
        <v>1474.9799999999998</v>
      </c>
      <c r="CY45" s="884">
        <v>1140.1799999999998</v>
      </c>
      <c r="CZ45" s="884">
        <v>1281.9584999999997</v>
      </c>
      <c r="DA45" s="884">
        <v>1188.3074999999999</v>
      </c>
      <c r="DB45" s="884">
        <v>1333.2014999999999</v>
      </c>
      <c r="DC45" s="884">
        <v>1606.2029999999997</v>
      </c>
      <c r="DD45" s="884">
        <v>1931.3309999999997</v>
      </c>
      <c r="DE45" s="884">
        <v>1291.6769999999999</v>
      </c>
      <c r="DF45" s="884">
        <v>1339.386</v>
      </c>
      <c r="DG45" s="884">
        <v>1453.3574999999998</v>
      </c>
      <c r="DH45" s="884">
        <v>1861.5344999999998</v>
      </c>
      <c r="DI45" s="884">
        <v>2623.1114999999995</v>
      </c>
      <c r="DJ45" s="91">
        <v>18525.227999999999</v>
      </c>
      <c r="DK45" s="949"/>
      <c r="DL45" s="884">
        <v>1474.9799999999998</v>
      </c>
      <c r="DM45" s="884">
        <v>1140.1799999999998</v>
      </c>
      <c r="DN45" s="884">
        <v>1281.9584999999997</v>
      </c>
      <c r="DO45" s="884">
        <v>1188.3074999999999</v>
      </c>
      <c r="DP45" s="884">
        <v>1333.2014999999999</v>
      </c>
      <c r="DQ45" s="884">
        <v>1606.2029999999997</v>
      </c>
      <c r="DR45" s="884">
        <v>1931.3309999999997</v>
      </c>
      <c r="DS45" s="884">
        <v>1291.6769999999999</v>
      </c>
      <c r="DT45" s="884">
        <v>1339.386</v>
      </c>
      <c r="DU45" s="884">
        <v>1453.3574999999998</v>
      </c>
      <c r="DV45" s="884">
        <v>1861.5344999999998</v>
      </c>
      <c r="DW45" s="884">
        <v>2623.1114999999995</v>
      </c>
      <c r="DX45" s="91">
        <v>18525.227999999999</v>
      </c>
    </row>
    <row r="46" spans="1:129" ht="15" hidden="1" customHeight="1" outlineLevel="1">
      <c r="A46" s="94">
        <v>6</v>
      </c>
      <c r="B46" s="1079" t="s">
        <v>61</v>
      </c>
      <c r="C46" s="1120"/>
      <c r="D46" s="313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314">
        <f t="shared" si="74"/>
        <v>0</v>
      </c>
      <c r="Q46" s="90"/>
      <c r="R46" s="313">
        <v>1455</v>
      </c>
      <c r="S46" s="91">
        <v>1273</v>
      </c>
      <c r="T46" s="91">
        <v>1364</v>
      </c>
      <c r="U46" s="91">
        <v>0</v>
      </c>
      <c r="V46" s="91">
        <v>200</v>
      </c>
      <c r="W46" s="91">
        <v>800</v>
      </c>
      <c r="X46" s="91">
        <v>1600</v>
      </c>
      <c r="Y46" s="91">
        <v>1600</v>
      </c>
      <c r="Z46" s="91">
        <v>1600</v>
      </c>
      <c r="AA46" s="91">
        <v>1600</v>
      </c>
      <c r="AB46" s="91">
        <v>1800</v>
      </c>
      <c r="AC46" s="91">
        <v>2400</v>
      </c>
      <c r="AD46" s="315">
        <f t="shared" si="75"/>
        <v>15692</v>
      </c>
      <c r="AE46" s="23"/>
      <c r="AF46" s="316">
        <v>1500</v>
      </c>
      <c r="AG46" s="91">
        <v>1200</v>
      </c>
      <c r="AH46" s="91">
        <v>127</v>
      </c>
      <c r="AI46" s="91">
        <v>426</v>
      </c>
      <c r="AJ46" s="91">
        <v>1063</v>
      </c>
      <c r="AK46" s="91">
        <v>960</v>
      </c>
      <c r="AL46" s="91">
        <v>1500</v>
      </c>
      <c r="AM46" s="91">
        <v>1200</v>
      </c>
      <c r="AN46" s="91">
        <v>1200</v>
      </c>
      <c r="AO46" s="91">
        <v>1200</v>
      </c>
      <c r="AP46" s="91">
        <v>1320</v>
      </c>
      <c r="AQ46" s="91">
        <v>1920</v>
      </c>
      <c r="AR46" s="92">
        <f t="shared" si="76"/>
        <v>13616</v>
      </c>
      <c r="AS46" s="23"/>
      <c r="AT46" s="91">
        <v>1222</v>
      </c>
      <c r="AU46" s="91">
        <v>1200</v>
      </c>
      <c r="AV46" s="91">
        <v>1117</v>
      </c>
      <c r="AW46" s="91">
        <v>1463</v>
      </c>
      <c r="AX46" s="317">
        <v>1087</v>
      </c>
      <c r="AY46" s="317">
        <v>1087</v>
      </c>
      <c r="AZ46" s="317">
        <v>1038</v>
      </c>
      <c r="BA46" s="317">
        <v>1038</v>
      </c>
      <c r="BB46" s="317">
        <v>1087</v>
      </c>
      <c r="BC46" s="317">
        <v>1285</v>
      </c>
      <c r="BD46" s="317">
        <v>1384</v>
      </c>
      <c r="BE46" s="317">
        <v>1977</v>
      </c>
      <c r="BF46" s="91">
        <f t="shared" si="77"/>
        <v>14985</v>
      </c>
      <c r="BG46" s="93">
        <f t="shared" si="78"/>
        <v>0.10054347826086962</v>
      </c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>
        <v>10087</v>
      </c>
      <c r="BU46" s="54"/>
      <c r="BV46" s="91">
        <v>1214.58</v>
      </c>
      <c r="BW46" s="91">
        <v>939.3</v>
      </c>
      <c r="BX46" s="91">
        <f>'META  EM PEÇAS'!U31-('META  EM PEÇAS'!U31*0.05)</f>
        <v>1055.7824999999998</v>
      </c>
      <c r="BY46" s="91">
        <f>'META  EM PEÇAS'!V31-('META  EM PEÇAS'!V31*0.05)</f>
        <v>978.03449999999998</v>
      </c>
      <c r="BZ46" s="91">
        <f>'META  EM PEÇAS'!W31-('META  EM PEÇAS'!W31*0.05)</f>
        <v>1098.1904999999999</v>
      </c>
      <c r="CA46" s="91">
        <f>'META  EM PEÇAS'!X31-('META  EM PEÇAS'!X31*0.05)</f>
        <v>1322.5994999999998</v>
      </c>
      <c r="CB46" s="91">
        <f>'META  EM PEÇAS'!Y31-('META  EM PEÇAS'!Y31*0.05)</f>
        <v>1590.3</v>
      </c>
      <c r="CC46" s="91">
        <f>'META  EM PEÇAS'!Z31-('META  EM PEÇAS'!Z31*0.05)</f>
        <v>1062.8505</v>
      </c>
      <c r="CD46" s="91">
        <f>'META  EM PEÇAS'!AA31-('META  EM PEÇAS'!AA31*0.05)</f>
        <v>1102.6079999999999</v>
      </c>
      <c r="CE46" s="91">
        <f>'META  EM PEÇAS'!AB31-('META  EM PEÇAS'!AB31*0.05)</f>
        <v>1196.259</v>
      </c>
      <c r="CF46" s="91">
        <f>'META  EM PEÇAS'!AC31-('META  EM PEÇAS'!AC31*0.05)</f>
        <v>1532.8724999999999</v>
      </c>
      <c r="CG46" s="91">
        <f>'META  EM PEÇAS'!AD31-('META  EM PEÇAS'!AD31*0.05)</f>
        <v>2160.1574999999998</v>
      </c>
      <c r="CH46" s="91">
        <f t="shared" si="79"/>
        <v>15253.534499999998</v>
      </c>
      <c r="CJ46" s="91">
        <v>1214.58</v>
      </c>
      <c r="CK46" s="91">
        <v>939.3</v>
      </c>
      <c r="CL46" s="91">
        <v>1055.7824999999998</v>
      </c>
      <c r="CM46" s="91">
        <v>978.03449999999998</v>
      </c>
      <c r="CN46" s="91">
        <v>1098.1904999999999</v>
      </c>
      <c r="CO46" s="91">
        <v>1322.5994999999998</v>
      </c>
      <c r="CP46" s="91">
        <v>1590.3</v>
      </c>
      <c r="CQ46" s="91">
        <v>1062.8505</v>
      </c>
      <c r="CR46" s="91">
        <v>1102.6079999999999</v>
      </c>
      <c r="CS46" s="91">
        <v>1196.259</v>
      </c>
      <c r="CT46" s="91">
        <v>1532.8724999999999</v>
      </c>
      <c r="CU46" s="91">
        <v>2160.1574999999998</v>
      </c>
      <c r="CV46" s="91">
        <v>15253.534499999998</v>
      </c>
      <c r="CW46" s="758"/>
      <c r="CX46" s="884">
        <v>1214.58</v>
      </c>
      <c r="CY46" s="884">
        <v>939.3</v>
      </c>
      <c r="CZ46" s="884">
        <v>1055.7824999999998</v>
      </c>
      <c r="DA46" s="884">
        <v>978.03449999999998</v>
      </c>
      <c r="DB46" s="884">
        <v>1098.1904999999999</v>
      </c>
      <c r="DC46" s="884">
        <v>1322.5994999999998</v>
      </c>
      <c r="DD46" s="884">
        <v>1590.3</v>
      </c>
      <c r="DE46" s="884">
        <v>1062.8505</v>
      </c>
      <c r="DF46" s="884">
        <v>1102.6079999999999</v>
      </c>
      <c r="DG46" s="884">
        <v>1196.259</v>
      </c>
      <c r="DH46" s="884">
        <v>1532.8724999999999</v>
      </c>
      <c r="DI46" s="884">
        <v>2160.1574999999998</v>
      </c>
      <c r="DJ46" s="91">
        <v>15253.534499999998</v>
      </c>
      <c r="DK46" s="949"/>
      <c r="DL46" s="884">
        <v>1214.58</v>
      </c>
      <c r="DM46" s="884">
        <v>939.3</v>
      </c>
      <c r="DN46" s="884">
        <v>1055.7824999999998</v>
      </c>
      <c r="DO46" s="884">
        <v>978.03449999999998</v>
      </c>
      <c r="DP46" s="884">
        <v>1098.1904999999999</v>
      </c>
      <c r="DQ46" s="884">
        <v>1322.5994999999998</v>
      </c>
      <c r="DR46" s="884">
        <v>1590.3</v>
      </c>
      <c r="DS46" s="884">
        <v>1062.8505</v>
      </c>
      <c r="DT46" s="884">
        <v>1102.6079999999999</v>
      </c>
      <c r="DU46" s="884">
        <v>1196.259</v>
      </c>
      <c r="DV46" s="884">
        <v>1532.8724999999999</v>
      </c>
      <c r="DW46" s="884">
        <v>2160.1574999999998</v>
      </c>
      <c r="DX46" s="91">
        <v>15253.534499999998</v>
      </c>
    </row>
    <row r="47" spans="1:129" ht="15" hidden="1" customHeight="1" outlineLevel="1">
      <c r="A47" s="94">
        <v>7</v>
      </c>
      <c r="B47" s="1079" t="s">
        <v>62</v>
      </c>
      <c r="C47" s="1120"/>
      <c r="D47" s="313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314">
        <f t="shared" si="74"/>
        <v>0</v>
      </c>
      <c r="Q47" s="90"/>
      <c r="R47" s="313">
        <v>2000</v>
      </c>
      <c r="S47" s="91">
        <f>2182</f>
        <v>2182</v>
      </c>
      <c r="T47" s="91">
        <f>2455/2</f>
        <v>1227.5</v>
      </c>
      <c r="U47" s="91">
        <f>4*U7</f>
        <v>4</v>
      </c>
      <c r="V47" s="91">
        <v>200</v>
      </c>
      <c r="W47" s="91">
        <v>700</v>
      </c>
      <c r="X47" s="91">
        <v>1600</v>
      </c>
      <c r="Y47" s="91">
        <v>1600</v>
      </c>
      <c r="Z47" s="91">
        <v>1600</v>
      </c>
      <c r="AA47" s="91">
        <v>1600</v>
      </c>
      <c r="AB47" s="91">
        <v>2500</v>
      </c>
      <c r="AC47" s="91">
        <v>3200</v>
      </c>
      <c r="AD47" s="315">
        <f t="shared" si="75"/>
        <v>18413.5</v>
      </c>
      <c r="AE47" s="23"/>
      <c r="AF47" s="316">
        <v>2600</v>
      </c>
      <c r="AG47" s="91">
        <v>1000</v>
      </c>
      <c r="AH47" s="91">
        <v>195</v>
      </c>
      <c r="AI47" s="91">
        <v>844</v>
      </c>
      <c r="AJ47" s="91">
        <v>1973</v>
      </c>
      <c r="AK47" s="91">
        <v>1840</v>
      </c>
      <c r="AL47" s="91">
        <v>2000</v>
      </c>
      <c r="AM47" s="91">
        <v>2300</v>
      </c>
      <c r="AN47" s="91">
        <v>2300</v>
      </c>
      <c r="AO47" s="91">
        <v>2300</v>
      </c>
      <c r="AP47" s="91">
        <v>2530</v>
      </c>
      <c r="AQ47" s="91">
        <v>3680</v>
      </c>
      <c r="AR47" s="92">
        <f t="shared" si="76"/>
        <v>23562</v>
      </c>
      <c r="AS47" s="23"/>
      <c r="AT47" s="91">
        <v>1888</v>
      </c>
      <c r="AU47" s="91">
        <v>1414</v>
      </c>
      <c r="AV47" s="91">
        <v>2073</v>
      </c>
      <c r="AW47" s="91">
        <v>2338</v>
      </c>
      <c r="AX47" s="317">
        <v>1857</v>
      </c>
      <c r="AY47" s="317">
        <v>1857</v>
      </c>
      <c r="AZ47" s="317">
        <v>1772</v>
      </c>
      <c r="BA47" s="317">
        <v>1772</v>
      </c>
      <c r="BB47" s="317">
        <v>1857</v>
      </c>
      <c r="BC47" s="317">
        <v>2194</v>
      </c>
      <c r="BD47" s="317">
        <v>2363</v>
      </c>
      <c r="BE47" s="317">
        <v>3376</v>
      </c>
      <c r="BF47" s="91">
        <f t="shared" si="77"/>
        <v>24761</v>
      </c>
      <c r="BG47" s="93">
        <f t="shared" si="78"/>
        <v>5.0887021475256811E-2</v>
      </c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>
        <v>22941</v>
      </c>
      <c r="BU47" s="54"/>
      <c r="BV47" s="91">
        <v>3211.29</v>
      </c>
      <c r="BW47" s="91">
        <v>2482.1699999999996</v>
      </c>
      <c r="BX47" s="91">
        <f>'META  EM PEÇAS'!U32-('META  EM PEÇAS'!U32*0.05)</f>
        <v>2790.0929999999998</v>
      </c>
      <c r="BY47" s="91">
        <f>'META  EM PEÇAS'!V32-('META  EM PEÇAS'!V32*0.05)</f>
        <v>2586.0044999999996</v>
      </c>
      <c r="BZ47" s="91">
        <f>'META  EM PEÇAS'!W32-('META  EM PEÇAS'!W32*0.05)</f>
        <v>2902.2974999999997</v>
      </c>
      <c r="CA47" s="91">
        <f>'META  EM PEÇAS'!X32-('META  EM PEÇAS'!X32*0.05)</f>
        <v>3495.1259999999997</v>
      </c>
      <c r="CB47" s="91">
        <f>'META  EM PEÇAS'!Y32-('META  EM PEÇAS'!Y32*0.05)</f>
        <v>4203.6929999999993</v>
      </c>
      <c r="CC47" s="91">
        <f>'META  EM PEÇAS'!Z32-('META  EM PEÇAS'!Z32*0.05)</f>
        <v>2810.4135000000001</v>
      </c>
      <c r="CD47" s="91">
        <f>'META  EM PEÇAS'!AA32-('META  EM PEÇAS'!AA32*0.05)</f>
        <v>2914.6664999999998</v>
      </c>
      <c r="CE47" s="91">
        <f>'META  EM PEÇAS'!AB32-('META  EM PEÇAS'!AB32*0.05)</f>
        <v>3162.93</v>
      </c>
      <c r="CF47" s="91">
        <f>'META  EM PEÇAS'!AC32-('META  EM PEÇAS'!AC32*0.05)</f>
        <v>4051.7309999999998</v>
      </c>
      <c r="CG47" s="91">
        <f>'META  EM PEÇAS'!AD32-('META  EM PEÇAS'!AD32*0.05)</f>
        <v>5709.1769999999997</v>
      </c>
      <c r="CH47" s="91">
        <f t="shared" si="79"/>
        <v>40319.59199999999</v>
      </c>
      <c r="CJ47" s="91">
        <v>3211.29</v>
      </c>
      <c r="CK47" s="91">
        <v>2482.1699999999996</v>
      </c>
      <c r="CL47" s="91">
        <v>2790.0929999999998</v>
      </c>
      <c r="CM47" s="91">
        <v>2586.0044999999996</v>
      </c>
      <c r="CN47" s="91">
        <v>2902.2974999999997</v>
      </c>
      <c r="CO47" s="91">
        <v>3495.1259999999997</v>
      </c>
      <c r="CP47" s="91">
        <v>4203.6929999999993</v>
      </c>
      <c r="CQ47" s="91">
        <v>2810.4135000000001</v>
      </c>
      <c r="CR47" s="91">
        <v>2914.6664999999998</v>
      </c>
      <c r="CS47" s="91">
        <v>3162.93</v>
      </c>
      <c r="CT47" s="91">
        <v>4051.7309999999998</v>
      </c>
      <c r="CU47" s="91">
        <v>5709.1769999999997</v>
      </c>
      <c r="CV47" s="91">
        <v>40319.59199999999</v>
      </c>
      <c r="CW47" s="758"/>
      <c r="CX47" s="884">
        <v>3211.29</v>
      </c>
      <c r="CY47" s="884">
        <v>2482.1699999999996</v>
      </c>
      <c r="CZ47" s="884">
        <v>2790.0929999999998</v>
      </c>
      <c r="DA47" s="884">
        <v>2586.0044999999996</v>
      </c>
      <c r="DB47" s="884">
        <v>2902.2974999999997</v>
      </c>
      <c r="DC47" s="884">
        <v>3495.1259999999997</v>
      </c>
      <c r="DD47" s="884">
        <v>4203.6929999999993</v>
      </c>
      <c r="DE47" s="884">
        <v>2810.4135000000001</v>
      </c>
      <c r="DF47" s="884">
        <v>2914.6664999999998</v>
      </c>
      <c r="DG47" s="884">
        <v>3162.93</v>
      </c>
      <c r="DH47" s="884">
        <v>4051.7309999999998</v>
      </c>
      <c r="DI47" s="884">
        <v>5709.1769999999997</v>
      </c>
      <c r="DJ47" s="91">
        <v>40319.59199999999</v>
      </c>
      <c r="DK47" s="949"/>
      <c r="DL47" s="884">
        <v>3211.29</v>
      </c>
      <c r="DM47" s="884">
        <v>2482.1699999999996</v>
      </c>
      <c r="DN47" s="884">
        <v>2790.0929999999998</v>
      </c>
      <c r="DO47" s="884">
        <v>2586.0044999999996</v>
      </c>
      <c r="DP47" s="884">
        <v>2902.2974999999997</v>
      </c>
      <c r="DQ47" s="884">
        <v>3495.1259999999997</v>
      </c>
      <c r="DR47" s="884">
        <v>4203.6929999999993</v>
      </c>
      <c r="DS47" s="884">
        <v>2810.4135000000001</v>
      </c>
      <c r="DT47" s="884">
        <v>2914.6664999999998</v>
      </c>
      <c r="DU47" s="884">
        <v>3162.93</v>
      </c>
      <c r="DV47" s="884">
        <v>4051.7309999999998</v>
      </c>
      <c r="DW47" s="884">
        <v>5709.1769999999997</v>
      </c>
      <c r="DX47" s="91">
        <v>40319.59199999999</v>
      </c>
    </row>
    <row r="48" spans="1:129" ht="15" hidden="1" customHeight="1" outlineLevel="1">
      <c r="A48" s="94">
        <v>9</v>
      </c>
      <c r="B48" s="1079" t="s">
        <v>63</v>
      </c>
      <c r="C48" s="1120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314">
        <f t="shared" si="74"/>
        <v>0</v>
      </c>
      <c r="Q48" s="90"/>
      <c r="R48" s="313">
        <v>1636</v>
      </c>
      <c r="S48" s="91">
        <v>1636</v>
      </c>
      <c r="T48" s="91">
        <f t="shared" ref="T48:T49" si="81">1818/2</f>
        <v>909</v>
      </c>
      <c r="U48" s="91">
        <v>0</v>
      </c>
      <c r="V48" s="91">
        <v>200</v>
      </c>
      <c r="W48" s="91">
        <v>300</v>
      </c>
      <c r="X48" s="91">
        <v>1000</v>
      </c>
      <c r="Y48" s="91">
        <v>1200</v>
      </c>
      <c r="Z48" s="91">
        <v>1600</v>
      </c>
      <c r="AA48" s="91">
        <v>1600</v>
      </c>
      <c r="AB48" s="91">
        <v>1800</v>
      </c>
      <c r="AC48" s="91">
        <v>2300</v>
      </c>
      <c r="AD48" s="315">
        <f t="shared" si="75"/>
        <v>14181</v>
      </c>
      <c r="AE48" s="23"/>
      <c r="AF48" s="316">
        <v>1500</v>
      </c>
      <c r="AG48" s="91">
        <v>1000</v>
      </c>
      <c r="AH48" s="91">
        <v>126</v>
      </c>
      <c r="AI48" s="91">
        <v>387</v>
      </c>
      <c r="AJ48" s="91">
        <v>895</v>
      </c>
      <c r="AK48" s="91">
        <v>800</v>
      </c>
      <c r="AL48" s="91">
        <v>1500</v>
      </c>
      <c r="AM48" s="91">
        <v>1000</v>
      </c>
      <c r="AN48" s="91">
        <v>1000</v>
      </c>
      <c r="AO48" s="91">
        <v>1000</v>
      </c>
      <c r="AP48" s="91">
        <v>1100</v>
      </c>
      <c r="AQ48" s="91">
        <v>1600</v>
      </c>
      <c r="AR48" s="92">
        <f t="shared" si="76"/>
        <v>11908</v>
      </c>
      <c r="AS48" s="23"/>
      <c r="AT48" s="91">
        <v>1182</v>
      </c>
      <c r="AU48" s="91">
        <v>1200</v>
      </c>
      <c r="AV48" s="91">
        <v>932</v>
      </c>
      <c r="AW48" s="91">
        <v>1020</v>
      </c>
      <c r="AX48" s="317">
        <v>0</v>
      </c>
      <c r="AY48" s="317">
        <v>0</v>
      </c>
      <c r="AZ48" s="317">
        <v>0</v>
      </c>
      <c r="BA48" s="317">
        <v>0</v>
      </c>
      <c r="BB48" s="317">
        <v>0</v>
      </c>
      <c r="BC48" s="317">
        <v>0</v>
      </c>
      <c r="BD48" s="317">
        <v>0</v>
      </c>
      <c r="BE48" s="317">
        <v>0</v>
      </c>
      <c r="BF48" s="91">
        <f t="shared" si="77"/>
        <v>4334</v>
      </c>
      <c r="BG48" s="93">
        <f t="shared" si="78"/>
        <v>-0.63604299630500505</v>
      </c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>
        <v>7070</v>
      </c>
      <c r="BU48" s="54"/>
      <c r="BV48" s="91">
        <v>928.14</v>
      </c>
      <c r="BW48" s="91">
        <v>717.95999999999992</v>
      </c>
      <c r="BX48" s="91">
        <f>'META  EM PEÇAS'!U37-('META  EM PEÇAS'!U37*0.05)</f>
        <v>806.63549999999987</v>
      </c>
      <c r="BY48" s="91">
        <f>'META  EM PEÇAS'!V37-('META  EM PEÇAS'!V37*0.05)</f>
        <v>747.44100000000003</v>
      </c>
      <c r="BZ48" s="91">
        <f>'META  EM PEÇAS'!W37-('META  EM PEÇAS'!W37*0.05)</f>
        <v>839.32499999999993</v>
      </c>
      <c r="CA48" s="91">
        <f>'META  EM PEÇAS'!X37-('META  EM PEÇAS'!X37*0.05)</f>
        <v>1010.7239999999998</v>
      </c>
      <c r="CB48" s="91">
        <f>'META  EM PEÇAS'!Y37-('META  EM PEÇAS'!Y37*0.05)</f>
        <v>1214.8125</v>
      </c>
      <c r="CC48" s="91">
        <f>'META  EM PEÇAS'!Z37-('META  EM PEÇAS'!Z37*0.05)</f>
        <v>812.81999999999994</v>
      </c>
      <c r="CD48" s="91">
        <f>'META  EM PEÇAS'!AA37-('META  EM PEÇAS'!AA37*0.05)</f>
        <v>842.85899999999992</v>
      </c>
      <c r="CE48" s="91">
        <f>'META  EM PEÇAS'!AB37-('META  EM PEÇAS'!AB37*0.05)</f>
        <v>914.4224999999999</v>
      </c>
      <c r="CF48" s="91">
        <f>'META  EM PEÇAS'!AC37-('META  EM PEÇAS'!AC37*0.05)</f>
        <v>1171.5209999999997</v>
      </c>
      <c r="CG48" s="91">
        <f>'META  EM PEÇAS'!AD37-('META  EM PEÇAS'!AD37*0.05)</f>
        <v>1650.3779999999997</v>
      </c>
      <c r="CH48" s="91">
        <f t="shared" si="79"/>
        <v>11657.038499999999</v>
      </c>
      <c r="CJ48" s="91">
        <v>928.14</v>
      </c>
      <c r="CK48" s="91">
        <v>717.95999999999992</v>
      </c>
      <c r="CL48" s="91">
        <v>806.63549999999987</v>
      </c>
      <c r="CM48" s="91">
        <v>747.44100000000003</v>
      </c>
      <c r="CN48" s="91">
        <v>839.32499999999993</v>
      </c>
      <c r="CO48" s="91">
        <v>1010.7239999999998</v>
      </c>
      <c r="CP48" s="91">
        <v>1214.8125</v>
      </c>
      <c r="CQ48" s="91">
        <v>812.81999999999994</v>
      </c>
      <c r="CR48" s="91">
        <v>842.85899999999992</v>
      </c>
      <c r="CS48" s="91">
        <v>914.4224999999999</v>
      </c>
      <c r="CT48" s="91">
        <v>1171.5209999999997</v>
      </c>
      <c r="CU48" s="91">
        <v>1650.3779999999997</v>
      </c>
      <c r="CV48" s="91">
        <v>11657.038499999999</v>
      </c>
      <c r="CW48" s="758"/>
      <c r="CX48" s="884">
        <v>928.14</v>
      </c>
      <c r="CY48" s="884">
        <v>717.95999999999992</v>
      </c>
      <c r="CZ48" s="884">
        <v>806.63549999999987</v>
      </c>
      <c r="DA48" s="884">
        <v>747.44100000000003</v>
      </c>
      <c r="DB48" s="884">
        <v>839.32499999999993</v>
      </c>
      <c r="DC48" s="884">
        <v>1010.7239999999998</v>
      </c>
      <c r="DD48" s="884">
        <v>1214.8125</v>
      </c>
      <c r="DE48" s="884">
        <v>812.81999999999994</v>
      </c>
      <c r="DF48" s="884">
        <v>842.85899999999992</v>
      </c>
      <c r="DG48" s="884">
        <v>914.4224999999999</v>
      </c>
      <c r="DH48" s="884">
        <v>1171.5209999999997</v>
      </c>
      <c r="DI48" s="884">
        <v>1650.3779999999997</v>
      </c>
      <c r="DJ48" s="91">
        <v>11657.038499999999</v>
      </c>
      <c r="DK48" s="949"/>
      <c r="DL48" s="884">
        <v>928.14</v>
      </c>
      <c r="DM48" s="884">
        <v>717.95999999999992</v>
      </c>
      <c r="DN48" s="884">
        <v>806.63549999999987</v>
      </c>
      <c r="DO48" s="884">
        <v>747.44100000000003</v>
      </c>
      <c r="DP48" s="884">
        <v>839.32499999999993</v>
      </c>
      <c r="DQ48" s="884">
        <v>1010.7239999999998</v>
      </c>
      <c r="DR48" s="884">
        <v>1214.8125</v>
      </c>
      <c r="DS48" s="884">
        <v>812.81999999999994</v>
      </c>
      <c r="DT48" s="884">
        <v>842.85899999999992</v>
      </c>
      <c r="DU48" s="884">
        <v>914.4224999999999</v>
      </c>
      <c r="DV48" s="884">
        <v>1171.5209999999997</v>
      </c>
      <c r="DW48" s="884">
        <v>1650.3779999999997</v>
      </c>
      <c r="DX48" s="91">
        <v>11657.038499999999</v>
      </c>
    </row>
    <row r="49" spans="1:128" ht="15" hidden="1" customHeight="1" outlineLevel="1">
      <c r="A49" s="94">
        <v>10</v>
      </c>
      <c r="B49" s="1079" t="s">
        <v>64</v>
      </c>
      <c r="C49" s="1120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>
        <f t="shared" si="74"/>
        <v>0</v>
      </c>
      <c r="Q49" s="90"/>
      <c r="R49" s="313">
        <v>1636</v>
      </c>
      <c r="S49" s="91">
        <v>1636</v>
      </c>
      <c r="T49" s="91">
        <f t="shared" si="81"/>
        <v>909</v>
      </c>
      <c r="U49" s="91">
        <f>0.5*U7</f>
        <v>0.5</v>
      </c>
      <c r="V49" s="91">
        <v>200</v>
      </c>
      <c r="W49" s="91">
        <v>300</v>
      </c>
      <c r="X49" s="91">
        <v>1000</v>
      </c>
      <c r="Y49" s="91">
        <v>1200</v>
      </c>
      <c r="Z49" s="91">
        <v>1600</v>
      </c>
      <c r="AA49" s="91">
        <v>1600</v>
      </c>
      <c r="AB49" s="91">
        <v>1800</v>
      </c>
      <c r="AC49" s="91">
        <v>2300</v>
      </c>
      <c r="AD49" s="315">
        <f t="shared" si="75"/>
        <v>14181.5</v>
      </c>
      <c r="AE49" s="23"/>
      <c r="AF49" s="316">
        <v>1500</v>
      </c>
      <c r="AG49" s="91">
        <v>1000</v>
      </c>
      <c r="AH49" s="91">
        <v>764</v>
      </c>
      <c r="AI49" s="91">
        <v>561</v>
      </c>
      <c r="AJ49" s="91">
        <v>1353</v>
      </c>
      <c r="AK49" s="91">
        <v>960</v>
      </c>
      <c r="AL49" s="91">
        <v>1500</v>
      </c>
      <c r="AM49" s="91">
        <v>1200</v>
      </c>
      <c r="AN49" s="91">
        <v>1200</v>
      </c>
      <c r="AO49" s="91">
        <v>1200</v>
      </c>
      <c r="AP49" s="91">
        <v>1320</v>
      </c>
      <c r="AQ49" s="91">
        <v>1920</v>
      </c>
      <c r="AR49" s="92">
        <f t="shared" si="76"/>
        <v>14478</v>
      </c>
      <c r="AS49" s="23"/>
      <c r="AT49" s="91">
        <v>1285</v>
      </c>
      <c r="AU49" s="91">
        <v>957</v>
      </c>
      <c r="AV49" s="91">
        <v>1426</v>
      </c>
      <c r="AW49" s="91">
        <v>1595</v>
      </c>
      <c r="AX49" s="317">
        <v>1767</v>
      </c>
      <c r="AY49" s="317">
        <v>1767</v>
      </c>
      <c r="AZ49" s="317">
        <v>1686</v>
      </c>
      <c r="BA49" s="317">
        <v>1686</v>
      </c>
      <c r="BB49" s="317">
        <v>1767</v>
      </c>
      <c r="BC49" s="317">
        <v>2088</v>
      </c>
      <c r="BD49" s="317">
        <v>2248</v>
      </c>
      <c r="BE49" s="317">
        <v>3212</v>
      </c>
      <c r="BF49" s="91">
        <f t="shared" si="77"/>
        <v>21484</v>
      </c>
      <c r="BG49" s="93">
        <f t="shared" si="78"/>
        <v>0.48390661693604087</v>
      </c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>
        <v>16952</v>
      </c>
      <c r="BU49" s="54"/>
      <c r="BV49" s="91">
        <v>2631.8999999999996</v>
      </c>
      <c r="BW49" s="91">
        <v>2034.84</v>
      </c>
      <c r="BX49" s="91">
        <f>'META  EM PEÇAS'!U33-('META  EM PEÇAS'!U33*0.05)</f>
        <v>2287.3815</v>
      </c>
      <c r="BY49" s="91">
        <f>'META  EM PEÇAS'!V33-('META  EM PEÇAS'!V33*0.05)</f>
        <v>2119.5164999999997</v>
      </c>
      <c r="BZ49" s="91">
        <f>'META  EM PEÇAS'!W33-('META  EM PEÇAS'!W33*0.05)</f>
        <v>2379.2655</v>
      </c>
      <c r="CA49" s="91">
        <f>'META  EM PEÇAS'!X33-('META  EM PEÇAS'!X33*0.05)</f>
        <v>2865.1904999999997</v>
      </c>
      <c r="CB49" s="91">
        <f>'META  EM PEÇAS'!Y33-('META  EM PEÇAS'!Y33*0.05)</f>
        <v>3445.6499999999996</v>
      </c>
      <c r="CC49" s="91">
        <f>'META  EM PEÇAS'!Z33-('META  EM PEÇAS'!Z33*0.05)</f>
        <v>2303.2844999999998</v>
      </c>
      <c r="CD49" s="91">
        <f>'META  EM PEÇAS'!AA33-('META  EM PEÇAS'!AA33*0.05)</f>
        <v>2388.9839999999999</v>
      </c>
      <c r="CE49" s="91">
        <f>'META  EM PEÇAS'!AB33-('META  EM PEÇAS'!AB33*0.05)</f>
        <v>2592.1889999999999</v>
      </c>
      <c r="CF49" s="91">
        <f>'META  EM PEÇAS'!AC33-('META  EM PEÇAS'!AC33*0.05)</f>
        <v>3321.0765000000001</v>
      </c>
      <c r="CG49" s="91">
        <f>'META  EM PEÇAS'!AD33-('META  EM PEÇAS'!AD33*0.05)</f>
        <v>4679.8995000000004</v>
      </c>
      <c r="CH49" s="91">
        <f t="shared" si="79"/>
        <v>33049.177499999998</v>
      </c>
      <c r="CJ49" s="91">
        <v>2631.8999999999996</v>
      </c>
      <c r="CK49" s="91">
        <v>2034.84</v>
      </c>
      <c r="CL49" s="91">
        <v>2287.3815</v>
      </c>
      <c r="CM49" s="91">
        <v>2119.5164999999997</v>
      </c>
      <c r="CN49" s="91">
        <v>2379.2655</v>
      </c>
      <c r="CO49" s="91">
        <v>2865.1904999999997</v>
      </c>
      <c r="CP49" s="91">
        <v>3445.6499999999996</v>
      </c>
      <c r="CQ49" s="91">
        <v>2303.2844999999998</v>
      </c>
      <c r="CR49" s="91">
        <v>2388.9839999999999</v>
      </c>
      <c r="CS49" s="91">
        <v>2592.1889999999999</v>
      </c>
      <c r="CT49" s="91">
        <v>3321.0765000000001</v>
      </c>
      <c r="CU49" s="91">
        <v>4679.8995000000004</v>
      </c>
      <c r="CV49" s="91">
        <v>33049.177499999998</v>
      </c>
      <c r="CW49" s="758"/>
      <c r="CX49" s="884">
        <v>2631.8999999999996</v>
      </c>
      <c r="CY49" s="884">
        <v>2034.84</v>
      </c>
      <c r="CZ49" s="884">
        <v>2287.3815</v>
      </c>
      <c r="DA49" s="884">
        <v>2119.5164999999997</v>
      </c>
      <c r="DB49" s="884">
        <v>2379.2655</v>
      </c>
      <c r="DC49" s="884">
        <v>2865.1904999999997</v>
      </c>
      <c r="DD49" s="884">
        <v>3445.6499999999996</v>
      </c>
      <c r="DE49" s="884">
        <v>2303.2844999999998</v>
      </c>
      <c r="DF49" s="884">
        <v>2388.9839999999999</v>
      </c>
      <c r="DG49" s="884">
        <v>2592.1889999999999</v>
      </c>
      <c r="DH49" s="884">
        <v>3321.0765000000001</v>
      </c>
      <c r="DI49" s="884">
        <v>4679.8995000000004</v>
      </c>
      <c r="DJ49" s="91">
        <v>33049.177499999998</v>
      </c>
      <c r="DK49" s="949"/>
      <c r="DL49" s="884">
        <v>2631.8999999999996</v>
      </c>
      <c r="DM49" s="884">
        <v>2034.84</v>
      </c>
      <c r="DN49" s="884">
        <v>2287.3815</v>
      </c>
      <c r="DO49" s="884">
        <v>2119.5164999999997</v>
      </c>
      <c r="DP49" s="884">
        <v>2379.2655</v>
      </c>
      <c r="DQ49" s="884">
        <v>2865.1904999999997</v>
      </c>
      <c r="DR49" s="884">
        <v>3445.6499999999996</v>
      </c>
      <c r="DS49" s="884">
        <v>2303.2844999999998</v>
      </c>
      <c r="DT49" s="884">
        <v>2388.9839999999999</v>
      </c>
      <c r="DU49" s="884">
        <v>2592.1889999999999</v>
      </c>
      <c r="DV49" s="884">
        <v>3321.0765000000001</v>
      </c>
      <c r="DW49" s="884">
        <v>4679.8995000000004</v>
      </c>
      <c r="DX49" s="91">
        <v>33049.177499999998</v>
      </c>
    </row>
    <row r="50" spans="1:128" ht="15" hidden="1" customHeight="1" outlineLevel="1">
      <c r="A50" s="94">
        <v>10</v>
      </c>
      <c r="B50" s="1079" t="s">
        <v>65</v>
      </c>
      <c r="C50" s="1120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>
        <f t="shared" si="74"/>
        <v>0</v>
      </c>
      <c r="Q50" s="90"/>
      <c r="R50" s="313">
        <v>0</v>
      </c>
      <c r="S50" s="91">
        <v>0</v>
      </c>
      <c r="T50" s="91">
        <v>0</v>
      </c>
      <c r="U50" s="91">
        <v>0</v>
      </c>
      <c r="V50" s="91">
        <v>3500</v>
      </c>
      <c r="W50" s="91">
        <v>350</v>
      </c>
      <c r="X50" s="91">
        <v>800</v>
      </c>
      <c r="Y50" s="91">
        <v>1000</v>
      </c>
      <c r="Z50" s="91">
        <v>1600</v>
      </c>
      <c r="AA50" s="91">
        <v>2000</v>
      </c>
      <c r="AB50" s="91">
        <v>2400</v>
      </c>
      <c r="AC50" s="91">
        <v>3000</v>
      </c>
      <c r="AD50" s="315">
        <f t="shared" si="75"/>
        <v>14650</v>
      </c>
      <c r="AE50" s="23"/>
      <c r="AF50" s="316">
        <v>2500</v>
      </c>
      <c r="AG50" s="91">
        <v>1000</v>
      </c>
      <c r="AH50" s="91">
        <f>2500*0.15</f>
        <v>375</v>
      </c>
      <c r="AI50" s="91">
        <v>787</v>
      </c>
      <c r="AJ50" s="91">
        <v>1569</v>
      </c>
      <c r="AK50" s="91">
        <v>2000</v>
      </c>
      <c r="AL50" s="91">
        <v>2500</v>
      </c>
      <c r="AM50" s="91">
        <v>2500</v>
      </c>
      <c r="AN50" s="91">
        <v>2500</v>
      </c>
      <c r="AO50" s="91">
        <v>2500</v>
      </c>
      <c r="AP50" s="91">
        <v>2750</v>
      </c>
      <c r="AQ50" s="91">
        <v>4000</v>
      </c>
      <c r="AR50" s="92">
        <f t="shared" si="76"/>
        <v>24981</v>
      </c>
      <c r="AS50" s="23"/>
      <c r="AT50" s="91">
        <v>1806</v>
      </c>
      <c r="AU50" s="91">
        <v>2046</v>
      </c>
      <c r="AV50" s="91">
        <v>1646</v>
      </c>
      <c r="AW50" s="91">
        <v>1902</v>
      </c>
      <c r="AX50" s="317">
        <v>1545</v>
      </c>
      <c r="AY50" s="317">
        <v>1545</v>
      </c>
      <c r="AZ50" s="317">
        <v>1475</v>
      </c>
      <c r="BA50" s="317">
        <v>1475</v>
      </c>
      <c r="BB50" s="317">
        <v>1545</v>
      </c>
      <c r="BC50" s="317">
        <v>1826</v>
      </c>
      <c r="BD50" s="317">
        <v>0</v>
      </c>
      <c r="BE50" s="317">
        <v>0</v>
      </c>
      <c r="BF50" s="91">
        <f t="shared" si="77"/>
        <v>16811</v>
      </c>
      <c r="BG50" s="93">
        <f t="shared" si="78"/>
        <v>-0.32704855690324641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>
        <v>10230</v>
      </c>
      <c r="BU50" s="54"/>
      <c r="BV50" s="91">
        <v>1335.48</v>
      </c>
      <c r="BW50" s="91">
        <v>1032.3</v>
      </c>
      <c r="BX50" s="91">
        <f>'META  EM PEÇAS'!U39-('META  EM PEÇAS'!U39*0.05)</f>
        <v>1160.0355</v>
      </c>
      <c r="BY50" s="91">
        <f>'META  EM PEÇAS'!V39-('META  EM PEÇAS'!V39*0.05)</f>
        <v>1075.2194999999999</v>
      </c>
      <c r="BZ50" s="91">
        <f>'META  EM PEÇAS'!W39-('META  EM PEÇAS'!W39*0.05)</f>
        <v>1206.8609999999999</v>
      </c>
      <c r="CA50" s="91">
        <f>'META  EM PEÇAS'!X39-('META  EM PEÇAS'!X39*0.05)</f>
        <v>1453.3574999999998</v>
      </c>
      <c r="CB50" s="91">
        <f>'META  EM PEÇAS'!Y39-('META  EM PEÇAS'!Y39*0.05)</f>
        <v>1747.5629999999999</v>
      </c>
      <c r="CC50" s="91">
        <f>'META  EM PEÇAS'!Z39-('META  EM PEÇAS'!Z39*0.05)</f>
        <v>1168.8705</v>
      </c>
      <c r="CD50" s="91">
        <f>'META  EM PEÇAS'!AA39-('META  EM PEÇAS'!AA39*0.05)</f>
        <v>1212.1619999999998</v>
      </c>
      <c r="CE50" s="91">
        <f>'META  EM PEÇAS'!AB39-('META  EM PEÇAS'!AB39*0.05)</f>
        <v>1314.6479999999999</v>
      </c>
      <c r="CF50" s="91">
        <f>'META  EM PEÇAS'!AC39-('META  EM PEÇAS'!AC39*0.05)</f>
        <v>1684.8344999999999</v>
      </c>
      <c r="CG50" s="91">
        <f>'META  EM PEÇAS'!AD39-('META  EM PEÇAS'!AD39*0.05)</f>
        <v>2373.9645</v>
      </c>
      <c r="CH50" s="91">
        <f t="shared" si="79"/>
        <v>16765.295999999995</v>
      </c>
      <c r="CJ50" s="91">
        <v>1335.48</v>
      </c>
      <c r="CK50" s="91">
        <v>1032.3</v>
      </c>
      <c r="CL50" s="91">
        <v>1160.0355</v>
      </c>
      <c r="CM50" s="91">
        <v>1075.2194999999999</v>
      </c>
      <c r="CN50" s="91">
        <v>1206.8609999999999</v>
      </c>
      <c r="CO50" s="91">
        <v>1453.3574999999998</v>
      </c>
      <c r="CP50" s="91">
        <v>1747.5629999999999</v>
      </c>
      <c r="CQ50" s="91">
        <v>1168.8705</v>
      </c>
      <c r="CR50" s="91">
        <v>1212.1619999999998</v>
      </c>
      <c r="CS50" s="91">
        <v>1314.6479999999999</v>
      </c>
      <c r="CT50" s="91">
        <v>1684.8344999999999</v>
      </c>
      <c r="CU50" s="91">
        <v>2373.9645</v>
      </c>
      <c r="CV50" s="91">
        <v>16765.295999999995</v>
      </c>
      <c r="CW50" s="758"/>
      <c r="CX50" s="884">
        <v>1335.48</v>
      </c>
      <c r="CY50" s="884">
        <v>1032.3</v>
      </c>
      <c r="CZ50" s="884">
        <v>1160.0355</v>
      </c>
      <c r="DA50" s="884">
        <v>1075.2194999999999</v>
      </c>
      <c r="DB50" s="884">
        <v>1206.8609999999999</v>
      </c>
      <c r="DC50" s="884">
        <v>1453.3574999999998</v>
      </c>
      <c r="DD50" s="884">
        <v>1747.5629999999999</v>
      </c>
      <c r="DE50" s="884">
        <v>1168.8705</v>
      </c>
      <c r="DF50" s="884">
        <v>1212.1619999999998</v>
      </c>
      <c r="DG50" s="884">
        <v>1314.6479999999999</v>
      </c>
      <c r="DH50" s="884">
        <v>1684.8344999999999</v>
      </c>
      <c r="DI50" s="884">
        <v>2373.9645</v>
      </c>
      <c r="DJ50" s="91">
        <v>16765.295999999995</v>
      </c>
      <c r="DK50" s="949"/>
      <c r="DL50" s="884">
        <v>1335.48</v>
      </c>
      <c r="DM50" s="884">
        <v>1032.3</v>
      </c>
      <c r="DN50" s="884">
        <v>1160.0355</v>
      </c>
      <c r="DO50" s="884">
        <v>1075.2194999999999</v>
      </c>
      <c r="DP50" s="884">
        <v>1206.8609999999999</v>
      </c>
      <c r="DQ50" s="884">
        <v>1453.3574999999998</v>
      </c>
      <c r="DR50" s="884">
        <v>1747.5629999999999</v>
      </c>
      <c r="DS50" s="884">
        <v>1168.8705</v>
      </c>
      <c r="DT50" s="884">
        <v>1212.1619999999998</v>
      </c>
      <c r="DU50" s="884">
        <v>1314.6479999999999</v>
      </c>
      <c r="DV50" s="884">
        <v>1684.8344999999999</v>
      </c>
      <c r="DW50" s="884">
        <v>2373.9645</v>
      </c>
      <c r="DX50" s="91">
        <v>16765.295999999995</v>
      </c>
    </row>
    <row r="51" spans="1:128" ht="15" hidden="1" customHeight="1" outlineLevel="1">
      <c r="A51" s="94">
        <v>11</v>
      </c>
      <c r="B51" s="921" t="s">
        <v>66</v>
      </c>
      <c r="C51" s="922"/>
      <c r="D51" s="313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314">
        <f t="shared" si="74"/>
        <v>0</v>
      </c>
      <c r="Q51" s="90"/>
      <c r="R51" s="313">
        <v>0</v>
      </c>
      <c r="S51" s="91">
        <v>0</v>
      </c>
      <c r="T51" s="91">
        <v>0</v>
      </c>
      <c r="U51" s="91">
        <v>0</v>
      </c>
      <c r="V51" s="91">
        <v>4000</v>
      </c>
      <c r="W51" s="91">
        <v>100</v>
      </c>
      <c r="X51" s="91">
        <v>800</v>
      </c>
      <c r="Y51" s="91">
        <v>800</v>
      </c>
      <c r="Z51" s="91">
        <v>1200</v>
      </c>
      <c r="AA51" s="91">
        <v>1200</v>
      </c>
      <c r="AB51" s="91">
        <v>1800</v>
      </c>
      <c r="AC51" s="91">
        <v>2300</v>
      </c>
      <c r="AD51" s="315">
        <f t="shared" si="75"/>
        <v>12200</v>
      </c>
      <c r="AE51" s="23"/>
      <c r="AF51" s="316">
        <v>1500</v>
      </c>
      <c r="AG51" s="91">
        <v>1000</v>
      </c>
      <c r="AH51" s="91">
        <f t="shared" ref="AH51:AH52" si="82">1500*0.15</f>
        <v>225</v>
      </c>
      <c r="AI51" s="91">
        <v>324</v>
      </c>
      <c r="AJ51" s="91">
        <v>869</v>
      </c>
      <c r="AK51" s="91">
        <v>800</v>
      </c>
      <c r="AL51" s="91">
        <v>1500</v>
      </c>
      <c r="AM51" s="91">
        <v>1000</v>
      </c>
      <c r="AN51" s="91">
        <v>1000</v>
      </c>
      <c r="AO51" s="91">
        <v>1000</v>
      </c>
      <c r="AP51" s="91">
        <v>1100</v>
      </c>
      <c r="AQ51" s="91">
        <v>1600</v>
      </c>
      <c r="AR51" s="92">
        <f t="shared" si="76"/>
        <v>11918</v>
      </c>
      <c r="AS51" s="23"/>
      <c r="AT51" s="91">
        <v>1191</v>
      </c>
      <c r="AU51" s="91">
        <v>1191</v>
      </c>
      <c r="AV51" s="91">
        <v>1191</v>
      </c>
      <c r="AW51" s="91">
        <v>1191</v>
      </c>
      <c r="AX51" s="317">
        <v>876</v>
      </c>
      <c r="AY51" s="317">
        <v>876</v>
      </c>
      <c r="AZ51" s="317">
        <v>836</v>
      </c>
      <c r="BA51" s="317">
        <v>836</v>
      </c>
      <c r="BB51" s="317">
        <v>876</v>
      </c>
      <c r="BC51" s="317">
        <v>1035</v>
      </c>
      <c r="BD51" s="317">
        <v>0</v>
      </c>
      <c r="BE51" s="317">
        <v>0</v>
      </c>
      <c r="BF51" s="91">
        <f t="shared" si="77"/>
        <v>10099</v>
      </c>
      <c r="BG51" s="93">
        <f t="shared" si="78"/>
        <v>-0.15262627957711028</v>
      </c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>
        <v>7342</v>
      </c>
      <c r="BU51" s="54"/>
      <c r="BV51" s="91">
        <v>1643.31</v>
      </c>
      <c r="BW51" s="91">
        <v>1270.3799999999999</v>
      </c>
      <c r="BX51" s="91">
        <f>'META  EM PEÇAS'!U40-('META  EM PEÇAS'!U40*0.05)</f>
        <v>1427.7359999999999</v>
      </c>
      <c r="BY51" s="91">
        <f>'META  EM PEÇAS'!V40-('META  EM PEÇAS'!V40*0.05)</f>
        <v>1323.4829999999999</v>
      </c>
      <c r="BZ51" s="91">
        <f>'META  EM PEÇAS'!W40-('META  EM PEÇAS'!W40*0.05)</f>
        <v>1485.1634999999999</v>
      </c>
      <c r="CA51" s="91">
        <f>'META  EM PEÇAS'!X40-('META  EM PEÇAS'!X40*0.05)</f>
        <v>1788.204</v>
      </c>
      <c r="CB51" s="91">
        <f>'META  EM PEÇAS'!Y40-('META  EM PEÇAS'!Y40*0.05)</f>
        <v>2151.3224999999998</v>
      </c>
      <c r="CC51" s="91">
        <f>'META  EM PEÇAS'!Z40-('META  EM PEÇAS'!Z40*0.05)</f>
        <v>1438.338</v>
      </c>
      <c r="CD51" s="91">
        <f>'META  EM PEÇAS'!AA40-('META  EM PEÇAS'!AA40*0.05)</f>
        <v>1491.348</v>
      </c>
      <c r="CE51" s="91">
        <f>'META  EM PEÇAS'!AB40-('META  EM PEÇAS'!AB40*0.05)</f>
        <v>1618.5719999999999</v>
      </c>
      <c r="CF51" s="91">
        <f>'META  EM PEÇAS'!AC40-('META  EM PEÇAS'!AC40*0.05)</f>
        <v>2073.5745000000002</v>
      </c>
      <c r="CG51" s="91">
        <f>'META  EM PEÇAS'!AD40-('META  EM PEÇAS'!AD40*0.05)</f>
        <v>2921.7344999999996</v>
      </c>
      <c r="CH51" s="91">
        <f t="shared" si="79"/>
        <v>20633.165999999997</v>
      </c>
      <c r="CJ51" s="91">
        <v>1643.31</v>
      </c>
      <c r="CK51" s="91">
        <v>1270.3799999999999</v>
      </c>
      <c r="CL51" s="91">
        <v>1427.7359999999999</v>
      </c>
      <c r="CM51" s="91">
        <v>1323.4829999999999</v>
      </c>
      <c r="CN51" s="91">
        <v>1485.1634999999999</v>
      </c>
      <c r="CO51" s="91">
        <v>1788.204</v>
      </c>
      <c r="CP51" s="91">
        <v>2151.3224999999998</v>
      </c>
      <c r="CQ51" s="91">
        <v>1438.338</v>
      </c>
      <c r="CR51" s="91">
        <v>1491.348</v>
      </c>
      <c r="CS51" s="91">
        <v>1618.5719999999999</v>
      </c>
      <c r="CT51" s="91">
        <v>2073.5745000000002</v>
      </c>
      <c r="CU51" s="91">
        <v>2921.7344999999996</v>
      </c>
      <c r="CV51" s="91">
        <v>20633.165999999997</v>
      </c>
      <c r="CW51" s="758"/>
      <c r="CX51" s="884">
        <v>1643.31</v>
      </c>
      <c r="CY51" s="884">
        <v>1270.3799999999999</v>
      </c>
      <c r="CZ51" s="884">
        <v>1427.7359999999999</v>
      </c>
      <c r="DA51" s="884">
        <v>1323.4829999999999</v>
      </c>
      <c r="DB51" s="884">
        <v>1485.1634999999999</v>
      </c>
      <c r="DC51" s="884">
        <v>1788.204</v>
      </c>
      <c r="DD51" s="884">
        <v>2151.3224999999998</v>
      </c>
      <c r="DE51" s="884">
        <v>1438.338</v>
      </c>
      <c r="DF51" s="884">
        <v>1491.348</v>
      </c>
      <c r="DG51" s="884">
        <v>1618.5719999999999</v>
      </c>
      <c r="DH51" s="884">
        <v>2073.5745000000002</v>
      </c>
      <c r="DI51" s="884">
        <v>2921.7344999999996</v>
      </c>
      <c r="DJ51" s="91">
        <v>20633.165999999997</v>
      </c>
      <c r="DK51" s="949"/>
      <c r="DL51" s="884">
        <v>1643.31</v>
      </c>
      <c r="DM51" s="884">
        <v>1270.3799999999999</v>
      </c>
      <c r="DN51" s="884">
        <v>1427.7359999999999</v>
      </c>
      <c r="DO51" s="884">
        <v>1323.4829999999999</v>
      </c>
      <c r="DP51" s="884">
        <v>1485.1634999999999</v>
      </c>
      <c r="DQ51" s="884">
        <v>1788.204</v>
      </c>
      <c r="DR51" s="884">
        <v>2151.3224999999998</v>
      </c>
      <c r="DS51" s="884">
        <v>1438.338</v>
      </c>
      <c r="DT51" s="884">
        <v>1491.348</v>
      </c>
      <c r="DU51" s="884">
        <v>1618.5719999999999</v>
      </c>
      <c r="DV51" s="884">
        <v>2073.5745000000002</v>
      </c>
      <c r="DW51" s="884">
        <v>2921.7344999999996</v>
      </c>
      <c r="DX51" s="91">
        <v>20633.165999999997</v>
      </c>
    </row>
    <row r="52" spans="1:128" ht="15" hidden="1" customHeight="1" outlineLevel="1">
      <c r="A52" s="94">
        <v>12</v>
      </c>
      <c r="B52" s="921" t="s">
        <v>67</v>
      </c>
      <c r="C52" s="922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>
        <f t="shared" si="74"/>
        <v>0</v>
      </c>
      <c r="Q52" s="90"/>
      <c r="R52" s="313">
        <v>0</v>
      </c>
      <c r="S52" s="91">
        <v>0</v>
      </c>
      <c r="T52" s="91">
        <v>0</v>
      </c>
      <c r="U52" s="91">
        <v>0</v>
      </c>
      <c r="V52" s="91">
        <v>4000</v>
      </c>
      <c r="W52" s="91">
        <v>0</v>
      </c>
      <c r="X52" s="91">
        <v>800</v>
      </c>
      <c r="Y52" s="91">
        <v>1000</v>
      </c>
      <c r="Z52" s="91">
        <v>1200</v>
      </c>
      <c r="AA52" s="91">
        <v>1200</v>
      </c>
      <c r="AB52" s="91">
        <v>1800</v>
      </c>
      <c r="AC52" s="91">
        <v>2300</v>
      </c>
      <c r="AD52" s="315">
        <f t="shared" si="75"/>
        <v>12300</v>
      </c>
      <c r="AE52" s="23"/>
      <c r="AF52" s="316">
        <v>1500</v>
      </c>
      <c r="AG52" s="91">
        <v>1200</v>
      </c>
      <c r="AH52" s="91">
        <f t="shared" si="82"/>
        <v>225</v>
      </c>
      <c r="AI52" s="91">
        <v>332</v>
      </c>
      <c r="AJ52" s="91">
        <v>945</v>
      </c>
      <c r="AK52" s="91">
        <v>960</v>
      </c>
      <c r="AL52" s="91">
        <v>1500</v>
      </c>
      <c r="AM52" s="91">
        <v>1200</v>
      </c>
      <c r="AN52" s="91">
        <v>1200</v>
      </c>
      <c r="AO52" s="91">
        <v>1200</v>
      </c>
      <c r="AP52" s="91">
        <v>1320</v>
      </c>
      <c r="AQ52" s="91">
        <v>1920</v>
      </c>
      <c r="AR52" s="92">
        <f t="shared" si="76"/>
        <v>13502</v>
      </c>
      <c r="AS52" s="23"/>
      <c r="AT52" s="91">
        <v>1254</v>
      </c>
      <c r="AU52" s="91">
        <v>1254</v>
      </c>
      <c r="AV52" s="91">
        <v>1254</v>
      </c>
      <c r="AW52" s="91">
        <v>1254</v>
      </c>
      <c r="AX52" s="317">
        <v>1236</v>
      </c>
      <c r="AY52" s="317">
        <v>1236</v>
      </c>
      <c r="AZ52" s="317">
        <v>0</v>
      </c>
      <c r="BA52" s="317">
        <v>0</v>
      </c>
      <c r="BB52" s="317">
        <v>0</v>
      </c>
      <c r="BC52" s="317">
        <v>0</v>
      </c>
      <c r="BD52" s="317">
        <v>0</v>
      </c>
      <c r="BE52" s="317">
        <v>0</v>
      </c>
      <c r="BF52" s="91">
        <f t="shared" si="77"/>
        <v>7488</v>
      </c>
      <c r="BG52" s="93">
        <f t="shared" si="78"/>
        <v>-0.44541549400088876</v>
      </c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>
        <v>16899</v>
      </c>
      <c r="BU52" s="54"/>
      <c r="BV52" s="91">
        <v>2552.85</v>
      </c>
      <c r="BW52" s="91">
        <v>1973.4599999999998</v>
      </c>
      <c r="BX52" s="91">
        <f>'META  EM PEÇAS'!U34-('META  EM PEÇAS'!U34*0.05)</f>
        <v>2218.4684999999999</v>
      </c>
      <c r="BY52" s="91">
        <f>'META  EM PEÇAS'!V34-('META  EM PEÇAS'!V34*0.05)</f>
        <v>2056.788</v>
      </c>
      <c r="BZ52" s="91">
        <f>'META  EM PEÇAS'!W34-('META  EM PEÇAS'!W34*0.05)</f>
        <v>2307.7019999999998</v>
      </c>
      <c r="CA52" s="91">
        <f>'META  EM PEÇAS'!X34-('META  EM PEÇAS'!X34*0.05)</f>
        <v>2778.6075000000001</v>
      </c>
      <c r="CB52" s="91">
        <f>'META  EM PEÇAS'!Y34-('META  EM PEÇAS'!Y34*0.05)</f>
        <v>3342.2804999999998</v>
      </c>
      <c r="CC52" s="91">
        <f>'META  EM PEÇAS'!Z34-('META  EM PEÇAS'!Z34*0.05)</f>
        <v>2234.3714999999997</v>
      </c>
      <c r="CD52" s="91">
        <f>'META  EM PEÇAS'!AA34-('META  EM PEÇAS'!AA34*0.05)</f>
        <v>2317.4204999999997</v>
      </c>
      <c r="CE52" s="91">
        <f>'META  EM PEÇAS'!AB34-('META  EM PEÇAS'!AB34*0.05)</f>
        <v>2514.4409999999998</v>
      </c>
      <c r="CF52" s="91">
        <f>'META  EM PEÇAS'!AC34-('META  EM PEÇAS'!AC34*0.05)</f>
        <v>3221.241</v>
      </c>
      <c r="CG52" s="91">
        <f>'META  EM PEÇAS'!AD34-('META  EM PEÇAS'!AD34*0.05)</f>
        <v>4539.4229999999989</v>
      </c>
      <c r="CH52" s="91">
        <f t="shared" si="79"/>
        <v>32057.053499999998</v>
      </c>
      <c r="CJ52" s="91">
        <v>2552.85</v>
      </c>
      <c r="CK52" s="91">
        <v>1973.4599999999998</v>
      </c>
      <c r="CL52" s="91">
        <v>2218.4684999999999</v>
      </c>
      <c r="CM52" s="91">
        <v>2056.788</v>
      </c>
      <c r="CN52" s="91">
        <v>2307.7019999999998</v>
      </c>
      <c r="CO52" s="91">
        <v>2778.6075000000001</v>
      </c>
      <c r="CP52" s="91">
        <v>3342.2804999999998</v>
      </c>
      <c r="CQ52" s="91">
        <v>2234.3714999999997</v>
      </c>
      <c r="CR52" s="91">
        <v>2317.4204999999997</v>
      </c>
      <c r="CS52" s="91">
        <v>2514.4409999999998</v>
      </c>
      <c r="CT52" s="91">
        <v>3221.241</v>
      </c>
      <c r="CU52" s="91">
        <v>4539.4229999999989</v>
      </c>
      <c r="CV52" s="91">
        <v>32057.053499999998</v>
      </c>
      <c r="CW52" s="758"/>
      <c r="CX52" s="884">
        <v>2552.85</v>
      </c>
      <c r="CY52" s="884">
        <v>1973.4599999999998</v>
      </c>
      <c r="CZ52" s="884">
        <v>2218.4684999999999</v>
      </c>
      <c r="DA52" s="884">
        <v>2056.788</v>
      </c>
      <c r="DB52" s="884">
        <v>2307.7019999999998</v>
      </c>
      <c r="DC52" s="884">
        <v>2778.6075000000001</v>
      </c>
      <c r="DD52" s="884">
        <v>3342.2804999999998</v>
      </c>
      <c r="DE52" s="884">
        <v>2234.3714999999997</v>
      </c>
      <c r="DF52" s="884">
        <v>2317.4204999999997</v>
      </c>
      <c r="DG52" s="884">
        <v>2514.4409999999998</v>
      </c>
      <c r="DH52" s="884">
        <v>3221.241</v>
      </c>
      <c r="DI52" s="884">
        <v>4539.4229999999989</v>
      </c>
      <c r="DJ52" s="91">
        <v>32057.053499999998</v>
      </c>
      <c r="DK52" s="949"/>
      <c r="DL52" s="884">
        <v>2552.85</v>
      </c>
      <c r="DM52" s="884">
        <v>1973.4599999999998</v>
      </c>
      <c r="DN52" s="884">
        <v>2218.4684999999999</v>
      </c>
      <c r="DO52" s="884">
        <v>2056.788</v>
      </c>
      <c r="DP52" s="884">
        <v>2307.7019999999998</v>
      </c>
      <c r="DQ52" s="884">
        <v>2778.6075000000001</v>
      </c>
      <c r="DR52" s="884">
        <v>3342.2804999999998</v>
      </c>
      <c r="DS52" s="884">
        <v>2234.3714999999997</v>
      </c>
      <c r="DT52" s="884">
        <v>2317.4204999999997</v>
      </c>
      <c r="DU52" s="884">
        <v>2514.4409999999998</v>
      </c>
      <c r="DV52" s="884">
        <v>3221.241</v>
      </c>
      <c r="DW52" s="884">
        <v>4539.4229999999989</v>
      </c>
      <c r="DX52" s="91">
        <v>32057.053499999998</v>
      </c>
    </row>
    <row r="53" spans="1:128" ht="15" hidden="1" customHeight="1" outlineLevel="1">
      <c r="A53" s="94">
        <v>13</v>
      </c>
      <c r="B53" s="921" t="s">
        <v>68</v>
      </c>
      <c r="C53" s="923"/>
      <c r="D53" s="313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314">
        <f t="shared" si="74"/>
        <v>0</v>
      </c>
      <c r="Q53" s="90"/>
      <c r="R53" s="313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2000</v>
      </c>
      <c r="Y53" s="91">
        <v>800</v>
      </c>
      <c r="Z53" s="91">
        <v>800</v>
      </c>
      <c r="AA53" s="91">
        <v>1200</v>
      </c>
      <c r="AB53" s="91">
        <v>1800</v>
      </c>
      <c r="AC53" s="91">
        <v>2300</v>
      </c>
      <c r="AD53" s="315">
        <f t="shared" si="75"/>
        <v>8900</v>
      </c>
      <c r="AE53" s="23"/>
      <c r="AF53" s="316">
        <v>1800</v>
      </c>
      <c r="AG53" s="91">
        <v>1200</v>
      </c>
      <c r="AH53" s="91">
        <f>1800*0.15</f>
        <v>270</v>
      </c>
      <c r="AI53" s="91">
        <v>896</v>
      </c>
      <c r="AJ53" s="91">
        <v>1339</v>
      </c>
      <c r="AK53" s="91">
        <v>1600</v>
      </c>
      <c r="AL53" s="91">
        <v>1800</v>
      </c>
      <c r="AM53" s="91">
        <v>2000</v>
      </c>
      <c r="AN53" s="91">
        <v>2000</v>
      </c>
      <c r="AO53" s="91">
        <v>2000</v>
      </c>
      <c r="AP53" s="91">
        <v>2200</v>
      </c>
      <c r="AQ53" s="91">
        <v>3200</v>
      </c>
      <c r="AR53" s="92">
        <f t="shared" si="76"/>
        <v>20305</v>
      </c>
      <c r="AS53" s="23"/>
      <c r="AT53" s="91">
        <v>1980</v>
      </c>
      <c r="AU53" s="91">
        <v>1980</v>
      </c>
      <c r="AV53" s="91">
        <v>1980</v>
      </c>
      <c r="AW53" s="91">
        <v>1980</v>
      </c>
      <c r="AX53" s="317">
        <v>1409</v>
      </c>
      <c r="AY53" s="317">
        <v>1409</v>
      </c>
      <c r="AZ53" s="317">
        <v>1345</v>
      </c>
      <c r="BA53" s="317">
        <v>1345</v>
      </c>
      <c r="BB53" s="317">
        <v>1409</v>
      </c>
      <c r="BC53" s="317">
        <v>1665</v>
      </c>
      <c r="BD53" s="317">
        <v>1793</v>
      </c>
      <c r="BE53" s="317">
        <v>2562</v>
      </c>
      <c r="BF53" s="91">
        <f t="shared" si="77"/>
        <v>20857</v>
      </c>
      <c r="BG53" s="93">
        <f t="shared" si="78"/>
        <v>2.7185422309775831E-2</v>
      </c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>
        <v>11555</v>
      </c>
      <c r="BU53" s="54"/>
      <c r="BV53" s="91">
        <v>1903.7099999999998</v>
      </c>
      <c r="BW53" s="91">
        <v>1471.26</v>
      </c>
      <c r="BX53" s="91">
        <f>'META  EM PEÇAS'!U35-('META  EM PEÇAS'!U35*0.05)</f>
        <v>1654.7954999999999</v>
      </c>
      <c r="BY53" s="91">
        <f>'META  EM PEÇAS'!V35-('META  EM PEÇAS'!V35*0.05)</f>
        <v>1533.7559999999999</v>
      </c>
      <c r="BZ53" s="91">
        <f>'META  EM PEÇAS'!W35-('META  EM PEÇAS'!W35*0.05)</f>
        <v>1721.058</v>
      </c>
      <c r="CA53" s="91">
        <f>'META  EM PEÇAS'!X35-('META  EM PEÇAS'!X35*0.05)</f>
        <v>2071.8074999999999</v>
      </c>
      <c r="CB53" s="91">
        <f>'META  EM PEÇAS'!Y35-('META  EM PEÇAS'!Y35*0.05)</f>
        <v>2492.3534999999997</v>
      </c>
      <c r="CC53" s="91">
        <f>'META  EM PEÇAS'!Z35-('META  EM PEÇAS'!Z35*0.05)</f>
        <v>1666.2809999999997</v>
      </c>
      <c r="CD53" s="91">
        <f>'META  EM PEÇAS'!AA35-('META  EM PEÇAS'!AA35*0.05)</f>
        <v>1728.126</v>
      </c>
      <c r="CE53" s="91">
        <f>'META  EM PEÇAS'!AB35-('META  EM PEÇAS'!AB35*0.05)</f>
        <v>1874.7869999999998</v>
      </c>
      <c r="CF53" s="91">
        <f>'META  EM PEÇAS'!AC35-('META  EM PEÇAS'!AC35*0.05)</f>
        <v>2402.2364999999995</v>
      </c>
      <c r="CG53" s="91">
        <f>'META  EM PEÇAS'!AD35-('META  EM PEÇAS'!AD35*0.05)</f>
        <v>3384.6884999999997</v>
      </c>
      <c r="CH53" s="91">
        <f t="shared" si="79"/>
        <v>23904.859499999995</v>
      </c>
      <c r="CJ53" s="91">
        <v>1903.7099999999998</v>
      </c>
      <c r="CK53" s="91">
        <v>1471.26</v>
      </c>
      <c r="CL53" s="91">
        <v>1654.7954999999999</v>
      </c>
      <c r="CM53" s="91">
        <v>1533.7559999999999</v>
      </c>
      <c r="CN53" s="91">
        <v>1721.058</v>
      </c>
      <c r="CO53" s="91">
        <v>2071.8074999999999</v>
      </c>
      <c r="CP53" s="91">
        <v>2492.3534999999997</v>
      </c>
      <c r="CQ53" s="91">
        <v>1666.2809999999997</v>
      </c>
      <c r="CR53" s="91">
        <v>1728.126</v>
      </c>
      <c r="CS53" s="91">
        <v>1874.7869999999998</v>
      </c>
      <c r="CT53" s="91">
        <v>2402.2364999999995</v>
      </c>
      <c r="CU53" s="91">
        <v>3384.6884999999997</v>
      </c>
      <c r="CV53" s="91">
        <v>23904.859499999995</v>
      </c>
      <c r="CW53" s="758"/>
      <c r="CX53" s="884">
        <v>1903.7099999999998</v>
      </c>
      <c r="CY53" s="884">
        <v>1471.26</v>
      </c>
      <c r="CZ53" s="884">
        <v>1654.7954999999999</v>
      </c>
      <c r="DA53" s="884">
        <v>1533.7559999999999</v>
      </c>
      <c r="DB53" s="884">
        <v>1721.058</v>
      </c>
      <c r="DC53" s="884">
        <v>2071.8074999999999</v>
      </c>
      <c r="DD53" s="884">
        <v>2492.3534999999997</v>
      </c>
      <c r="DE53" s="884">
        <v>1666.2809999999997</v>
      </c>
      <c r="DF53" s="884">
        <v>1728.126</v>
      </c>
      <c r="DG53" s="884">
        <v>1874.7869999999998</v>
      </c>
      <c r="DH53" s="884">
        <v>2402.2364999999995</v>
      </c>
      <c r="DI53" s="884">
        <v>3384.6884999999997</v>
      </c>
      <c r="DJ53" s="91">
        <v>23904.859499999995</v>
      </c>
      <c r="DK53" s="949"/>
      <c r="DL53" s="884">
        <v>1903.7099999999998</v>
      </c>
      <c r="DM53" s="884">
        <v>1471.26</v>
      </c>
      <c r="DN53" s="884">
        <v>1654.7954999999999</v>
      </c>
      <c r="DO53" s="884">
        <v>1533.7559999999999</v>
      </c>
      <c r="DP53" s="884">
        <v>1721.058</v>
      </c>
      <c r="DQ53" s="884">
        <v>2071.8074999999999</v>
      </c>
      <c r="DR53" s="884">
        <v>2492.3534999999997</v>
      </c>
      <c r="DS53" s="884">
        <v>1666.2809999999997</v>
      </c>
      <c r="DT53" s="884">
        <v>1728.126</v>
      </c>
      <c r="DU53" s="884">
        <v>1874.7869999999998</v>
      </c>
      <c r="DV53" s="884">
        <v>2402.2364999999995</v>
      </c>
      <c r="DW53" s="884">
        <v>3384.6884999999997</v>
      </c>
      <c r="DX53" s="91">
        <v>23904.859499999995</v>
      </c>
    </row>
    <row r="54" spans="1:128" ht="15" hidden="1" customHeight="1" outlineLevel="1">
      <c r="A54" s="94">
        <v>14</v>
      </c>
      <c r="B54" s="921" t="s">
        <v>69</v>
      </c>
      <c r="C54" s="923"/>
      <c r="D54" s="313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314"/>
      <c r="Q54" s="90"/>
      <c r="R54" s="313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2000</v>
      </c>
      <c r="Z54" s="91">
        <v>800</v>
      </c>
      <c r="AA54" s="91">
        <v>800</v>
      </c>
      <c r="AB54" s="91">
        <v>1200</v>
      </c>
      <c r="AC54" s="91">
        <v>1800</v>
      </c>
      <c r="AD54" s="315">
        <f t="shared" si="75"/>
        <v>6600</v>
      </c>
      <c r="AE54" s="23"/>
      <c r="AF54" s="316">
        <v>1500</v>
      </c>
      <c r="AG54" s="91">
        <v>1200</v>
      </c>
      <c r="AH54" s="91">
        <f>1500*0.15</f>
        <v>225</v>
      </c>
      <c r="AI54" s="91">
        <v>374</v>
      </c>
      <c r="AJ54" s="91">
        <v>990</v>
      </c>
      <c r="AK54" s="91">
        <v>960</v>
      </c>
      <c r="AL54" s="91">
        <v>1800</v>
      </c>
      <c r="AM54" s="91">
        <v>1200</v>
      </c>
      <c r="AN54" s="91">
        <v>1200</v>
      </c>
      <c r="AO54" s="91">
        <v>1200</v>
      </c>
      <c r="AP54" s="91">
        <v>1320</v>
      </c>
      <c r="AQ54" s="91">
        <v>1920</v>
      </c>
      <c r="AR54" s="92">
        <f t="shared" si="76"/>
        <v>13889</v>
      </c>
      <c r="AS54" s="23"/>
      <c r="AT54" s="91">
        <v>1518</v>
      </c>
      <c r="AU54" s="91">
        <v>1518</v>
      </c>
      <c r="AV54" s="91">
        <v>1518</v>
      </c>
      <c r="AW54" s="91">
        <v>1518</v>
      </c>
      <c r="AX54" s="317">
        <v>1276</v>
      </c>
      <c r="AY54" s="317">
        <v>1276</v>
      </c>
      <c r="AZ54" s="317">
        <v>1218</v>
      </c>
      <c r="BA54" s="317">
        <v>1218</v>
      </c>
      <c r="BB54" s="317">
        <v>1276</v>
      </c>
      <c r="BC54" s="317">
        <v>1508</v>
      </c>
      <c r="BD54" s="317">
        <v>1624</v>
      </c>
      <c r="BE54" s="317">
        <v>2320</v>
      </c>
      <c r="BF54" s="91">
        <f t="shared" si="77"/>
        <v>17788</v>
      </c>
      <c r="BG54" s="93">
        <f t="shared" si="78"/>
        <v>0.2807257541939665</v>
      </c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>
        <v>19018</v>
      </c>
      <c r="BU54" s="54"/>
      <c r="BV54" s="91">
        <v>2737.9199999999996</v>
      </c>
      <c r="BW54" s="91">
        <v>2116.6799999999998</v>
      </c>
      <c r="BX54" s="91">
        <f>'META  EM PEÇAS'!U36-('META  EM PEÇAS'!U36*0.05)</f>
        <v>2379.2655</v>
      </c>
      <c r="BY54" s="91">
        <f>'META  EM PEÇAS'!V36-('META  EM PEÇAS'!V36*0.05)</f>
        <v>2205.2159999999999</v>
      </c>
      <c r="BZ54" s="91">
        <f>'META  EM PEÇAS'!W36-('META  EM PEÇAS'!W36*0.05)</f>
        <v>2474.6834999999996</v>
      </c>
      <c r="CA54" s="91">
        <f>'META  EM PEÇAS'!X36-('META  EM PEÇAS'!X36*0.05)</f>
        <v>2980.0454999999997</v>
      </c>
      <c r="CB54" s="91">
        <f>'META  EM PEÇAS'!Y36-('META  EM PEÇAS'!Y36*0.05)</f>
        <v>3584.3594999999996</v>
      </c>
      <c r="CC54" s="91">
        <f>'META  EM PEÇAS'!Z36-('META  EM PEÇAS'!Z36*0.05)</f>
        <v>2396.0519999999997</v>
      </c>
      <c r="CD54" s="91">
        <f>'META  EM PEÇAS'!AA36-('META  EM PEÇAS'!AA36*0.05)</f>
        <v>2485.2854999999995</v>
      </c>
      <c r="CE54" s="91">
        <f>'META  EM PEÇAS'!AB36-('META  EM PEÇAS'!AB36*0.05)</f>
        <v>2696.4419999999996</v>
      </c>
      <c r="CF54" s="91">
        <f>'META  EM PEÇAS'!AC36-('META  EM PEÇAS'!AC36*0.05)</f>
        <v>3454.4849999999997</v>
      </c>
      <c r="CG54" s="91">
        <f>'META  EM PEÇAS'!AD36-('META  EM PEÇAS'!AD36*0.05)</f>
        <v>4868.0849999999991</v>
      </c>
      <c r="CH54" s="91">
        <f t="shared" si="79"/>
        <v>34378.519499999995</v>
      </c>
      <c r="CJ54" s="91">
        <v>2737.9199999999996</v>
      </c>
      <c r="CK54" s="91">
        <v>2116.6799999999998</v>
      </c>
      <c r="CL54" s="91">
        <v>2379.2655</v>
      </c>
      <c r="CM54" s="91">
        <v>2205.2159999999999</v>
      </c>
      <c r="CN54" s="91">
        <v>2474.6834999999996</v>
      </c>
      <c r="CO54" s="91">
        <v>2980.0454999999997</v>
      </c>
      <c r="CP54" s="91">
        <v>3584.3594999999996</v>
      </c>
      <c r="CQ54" s="91">
        <v>2396.0519999999997</v>
      </c>
      <c r="CR54" s="91">
        <v>2485.2854999999995</v>
      </c>
      <c r="CS54" s="91">
        <v>2696.4419999999996</v>
      </c>
      <c r="CT54" s="91">
        <v>3454.4849999999997</v>
      </c>
      <c r="CU54" s="91">
        <v>4868.0849999999991</v>
      </c>
      <c r="CV54" s="91">
        <v>34378.519499999995</v>
      </c>
      <c r="CW54" s="758"/>
      <c r="CX54" s="884">
        <v>2737.9199999999996</v>
      </c>
      <c r="CY54" s="884">
        <v>2116.6799999999998</v>
      </c>
      <c r="CZ54" s="884">
        <v>2379.2655</v>
      </c>
      <c r="DA54" s="884">
        <v>2205.2159999999999</v>
      </c>
      <c r="DB54" s="884">
        <v>2474.6834999999996</v>
      </c>
      <c r="DC54" s="884">
        <v>2980.0454999999997</v>
      </c>
      <c r="DD54" s="884">
        <v>3584.3594999999996</v>
      </c>
      <c r="DE54" s="884">
        <v>2396.0519999999997</v>
      </c>
      <c r="DF54" s="884">
        <v>2485.2854999999995</v>
      </c>
      <c r="DG54" s="884">
        <v>2696.4419999999996</v>
      </c>
      <c r="DH54" s="884">
        <v>3454.4849999999997</v>
      </c>
      <c r="DI54" s="884">
        <v>4868.0849999999991</v>
      </c>
      <c r="DJ54" s="91">
        <v>34378.519499999995</v>
      </c>
      <c r="DK54" s="949"/>
      <c r="DL54" s="884">
        <v>2737.9199999999996</v>
      </c>
      <c r="DM54" s="884">
        <v>2116.6799999999998</v>
      </c>
      <c r="DN54" s="884">
        <v>2379.2655</v>
      </c>
      <c r="DO54" s="884">
        <v>2205.2159999999999</v>
      </c>
      <c r="DP54" s="884">
        <v>2474.6834999999996</v>
      </c>
      <c r="DQ54" s="884">
        <v>2980.0454999999997</v>
      </c>
      <c r="DR54" s="884">
        <v>3584.3594999999996</v>
      </c>
      <c r="DS54" s="884">
        <v>2396.0519999999997</v>
      </c>
      <c r="DT54" s="884">
        <v>2485.2854999999995</v>
      </c>
      <c r="DU54" s="884">
        <v>2696.4419999999996</v>
      </c>
      <c r="DV54" s="884">
        <v>3454.4849999999997</v>
      </c>
      <c r="DW54" s="884">
        <v>4868.0849999999991</v>
      </c>
      <c r="DX54" s="91">
        <v>34378.519499999995</v>
      </c>
    </row>
    <row r="55" spans="1:128" ht="15" hidden="1" customHeight="1" outlineLevel="1">
      <c r="A55" s="94">
        <v>15</v>
      </c>
      <c r="B55" s="921" t="s">
        <v>70</v>
      </c>
      <c r="C55" s="923"/>
      <c r="D55" s="313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314"/>
      <c r="Q55" s="90"/>
      <c r="R55" s="313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  <c r="Z55" s="91">
        <v>2000</v>
      </c>
      <c r="AA55" s="91">
        <v>800</v>
      </c>
      <c r="AB55" s="91">
        <v>800</v>
      </c>
      <c r="AC55" s="91">
        <v>1500</v>
      </c>
      <c r="AD55" s="315">
        <f t="shared" si="75"/>
        <v>5100</v>
      </c>
      <c r="AE55" s="23"/>
      <c r="AF55" s="316">
        <v>1800</v>
      </c>
      <c r="AG55" s="91">
        <v>1200</v>
      </c>
      <c r="AH55" s="91">
        <f>1800*0.4</f>
        <v>720</v>
      </c>
      <c r="AI55" s="91">
        <v>1147</v>
      </c>
      <c r="AJ55" s="91">
        <v>1155</v>
      </c>
      <c r="AK55" s="91">
        <v>1600</v>
      </c>
      <c r="AL55" s="91">
        <v>1800</v>
      </c>
      <c r="AM55" s="91">
        <v>2000</v>
      </c>
      <c r="AN55" s="91">
        <v>2000</v>
      </c>
      <c r="AO55" s="91">
        <v>2000</v>
      </c>
      <c r="AP55" s="91">
        <v>2200</v>
      </c>
      <c r="AQ55" s="91">
        <v>3200</v>
      </c>
      <c r="AR55" s="92">
        <f t="shared" si="76"/>
        <v>20822</v>
      </c>
      <c r="AS55" s="23"/>
      <c r="AT55" s="91">
        <v>1544</v>
      </c>
      <c r="AU55" s="91">
        <v>1544</v>
      </c>
      <c r="AV55" s="91">
        <v>1544</v>
      </c>
      <c r="AW55" s="91">
        <v>1544</v>
      </c>
      <c r="AX55" s="317">
        <v>862</v>
      </c>
      <c r="AY55" s="317">
        <v>862</v>
      </c>
      <c r="AZ55" s="317">
        <v>823</v>
      </c>
      <c r="BA55" s="317">
        <v>823</v>
      </c>
      <c r="BB55" s="317">
        <v>862</v>
      </c>
      <c r="BC55" s="317">
        <v>1019</v>
      </c>
      <c r="BD55" s="317">
        <v>1098</v>
      </c>
      <c r="BE55" s="317">
        <v>1568</v>
      </c>
      <c r="BF55" s="91">
        <f t="shared" si="77"/>
        <v>14093</v>
      </c>
      <c r="BG55" s="93">
        <f t="shared" si="78"/>
        <v>-0.32316780328498707</v>
      </c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>
        <v>21133</v>
      </c>
      <c r="BU55" s="54"/>
      <c r="BV55" s="91">
        <v>3593.52</v>
      </c>
      <c r="BW55" s="91">
        <v>2776.98</v>
      </c>
      <c r="BX55" s="91">
        <f>'META  EM PEÇAS'!U38-('META  EM PEÇAS'!U38*0.05)</f>
        <v>3122.2889999999998</v>
      </c>
      <c r="BY55" s="91">
        <f>'META  EM PEÇAS'!V38-('META  EM PEÇAS'!V38*0.05)</f>
        <v>2893.4625000000001</v>
      </c>
      <c r="BZ55" s="91">
        <f>'META  EM PEÇAS'!W38-('META  EM PEÇAS'!W38*0.05)</f>
        <v>3247.7459999999996</v>
      </c>
      <c r="CA55" s="91">
        <f>'META  EM PEÇAS'!X38-('META  EM PEÇAS'!X38*0.05)</f>
        <v>3910.3709999999992</v>
      </c>
      <c r="CB55" s="91">
        <f>'META  EM PEÇAS'!Y38-('META  EM PEÇAS'!Y38*0.05)</f>
        <v>4703.7539999999999</v>
      </c>
      <c r="CC55" s="91">
        <f>'META  EM PEÇAS'!Z38-('META  EM PEÇAS'!Z38*0.05)</f>
        <v>3144.3764999999999</v>
      </c>
      <c r="CD55" s="91">
        <f>'META  EM PEÇAS'!AA38-('META  EM PEÇAS'!AA38*0.05)</f>
        <v>3260.9984999999997</v>
      </c>
      <c r="CE55" s="91">
        <f>'META  EM PEÇAS'!AB38-('META  EM PEÇAS'!AB38*0.05)</f>
        <v>3539.3009999999999</v>
      </c>
      <c r="CF55" s="91">
        <f>'META  EM PEÇAS'!AC38-('META  EM PEÇAS'!AC38*0.05)</f>
        <v>4533.2384999999995</v>
      </c>
      <c r="CG55" s="91">
        <f>'META  EM PEÇAS'!AD38-('META  EM PEÇAS'!AD38*0.05)</f>
        <v>6387.7049999999999</v>
      </c>
      <c r="CH55" s="91">
        <f t="shared" si="79"/>
        <v>45113.741999999998</v>
      </c>
      <c r="CJ55" s="91">
        <v>3593.52</v>
      </c>
      <c r="CK55" s="91">
        <v>2776.98</v>
      </c>
      <c r="CL55" s="91">
        <v>3122.2889999999998</v>
      </c>
      <c r="CM55" s="91">
        <v>2893.4625000000001</v>
      </c>
      <c r="CN55" s="91">
        <v>3247.7459999999996</v>
      </c>
      <c r="CO55" s="91">
        <v>3910.3709999999992</v>
      </c>
      <c r="CP55" s="91">
        <v>4703.7539999999999</v>
      </c>
      <c r="CQ55" s="91">
        <v>3144.3764999999999</v>
      </c>
      <c r="CR55" s="91">
        <v>3260.9984999999997</v>
      </c>
      <c r="CS55" s="91">
        <v>3539.3009999999999</v>
      </c>
      <c r="CT55" s="91">
        <v>4533.2384999999995</v>
      </c>
      <c r="CU55" s="91">
        <v>6387.7049999999999</v>
      </c>
      <c r="CV55" s="91">
        <v>45113.741999999998</v>
      </c>
      <c r="CW55" s="758"/>
      <c r="CX55" s="884">
        <v>3593.52</v>
      </c>
      <c r="CY55" s="884">
        <v>2776.98</v>
      </c>
      <c r="CZ55" s="884">
        <v>3122.2889999999998</v>
      </c>
      <c r="DA55" s="884">
        <v>2893.4625000000001</v>
      </c>
      <c r="DB55" s="884">
        <v>3247.7459999999996</v>
      </c>
      <c r="DC55" s="884">
        <v>3910.3709999999992</v>
      </c>
      <c r="DD55" s="884">
        <v>4703.7539999999999</v>
      </c>
      <c r="DE55" s="884">
        <v>3144.3764999999999</v>
      </c>
      <c r="DF55" s="884">
        <v>3260.9984999999997</v>
      </c>
      <c r="DG55" s="884">
        <v>3539.3009999999999</v>
      </c>
      <c r="DH55" s="884">
        <v>4533.2384999999995</v>
      </c>
      <c r="DI55" s="884">
        <v>6387.7049999999999</v>
      </c>
      <c r="DJ55" s="91">
        <v>45113.741999999998</v>
      </c>
      <c r="DK55" s="949"/>
      <c r="DL55" s="884">
        <v>3593.52</v>
      </c>
      <c r="DM55" s="884">
        <v>2776.98</v>
      </c>
      <c r="DN55" s="884">
        <v>3122.2889999999998</v>
      </c>
      <c r="DO55" s="884">
        <v>2893.4625000000001</v>
      </c>
      <c r="DP55" s="884">
        <v>3247.7459999999996</v>
      </c>
      <c r="DQ55" s="884">
        <v>3910.3709999999992</v>
      </c>
      <c r="DR55" s="884">
        <v>4703.7539999999999</v>
      </c>
      <c r="DS55" s="884">
        <v>3144.3764999999999</v>
      </c>
      <c r="DT55" s="884">
        <v>3260.9984999999997</v>
      </c>
      <c r="DU55" s="884">
        <v>3539.3009999999999</v>
      </c>
      <c r="DV55" s="884">
        <v>4533.2384999999995</v>
      </c>
      <c r="DW55" s="884">
        <v>6387.7049999999999</v>
      </c>
      <c r="DX55" s="91">
        <v>45113.741999999998</v>
      </c>
    </row>
    <row r="56" spans="1:128" ht="15" hidden="1" customHeight="1" outlineLevel="1">
      <c r="A56" s="94">
        <v>16</v>
      </c>
      <c r="B56" s="924" t="s">
        <v>71</v>
      </c>
      <c r="C56" s="923"/>
      <c r="D56" s="313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314"/>
      <c r="Q56" s="90"/>
      <c r="R56" s="313"/>
      <c r="S56" s="91"/>
      <c r="T56" s="91"/>
      <c r="U56" s="91"/>
      <c r="V56" s="91"/>
      <c r="W56" s="91"/>
      <c r="X56" s="91"/>
      <c r="Y56" s="91"/>
      <c r="Z56" s="91"/>
      <c r="AA56" s="91">
        <v>800</v>
      </c>
      <c r="AB56" s="91">
        <v>800</v>
      </c>
      <c r="AC56" s="91">
        <v>1500</v>
      </c>
      <c r="AD56" s="315"/>
      <c r="AE56" s="23"/>
      <c r="AF56" s="316">
        <v>1500</v>
      </c>
      <c r="AG56" s="91">
        <v>1200</v>
      </c>
      <c r="AH56" s="91">
        <f>1500*0.15</f>
        <v>225</v>
      </c>
      <c r="AI56" s="91">
        <v>192</v>
      </c>
      <c r="AJ56" s="91">
        <v>663</v>
      </c>
      <c r="AK56" s="91">
        <v>800</v>
      </c>
      <c r="AL56" s="91">
        <v>1500</v>
      </c>
      <c r="AM56" s="91">
        <v>1000</v>
      </c>
      <c r="AN56" s="91">
        <v>1000</v>
      </c>
      <c r="AO56" s="91">
        <v>1000</v>
      </c>
      <c r="AP56" s="91">
        <v>1100</v>
      </c>
      <c r="AQ56" s="91">
        <v>1600</v>
      </c>
      <c r="AR56" s="92">
        <f t="shared" si="76"/>
        <v>11780</v>
      </c>
      <c r="AS56" s="23"/>
      <c r="AT56" s="91">
        <v>960</v>
      </c>
      <c r="AU56" s="91">
        <v>960</v>
      </c>
      <c r="AV56" s="91">
        <v>960</v>
      </c>
      <c r="AW56" s="91">
        <v>960</v>
      </c>
      <c r="AX56" s="317">
        <v>1414</v>
      </c>
      <c r="AY56" s="317">
        <v>1414</v>
      </c>
      <c r="AZ56" s="317">
        <v>1350</v>
      </c>
      <c r="BA56" s="317">
        <v>1350</v>
      </c>
      <c r="BB56" s="317">
        <v>1414</v>
      </c>
      <c r="BC56" s="317">
        <v>1671</v>
      </c>
      <c r="BD56" s="317">
        <v>1800</v>
      </c>
      <c r="BE56" s="317">
        <v>2571</v>
      </c>
      <c r="BF56" s="91">
        <f t="shared" si="77"/>
        <v>16824</v>
      </c>
      <c r="BG56" s="93">
        <f t="shared" si="78"/>
        <v>0.42818336162988113</v>
      </c>
      <c r="BH56" s="91">
        <v>900</v>
      </c>
      <c r="BI56" s="91">
        <v>643</v>
      </c>
      <c r="BJ56" s="91">
        <v>891</v>
      </c>
      <c r="BK56" s="91">
        <v>679</v>
      </c>
      <c r="BL56" s="91">
        <v>940</v>
      </c>
      <c r="BM56" s="91">
        <v>948</v>
      </c>
      <c r="BN56" s="91">
        <v>1124</v>
      </c>
      <c r="BO56" s="91">
        <v>913</v>
      </c>
      <c r="BP56" s="91">
        <v>911</v>
      </c>
      <c r="BQ56" s="91">
        <v>898</v>
      </c>
      <c r="BR56" s="91">
        <v>1465</v>
      </c>
      <c r="BS56" s="91">
        <v>1278</v>
      </c>
      <c r="BT56" s="91">
        <f>SUM(BH56:BS56)</f>
        <v>11590</v>
      </c>
      <c r="BU56" s="54"/>
      <c r="BV56" s="91">
        <f>'META  EM PEÇAS'!T47</f>
        <v>1749.7324726431702</v>
      </c>
      <c r="BW56" s="91">
        <f>'META  EM PEÇAS'!T48</f>
        <v>1701.1287928475265</v>
      </c>
      <c r="BX56" s="91">
        <f>'META  EM PEÇAS'!T49</f>
        <v>1846.9398322344578</v>
      </c>
      <c r="BY56" s="91">
        <f>'META  EM PEÇAS'!T50</f>
        <v>1701.1287928475265</v>
      </c>
      <c r="BZ56" s="91">
        <f>'META  EM PEÇAS'!T51</f>
        <v>1846.9398322344578</v>
      </c>
      <c r="CA56" s="91">
        <f>'META  EM PEÇAS'!T52</f>
        <v>1749.7324726431702</v>
      </c>
      <c r="CB56" s="91">
        <f>'META  EM PEÇAS'!T53</f>
        <v>2138.5619110083194</v>
      </c>
      <c r="CC56" s="91">
        <f>'META  EM PEÇAS'!T54</f>
        <v>1749.7324726431702</v>
      </c>
      <c r="CD56" s="91">
        <f>'META  EM PEÇAS'!T55</f>
        <v>1749.7324726431702</v>
      </c>
      <c r="CE56" s="91">
        <f>'META  EM PEÇAS'!T56</f>
        <v>1749.7324726431702</v>
      </c>
      <c r="CF56" s="91">
        <f>'META  EM PEÇAS'!T57</f>
        <v>2721.8060685560426</v>
      </c>
      <c r="CG56" s="91">
        <f>'META  EM PEÇAS'!T58</f>
        <v>1944.1471918257448</v>
      </c>
      <c r="CH56" s="91">
        <f t="shared" si="79"/>
        <v>22649.314784769926</v>
      </c>
      <c r="CJ56" s="91">
        <v>1749.7324726431702</v>
      </c>
      <c r="CK56" s="91">
        <v>1701.1287928475265</v>
      </c>
      <c r="CL56" s="91">
        <v>1846.9398322344578</v>
      </c>
      <c r="CM56" s="91">
        <v>1701.1287928475265</v>
      </c>
      <c r="CN56" s="91">
        <v>1846.9398322344578</v>
      </c>
      <c r="CO56" s="91">
        <v>1749.7324726431702</v>
      </c>
      <c r="CP56" s="91">
        <v>2138.5619110083194</v>
      </c>
      <c r="CQ56" s="91">
        <v>1749.7324726431702</v>
      </c>
      <c r="CR56" s="91">
        <v>1749.7324726431702</v>
      </c>
      <c r="CS56" s="91">
        <v>1749.7324726431702</v>
      </c>
      <c r="CT56" s="91">
        <v>2721.8060685560426</v>
      </c>
      <c r="CU56" s="91">
        <v>1944.1471918257448</v>
      </c>
      <c r="CV56" s="91">
        <v>22649.314784769926</v>
      </c>
      <c r="CW56" s="758"/>
      <c r="CX56" s="884">
        <v>1749.7324726431702</v>
      </c>
      <c r="CY56" s="884">
        <v>1701.1287928475265</v>
      </c>
      <c r="CZ56" s="884">
        <v>1846.9398322344578</v>
      </c>
      <c r="DA56" s="884">
        <v>1701.1287928475265</v>
      </c>
      <c r="DB56" s="884">
        <v>1846.9398322344578</v>
      </c>
      <c r="DC56" s="884">
        <v>1749.7324726431702</v>
      </c>
      <c r="DD56" s="884">
        <v>2138.5619110083194</v>
      </c>
      <c r="DE56" s="884">
        <v>1749.7324726431702</v>
      </c>
      <c r="DF56" s="884">
        <v>1749.7324726431702</v>
      </c>
      <c r="DG56" s="884">
        <v>1749.7324726431702</v>
      </c>
      <c r="DH56" s="884">
        <v>2721.8060685560426</v>
      </c>
      <c r="DI56" s="884">
        <v>1944.1471918257448</v>
      </c>
      <c r="DJ56" s="91">
        <v>22649.314784769926</v>
      </c>
      <c r="DK56" s="949"/>
      <c r="DL56" s="884">
        <v>1749.7324726431702</v>
      </c>
      <c r="DM56" s="884">
        <v>1701.1287928475265</v>
      </c>
      <c r="DN56" s="884">
        <v>1846.9398322344578</v>
      </c>
      <c r="DO56" s="884">
        <v>1701.1287928475265</v>
      </c>
      <c r="DP56" s="884">
        <v>1846.9398322344578</v>
      </c>
      <c r="DQ56" s="884">
        <v>1749.7324726431702</v>
      </c>
      <c r="DR56" s="884">
        <v>2138.5619110083194</v>
      </c>
      <c r="DS56" s="884">
        <v>1749.7324726431702</v>
      </c>
      <c r="DT56" s="884">
        <v>1749.7324726431702</v>
      </c>
      <c r="DU56" s="884">
        <v>1749.7324726431702</v>
      </c>
      <c r="DV56" s="884">
        <v>2721.8060685560426</v>
      </c>
      <c r="DW56" s="884">
        <v>1944.1471918257448</v>
      </c>
      <c r="DX56" s="91">
        <v>22649.314784769926</v>
      </c>
    </row>
    <row r="57" spans="1:128" ht="15" hidden="1" customHeight="1" outlineLevel="1">
      <c r="A57" s="94"/>
      <c r="B57" s="921"/>
      <c r="C57" s="925"/>
      <c r="D57" s="313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314"/>
      <c r="Q57" s="90"/>
      <c r="R57" s="313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315"/>
      <c r="AE57" s="23"/>
      <c r="AF57" s="316">
        <v>0</v>
      </c>
      <c r="AG57" s="91">
        <v>0</v>
      </c>
      <c r="AH57" s="91">
        <v>0</v>
      </c>
      <c r="AI57" s="91">
        <v>0</v>
      </c>
      <c r="AJ57" s="91">
        <v>0</v>
      </c>
      <c r="AK57" s="91">
        <v>400</v>
      </c>
      <c r="AL57" s="91">
        <v>500</v>
      </c>
      <c r="AM57" s="91">
        <v>500</v>
      </c>
      <c r="AN57" s="91">
        <v>600</v>
      </c>
      <c r="AO57" s="91">
        <v>600</v>
      </c>
      <c r="AP57" s="91">
        <v>660</v>
      </c>
      <c r="AQ57" s="91">
        <v>960</v>
      </c>
      <c r="AR57" s="92">
        <f t="shared" si="76"/>
        <v>4220</v>
      </c>
      <c r="AS57" s="23"/>
      <c r="AT57" s="91">
        <v>960</v>
      </c>
      <c r="AU57" s="91">
        <v>960</v>
      </c>
      <c r="AV57" s="91">
        <v>960</v>
      </c>
      <c r="AW57" s="91">
        <v>960</v>
      </c>
      <c r="AX57" s="317">
        <v>580</v>
      </c>
      <c r="AY57" s="317">
        <v>580</v>
      </c>
      <c r="AZ57" s="317">
        <v>554</v>
      </c>
      <c r="BA57" s="317">
        <v>554</v>
      </c>
      <c r="BB57" s="317">
        <v>580</v>
      </c>
      <c r="BC57" s="317">
        <v>686</v>
      </c>
      <c r="BD57" s="317">
        <v>739</v>
      </c>
      <c r="BE57" s="317">
        <v>1055</v>
      </c>
      <c r="BF57" s="91">
        <f t="shared" si="77"/>
        <v>9168</v>
      </c>
      <c r="BG57" s="93">
        <f t="shared" si="78"/>
        <v>1.172511848341232</v>
      </c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54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758"/>
      <c r="CX57" s="884"/>
      <c r="CY57" s="884"/>
      <c r="CZ57" s="884"/>
      <c r="DA57" s="884"/>
      <c r="DB57" s="884"/>
      <c r="DC57" s="884"/>
      <c r="DD57" s="884"/>
      <c r="DE57" s="884"/>
      <c r="DF57" s="884"/>
      <c r="DG57" s="884"/>
      <c r="DH57" s="884"/>
      <c r="DI57" s="884"/>
      <c r="DJ57" s="91"/>
      <c r="DK57" s="949"/>
      <c r="DL57" s="884"/>
      <c r="DM57" s="884"/>
      <c r="DN57" s="884"/>
      <c r="DO57" s="884"/>
      <c r="DP57" s="884"/>
      <c r="DQ57" s="884"/>
      <c r="DR57" s="884"/>
      <c r="DS57" s="884"/>
      <c r="DT57" s="884"/>
      <c r="DU57" s="884"/>
      <c r="DV57" s="884"/>
      <c r="DW57" s="884"/>
      <c r="DX57" s="91"/>
    </row>
    <row r="58" spans="1:128" ht="15" hidden="1" customHeight="1" outlineLevel="1">
      <c r="A58" s="95"/>
      <c r="B58" s="924"/>
      <c r="C58" s="926"/>
      <c r="D58" s="421"/>
      <c r="E58" s="422"/>
      <c r="F58" s="422"/>
      <c r="G58" s="422"/>
      <c r="H58" s="422"/>
      <c r="I58" s="422"/>
      <c r="J58" s="422"/>
      <c r="K58" s="422"/>
      <c r="L58" s="422"/>
      <c r="M58" s="422"/>
      <c r="N58" s="422"/>
      <c r="O58" s="422"/>
      <c r="P58" s="423"/>
      <c r="Q58" s="424"/>
      <c r="R58" s="421"/>
      <c r="S58" s="425"/>
      <c r="T58" s="425"/>
      <c r="U58" s="425"/>
      <c r="V58" s="425"/>
      <c r="W58" s="425"/>
      <c r="X58" s="425"/>
      <c r="Y58" s="425"/>
      <c r="Z58" s="425"/>
      <c r="AA58" s="425"/>
      <c r="AB58" s="425"/>
      <c r="AC58" s="425"/>
      <c r="AD58" s="426"/>
      <c r="AE58" s="427"/>
      <c r="AF58" s="428">
        <v>0</v>
      </c>
      <c r="AG58" s="425">
        <v>0</v>
      </c>
      <c r="AH58" s="425">
        <v>0</v>
      </c>
      <c r="AI58" s="425">
        <v>0</v>
      </c>
      <c r="AJ58" s="425">
        <v>0</v>
      </c>
      <c r="AK58" s="425">
        <v>0</v>
      </c>
      <c r="AL58" s="425">
        <v>2500</v>
      </c>
      <c r="AM58" s="425">
        <v>2000</v>
      </c>
      <c r="AN58" s="425">
        <v>500</v>
      </c>
      <c r="AO58" s="425">
        <v>600</v>
      </c>
      <c r="AP58" s="425">
        <v>660</v>
      </c>
      <c r="AQ58" s="425">
        <v>960</v>
      </c>
      <c r="AR58" s="429">
        <f t="shared" si="76"/>
        <v>7220</v>
      </c>
      <c r="AS58" s="23"/>
      <c r="AT58" s="425">
        <v>1518</v>
      </c>
      <c r="AU58" s="425">
        <v>1518</v>
      </c>
      <c r="AV58" s="425">
        <v>1518</v>
      </c>
      <c r="AW58" s="425">
        <v>1518</v>
      </c>
      <c r="AX58" s="317">
        <v>1943</v>
      </c>
      <c r="AY58" s="317">
        <v>1943</v>
      </c>
      <c r="AZ58" s="317">
        <v>1854</v>
      </c>
      <c r="BA58" s="317">
        <v>1854</v>
      </c>
      <c r="BB58" s="317">
        <v>1943</v>
      </c>
      <c r="BC58" s="317">
        <v>2296</v>
      </c>
      <c r="BD58" s="317">
        <v>2472</v>
      </c>
      <c r="BE58" s="317">
        <v>3532</v>
      </c>
      <c r="BF58" s="425">
        <f t="shared" si="77"/>
        <v>23909</v>
      </c>
      <c r="BG58" s="93">
        <f t="shared" si="78"/>
        <v>2.3114958448753464</v>
      </c>
      <c r="BH58" s="425"/>
      <c r="BI58" s="425"/>
      <c r="BJ58" s="425"/>
      <c r="BK58" s="425"/>
      <c r="BL58" s="91"/>
      <c r="BM58" s="91"/>
      <c r="BN58" s="91"/>
      <c r="BO58" s="91"/>
      <c r="BP58" s="91"/>
      <c r="BQ58" s="91"/>
      <c r="BR58" s="91"/>
      <c r="BS58" s="91"/>
      <c r="BT58" s="91"/>
      <c r="BU58" s="54"/>
      <c r="BV58" s="425"/>
      <c r="BW58" s="425"/>
      <c r="BX58" s="425"/>
      <c r="BY58" s="425"/>
      <c r="BZ58" s="91"/>
      <c r="CA58" s="91"/>
      <c r="CB58" s="91"/>
      <c r="CC58" s="91"/>
      <c r="CD58" s="91"/>
      <c r="CE58" s="91"/>
      <c r="CF58" s="91"/>
      <c r="CG58" s="91"/>
      <c r="CH58" s="91"/>
      <c r="CJ58" s="425"/>
      <c r="CK58" s="425"/>
      <c r="CL58" s="425"/>
      <c r="CM58" s="425"/>
      <c r="CN58" s="91"/>
      <c r="CO58" s="91"/>
      <c r="CP58" s="91"/>
      <c r="CQ58" s="91"/>
      <c r="CR58" s="91"/>
      <c r="CS58" s="91"/>
      <c r="CT58" s="91"/>
      <c r="CU58" s="91"/>
      <c r="CV58" s="91"/>
      <c r="CW58" s="758"/>
      <c r="CX58" s="885"/>
      <c r="CY58" s="885"/>
      <c r="CZ58" s="885"/>
      <c r="DA58" s="885"/>
      <c r="DB58" s="884"/>
      <c r="DC58" s="884"/>
      <c r="DD58" s="884"/>
      <c r="DE58" s="884"/>
      <c r="DF58" s="884"/>
      <c r="DG58" s="884"/>
      <c r="DH58" s="884"/>
      <c r="DI58" s="884"/>
      <c r="DJ58" s="91"/>
      <c r="DK58" s="949"/>
      <c r="DL58" s="885"/>
      <c r="DM58" s="885"/>
      <c r="DN58" s="885"/>
      <c r="DO58" s="885"/>
      <c r="DP58" s="884"/>
      <c r="DQ58" s="884"/>
      <c r="DR58" s="884"/>
      <c r="DS58" s="884"/>
      <c r="DT58" s="884"/>
      <c r="DU58" s="884"/>
      <c r="DV58" s="884"/>
      <c r="DW58" s="884"/>
      <c r="DX58" s="91"/>
    </row>
    <row r="59" spans="1:128" ht="15" hidden="1" customHeight="1" outlineLevel="1">
      <c r="A59" s="434"/>
      <c r="B59" s="1075"/>
      <c r="C59" s="1076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6"/>
      <c r="AF59" s="437">
        <v>0</v>
      </c>
      <c r="AG59" s="437">
        <v>0</v>
      </c>
      <c r="AH59" s="437">
        <v>0</v>
      </c>
      <c r="AI59" s="437">
        <v>0</v>
      </c>
      <c r="AJ59" s="437">
        <v>0</v>
      </c>
      <c r="AK59" s="437">
        <v>0</v>
      </c>
      <c r="AL59" s="437">
        <v>0</v>
      </c>
      <c r="AM59" s="437">
        <v>0</v>
      </c>
      <c r="AN59" s="437">
        <v>0</v>
      </c>
      <c r="AO59" s="437">
        <v>0</v>
      </c>
      <c r="AP59" s="437">
        <v>0</v>
      </c>
      <c r="AQ59" s="437">
        <v>0</v>
      </c>
      <c r="AR59" s="438">
        <f t="shared" si="76"/>
        <v>0</v>
      </c>
      <c r="AS59" s="322"/>
      <c r="AT59" s="437">
        <v>0</v>
      </c>
      <c r="AU59" s="437">
        <v>0</v>
      </c>
      <c r="AV59" s="437">
        <v>0</v>
      </c>
      <c r="AW59" s="437">
        <v>0</v>
      </c>
      <c r="AX59" s="439">
        <v>800</v>
      </c>
      <c r="AY59" s="317">
        <v>800</v>
      </c>
      <c r="AZ59" s="317">
        <v>800</v>
      </c>
      <c r="BA59" s="317">
        <v>1050</v>
      </c>
      <c r="BB59" s="317">
        <v>1100</v>
      </c>
      <c r="BC59" s="317">
        <v>1300</v>
      </c>
      <c r="BD59" s="317">
        <v>1400</v>
      </c>
      <c r="BE59" s="440">
        <v>2000</v>
      </c>
      <c r="BF59" s="437">
        <f t="shared" si="77"/>
        <v>9250</v>
      </c>
      <c r="BG59" s="325" t="e">
        <f t="shared" si="78"/>
        <v>#DIV/0!</v>
      </c>
      <c r="BH59" s="437"/>
      <c r="BI59" s="437"/>
      <c r="BJ59" s="437"/>
      <c r="BK59" s="437"/>
      <c r="BL59" s="439"/>
      <c r="BM59" s="317"/>
      <c r="BN59" s="317"/>
      <c r="BO59" s="317"/>
      <c r="BP59" s="317"/>
      <c r="BQ59" s="317"/>
      <c r="BR59" s="317"/>
      <c r="BS59" s="317"/>
      <c r="BT59" s="317"/>
      <c r="BU59" s="326"/>
      <c r="BV59" s="443"/>
      <c r="BW59" s="443"/>
      <c r="BX59" s="443"/>
      <c r="BY59" s="443"/>
      <c r="BZ59" s="444"/>
      <c r="CA59" s="317"/>
      <c r="CB59" s="317"/>
      <c r="CC59" s="317"/>
      <c r="CD59" s="317"/>
      <c r="CE59" s="317"/>
      <c r="CF59" s="317"/>
      <c r="CG59" s="317"/>
      <c r="CH59" s="317"/>
      <c r="CJ59" s="443"/>
      <c r="CK59" s="443"/>
      <c r="CL59" s="443"/>
      <c r="CM59" s="443"/>
      <c r="CN59" s="444"/>
      <c r="CO59" s="317"/>
      <c r="CP59" s="317"/>
      <c r="CQ59" s="317"/>
      <c r="CR59" s="317"/>
      <c r="CS59" s="317"/>
      <c r="CT59" s="317"/>
      <c r="CU59" s="317"/>
      <c r="CV59" s="317"/>
      <c r="CW59" s="758"/>
      <c r="CX59" s="886"/>
      <c r="CY59" s="886"/>
      <c r="CZ59" s="886"/>
      <c r="DA59" s="886"/>
      <c r="DB59" s="887"/>
      <c r="DC59" s="888"/>
      <c r="DD59" s="888"/>
      <c r="DE59" s="888"/>
      <c r="DF59" s="888"/>
      <c r="DG59" s="888"/>
      <c r="DH59" s="888"/>
      <c r="DI59" s="888"/>
      <c r="DJ59" s="317"/>
      <c r="DK59" s="949"/>
      <c r="DL59" s="886"/>
      <c r="DM59" s="886"/>
      <c r="DN59" s="886"/>
      <c r="DO59" s="886"/>
      <c r="DP59" s="887"/>
      <c r="DQ59" s="888"/>
      <c r="DR59" s="888"/>
      <c r="DS59" s="888"/>
      <c r="DT59" s="888"/>
      <c r="DU59" s="888"/>
      <c r="DV59" s="888"/>
      <c r="DW59" s="888"/>
      <c r="DX59" s="317"/>
    </row>
    <row r="60" spans="1:128" ht="15" hidden="1" customHeight="1" outlineLevel="1">
      <c r="A60" s="430"/>
      <c r="B60" s="927"/>
      <c r="C60" s="928"/>
      <c r="D60" s="424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32"/>
      <c r="T60" s="432"/>
      <c r="U60" s="432"/>
      <c r="V60" s="432"/>
      <c r="W60" s="432"/>
      <c r="X60" s="432"/>
      <c r="Y60" s="432"/>
      <c r="Z60" s="432"/>
      <c r="AA60" s="432"/>
      <c r="AB60" s="432"/>
      <c r="AC60" s="432"/>
      <c r="AD60" s="432"/>
      <c r="AE60" s="427"/>
      <c r="AF60" s="432"/>
      <c r="AG60" s="432"/>
      <c r="AH60" s="432"/>
      <c r="AI60" s="432"/>
      <c r="AJ60" s="432"/>
      <c r="AK60" s="432"/>
      <c r="AL60" s="432"/>
      <c r="AM60" s="432"/>
      <c r="AN60" s="432"/>
      <c r="AO60" s="432"/>
      <c r="AP60" s="432"/>
      <c r="AQ60" s="432"/>
      <c r="AR60" s="433"/>
      <c r="AS60" s="23"/>
      <c r="AT60" s="97"/>
      <c r="AU60" s="97"/>
      <c r="AV60" s="97"/>
      <c r="AW60" s="97"/>
      <c r="AX60" s="91"/>
      <c r="AY60" s="91"/>
      <c r="AZ60" s="91"/>
      <c r="BA60" s="91"/>
      <c r="BB60" s="91"/>
      <c r="BC60" s="91"/>
      <c r="BD60" s="91">
        <v>600</v>
      </c>
      <c r="BE60" s="315">
        <v>700</v>
      </c>
      <c r="BF60" s="437">
        <f t="shared" si="77"/>
        <v>1300</v>
      </c>
      <c r="BG60" s="93"/>
      <c r="BH60" s="442"/>
      <c r="BI60" s="442"/>
      <c r="BJ60" s="442"/>
      <c r="BK60" s="442"/>
      <c r="BL60" s="316"/>
      <c r="BM60" s="91"/>
      <c r="BN60" s="91"/>
      <c r="BO60" s="91"/>
      <c r="BP60" s="91"/>
      <c r="BQ60" s="91"/>
      <c r="BR60" s="91"/>
      <c r="BS60" s="91"/>
      <c r="BT60" s="91"/>
      <c r="BU60" s="54"/>
      <c r="BV60" s="442"/>
      <c r="BW60" s="442"/>
      <c r="BX60" s="442"/>
      <c r="BY60" s="442"/>
      <c r="BZ60" s="442"/>
      <c r="CA60" s="316"/>
      <c r="CB60" s="91">
        <v>60</v>
      </c>
      <c r="CC60" s="91"/>
      <c r="CD60" s="91"/>
      <c r="CE60" s="91"/>
      <c r="CF60" s="91"/>
      <c r="CG60" s="91"/>
      <c r="CH60" s="91"/>
      <c r="CJ60" s="708">
        <f>(CJ62-CJ61)/CJ61</f>
        <v>0.03</v>
      </c>
      <c r="CK60" s="708">
        <f t="shared" ref="CK60:CU60" si="83">(CK62-CK61)/CK61</f>
        <v>3.0000000000000079E-2</v>
      </c>
      <c r="CL60" s="708">
        <f t="shared" si="83"/>
        <v>3.0000000000000058E-2</v>
      </c>
      <c r="CM60" s="708">
        <f t="shared" si="83"/>
        <v>3.0000000000000034E-2</v>
      </c>
      <c r="CN60" s="708">
        <f t="shared" si="83"/>
        <v>3.000000000000011E-2</v>
      </c>
      <c r="CO60" s="708">
        <f t="shared" si="83"/>
        <v>3.000000000000012E-2</v>
      </c>
      <c r="CP60" s="708">
        <f t="shared" si="83"/>
        <v>3.0000000000000113E-2</v>
      </c>
      <c r="CQ60" s="708">
        <f t="shared" si="83"/>
        <v>3.0000000000000127E-2</v>
      </c>
      <c r="CR60" s="708">
        <f t="shared" si="83"/>
        <v>3.0000000000000068E-2</v>
      </c>
      <c r="CS60" s="708">
        <f t="shared" si="83"/>
        <v>2.9999999999999982E-2</v>
      </c>
      <c r="CT60" s="708">
        <f t="shared" si="83"/>
        <v>2.9999999999999961E-2</v>
      </c>
      <c r="CU60" s="708">
        <f t="shared" si="83"/>
        <v>0.03</v>
      </c>
      <c r="CV60" s="91"/>
      <c r="CW60" s="758"/>
      <c r="CX60" s="889"/>
      <c r="CY60" s="889"/>
      <c r="CZ60" s="889"/>
      <c r="DA60" s="889"/>
      <c r="DB60" s="889"/>
      <c r="DC60" s="890"/>
      <c r="DD60" s="884"/>
      <c r="DE60" s="884"/>
      <c r="DF60" s="884"/>
      <c r="DG60" s="884"/>
      <c r="DH60" s="884"/>
      <c r="DI60" s="884"/>
      <c r="DJ60" s="91"/>
      <c r="DK60" s="949"/>
      <c r="DL60" s="889"/>
      <c r="DM60" s="889"/>
      <c r="DN60" s="889"/>
      <c r="DO60" s="889"/>
      <c r="DP60" s="889"/>
      <c r="DQ60" s="890"/>
      <c r="DR60" s="884"/>
      <c r="DS60" s="884"/>
      <c r="DT60" s="884"/>
      <c r="DU60" s="884"/>
      <c r="DV60" s="884"/>
      <c r="DW60" s="884"/>
      <c r="DX60" s="91"/>
    </row>
    <row r="61" spans="1:128" ht="15" hidden="1" customHeight="1" outlineLevel="1">
      <c r="A61" s="95"/>
      <c r="B61" s="924" t="s">
        <v>71</v>
      </c>
      <c r="C61" s="922"/>
      <c r="D61" s="313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>
        <f t="shared" ref="P61:P62" si="84">SUM(D61:O61)</f>
        <v>0</v>
      </c>
      <c r="Q61" s="90"/>
      <c r="R61" s="313">
        <v>350</v>
      </c>
      <c r="S61" s="91">
        <v>350</v>
      </c>
      <c r="T61" s="91">
        <v>450</v>
      </c>
      <c r="U61" s="91">
        <v>800</v>
      </c>
      <c r="V61" s="91">
        <v>531</v>
      </c>
      <c r="W61" s="91">
        <v>750</v>
      </c>
      <c r="X61" s="91">
        <v>650</v>
      </c>
      <c r="Y61" s="91">
        <v>750</v>
      </c>
      <c r="Z61" s="91">
        <v>900</v>
      </c>
      <c r="AA61" s="91">
        <v>1000</v>
      </c>
      <c r="AB61" s="91">
        <v>1200</v>
      </c>
      <c r="AC61" s="91">
        <v>1500</v>
      </c>
      <c r="AD61" s="315">
        <f t="shared" ref="AD61:AD62" si="85">SUM(R61:AC61)</f>
        <v>9231</v>
      </c>
      <c r="AE61" s="23"/>
      <c r="AF61" s="316">
        <v>1500</v>
      </c>
      <c r="AG61" s="91">
        <v>800</v>
      </c>
      <c r="AH61" s="91">
        <v>800</v>
      </c>
      <c r="AI61" s="91">
        <v>1820</v>
      </c>
      <c r="AJ61" s="91">
        <v>1630</v>
      </c>
      <c r="AK61" s="91">
        <v>1360</v>
      </c>
      <c r="AL61" s="91">
        <v>1000</v>
      </c>
      <c r="AM61" s="91">
        <v>1700</v>
      </c>
      <c r="AN61" s="91">
        <v>1700</v>
      </c>
      <c r="AO61" s="91">
        <v>1700</v>
      </c>
      <c r="AP61" s="91">
        <v>1870</v>
      </c>
      <c r="AQ61" s="91">
        <v>2720</v>
      </c>
      <c r="AR61" s="92">
        <f t="shared" ref="AR61:AR62" si="86">SUM(AF61:AQ61)</f>
        <v>18600</v>
      </c>
      <c r="AS61" s="23"/>
      <c r="AT61" s="91">
        <v>2053</v>
      </c>
      <c r="AU61" s="91">
        <v>2053</v>
      </c>
      <c r="AV61" s="91">
        <v>2053</v>
      </c>
      <c r="AW61" s="91">
        <v>2053</v>
      </c>
      <c r="AX61" s="91">
        <v>2807</v>
      </c>
      <c r="AY61" s="91">
        <v>2807</v>
      </c>
      <c r="AZ61" s="91">
        <v>2680</v>
      </c>
      <c r="BA61" s="91">
        <v>2680</v>
      </c>
      <c r="BB61" s="91">
        <v>2807</v>
      </c>
      <c r="BC61" s="91">
        <v>3318</v>
      </c>
      <c r="BD61" s="91">
        <v>5870</v>
      </c>
      <c r="BE61" s="91">
        <v>5104</v>
      </c>
      <c r="BF61" s="441">
        <f t="shared" si="77"/>
        <v>36285</v>
      </c>
      <c r="BG61" s="93">
        <f>BF61/AR61-1</f>
        <v>0.95080645161290334</v>
      </c>
      <c r="BH61" s="441"/>
      <c r="BI61" s="441"/>
      <c r="BJ61" s="441"/>
      <c r="BK61" s="441"/>
      <c r="BL61" s="91"/>
      <c r="BM61" s="91"/>
      <c r="BN61" s="91"/>
      <c r="BO61" s="91"/>
      <c r="BP61" s="91"/>
      <c r="BQ61" s="91"/>
      <c r="BR61" s="91"/>
      <c r="BS61" s="91"/>
      <c r="BT61" s="91">
        <f>SUM(BH61:BS61)</f>
        <v>0</v>
      </c>
      <c r="BU61" s="54"/>
      <c r="BV61" s="441"/>
      <c r="BW61" s="441"/>
      <c r="BX61" s="441"/>
      <c r="BY61" s="441"/>
      <c r="BZ61" s="441"/>
      <c r="CA61" s="91"/>
      <c r="CB61" s="91"/>
      <c r="CC61" s="91"/>
      <c r="CD61" s="91"/>
      <c r="CE61" s="91"/>
      <c r="CF61" s="91"/>
      <c r="CG61" s="91"/>
      <c r="CH61" s="91"/>
      <c r="CJ61" s="441">
        <f>BV71</f>
        <v>38900</v>
      </c>
      <c r="CK61" s="441">
        <f t="shared" ref="CK61:CU61" si="87">BW71</f>
        <v>31376</v>
      </c>
      <c r="CL61" s="441">
        <f t="shared" si="87"/>
        <v>29886</v>
      </c>
      <c r="CM61" s="441">
        <f t="shared" si="87"/>
        <v>30671</v>
      </c>
      <c r="CN61" s="441">
        <f t="shared" si="87"/>
        <v>34553</v>
      </c>
      <c r="CO61" s="441">
        <f t="shared" si="87"/>
        <v>36515</v>
      </c>
      <c r="CP61" s="441">
        <f t="shared" si="87"/>
        <v>38915</v>
      </c>
      <c r="CQ61" s="441">
        <f t="shared" si="87"/>
        <v>34615</v>
      </c>
      <c r="CR61" s="441">
        <f t="shared" si="87"/>
        <v>29617</v>
      </c>
      <c r="CS61" s="441">
        <f t="shared" si="87"/>
        <v>34538</v>
      </c>
      <c r="CT61" s="441">
        <f t="shared" si="87"/>
        <v>45914</v>
      </c>
      <c r="CU61" s="441">
        <f t="shared" si="87"/>
        <v>60875</v>
      </c>
      <c r="CV61" s="91"/>
      <c r="CW61" s="758"/>
      <c r="CX61" s="891"/>
      <c r="CY61" s="891"/>
      <c r="CZ61" s="891"/>
      <c r="DA61" s="891"/>
      <c r="DB61" s="891"/>
      <c r="DC61" s="884"/>
      <c r="DD61" s="884"/>
      <c r="DE61" s="884"/>
      <c r="DF61" s="884"/>
      <c r="DG61" s="884"/>
      <c r="DH61" s="884"/>
      <c r="DI61" s="884"/>
      <c r="DJ61" s="91"/>
      <c r="DK61" s="949"/>
      <c r="DL61" s="891"/>
      <c r="DM61" s="891"/>
      <c r="DN61" s="891"/>
      <c r="DO61" s="891"/>
      <c r="DP61" s="891"/>
      <c r="DQ61" s="884"/>
      <c r="DR61" s="884"/>
      <c r="DS61" s="884"/>
      <c r="DT61" s="884"/>
      <c r="DU61" s="884"/>
      <c r="DV61" s="884"/>
      <c r="DW61" s="884"/>
      <c r="DX61" s="91"/>
    </row>
    <row r="62" spans="1:128" ht="18.75" hidden="1" collapsed="1">
      <c r="A62" s="55"/>
      <c r="B62" s="56" t="s">
        <v>123</v>
      </c>
      <c r="C62" s="753"/>
      <c r="D62" s="288">
        <f t="shared" ref="D62:O62" si="88">SUM(D41:D61)</f>
        <v>0</v>
      </c>
      <c r="E62" s="57">
        <f t="shared" si="88"/>
        <v>0</v>
      </c>
      <c r="F62" s="57">
        <f t="shared" si="88"/>
        <v>0</v>
      </c>
      <c r="G62" s="57">
        <f t="shared" si="88"/>
        <v>0</v>
      </c>
      <c r="H62" s="57">
        <f t="shared" si="88"/>
        <v>0</v>
      </c>
      <c r="I62" s="57">
        <f t="shared" si="88"/>
        <v>0</v>
      </c>
      <c r="J62" s="57">
        <f t="shared" si="88"/>
        <v>0</v>
      </c>
      <c r="K62" s="57">
        <f t="shared" si="88"/>
        <v>0</v>
      </c>
      <c r="L62" s="57">
        <f t="shared" si="88"/>
        <v>0</v>
      </c>
      <c r="M62" s="57">
        <f t="shared" si="88"/>
        <v>0</v>
      </c>
      <c r="N62" s="57">
        <f t="shared" si="88"/>
        <v>0</v>
      </c>
      <c r="O62" s="57">
        <f t="shared" si="88"/>
        <v>0</v>
      </c>
      <c r="P62" s="289">
        <f t="shared" si="84"/>
        <v>0</v>
      </c>
      <c r="Q62" s="39"/>
      <c r="R62" s="288">
        <f t="shared" ref="R62:AC62" si="89">SUM(R41:R61)</f>
        <v>20557.543859649122</v>
      </c>
      <c r="S62" s="58">
        <f t="shared" si="89"/>
        <v>20512.543859649122</v>
      </c>
      <c r="T62" s="58">
        <f t="shared" si="89"/>
        <v>13699.771929824561</v>
      </c>
      <c r="U62" s="58">
        <f t="shared" si="89"/>
        <v>912.5</v>
      </c>
      <c r="V62" s="58">
        <f t="shared" si="89"/>
        <v>16851</v>
      </c>
      <c r="W62" s="290">
        <f t="shared" si="89"/>
        <v>13700</v>
      </c>
      <c r="X62" s="290">
        <f t="shared" si="89"/>
        <v>26050</v>
      </c>
      <c r="Y62" s="290">
        <f t="shared" si="89"/>
        <v>27750</v>
      </c>
      <c r="Z62" s="290">
        <f t="shared" si="89"/>
        <v>31100</v>
      </c>
      <c r="AA62" s="290">
        <f t="shared" si="89"/>
        <v>32100</v>
      </c>
      <c r="AB62" s="290">
        <f t="shared" si="89"/>
        <v>37500</v>
      </c>
      <c r="AC62" s="290">
        <f t="shared" si="89"/>
        <v>45300</v>
      </c>
      <c r="AD62" s="291">
        <f t="shared" si="85"/>
        <v>286033.35964912281</v>
      </c>
      <c r="AE62" s="59"/>
      <c r="AF62" s="292">
        <f>SUM(AF41:AF61)</f>
        <v>38500</v>
      </c>
      <c r="AG62" s="58">
        <f t="shared" ref="AG62:AQ62" si="90">SUM(AG41:AG61)</f>
        <v>22400</v>
      </c>
      <c r="AH62" s="58">
        <f t="shared" si="90"/>
        <v>10671</v>
      </c>
      <c r="AI62" s="58">
        <f t="shared" si="90"/>
        <v>16097</v>
      </c>
      <c r="AJ62" s="58">
        <f t="shared" si="90"/>
        <v>30278</v>
      </c>
      <c r="AK62" s="58">
        <f t="shared" si="90"/>
        <v>28560</v>
      </c>
      <c r="AL62" s="58">
        <f t="shared" si="90"/>
        <v>41700</v>
      </c>
      <c r="AM62" s="58">
        <f t="shared" si="90"/>
        <v>38700</v>
      </c>
      <c r="AN62" s="58">
        <f t="shared" si="90"/>
        <v>37300</v>
      </c>
      <c r="AO62" s="58">
        <f t="shared" si="90"/>
        <v>37400</v>
      </c>
      <c r="AP62" s="58">
        <f t="shared" si="90"/>
        <v>40640</v>
      </c>
      <c r="AQ62" s="58">
        <f t="shared" si="90"/>
        <v>54440</v>
      </c>
      <c r="AR62" s="58">
        <f t="shared" si="86"/>
        <v>396686</v>
      </c>
      <c r="AS62" s="59"/>
      <c r="AT62" s="58">
        <f t="shared" ref="AT62:BE62" si="91">SUM(AT41:AT61)</f>
        <v>36153</v>
      </c>
      <c r="AU62" s="58">
        <f>SUM(AU41:AU61)</f>
        <v>35289</v>
      </c>
      <c r="AV62" s="58">
        <f t="shared" si="91"/>
        <v>35872</v>
      </c>
      <c r="AW62" s="58">
        <f t="shared" si="91"/>
        <v>38031</v>
      </c>
      <c r="AX62" s="58">
        <f t="shared" si="91"/>
        <v>33566</v>
      </c>
      <c r="AY62" s="58">
        <f t="shared" si="91"/>
        <v>33566</v>
      </c>
      <c r="AZ62" s="58">
        <f t="shared" si="91"/>
        <v>30896</v>
      </c>
      <c r="BA62" s="58">
        <f t="shared" si="91"/>
        <v>31146</v>
      </c>
      <c r="BB62" s="58">
        <f t="shared" si="91"/>
        <v>32630</v>
      </c>
      <c r="BC62" s="58">
        <f t="shared" si="91"/>
        <v>38562</v>
      </c>
      <c r="BD62" s="58">
        <f t="shared" si="91"/>
        <v>41345</v>
      </c>
      <c r="BE62" s="58">
        <f t="shared" si="91"/>
        <v>49263</v>
      </c>
      <c r="BF62" s="58">
        <f>SUM(AT62:BE62)</f>
        <v>436319</v>
      </c>
      <c r="BG62" s="59">
        <f>BF62-AR62</f>
        <v>39633</v>
      </c>
      <c r="BH62" s="58">
        <v>36153</v>
      </c>
      <c r="BI62" s="58">
        <v>35289</v>
      </c>
      <c r="BJ62" s="58">
        <v>35872</v>
      </c>
      <c r="BK62" s="58">
        <v>38031</v>
      </c>
      <c r="BL62" s="58">
        <v>38570</v>
      </c>
      <c r="BM62" s="58">
        <v>39227</v>
      </c>
      <c r="BN62" s="58">
        <v>41128</v>
      </c>
      <c r="BO62" s="58">
        <v>38191</v>
      </c>
      <c r="BP62" s="58">
        <v>38191</v>
      </c>
      <c r="BQ62" s="58">
        <v>40225</v>
      </c>
      <c r="BR62" s="58">
        <v>43272</v>
      </c>
      <c r="BS62" s="58">
        <v>60327</v>
      </c>
      <c r="BT62" s="58">
        <f t="shared" ref="BT62:BT66" si="92">SUM(BH62:BS62)</f>
        <v>484476</v>
      </c>
      <c r="BU62" s="60"/>
      <c r="BV62" s="58">
        <f>SUM(BV41:BV58)</f>
        <v>35797.912472643162</v>
      </c>
      <c r="BW62" s="58">
        <f t="shared" ref="BW62:CG62" si="93">SUM(BW41:BW58)</f>
        <v>27268.538792847521</v>
      </c>
      <c r="BX62" s="58">
        <f t="shared" si="93"/>
        <v>34357.668832234456</v>
      </c>
      <c r="BY62" s="58">
        <f t="shared" si="93"/>
        <v>29626.958292847525</v>
      </c>
      <c r="BZ62" s="58">
        <f t="shared" si="93"/>
        <v>34139.121332234456</v>
      </c>
      <c r="CA62" s="58">
        <f t="shared" si="93"/>
        <v>39503.881972643161</v>
      </c>
      <c r="CB62" s="58">
        <f t="shared" si="93"/>
        <v>45728.836911008315</v>
      </c>
      <c r="CC62" s="58">
        <f t="shared" si="93"/>
        <v>32260.226972643166</v>
      </c>
      <c r="CD62" s="58">
        <f t="shared" si="93"/>
        <v>33331.522972643164</v>
      </c>
      <c r="CE62" s="58">
        <f t="shared" si="93"/>
        <v>35213.881472643166</v>
      </c>
      <c r="CF62" s="58">
        <f t="shared" si="93"/>
        <v>46168.878068556034</v>
      </c>
      <c r="CG62" s="58">
        <f t="shared" si="93"/>
        <v>57905.502691825735</v>
      </c>
      <c r="CH62" s="58">
        <f>SUM(BV62:CG62)</f>
        <v>451302.93078476982</v>
      </c>
      <c r="CI62" s="395">
        <f>(CH62-BT71)/BT71</f>
        <v>5.1833718555945915E-2</v>
      </c>
      <c r="CJ62" s="58">
        <f>BV71*1.03</f>
        <v>40067</v>
      </c>
      <c r="CK62" s="58">
        <f t="shared" ref="CK62:CU62" si="94">BW71*1.03</f>
        <v>32317.280000000002</v>
      </c>
      <c r="CL62" s="58">
        <f t="shared" si="94"/>
        <v>30782.58</v>
      </c>
      <c r="CM62" s="58">
        <f>BY71*1.03</f>
        <v>31591.13</v>
      </c>
      <c r="CN62" s="58">
        <f t="shared" si="94"/>
        <v>35589.590000000004</v>
      </c>
      <c r="CO62" s="58">
        <f t="shared" si="94"/>
        <v>37610.450000000004</v>
      </c>
      <c r="CP62" s="58">
        <f t="shared" si="94"/>
        <v>40082.450000000004</v>
      </c>
      <c r="CQ62" s="58">
        <f t="shared" si="94"/>
        <v>35653.450000000004</v>
      </c>
      <c r="CR62" s="58">
        <f t="shared" si="94"/>
        <v>30505.510000000002</v>
      </c>
      <c r="CS62" s="58">
        <f>CE71*1.03</f>
        <v>35574.14</v>
      </c>
      <c r="CT62" s="58">
        <f t="shared" si="94"/>
        <v>47291.42</v>
      </c>
      <c r="CU62" s="58">
        <f t="shared" si="94"/>
        <v>62701.25</v>
      </c>
      <c r="CV62" s="58">
        <f>SUM(CJ62:CU62)</f>
        <v>459766.25</v>
      </c>
      <c r="CW62" s="758"/>
      <c r="CX62" s="880">
        <v>25453.360000000001</v>
      </c>
      <c r="CY62" s="880">
        <v>21658.84</v>
      </c>
      <c r="CZ62" s="880">
        <v>25209.25</v>
      </c>
      <c r="DA62" s="880">
        <v>27828.54</v>
      </c>
      <c r="DB62" s="880">
        <v>32049.480000000003</v>
      </c>
      <c r="DC62" s="880">
        <v>32772.54</v>
      </c>
      <c r="DD62" s="880">
        <v>34046.649999999994</v>
      </c>
      <c r="DE62" s="880">
        <v>30567.31</v>
      </c>
      <c r="DF62" s="880">
        <v>29170.629999999997</v>
      </c>
      <c r="DG62" s="880">
        <v>33460.786</v>
      </c>
      <c r="DH62" s="880">
        <v>40405.437400000003</v>
      </c>
      <c r="DI62" s="880">
        <v>57291.782700000003</v>
      </c>
      <c r="DJ62" s="58">
        <f>SUM(CX62:DI62)</f>
        <v>389914.60609999998</v>
      </c>
      <c r="DK62" s="949"/>
      <c r="DL62" s="880">
        <v>25453.360000000001</v>
      </c>
      <c r="DM62" s="880">
        <v>21658.84</v>
      </c>
      <c r="DN62" s="880">
        <v>25209.25</v>
      </c>
      <c r="DO62" s="880">
        <v>27828.54</v>
      </c>
      <c r="DP62" s="880">
        <v>32049.480000000003</v>
      </c>
      <c r="DQ62" s="880">
        <v>32772.54</v>
      </c>
      <c r="DR62" s="880">
        <v>34046.649999999994</v>
      </c>
      <c r="DS62" s="880">
        <v>30567.31</v>
      </c>
      <c r="DT62" s="880">
        <v>29170.629999999997</v>
      </c>
      <c r="DU62" s="880">
        <v>33460.786</v>
      </c>
      <c r="DV62" s="880">
        <v>40405.437400000003</v>
      </c>
      <c r="DW62" s="880">
        <v>57291.782700000003</v>
      </c>
      <c r="DX62" s="58">
        <f>SUM(DL62:DW62)</f>
        <v>389914.60609999998</v>
      </c>
    </row>
    <row r="63" spans="1:128" ht="18.75" hidden="1">
      <c r="A63" s="99"/>
      <c r="B63" s="929" t="s">
        <v>73</v>
      </c>
      <c r="C63" s="930"/>
      <c r="D63" s="301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302"/>
      <c r="Q63" s="74"/>
      <c r="R63" s="301"/>
      <c r="S63" s="69"/>
      <c r="T63" s="69"/>
      <c r="U63" s="69"/>
      <c r="V63" s="303"/>
      <c r="W63" s="304"/>
      <c r="X63" s="304"/>
      <c r="Y63" s="304"/>
      <c r="Z63" s="304"/>
      <c r="AA63" s="304"/>
      <c r="AB63" s="304"/>
      <c r="AC63" s="75"/>
      <c r="AD63" s="76"/>
      <c r="AE63" s="77"/>
      <c r="AF63" s="305"/>
      <c r="AG63" s="69"/>
      <c r="AH63" s="69"/>
      <c r="AI63" s="69"/>
      <c r="AJ63" s="303"/>
      <c r="AK63" s="303"/>
      <c r="AL63" s="303"/>
      <c r="AM63" s="303"/>
      <c r="AN63" s="69"/>
      <c r="AO63" s="69"/>
      <c r="AP63" s="69"/>
      <c r="AQ63" s="69"/>
      <c r="AR63" s="306"/>
      <c r="AS63" s="77"/>
      <c r="AT63" s="69"/>
      <c r="AU63" s="69"/>
      <c r="AV63" s="69"/>
      <c r="AW63" s="69"/>
      <c r="AX63" s="69"/>
      <c r="AY63" s="69">
        <v>15000</v>
      </c>
      <c r="AZ63" s="69">
        <v>15000</v>
      </c>
      <c r="BA63" s="69">
        <f t="shared" ref="BA63:BB63" si="95">BA62*70%</f>
        <v>21802.199999999997</v>
      </c>
      <c r="BB63" s="69">
        <f t="shared" si="95"/>
        <v>22841</v>
      </c>
      <c r="BC63" s="69">
        <v>35000</v>
      </c>
      <c r="BD63" s="69">
        <v>35000</v>
      </c>
      <c r="BE63" s="69">
        <v>42000</v>
      </c>
      <c r="BF63" s="69">
        <f t="shared" si="77"/>
        <v>186643.20000000001</v>
      </c>
      <c r="BG63" s="77"/>
      <c r="BH63" s="69">
        <f t="shared" ref="BH63:BM63" si="96">BH62*0.8</f>
        <v>28922.400000000001</v>
      </c>
      <c r="BI63" s="69">
        <f t="shared" si="96"/>
        <v>28231.200000000001</v>
      </c>
      <c r="BJ63" s="69">
        <f t="shared" si="96"/>
        <v>28697.600000000002</v>
      </c>
      <c r="BK63" s="69">
        <f t="shared" si="96"/>
        <v>30424.800000000003</v>
      </c>
      <c r="BL63" s="69">
        <f t="shared" si="96"/>
        <v>30856</v>
      </c>
      <c r="BM63" s="69">
        <f t="shared" si="96"/>
        <v>31381.600000000002</v>
      </c>
      <c r="BN63" s="69">
        <f>BN62*0.85</f>
        <v>34958.799999999996</v>
      </c>
      <c r="BO63" s="69">
        <v>29000</v>
      </c>
      <c r="BP63" s="69">
        <v>40223</v>
      </c>
      <c r="BQ63" s="69">
        <v>36735</v>
      </c>
      <c r="BR63" s="69">
        <v>36933</v>
      </c>
      <c r="BS63" s="69">
        <v>52283</v>
      </c>
      <c r="BT63" s="69">
        <f t="shared" si="92"/>
        <v>408646.40000000002</v>
      </c>
      <c r="BU63" s="28"/>
      <c r="BV63" s="69">
        <v>32000</v>
      </c>
      <c r="BW63" s="69">
        <v>32000</v>
      </c>
      <c r="BX63" s="69">
        <v>37000</v>
      </c>
      <c r="BY63" s="69">
        <v>32000</v>
      </c>
      <c r="BZ63" s="69">
        <v>35000</v>
      </c>
      <c r="CA63" s="69">
        <v>35000</v>
      </c>
      <c r="CB63" s="69">
        <v>35000</v>
      </c>
      <c r="CC63" s="69">
        <f>CC62*1</f>
        <v>32260.226972643166</v>
      </c>
      <c r="CD63" s="69">
        <f>CD62*1</f>
        <v>33331.522972643164</v>
      </c>
      <c r="CE63" s="69">
        <f>CE62</f>
        <v>35213.881472643166</v>
      </c>
      <c r="CF63" s="69">
        <v>40000</v>
      </c>
      <c r="CG63" s="69">
        <v>60000</v>
      </c>
      <c r="CH63" s="69"/>
      <c r="CI63" s="395"/>
      <c r="CJ63" s="69">
        <v>32000</v>
      </c>
      <c r="CK63" s="69">
        <v>30000</v>
      </c>
      <c r="CL63" s="69">
        <v>31500</v>
      </c>
      <c r="CM63" s="69">
        <v>32000</v>
      </c>
      <c r="CN63" s="69">
        <v>45000</v>
      </c>
      <c r="CO63" s="69">
        <v>35000</v>
      </c>
      <c r="CP63" s="69">
        <v>36000</v>
      </c>
      <c r="CQ63" s="69">
        <v>35000</v>
      </c>
      <c r="CR63" s="69">
        <v>35000</v>
      </c>
      <c r="CS63" s="69">
        <v>40000</v>
      </c>
      <c r="CT63" s="69">
        <v>51000</v>
      </c>
      <c r="CU63" s="69">
        <v>60000</v>
      </c>
      <c r="CV63" s="69">
        <f>SUM(CJ63:CU63)</f>
        <v>462500</v>
      </c>
      <c r="CW63" s="758"/>
      <c r="CX63" s="881">
        <v>28638.329978114532</v>
      </c>
      <c r="CY63" s="881">
        <v>21814.831034278017</v>
      </c>
      <c r="CZ63" s="881">
        <v>27486.135065787566</v>
      </c>
      <c r="DA63" s="881">
        <v>23701.566634278021</v>
      </c>
      <c r="DB63" s="881">
        <v>27311.297065787567</v>
      </c>
      <c r="DC63" s="881">
        <v>31603.10557811453</v>
      </c>
      <c r="DD63" s="881">
        <v>36583.069528806656</v>
      </c>
      <c r="DE63" s="881">
        <v>25808.181578114534</v>
      </c>
      <c r="DF63" s="881">
        <v>26665.218378114532</v>
      </c>
      <c r="DG63" s="881">
        <v>28171.105178114536</v>
      </c>
      <c r="DH63" s="881">
        <v>36935.102454844826</v>
      </c>
      <c r="DI63" s="881">
        <v>46324.402153460593</v>
      </c>
      <c r="DJ63" s="69"/>
      <c r="DK63" s="949"/>
      <c r="DL63" s="881">
        <v>28638.329978114532</v>
      </c>
      <c r="DM63" s="881">
        <v>21814.831034278017</v>
      </c>
      <c r="DN63" s="881">
        <v>27486.135065787566</v>
      </c>
      <c r="DO63" s="881">
        <v>23701.566634278021</v>
      </c>
      <c r="DP63" s="881">
        <v>27311.297065787567</v>
      </c>
      <c r="DQ63" s="881">
        <v>31603.10557811453</v>
      </c>
      <c r="DR63" s="881">
        <v>36583.069528806656</v>
      </c>
      <c r="DS63" s="881">
        <v>25808.181578114534</v>
      </c>
      <c r="DT63" s="881">
        <v>26665.218378114532</v>
      </c>
      <c r="DU63" s="881">
        <v>28171.105178114536</v>
      </c>
      <c r="DV63" s="881">
        <v>36935.102454844826</v>
      </c>
      <c r="DW63" s="881">
        <v>46324.402153460593</v>
      </c>
      <c r="DX63" s="69"/>
    </row>
    <row r="64" spans="1:128" ht="14.25" hidden="1" customHeight="1">
      <c r="A64" s="55" t="s">
        <v>74</v>
      </c>
      <c r="B64" s="56"/>
      <c r="C64" s="280"/>
      <c r="D64" s="288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289"/>
      <c r="Q64" s="39"/>
      <c r="R64" s="288"/>
      <c r="S64" s="58"/>
      <c r="T64" s="58"/>
      <c r="U64" s="58"/>
      <c r="V64" s="58"/>
      <c r="W64" s="290"/>
      <c r="X64" s="290"/>
      <c r="Y64" s="290"/>
      <c r="Z64" s="290"/>
      <c r="AA64" s="290"/>
      <c r="AB64" s="290"/>
      <c r="AC64" s="290"/>
      <c r="AD64" s="291"/>
      <c r="AE64" s="59"/>
      <c r="AF64" s="292"/>
      <c r="AG64" s="58"/>
      <c r="AH64" s="58"/>
      <c r="AI64" s="58"/>
      <c r="AJ64" s="58"/>
      <c r="AK64" s="58"/>
      <c r="AL64" s="58">
        <f>AL62/AVERAGE($AF$62:$AQ$62)</f>
        <v>1.2614511225503295</v>
      </c>
      <c r="AM64" s="58"/>
      <c r="AN64" s="58"/>
      <c r="AO64" s="58"/>
      <c r="AP64" s="58">
        <f t="shared" ref="AP64:AQ64" si="97">AP62/AVERAGE($AF$62:$AQ$62)</f>
        <v>1.2293854585238704</v>
      </c>
      <c r="AQ64" s="58">
        <f t="shared" si="97"/>
        <v>1.6468441033966412</v>
      </c>
      <c r="AR64" s="58"/>
      <c r="AS64" s="59"/>
      <c r="AT64" s="58">
        <v>109190</v>
      </c>
      <c r="AU64" s="58">
        <v>153667</v>
      </c>
      <c r="AV64" s="58">
        <v>178778</v>
      </c>
      <c r="AW64" s="58">
        <v>151970</v>
      </c>
      <c r="AX64" s="58">
        <v>142416</v>
      </c>
      <c r="AY64" s="58">
        <v>177335</v>
      </c>
      <c r="AZ64" s="58">
        <v>152230</v>
      </c>
      <c r="BA64" s="58">
        <v>245527</v>
      </c>
      <c r="BB64" s="58">
        <f>5261504/27</f>
        <v>194870.51851851851</v>
      </c>
      <c r="BC64" s="58">
        <f>5784000/27</f>
        <v>214222.22222222222</v>
      </c>
      <c r="BD64" s="58">
        <f>3224000/27</f>
        <v>119407.4074074074</v>
      </c>
      <c r="BE64" s="58">
        <f>909800/27</f>
        <v>33696.296296296299</v>
      </c>
      <c r="BF64" s="58">
        <f t="shared" si="77"/>
        <v>1873309.4444444445</v>
      </c>
      <c r="BG64" s="59"/>
      <c r="BH64" s="58">
        <v>156208</v>
      </c>
      <c r="BI64" s="58">
        <v>147340</v>
      </c>
      <c r="BJ64" s="58">
        <v>166759</v>
      </c>
      <c r="BK64" s="58">
        <v>152352</v>
      </c>
      <c r="BL64" s="58">
        <v>128446</v>
      </c>
      <c r="BM64" s="58">
        <v>126790</v>
      </c>
      <c r="BN64" s="58">
        <v>173761</v>
      </c>
      <c r="BO64" s="58">
        <f>144510.599073001+BO63</f>
        <v>173510.59907300101</v>
      </c>
      <c r="BP64" s="58">
        <f>162574.422556972+BP63</f>
        <v>202797.42255697199</v>
      </c>
      <c r="BQ64" s="58">
        <f>166187.186558517+BQ63</f>
        <v>202922.18655851699</v>
      </c>
      <c r="BR64" s="58">
        <f>BQ38+BR34*0.6</f>
        <v>232502.36</v>
      </c>
      <c r="BS64" s="58">
        <f>BR34*0.4+BS34*0.5</f>
        <v>116391.04000000001</v>
      </c>
      <c r="BT64" s="58">
        <f t="shared" si="92"/>
        <v>1979779.6081884899</v>
      </c>
      <c r="BU64" s="60"/>
      <c r="BV64" s="58">
        <f t="shared" ref="BV64:CC64" si="98">BV38+BV63</f>
        <v>162757.867486095</v>
      </c>
      <c r="BW64" s="58">
        <f t="shared" si="98"/>
        <v>157566.83045180296</v>
      </c>
      <c r="BX64" s="58">
        <f t="shared" si="98"/>
        <v>197961.53846153844</v>
      </c>
      <c r="BY64" s="58">
        <f t="shared" si="98"/>
        <v>160769.23076923078</v>
      </c>
      <c r="BZ64" s="58">
        <f t="shared" si="98"/>
        <v>153232.39341785663</v>
      </c>
      <c r="CA64" s="58">
        <f t="shared" si="98"/>
        <v>143192.12910096842</v>
      </c>
      <c r="CB64" s="58">
        <f t="shared" si="98"/>
        <v>178736.21444761599</v>
      </c>
      <c r="CC64" s="58">
        <f t="shared" si="98"/>
        <v>202914.10079748323</v>
      </c>
      <c r="CD64" s="58">
        <f>CD38+CD63</f>
        <v>214499.61628422557</v>
      </c>
      <c r="CE64" s="58">
        <f>CE38+CE63</f>
        <v>217682.99793575107</v>
      </c>
      <c r="CF64" s="58">
        <f>CF38+CF63</f>
        <v>173115.84223630186</v>
      </c>
      <c r="CG64" s="58">
        <f t="shared" ref="CG64" si="99">BS64</f>
        <v>116391.04000000001</v>
      </c>
      <c r="CH64" s="58"/>
      <c r="CJ64" s="58">
        <f>CJ38+CJ63</f>
        <v>161344.16697726428</v>
      </c>
      <c r="CK64" s="58">
        <f t="shared" ref="CK64:CU64" si="100">CK38+CK63</f>
        <v>180873.49981364145</v>
      </c>
      <c r="CL64" s="58">
        <f t="shared" si="100"/>
        <v>172879.05329854641</v>
      </c>
      <c r="CM64" s="58">
        <f t="shared" si="100"/>
        <v>168578.1587774879</v>
      </c>
      <c r="CN64" s="58">
        <f t="shared" si="100"/>
        <v>181291.91203876259</v>
      </c>
      <c r="CO64" s="58">
        <f t="shared" si="100"/>
        <v>138386.95490122997</v>
      </c>
      <c r="CP64" s="58">
        <f t="shared" si="100"/>
        <v>217610.97046413503</v>
      </c>
      <c r="CQ64" s="58">
        <f>CQ38+CQ63</f>
        <v>234329.11392405062</v>
      </c>
      <c r="CR64" s="58">
        <f t="shared" si="100"/>
        <v>269765.40084388189</v>
      </c>
      <c r="CS64" s="58">
        <f t="shared" si="100"/>
        <v>257806.7510548523</v>
      </c>
      <c r="CT64" s="58">
        <f>CT38+CT63</f>
        <v>185135.02109704641</v>
      </c>
      <c r="CU64" s="58">
        <f t="shared" si="100"/>
        <v>111311.39240506329</v>
      </c>
      <c r="CV64" s="58">
        <f>SUM(CJ64:CU64)</f>
        <v>2279312.3955959622</v>
      </c>
      <c r="CW64" s="758"/>
      <c r="CX64" s="880">
        <v>98000</v>
      </c>
      <c r="CY64" s="880">
        <v>147381.66148608096</v>
      </c>
      <c r="CZ64" s="880">
        <v>188447.673527326</v>
      </c>
      <c r="DA64" s="880">
        <v>152352</v>
      </c>
      <c r="DB64" s="880">
        <v>128446</v>
      </c>
      <c r="DC64" s="880">
        <v>126790</v>
      </c>
      <c r="DD64" s="880">
        <v>173761</v>
      </c>
      <c r="DE64" s="880">
        <v>173510.59907300101</v>
      </c>
      <c r="DF64" s="880">
        <v>202797.42255697199</v>
      </c>
      <c r="DG64" s="880">
        <v>202922.18655851699</v>
      </c>
      <c r="DH64" s="880">
        <v>232502.36</v>
      </c>
      <c r="DI64" s="880">
        <v>116391.04000000001</v>
      </c>
      <c r="DJ64" s="58"/>
      <c r="DK64" s="949"/>
      <c r="DL64" s="880">
        <v>98000</v>
      </c>
      <c r="DM64" s="880">
        <v>147381.66148608096</v>
      </c>
      <c r="DN64" s="880">
        <v>188447.673527326</v>
      </c>
      <c r="DO64" s="880">
        <v>152352</v>
      </c>
      <c r="DP64" s="880">
        <v>128446</v>
      </c>
      <c r="DQ64" s="880">
        <v>126790</v>
      </c>
      <c r="DR64" s="880">
        <v>173761</v>
      </c>
      <c r="DS64" s="880">
        <v>173510.59907300101</v>
      </c>
      <c r="DT64" s="880">
        <v>202797.42255697199</v>
      </c>
      <c r="DU64" s="880">
        <v>202922.18655851699</v>
      </c>
      <c r="DV64" s="880">
        <v>232502.36</v>
      </c>
      <c r="DW64" s="880">
        <v>116391.04000000001</v>
      </c>
      <c r="DX64" s="58"/>
    </row>
    <row r="65" spans="1:129" ht="18.75" hidden="1">
      <c r="A65" s="101" t="s">
        <v>75</v>
      </c>
      <c r="B65" s="931"/>
      <c r="C65" s="909"/>
      <c r="D65" s="277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262"/>
      <c r="Q65" s="15"/>
      <c r="R65" s="277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263"/>
      <c r="AE65" s="16"/>
      <c r="AF65" s="261">
        <v>133791</v>
      </c>
      <c r="AG65" s="14">
        <v>166459</v>
      </c>
      <c r="AH65" s="14">
        <v>149450</v>
      </c>
      <c r="AI65" s="14">
        <v>151073</v>
      </c>
      <c r="AJ65" s="14">
        <v>192944</v>
      </c>
      <c r="AK65" s="14">
        <v>166139</v>
      </c>
      <c r="AL65" s="14">
        <v>151874</v>
      </c>
      <c r="AM65" s="14">
        <v>157771</v>
      </c>
      <c r="AN65" s="14">
        <v>200312</v>
      </c>
      <c r="AO65" s="14">
        <v>202691</v>
      </c>
      <c r="AP65" s="14">
        <v>207768</v>
      </c>
      <c r="AQ65" s="14">
        <v>113286</v>
      </c>
      <c r="AR65" s="14">
        <f>SUM(AF65:AK65)</f>
        <v>959856</v>
      </c>
      <c r="AS65" s="17"/>
      <c r="AT65" s="14">
        <v>89680</v>
      </c>
      <c r="AU65" s="14">
        <v>128308</v>
      </c>
      <c r="AV65" s="14">
        <v>144871</v>
      </c>
      <c r="AW65" s="32">
        <v>161772</v>
      </c>
      <c r="AX65" s="32">
        <v>144516</v>
      </c>
      <c r="AY65" s="32">
        <v>103667</v>
      </c>
      <c r="AZ65" s="32">
        <v>141023</v>
      </c>
      <c r="BA65" s="32">
        <v>172093</v>
      </c>
      <c r="BB65" s="32">
        <f>166606+10000</f>
        <v>176606</v>
      </c>
      <c r="BC65" s="32">
        <v>181091</v>
      </c>
      <c r="BD65" s="32">
        <v>169802</v>
      </c>
      <c r="BE65" s="32">
        <v>120406</v>
      </c>
      <c r="BF65" s="32">
        <f t="shared" si="77"/>
        <v>1733835</v>
      </c>
      <c r="BG65" s="17">
        <f>BG62/AR62</f>
        <v>9.9910256474894502E-2</v>
      </c>
      <c r="BH65" s="14">
        <v>78906</v>
      </c>
      <c r="BI65" s="14">
        <v>119296</v>
      </c>
      <c r="BJ65" s="14">
        <v>165286</v>
      </c>
      <c r="BK65" s="14">
        <v>144532</v>
      </c>
      <c r="BL65" s="32">
        <v>157691</v>
      </c>
      <c r="BM65" s="32">
        <v>129096</v>
      </c>
      <c r="BN65" s="32">
        <v>125800</v>
      </c>
      <c r="BO65" s="32">
        <v>176354</v>
      </c>
      <c r="BP65" s="32">
        <v>173554</v>
      </c>
      <c r="BQ65" s="32">
        <v>185766</v>
      </c>
      <c r="BR65" s="32"/>
      <c r="BS65" s="32"/>
      <c r="BT65" s="32">
        <f t="shared" si="92"/>
        <v>1456281</v>
      </c>
      <c r="BU65" s="28"/>
      <c r="BV65" s="14"/>
      <c r="BW65" s="14"/>
      <c r="BX65" s="14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J65" s="14"/>
      <c r="CK65" s="14"/>
      <c r="CL65" s="14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758"/>
      <c r="CX65" s="873"/>
      <c r="CY65" s="873"/>
      <c r="CZ65" s="873"/>
      <c r="DA65" s="872"/>
      <c r="DB65" s="872"/>
      <c r="DC65" s="872"/>
      <c r="DD65" s="872"/>
      <c r="DE65" s="872"/>
      <c r="DF65" s="872"/>
      <c r="DG65" s="872"/>
      <c r="DH65" s="872"/>
      <c r="DI65" s="872"/>
      <c r="DJ65" s="32"/>
      <c r="DK65" s="949"/>
      <c r="DL65" s="873"/>
      <c r="DM65" s="873"/>
      <c r="DN65" s="873"/>
      <c r="DO65" s="872"/>
      <c r="DP65" s="872"/>
      <c r="DQ65" s="872"/>
      <c r="DR65" s="872"/>
      <c r="DS65" s="872"/>
      <c r="DT65" s="872"/>
      <c r="DU65" s="872"/>
      <c r="DV65" s="872"/>
      <c r="DW65" s="872"/>
      <c r="DX65" s="32"/>
    </row>
    <row r="66" spans="1:129" ht="18.75" hidden="1">
      <c r="A66" s="103"/>
      <c r="B66" s="932" t="s">
        <v>76</v>
      </c>
      <c r="C66" s="933"/>
      <c r="D66" s="331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332"/>
      <c r="Q66" s="105"/>
      <c r="R66" s="333"/>
      <c r="S66" s="333"/>
      <c r="T66" s="333"/>
      <c r="U66" s="333"/>
      <c r="V66" s="333"/>
      <c r="W66" s="333"/>
      <c r="X66" s="333"/>
      <c r="Y66" s="333"/>
      <c r="Z66" s="333"/>
      <c r="AA66" s="333"/>
      <c r="AB66" s="333"/>
      <c r="AC66" s="333"/>
      <c r="AD66" s="334"/>
      <c r="AE66" s="106"/>
      <c r="AF66" s="333">
        <f t="shared" ref="AF66:AQ66" si="101">AF65-AF32</f>
        <v>133789.5653258567</v>
      </c>
      <c r="AG66" s="333">
        <f t="shared" si="101"/>
        <v>166455.02546723894</v>
      </c>
      <c r="AH66" s="333">
        <f t="shared" si="101"/>
        <v>149445.54627453614</v>
      </c>
      <c r="AI66" s="333">
        <f t="shared" si="101"/>
        <v>151069.82181047046</v>
      </c>
      <c r="AJ66" s="333">
        <f t="shared" si="101"/>
        <v>192941.24487749056</v>
      </c>
      <c r="AK66" s="333">
        <f t="shared" si="101"/>
        <v>166135.77020296719</v>
      </c>
      <c r="AL66" s="333">
        <f t="shared" si="101"/>
        <v>151871.64243647002</v>
      </c>
      <c r="AM66" s="333">
        <f t="shared" si="101"/>
        <v>157768.8586839418</v>
      </c>
      <c r="AN66" s="333">
        <f t="shared" si="101"/>
        <v>200310.09576397031</v>
      </c>
      <c r="AO66" s="333">
        <f t="shared" si="101"/>
        <v>202687.83135883085</v>
      </c>
      <c r="AP66" s="333">
        <f t="shared" si="101"/>
        <v>207762.85122649223</v>
      </c>
      <c r="AQ66" s="333">
        <f t="shared" si="101"/>
        <v>113282.51926932538</v>
      </c>
      <c r="AR66" s="107">
        <f t="shared" ref="AR66:AR74" si="102">SUM(AF66:AQ66)</f>
        <v>1993520.772697591</v>
      </c>
      <c r="AS66" s="106"/>
      <c r="AT66" s="333">
        <f t="shared" ref="AT66:BE66" si="103">AT65-AT64</f>
        <v>-19510</v>
      </c>
      <c r="AU66" s="333">
        <f t="shared" si="103"/>
        <v>-25359</v>
      </c>
      <c r="AV66" s="333">
        <f t="shared" si="103"/>
        <v>-33907</v>
      </c>
      <c r="AW66" s="333">
        <f t="shared" si="103"/>
        <v>9802</v>
      </c>
      <c r="AX66" s="333">
        <f t="shared" si="103"/>
        <v>2100</v>
      </c>
      <c r="AY66" s="333">
        <f t="shared" si="103"/>
        <v>-73668</v>
      </c>
      <c r="AZ66" s="333">
        <f t="shared" si="103"/>
        <v>-11207</v>
      </c>
      <c r="BA66" s="333">
        <f t="shared" si="103"/>
        <v>-73434</v>
      </c>
      <c r="BB66" s="333">
        <f t="shared" si="103"/>
        <v>-18264.518518518511</v>
      </c>
      <c r="BC66" s="333">
        <f t="shared" si="103"/>
        <v>-33131.222222222219</v>
      </c>
      <c r="BD66" s="333">
        <f t="shared" si="103"/>
        <v>50394.592592592599</v>
      </c>
      <c r="BE66" s="333">
        <f t="shared" si="103"/>
        <v>86709.703703703708</v>
      </c>
      <c r="BF66" s="108">
        <f t="shared" si="77"/>
        <v>-139474.44444444444</v>
      </c>
      <c r="BG66" s="106"/>
      <c r="BH66" s="333">
        <f t="shared" ref="BH66:BQ66" si="104">BH65-BH64</f>
        <v>-77302</v>
      </c>
      <c r="BI66" s="333">
        <f t="shared" si="104"/>
        <v>-28044</v>
      </c>
      <c r="BJ66" s="333">
        <f t="shared" si="104"/>
        <v>-1473</v>
      </c>
      <c r="BK66" s="333">
        <f t="shared" si="104"/>
        <v>-7820</v>
      </c>
      <c r="BL66" s="333">
        <f t="shared" si="104"/>
        <v>29245</v>
      </c>
      <c r="BM66" s="333">
        <f t="shared" si="104"/>
        <v>2306</v>
      </c>
      <c r="BN66" s="333">
        <f t="shared" si="104"/>
        <v>-47961</v>
      </c>
      <c r="BO66" s="333">
        <f t="shared" si="104"/>
        <v>2843.4009269989911</v>
      </c>
      <c r="BP66" s="333">
        <f t="shared" si="104"/>
        <v>-29243.422556971986</v>
      </c>
      <c r="BQ66" s="333">
        <f t="shared" si="104"/>
        <v>-17156.186558516987</v>
      </c>
      <c r="BR66" s="108"/>
      <c r="BS66" s="108"/>
      <c r="BT66" s="108">
        <f t="shared" si="92"/>
        <v>-174605.20818848998</v>
      </c>
      <c r="BU66" s="28"/>
      <c r="BV66" s="333"/>
      <c r="BW66" s="333"/>
      <c r="BX66" s="333"/>
      <c r="BY66" s="333"/>
      <c r="BZ66" s="108"/>
      <c r="CA66" s="108"/>
      <c r="CB66" s="108"/>
      <c r="CC66" s="108"/>
      <c r="CD66" s="108"/>
      <c r="CE66" s="108"/>
      <c r="CF66" s="108"/>
      <c r="CG66" s="108"/>
      <c r="CH66" s="108"/>
      <c r="CJ66" s="333"/>
      <c r="CK66" s="333"/>
      <c r="CL66" s="333"/>
      <c r="CM66" s="333"/>
      <c r="CN66" s="108"/>
      <c r="CO66" s="108"/>
      <c r="CP66" s="108"/>
      <c r="CQ66" s="108"/>
      <c r="CR66" s="108"/>
      <c r="CS66" s="108"/>
      <c r="CT66" s="108"/>
      <c r="CU66" s="108"/>
      <c r="CV66" s="108"/>
      <c r="CW66" s="758"/>
      <c r="CX66" s="892"/>
      <c r="CY66" s="892"/>
      <c r="CZ66" s="892"/>
      <c r="DA66" s="892"/>
      <c r="DB66" s="893"/>
      <c r="DC66" s="893"/>
      <c r="DD66" s="893"/>
      <c r="DE66" s="893"/>
      <c r="DF66" s="893"/>
      <c r="DG66" s="893"/>
      <c r="DH66" s="893"/>
      <c r="DI66" s="893"/>
      <c r="DJ66" s="108"/>
      <c r="DK66" s="949"/>
      <c r="DL66" s="892"/>
      <c r="DM66" s="892"/>
      <c r="DN66" s="892"/>
      <c r="DO66" s="892"/>
      <c r="DP66" s="893"/>
      <c r="DQ66" s="893"/>
      <c r="DR66" s="893"/>
      <c r="DS66" s="893"/>
      <c r="DT66" s="893"/>
      <c r="DU66" s="893"/>
      <c r="DV66" s="893"/>
      <c r="DW66" s="893"/>
      <c r="DX66" s="108"/>
    </row>
    <row r="67" spans="1:129" ht="15.75" hidden="1" customHeight="1">
      <c r="A67" s="94">
        <v>5</v>
      </c>
      <c r="B67" s="921" t="s">
        <v>77</v>
      </c>
      <c r="C67" s="934"/>
      <c r="D67" s="313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>
        <v>0</v>
      </c>
      <c r="P67" s="314">
        <f>SUM(D67:O67)</f>
        <v>0</v>
      </c>
      <c r="Q67" s="90"/>
      <c r="R67" s="313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315">
        <f>SUM(R67:AC67)</f>
        <v>0</v>
      </c>
      <c r="AE67" s="23"/>
      <c r="AF67" s="316">
        <v>0</v>
      </c>
      <c r="AG67" s="91">
        <v>0</v>
      </c>
      <c r="AH67" s="91">
        <v>0</v>
      </c>
      <c r="AI67" s="91">
        <v>0</v>
      </c>
      <c r="AJ67" s="91">
        <v>0</v>
      </c>
      <c r="AK67" s="91">
        <v>0</v>
      </c>
      <c r="AL67" s="91">
        <v>0</v>
      </c>
      <c r="AM67" s="91">
        <v>0</v>
      </c>
      <c r="AN67" s="91">
        <v>0</v>
      </c>
      <c r="AO67" s="91">
        <v>0</v>
      </c>
      <c r="AP67" s="91"/>
      <c r="AQ67" s="91">
        <v>8938</v>
      </c>
      <c r="AR67" s="92">
        <f t="shared" si="102"/>
        <v>8938</v>
      </c>
      <c r="AS67" s="23"/>
      <c r="AT67" s="91">
        <v>106642</v>
      </c>
      <c r="AU67" s="91">
        <v>90699</v>
      </c>
      <c r="AV67" s="91">
        <v>89681</v>
      </c>
      <c r="AW67" s="91">
        <v>58790</v>
      </c>
      <c r="AX67" s="91">
        <v>35520</v>
      </c>
      <c r="AY67" s="91">
        <v>61551</v>
      </c>
      <c r="AZ67" s="91">
        <v>71511</v>
      </c>
      <c r="BA67" s="91">
        <v>63617</v>
      </c>
      <c r="BB67" s="91">
        <v>66748</v>
      </c>
      <c r="BC67" s="91">
        <v>75532</v>
      </c>
      <c r="BD67" s="91">
        <v>37786</v>
      </c>
      <c r="BE67" s="91">
        <v>4503</v>
      </c>
      <c r="BF67" s="91">
        <f t="shared" si="77"/>
        <v>762580</v>
      </c>
      <c r="BG67" s="27"/>
      <c r="BH67" s="91">
        <v>69404</v>
      </c>
      <c r="BI67" s="91">
        <v>80412</v>
      </c>
      <c r="BJ67" s="91">
        <v>94386</v>
      </c>
      <c r="BK67" s="91">
        <v>78313</v>
      </c>
      <c r="BL67" s="91">
        <v>47034</v>
      </c>
      <c r="BM67" s="91">
        <v>50851</v>
      </c>
      <c r="BN67" s="91">
        <v>93202</v>
      </c>
      <c r="BO67" s="91">
        <v>100687</v>
      </c>
      <c r="BP67" s="91">
        <v>127995</v>
      </c>
      <c r="BQ67" s="91">
        <v>122686</v>
      </c>
      <c r="BR67" s="91"/>
      <c r="BS67" s="91"/>
      <c r="BT67" s="91"/>
      <c r="BU67" s="28"/>
      <c r="BV67" s="91"/>
      <c r="BW67" s="91"/>
      <c r="BX67" s="91"/>
      <c r="BY67" s="91"/>
      <c r="BZ67" s="91"/>
      <c r="CA67" s="91"/>
      <c r="CB67" s="91"/>
      <c r="CC67" s="91"/>
      <c r="CD67" s="91"/>
      <c r="CE67" s="91"/>
      <c r="CF67" s="91"/>
      <c r="CG67" s="91"/>
      <c r="CH67" s="91"/>
      <c r="CJ67" s="91"/>
      <c r="CK67" s="91"/>
      <c r="CL67" s="91"/>
      <c r="CM67" s="91"/>
      <c r="CN67" s="91"/>
      <c r="CO67" s="91"/>
      <c r="CP67" s="91"/>
      <c r="CQ67" s="91"/>
      <c r="CR67" s="91"/>
      <c r="CS67" s="91"/>
      <c r="CT67" s="91"/>
      <c r="CU67" s="91"/>
      <c r="CV67" s="91"/>
      <c r="CW67" s="758"/>
      <c r="CX67" s="884"/>
      <c r="CY67" s="884"/>
      <c r="CZ67" s="884"/>
      <c r="DA67" s="884"/>
      <c r="DB67" s="884"/>
      <c r="DC67" s="884"/>
      <c r="DD67" s="884"/>
      <c r="DE67" s="884"/>
      <c r="DF67" s="884"/>
      <c r="DG67" s="884"/>
      <c r="DH67" s="884"/>
      <c r="DI67" s="884"/>
      <c r="DJ67" s="91"/>
      <c r="DK67" s="949"/>
      <c r="DL67" s="884"/>
      <c r="DM67" s="884"/>
      <c r="DN67" s="884"/>
      <c r="DO67" s="884"/>
      <c r="DP67" s="884"/>
      <c r="DQ67" s="884"/>
      <c r="DR67" s="884"/>
      <c r="DS67" s="884"/>
      <c r="DT67" s="884"/>
      <c r="DU67" s="884"/>
      <c r="DV67" s="884"/>
      <c r="DW67" s="884"/>
      <c r="DX67" s="91"/>
    </row>
    <row r="68" spans="1:129" ht="18.75" hidden="1">
      <c r="A68" s="13" t="s">
        <v>78</v>
      </c>
      <c r="B68" s="908"/>
      <c r="C68" s="909"/>
      <c r="D68" s="277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262"/>
      <c r="Q68" s="15"/>
      <c r="R68" s="277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263"/>
      <c r="AE68" s="16"/>
      <c r="AF68" s="261">
        <f t="shared" ref="AF68:AQ68" si="105">AF69+AF71</f>
        <v>118364</v>
      </c>
      <c r="AG68" s="261">
        <f t="shared" si="105"/>
        <v>173742</v>
      </c>
      <c r="AH68" s="261">
        <f t="shared" si="105"/>
        <v>73470</v>
      </c>
      <c r="AI68" s="261">
        <f t="shared" si="105"/>
        <v>87377</v>
      </c>
      <c r="AJ68" s="261">
        <f t="shared" si="105"/>
        <v>119657</v>
      </c>
      <c r="AK68" s="261">
        <f t="shared" si="105"/>
        <v>154747</v>
      </c>
      <c r="AL68" s="261">
        <f t="shared" si="105"/>
        <v>138073</v>
      </c>
      <c r="AM68" s="261">
        <f t="shared" si="105"/>
        <v>180773</v>
      </c>
      <c r="AN68" s="261">
        <f t="shared" si="105"/>
        <v>194598</v>
      </c>
      <c r="AO68" s="261">
        <f t="shared" si="105"/>
        <v>242931</v>
      </c>
      <c r="AP68" s="261">
        <f t="shared" si="105"/>
        <v>107346</v>
      </c>
      <c r="AQ68" s="261">
        <f t="shared" si="105"/>
        <v>87384</v>
      </c>
      <c r="AR68" s="14">
        <f t="shared" si="102"/>
        <v>1678462</v>
      </c>
      <c r="AS68" s="17"/>
      <c r="AT68" s="261">
        <f t="shared" ref="AT68:BE68" si="106">AT69+AT71</f>
        <v>155346</v>
      </c>
      <c r="AU68" s="261">
        <f t="shared" si="106"/>
        <v>123370</v>
      </c>
      <c r="AV68" s="261">
        <f t="shared" si="106"/>
        <v>144065</v>
      </c>
      <c r="AW68" s="261">
        <f t="shared" si="106"/>
        <v>127865</v>
      </c>
      <c r="AX68" s="261">
        <f t="shared" si="106"/>
        <v>123461</v>
      </c>
      <c r="AY68" s="261">
        <f t="shared" si="106"/>
        <v>121196</v>
      </c>
      <c r="AZ68" s="261">
        <f t="shared" si="106"/>
        <v>168029</v>
      </c>
      <c r="BA68" s="261">
        <f t="shared" si="106"/>
        <v>164268</v>
      </c>
      <c r="BB68" s="261">
        <f t="shared" si="106"/>
        <v>185112</v>
      </c>
      <c r="BC68" s="261">
        <f t="shared" si="106"/>
        <v>147235</v>
      </c>
      <c r="BD68" s="261">
        <f t="shared" si="106"/>
        <v>135608</v>
      </c>
      <c r="BE68" s="261">
        <f t="shared" si="106"/>
        <v>90194</v>
      </c>
      <c r="BF68" s="32">
        <f t="shared" si="77"/>
        <v>1685749</v>
      </c>
      <c r="BG68" s="35">
        <f t="shared" ref="BG68:BG69" si="107">BF68/AR68-1</f>
        <v>4.3414745165515356E-3</v>
      </c>
      <c r="BH68" s="261">
        <f>BH69+BH71</f>
        <v>144332</v>
      </c>
      <c r="BI68" s="261">
        <f t="shared" ref="BI68:BQ68" si="108">BI69+BI71</f>
        <v>128781</v>
      </c>
      <c r="BJ68" s="261">
        <f t="shared" si="108"/>
        <v>193129</v>
      </c>
      <c r="BK68" s="261">
        <f t="shared" si="108"/>
        <v>106092</v>
      </c>
      <c r="BL68" s="261">
        <f t="shared" si="108"/>
        <v>132638</v>
      </c>
      <c r="BM68" s="261">
        <f t="shared" si="108"/>
        <v>139193</v>
      </c>
      <c r="BN68" s="261">
        <f t="shared" si="108"/>
        <v>173703</v>
      </c>
      <c r="BO68" s="261">
        <f t="shared" si="108"/>
        <v>186902</v>
      </c>
      <c r="BP68" s="261">
        <f t="shared" si="108"/>
        <v>200686</v>
      </c>
      <c r="BQ68" s="261">
        <f t="shared" si="108"/>
        <v>191324</v>
      </c>
      <c r="BR68" s="14"/>
      <c r="BS68" s="14"/>
      <c r="BT68" s="14">
        <f t="shared" ref="BT68:BT73" si="109">SUM(BH68:BS68)</f>
        <v>1596780</v>
      </c>
      <c r="BU68" s="18"/>
      <c r="BV68" s="261"/>
      <c r="BW68" s="261"/>
      <c r="BX68" s="261"/>
      <c r="BY68" s="261"/>
      <c r="BZ68" s="14"/>
      <c r="CA68" s="14"/>
      <c r="CB68" s="14"/>
      <c r="CC68" s="14"/>
      <c r="CD68" s="14"/>
      <c r="CE68" s="14"/>
      <c r="CF68" s="14"/>
      <c r="CG68" s="14"/>
      <c r="CH68" s="14"/>
      <c r="CJ68" s="261">
        <f>CJ69+CJ71</f>
        <v>204853</v>
      </c>
      <c r="CK68" s="261">
        <f t="shared" ref="CK68:CM68" si="110">CK69+CK71</f>
        <v>0</v>
      </c>
      <c r="CL68" s="261">
        <f t="shared" si="110"/>
        <v>0</v>
      </c>
      <c r="CM68" s="261">
        <f t="shared" si="110"/>
        <v>0</v>
      </c>
      <c r="CN68" s="14"/>
      <c r="CO68" s="14"/>
      <c r="CP68" s="14"/>
      <c r="CQ68" s="14"/>
      <c r="CR68" s="14"/>
      <c r="CS68" s="14"/>
      <c r="CT68" s="14"/>
      <c r="CU68" s="14"/>
      <c r="CV68" s="14"/>
      <c r="CW68" s="758"/>
      <c r="CX68" s="874"/>
      <c r="CY68" s="874"/>
      <c r="CZ68" s="874"/>
      <c r="DA68" s="874"/>
      <c r="DB68" s="873"/>
      <c r="DC68" s="873"/>
      <c r="DD68" s="873"/>
      <c r="DE68" s="873"/>
      <c r="DF68" s="873"/>
      <c r="DG68" s="873"/>
      <c r="DH68" s="873"/>
      <c r="DI68" s="873"/>
      <c r="DJ68" s="14"/>
      <c r="DK68" s="949"/>
      <c r="DL68" s="874"/>
      <c r="DM68" s="874"/>
      <c r="DN68" s="874"/>
      <c r="DO68" s="874"/>
      <c r="DP68" s="873"/>
      <c r="DQ68" s="873"/>
      <c r="DR68" s="873"/>
      <c r="DS68" s="873"/>
      <c r="DT68" s="873"/>
      <c r="DU68" s="873"/>
      <c r="DV68" s="873"/>
      <c r="DW68" s="873"/>
      <c r="DX68" s="14"/>
    </row>
    <row r="69" spans="1:129" ht="15.75" hidden="1" customHeight="1">
      <c r="A69" s="210"/>
      <c r="B69" s="921" t="s">
        <v>79</v>
      </c>
      <c r="C69" s="890"/>
      <c r="D69" s="313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314"/>
      <c r="Q69" s="90"/>
      <c r="R69" s="313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315"/>
      <c r="AE69" s="23"/>
      <c r="AF69" s="316">
        <v>92193</v>
      </c>
      <c r="AG69" s="91">
        <v>152006</v>
      </c>
      <c r="AH69" s="91">
        <v>62734</v>
      </c>
      <c r="AI69" s="91">
        <v>71526</v>
      </c>
      <c r="AJ69" s="91">
        <v>89409</v>
      </c>
      <c r="AK69" s="91">
        <v>120675</v>
      </c>
      <c r="AL69" s="91">
        <v>100592</v>
      </c>
      <c r="AM69" s="91">
        <v>148128</v>
      </c>
      <c r="AN69" s="91">
        <v>164346</v>
      </c>
      <c r="AO69" s="91">
        <v>203437</v>
      </c>
      <c r="AP69" s="91">
        <v>64957</v>
      </c>
      <c r="AQ69" s="91">
        <v>31837</v>
      </c>
      <c r="AR69" s="92">
        <f t="shared" si="102"/>
        <v>1301840</v>
      </c>
      <c r="AS69" s="23"/>
      <c r="AT69" s="91">
        <v>125048</v>
      </c>
      <c r="AU69" s="91">
        <v>96006</v>
      </c>
      <c r="AV69" s="91">
        <v>111470</v>
      </c>
      <c r="AW69" s="91">
        <v>99222</v>
      </c>
      <c r="AX69" s="91">
        <v>91253</v>
      </c>
      <c r="AY69" s="91">
        <v>90595</v>
      </c>
      <c r="AZ69" s="91">
        <v>129147</v>
      </c>
      <c r="BA69" s="91">
        <v>133525</v>
      </c>
      <c r="BB69" s="91">
        <v>159291</v>
      </c>
      <c r="BC69" s="91">
        <v>115573</v>
      </c>
      <c r="BD69" s="91">
        <v>98386</v>
      </c>
      <c r="BE69" s="91">
        <v>36527</v>
      </c>
      <c r="BF69" s="91">
        <f t="shared" si="77"/>
        <v>1286043</v>
      </c>
      <c r="BG69" s="93">
        <f t="shared" si="107"/>
        <v>-1.2134363669882631E-2</v>
      </c>
      <c r="BH69" s="91">
        <v>110235</v>
      </c>
      <c r="BI69" s="91">
        <v>103047</v>
      </c>
      <c r="BJ69" s="91">
        <v>158855</v>
      </c>
      <c r="BK69" s="91">
        <v>77254</v>
      </c>
      <c r="BL69" s="91">
        <v>99853</v>
      </c>
      <c r="BM69" s="91">
        <v>100723</v>
      </c>
      <c r="BN69" s="91">
        <v>125338</v>
      </c>
      <c r="BO69" s="91">
        <v>153622</v>
      </c>
      <c r="BP69" s="91">
        <v>166483</v>
      </c>
      <c r="BQ69" s="91">
        <v>156140</v>
      </c>
      <c r="BR69" s="91">
        <v>111391</v>
      </c>
      <c r="BS69" s="91">
        <v>26768</v>
      </c>
      <c r="BT69" s="91">
        <f t="shared" si="109"/>
        <v>1389709</v>
      </c>
      <c r="BU69" s="28"/>
      <c r="BV69" s="91">
        <v>128446</v>
      </c>
      <c r="BW69" s="91">
        <v>119229</v>
      </c>
      <c r="BX69" s="91">
        <v>134860</v>
      </c>
      <c r="BY69" s="91">
        <v>111992</v>
      </c>
      <c r="BZ69" s="91">
        <v>102725</v>
      </c>
      <c r="CA69" s="91">
        <v>74472</v>
      </c>
      <c r="CB69" s="91">
        <v>164045</v>
      </c>
      <c r="CC69" s="91">
        <v>148167</v>
      </c>
      <c r="CD69" s="91">
        <v>189715</v>
      </c>
      <c r="CE69" s="91">
        <v>165488</v>
      </c>
      <c r="CF69" s="91">
        <v>103829</v>
      </c>
      <c r="CG69" s="91">
        <v>39967</v>
      </c>
      <c r="CH69" s="91">
        <f t="shared" ref="CH69:CH72" si="111">SUM(BV69:CG69)</f>
        <v>1482935</v>
      </c>
      <c r="CJ69" s="91">
        <v>167136</v>
      </c>
      <c r="CK69" s="91"/>
      <c r="CL69" s="91"/>
      <c r="CM69" s="91"/>
      <c r="CN69" s="91"/>
      <c r="CO69" s="91"/>
      <c r="CP69" s="91"/>
      <c r="CQ69" s="91"/>
      <c r="CR69" s="91"/>
      <c r="CS69" s="91"/>
      <c r="CT69" s="91"/>
      <c r="CU69" s="91"/>
      <c r="CV69" s="91"/>
      <c r="CW69" s="758"/>
      <c r="CX69" s="884">
        <v>54245</v>
      </c>
      <c r="CY69" s="884"/>
      <c r="CZ69" s="884"/>
      <c r="DA69" s="884"/>
      <c r="DB69" s="884"/>
      <c r="DC69" s="884"/>
      <c r="DD69" s="884"/>
      <c r="DE69" s="884"/>
      <c r="DF69" s="884"/>
      <c r="DG69" s="884"/>
      <c r="DH69" s="884"/>
      <c r="DI69" s="884"/>
      <c r="DJ69" s="91"/>
      <c r="DK69" s="949"/>
      <c r="DL69" s="884">
        <v>54245</v>
      </c>
      <c r="DM69" s="884"/>
      <c r="DN69" s="884"/>
      <c r="DO69" s="884"/>
      <c r="DP69" s="884"/>
      <c r="DQ69" s="884"/>
      <c r="DR69" s="884"/>
      <c r="DS69" s="884"/>
      <c r="DT69" s="884"/>
      <c r="DU69" s="884"/>
      <c r="DV69" s="884"/>
      <c r="DW69" s="884"/>
      <c r="DX69" s="91"/>
    </row>
    <row r="70" spans="1:129" ht="18.75" hidden="1">
      <c r="A70" s="103"/>
      <c r="B70" s="932" t="s">
        <v>80</v>
      </c>
      <c r="C70" s="933"/>
      <c r="D70" s="331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332"/>
      <c r="Q70" s="105"/>
      <c r="R70" s="333"/>
      <c r="S70" s="333"/>
      <c r="T70" s="333"/>
      <c r="U70" s="333"/>
      <c r="V70" s="333"/>
      <c r="W70" s="333"/>
      <c r="X70" s="333"/>
      <c r="Y70" s="333"/>
      <c r="Z70" s="333"/>
      <c r="AA70" s="333"/>
      <c r="AB70" s="333"/>
      <c r="AC70" s="333"/>
      <c r="AD70" s="334"/>
      <c r="AE70" s="106"/>
      <c r="AF70" s="333">
        <f t="shared" ref="AF70:AQ70" si="112">AF69-AF38</f>
        <v>2047</v>
      </c>
      <c r="AG70" s="333">
        <f t="shared" si="112"/>
        <v>-3571</v>
      </c>
      <c r="AH70" s="333">
        <f t="shared" si="112"/>
        <v>-219</v>
      </c>
      <c r="AI70" s="333">
        <f t="shared" si="112"/>
        <v>-1735</v>
      </c>
      <c r="AJ70" s="333">
        <f t="shared" si="112"/>
        <v>-2447</v>
      </c>
      <c r="AK70" s="333">
        <f t="shared" si="112"/>
        <v>675</v>
      </c>
      <c r="AL70" s="333">
        <f t="shared" si="112"/>
        <v>-9703</v>
      </c>
      <c r="AM70" s="333">
        <f t="shared" si="112"/>
        <v>-52075</v>
      </c>
      <c r="AN70" s="333">
        <f t="shared" si="112"/>
        <v>-59487.333333333343</v>
      </c>
      <c r="AO70" s="333">
        <f t="shared" si="112"/>
        <v>-15063</v>
      </c>
      <c r="AP70" s="333">
        <f t="shared" si="112"/>
        <v>-23043</v>
      </c>
      <c r="AQ70" s="333">
        <f t="shared" si="112"/>
        <v>-11563</v>
      </c>
      <c r="AR70" s="107">
        <f t="shared" si="102"/>
        <v>-176184.33333333334</v>
      </c>
      <c r="AS70" s="106"/>
      <c r="AT70" s="333">
        <f t="shared" ref="AT70:BE70" si="113">AT69-AT38</f>
        <v>8451.75</v>
      </c>
      <c r="AU70" s="333">
        <f t="shared" si="113"/>
        <v>-37227.103448275855</v>
      </c>
      <c r="AV70" s="333">
        <f t="shared" si="113"/>
        <v>-6779.1379310344782</v>
      </c>
      <c r="AW70" s="333">
        <f t="shared" si="113"/>
        <v>-22342.137931034478</v>
      </c>
      <c r="AX70" s="333">
        <f t="shared" si="113"/>
        <v>4719.0344827586232</v>
      </c>
      <c r="AY70" s="333">
        <f t="shared" si="113"/>
        <v>-14182.777777777781</v>
      </c>
      <c r="AZ70" s="333">
        <f t="shared" si="113"/>
        <v>-6630.777777777781</v>
      </c>
      <c r="BA70" s="333">
        <f t="shared" si="113"/>
        <v>-77771.296296296292</v>
      </c>
      <c r="BB70" s="333">
        <f t="shared" si="113"/>
        <v>-51486.777777777781</v>
      </c>
      <c r="BC70" s="333">
        <f t="shared" si="113"/>
        <v>-99233.290755657828</v>
      </c>
      <c r="BD70" s="333">
        <f t="shared" si="113"/>
        <v>5175.413118527038</v>
      </c>
      <c r="BE70" s="333">
        <f t="shared" si="113"/>
        <v>5840.3870349060235</v>
      </c>
      <c r="BF70" s="108">
        <f t="shared" si="77"/>
        <v>-291466.71505944064</v>
      </c>
      <c r="BG70" s="106"/>
      <c r="BH70" s="333">
        <f t="shared" ref="BH70:BQ70" si="114">BH69-BH35</f>
        <v>-6365</v>
      </c>
      <c r="BI70" s="333">
        <f t="shared" si="114"/>
        <v>-8486.3333333333285</v>
      </c>
      <c r="BJ70" s="333">
        <f t="shared" si="114"/>
        <v>23180.925925925927</v>
      </c>
      <c r="BK70" s="333">
        <f t="shared" si="114"/>
        <v>-44486.740740740745</v>
      </c>
      <c r="BL70" s="333">
        <f t="shared" si="114"/>
        <v>5926.148148148146</v>
      </c>
      <c r="BM70" s="333">
        <f t="shared" si="114"/>
        <v>10043.740740740745</v>
      </c>
      <c r="BN70" s="333">
        <f t="shared" si="114"/>
        <v>-4917.555555555562</v>
      </c>
      <c r="BO70" s="333">
        <f t="shared" si="114"/>
        <v>3071.6218888889125</v>
      </c>
      <c r="BP70" s="333">
        <f t="shared" si="114"/>
        <v>4652.2504629629548</v>
      </c>
      <c r="BQ70" s="333">
        <f t="shared" si="114"/>
        <v>29010</v>
      </c>
      <c r="BR70" s="108"/>
      <c r="BS70" s="108"/>
      <c r="BT70" s="108">
        <f t="shared" si="109"/>
        <v>11629.05753703705</v>
      </c>
      <c r="BU70" s="28"/>
      <c r="BV70" s="333">
        <v>124435</v>
      </c>
      <c r="BW70" s="333">
        <v>117564</v>
      </c>
      <c r="BX70" s="333">
        <v>133262</v>
      </c>
      <c r="BY70" s="333">
        <v>110312</v>
      </c>
      <c r="BZ70" s="108">
        <v>101441</v>
      </c>
      <c r="CA70" s="108">
        <v>67535</v>
      </c>
      <c r="CB70" s="108">
        <v>155594</v>
      </c>
      <c r="CC70" s="108"/>
      <c r="CD70" s="108"/>
      <c r="CE70" s="108"/>
      <c r="CF70" s="108"/>
      <c r="CG70" s="108"/>
      <c r="CH70" s="108">
        <f t="shared" si="111"/>
        <v>810143</v>
      </c>
      <c r="CJ70" s="333">
        <v>159683</v>
      </c>
      <c r="CK70" s="333">
        <v>182683</v>
      </c>
      <c r="CL70" s="333">
        <v>137562</v>
      </c>
      <c r="CM70" s="333">
        <v>131937</v>
      </c>
      <c r="CN70" s="108"/>
      <c r="CO70" s="108"/>
      <c r="CP70" s="108"/>
      <c r="CQ70" s="108"/>
      <c r="CR70" s="108"/>
      <c r="CS70" s="108"/>
      <c r="CT70" s="108"/>
      <c r="CU70" s="108"/>
      <c r="CV70" s="108"/>
      <c r="CW70" s="758"/>
      <c r="CX70" s="892"/>
      <c r="CY70" s="892"/>
      <c r="CZ70" s="892"/>
      <c r="DA70" s="892"/>
      <c r="DB70" s="893"/>
      <c r="DC70" s="893"/>
      <c r="DD70" s="893"/>
      <c r="DE70" s="893"/>
      <c r="DF70" s="893"/>
      <c r="DG70" s="893"/>
      <c r="DH70" s="893"/>
      <c r="DI70" s="893"/>
      <c r="DJ70" s="108"/>
      <c r="DK70" s="949"/>
      <c r="DL70" s="892"/>
      <c r="DM70" s="892"/>
      <c r="DN70" s="892"/>
      <c r="DO70" s="892"/>
      <c r="DP70" s="893"/>
      <c r="DQ70" s="893"/>
      <c r="DR70" s="893"/>
      <c r="DS70" s="893"/>
      <c r="DT70" s="893"/>
      <c r="DU70" s="893"/>
      <c r="DV70" s="893"/>
      <c r="DW70" s="893"/>
      <c r="DX70" s="108"/>
    </row>
    <row r="71" spans="1:129" ht="15.75" hidden="1" customHeight="1">
      <c r="A71" s="94"/>
      <c r="B71" s="935" t="s">
        <v>81</v>
      </c>
      <c r="C71" s="934"/>
      <c r="D71" s="313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314"/>
      <c r="Q71" s="90"/>
      <c r="R71" s="316"/>
      <c r="S71" s="316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5"/>
      <c r="AE71" s="23"/>
      <c r="AF71" s="316">
        <v>26171</v>
      </c>
      <c r="AG71" s="316">
        <v>21736</v>
      </c>
      <c r="AH71" s="316">
        <v>10736</v>
      </c>
      <c r="AI71" s="316">
        <v>15851</v>
      </c>
      <c r="AJ71" s="316">
        <v>30248</v>
      </c>
      <c r="AK71" s="316">
        <v>34072</v>
      </c>
      <c r="AL71" s="316">
        <v>37481</v>
      </c>
      <c r="AM71" s="91">
        <v>32645</v>
      </c>
      <c r="AN71" s="91">
        <v>30252</v>
      </c>
      <c r="AO71" s="91">
        <v>39494</v>
      </c>
      <c r="AP71" s="91">
        <v>42389</v>
      </c>
      <c r="AQ71" s="91">
        <v>55547</v>
      </c>
      <c r="AR71" s="92">
        <f t="shared" si="102"/>
        <v>376622</v>
      </c>
      <c r="AS71" s="23"/>
      <c r="AT71" s="91">
        <v>30298</v>
      </c>
      <c r="AU71" s="91">
        <v>27364</v>
      </c>
      <c r="AV71" s="91">
        <v>32595</v>
      </c>
      <c r="AW71" s="91">
        <v>28643</v>
      </c>
      <c r="AX71" s="91">
        <v>32208</v>
      </c>
      <c r="AY71" s="91">
        <v>30601</v>
      </c>
      <c r="AZ71" s="91">
        <v>38882</v>
      </c>
      <c r="BA71" s="91">
        <v>30743</v>
      </c>
      <c r="BB71" s="91">
        <f>24621+1200</f>
        <v>25821</v>
      </c>
      <c r="BC71" s="91">
        <v>31662</v>
      </c>
      <c r="BD71" s="91">
        <v>37222</v>
      </c>
      <c r="BE71" s="91">
        <v>53667</v>
      </c>
      <c r="BF71" s="91">
        <f t="shared" si="77"/>
        <v>399706</v>
      </c>
      <c r="BG71" s="93">
        <f>BF71/AR71-1</f>
        <v>6.1292224033646425E-2</v>
      </c>
      <c r="BH71" s="91">
        <v>34097</v>
      </c>
      <c r="BI71" s="91">
        <v>25734</v>
      </c>
      <c r="BJ71" s="91">
        <v>34274</v>
      </c>
      <c r="BK71" s="91">
        <v>28838</v>
      </c>
      <c r="BL71" s="91">
        <v>32785</v>
      </c>
      <c r="BM71" s="91">
        <v>38470</v>
      </c>
      <c r="BN71" s="91">
        <v>48365</v>
      </c>
      <c r="BO71" s="91">
        <v>33280</v>
      </c>
      <c r="BP71" s="91">
        <v>34203</v>
      </c>
      <c r="BQ71" s="91">
        <v>35184</v>
      </c>
      <c r="BR71" s="91">
        <v>34873</v>
      </c>
      <c r="BS71" s="91">
        <v>48960</v>
      </c>
      <c r="BT71" s="91">
        <f t="shared" si="109"/>
        <v>429063</v>
      </c>
      <c r="BU71" s="28"/>
      <c r="BV71" s="91">
        <v>38900</v>
      </c>
      <c r="BW71" s="91">
        <v>31376</v>
      </c>
      <c r="BX71" s="91">
        <v>29886</v>
      </c>
      <c r="BY71" s="91">
        <v>30671</v>
      </c>
      <c r="BZ71" s="91">
        <v>34553</v>
      </c>
      <c r="CA71" s="91">
        <v>36515</v>
      </c>
      <c r="CB71" s="91">
        <v>38915</v>
      </c>
      <c r="CC71" s="91">
        <v>34615</v>
      </c>
      <c r="CD71" s="91">
        <v>29617</v>
      </c>
      <c r="CE71" s="91">
        <v>34538</v>
      </c>
      <c r="CF71" s="91">
        <v>45914</v>
      </c>
      <c r="CG71" s="91">
        <v>60875</v>
      </c>
      <c r="CH71" s="91">
        <f t="shared" si="111"/>
        <v>446375</v>
      </c>
      <c r="CJ71" s="91">
        <v>37717</v>
      </c>
      <c r="CK71" s="91"/>
      <c r="CL71" s="91"/>
      <c r="CM71" s="91"/>
      <c r="CN71" s="91"/>
      <c r="CO71" s="91"/>
      <c r="CP71" s="91"/>
      <c r="CQ71" s="91"/>
      <c r="CR71" s="91"/>
      <c r="CS71" s="91"/>
      <c r="CT71" s="91"/>
      <c r="CU71" s="91"/>
      <c r="CV71" s="91"/>
      <c r="CW71" s="758"/>
      <c r="CX71" s="884">
        <v>22115</v>
      </c>
      <c r="CY71" s="884"/>
      <c r="CZ71" s="884"/>
      <c r="DA71" s="884"/>
      <c r="DB71" s="884"/>
      <c r="DC71" s="884"/>
      <c r="DD71" s="884"/>
      <c r="DE71" s="884"/>
      <c r="DF71" s="884"/>
      <c r="DG71" s="884"/>
      <c r="DH71" s="884"/>
      <c r="DI71" s="884"/>
      <c r="DJ71" s="91"/>
      <c r="DK71" s="949"/>
      <c r="DL71" s="884">
        <v>22115</v>
      </c>
      <c r="DM71" s="884"/>
      <c r="DN71" s="884"/>
      <c r="DO71" s="884"/>
      <c r="DP71" s="884"/>
      <c r="DQ71" s="884"/>
      <c r="DR71" s="884"/>
      <c r="DS71" s="884"/>
      <c r="DT71" s="884"/>
      <c r="DU71" s="884"/>
      <c r="DV71" s="884"/>
      <c r="DW71" s="884"/>
      <c r="DX71" s="91"/>
    </row>
    <row r="72" spans="1:129" ht="18.75" hidden="1">
      <c r="A72" s="103"/>
      <c r="B72" s="932" t="s">
        <v>82</v>
      </c>
      <c r="C72" s="933"/>
      <c r="D72" s="331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332"/>
      <c r="Q72" s="105"/>
      <c r="R72" s="333"/>
      <c r="S72" s="333"/>
      <c r="T72" s="333"/>
      <c r="U72" s="333"/>
      <c r="V72" s="333"/>
      <c r="W72" s="333"/>
      <c r="X72" s="333"/>
      <c r="Y72" s="333"/>
      <c r="Z72" s="333"/>
      <c r="AA72" s="333"/>
      <c r="AB72" s="333"/>
      <c r="AC72" s="333"/>
      <c r="AD72" s="334"/>
      <c r="AE72" s="106"/>
      <c r="AF72" s="333">
        <f t="shared" ref="AF72:AQ72" si="115">AF71-AF62</f>
        <v>-12329</v>
      </c>
      <c r="AG72" s="333">
        <f t="shared" si="115"/>
        <v>-664</v>
      </c>
      <c r="AH72" s="333">
        <f t="shared" si="115"/>
        <v>65</v>
      </c>
      <c r="AI72" s="333">
        <f t="shared" si="115"/>
        <v>-246</v>
      </c>
      <c r="AJ72" s="333">
        <f t="shared" si="115"/>
        <v>-30</v>
      </c>
      <c r="AK72" s="333">
        <f t="shared" si="115"/>
        <v>5512</v>
      </c>
      <c r="AL72" s="333">
        <f t="shared" si="115"/>
        <v>-4219</v>
      </c>
      <c r="AM72" s="333">
        <f t="shared" si="115"/>
        <v>-6055</v>
      </c>
      <c r="AN72" s="333">
        <f t="shared" si="115"/>
        <v>-7048</v>
      </c>
      <c r="AO72" s="333">
        <f t="shared" si="115"/>
        <v>2094</v>
      </c>
      <c r="AP72" s="333">
        <f t="shared" si="115"/>
        <v>1749</v>
      </c>
      <c r="AQ72" s="333">
        <f t="shared" si="115"/>
        <v>1107</v>
      </c>
      <c r="AR72" s="107">
        <f t="shared" si="102"/>
        <v>-20064</v>
      </c>
      <c r="AS72" s="106"/>
      <c r="AT72" s="333">
        <f t="shared" ref="AT72:BE72" si="116">AT71-AT62</f>
        <v>-5855</v>
      </c>
      <c r="AU72" s="333">
        <f t="shared" si="116"/>
        <v>-7925</v>
      </c>
      <c r="AV72" s="333">
        <f t="shared" si="116"/>
        <v>-3277</v>
      </c>
      <c r="AW72" s="333">
        <f t="shared" si="116"/>
        <v>-9388</v>
      </c>
      <c r="AX72" s="333">
        <f t="shared" si="116"/>
        <v>-1358</v>
      </c>
      <c r="AY72" s="333">
        <f t="shared" si="116"/>
        <v>-2965</v>
      </c>
      <c r="AZ72" s="333">
        <f t="shared" si="116"/>
        <v>7986</v>
      </c>
      <c r="BA72" s="333">
        <f t="shared" si="116"/>
        <v>-403</v>
      </c>
      <c r="BB72" s="333">
        <f t="shared" si="116"/>
        <v>-6809</v>
      </c>
      <c r="BC72" s="333">
        <f t="shared" si="116"/>
        <v>-6900</v>
      </c>
      <c r="BD72" s="333">
        <f t="shared" si="116"/>
        <v>-4123</v>
      </c>
      <c r="BE72" s="333">
        <f t="shared" si="116"/>
        <v>4404</v>
      </c>
      <c r="BF72" s="108">
        <f t="shared" si="77"/>
        <v>-36613</v>
      </c>
      <c r="BG72" s="106"/>
      <c r="BH72" s="333">
        <f t="shared" ref="BH72:BQ72" si="117">BH71-BH62</f>
        <v>-2056</v>
      </c>
      <c r="BI72" s="333">
        <f t="shared" si="117"/>
        <v>-9555</v>
      </c>
      <c r="BJ72" s="333">
        <f t="shared" si="117"/>
        <v>-1598</v>
      </c>
      <c r="BK72" s="333">
        <f t="shared" si="117"/>
        <v>-9193</v>
      </c>
      <c r="BL72" s="333">
        <f t="shared" si="117"/>
        <v>-5785</v>
      </c>
      <c r="BM72" s="333">
        <f t="shared" si="117"/>
        <v>-757</v>
      </c>
      <c r="BN72" s="333">
        <f t="shared" si="117"/>
        <v>7237</v>
      </c>
      <c r="BO72" s="333">
        <f t="shared" si="117"/>
        <v>-4911</v>
      </c>
      <c r="BP72" s="333">
        <f t="shared" si="117"/>
        <v>-3988</v>
      </c>
      <c r="BQ72" s="333">
        <f t="shared" si="117"/>
        <v>-5041</v>
      </c>
      <c r="BR72" s="108"/>
      <c r="BS72" s="108"/>
      <c r="BT72" s="108">
        <f t="shared" si="109"/>
        <v>-35647</v>
      </c>
      <c r="BU72" s="28"/>
      <c r="BV72" s="333">
        <v>27740</v>
      </c>
      <c r="BW72" s="333">
        <v>23272</v>
      </c>
      <c r="BX72" s="333">
        <v>24576</v>
      </c>
      <c r="BY72" s="108">
        <v>26006</v>
      </c>
      <c r="BZ72" s="108">
        <v>30640</v>
      </c>
      <c r="CA72" s="108">
        <v>30640</v>
      </c>
      <c r="CB72" s="108">
        <v>29618</v>
      </c>
      <c r="CC72" s="108">
        <v>29686</v>
      </c>
      <c r="CD72" s="108">
        <v>29993</v>
      </c>
      <c r="CE72" s="108">
        <v>31540</v>
      </c>
      <c r="CF72" s="108">
        <v>38086</v>
      </c>
      <c r="CG72" s="108">
        <v>54003</v>
      </c>
      <c r="CH72" s="108">
        <f t="shared" si="111"/>
        <v>375800</v>
      </c>
      <c r="CJ72" s="333">
        <f>BV72*1.03</f>
        <v>28572.2</v>
      </c>
      <c r="CK72" s="333">
        <f>BW72*1.03</f>
        <v>23970.16</v>
      </c>
      <c r="CL72" s="333">
        <f t="shared" ref="CL72:CT72" si="118">BX72*1.03</f>
        <v>25313.279999999999</v>
      </c>
      <c r="CM72" s="333">
        <v>29046</v>
      </c>
      <c r="CN72" s="333">
        <f t="shared" si="118"/>
        <v>31559.200000000001</v>
      </c>
      <c r="CO72" s="333">
        <f t="shared" si="118"/>
        <v>31559.200000000001</v>
      </c>
      <c r="CP72" s="333">
        <f t="shared" si="118"/>
        <v>30506.54</v>
      </c>
      <c r="CQ72" s="333">
        <f t="shared" si="118"/>
        <v>30576.58</v>
      </c>
      <c r="CR72" s="333">
        <f t="shared" si="118"/>
        <v>30892.79</v>
      </c>
      <c r="CS72" s="333">
        <f t="shared" si="118"/>
        <v>32486.2</v>
      </c>
      <c r="CT72" s="333">
        <f t="shared" si="118"/>
        <v>39228.58</v>
      </c>
      <c r="CU72" s="333">
        <v>45000</v>
      </c>
      <c r="CV72" s="108">
        <f>SUM(CJ72:CU72)</f>
        <v>378710.73000000004</v>
      </c>
      <c r="CW72" s="758"/>
      <c r="CX72" s="892">
        <v>24000</v>
      </c>
      <c r="CY72" s="892">
        <v>21000</v>
      </c>
      <c r="CZ72" s="892">
        <v>24000</v>
      </c>
      <c r="DA72" s="892">
        <f t="shared" ref="CZ72:DI72" si="119">CM72</f>
        <v>29046</v>
      </c>
      <c r="DB72" s="892">
        <f t="shared" si="119"/>
        <v>31559.200000000001</v>
      </c>
      <c r="DC72" s="892">
        <f t="shared" si="119"/>
        <v>31559.200000000001</v>
      </c>
      <c r="DD72" s="892">
        <f t="shared" si="119"/>
        <v>30506.54</v>
      </c>
      <c r="DE72" s="892">
        <f t="shared" si="119"/>
        <v>30576.58</v>
      </c>
      <c r="DF72" s="892">
        <f t="shared" si="119"/>
        <v>30892.79</v>
      </c>
      <c r="DG72" s="892">
        <f>CS72</f>
        <v>32486.2</v>
      </c>
      <c r="DH72" s="892">
        <f t="shared" si="119"/>
        <v>39228.58</v>
      </c>
      <c r="DI72" s="892">
        <f t="shared" si="119"/>
        <v>45000</v>
      </c>
      <c r="DJ72" s="108">
        <f>SUM(CX72:DI72)</f>
        <v>369855.09</v>
      </c>
      <c r="DK72" s="949"/>
      <c r="DL72" s="892">
        <f>CX72*1.03</f>
        <v>24720</v>
      </c>
      <c r="DM72" s="892">
        <f t="shared" ref="DM72:DW72" si="120">CY72*1.03</f>
        <v>21630</v>
      </c>
      <c r="DN72" s="892">
        <f t="shared" si="120"/>
        <v>24720</v>
      </c>
      <c r="DO72" s="892">
        <f t="shared" si="120"/>
        <v>29917.38</v>
      </c>
      <c r="DP72" s="892">
        <f t="shared" si="120"/>
        <v>32505.976000000002</v>
      </c>
      <c r="DQ72" s="892">
        <f t="shared" si="120"/>
        <v>32505.976000000002</v>
      </c>
      <c r="DR72" s="892">
        <f t="shared" si="120"/>
        <v>31421.736200000003</v>
      </c>
      <c r="DS72" s="892">
        <f t="shared" si="120"/>
        <v>31493.877400000001</v>
      </c>
      <c r="DT72" s="892">
        <f t="shared" si="120"/>
        <v>31819.573700000001</v>
      </c>
      <c r="DU72" s="892">
        <f t="shared" si="120"/>
        <v>33460.786</v>
      </c>
      <c r="DV72" s="892">
        <f t="shared" si="120"/>
        <v>40405.437400000003</v>
      </c>
      <c r="DW72" s="892">
        <f t="shared" si="120"/>
        <v>46350</v>
      </c>
      <c r="DX72" s="108">
        <f>SUM(DL72:DW72)</f>
        <v>380950.7427</v>
      </c>
      <c r="DY72" s="598">
        <f>DX72-DJ72</f>
        <v>11095.652699999977</v>
      </c>
    </row>
    <row r="73" spans="1:129" ht="18.75" hidden="1">
      <c r="A73" s="103" t="s">
        <v>83</v>
      </c>
      <c r="B73" s="932" t="s">
        <v>84</v>
      </c>
      <c r="C73" s="933"/>
      <c r="D73" s="331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332"/>
      <c r="Q73" s="105"/>
      <c r="R73" s="333"/>
      <c r="S73" s="333"/>
      <c r="T73" s="333"/>
      <c r="U73" s="333"/>
      <c r="V73" s="333"/>
      <c r="W73" s="333"/>
      <c r="X73" s="333"/>
      <c r="Y73" s="333"/>
      <c r="Z73" s="333"/>
      <c r="AA73" s="333"/>
      <c r="AB73" s="333"/>
      <c r="AC73" s="333"/>
      <c r="AD73" s="334"/>
      <c r="AE73" s="106"/>
      <c r="AF73" s="333">
        <f>AF68-AF34</f>
        <v>-10282</v>
      </c>
      <c r="AG73" s="333">
        <f>AG68-AG34</f>
        <v>-4235</v>
      </c>
      <c r="AH73" s="333">
        <f>AH68-AH34</f>
        <v>-154</v>
      </c>
      <c r="AI73" s="333">
        <f>AI68-AI34</f>
        <v>-1981</v>
      </c>
      <c r="AJ73" s="333">
        <f>AJ68-AJ34</f>
        <v>-2477</v>
      </c>
      <c r="AK73" s="333">
        <f>AK68-AK34</f>
        <v>6187</v>
      </c>
      <c r="AL73" s="333">
        <f>AL68-AL34</f>
        <v>-13922</v>
      </c>
      <c r="AM73" s="333">
        <f>AM68-AM34</f>
        <v>-58130</v>
      </c>
      <c r="AN73" s="333">
        <f>AN68-AN34</f>
        <v>-66535.333333333343</v>
      </c>
      <c r="AO73" s="333">
        <f>AO68-AO34</f>
        <v>-12969</v>
      </c>
      <c r="AP73" s="333">
        <f>AP68-AP34</f>
        <v>-21294</v>
      </c>
      <c r="AQ73" s="333">
        <f>AQ68-AQ34</f>
        <v>-10456</v>
      </c>
      <c r="AR73" s="107">
        <f t="shared" si="102"/>
        <v>-196248.33333333334</v>
      </c>
      <c r="AS73" s="106"/>
      <c r="AT73" s="333">
        <f t="shared" ref="AT73:BE73" si="121">AT68-AT34</f>
        <v>2596.75</v>
      </c>
      <c r="AU73" s="333">
        <f t="shared" si="121"/>
        <v>-45152.103448275855</v>
      </c>
      <c r="AV73" s="333">
        <f t="shared" si="121"/>
        <v>-10056.137931034493</v>
      </c>
      <c r="AW73" s="333">
        <f t="shared" si="121"/>
        <v>-31730.137931034493</v>
      </c>
      <c r="AX73" s="333">
        <f t="shared" si="121"/>
        <v>3361.0344827586232</v>
      </c>
      <c r="AY73" s="333">
        <f t="shared" si="121"/>
        <v>-17147.777777777781</v>
      </c>
      <c r="AZ73" s="333">
        <f t="shared" si="121"/>
        <v>1355.222222222219</v>
      </c>
      <c r="BA73" s="333">
        <f t="shared" si="121"/>
        <v>-78174.296296296292</v>
      </c>
      <c r="BB73" s="333">
        <f t="shared" si="121"/>
        <v>-58295.777777777781</v>
      </c>
      <c r="BC73" s="333">
        <f t="shared" si="121"/>
        <v>-106133.29075565783</v>
      </c>
      <c r="BD73" s="333">
        <f t="shared" si="121"/>
        <v>1052.413118527038</v>
      </c>
      <c r="BE73" s="333">
        <f t="shared" si="121"/>
        <v>17507.387034906016</v>
      </c>
      <c r="BF73" s="108">
        <f t="shared" si="77"/>
        <v>-320816.71505944064</v>
      </c>
      <c r="BG73" s="106"/>
      <c r="BH73" s="333">
        <f t="shared" ref="BH73:BQ73" si="122">BH68-BH34</f>
        <v>-8421</v>
      </c>
      <c r="BI73" s="333">
        <f t="shared" si="122"/>
        <v>-18041.333333333314</v>
      </c>
      <c r="BJ73" s="333">
        <f t="shared" si="122"/>
        <v>21582.925925925927</v>
      </c>
      <c r="BK73" s="333">
        <f t="shared" si="122"/>
        <v>-53679.74074074073</v>
      </c>
      <c r="BL73" s="333">
        <f t="shared" si="122"/>
        <v>141.14814814814599</v>
      </c>
      <c r="BM73" s="333">
        <f t="shared" si="122"/>
        <v>9286.7407407407445</v>
      </c>
      <c r="BN73" s="333">
        <f t="shared" si="122"/>
        <v>2319.444444444438</v>
      </c>
      <c r="BO73" s="333">
        <f t="shared" si="122"/>
        <v>7351.6218888889125</v>
      </c>
      <c r="BP73" s="333">
        <f t="shared" si="122"/>
        <v>-1367.7495370370452</v>
      </c>
      <c r="BQ73" s="333">
        <f t="shared" si="122"/>
        <v>27459</v>
      </c>
      <c r="BR73" s="108"/>
      <c r="BS73" s="108"/>
      <c r="BT73" s="108">
        <f t="shared" si="109"/>
        <v>-13368.942462962921</v>
      </c>
      <c r="BU73" s="28"/>
      <c r="BV73" s="333"/>
      <c r="BW73" s="333"/>
      <c r="BX73" s="333"/>
      <c r="BY73" s="333"/>
      <c r="BZ73" s="108"/>
      <c r="CA73" s="108"/>
      <c r="CB73" s="108">
        <f>CB72+CB69</f>
        <v>193663</v>
      </c>
      <c r="CC73" s="108">
        <f>CC72+CC69</f>
        <v>177853</v>
      </c>
      <c r="CD73" s="108">
        <f t="shared" ref="CD73:CH73" si="123">CD72+CD69</f>
        <v>219708</v>
      </c>
      <c r="CE73" s="108">
        <f t="shared" si="123"/>
        <v>197028</v>
      </c>
      <c r="CF73" s="108">
        <f t="shared" si="123"/>
        <v>141915</v>
      </c>
      <c r="CG73" s="108">
        <f t="shared" si="123"/>
        <v>93970</v>
      </c>
      <c r="CH73" s="108"/>
      <c r="CJ73" s="333">
        <v>27785</v>
      </c>
      <c r="CK73" s="333">
        <v>23447</v>
      </c>
      <c r="CL73" s="333">
        <v>26944</v>
      </c>
      <c r="CM73" s="333"/>
      <c r="CN73" s="108"/>
      <c r="CO73" s="108"/>
      <c r="CP73" s="108"/>
      <c r="CQ73" s="108"/>
      <c r="CR73" s="108"/>
      <c r="CS73" s="108"/>
      <c r="CT73" s="108"/>
      <c r="CU73" s="108"/>
      <c r="CV73" s="108"/>
      <c r="CW73" s="758"/>
      <c r="CX73" s="892"/>
      <c r="CY73" s="892"/>
      <c r="CZ73" s="892"/>
      <c r="DA73" s="892"/>
      <c r="DB73" s="893"/>
      <c r="DC73" s="893"/>
      <c r="DD73" s="893"/>
      <c r="DE73" s="893"/>
      <c r="DF73" s="893"/>
      <c r="DG73" s="893"/>
      <c r="DH73" s="893"/>
      <c r="DI73" s="893"/>
      <c r="DJ73" s="108"/>
      <c r="DK73" s="949"/>
      <c r="DL73" s="892"/>
      <c r="DM73" s="892"/>
      <c r="DN73" s="892"/>
      <c r="DO73" s="892"/>
      <c r="DP73" s="893"/>
      <c r="DQ73" s="893"/>
      <c r="DR73" s="893"/>
      <c r="DS73" s="893"/>
      <c r="DT73" s="893"/>
      <c r="DU73" s="893"/>
      <c r="DV73" s="893"/>
      <c r="DW73" s="893"/>
      <c r="DX73" s="108"/>
    </row>
    <row r="74" spans="1:129" ht="18.75" hidden="1">
      <c r="A74" s="103" t="s">
        <v>85</v>
      </c>
      <c r="B74" s="932"/>
      <c r="C74" s="933"/>
      <c r="D74" s="331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332"/>
      <c r="Q74" s="105"/>
      <c r="R74" s="333"/>
      <c r="S74" s="333"/>
      <c r="T74" s="333"/>
      <c r="U74" s="333"/>
      <c r="V74" s="333"/>
      <c r="W74" s="333"/>
      <c r="X74" s="333"/>
      <c r="Y74" s="333"/>
      <c r="Z74" s="333"/>
      <c r="AA74" s="333"/>
      <c r="AB74" s="333"/>
      <c r="AC74" s="333"/>
      <c r="AD74" s="334"/>
      <c r="AE74" s="106"/>
      <c r="AF74" s="333">
        <f>AF69-AF35</f>
        <v>92193</v>
      </c>
      <c r="AG74" s="333">
        <f>AG69-AG35</f>
        <v>152006</v>
      </c>
      <c r="AH74" s="333">
        <f>AH69-AH35</f>
        <v>62734</v>
      </c>
      <c r="AI74" s="333">
        <f>AI69-AI35</f>
        <v>71526</v>
      </c>
      <c r="AJ74" s="333">
        <f>AJ69-AJ35</f>
        <v>89409</v>
      </c>
      <c r="AK74" s="333">
        <f>AK69-AK35</f>
        <v>120675</v>
      </c>
      <c r="AL74" s="333">
        <f>AL69-AL35</f>
        <v>100592</v>
      </c>
      <c r="AM74" s="333">
        <f>AM69-AM35</f>
        <v>148128</v>
      </c>
      <c r="AN74" s="333">
        <f>AN69-AN35</f>
        <v>164346</v>
      </c>
      <c r="AO74" s="333">
        <f>AO69-AO35</f>
        <v>203437</v>
      </c>
      <c r="AP74" s="333">
        <f>AP69-AP35</f>
        <v>64957</v>
      </c>
      <c r="AQ74" s="333">
        <f>AQ69-AQ35</f>
        <v>31837</v>
      </c>
      <c r="AR74" s="107">
        <f t="shared" si="102"/>
        <v>1301840</v>
      </c>
      <c r="AS74" s="106"/>
      <c r="AT74" s="338">
        <f t="shared" ref="AT74:BE74" si="124">AT73/AT34</f>
        <v>1.7000083470131603E-2</v>
      </c>
      <c r="AU74" s="338">
        <f t="shared" si="124"/>
        <v>-0.26792985919579565</v>
      </c>
      <c r="AV74" s="338">
        <f t="shared" si="124"/>
        <v>-6.5248272015318062E-2</v>
      </c>
      <c r="AW74" s="338">
        <f t="shared" si="124"/>
        <v>-0.19881644480138216</v>
      </c>
      <c r="AX74" s="338">
        <f t="shared" si="124"/>
        <v>2.798530764170884E-2</v>
      </c>
      <c r="AY74" s="338">
        <f t="shared" si="124"/>
        <v>-0.12395048084722922</v>
      </c>
      <c r="AZ74" s="338">
        <f t="shared" si="124"/>
        <v>8.1309864112464342E-3</v>
      </c>
      <c r="BA74" s="338">
        <f t="shared" si="124"/>
        <v>-0.32244495902957893</v>
      </c>
      <c r="BB74" s="338">
        <f t="shared" si="124"/>
        <v>-0.23949841829212068</v>
      </c>
      <c r="BC74" s="338">
        <f t="shared" si="124"/>
        <v>-0.41888939787658819</v>
      </c>
      <c r="BD74" s="338">
        <f t="shared" si="124"/>
        <v>7.8214003811977375E-3</v>
      </c>
      <c r="BE74" s="338">
        <f t="shared" si="124"/>
        <v>0.24086123043473662</v>
      </c>
      <c r="BF74" s="109">
        <f>AVERAGE(AT74:BE74)</f>
        <v>-0.11124823530991597</v>
      </c>
      <c r="BG74" s="106"/>
      <c r="BH74" s="338">
        <f t="shared" ref="BH74:BQ74" si="125">BH73/BH34</f>
        <v>-5.512821352117471E-2</v>
      </c>
      <c r="BI74" s="338">
        <f t="shared" si="125"/>
        <v>-0.12287867195499311</v>
      </c>
      <c r="BJ74" s="338">
        <f t="shared" si="125"/>
        <v>0.12581416416796784</v>
      </c>
      <c r="BK74" s="338">
        <f t="shared" si="125"/>
        <v>-0.33597769224938256</v>
      </c>
      <c r="BL74" s="338">
        <f t="shared" si="125"/>
        <v>1.0652943536044719E-3</v>
      </c>
      <c r="BM74" s="338">
        <f t="shared" si="125"/>
        <v>7.1488016002422286E-2</v>
      </c>
      <c r="BN74" s="338">
        <f t="shared" si="125"/>
        <v>1.3533646427895287E-2</v>
      </c>
      <c r="BO74" s="338">
        <f t="shared" si="125"/>
        <v>4.0944619366602007E-2</v>
      </c>
      <c r="BP74" s="338">
        <f t="shared" si="125"/>
        <v>-6.7692361075750926E-3</v>
      </c>
      <c r="BQ74" s="338">
        <f t="shared" si="125"/>
        <v>0.16757086626186191</v>
      </c>
      <c r="BR74" s="109"/>
      <c r="BS74" s="109"/>
      <c r="BT74" s="338">
        <f>BT73/BT34</f>
        <v>-7.1185036907011742E-3</v>
      </c>
      <c r="BU74" s="54"/>
      <c r="BV74" s="338"/>
      <c r="BW74" s="338"/>
      <c r="BX74" s="338"/>
      <c r="BY74" s="338"/>
      <c r="BZ74" s="109"/>
      <c r="CA74" s="109"/>
      <c r="CB74" s="109"/>
      <c r="CC74" s="109"/>
      <c r="CD74" s="109"/>
      <c r="CE74" s="109"/>
      <c r="CF74" s="109"/>
      <c r="CG74" s="109"/>
      <c r="CH74" s="109"/>
      <c r="CJ74" s="338"/>
      <c r="CK74" s="338"/>
      <c r="CL74" s="338"/>
      <c r="CM74" s="338"/>
      <c r="CN74" s="109"/>
      <c r="CO74" s="109"/>
      <c r="CP74" s="109"/>
      <c r="CQ74" s="109"/>
      <c r="CR74" s="109"/>
      <c r="CS74" s="109"/>
      <c r="CT74" s="109"/>
      <c r="CU74" s="109"/>
      <c r="CV74" s="109"/>
      <c r="CW74" s="758"/>
      <c r="CX74" s="894"/>
      <c r="CY74" s="894"/>
      <c r="CZ74" s="894"/>
      <c r="DA74" s="894"/>
      <c r="DB74" s="895"/>
      <c r="DC74" s="895"/>
      <c r="DD74" s="895"/>
      <c r="DE74" s="895"/>
      <c r="DF74" s="895"/>
      <c r="DG74" s="895"/>
      <c r="DH74" s="895"/>
      <c r="DI74" s="895"/>
      <c r="DJ74" s="109"/>
      <c r="DK74" s="949"/>
      <c r="DL74" s="894"/>
      <c r="DM74" s="894"/>
      <c r="DN74" s="894"/>
      <c r="DO74" s="894"/>
      <c r="DP74" s="895"/>
      <c r="DQ74" s="895"/>
      <c r="DR74" s="895"/>
      <c r="DS74" s="895"/>
      <c r="DT74" s="895"/>
      <c r="DU74" s="895"/>
      <c r="DV74" s="895"/>
      <c r="DW74" s="895"/>
      <c r="DX74" s="109"/>
    </row>
    <row r="75" spans="1:129" ht="14.25" hidden="1" customHeight="1">
      <c r="A75" s="55" t="s">
        <v>86</v>
      </c>
      <c r="B75" s="958" t="s">
        <v>124</v>
      </c>
      <c r="C75" s="959"/>
      <c r="D75" s="960"/>
      <c r="E75" s="961"/>
      <c r="F75" s="961"/>
      <c r="G75" s="961"/>
      <c r="H75" s="961"/>
      <c r="I75" s="961"/>
      <c r="J75" s="961"/>
      <c r="K75" s="961"/>
      <c r="L75" s="961"/>
      <c r="M75" s="961"/>
      <c r="N75" s="961"/>
      <c r="O75" s="961"/>
      <c r="P75" s="962"/>
      <c r="Q75" s="963"/>
      <c r="R75" s="960"/>
      <c r="S75" s="964"/>
      <c r="T75" s="964"/>
      <c r="U75" s="964"/>
      <c r="V75" s="964"/>
      <c r="W75" s="965"/>
      <c r="X75" s="965"/>
      <c r="Y75" s="965"/>
      <c r="Z75" s="965"/>
      <c r="AA75" s="965"/>
      <c r="AB75" s="965"/>
      <c r="AC75" s="965"/>
      <c r="AD75" s="966"/>
      <c r="AE75" s="967"/>
      <c r="AF75" s="599"/>
      <c r="AG75" s="964"/>
      <c r="AH75" s="964"/>
      <c r="AI75" s="964"/>
      <c r="AJ75" s="964"/>
      <c r="AK75" s="964"/>
      <c r="AL75" s="964"/>
      <c r="AM75" s="964"/>
      <c r="AN75" s="964"/>
      <c r="AO75" s="964"/>
      <c r="AP75" s="964"/>
      <c r="AQ75" s="964"/>
      <c r="AR75" s="964"/>
      <c r="AS75" s="967"/>
      <c r="AT75" s="964"/>
      <c r="AU75" s="964"/>
      <c r="AV75" s="964"/>
      <c r="AW75" s="964"/>
      <c r="AX75" s="964"/>
      <c r="AY75" s="964"/>
      <c r="AZ75" s="964"/>
      <c r="BA75" s="964"/>
      <c r="BB75" s="964"/>
      <c r="BC75" s="964"/>
      <c r="BD75" s="964"/>
      <c r="BE75" s="964"/>
      <c r="BF75" s="964"/>
      <c r="BG75" s="967"/>
      <c r="BH75" s="964"/>
      <c r="BI75" s="964"/>
      <c r="BJ75" s="964"/>
      <c r="BK75" s="964"/>
      <c r="BL75" s="964"/>
      <c r="BM75" s="964"/>
      <c r="BN75" s="964"/>
      <c r="BO75" s="964"/>
      <c r="BP75" s="964"/>
      <c r="BQ75" s="964"/>
      <c r="BR75" s="964"/>
      <c r="BS75" s="964"/>
      <c r="BT75" s="964"/>
      <c r="BU75" s="968"/>
      <c r="BV75" s="964"/>
      <c r="BW75" s="964"/>
      <c r="BX75" s="964"/>
      <c r="BY75" s="964"/>
      <c r="BZ75" s="964"/>
      <c r="CA75" s="964"/>
      <c r="CB75" s="964"/>
      <c r="CC75" s="964"/>
      <c r="CD75" s="964"/>
      <c r="CE75" s="964"/>
      <c r="CF75" s="964"/>
      <c r="CG75" s="964"/>
      <c r="CH75" s="964"/>
      <c r="CI75" s="969"/>
      <c r="CJ75" s="964"/>
      <c r="CK75" s="964"/>
      <c r="CL75" s="964"/>
      <c r="CM75" s="964"/>
      <c r="CN75" s="964"/>
      <c r="CO75" s="964"/>
      <c r="CP75" s="964"/>
      <c r="CQ75" s="964"/>
      <c r="CR75" s="964"/>
      <c r="CS75" s="964"/>
      <c r="CT75" s="964">
        <f>SUM(CT77:CT79)</f>
        <v>164656.85004219407</v>
      </c>
      <c r="CU75" s="964">
        <f>SUM(CU77:CU79)</f>
        <v>91745.822784810123</v>
      </c>
      <c r="CV75" s="964"/>
      <c r="CW75" s="956">
        <f>SUM(CX75:DC75)</f>
        <v>996971.73999999987</v>
      </c>
      <c r="CX75" s="964">
        <f>SUM(CX77:CX79)</f>
        <v>194469.46000000002</v>
      </c>
      <c r="CY75" s="964">
        <f t="shared" ref="CY75:DJ75" si="126">SUM(CY77:CY79)</f>
        <v>159466.88999999998</v>
      </c>
      <c r="CZ75" s="964">
        <f t="shared" si="126"/>
        <v>208203.57</v>
      </c>
      <c r="DA75" s="964">
        <f t="shared" si="126"/>
        <v>158532.44</v>
      </c>
      <c r="DB75" s="964">
        <f t="shared" si="126"/>
        <v>157404.75999999998</v>
      </c>
      <c r="DC75" s="964">
        <f t="shared" si="126"/>
        <v>118894.62</v>
      </c>
      <c r="DD75" s="964">
        <f t="shared" si="126"/>
        <v>211625.73</v>
      </c>
      <c r="DE75" s="964">
        <f t="shared" si="126"/>
        <v>208193.11</v>
      </c>
      <c r="DF75" s="964">
        <f t="shared" si="126"/>
        <v>269889.13</v>
      </c>
      <c r="DG75" s="964">
        <f>SUM(DG77:DG79)</f>
        <v>258868.84085232066</v>
      </c>
      <c r="DH75" s="964">
        <f t="shared" si="126"/>
        <v>178376.53444641351</v>
      </c>
      <c r="DI75" s="964">
        <f t="shared" si="126"/>
        <v>114212.18776329115</v>
      </c>
      <c r="DJ75" s="599">
        <f>SUM(CX75:DI75)</f>
        <v>2238137.2730620252</v>
      </c>
      <c r="DK75" s="949"/>
      <c r="DL75" s="896">
        <f>SUM(DL77:DL79)</f>
        <v>213916.40600000005</v>
      </c>
      <c r="DM75" s="896">
        <f t="shared" ref="DM75:DX75" si="127">SUM(DM77:DM79)</f>
        <v>175413.579</v>
      </c>
      <c r="DN75" s="896">
        <f t="shared" si="127"/>
        <v>229023.92700000003</v>
      </c>
      <c r="DO75" s="896">
        <f t="shared" si="127"/>
        <v>174385.68400000001</v>
      </c>
      <c r="DP75" s="896">
        <f t="shared" si="127"/>
        <v>173145.236</v>
      </c>
      <c r="DQ75" s="896">
        <f t="shared" si="127"/>
        <v>130784.08200000001</v>
      </c>
      <c r="DR75" s="896">
        <f t="shared" si="127"/>
        <v>232788.30300000004</v>
      </c>
      <c r="DS75" s="896">
        <f t="shared" si="127"/>
        <v>229012.421</v>
      </c>
      <c r="DT75" s="896">
        <f t="shared" si="127"/>
        <v>296878.04300000001</v>
      </c>
      <c r="DU75" s="896">
        <f t="shared" si="127"/>
        <v>284755.72493755276</v>
      </c>
      <c r="DV75" s="896">
        <f t="shared" si="127"/>
        <v>196214.18789105487</v>
      </c>
      <c r="DW75" s="896">
        <f t="shared" si="127"/>
        <v>125633.40653962028</v>
      </c>
      <c r="DX75" s="778">
        <f>SUM(DL75:DW75)</f>
        <v>2461951.0003682282</v>
      </c>
    </row>
    <row r="76" spans="1:129" ht="21" hidden="1" customHeight="1">
      <c r="A76" s="55"/>
      <c r="B76" s="766" t="s">
        <v>87</v>
      </c>
      <c r="C76" s="767"/>
      <c r="D76" s="768"/>
      <c r="E76" s="769"/>
      <c r="F76" s="769"/>
      <c r="G76" s="769"/>
      <c r="H76" s="769"/>
      <c r="I76" s="769"/>
      <c r="J76" s="769"/>
      <c r="K76" s="769"/>
      <c r="L76" s="769"/>
      <c r="M76" s="769"/>
      <c r="N76" s="769"/>
      <c r="O76" s="769"/>
      <c r="P76" s="770"/>
      <c r="Q76" s="771"/>
      <c r="R76" s="768"/>
      <c r="S76" s="772"/>
      <c r="T76" s="772"/>
      <c r="U76" s="772"/>
      <c r="V76" s="772"/>
      <c r="W76" s="773"/>
      <c r="X76" s="773"/>
      <c r="Y76" s="773"/>
      <c r="Z76" s="773"/>
      <c r="AA76" s="773"/>
      <c r="AB76" s="773"/>
      <c r="AC76" s="773"/>
      <c r="AD76" s="774"/>
      <c r="AE76" s="775"/>
      <c r="AF76" s="776"/>
      <c r="AG76" s="776"/>
      <c r="AH76" s="776"/>
      <c r="AI76" s="776"/>
      <c r="AJ76" s="776"/>
      <c r="AK76" s="776"/>
      <c r="AL76" s="776"/>
      <c r="AM76" s="776"/>
      <c r="AN76" s="776"/>
      <c r="AO76" s="776"/>
      <c r="AP76" s="776"/>
      <c r="AQ76" s="776"/>
      <c r="AR76" s="772"/>
      <c r="AS76" s="775"/>
      <c r="AT76" s="776"/>
      <c r="AU76" s="776"/>
      <c r="AV76" s="776"/>
      <c r="AW76" s="776"/>
      <c r="AX76" s="776"/>
      <c r="AY76" s="776"/>
      <c r="AZ76" s="776"/>
      <c r="BA76" s="776"/>
      <c r="BB76" s="776"/>
      <c r="BC76" s="776"/>
      <c r="BD76" s="776"/>
      <c r="BE76" s="776"/>
      <c r="BF76" s="772"/>
      <c r="BG76" s="775"/>
      <c r="BH76" s="776"/>
      <c r="BI76" s="776"/>
      <c r="BJ76" s="776"/>
      <c r="BK76" s="776"/>
      <c r="BL76" s="776"/>
      <c r="BM76" s="776"/>
      <c r="BN76" s="776"/>
      <c r="BO76" s="776"/>
      <c r="BP76" s="776"/>
      <c r="BQ76" s="776"/>
      <c r="BR76" s="776"/>
      <c r="BS76" s="776"/>
      <c r="BT76" s="776"/>
      <c r="BU76" s="777"/>
      <c r="BV76" s="778">
        <v>152642</v>
      </c>
      <c r="BW76" s="778">
        <v>141495</v>
      </c>
      <c r="BX76" s="778">
        <v>158268</v>
      </c>
      <c r="BY76" s="778">
        <v>135742</v>
      </c>
      <c r="BZ76" s="778">
        <v>130614</v>
      </c>
      <c r="CA76" s="778">
        <v>97296</v>
      </c>
      <c r="CB76" s="778">
        <v>180319</v>
      </c>
      <c r="CC76" s="778">
        <v>175137</v>
      </c>
      <c r="CD76" s="778">
        <v>216035</v>
      </c>
      <c r="CE76" s="778">
        <v>188049</v>
      </c>
      <c r="CF76" s="778">
        <v>139782</v>
      </c>
      <c r="CG76" s="778">
        <v>90604</v>
      </c>
      <c r="CH76" s="776">
        <f>SUM(BV76:CG76)</f>
        <v>1805983</v>
      </c>
      <c r="CI76" s="779"/>
      <c r="CJ76" s="778" t="s">
        <v>88</v>
      </c>
      <c r="CK76" s="778">
        <f t="shared" ref="CK76:CV76" si="128">BW76</f>
        <v>141495</v>
      </c>
      <c r="CL76" s="778">
        <f t="shared" si="128"/>
        <v>158268</v>
      </c>
      <c r="CM76" s="778">
        <f t="shared" si="128"/>
        <v>135742</v>
      </c>
      <c r="CN76" s="778">
        <f t="shared" si="128"/>
        <v>130614</v>
      </c>
      <c r="CO76" s="778">
        <f t="shared" si="128"/>
        <v>97296</v>
      </c>
      <c r="CP76" s="778">
        <f t="shared" si="128"/>
        <v>180319</v>
      </c>
      <c r="CQ76" s="778">
        <f t="shared" si="128"/>
        <v>175137</v>
      </c>
      <c r="CR76" s="778">
        <f t="shared" si="128"/>
        <v>216035</v>
      </c>
      <c r="CS76" s="778">
        <f>CS77</f>
        <v>237402.61350210969</v>
      </c>
      <c r="CT76" s="778">
        <f>CT77</f>
        <v>113946.85004219407</v>
      </c>
      <c r="CU76" s="778">
        <f t="shared" ref="CU76:CV76" si="129">CU77</f>
        <v>79742.822784810123</v>
      </c>
      <c r="CV76" s="778">
        <f t="shared" si="128"/>
        <v>1805983</v>
      </c>
      <c r="CW76" s="758"/>
      <c r="CX76" s="897"/>
      <c r="CY76" s="897"/>
      <c r="CZ76" s="897"/>
      <c r="DA76" s="897"/>
      <c r="DB76" s="897"/>
      <c r="DC76" s="897"/>
      <c r="DD76" s="897"/>
      <c r="DE76" s="897"/>
      <c r="DF76" s="897"/>
      <c r="DG76" s="897"/>
      <c r="DH76" s="897"/>
      <c r="DI76" s="897">
        <v>114212.18776329115</v>
      </c>
      <c r="DJ76" s="778"/>
      <c r="DK76" s="949"/>
      <c r="DL76" s="897"/>
      <c r="DM76" s="897"/>
      <c r="DN76" s="897"/>
      <c r="DO76" s="897"/>
      <c r="DP76" s="897"/>
      <c r="DQ76" s="897"/>
      <c r="DR76" s="897"/>
      <c r="DS76" s="897"/>
      <c r="DT76" s="897"/>
      <c r="DU76" s="897"/>
      <c r="DV76" s="897"/>
      <c r="DW76" s="897">
        <v>114212.18776329115</v>
      </c>
      <c r="DX76" s="778"/>
    </row>
    <row r="77" spans="1:129" ht="22.5" hidden="1" customHeight="1">
      <c r="A77" s="765"/>
      <c r="B77" s="766" t="s">
        <v>125</v>
      </c>
      <c r="C77" s="767"/>
      <c r="D77" s="768"/>
      <c r="E77" s="769"/>
      <c r="F77" s="769"/>
      <c r="G77" s="769"/>
      <c r="H77" s="769"/>
      <c r="I77" s="769"/>
      <c r="J77" s="769"/>
      <c r="K77" s="769"/>
      <c r="L77" s="769"/>
      <c r="M77" s="769"/>
      <c r="N77" s="769"/>
      <c r="O77" s="769"/>
      <c r="P77" s="770"/>
      <c r="Q77" s="771"/>
      <c r="R77" s="768"/>
      <c r="S77" s="772"/>
      <c r="T77" s="772"/>
      <c r="U77" s="772"/>
      <c r="V77" s="772"/>
      <c r="W77" s="773"/>
      <c r="X77" s="773"/>
      <c r="Y77" s="773"/>
      <c r="Z77" s="773"/>
      <c r="AA77" s="773"/>
      <c r="AB77" s="773"/>
      <c r="AC77" s="773"/>
      <c r="AD77" s="774"/>
      <c r="AE77" s="775"/>
      <c r="AF77" s="776"/>
      <c r="AG77" s="776"/>
      <c r="AH77" s="776"/>
      <c r="AI77" s="776"/>
      <c r="AJ77" s="776"/>
      <c r="AK77" s="776"/>
      <c r="AL77" s="776"/>
      <c r="AM77" s="776"/>
      <c r="AN77" s="776"/>
      <c r="AO77" s="776"/>
      <c r="AP77" s="776"/>
      <c r="AQ77" s="776"/>
      <c r="AR77" s="772"/>
      <c r="AS77" s="775"/>
      <c r="AT77" s="776"/>
      <c r="AU77" s="776"/>
      <c r="AV77" s="776"/>
      <c r="AW77" s="776"/>
      <c r="AX77" s="776"/>
      <c r="AY77" s="776"/>
      <c r="AZ77" s="776"/>
      <c r="BA77" s="776"/>
      <c r="BB77" s="776"/>
      <c r="BC77" s="776"/>
      <c r="BD77" s="776"/>
      <c r="BE77" s="776"/>
      <c r="BF77" s="772"/>
      <c r="BG77" s="775"/>
      <c r="BH77" s="776"/>
      <c r="BI77" s="776"/>
      <c r="BJ77" s="776"/>
      <c r="BK77" s="776"/>
      <c r="BL77" s="776"/>
      <c r="BM77" s="776"/>
      <c r="BN77" s="776"/>
      <c r="BO77" s="776"/>
      <c r="BP77" s="776"/>
      <c r="BQ77" s="776"/>
      <c r="BR77" s="776"/>
      <c r="BS77" s="776"/>
      <c r="BT77" s="776"/>
      <c r="BU77" s="777"/>
      <c r="BV77" s="778">
        <f>BV34</f>
        <v>161157.867486095</v>
      </c>
      <c r="BW77" s="778">
        <f>BW34</f>
        <v>155966.83045180296</v>
      </c>
      <c r="BX77" s="778">
        <f t="shared" ref="BX77:CH77" si="130">BX34</f>
        <v>196111.53846153844</v>
      </c>
      <c r="BY77" s="778">
        <f t="shared" si="130"/>
        <v>159169.23076923078</v>
      </c>
      <c r="BZ77" s="778">
        <f t="shared" si="130"/>
        <v>151482.39341785663</v>
      </c>
      <c r="CA77" s="778">
        <f t="shared" si="130"/>
        <v>141442.12910096842</v>
      </c>
      <c r="CB77" s="778">
        <f t="shared" si="130"/>
        <v>176986.21444761599</v>
      </c>
      <c r="CC77" s="778">
        <f t="shared" si="130"/>
        <v>201301.08944885107</v>
      </c>
      <c r="CD77" s="778">
        <f t="shared" si="130"/>
        <v>212833.04013559342</v>
      </c>
      <c r="CE77" s="778">
        <f t="shared" si="130"/>
        <v>215922.30386211892</v>
      </c>
      <c r="CF77" s="778">
        <f t="shared" si="130"/>
        <v>171115.84223630186</v>
      </c>
      <c r="CG77" s="778">
        <f t="shared" si="130"/>
        <v>87483.816691710366</v>
      </c>
      <c r="CH77" s="776">
        <f>SUM(BV77:CG77)</f>
        <v>2030972.2965096838</v>
      </c>
      <c r="CI77" s="779"/>
      <c r="CJ77" s="778">
        <f>CJ72+CJ39</f>
        <v>149449.15862840106</v>
      </c>
      <c r="CK77" s="778">
        <f t="shared" ref="CK77:CU77" si="131">CK72+CK39</f>
        <v>165299.98482295938</v>
      </c>
      <c r="CL77" s="778">
        <f t="shared" si="131"/>
        <v>157623.38063361909</v>
      </c>
      <c r="CM77" s="778">
        <f t="shared" si="131"/>
        <v>156795.25083861349</v>
      </c>
      <c r="CN77" s="778">
        <f>CN72+CN39</f>
        <v>159036.51643682446</v>
      </c>
      <c r="CO77" s="778">
        <f t="shared" si="131"/>
        <v>127776.80715616846</v>
      </c>
      <c r="CP77" s="778">
        <f t="shared" si="131"/>
        <v>201036.96194092827</v>
      </c>
      <c r="CQ77" s="778">
        <f t="shared" si="131"/>
        <v>217939.23822784808</v>
      </c>
      <c r="CR77" s="778">
        <f>CR72+CR39</f>
        <v>251919.92080168775</v>
      </c>
      <c r="CS77" s="778">
        <f>CS72+CS39</f>
        <v>237402.61350210969</v>
      </c>
      <c r="CT77" s="778">
        <f>CT72+CT39-CT79-CT78</f>
        <v>113946.85004219407</v>
      </c>
      <c r="CU77" s="778">
        <f>CU72+CU39-CU79-CU78</f>
        <v>79742.822784810123</v>
      </c>
      <c r="CV77" s="778"/>
      <c r="CW77" s="758"/>
      <c r="CX77" s="897">
        <f>CX97-CX100-CX78</f>
        <v>137996.46000000002</v>
      </c>
      <c r="CY77" s="897">
        <f t="shared" ref="CY77:DI77" si="132">CY97-CY100-CY78</f>
        <v>109115.58999999998</v>
      </c>
      <c r="CZ77" s="897">
        <f t="shared" si="132"/>
        <v>159971.47</v>
      </c>
      <c r="DA77" s="897">
        <f t="shared" si="132"/>
        <v>111340.64</v>
      </c>
      <c r="DB77" s="897">
        <f t="shared" si="132"/>
        <v>119915.75999999998</v>
      </c>
      <c r="DC77" s="897">
        <f t="shared" si="132"/>
        <v>92130.62</v>
      </c>
      <c r="DD77" s="897">
        <f t="shared" si="132"/>
        <v>136939.83000000002</v>
      </c>
      <c r="DE77" s="897">
        <f t="shared" si="132"/>
        <v>135607.21</v>
      </c>
      <c r="DF77" s="897">
        <f>DF97-DF100-DF78</f>
        <v>183966.23</v>
      </c>
      <c r="DG77" s="897">
        <f t="shared" si="132"/>
        <v>212260.74085232065</v>
      </c>
      <c r="DH77" s="897">
        <f t="shared" si="132"/>
        <v>147017.18444641351</v>
      </c>
      <c r="DI77" s="897">
        <f t="shared" si="132"/>
        <v>100014.48776329115</v>
      </c>
      <c r="DJ77" s="778">
        <f>SUM(CX77:DI77)</f>
        <v>1646276.2230620254</v>
      </c>
      <c r="DK77" s="949"/>
      <c r="DL77" s="897">
        <f>DL97-DL100-DL78</f>
        <v>157443.40600000005</v>
      </c>
      <c r="DM77" s="897">
        <f t="shared" ref="DM77:DW77" si="133">DM97-DM100-DM78</f>
        <v>125062.27899999999</v>
      </c>
      <c r="DN77" s="897">
        <f t="shared" si="133"/>
        <v>180791.82700000002</v>
      </c>
      <c r="DO77" s="897">
        <f t="shared" si="133"/>
        <v>127193.88400000001</v>
      </c>
      <c r="DP77" s="897">
        <f t="shared" si="133"/>
        <v>138872.236</v>
      </c>
      <c r="DQ77" s="897">
        <f t="shared" si="133"/>
        <v>105431.482</v>
      </c>
      <c r="DR77" s="897">
        <f t="shared" si="133"/>
        <v>164765.40300000005</v>
      </c>
      <c r="DS77" s="897">
        <f t="shared" si="133"/>
        <v>160399.921</v>
      </c>
      <c r="DT77" s="897">
        <f t="shared" si="133"/>
        <v>212905.14300000001</v>
      </c>
      <c r="DU77" s="897">
        <f t="shared" si="133"/>
        <v>238147.62493755276</v>
      </c>
      <c r="DV77" s="897">
        <f t="shared" si="133"/>
        <v>164854.83789105486</v>
      </c>
      <c r="DW77" s="897">
        <f t="shared" si="133"/>
        <v>111435.70653962028</v>
      </c>
      <c r="DX77" s="778">
        <f>SUM(DL77:DW77)</f>
        <v>1887303.7503682277</v>
      </c>
      <c r="DY77" s="598">
        <f>AVERAGE(DL77:DW77)</f>
        <v>157275.31253068565</v>
      </c>
    </row>
    <row r="78" spans="1:129" ht="22.5" hidden="1" customHeight="1">
      <c r="A78" s="765"/>
      <c r="B78" s="766" t="s">
        <v>126</v>
      </c>
      <c r="C78" s="767"/>
      <c r="D78" s="768"/>
      <c r="E78" s="769"/>
      <c r="F78" s="769"/>
      <c r="G78" s="769"/>
      <c r="H78" s="769"/>
      <c r="I78" s="769"/>
      <c r="J78" s="769"/>
      <c r="K78" s="769"/>
      <c r="L78" s="769"/>
      <c r="M78" s="769"/>
      <c r="N78" s="769"/>
      <c r="O78" s="769"/>
      <c r="P78" s="770"/>
      <c r="Q78" s="771"/>
      <c r="R78" s="768"/>
      <c r="S78" s="772"/>
      <c r="T78" s="772"/>
      <c r="U78" s="772"/>
      <c r="V78" s="772"/>
      <c r="W78" s="773"/>
      <c r="X78" s="773"/>
      <c r="Y78" s="773"/>
      <c r="Z78" s="773"/>
      <c r="AA78" s="773"/>
      <c r="AB78" s="773"/>
      <c r="AC78" s="773"/>
      <c r="AD78" s="774"/>
      <c r="AE78" s="775"/>
      <c r="AF78" s="776"/>
      <c r="AG78" s="776"/>
      <c r="AH78" s="776"/>
      <c r="AI78" s="776"/>
      <c r="AJ78" s="776"/>
      <c r="AK78" s="776"/>
      <c r="AL78" s="776"/>
      <c r="AM78" s="776"/>
      <c r="AN78" s="776"/>
      <c r="AO78" s="776"/>
      <c r="AP78" s="776"/>
      <c r="AQ78" s="776"/>
      <c r="AR78" s="772"/>
      <c r="AS78" s="775"/>
      <c r="AT78" s="776"/>
      <c r="AU78" s="776"/>
      <c r="AV78" s="776"/>
      <c r="AW78" s="776"/>
      <c r="AX78" s="776"/>
      <c r="AY78" s="776"/>
      <c r="AZ78" s="776"/>
      <c r="BA78" s="776"/>
      <c r="BB78" s="776"/>
      <c r="BC78" s="776"/>
      <c r="BD78" s="776"/>
      <c r="BE78" s="776"/>
      <c r="BF78" s="772"/>
      <c r="BG78" s="775"/>
      <c r="BH78" s="776"/>
      <c r="BI78" s="776"/>
      <c r="BJ78" s="776"/>
      <c r="BK78" s="776"/>
      <c r="BL78" s="776"/>
      <c r="BM78" s="776"/>
      <c r="BN78" s="776"/>
      <c r="BO78" s="776"/>
      <c r="BP78" s="776"/>
      <c r="BQ78" s="776"/>
      <c r="BR78" s="776"/>
      <c r="BS78" s="776"/>
      <c r="BT78" s="776"/>
      <c r="BU78" s="777"/>
      <c r="BV78" s="778"/>
      <c r="BW78" s="778"/>
      <c r="BX78" s="778"/>
      <c r="BY78" s="778"/>
      <c r="BZ78" s="778"/>
      <c r="CA78" s="778"/>
      <c r="CB78" s="778"/>
      <c r="CC78" s="778"/>
      <c r="CD78" s="778"/>
      <c r="CE78" s="778"/>
      <c r="CF78" s="778"/>
      <c r="CG78" s="778"/>
      <c r="CH78" s="776"/>
      <c r="CI78" s="779"/>
      <c r="CJ78" s="778"/>
      <c r="CK78" s="778"/>
      <c r="CL78" s="778"/>
      <c r="CM78" s="778"/>
      <c r="CN78" s="778"/>
      <c r="CO78" s="778"/>
      <c r="CP78" s="778"/>
      <c r="CQ78" s="778"/>
      <c r="CR78" s="778"/>
      <c r="CS78" s="778"/>
      <c r="CT78" s="778">
        <v>15710</v>
      </c>
      <c r="CU78" s="778">
        <v>9907</v>
      </c>
      <c r="CV78" s="778"/>
      <c r="CW78" s="758">
        <f>CW79/6</f>
        <v>-25998.339999999986</v>
      </c>
      <c r="CX78" s="897">
        <f>CX109*1.1</f>
        <v>16863</v>
      </c>
      <c r="CY78" s="897">
        <f t="shared" ref="CY78:DI78" si="134">CY109*1.1</f>
        <v>13357.300000000001</v>
      </c>
      <c r="CZ78" s="897">
        <f t="shared" si="134"/>
        <v>18888.100000000002</v>
      </c>
      <c r="DA78" s="897">
        <f t="shared" si="134"/>
        <v>13813.800000000001</v>
      </c>
      <c r="DB78" s="897">
        <v>18000</v>
      </c>
      <c r="DC78" s="897">
        <v>12000</v>
      </c>
      <c r="DD78" s="897">
        <v>25000</v>
      </c>
      <c r="DE78" s="897">
        <v>24000</v>
      </c>
      <c r="DF78" s="897">
        <v>30000</v>
      </c>
      <c r="DG78" s="897">
        <f t="shared" si="134"/>
        <v>18451.400000000001</v>
      </c>
      <c r="DH78" s="897">
        <f t="shared" si="134"/>
        <v>17281</v>
      </c>
      <c r="DI78" s="897">
        <f t="shared" si="134"/>
        <v>10897.7</v>
      </c>
      <c r="DJ78" s="778">
        <f>SUM(CX78:DI78)</f>
        <v>218552.30000000002</v>
      </c>
      <c r="DK78" s="949"/>
      <c r="DL78" s="897">
        <f>DL109*1.1</f>
        <v>16863</v>
      </c>
      <c r="DM78" s="897">
        <f t="shared" ref="DM78:DW78" si="135">DM109*1.1</f>
        <v>13357.300000000001</v>
      </c>
      <c r="DN78" s="897">
        <f t="shared" si="135"/>
        <v>18888.100000000002</v>
      </c>
      <c r="DO78" s="897">
        <f t="shared" si="135"/>
        <v>13813.800000000001</v>
      </c>
      <c r="DP78" s="897">
        <f t="shared" si="135"/>
        <v>14784.000000000002</v>
      </c>
      <c r="DQ78" s="897">
        <f t="shared" si="135"/>
        <v>10588.6</v>
      </c>
      <c r="DR78" s="897">
        <f t="shared" si="135"/>
        <v>18337</v>
      </c>
      <c r="DS78" s="897">
        <f t="shared" si="135"/>
        <v>20026.600000000002</v>
      </c>
      <c r="DT78" s="897">
        <f>DT109*1.1</f>
        <v>28050.000000000004</v>
      </c>
      <c r="DU78" s="897">
        <f t="shared" ref="DU78:DY78" si="136">DU109*1.1</f>
        <v>18451.400000000001</v>
      </c>
      <c r="DV78" s="897">
        <f t="shared" si="136"/>
        <v>17281</v>
      </c>
      <c r="DW78" s="897">
        <f t="shared" si="136"/>
        <v>10897.7</v>
      </c>
      <c r="DX78" s="778">
        <f>SUM(DL78:DW78)</f>
        <v>201338.50000000003</v>
      </c>
      <c r="DY78" s="598">
        <f>AVERAGE(DL78:DW78)</f>
        <v>16778.208333333336</v>
      </c>
    </row>
    <row r="79" spans="1:129" ht="18" hidden="1" customHeight="1">
      <c r="A79" s="765"/>
      <c r="B79" s="766" t="s">
        <v>127</v>
      </c>
      <c r="C79" s="767"/>
      <c r="D79" s="768"/>
      <c r="E79" s="769"/>
      <c r="F79" s="769"/>
      <c r="G79" s="769"/>
      <c r="H79" s="769"/>
      <c r="I79" s="769"/>
      <c r="J79" s="769"/>
      <c r="K79" s="769"/>
      <c r="L79" s="769"/>
      <c r="M79" s="769"/>
      <c r="N79" s="769"/>
      <c r="O79" s="769"/>
      <c r="P79" s="770"/>
      <c r="Q79" s="771"/>
      <c r="R79" s="768"/>
      <c r="S79" s="772"/>
      <c r="T79" s="772"/>
      <c r="U79" s="772"/>
      <c r="V79" s="772"/>
      <c r="W79" s="773"/>
      <c r="X79" s="773"/>
      <c r="Y79" s="773"/>
      <c r="Z79" s="773"/>
      <c r="AA79" s="773"/>
      <c r="AB79" s="773"/>
      <c r="AC79" s="773"/>
      <c r="AD79" s="774"/>
      <c r="AE79" s="775"/>
      <c r="AF79" s="776"/>
      <c r="AG79" s="776"/>
      <c r="AH79" s="776"/>
      <c r="AI79" s="776"/>
      <c r="AJ79" s="776"/>
      <c r="AK79" s="776"/>
      <c r="AL79" s="776"/>
      <c r="AM79" s="776"/>
      <c r="AN79" s="776"/>
      <c r="AO79" s="776"/>
      <c r="AP79" s="776"/>
      <c r="AQ79" s="776"/>
      <c r="AR79" s="772"/>
      <c r="AS79" s="775"/>
      <c r="AT79" s="776"/>
      <c r="AU79" s="776"/>
      <c r="AV79" s="776"/>
      <c r="AW79" s="776"/>
      <c r="AX79" s="776"/>
      <c r="AY79" s="776"/>
      <c r="AZ79" s="776"/>
      <c r="BA79" s="776"/>
      <c r="BB79" s="776"/>
      <c r="BC79" s="776"/>
      <c r="BD79" s="776"/>
      <c r="BE79" s="776"/>
      <c r="BF79" s="772"/>
      <c r="BG79" s="775"/>
      <c r="BH79" s="776"/>
      <c r="BI79" s="776"/>
      <c r="BJ79" s="776"/>
      <c r="BK79" s="776"/>
      <c r="BL79" s="776"/>
      <c r="BM79" s="776"/>
      <c r="BN79" s="776"/>
      <c r="BO79" s="776"/>
      <c r="BP79" s="776"/>
      <c r="BQ79" s="776"/>
      <c r="BR79" s="776"/>
      <c r="BS79" s="776"/>
      <c r="BT79" s="776"/>
      <c r="BU79" s="777"/>
      <c r="BV79" s="778"/>
      <c r="BW79" s="778"/>
      <c r="BX79" s="778"/>
      <c r="BY79" s="778"/>
      <c r="BZ79" s="778"/>
      <c r="CA79" s="778"/>
      <c r="CB79" s="778"/>
      <c r="CC79" s="778"/>
      <c r="CD79" s="778"/>
      <c r="CE79" s="778"/>
      <c r="CF79" s="778"/>
      <c r="CG79" s="778"/>
      <c r="CH79" s="776"/>
      <c r="CI79" s="779"/>
      <c r="CJ79" s="778"/>
      <c r="CK79" s="778"/>
      <c r="CL79" s="778"/>
      <c r="CM79" s="778"/>
      <c r="CN79" s="778"/>
      <c r="CO79" s="778"/>
      <c r="CP79" s="778"/>
      <c r="CQ79" s="778"/>
      <c r="CR79" s="778"/>
      <c r="CS79" s="778">
        <v>28812</v>
      </c>
      <c r="CT79" s="778">
        <f>CT100</f>
        <v>35000</v>
      </c>
      <c r="CU79" s="778">
        <f>CU100</f>
        <v>2096</v>
      </c>
      <c r="CV79" s="778"/>
      <c r="CW79" s="869">
        <f>CW80-CW75</f>
        <v>-155990.03999999992</v>
      </c>
      <c r="CX79" s="897">
        <f>CX100</f>
        <v>39610</v>
      </c>
      <c r="CY79" s="897">
        <f t="shared" ref="CY79:DC79" si="137">CY100</f>
        <v>36994</v>
      </c>
      <c r="CZ79" s="897">
        <f t="shared" si="137"/>
        <v>29344</v>
      </c>
      <c r="DA79" s="897">
        <f t="shared" si="137"/>
        <v>33378</v>
      </c>
      <c r="DB79" s="897">
        <f t="shared" si="137"/>
        <v>19489</v>
      </c>
      <c r="DC79" s="897">
        <f t="shared" si="137"/>
        <v>14764</v>
      </c>
      <c r="DD79" s="897">
        <f>DD100</f>
        <v>49685.9</v>
      </c>
      <c r="DE79" s="897">
        <f t="shared" ref="DE79:DJ79" si="138">DE100</f>
        <v>48585.9</v>
      </c>
      <c r="DF79" s="897">
        <f t="shared" si="138"/>
        <v>55922.9</v>
      </c>
      <c r="DG79" s="897">
        <f t="shared" si="138"/>
        <v>28156.7</v>
      </c>
      <c r="DH79" s="897">
        <f t="shared" si="138"/>
        <v>14078.35</v>
      </c>
      <c r="DI79" s="897">
        <f t="shared" si="138"/>
        <v>3300.0000000000005</v>
      </c>
      <c r="DJ79" s="778">
        <f>SUM(CX79:DI79)</f>
        <v>373308.75</v>
      </c>
      <c r="DK79" s="949"/>
      <c r="DL79" s="897">
        <f>DL100</f>
        <v>39610</v>
      </c>
      <c r="DM79" s="897">
        <f t="shared" ref="DM79:DQ79" si="139">DM100</f>
        <v>36994</v>
      </c>
      <c r="DN79" s="897">
        <f t="shared" si="139"/>
        <v>29344</v>
      </c>
      <c r="DO79" s="897">
        <f t="shared" si="139"/>
        <v>33378</v>
      </c>
      <c r="DP79" s="897">
        <f t="shared" si="139"/>
        <v>19489</v>
      </c>
      <c r="DQ79" s="897">
        <f t="shared" si="139"/>
        <v>14764</v>
      </c>
      <c r="DR79" s="897">
        <f>DR100</f>
        <v>49685.9</v>
      </c>
      <c r="DS79" s="897">
        <f t="shared" ref="DS79:DX79" si="140">DS100</f>
        <v>48585.9</v>
      </c>
      <c r="DT79" s="897">
        <f t="shared" si="140"/>
        <v>55922.9</v>
      </c>
      <c r="DU79" s="897">
        <f t="shared" si="140"/>
        <v>28156.7</v>
      </c>
      <c r="DV79" s="897">
        <f t="shared" si="140"/>
        <v>14078.35</v>
      </c>
      <c r="DW79" s="897">
        <f t="shared" si="140"/>
        <v>3300.0000000000005</v>
      </c>
      <c r="DX79" s="778">
        <f>SUM(DL79:DW79)</f>
        <v>373308.75</v>
      </c>
    </row>
    <row r="80" spans="1:129" s="1004" customFormat="1" ht="15" customHeight="1">
      <c r="A80" s="1003"/>
      <c r="B80" s="990" t="s">
        <v>128</v>
      </c>
      <c r="C80" s="991"/>
      <c r="D80" s="992"/>
      <c r="E80" s="993"/>
      <c r="F80" s="993"/>
      <c r="G80" s="993"/>
      <c r="H80" s="993"/>
      <c r="I80" s="993"/>
      <c r="J80" s="993"/>
      <c r="K80" s="993"/>
      <c r="L80" s="993"/>
      <c r="M80" s="993"/>
      <c r="N80" s="993"/>
      <c r="O80" s="993"/>
      <c r="P80" s="994"/>
      <c r="Q80" s="995"/>
      <c r="R80" s="992"/>
      <c r="S80" s="836"/>
      <c r="T80" s="836"/>
      <c r="U80" s="836"/>
      <c r="V80" s="836"/>
      <c r="W80" s="996"/>
      <c r="X80" s="996"/>
      <c r="Y80" s="996"/>
      <c r="Z80" s="996"/>
      <c r="AA80" s="996"/>
      <c r="AB80" s="996"/>
      <c r="AC80" s="996"/>
      <c r="AD80" s="997"/>
      <c r="AE80" s="998"/>
      <c r="AF80" s="999"/>
      <c r="AG80" s="836"/>
      <c r="AH80" s="836"/>
      <c r="AI80" s="836"/>
      <c r="AJ80" s="836"/>
      <c r="AK80" s="836"/>
      <c r="AL80" s="836"/>
      <c r="AM80" s="836"/>
      <c r="AN80" s="836"/>
      <c r="AO80" s="836"/>
      <c r="AP80" s="836"/>
      <c r="AQ80" s="836"/>
      <c r="AR80" s="836"/>
      <c r="AS80" s="998"/>
      <c r="AT80" s="836"/>
      <c r="AU80" s="836"/>
      <c r="AV80" s="836"/>
      <c r="AW80" s="836"/>
      <c r="AX80" s="836"/>
      <c r="AY80" s="836"/>
      <c r="AZ80" s="836"/>
      <c r="BA80" s="836"/>
      <c r="BB80" s="836"/>
      <c r="BC80" s="836"/>
      <c r="BD80" s="836"/>
      <c r="BE80" s="836"/>
      <c r="BF80" s="836"/>
      <c r="BG80" s="998"/>
      <c r="BH80" s="836"/>
      <c r="BI80" s="836"/>
      <c r="BJ80" s="836"/>
      <c r="BK80" s="836"/>
      <c r="BL80" s="836"/>
      <c r="BM80" s="836"/>
      <c r="BN80" s="836"/>
      <c r="BO80" s="836"/>
      <c r="BP80" s="836"/>
      <c r="BQ80" s="836"/>
      <c r="BR80" s="836"/>
      <c r="BS80" s="836"/>
      <c r="BT80" s="836"/>
      <c r="BU80" s="1000"/>
      <c r="BV80" s="836"/>
      <c r="BW80" s="836"/>
      <c r="BX80" s="836"/>
      <c r="BY80" s="836"/>
      <c r="BZ80" s="836"/>
      <c r="CA80" s="836"/>
      <c r="CB80" s="836"/>
      <c r="CC80" s="836"/>
      <c r="CD80" s="836"/>
      <c r="CE80" s="836"/>
      <c r="CF80" s="836"/>
      <c r="CG80" s="836"/>
      <c r="CH80" s="836"/>
      <c r="CI80" s="1001"/>
      <c r="CJ80" s="836"/>
      <c r="CK80" s="836"/>
      <c r="CL80" s="836"/>
      <c r="CM80" s="836"/>
      <c r="CN80" s="836"/>
      <c r="CO80" s="836"/>
      <c r="CP80" s="836"/>
      <c r="CQ80" s="836"/>
      <c r="CR80" s="836"/>
      <c r="CS80" s="836"/>
      <c r="CT80" s="836">
        <f>SUM(CT81:CT83)</f>
        <v>210269</v>
      </c>
      <c r="CU80" s="836">
        <f>SUM(CU81:CU83)</f>
        <v>172780</v>
      </c>
      <c r="CV80" s="836"/>
      <c r="CW80" s="1002">
        <f>SUM(CX80:DC80)</f>
        <v>840981.7</v>
      </c>
      <c r="CX80" s="836">
        <f>SUM(CX81:CX83)</f>
        <v>194767.09999999998</v>
      </c>
      <c r="CY80" s="836">
        <f t="shared" ref="CY80:DE80" si="141">SUM(CY81:CY83)</f>
        <v>161944.6</v>
      </c>
      <c r="CZ80" s="836">
        <f>SUM(CZ81:CZ83)</f>
        <v>53400</v>
      </c>
      <c r="DA80" s="836">
        <f>SUM(DA81:DA83)</f>
        <v>85000</v>
      </c>
      <c r="DB80" s="836">
        <f t="shared" si="141"/>
        <v>182280</v>
      </c>
      <c r="DC80" s="836">
        <f>SUM(DC81:DC83)</f>
        <v>163590</v>
      </c>
      <c r="DD80" s="836">
        <f t="shared" si="141"/>
        <v>216384</v>
      </c>
      <c r="DE80" s="836">
        <f t="shared" si="141"/>
        <v>214130</v>
      </c>
      <c r="DF80" s="836">
        <f>SUM(DF81:DF83)</f>
        <v>220892</v>
      </c>
      <c r="DG80" s="836">
        <f t="shared" ref="DG80:DI80" si="142">SUM(DG81:DG83)</f>
        <v>220892</v>
      </c>
      <c r="DH80" s="836">
        <f t="shared" si="142"/>
        <v>201684</v>
      </c>
      <c r="DI80" s="836">
        <f t="shared" si="142"/>
        <v>153664</v>
      </c>
      <c r="DJ80" s="999">
        <f>SUM(DA80:DI80)</f>
        <v>1658516</v>
      </c>
      <c r="DK80" s="949"/>
      <c r="DL80" s="831">
        <f>SUM(DL81:DL83)</f>
        <v>204820</v>
      </c>
      <c r="DM80" s="831">
        <f t="shared" ref="DM80:DQ80" si="143">SUM(DM81:DM83)</f>
        <v>176890</v>
      </c>
      <c r="DN80" s="831">
        <f>SUM(DN81:DN83)</f>
        <v>215600</v>
      </c>
      <c r="DO80" s="831">
        <f>SUM(DO81:DO83)</f>
        <v>215600</v>
      </c>
      <c r="DP80" s="831">
        <f t="shared" ref="DP80:DW80" si="144">SUM(DP81:DP83)</f>
        <v>192080</v>
      </c>
      <c r="DQ80" s="831">
        <f t="shared" si="144"/>
        <v>195510</v>
      </c>
      <c r="DR80" s="831">
        <f t="shared" si="144"/>
        <v>220892</v>
      </c>
      <c r="DS80" s="831">
        <f t="shared" si="144"/>
        <v>195510</v>
      </c>
      <c r="DT80" s="831">
        <f t="shared" si="144"/>
        <v>220892</v>
      </c>
      <c r="DU80" s="831">
        <f t="shared" si="144"/>
        <v>220892</v>
      </c>
      <c r="DV80" s="831">
        <f t="shared" si="144"/>
        <v>201684</v>
      </c>
      <c r="DW80" s="831">
        <f t="shared" si="144"/>
        <v>153664</v>
      </c>
      <c r="DX80" s="999">
        <f>SUM(DL80:DW80)</f>
        <v>2414034</v>
      </c>
    </row>
    <row r="81" spans="1:129" ht="15.75" hidden="1" customHeight="1" outlineLevel="1">
      <c r="A81" s="719">
        <v>7</v>
      </c>
      <c r="B81" s="936" t="s">
        <v>129</v>
      </c>
      <c r="C81" s="781"/>
      <c r="D81" s="793">
        <v>98048</v>
      </c>
      <c r="E81" s="794">
        <v>128688</v>
      </c>
      <c r="F81" s="794">
        <v>124704</v>
      </c>
      <c r="G81" s="794">
        <v>157500</v>
      </c>
      <c r="H81" s="794">
        <v>182600</v>
      </c>
      <c r="I81" s="794">
        <v>157700</v>
      </c>
      <c r="J81" s="794">
        <v>181700</v>
      </c>
      <c r="K81" s="794">
        <v>165900</v>
      </c>
      <c r="L81" s="794">
        <v>174300</v>
      </c>
      <c r="M81" s="794">
        <v>215800</v>
      </c>
      <c r="N81" s="794">
        <v>180000</v>
      </c>
      <c r="O81" s="794">
        <v>112500</v>
      </c>
      <c r="P81" s="795">
        <f t="shared" ref="P81:P84" si="145">SUM(D81:O81)</f>
        <v>1879440</v>
      </c>
      <c r="Q81" s="796"/>
      <c r="R81" s="793">
        <v>158400</v>
      </c>
      <c r="S81" s="797">
        <v>161000</v>
      </c>
      <c r="T81" s="797">
        <v>117800</v>
      </c>
      <c r="U81" s="797">
        <v>2000</v>
      </c>
      <c r="V81" s="797">
        <v>53800</v>
      </c>
      <c r="W81" s="797">
        <v>190600</v>
      </c>
      <c r="X81" s="797">
        <v>187900</v>
      </c>
      <c r="Y81" s="797">
        <v>196800</v>
      </c>
      <c r="Z81" s="797">
        <v>192300</v>
      </c>
      <c r="AA81" s="797">
        <v>182300</v>
      </c>
      <c r="AB81" s="797">
        <v>175000</v>
      </c>
      <c r="AC81" s="797">
        <v>134100</v>
      </c>
      <c r="AD81" s="798">
        <f>SUM(R81:AC81)</f>
        <v>1752000</v>
      </c>
      <c r="AE81" s="799"/>
      <c r="AF81" s="800">
        <f t="shared" ref="AF81:AL81" si="146">SUM(AF84,AF86)</f>
        <v>161400</v>
      </c>
      <c r="AG81" s="800">
        <f t="shared" si="146"/>
        <v>166000</v>
      </c>
      <c r="AH81" s="800">
        <f t="shared" si="146"/>
        <v>150471</v>
      </c>
      <c r="AI81" s="800">
        <f t="shared" si="146"/>
        <v>149040</v>
      </c>
      <c r="AJ81" s="800">
        <f t="shared" si="146"/>
        <v>196360</v>
      </c>
      <c r="AK81" s="800">
        <f t="shared" si="146"/>
        <v>163300</v>
      </c>
      <c r="AL81" s="800">
        <f t="shared" si="146"/>
        <v>190000</v>
      </c>
      <c r="AM81" s="800">
        <f t="shared" ref="AM81:AQ81" si="147">SUM(AM84,AM86,AM87)</f>
        <v>167000</v>
      </c>
      <c r="AN81" s="800">
        <f t="shared" si="147"/>
        <v>170500</v>
      </c>
      <c r="AO81" s="800">
        <f t="shared" si="147"/>
        <v>140000</v>
      </c>
      <c r="AP81" s="800">
        <f t="shared" si="147"/>
        <v>130000</v>
      </c>
      <c r="AQ81" s="800">
        <f t="shared" si="147"/>
        <v>100000</v>
      </c>
      <c r="AR81" s="786">
        <f t="shared" ref="AR81:AR84" si="148">SUM(AF81:AQ81)</f>
        <v>1884071</v>
      </c>
      <c r="AS81" s="799"/>
      <c r="AT81" s="800">
        <f t="shared" ref="AT81:BC81" si="149">SUM(AT84,AT86,AT87)</f>
        <v>133000</v>
      </c>
      <c r="AU81" s="800">
        <f t="shared" si="149"/>
        <v>125180</v>
      </c>
      <c r="AV81" s="800">
        <f t="shared" si="149"/>
        <v>117228</v>
      </c>
      <c r="AW81" s="800">
        <f t="shared" si="149"/>
        <v>127500</v>
      </c>
      <c r="AX81" s="800">
        <f t="shared" si="149"/>
        <v>140000</v>
      </c>
      <c r="AY81" s="800">
        <f t="shared" si="149"/>
        <v>158342.99999899999</v>
      </c>
      <c r="AZ81" s="800">
        <f t="shared" si="149"/>
        <v>152409</v>
      </c>
      <c r="BA81" s="800">
        <f t="shared" si="149"/>
        <v>173520</v>
      </c>
      <c r="BB81" s="800">
        <f t="shared" si="149"/>
        <v>165000</v>
      </c>
      <c r="BC81" s="800">
        <f t="shared" si="149"/>
        <v>157500</v>
      </c>
      <c r="BD81" s="800">
        <v>129431</v>
      </c>
      <c r="BE81" s="800">
        <v>61700</v>
      </c>
      <c r="BF81" s="797">
        <f t="shared" ref="BF81:BF84" si="150">SUM(AT81:BE81)</f>
        <v>1640810.999999</v>
      </c>
      <c r="BG81" s="799">
        <f>BF81-AR81</f>
        <v>-243260.00000100001</v>
      </c>
      <c r="BH81" s="790">
        <f>SUM(BH84,BH86,BH87)</f>
        <v>139760</v>
      </c>
      <c r="BI81" s="790">
        <f t="shared" ref="BI81:BP81" si="151">SUM(BI84,BI86,BI87)</f>
        <v>116580</v>
      </c>
      <c r="BJ81" s="790">
        <f t="shared" si="151"/>
        <v>148340</v>
      </c>
      <c r="BK81" s="790">
        <f t="shared" si="151"/>
        <v>112360</v>
      </c>
      <c r="BL81" s="790">
        <f t="shared" si="151"/>
        <v>108660</v>
      </c>
      <c r="BM81" s="790">
        <f t="shared" si="151"/>
        <v>153416</v>
      </c>
      <c r="BN81" s="790">
        <f t="shared" si="151"/>
        <v>137676</v>
      </c>
      <c r="BO81" s="790">
        <f t="shared" si="151"/>
        <v>160654</v>
      </c>
      <c r="BP81" s="790">
        <f t="shared" si="151"/>
        <v>157000</v>
      </c>
      <c r="BQ81" s="790">
        <v>156725</v>
      </c>
      <c r="BR81" s="790">
        <v>182069</v>
      </c>
      <c r="BS81" s="790">
        <f>BS84+BS87</f>
        <v>156420</v>
      </c>
      <c r="BT81" s="790">
        <f t="shared" ref="BT81:BT84" si="152">SUM(BH81:BS81)</f>
        <v>1729660</v>
      </c>
      <c r="BU81" s="791"/>
      <c r="BV81" s="801">
        <f>BV7*BV85</f>
        <v>133000</v>
      </c>
      <c r="BW81" s="801">
        <f>BW7*BW85</f>
        <v>133000</v>
      </c>
      <c r="BX81" s="801">
        <f>BX7*BX85</f>
        <v>147000</v>
      </c>
      <c r="BY81" s="801">
        <f>BY7*BY85</f>
        <v>172800</v>
      </c>
      <c r="BZ81" s="801">
        <f>BZ7*BZ85</f>
        <v>165600</v>
      </c>
      <c r="CA81" s="801">
        <f>CA7*CA85</f>
        <v>158400</v>
      </c>
      <c r="CB81" s="801">
        <f>CB7*CB85</f>
        <v>180000</v>
      </c>
      <c r="CC81" s="801">
        <f>CC7*CC85</f>
        <v>172800</v>
      </c>
      <c r="CD81" s="801">
        <f>CD7*CD85</f>
        <v>172800</v>
      </c>
      <c r="CE81" s="801">
        <f>CE7*CE85</f>
        <v>172800</v>
      </c>
      <c r="CF81" s="801">
        <f>CF7*CF85</f>
        <v>167200</v>
      </c>
      <c r="CG81" s="801">
        <f>CG7*CG85</f>
        <v>98800</v>
      </c>
      <c r="CH81" s="801">
        <f t="shared" ref="CH81:CH86" si="153">SUM(BV81:CG81)</f>
        <v>1874200</v>
      </c>
      <c r="CI81" s="801"/>
      <c r="CJ81" s="801">
        <f>CJ7*CJ85</f>
        <v>165000</v>
      </c>
      <c r="CK81" s="801">
        <f>CK7*CK85</f>
        <v>188600</v>
      </c>
      <c r="CL81" s="801">
        <f>CL7*CL85</f>
        <v>171000</v>
      </c>
      <c r="CM81" s="801">
        <f>CM7*CM85</f>
        <v>200000</v>
      </c>
      <c r="CN81" s="801">
        <f>CN7*CN85</f>
        <v>178290</v>
      </c>
      <c r="CO81" s="801">
        <f>CO7*CO85</f>
        <v>198000</v>
      </c>
      <c r="CP81" s="801">
        <f>CP7*CP85</f>
        <v>245000</v>
      </c>
      <c r="CQ81" s="801">
        <f>CQ7*CQ85</f>
        <v>207900</v>
      </c>
      <c r="CR81" s="801">
        <f>CR7*CR85</f>
        <v>217800</v>
      </c>
      <c r="CS81" s="801">
        <v>205579</v>
      </c>
      <c r="CT81" s="801">
        <f>(CT7*CT85)-CT83</f>
        <v>164340</v>
      </c>
      <c r="CU81" s="801">
        <f>(CU7*CU85)-CU83</f>
        <v>118660</v>
      </c>
      <c r="CV81" s="790">
        <f>SUM(CJ81:CU81)</f>
        <v>2260169</v>
      </c>
      <c r="CW81" s="758"/>
      <c r="CX81" s="899">
        <f>(CX7*CX85)*0.95-CX83-CX82</f>
        <v>131887.09999999998</v>
      </c>
      <c r="CY81" s="899">
        <f>(CY7*CY85)*0.95-CY83-CY82</f>
        <v>117864.6</v>
      </c>
      <c r="CZ81" s="899">
        <f>(CZ7*CZ85)*1-CZ83-CZ82</f>
        <v>1380</v>
      </c>
      <c r="DA81" s="899">
        <f>(DA7*DA85)*1-DA83-DA82</f>
        <v>45840</v>
      </c>
      <c r="DB81" s="899">
        <f>(DB7*DB85)*0.98-DB83-DB82</f>
        <v>153280</v>
      </c>
      <c r="DC81" s="899">
        <f>(DC7*DC85)*0.95-DC83-DC82</f>
        <v>99590</v>
      </c>
      <c r="DD81" s="899">
        <f>(DD7*DD85)*0.98-DD83-DD82</f>
        <v>156384</v>
      </c>
      <c r="DE81" s="899">
        <f>(DE7*DE85)*0.95-DE83-DE82</f>
        <v>156130</v>
      </c>
      <c r="DF81" s="899">
        <f>(DF7*DF85)*0.98-DF83-DF82</f>
        <v>161892</v>
      </c>
      <c r="DG81" s="899">
        <f>(DG7*DG85)*0.98-DG83-DG82</f>
        <v>186892</v>
      </c>
      <c r="DH81" s="899">
        <f>(DH7*DH85)*0.98-DH83-DH82</f>
        <v>172684</v>
      </c>
      <c r="DI81" s="899">
        <f>(DI7*DI85)*0.98-DI83-DI82</f>
        <v>93664</v>
      </c>
      <c r="DJ81" s="801">
        <f>SUM(CX81:DI81)</f>
        <v>1477487.7</v>
      </c>
      <c r="DK81" s="949"/>
      <c r="DL81" s="899">
        <f>(DL7*DL85)*0.95-DL83-DL82</f>
        <v>141940</v>
      </c>
      <c r="DM81" s="899">
        <f>(DM7*DM85)*0.95-DM83-DM82</f>
        <v>132810</v>
      </c>
      <c r="DN81" s="899">
        <f>(DN7*DN85)*1-DN83-DN82</f>
        <v>163580</v>
      </c>
      <c r="DO81" s="899">
        <f>(DO7*DO85)*1-DO83-DO82</f>
        <v>176440</v>
      </c>
      <c r="DP81" s="899">
        <f>(DP7*DP85)*0.98-DP83-DP82</f>
        <v>163080</v>
      </c>
      <c r="DQ81" s="899">
        <f>(DQ7*DQ85)*0.95-DQ83-DQ82</f>
        <v>131510</v>
      </c>
      <c r="DR81" s="899">
        <f>(DR7*DR85)*0.98-DR83-DR82</f>
        <v>160892</v>
      </c>
      <c r="DS81" s="899">
        <f>(DS7*DS85)*0.95-DS83-DS82</f>
        <v>137510</v>
      </c>
      <c r="DT81" s="899">
        <f>(DT7*DT85)*0.98-DT83-DT82</f>
        <v>161892</v>
      </c>
      <c r="DU81" s="899">
        <f>(DU7*DU85)*0.98-DU83-DU82</f>
        <v>186892</v>
      </c>
      <c r="DV81" s="899">
        <f>(DV7*DV85)*0.98-DV83-DV82</f>
        <v>172684</v>
      </c>
      <c r="DW81" s="899">
        <f>(DW7*DW85)*0.98-DW83-DW82</f>
        <v>93664</v>
      </c>
      <c r="DX81" s="801">
        <f>SUM(DL81:DW81)</f>
        <v>1822894</v>
      </c>
      <c r="DY81" s="598">
        <f>AVERAGE(DL81:DW81)</f>
        <v>151907.83333333334</v>
      </c>
    </row>
    <row r="82" spans="1:129" ht="15.75" hidden="1" customHeight="1" outlineLevel="1">
      <c r="A82" s="719"/>
      <c r="B82" s="936" t="s">
        <v>130</v>
      </c>
      <c r="C82" s="781"/>
      <c r="D82" s="793"/>
      <c r="E82" s="794"/>
      <c r="F82" s="794"/>
      <c r="G82" s="794"/>
      <c r="H82" s="794"/>
      <c r="I82" s="794"/>
      <c r="J82" s="794"/>
      <c r="K82" s="794"/>
      <c r="L82" s="794"/>
      <c r="M82" s="794"/>
      <c r="N82" s="794"/>
      <c r="O82" s="794"/>
      <c r="P82" s="795"/>
      <c r="Q82" s="796"/>
      <c r="R82" s="793"/>
      <c r="S82" s="797"/>
      <c r="T82" s="797"/>
      <c r="U82" s="797"/>
      <c r="V82" s="797"/>
      <c r="W82" s="797"/>
      <c r="X82" s="797"/>
      <c r="Y82" s="797"/>
      <c r="Z82" s="797"/>
      <c r="AA82" s="797"/>
      <c r="AB82" s="797"/>
      <c r="AC82" s="797"/>
      <c r="AD82" s="798"/>
      <c r="AE82" s="799"/>
      <c r="AF82" s="800"/>
      <c r="AG82" s="800"/>
      <c r="AH82" s="800"/>
      <c r="AI82" s="800"/>
      <c r="AJ82" s="800"/>
      <c r="AK82" s="800"/>
      <c r="AL82" s="800"/>
      <c r="AM82" s="800"/>
      <c r="AN82" s="800"/>
      <c r="AO82" s="800"/>
      <c r="AP82" s="800"/>
      <c r="AQ82" s="800"/>
      <c r="AR82" s="786"/>
      <c r="AS82" s="799"/>
      <c r="AT82" s="800"/>
      <c r="AU82" s="800"/>
      <c r="AV82" s="800"/>
      <c r="AW82" s="800"/>
      <c r="AX82" s="800"/>
      <c r="AY82" s="800"/>
      <c r="AZ82" s="800"/>
      <c r="BA82" s="800"/>
      <c r="BB82" s="800"/>
      <c r="BC82" s="800"/>
      <c r="BD82" s="800"/>
      <c r="BE82" s="800"/>
      <c r="BF82" s="797"/>
      <c r="BG82" s="799"/>
      <c r="BH82" s="790"/>
      <c r="BI82" s="790"/>
      <c r="BJ82" s="790"/>
      <c r="BK82" s="790"/>
      <c r="BL82" s="790"/>
      <c r="BM82" s="790"/>
      <c r="BN82" s="790"/>
      <c r="BO82" s="790"/>
      <c r="BP82" s="790"/>
      <c r="BQ82" s="790"/>
      <c r="BR82" s="790"/>
      <c r="BS82" s="790"/>
      <c r="BT82" s="790"/>
      <c r="BU82" s="791"/>
      <c r="BV82" s="801"/>
      <c r="BW82" s="801"/>
      <c r="BX82" s="801"/>
      <c r="BY82" s="801"/>
      <c r="BZ82" s="801"/>
      <c r="CA82" s="801"/>
      <c r="CB82" s="801"/>
      <c r="CC82" s="801"/>
      <c r="CD82" s="801"/>
      <c r="CE82" s="801"/>
      <c r="CF82" s="801"/>
      <c r="CG82" s="801"/>
      <c r="CH82" s="801"/>
      <c r="CI82" s="802"/>
      <c r="CJ82" s="801"/>
      <c r="CK82" s="801"/>
      <c r="CL82" s="801"/>
      <c r="CM82" s="801"/>
      <c r="CN82" s="801"/>
      <c r="CO82" s="801"/>
      <c r="CP82" s="801"/>
      <c r="CQ82" s="801"/>
      <c r="CR82" s="801"/>
      <c r="CS82" s="801"/>
      <c r="CT82" s="801">
        <v>25469</v>
      </c>
      <c r="CU82" s="801">
        <v>14680</v>
      </c>
      <c r="CV82" s="790"/>
      <c r="CW82" s="758"/>
      <c r="CX82" s="900">
        <v>9000</v>
      </c>
      <c r="CY82" s="900">
        <v>14000</v>
      </c>
      <c r="CZ82" s="900">
        <v>18000</v>
      </c>
      <c r="DA82" s="900">
        <v>18000</v>
      </c>
      <c r="DB82" s="900">
        <v>19000</v>
      </c>
      <c r="DC82" s="900">
        <v>14000</v>
      </c>
      <c r="DD82" s="900">
        <v>20000</v>
      </c>
      <c r="DE82" s="900">
        <v>18000</v>
      </c>
      <c r="DF82" s="900">
        <v>24000</v>
      </c>
      <c r="DG82" s="900">
        <v>14000</v>
      </c>
      <c r="DH82" s="900">
        <v>19000</v>
      </c>
      <c r="DI82" s="900">
        <v>10000</v>
      </c>
      <c r="DJ82" s="801">
        <f t="shared" ref="DJ82:DJ83" si="154">SUM(CX82:DI82)</f>
        <v>197000</v>
      </c>
      <c r="DK82" s="949"/>
      <c r="DL82" s="900">
        <v>9000</v>
      </c>
      <c r="DM82" s="900">
        <v>14000</v>
      </c>
      <c r="DN82" s="900">
        <v>18000</v>
      </c>
      <c r="DO82" s="900">
        <v>18000</v>
      </c>
      <c r="DP82" s="900">
        <v>19000</v>
      </c>
      <c r="DQ82" s="900">
        <v>14000</v>
      </c>
      <c r="DR82" s="900">
        <v>20000</v>
      </c>
      <c r="DS82" s="900">
        <v>18000</v>
      </c>
      <c r="DT82" s="900">
        <v>24000</v>
      </c>
      <c r="DU82" s="900">
        <v>14000</v>
      </c>
      <c r="DV82" s="900">
        <v>19000</v>
      </c>
      <c r="DW82" s="900">
        <v>10000</v>
      </c>
      <c r="DX82" s="801">
        <f t="shared" ref="DX82:DX83" si="155">SUM(DL82:DW82)</f>
        <v>197000</v>
      </c>
      <c r="DY82" s="598">
        <f>AVERAGE(DL82:DW82)</f>
        <v>16416.666666666668</v>
      </c>
    </row>
    <row r="83" spans="1:129" ht="15.75" hidden="1" customHeight="1" outlineLevel="1">
      <c r="A83" s="719"/>
      <c r="B83" s="936" t="s">
        <v>131</v>
      </c>
      <c r="C83" s="781"/>
      <c r="D83" s="793"/>
      <c r="E83" s="794"/>
      <c r="F83" s="794"/>
      <c r="G83" s="794"/>
      <c r="H83" s="794"/>
      <c r="I83" s="794"/>
      <c r="J83" s="794"/>
      <c r="K83" s="794"/>
      <c r="L83" s="794"/>
      <c r="M83" s="794"/>
      <c r="N83" s="794"/>
      <c r="O83" s="794"/>
      <c r="P83" s="795"/>
      <c r="Q83" s="796"/>
      <c r="R83" s="793"/>
      <c r="S83" s="797"/>
      <c r="T83" s="797"/>
      <c r="U83" s="797"/>
      <c r="V83" s="797"/>
      <c r="W83" s="797"/>
      <c r="X83" s="797"/>
      <c r="Y83" s="797"/>
      <c r="Z83" s="797"/>
      <c r="AA83" s="797"/>
      <c r="AB83" s="797"/>
      <c r="AC83" s="797"/>
      <c r="AD83" s="798"/>
      <c r="AE83" s="799"/>
      <c r="AF83" s="800"/>
      <c r="AG83" s="800"/>
      <c r="AH83" s="800"/>
      <c r="AI83" s="800"/>
      <c r="AJ83" s="800"/>
      <c r="AK83" s="800"/>
      <c r="AL83" s="800"/>
      <c r="AM83" s="800"/>
      <c r="AN83" s="800"/>
      <c r="AO83" s="800"/>
      <c r="AP83" s="800"/>
      <c r="AQ83" s="800"/>
      <c r="AR83" s="786"/>
      <c r="AS83" s="799"/>
      <c r="AT83" s="800"/>
      <c r="AU83" s="800"/>
      <c r="AV83" s="800"/>
      <c r="AW83" s="800"/>
      <c r="AX83" s="800"/>
      <c r="AY83" s="800"/>
      <c r="AZ83" s="800"/>
      <c r="BA83" s="800"/>
      <c r="BB83" s="800"/>
      <c r="BC83" s="800"/>
      <c r="BD83" s="800"/>
      <c r="BE83" s="800"/>
      <c r="BF83" s="797"/>
      <c r="BG83" s="799"/>
      <c r="BH83" s="790"/>
      <c r="BI83" s="790"/>
      <c r="BJ83" s="790"/>
      <c r="BK83" s="790"/>
      <c r="BL83" s="790"/>
      <c r="BM83" s="790"/>
      <c r="BN83" s="790"/>
      <c r="BO83" s="790"/>
      <c r="BP83" s="790"/>
      <c r="BQ83" s="790"/>
      <c r="BR83" s="790"/>
      <c r="BS83" s="790"/>
      <c r="BT83" s="790"/>
      <c r="BU83" s="791"/>
      <c r="BV83" s="801"/>
      <c r="BW83" s="801"/>
      <c r="BX83" s="801"/>
      <c r="BY83" s="801"/>
      <c r="BZ83" s="801"/>
      <c r="CA83" s="801"/>
      <c r="CB83" s="801"/>
      <c r="CC83" s="801"/>
      <c r="CD83" s="801"/>
      <c r="CE83" s="801"/>
      <c r="CF83" s="801"/>
      <c r="CG83" s="801"/>
      <c r="CH83" s="801"/>
      <c r="CI83" s="802"/>
      <c r="CJ83" s="801"/>
      <c r="CK83" s="801"/>
      <c r="CL83" s="801"/>
      <c r="CM83" s="801"/>
      <c r="CN83" s="801"/>
      <c r="CO83" s="801"/>
      <c r="CP83" s="801"/>
      <c r="CQ83" s="801"/>
      <c r="CR83" s="801"/>
      <c r="CS83" s="801"/>
      <c r="CT83" s="801">
        <f>CT99</f>
        <v>20460</v>
      </c>
      <c r="CU83" s="801">
        <f>CU99</f>
        <v>39440</v>
      </c>
      <c r="CV83" s="790"/>
      <c r="CW83" s="758"/>
      <c r="CX83" s="900">
        <f>CX99</f>
        <v>53880</v>
      </c>
      <c r="CY83" s="900">
        <f t="shared" ref="CY83:DI83" si="156">CY99</f>
        <v>30080</v>
      </c>
      <c r="CZ83" s="900">
        <f t="shared" si="156"/>
        <v>34020</v>
      </c>
      <c r="DA83" s="900">
        <f t="shared" si="156"/>
        <v>21160</v>
      </c>
      <c r="DB83" s="900">
        <f t="shared" si="156"/>
        <v>10000</v>
      </c>
      <c r="DC83" s="900">
        <f t="shared" si="156"/>
        <v>50000</v>
      </c>
      <c r="DD83" s="900">
        <f t="shared" si="156"/>
        <v>40000</v>
      </c>
      <c r="DE83" s="900">
        <f t="shared" si="156"/>
        <v>40000</v>
      </c>
      <c r="DF83" s="900">
        <f>DF99</f>
        <v>35000</v>
      </c>
      <c r="DG83" s="900">
        <f t="shared" si="156"/>
        <v>20000</v>
      </c>
      <c r="DH83" s="900">
        <f t="shared" si="156"/>
        <v>10000</v>
      </c>
      <c r="DI83" s="900">
        <f t="shared" si="156"/>
        <v>50000</v>
      </c>
      <c r="DJ83" s="801">
        <f t="shared" si="154"/>
        <v>394140</v>
      </c>
      <c r="DK83" s="949"/>
      <c r="DL83" s="900">
        <f>DL99</f>
        <v>53880</v>
      </c>
      <c r="DM83" s="900">
        <f t="shared" ref="DM83:DW83" si="157">DM99</f>
        <v>30080</v>
      </c>
      <c r="DN83" s="900">
        <f t="shared" si="157"/>
        <v>34020</v>
      </c>
      <c r="DO83" s="900">
        <f t="shared" si="157"/>
        <v>21160</v>
      </c>
      <c r="DP83" s="900">
        <f t="shared" si="157"/>
        <v>10000</v>
      </c>
      <c r="DQ83" s="900">
        <f t="shared" si="157"/>
        <v>50000</v>
      </c>
      <c r="DR83" s="900">
        <f t="shared" si="157"/>
        <v>40000</v>
      </c>
      <c r="DS83" s="900">
        <f t="shared" si="157"/>
        <v>40000</v>
      </c>
      <c r="DT83" s="900">
        <f t="shared" si="157"/>
        <v>35000</v>
      </c>
      <c r="DU83" s="900">
        <f t="shared" si="157"/>
        <v>20000</v>
      </c>
      <c r="DV83" s="900">
        <f t="shared" si="157"/>
        <v>10000</v>
      </c>
      <c r="DW83" s="900">
        <f t="shared" si="157"/>
        <v>50000</v>
      </c>
      <c r="DX83" s="801">
        <f t="shared" si="155"/>
        <v>394140</v>
      </c>
    </row>
    <row r="84" spans="1:129" ht="18.75" outlineLevel="1">
      <c r="A84" s="94"/>
      <c r="B84" s="921" t="s">
        <v>91</v>
      </c>
      <c r="C84" s="934"/>
      <c r="D84" s="313">
        <v>98048</v>
      </c>
      <c r="E84" s="89">
        <v>128688</v>
      </c>
      <c r="F84" s="89">
        <v>124704</v>
      </c>
      <c r="G84" s="89">
        <v>157500</v>
      </c>
      <c r="H84" s="89">
        <v>182600</v>
      </c>
      <c r="I84" s="89">
        <v>157700</v>
      </c>
      <c r="J84" s="89">
        <v>181700</v>
      </c>
      <c r="K84" s="89">
        <v>165900</v>
      </c>
      <c r="L84" s="89">
        <v>174300</v>
      </c>
      <c r="M84" s="89">
        <v>215800</v>
      </c>
      <c r="N84" s="89">
        <v>180000</v>
      </c>
      <c r="O84" s="89">
        <v>112500</v>
      </c>
      <c r="P84" s="314">
        <f t="shared" si="145"/>
        <v>1879440</v>
      </c>
      <c r="Q84" s="90"/>
      <c r="R84" s="313">
        <v>158400</v>
      </c>
      <c r="S84" s="91">
        <v>146000</v>
      </c>
      <c r="T84" s="91">
        <v>102200</v>
      </c>
      <c r="U84" s="91">
        <v>0</v>
      </c>
      <c r="V84" s="91">
        <v>43800</v>
      </c>
      <c r="W84" s="91">
        <v>160600</v>
      </c>
      <c r="X84" s="91">
        <v>167900</v>
      </c>
      <c r="Y84" s="91">
        <v>153300</v>
      </c>
      <c r="Z84" s="91">
        <v>153300</v>
      </c>
      <c r="AA84" s="91">
        <v>153300</v>
      </c>
      <c r="AB84" s="91">
        <v>146000</v>
      </c>
      <c r="AC84" s="91">
        <v>124100</v>
      </c>
      <c r="AD84" s="315"/>
      <c r="AE84" s="23"/>
      <c r="AF84" s="316">
        <v>131400</v>
      </c>
      <c r="AG84" s="91">
        <v>146000</v>
      </c>
      <c r="AH84" s="91">
        <v>125511</v>
      </c>
      <c r="AI84" s="91">
        <v>135000</v>
      </c>
      <c r="AJ84" s="91">
        <v>177320</v>
      </c>
      <c r="AK84" s="91">
        <v>151300</v>
      </c>
      <c r="AL84" s="91">
        <v>176000</v>
      </c>
      <c r="AM84" s="91">
        <f>AM85*AM7</f>
        <v>154000</v>
      </c>
      <c r="AN84" s="91">
        <f>AN85*AN7</f>
        <v>157500</v>
      </c>
      <c r="AO84" s="91">
        <f>AO85*AO7</f>
        <v>140000</v>
      </c>
      <c r="AP84" s="91">
        <f>AP85*AP7</f>
        <v>130000</v>
      </c>
      <c r="AQ84" s="91">
        <f>AQ85*AQ7+16000</f>
        <v>100000</v>
      </c>
      <c r="AR84" s="92">
        <f t="shared" si="148"/>
        <v>1724031</v>
      </c>
      <c r="AS84" s="23"/>
      <c r="AT84" s="91">
        <f>AT85*AT7</f>
        <v>133000</v>
      </c>
      <c r="AU84" s="91">
        <f>125180</f>
        <v>125180</v>
      </c>
      <c r="AV84" s="91">
        <f>AV85*AV7+7428</f>
        <v>117228</v>
      </c>
      <c r="AW84" s="91">
        <f>AW85*AW7</f>
        <v>123500</v>
      </c>
      <c r="AX84" s="91">
        <f>AX85*AX7</f>
        <v>132000</v>
      </c>
      <c r="AY84" s="91">
        <f>AY85*AY7</f>
        <v>153342.99999899999</v>
      </c>
      <c r="AZ84" s="91">
        <v>142409</v>
      </c>
      <c r="BA84" s="91">
        <v>163520</v>
      </c>
      <c r="BB84" s="91">
        <f>BB85*BB7</f>
        <v>165000</v>
      </c>
      <c r="BC84" s="91">
        <f>BC85*BC7</f>
        <v>157500</v>
      </c>
      <c r="BD84" s="316">
        <v>129431</v>
      </c>
      <c r="BE84" s="316">
        <v>61700</v>
      </c>
      <c r="BF84" s="91">
        <f t="shared" si="150"/>
        <v>1603810.999999</v>
      </c>
      <c r="BG84" s="27">
        <f>BF84+BF87-AR84-AR87</f>
        <v>-113040.00000100001</v>
      </c>
      <c r="BH84" s="91">
        <v>136760</v>
      </c>
      <c r="BI84" s="91">
        <v>116580</v>
      </c>
      <c r="BJ84" s="91">
        <v>148340</v>
      </c>
      <c r="BK84" s="91">
        <v>112360</v>
      </c>
      <c r="BL84" s="91">
        <v>108660</v>
      </c>
      <c r="BM84" s="91">
        <v>153416</v>
      </c>
      <c r="BN84" s="91">
        <v>137676</v>
      </c>
      <c r="BO84" s="91">
        <v>150654</v>
      </c>
      <c r="BP84" s="91">
        <f>7100*BP7</f>
        <v>142000</v>
      </c>
      <c r="BQ84" s="91">
        <f t="shared" ref="BQ84:BR84" si="158">BQ81-BQ87</f>
        <v>136725</v>
      </c>
      <c r="BR84" s="91">
        <f t="shared" si="158"/>
        <v>167069</v>
      </c>
      <c r="BS84" s="91">
        <v>124020</v>
      </c>
      <c r="BT84" s="91">
        <f t="shared" si="152"/>
        <v>1634260</v>
      </c>
      <c r="BU84" s="28"/>
      <c r="BV84" s="397">
        <f>BV85*BV86-24551</f>
        <v>108449</v>
      </c>
      <c r="BW84" s="397">
        <f>BW85*BW86</f>
        <v>133000</v>
      </c>
      <c r="BX84" s="397">
        <f t="shared" ref="BX84:CG84" si="159">BX85*BX86</f>
        <v>147000</v>
      </c>
      <c r="BY84" s="397">
        <f>BY85*BY86</f>
        <v>172800</v>
      </c>
      <c r="BZ84" s="397">
        <f>BZ85*BZ86</f>
        <v>165600</v>
      </c>
      <c r="CA84" s="397">
        <f>CA85*CA86</f>
        <v>158400</v>
      </c>
      <c r="CB84" s="397">
        <f>CB85*CB86</f>
        <v>180000</v>
      </c>
      <c r="CC84" s="397">
        <f t="shared" si="159"/>
        <v>172800</v>
      </c>
      <c r="CD84" s="397">
        <f t="shared" si="159"/>
        <v>172800</v>
      </c>
      <c r="CE84" s="397">
        <f t="shared" si="159"/>
        <v>172800</v>
      </c>
      <c r="CF84" s="397">
        <f t="shared" si="159"/>
        <v>167200</v>
      </c>
      <c r="CG84" s="397">
        <f t="shared" si="159"/>
        <v>98800</v>
      </c>
      <c r="CH84" s="91">
        <f t="shared" si="153"/>
        <v>1849649</v>
      </c>
      <c r="CI84" s="395">
        <f>(CH84-BT90)/BT90</f>
        <v>0.29391868731173409</v>
      </c>
      <c r="CJ84" s="397">
        <f>CJ81</f>
        <v>165000</v>
      </c>
      <c r="CK84" s="397">
        <f t="shared" ref="CK84:CO84" si="160">CK81</f>
        <v>188600</v>
      </c>
      <c r="CL84" s="397">
        <f t="shared" si="160"/>
        <v>171000</v>
      </c>
      <c r="CM84" s="397">
        <f t="shared" si="160"/>
        <v>200000</v>
      </c>
      <c r="CN84" s="397">
        <f t="shared" si="160"/>
        <v>178290</v>
      </c>
      <c r="CO84" s="397">
        <f t="shared" si="160"/>
        <v>198000</v>
      </c>
      <c r="CP84" s="397">
        <v>168760</v>
      </c>
      <c r="CQ84" s="397">
        <v>194340</v>
      </c>
      <c r="CR84" s="397">
        <v>208000</v>
      </c>
      <c r="CS84" s="397">
        <v>201780</v>
      </c>
      <c r="CT84" s="397">
        <v>154060</v>
      </c>
      <c r="CU84" s="397">
        <v>96720</v>
      </c>
      <c r="CV84" s="91">
        <v>1949109</v>
      </c>
      <c r="CW84" s="758"/>
      <c r="CX84" s="397">
        <f>CX81</f>
        <v>131887.09999999998</v>
      </c>
      <c r="CY84" s="397">
        <f t="shared" ref="CY84:DC84" si="161">CY81</f>
        <v>117864.6</v>
      </c>
      <c r="CZ84" s="397">
        <f t="shared" si="161"/>
        <v>1380</v>
      </c>
      <c r="DA84" s="397">
        <f t="shared" si="161"/>
        <v>45840</v>
      </c>
      <c r="DB84" s="397">
        <f t="shared" si="161"/>
        <v>153280</v>
      </c>
      <c r="DC84" s="397">
        <f t="shared" si="161"/>
        <v>99590</v>
      </c>
      <c r="DD84" s="397">
        <v>168760</v>
      </c>
      <c r="DE84" s="397">
        <v>194340</v>
      </c>
      <c r="DF84" s="397">
        <v>208000</v>
      </c>
      <c r="DG84" s="397">
        <v>201780</v>
      </c>
      <c r="DH84" s="397">
        <v>154060</v>
      </c>
      <c r="DI84" s="397">
        <v>96720</v>
      </c>
      <c r="DJ84" s="91">
        <v>1949109</v>
      </c>
      <c r="DK84" s="949"/>
      <c r="DL84" s="397">
        <f>DL81</f>
        <v>141940</v>
      </c>
      <c r="DM84" s="397">
        <f t="shared" ref="DM84:DQ84" si="162">DM81</f>
        <v>132810</v>
      </c>
      <c r="DN84" s="397">
        <f t="shared" si="162"/>
        <v>163580</v>
      </c>
      <c r="DO84" s="397">
        <f t="shared" si="162"/>
        <v>176440</v>
      </c>
      <c r="DP84" s="397">
        <f t="shared" si="162"/>
        <v>163080</v>
      </c>
      <c r="DQ84" s="397">
        <f t="shared" si="162"/>
        <v>131510</v>
      </c>
      <c r="DR84" s="397">
        <v>168760</v>
      </c>
      <c r="DS84" s="397">
        <v>194340</v>
      </c>
      <c r="DT84" s="397">
        <v>208000</v>
      </c>
      <c r="DU84" s="397">
        <v>201780</v>
      </c>
      <c r="DV84" s="397">
        <v>154060</v>
      </c>
      <c r="DW84" s="397">
        <v>96720</v>
      </c>
      <c r="DX84" s="91">
        <v>1949109</v>
      </c>
    </row>
    <row r="85" spans="1:129" ht="15.75" customHeight="1" outlineLevel="1">
      <c r="A85" s="821"/>
      <c r="B85" s="937" t="s">
        <v>92</v>
      </c>
      <c r="C85" s="902"/>
      <c r="D85" s="804"/>
      <c r="E85" s="805"/>
      <c r="F85" s="805"/>
      <c r="G85" s="805"/>
      <c r="H85" s="805"/>
      <c r="I85" s="805"/>
      <c r="J85" s="805"/>
      <c r="K85" s="805"/>
      <c r="L85" s="805"/>
      <c r="M85" s="805"/>
      <c r="N85" s="805"/>
      <c r="O85" s="805"/>
      <c r="P85" s="806"/>
      <c r="Q85" s="807"/>
      <c r="R85" s="808">
        <f>R84/R7</f>
        <v>7200</v>
      </c>
      <c r="S85" s="808">
        <f>S84/S7</f>
        <v>7300</v>
      </c>
      <c r="T85" s="808">
        <f>T84/T7</f>
        <v>7300</v>
      </c>
      <c r="U85" s="808">
        <f>U84/U7</f>
        <v>0</v>
      </c>
      <c r="V85" s="808">
        <f>V84/V7</f>
        <v>3650</v>
      </c>
      <c r="W85" s="808">
        <f>W84/W7</f>
        <v>7300</v>
      </c>
      <c r="X85" s="808">
        <f>X84/X7</f>
        <v>7300</v>
      </c>
      <c r="Y85" s="808">
        <f>Y84/Y7</f>
        <v>7300</v>
      </c>
      <c r="Z85" s="808">
        <f>Z84/Z7</f>
        <v>7300</v>
      </c>
      <c r="AA85" s="808">
        <f>AA84/AA7</f>
        <v>7300</v>
      </c>
      <c r="AB85" s="808">
        <f>AB84/AB7</f>
        <v>7300</v>
      </c>
      <c r="AC85" s="808">
        <f>AC84/AC7</f>
        <v>7300</v>
      </c>
      <c r="AD85" s="809"/>
      <c r="AE85" s="28"/>
      <c r="AF85" s="808">
        <f>AF84/AF7</f>
        <v>7300</v>
      </c>
      <c r="AG85" s="808">
        <f>AG84/AG7</f>
        <v>7300</v>
      </c>
      <c r="AH85" s="808">
        <f>AH84/AH7</f>
        <v>6275.55</v>
      </c>
      <c r="AI85" s="808">
        <f>AI84/AI7</f>
        <v>6750</v>
      </c>
      <c r="AJ85" s="808">
        <f>AJ84/AJ7</f>
        <v>8060</v>
      </c>
      <c r="AK85" s="808">
        <f>AK84/AK7</f>
        <v>7565</v>
      </c>
      <c r="AL85" s="808">
        <f>AL84/AL7</f>
        <v>8000</v>
      </c>
      <c r="AM85" s="596">
        <v>7000</v>
      </c>
      <c r="AN85" s="596">
        <v>7500</v>
      </c>
      <c r="AO85" s="596">
        <v>7000</v>
      </c>
      <c r="AP85" s="596">
        <v>6500</v>
      </c>
      <c r="AQ85" s="596">
        <v>7000</v>
      </c>
      <c r="AR85" s="810">
        <f>AVERAGE(AF85:AQ85)</f>
        <v>7187.5458333333336</v>
      </c>
      <c r="AS85" s="28"/>
      <c r="AT85" s="596">
        <v>7000</v>
      </c>
      <c r="AU85" s="596">
        <f>AU84/AU7</f>
        <v>6588.4210526315792</v>
      </c>
      <c r="AV85" s="596">
        <v>6100</v>
      </c>
      <c r="AW85" s="596">
        <v>6500</v>
      </c>
      <c r="AX85" s="596">
        <v>6000</v>
      </c>
      <c r="AY85" s="596">
        <v>7302.0476189999999</v>
      </c>
      <c r="AZ85" s="596">
        <v>7000</v>
      </c>
      <c r="BA85" s="596">
        <f>BA84/BA7</f>
        <v>7432.727272727273</v>
      </c>
      <c r="BB85" s="596">
        <v>7500</v>
      </c>
      <c r="BC85" s="596">
        <v>7500</v>
      </c>
      <c r="BD85" s="596">
        <f>BD84/BD7</f>
        <v>6471.55</v>
      </c>
      <c r="BE85" s="596">
        <f>BE84/BE7</f>
        <v>6170</v>
      </c>
      <c r="BF85" s="596">
        <f>AVERAGE(AT85:BE85)</f>
        <v>6797.0621620299053</v>
      </c>
      <c r="BG85" s="28"/>
      <c r="BH85" s="596">
        <f>BH84/BH7</f>
        <v>6838</v>
      </c>
      <c r="BI85" s="596">
        <f>BI84/BI7</f>
        <v>6857.6470588235297</v>
      </c>
      <c r="BJ85" s="596">
        <f>BJ84/BJ7</f>
        <v>6449.565217391304</v>
      </c>
      <c r="BK85" s="596">
        <f>BK84/BK7</f>
        <v>6242.2222222222226</v>
      </c>
      <c r="BL85" s="596">
        <f>BL84/BL7</f>
        <v>4939.090909090909</v>
      </c>
      <c r="BM85" s="596">
        <f>BM84/BM7</f>
        <v>6670.260869565217</v>
      </c>
      <c r="BN85" s="596">
        <f>BN84/BN7</f>
        <v>6556</v>
      </c>
      <c r="BO85" s="596">
        <f>BO84/BO7</f>
        <v>7174</v>
      </c>
      <c r="BP85" s="596">
        <f>BP84/BP7</f>
        <v>7100</v>
      </c>
      <c r="BQ85" s="596">
        <f>BQ84/BQ7</f>
        <v>6510.7142857142853</v>
      </c>
      <c r="BR85" s="596">
        <f>BR84/BR7</f>
        <v>8353.4500000000007</v>
      </c>
      <c r="BS85" s="596">
        <f>BS84/BS7</f>
        <v>8858.5714285714294</v>
      </c>
      <c r="BT85" s="596">
        <f>AVERAGE(BH85:BS85)</f>
        <v>6879.1268326149084</v>
      </c>
      <c r="BU85" s="28"/>
      <c r="BV85" s="596">
        <v>7000</v>
      </c>
      <c r="BW85" s="596">
        <v>7000</v>
      </c>
      <c r="BX85" s="596">
        <v>7000</v>
      </c>
      <c r="BY85" s="596">
        <v>7200</v>
      </c>
      <c r="BZ85" s="596">
        <v>7200</v>
      </c>
      <c r="CA85" s="596">
        <v>7200</v>
      </c>
      <c r="CB85" s="596">
        <v>7200</v>
      </c>
      <c r="CC85" s="596">
        <f t="shared" ref="CC85" si="163">CB85</f>
        <v>7200</v>
      </c>
      <c r="CD85" s="596">
        <v>7200</v>
      </c>
      <c r="CE85" s="596">
        <v>7200</v>
      </c>
      <c r="CF85" s="596">
        <v>7600</v>
      </c>
      <c r="CG85" s="596">
        <v>7600</v>
      </c>
      <c r="CH85" s="596"/>
      <c r="CI85" s="596"/>
      <c r="CJ85" s="596">
        <v>7500</v>
      </c>
      <c r="CK85" s="596">
        <v>8200</v>
      </c>
      <c r="CL85" s="596">
        <v>9000</v>
      </c>
      <c r="CM85" s="596">
        <v>10000</v>
      </c>
      <c r="CN85" s="596">
        <v>8490</v>
      </c>
      <c r="CO85" s="596">
        <v>9000</v>
      </c>
      <c r="CP85" s="596">
        <v>9800</v>
      </c>
      <c r="CQ85" s="596">
        <v>9900</v>
      </c>
      <c r="CR85" s="596">
        <f t="shared" ref="CR85" si="164">CQ85</f>
        <v>9900</v>
      </c>
      <c r="CS85" s="596">
        <v>9300</v>
      </c>
      <c r="CT85" s="596">
        <v>8400</v>
      </c>
      <c r="CU85" s="596">
        <v>9300</v>
      </c>
      <c r="CV85" s="596"/>
      <c r="CW85" s="758"/>
      <c r="CX85" s="596">
        <v>9319</v>
      </c>
      <c r="CY85" s="596">
        <v>8972</v>
      </c>
      <c r="CZ85" s="596">
        <v>8900</v>
      </c>
      <c r="DA85" s="596">
        <v>8500</v>
      </c>
      <c r="DB85" s="596">
        <v>9300</v>
      </c>
      <c r="DC85" s="596">
        <v>8200</v>
      </c>
      <c r="DD85" s="596">
        <v>9600</v>
      </c>
      <c r="DE85" s="596">
        <v>9800</v>
      </c>
      <c r="DF85" s="596">
        <f>DE85</f>
        <v>9800</v>
      </c>
      <c r="DG85" s="596">
        <f>DF85</f>
        <v>9800</v>
      </c>
      <c r="DH85" s="596">
        <f t="shared" ref="DH85:DI85" si="165">DG85</f>
        <v>9800</v>
      </c>
      <c r="DI85" s="596">
        <f t="shared" si="165"/>
        <v>9800</v>
      </c>
      <c r="DJ85" s="596"/>
      <c r="DK85" s="948"/>
      <c r="DL85" s="596">
        <f>DI85</f>
        <v>9800</v>
      </c>
      <c r="DM85" s="596">
        <f>DL85</f>
        <v>9800</v>
      </c>
      <c r="DN85" s="596">
        <f t="shared" ref="DN85:DW85" si="166">DM85</f>
        <v>9800</v>
      </c>
      <c r="DO85" s="596">
        <f t="shared" si="166"/>
        <v>9800</v>
      </c>
      <c r="DP85" s="596">
        <f t="shared" si="166"/>
        <v>9800</v>
      </c>
      <c r="DQ85" s="596">
        <f t="shared" si="166"/>
        <v>9800</v>
      </c>
      <c r="DR85" s="596">
        <f t="shared" si="166"/>
        <v>9800</v>
      </c>
      <c r="DS85" s="596">
        <f t="shared" si="166"/>
        <v>9800</v>
      </c>
      <c r="DT85" s="596">
        <f t="shared" si="166"/>
        <v>9800</v>
      </c>
      <c r="DU85" s="596">
        <f t="shared" si="166"/>
        <v>9800</v>
      </c>
      <c r="DV85" s="596">
        <f t="shared" si="166"/>
        <v>9800</v>
      </c>
      <c r="DW85" s="596">
        <f t="shared" si="166"/>
        <v>9800</v>
      </c>
      <c r="DX85" s="596"/>
    </row>
    <row r="86" spans="1:129" ht="15.75" hidden="1" customHeight="1" outlineLevel="1">
      <c r="A86" s="821"/>
      <c r="B86" s="822" t="s">
        <v>93</v>
      </c>
      <c r="C86" s="803"/>
      <c r="D86" s="804"/>
      <c r="E86" s="805"/>
      <c r="F86" s="805"/>
      <c r="G86" s="805"/>
      <c r="H86" s="805"/>
      <c r="I86" s="805"/>
      <c r="J86" s="805"/>
      <c r="K86" s="805"/>
      <c r="L86" s="805"/>
      <c r="M86" s="805"/>
      <c r="N86" s="805"/>
      <c r="O86" s="805"/>
      <c r="P86" s="806"/>
      <c r="Q86" s="807"/>
      <c r="R86" s="804"/>
      <c r="S86" s="596">
        <v>15000</v>
      </c>
      <c r="T86" s="596">
        <v>15600</v>
      </c>
      <c r="U86" s="596">
        <v>2000</v>
      </c>
      <c r="V86" s="596">
        <v>10000</v>
      </c>
      <c r="W86" s="596">
        <v>30000</v>
      </c>
      <c r="X86" s="596">
        <v>20000</v>
      </c>
      <c r="Y86" s="596">
        <v>30000</v>
      </c>
      <c r="Z86" s="596">
        <v>30000</v>
      </c>
      <c r="AA86" s="596">
        <v>20000</v>
      </c>
      <c r="AB86" s="596">
        <v>20000</v>
      </c>
      <c r="AC86" s="596">
        <v>10000</v>
      </c>
      <c r="AD86" s="809"/>
      <c r="AE86" s="28"/>
      <c r="AF86" s="808">
        <v>30000</v>
      </c>
      <c r="AG86" s="596">
        <v>20000</v>
      </c>
      <c r="AH86" s="596">
        <v>24960</v>
      </c>
      <c r="AI86" s="596">
        <v>14040</v>
      </c>
      <c r="AJ86" s="596">
        <v>19040</v>
      </c>
      <c r="AK86" s="596">
        <v>12000</v>
      </c>
      <c r="AL86" s="596">
        <v>14000</v>
      </c>
      <c r="AM86" s="596">
        <v>13000</v>
      </c>
      <c r="AN86" s="596">
        <v>13000</v>
      </c>
      <c r="AO86" s="596">
        <v>0</v>
      </c>
      <c r="AP86" s="596">
        <v>0</v>
      </c>
      <c r="AQ86" s="596">
        <v>0</v>
      </c>
      <c r="AR86" s="810">
        <f t="shared" ref="AR86:AR87" si="167">SUM(AF86:AQ86)</f>
        <v>160040</v>
      </c>
      <c r="AS86" s="28"/>
      <c r="AT86" s="596">
        <v>0</v>
      </c>
      <c r="AU86" s="596">
        <v>0</v>
      </c>
      <c r="AV86" s="596"/>
      <c r="AW86" s="596"/>
      <c r="AX86" s="596"/>
      <c r="AY86" s="596"/>
      <c r="AZ86" s="596"/>
      <c r="BA86" s="596"/>
      <c r="BB86" s="596"/>
      <c r="BC86" s="596"/>
      <c r="BD86" s="596"/>
      <c r="BE86" s="596"/>
      <c r="BF86" s="596">
        <f t="shared" ref="BF86:BF87" si="168">SUM(AT86:BE86)</f>
        <v>0</v>
      </c>
      <c r="BG86" s="28">
        <f>BF86-AR86</f>
        <v>-160040</v>
      </c>
      <c r="BH86" s="596"/>
      <c r="BI86" s="596"/>
      <c r="BJ86" s="596"/>
      <c r="BK86" s="596"/>
      <c r="BL86" s="596"/>
      <c r="BM86" s="596"/>
      <c r="BN86" s="596"/>
      <c r="BO86" s="596"/>
      <c r="BP86" s="596"/>
      <c r="BQ86" s="596"/>
      <c r="BR86" s="596"/>
      <c r="BS86" s="596"/>
      <c r="BT86" s="596">
        <f t="shared" ref="BT86" si="169">SUM(BH86:BS86)</f>
        <v>0</v>
      </c>
      <c r="BU86" s="28"/>
      <c r="BV86" s="811">
        <f t="shared" ref="BV86:BZ86" si="170">BV7</f>
        <v>19</v>
      </c>
      <c r="BW86" s="811">
        <f t="shared" si="170"/>
        <v>19</v>
      </c>
      <c r="BX86" s="811">
        <f t="shared" si="170"/>
        <v>21</v>
      </c>
      <c r="BY86" s="811">
        <f t="shared" si="170"/>
        <v>24</v>
      </c>
      <c r="BZ86" s="811">
        <f t="shared" si="170"/>
        <v>23</v>
      </c>
      <c r="CA86" s="811">
        <f>CA7</f>
        <v>22</v>
      </c>
      <c r="CB86" s="811">
        <f t="shared" ref="CB86:CG86" si="171">CB7</f>
        <v>25</v>
      </c>
      <c r="CC86" s="811">
        <f t="shared" si="171"/>
        <v>24</v>
      </c>
      <c r="CD86" s="811">
        <f t="shared" si="171"/>
        <v>24</v>
      </c>
      <c r="CE86" s="811">
        <f t="shared" si="171"/>
        <v>24</v>
      </c>
      <c r="CF86" s="811">
        <f t="shared" si="171"/>
        <v>22</v>
      </c>
      <c r="CG86" s="811">
        <f t="shared" si="171"/>
        <v>13</v>
      </c>
      <c r="CH86" s="596">
        <f t="shared" ref="CH86" si="172">SUM(BV86:CG86)</f>
        <v>260</v>
      </c>
      <c r="CJ86" s="812">
        <f>CJ7</f>
        <v>22</v>
      </c>
      <c r="CK86" s="812">
        <f t="shared" ref="CK86:CO86" si="173">CK7</f>
        <v>23</v>
      </c>
      <c r="CL86" s="812">
        <f t="shared" si="173"/>
        <v>19</v>
      </c>
      <c r="CM86" s="812">
        <f t="shared" si="173"/>
        <v>20</v>
      </c>
      <c r="CN86" s="812">
        <f t="shared" si="173"/>
        <v>21</v>
      </c>
      <c r="CO86" s="812">
        <f t="shared" si="173"/>
        <v>22</v>
      </c>
      <c r="CP86" s="596"/>
      <c r="CQ86" s="596"/>
      <c r="CR86" s="596"/>
      <c r="CS86" s="596"/>
      <c r="CT86" s="596"/>
      <c r="CU86" s="596"/>
      <c r="CV86" s="596">
        <v>131</v>
      </c>
      <c r="CW86" s="758"/>
      <c r="CX86" s="812">
        <f>CX7</f>
        <v>22</v>
      </c>
      <c r="CY86" s="812">
        <f t="shared" ref="CY86:DC86" si="174">CY7</f>
        <v>19</v>
      </c>
      <c r="CZ86" s="812">
        <f t="shared" si="174"/>
        <v>6</v>
      </c>
      <c r="DA86" s="812">
        <f>21-6</f>
        <v>15</v>
      </c>
      <c r="DB86" s="812">
        <f t="shared" si="174"/>
        <v>20</v>
      </c>
      <c r="DC86" s="812">
        <f>DC7</f>
        <v>21</v>
      </c>
      <c r="DD86" s="812">
        <f t="shared" ref="DD86:DI86" si="175">DD7</f>
        <v>23</v>
      </c>
      <c r="DE86" s="812">
        <f t="shared" si="175"/>
        <v>23</v>
      </c>
      <c r="DF86" s="812">
        <f t="shared" si="175"/>
        <v>23</v>
      </c>
      <c r="DG86" s="812">
        <f t="shared" si="175"/>
        <v>23</v>
      </c>
      <c r="DH86" s="812">
        <f t="shared" si="175"/>
        <v>21</v>
      </c>
      <c r="DI86" s="812">
        <f t="shared" si="175"/>
        <v>16</v>
      </c>
      <c r="DJ86" s="596">
        <v>131</v>
      </c>
      <c r="DK86" s="948"/>
      <c r="DL86" s="812">
        <f>DL7</f>
        <v>22</v>
      </c>
      <c r="DM86" s="812">
        <f t="shared" ref="DM86:DQ86" si="176">DM7</f>
        <v>19</v>
      </c>
      <c r="DN86" s="812">
        <f t="shared" si="176"/>
        <v>22</v>
      </c>
      <c r="DO86" s="812">
        <f t="shared" si="176"/>
        <v>22</v>
      </c>
      <c r="DP86" s="812">
        <f t="shared" si="176"/>
        <v>20</v>
      </c>
      <c r="DQ86" s="812">
        <f>DQ7</f>
        <v>21</v>
      </c>
      <c r="DR86" s="812">
        <f t="shared" ref="DR86:DW86" si="177">DR7</f>
        <v>23</v>
      </c>
      <c r="DS86" s="812">
        <f t="shared" si="177"/>
        <v>21</v>
      </c>
      <c r="DT86" s="812">
        <f t="shared" si="177"/>
        <v>23</v>
      </c>
      <c r="DU86" s="812">
        <f t="shared" si="177"/>
        <v>23</v>
      </c>
      <c r="DV86" s="812">
        <f t="shared" si="177"/>
        <v>21</v>
      </c>
      <c r="DW86" s="812">
        <f t="shared" si="177"/>
        <v>16</v>
      </c>
      <c r="DX86" s="596">
        <v>131</v>
      </c>
    </row>
    <row r="87" spans="1:129" ht="15.75" customHeight="1" outlineLevel="1">
      <c r="A87" s="821"/>
      <c r="B87" s="970" t="s">
        <v>132</v>
      </c>
      <c r="C87" s="955"/>
      <c r="D87" s="971"/>
      <c r="E87" s="972"/>
      <c r="F87" s="972"/>
      <c r="G87" s="972"/>
      <c r="H87" s="972"/>
      <c r="I87" s="972"/>
      <c r="J87" s="972"/>
      <c r="K87" s="972"/>
      <c r="L87" s="972"/>
      <c r="M87" s="972"/>
      <c r="N87" s="972"/>
      <c r="O87" s="972"/>
      <c r="P87" s="973"/>
      <c r="Q87" s="974"/>
      <c r="R87" s="971"/>
      <c r="S87" s="975"/>
      <c r="T87" s="975">
        <v>0</v>
      </c>
      <c r="U87" s="975">
        <v>0</v>
      </c>
      <c r="V87" s="975">
        <v>0</v>
      </c>
      <c r="W87" s="975">
        <v>0</v>
      </c>
      <c r="X87" s="975">
        <v>0</v>
      </c>
      <c r="Y87" s="975">
        <v>13500</v>
      </c>
      <c r="Z87" s="975">
        <v>9000</v>
      </c>
      <c r="AA87" s="975">
        <v>9000</v>
      </c>
      <c r="AB87" s="975">
        <v>9000</v>
      </c>
      <c r="AC87" s="975">
        <v>0</v>
      </c>
      <c r="AD87" s="976"/>
      <c r="AE87" s="977"/>
      <c r="AF87" s="975">
        <v>13500</v>
      </c>
      <c r="AG87" s="975">
        <v>13500</v>
      </c>
      <c r="AH87" s="975">
        <v>2820</v>
      </c>
      <c r="AI87" s="975">
        <v>0</v>
      </c>
      <c r="AJ87" s="975">
        <v>0</v>
      </c>
      <c r="AK87" s="975">
        <v>0</v>
      </c>
      <c r="AL87" s="975">
        <v>0</v>
      </c>
      <c r="AM87" s="975"/>
      <c r="AN87" s="975"/>
      <c r="AO87" s="975"/>
      <c r="AP87" s="975"/>
      <c r="AQ87" s="975"/>
      <c r="AR87" s="957">
        <f t="shared" si="167"/>
        <v>29820</v>
      </c>
      <c r="AS87" s="977"/>
      <c r="AT87" s="975"/>
      <c r="AU87" s="975"/>
      <c r="AV87" s="975"/>
      <c r="AW87" s="975">
        <v>4000</v>
      </c>
      <c r="AX87" s="975">
        <v>8000</v>
      </c>
      <c r="AY87" s="975">
        <v>5000</v>
      </c>
      <c r="AZ87" s="975">
        <v>10000</v>
      </c>
      <c r="BA87" s="975">
        <v>10000</v>
      </c>
      <c r="BB87" s="975">
        <v>0</v>
      </c>
      <c r="BC87" s="975">
        <v>0</v>
      </c>
      <c r="BD87" s="975">
        <v>0</v>
      </c>
      <c r="BE87" s="975"/>
      <c r="BF87" s="975">
        <f t="shared" si="168"/>
        <v>37000</v>
      </c>
      <c r="BG87" s="977"/>
      <c r="BH87" s="975">
        <v>3000</v>
      </c>
      <c r="BI87" s="975"/>
      <c r="BJ87" s="975"/>
      <c r="BK87" s="975"/>
      <c r="BL87" s="975"/>
      <c r="BM87" s="975"/>
      <c r="BN87" s="975"/>
      <c r="BO87" s="975">
        <v>10000</v>
      </c>
      <c r="BP87" s="975">
        <v>15000</v>
      </c>
      <c r="BQ87" s="975">
        <v>20000</v>
      </c>
      <c r="BR87" s="975">
        <v>15000</v>
      </c>
      <c r="BS87" s="975">
        <f>7200*9/2</f>
        <v>32400</v>
      </c>
      <c r="BT87" s="975">
        <f>SUM(BH87:BS87)</f>
        <v>95400</v>
      </c>
      <c r="BU87" s="977"/>
      <c r="BV87" s="975">
        <f>BV90-BV81</f>
        <v>21584</v>
      </c>
      <c r="BW87" s="975">
        <f t="shared" ref="BW87:CG87" si="178">BW90-BW81</f>
        <v>18963</v>
      </c>
      <c r="BX87" s="975">
        <f t="shared" si="178"/>
        <v>-2354</v>
      </c>
      <c r="BY87" s="975">
        <f t="shared" si="178"/>
        <v>5998</v>
      </c>
      <c r="BZ87" s="975">
        <f t="shared" si="178"/>
        <v>-13737</v>
      </c>
      <c r="CA87" s="975">
        <f t="shared" si="178"/>
        <v>-6090</v>
      </c>
      <c r="CB87" s="975">
        <f t="shared" si="178"/>
        <v>-2176</v>
      </c>
      <c r="CC87" s="975">
        <f t="shared" si="178"/>
        <v>-17344</v>
      </c>
      <c r="CD87" s="975">
        <f t="shared" si="178"/>
        <v>-13369</v>
      </c>
      <c r="CE87" s="975">
        <f t="shared" si="178"/>
        <v>793</v>
      </c>
      <c r="CF87" s="975">
        <f t="shared" si="178"/>
        <v>-12350</v>
      </c>
      <c r="CG87" s="975">
        <f t="shared" si="178"/>
        <v>-98800</v>
      </c>
      <c r="CH87" s="957">
        <f>SUM(CD87:CG87)</f>
        <v>-123726</v>
      </c>
      <c r="CI87" s="748"/>
      <c r="CJ87" s="975">
        <f>BV90</f>
        <v>154584</v>
      </c>
      <c r="CK87" s="975">
        <f t="shared" ref="CK87:CS87" si="179">BW90</f>
        <v>151963</v>
      </c>
      <c r="CL87" s="975">
        <f>BX90</f>
        <v>144646</v>
      </c>
      <c r="CM87" s="975">
        <f t="shared" si="179"/>
        <v>178798</v>
      </c>
      <c r="CN87" s="975">
        <f t="shared" si="179"/>
        <v>151863</v>
      </c>
      <c r="CO87" s="975">
        <f t="shared" si="179"/>
        <v>152310</v>
      </c>
      <c r="CP87" s="975">
        <f t="shared" si="179"/>
        <v>177824</v>
      </c>
      <c r="CQ87" s="975">
        <f t="shared" si="179"/>
        <v>155456</v>
      </c>
      <c r="CR87" s="975">
        <f t="shared" si="179"/>
        <v>159431</v>
      </c>
      <c r="CS87" s="975">
        <f t="shared" si="179"/>
        <v>173593</v>
      </c>
      <c r="CT87" s="975">
        <v>146546</v>
      </c>
      <c r="CU87" s="975">
        <v>111901</v>
      </c>
      <c r="CV87" s="975">
        <v>127800</v>
      </c>
      <c r="CW87" s="978"/>
      <c r="CX87" s="975">
        <v>155428</v>
      </c>
      <c r="CY87" s="975">
        <v>182691</v>
      </c>
      <c r="CZ87" s="975">
        <v>176747</v>
      </c>
      <c r="DA87" s="975">
        <v>190424</v>
      </c>
      <c r="DB87" s="975">
        <v>214788</v>
      </c>
      <c r="DC87" s="975">
        <v>150000</v>
      </c>
      <c r="DD87" s="975">
        <v>191217</v>
      </c>
      <c r="DE87" s="975">
        <v>180648</v>
      </c>
      <c r="DF87" s="975">
        <v>180874</v>
      </c>
      <c r="DG87" s="975">
        <v>208228</v>
      </c>
      <c r="DH87" s="975">
        <v>184911</v>
      </c>
      <c r="DI87" s="975">
        <v>135942</v>
      </c>
      <c r="DJ87" s="599">
        <f>SUM(CX87:DI87)</f>
        <v>2151898</v>
      </c>
      <c r="DK87" s="948"/>
      <c r="DL87" s="596">
        <f>CX87</f>
        <v>155428</v>
      </c>
      <c r="DM87" s="596">
        <f t="shared" ref="DM87:DW87" si="180">CY87</f>
        <v>182691</v>
      </c>
      <c r="DN87" s="596">
        <f t="shared" si="180"/>
        <v>176747</v>
      </c>
      <c r="DO87" s="596">
        <f t="shared" si="180"/>
        <v>190424</v>
      </c>
      <c r="DP87" s="596">
        <f t="shared" si="180"/>
        <v>214788</v>
      </c>
      <c r="DQ87" s="596">
        <f t="shared" si="180"/>
        <v>150000</v>
      </c>
      <c r="DR87" s="596">
        <f t="shared" si="180"/>
        <v>191217</v>
      </c>
      <c r="DS87" s="596">
        <f t="shared" si="180"/>
        <v>180648</v>
      </c>
      <c r="DT87" s="596">
        <f t="shared" si="180"/>
        <v>180874</v>
      </c>
      <c r="DU87" s="596">
        <f t="shared" si="180"/>
        <v>208228</v>
      </c>
      <c r="DV87" s="596">
        <f t="shared" si="180"/>
        <v>184911</v>
      </c>
      <c r="DW87" s="596">
        <f t="shared" si="180"/>
        <v>135942</v>
      </c>
      <c r="DX87" s="596">
        <v>127800</v>
      </c>
    </row>
    <row r="88" spans="1:129" ht="15.75" hidden="1" customHeight="1" outlineLevel="1">
      <c r="A88" s="821"/>
      <c r="B88" s="822" t="s">
        <v>105</v>
      </c>
      <c r="C88" s="803"/>
      <c r="D88" s="804"/>
      <c r="E88" s="805"/>
      <c r="F88" s="805"/>
      <c r="G88" s="805"/>
      <c r="H88" s="805"/>
      <c r="I88" s="805"/>
      <c r="J88" s="805"/>
      <c r="K88" s="805"/>
      <c r="L88" s="805"/>
      <c r="M88" s="805"/>
      <c r="N88" s="805"/>
      <c r="O88" s="805"/>
      <c r="P88" s="806"/>
      <c r="Q88" s="807"/>
      <c r="R88" s="804"/>
      <c r="S88" s="596"/>
      <c r="T88" s="596"/>
      <c r="U88" s="596"/>
      <c r="V88" s="596"/>
      <c r="W88" s="596"/>
      <c r="X88" s="596"/>
      <c r="Y88" s="596"/>
      <c r="Z88" s="596"/>
      <c r="AA88" s="596"/>
      <c r="AB88" s="596"/>
      <c r="AC88" s="596"/>
      <c r="AD88" s="809"/>
      <c r="AE88" s="28"/>
      <c r="AF88" s="596"/>
      <c r="AG88" s="596"/>
      <c r="AH88" s="596"/>
      <c r="AI88" s="596"/>
      <c r="AJ88" s="596"/>
      <c r="AK88" s="596"/>
      <c r="AL88" s="596"/>
      <c r="AM88" s="596"/>
      <c r="AN88" s="596"/>
      <c r="AO88" s="596">
        <f t="shared" ref="AO88:AQ88" si="181">AO81*9.68</f>
        <v>1355200</v>
      </c>
      <c r="AP88" s="596">
        <f t="shared" si="181"/>
        <v>1258400</v>
      </c>
      <c r="AQ88" s="596">
        <f t="shared" si="181"/>
        <v>968000</v>
      </c>
      <c r="AR88" s="810"/>
      <c r="AS88" s="28"/>
      <c r="AT88" s="596">
        <f t="shared" ref="AT88:BF88" si="182">AT81*9.68</f>
        <v>1287440</v>
      </c>
      <c r="AU88" s="596">
        <f t="shared" si="182"/>
        <v>1211742.3999999999</v>
      </c>
      <c r="AV88" s="596">
        <f t="shared" si="182"/>
        <v>1134767.04</v>
      </c>
      <c r="AW88" s="596">
        <f t="shared" si="182"/>
        <v>1234200</v>
      </c>
      <c r="AX88" s="596">
        <f t="shared" si="182"/>
        <v>1355200</v>
      </c>
      <c r="AY88" s="596">
        <f t="shared" si="182"/>
        <v>1532760.2399903198</v>
      </c>
      <c r="AZ88" s="596">
        <f t="shared" si="182"/>
        <v>1475319.1199999999</v>
      </c>
      <c r="BA88" s="596">
        <f t="shared" si="182"/>
        <v>1679673.5999999999</v>
      </c>
      <c r="BB88" s="596">
        <f t="shared" si="182"/>
        <v>1597200</v>
      </c>
      <c r="BC88" s="596">
        <f t="shared" si="182"/>
        <v>1524600</v>
      </c>
      <c r="BD88" s="596">
        <f t="shared" si="182"/>
        <v>1252892.08</v>
      </c>
      <c r="BE88" s="596">
        <f t="shared" si="182"/>
        <v>597256</v>
      </c>
      <c r="BF88" s="596">
        <f t="shared" si="182"/>
        <v>15883050.47999032</v>
      </c>
      <c r="BG88" s="28"/>
      <c r="BH88" s="596"/>
      <c r="BI88" s="596"/>
      <c r="BJ88" s="596"/>
      <c r="BK88" s="596"/>
      <c r="BL88" s="596"/>
      <c r="BM88" s="596"/>
      <c r="BN88" s="596"/>
      <c r="BO88" s="596"/>
      <c r="BP88" s="596"/>
      <c r="BQ88" s="596"/>
      <c r="BR88" s="596"/>
      <c r="BS88" s="596"/>
      <c r="BT88" s="596"/>
      <c r="BU88" s="28"/>
      <c r="BV88" s="596"/>
      <c r="BW88" s="596"/>
      <c r="BX88" s="596"/>
      <c r="BY88" s="596"/>
      <c r="BZ88" s="596"/>
      <c r="CA88" s="596"/>
      <c r="CB88" s="596"/>
      <c r="CC88" s="596"/>
      <c r="CD88" s="596" t="s">
        <v>96</v>
      </c>
      <c r="CE88" s="596"/>
      <c r="CF88" s="813" t="s">
        <v>97</v>
      </c>
      <c r="CG88" s="596"/>
      <c r="CH88" s="596"/>
      <c r="CJ88" s="596"/>
      <c r="CK88" s="596"/>
      <c r="CL88" s="596"/>
      <c r="CM88" s="596">
        <v>61884.012959999985</v>
      </c>
      <c r="CN88" s="596">
        <f>CM88</f>
        <v>61884.012959999985</v>
      </c>
      <c r="CO88" s="596">
        <f t="shared" ref="CO88:CU88" si="183">CN88</f>
        <v>61884.012959999985</v>
      </c>
      <c r="CP88" s="596">
        <f t="shared" si="183"/>
        <v>61884.012959999985</v>
      </c>
      <c r="CQ88" s="596">
        <f t="shared" si="183"/>
        <v>61884.012959999985</v>
      </c>
      <c r="CR88" s="596">
        <f t="shared" si="183"/>
        <v>61884.012959999985</v>
      </c>
      <c r="CS88" s="596">
        <f t="shared" si="183"/>
        <v>61884.012959999985</v>
      </c>
      <c r="CT88" s="596">
        <f t="shared" si="183"/>
        <v>61884.012959999985</v>
      </c>
      <c r="CU88" s="596">
        <f t="shared" si="183"/>
        <v>61884.012959999985</v>
      </c>
      <c r="CV88" s="596"/>
      <c r="CW88" s="758"/>
      <c r="CX88" s="596" t="s">
        <v>133</v>
      </c>
      <c r="CY88" s="596"/>
      <c r="CZ88" s="596"/>
      <c r="DA88" s="596"/>
      <c r="DB88" s="596"/>
      <c r="DC88" s="596"/>
      <c r="DD88" s="596"/>
      <c r="DE88" s="596"/>
      <c r="DF88" s="596"/>
      <c r="DG88" s="596"/>
      <c r="DH88" s="596"/>
      <c r="DI88" s="596"/>
      <c r="DJ88" s="596"/>
      <c r="DK88" s="948"/>
      <c r="DL88" s="596" t="s">
        <v>133</v>
      </c>
      <c r="DM88" s="596"/>
      <c r="DN88" s="596"/>
      <c r="DO88" s="596"/>
      <c r="DP88" s="596"/>
      <c r="DQ88" s="596"/>
      <c r="DR88" s="596"/>
      <c r="DS88" s="596"/>
      <c r="DT88" s="596"/>
      <c r="DU88" s="596"/>
      <c r="DV88" s="596"/>
      <c r="DW88" s="596"/>
      <c r="DX88" s="596"/>
    </row>
    <row r="89" spans="1:129" ht="15.75" hidden="1" customHeight="1" outlineLevel="1">
      <c r="A89" s="821"/>
      <c r="B89" s="822" t="s">
        <v>98</v>
      </c>
      <c r="C89" s="803"/>
      <c r="D89" s="804"/>
      <c r="E89" s="805"/>
      <c r="F89" s="805"/>
      <c r="G89" s="805"/>
      <c r="H89" s="805"/>
      <c r="I89" s="805"/>
      <c r="J89" s="805"/>
      <c r="K89" s="805"/>
      <c r="L89" s="805"/>
      <c r="M89" s="805"/>
      <c r="N89" s="805"/>
      <c r="O89" s="805"/>
      <c r="P89" s="806"/>
      <c r="Q89" s="807"/>
      <c r="R89" s="804"/>
      <c r="S89" s="596"/>
      <c r="T89" s="596"/>
      <c r="U89" s="596"/>
      <c r="V89" s="596"/>
      <c r="W89" s="596"/>
      <c r="X89" s="596"/>
      <c r="Y89" s="596"/>
      <c r="Z89" s="596"/>
      <c r="AA89" s="596"/>
      <c r="AB89" s="596"/>
      <c r="AC89" s="596"/>
      <c r="AD89" s="809"/>
      <c r="AE89" s="28"/>
      <c r="AF89" s="808"/>
      <c r="AG89" s="596"/>
      <c r="AH89" s="596"/>
      <c r="AI89" s="596"/>
      <c r="AJ89" s="596"/>
      <c r="AK89" s="596"/>
      <c r="AL89" s="596"/>
      <c r="AM89" s="596"/>
      <c r="AN89" s="596"/>
      <c r="AO89" s="596"/>
      <c r="AP89" s="596"/>
      <c r="AQ89" s="596"/>
      <c r="AR89" s="810"/>
      <c r="AS89" s="28"/>
      <c r="AT89" s="596"/>
      <c r="AU89" s="596"/>
      <c r="AV89" s="596"/>
      <c r="AW89" s="596"/>
      <c r="AX89" s="596"/>
      <c r="AY89" s="596"/>
      <c r="AZ89" s="596"/>
      <c r="BA89" s="596"/>
      <c r="BB89" s="596"/>
      <c r="BC89" s="596"/>
      <c r="BD89" s="596"/>
      <c r="BE89" s="596"/>
      <c r="BF89" s="596"/>
      <c r="BG89" s="28"/>
      <c r="BH89" s="596"/>
      <c r="BI89" s="596"/>
      <c r="BJ89" s="596"/>
      <c r="BK89" s="596"/>
      <c r="BL89" s="596"/>
      <c r="BM89" s="596"/>
      <c r="BN89" s="596"/>
      <c r="BO89" s="596"/>
      <c r="BP89" s="596"/>
      <c r="BQ89" s="596"/>
      <c r="BR89" s="596"/>
      <c r="BS89" s="596"/>
      <c r="BT89" s="596"/>
      <c r="BU89" s="28"/>
      <c r="BV89" s="596"/>
      <c r="BW89" s="596"/>
      <c r="BX89" s="596"/>
      <c r="BY89" s="596"/>
      <c r="BZ89" s="596"/>
      <c r="CA89" s="596"/>
      <c r="CB89" s="596"/>
      <c r="CC89" s="596"/>
      <c r="CD89" s="596"/>
      <c r="CE89" s="596"/>
      <c r="CF89" s="813"/>
      <c r="CG89" s="596"/>
      <c r="CH89" s="596"/>
      <c r="CJ89" s="596"/>
      <c r="CK89" s="596"/>
      <c r="CL89" s="596"/>
      <c r="CM89" s="596">
        <f>CM88*CM7</f>
        <v>1237680.2591999997</v>
      </c>
      <c r="CN89" s="596">
        <f>CN88*CN7</f>
        <v>1299564.2721599997</v>
      </c>
      <c r="CO89" s="596">
        <f>CO88*CO7</f>
        <v>1361448.2851199997</v>
      </c>
      <c r="CP89" s="596">
        <f>CP88*CP7</f>
        <v>1547100.3239999996</v>
      </c>
      <c r="CQ89" s="596">
        <f>CQ88*CQ7</f>
        <v>1299564.2721599997</v>
      </c>
      <c r="CR89" s="596">
        <f>CR88*CR7</f>
        <v>1361448.2851199997</v>
      </c>
      <c r="CS89" s="596">
        <f>CS88*CS7</f>
        <v>1423332.2980799996</v>
      </c>
      <c r="CT89" s="596">
        <f>CT88*CT7</f>
        <v>1361448.2851199997</v>
      </c>
      <c r="CU89" s="596">
        <f>CU88*CU7</f>
        <v>1052028.2203199998</v>
      </c>
      <c r="CV89" s="596"/>
      <c r="CW89" s="758"/>
      <c r="CX89" s="596"/>
      <c r="CY89" s="596"/>
      <c r="CZ89" s="596"/>
      <c r="DA89" s="596"/>
      <c r="DB89" s="596"/>
      <c r="DC89" s="596"/>
      <c r="DD89" s="596"/>
      <c r="DE89" s="596"/>
      <c r="DF89" s="596"/>
      <c r="DG89" s="596"/>
      <c r="DH89" s="596"/>
      <c r="DI89" s="596"/>
      <c r="DJ89" s="596"/>
      <c r="DK89" s="948"/>
      <c r="DL89" s="596"/>
      <c r="DM89" s="596"/>
      <c r="DN89" s="596"/>
      <c r="DO89" s="596"/>
      <c r="DP89" s="596"/>
      <c r="DQ89" s="596"/>
      <c r="DR89" s="596"/>
      <c r="DS89" s="596"/>
      <c r="DT89" s="596"/>
      <c r="DU89" s="596"/>
      <c r="DV89" s="596"/>
      <c r="DW89" s="596"/>
      <c r="DX89" s="596"/>
    </row>
    <row r="90" spans="1:129" ht="18.75" hidden="1">
      <c r="A90" s="821" t="s">
        <v>99</v>
      </c>
      <c r="B90" s="823" t="s">
        <v>100</v>
      </c>
      <c r="C90" s="814"/>
      <c r="D90" s="815">
        <v>95972</v>
      </c>
      <c r="E90" s="816">
        <v>130805</v>
      </c>
      <c r="F90" s="816">
        <v>121914</v>
      </c>
      <c r="G90" s="816">
        <v>165455</v>
      </c>
      <c r="H90" s="816">
        <v>192013</v>
      </c>
      <c r="I90" s="816">
        <v>167281</v>
      </c>
      <c r="J90" s="816">
        <v>181409</v>
      </c>
      <c r="K90" s="816">
        <v>163138</v>
      </c>
      <c r="L90" s="816">
        <v>169051</v>
      </c>
      <c r="M90" s="816">
        <v>183254</v>
      </c>
      <c r="N90" s="816"/>
      <c r="O90" s="816"/>
      <c r="P90" s="817">
        <f>SUM(D90:O90)</f>
        <v>1570292</v>
      </c>
      <c r="Q90" s="818"/>
      <c r="R90" s="815">
        <v>149582</v>
      </c>
      <c r="S90" s="810">
        <v>152735</v>
      </c>
      <c r="T90" s="810">
        <v>107681</v>
      </c>
      <c r="U90" s="810">
        <v>2974</v>
      </c>
      <c r="V90" s="810">
        <v>32639</v>
      </c>
      <c r="W90" s="810">
        <v>153121</v>
      </c>
      <c r="X90" s="810">
        <v>198635</v>
      </c>
      <c r="Y90" s="810">
        <v>160489</v>
      </c>
      <c r="Z90" s="810">
        <v>160893</v>
      </c>
      <c r="AA90" s="810">
        <v>180999</v>
      </c>
      <c r="AB90" s="810">
        <v>167265</v>
      </c>
      <c r="AC90" s="810">
        <v>135424</v>
      </c>
      <c r="AD90" s="819">
        <f>SUM(R90:AC90)</f>
        <v>1602437</v>
      </c>
      <c r="AE90" s="18"/>
      <c r="AF90" s="820">
        <v>145616</v>
      </c>
      <c r="AG90" s="810">
        <v>168450</v>
      </c>
      <c r="AH90" s="810">
        <v>153291</v>
      </c>
      <c r="AI90" s="810">
        <v>149378</v>
      </c>
      <c r="AJ90" s="810">
        <v>196360</v>
      </c>
      <c r="AK90" s="810">
        <v>170558</v>
      </c>
      <c r="AL90" s="810">
        <v>171758</v>
      </c>
      <c r="AM90" s="810">
        <f t="shared" ref="AM90:AQ90" si="184">SUM(AM91:AM92)</f>
        <v>168974</v>
      </c>
      <c r="AN90" s="810">
        <f t="shared" si="184"/>
        <v>144792</v>
      </c>
      <c r="AO90" s="810">
        <f t="shared" si="184"/>
        <v>141375</v>
      </c>
      <c r="AP90" s="810">
        <f t="shared" si="184"/>
        <v>143221</v>
      </c>
      <c r="AQ90" s="810">
        <f t="shared" si="184"/>
        <v>85543</v>
      </c>
      <c r="AR90" s="810">
        <f t="shared" ref="AR90:AR94" si="185">SUM(AF90:AQ90)</f>
        <v>1839316</v>
      </c>
      <c r="AS90" s="28"/>
      <c r="AT90" s="810">
        <f t="shared" ref="AT90:BE90" si="186">SUM(AT91:AT92)</f>
        <v>120211</v>
      </c>
      <c r="AU90" s="810">
        <f t="shared" si="186"/>
        <v>120216</v>
      </c>
      <c r="AV90" s="810">
        <f t="shared" si="186"/>
        <v>101053</v>
      </c>
      <c r="AW90" s="810">
        <f t="shared" si="186"/>
        <v>137388</v>
      </c>
      <c r="AX90" s="810">
        <f t="shared" si="186"/>
        <v>137400</v>
      </c>
      <c r="AY90" s="810">
        <f t="shared" si="186"/>
        <v>135412</v>
      </c>
      <c r="AZ90" s="810">
        <f t="shared" si="186"/>
        <v>157032</v>
      </c>
      <c r="BA90" s="810">
        <f t="shared" si="186"/>
        <v>173287</v>
      </c>
      <c r="BB90" s="596">
        <f t="shared" si="186"/>
        <v>166815</v>
      </c>
      <c r="BC90" s="596">
        <f t="shared" si="186"/>
        <v>153816</v>
      </c>
      <c r="BD90" s="596">
        <f t="shared" si="186"/>
        <v>138051</v>
      </c>
      <c r="BE90" s="596">
        <f t="shared" si="186"/>
        <v>55950</v>
      </c>
      <c r="BF90" s="596">
        <f t="shared" ref="BF90:BF94" si="187">SUM(AT90:BE90)</f>
        <v>1596631</v>
      </c>
      <c r="BG90" s="54">
        <f>BF90/AR90-1</f>
        <v>-0.1319430701412917</v>
      </c>
      <c r="BH90" s="810">
        <f t="shared" ref="BH90:BQ90" si="188">SUM(BH91:BH92)</f>
        <v>138562</v>
      </c>
      <c r="BI90" s="810">
        <f t="shared" si="188"/>
        <v>109391</v>
      </c>
      <c r="BJ90" s="810">
        <f t="shared" si="188"/>
        <v>160056</v>
      </c>
      <c r="BK90" s="810">
        <f t="shared" si="188"/>
        <v>124826</v>
      </c>
      <c r="BL90" s="810">
        <f t="shared" si="188"/>
        <v>151185</v>
      </c>
      <c r="BM90" s="810">
        <f t="shared" si="188"/>
        <v>134688</v>
      </c>
      <c r="BN90" s="810">
        <f t="shared" si="188"/>
        <v>157005</v>
      </c>
      <c r="BO90" s="810">
        <f t="shared" si="188"/>
        <v>151231</v>
      </c>
      <c r="BP90" s="810">
        <f t="shared" si="188"/>
        <v>143335</v>
      </c>
      <c r="BQ90" s="810">
        <f t="shared" si="188"/>
        <v>159215</v>
      </c>
      <c r="BR90" s="810"/>
      <c r="BS90" s="810"/>
      <c r="BT90" s="810">
        <f t="shared" ref="BT90:BT94" si="189">SUM(BH90:BS90)</f>
        <v>1429494</v>
      </c>
      <c r="BU90" s="18"/>
      <c r="BV90" s="810">
        <v>154584</v>
      </c>
      <c r="BW90" s="810">
        <v>151963</v>
      </c>
      <c r="BX90" s="810">
        <v>144646</v>
      </c>
      <c r="BY90" s="810">
        <v>178798</v>
      </c>
      <c r="BZ90" s="810">
        <v>151863</v>
      </c>
      <c r="CA90" s="810">
        <v>152310</v>
      </c>
      <c r="CB90" s="810">
        <f>CB91+CB92</f>
        <v>177824</v>
      </c>
      <c r="CC90" s="810">
        <f t="shared" ref="CC90:CJ90" si="190">CC91+CC92</f>
        <v>155456</v>
      </c>
      <c r="CD90" s="810">
        <f t="shared" si="190"/>
        <v>159431</v>
      </c>
      <c r="CE90" s="810">
        <v>173593</v>
      </c>
      <c r="CF90" s="810">
        <v>154850</v>
      </c>
      <c r="CG90" s="810">
        <f t="shared" si="190"/>
        <v>0</v>
      </c>
      <c r="CH90" s="810">
        <f t="shared" ref="CH90" si="191">SUM(BV90:CG90)</f>
        <v>1755318</v>
      </c>
      <c r="CJ90" s="810">
        <v>155428</v>
      </c>
      <c r="CK90" s="810">
        <f>SUM(CK91:CK92)</f>
        <v>182595</v>
      </c>
      <c r="CL90" s="810">
        <f>SUM(CL91:CL92)</f>
        <v>175111</v>
      </c>
      <c r="CM90" s="810">
        <f>SUM(CM91:CM92)</f>
        <v>192052</v>
      </c>
      <c r="CN90" s="810">
        <v>214788</v>
      </c>
      <c r="CO90" s="810">
        <v>143727</v>
      </c>
      <c r="CP90" s="810">
        <v>191217</v>
      </c>
      <c r="CQ90" s="810">
        <v>180648</v>
      </c>
      <c r="CR90" s="810">
        <v>180874</v>
      </c>
      <c r="CS90" s="810"/>
      <c r="CT90" s="810"/>
      <c r="CU90" s="810"/>
      <c r="CV90" s="810"/>
      <c r="CW90" s="758"/>
      <c r="CX90" s="810">
        <v>191345</v>
      </c>
      <c r="CY90" s="810">
        <v>145396</v>
      </c>
      <c r="CZ90" s="810">
        <f t="shared" ref="CZ90:DI90" si="192">CL90</f>
        <v>175111</v>
      </c>
      <c r="DA90" s="810">
        <f t="shared" si="192"/>
        <v>192052</v>
      </c>
      <c r="DB90" s="810">
        <f t="shared" si="192"/>
        <v>214788</v>
      </c>
      <c r="DC90" s="810">
        <f t="shared" si="192"/>
        <v>143727</v>
      </c>
      <c r="DD90" s="810">
        <f t="shared" si="192"/>
        <v>191217</v>
      </c>
      <c r="DE90" s="810">
        <f t="shared" si="192"/>
        <v>180648</v>
      </c>
      <c r="DF90" s="810">
        <f t="shared" si="192"/>
        <v>180874</v>
      </c>
      <c r="DG90" s="810">
        <f t="shared" si="192"/>
        <v>0</v>
      </c>
      <c r="DH90" s="810">
        <f t="shared" si="192"/>
        <v>0</v>
      </c>
      <c r="DI90" s="810">
        <f t="shared" si="192"/>
        <v>0</v>
      </c>
      <c r="DJ90" s="810"/>
      <c r="DK90" s="948"/>
      <c r="DL90" s="810">
        <f>CX90</f>
        <v>191345</v>
      </c>
      <c r="DM90" s="810">
        <f t="shared" ref="DM90:DW90" si="193">CY90</f>
        <v>145396</v>
      </c>
      <c r="DN90" s="810">
        <f t="shared" si="193"/>
        <v>175111</v>
      </c>
      <c r="DO90" s="810">
        <f t="shared" si="193"/>
        <v>192052</v>
      </c>
      <c r="DP90" s="810">
        <f t="shared" si="193"/>
        <v>214788</v>
      </c>
      <c r="DQ90" s="810">
        <f t="shared" si="193"/>
        <v>143727</v>
      </c>
      <c r="DR90" s="810">
        <f t="shared" si="193"/>
        <v>191217</v>
      </c>
      <c r="DS90" s="810">
        <f t="shared" si="193"/>
        <v>180648</v>
      </c>
      <c r="DT90" s="810">
        <f t="shared" si="193"/>
        <v>180874</v>
      </c>
      <c r="DU90" s="810">
        <f t="shared" si="193"/>
        <v>0</v>
      </c>
      <c r="DV90" s="810">
        <f t="shared" si="193"/>
        <v>0</v>
      </c>
      <c r="DW90" s="810">
        <f t="shared" si="193"/>
        <v>0</v>
      </c>
      <c r="DX90" s="810"/>
    </row>
    <row r="91" spans="1:129" ht="15.75" hidden="1" customHeight="1">
      <c r="A91" s="821"/>
      <c r="B91" s="823" t="s">
        <v>134</v>
      </c>
      <c r="C91" s="814"/>
      <c r="D91" s="804"/>
      <c r="E91" s="805"/>
      <c r="F91" s="805"/>
      <c r="G91" s="805"/>
      <c r="H91" s="805"/>
      <c r="I91" s="805"/>
      <c r="J91" s="805"/>
      <c r="K91" s="805"/>
      <c r="L91" s="805"/>
      <c r="M91" s="805"/>
      <c r="N91" s="805"/>
      <c r="O91" s="805"/>
      <c r="P91" s="806"/>
      <c r="Q91" s="807"/>
      <c r="R91" s="804"/>
      <c r="S91" s="596"/>
      <c r="T91" s="596"/>
      <c r="U91" s="596"/>
      <c r="V91" s="596"/>
      <c r="W91" s="596"/>
      <c r="X91" s="596"/>
      <c r="Y91" s="596"/>
      <c r="Z91" s="596"/>
      <c r="AA91" s="596"/>
      <c r="AB91" s="596"/>
      <c r="AC91" s="596"/>
      <c r="AD91" s="809"/>
      <c r="AE91" s="28"/>
      <c r="AF91" s="808">
        <v>126362</v>
      </c>
      <c r="AG91" s="596">
        <v>153970</v>
      </c>
      <c r="AH91" s="596">
        <v>128331</v>
      </c>
      <c r="AI91" s="596">
        <v>135338</v>
      </c>
      <c r="AJ91" s="596">
        <v>177312</v>
      </c>
      <c r="AK91" s="596">
        <v>150818</v>
      </c>
      <c r="AL91" s="596">
        <v>158858</v>
      </c>
      <c r="AM91" s="596">
        <v>153933</v>
      </c>
      <c r="AN91" s="596">
        <v>134244</v>
      </c>
      <c r="AO91" s="596">
        <v>137435</v>
      </c>
      <c r="AP91" s="596">
        <v>143221</v>
      </c>
      <c r="AQ91" s="596">
        <v>85543</v>
      </c>
      <c r="AR91" s="810">
        <f t="shared" si="185"/>
        <v>1685365</v>
      </c>
      <c r="AS91" s="28"/>
      <c r="AT91" s="596">
        <v>120211</v>
      </c>
      <c r="AU91" s="596">
        <v>120216</v>
      </c>
      <c r="AV91" s="596">
        <v>101053</v>
      </c>
      <c r="AW91" s="596">
        <v>137388</v>
      </c>
      <c r="AX91" s="596">
        <v>137400</v>
      </c>
      <c r="AY91" s="596">
        <v>135412</v>
      </c>
      <c r="AZ91" s="596">
        <v>157032</v>
      </c>
      <c r="BA91" s="596">
        <v>172227</v>
      </c>
      <c r="BB91" s="596">
        <f>157995+8500</f>
        <v>166495</v>
      </c>
      <c r="BC91" s="596">
        <v>153816</v>
      </c>
      <c r="BD91" s="596">
        <v>138051</v>
      </c>
      <c r="BE91" s="596">
        <v>55950</v>
      </c>
      <c r="BF91" s="596">
        <f t="shared" si="187"/>
        <v>1595251</v>
      </c>
      <c r="BG91" s="28"/>
      <c r="BH91" s="596">
        <v>138562</v>
      </c>
      <c r="BI91" s="596">
        <v>109391</v>
      </c>
      <c r="BJ91" s="596">
        <v>160056</v>
      </c>
      <c r="BK91" s="596">
        <v>124826</v>
      </c>
      <c r="BL91" s="596">
        <v>151185</v>
      </c>
      <c r="BM91" s="596">
        <v>134688</v>
      </c>
      <c r="BN91" s="596">
        <v>157005</v>
      </c>
      <c r="BO91" s="596">
        <v>151231</v>
      </c>
      <c r="BP91" s="596">
        <v>143335</v>
      </c>
      <c r="BQ91" s="596">
        <v>159215</v>
      </c>
      <c r="BR91" s="596"/>
      <c r="BS91" s="596"/>
      <c r="BT91" s="596">
        <f t="shared" si="189"/>
        <v>1429494</v>
      </c>
      <c r="BU91" s="28"/>
      <c r="BV91" s="596">
        <v>154584</v>
      </c>
      <c r="BW91" s="596">
        <v>151963</v>
      </c>
      <c r="BX91" s="596">
        <v>144646</v>
      </c>
      <c r="BY91" s="596">
        <v>178798</v>
      </c>
      <c r="BZ91" s="596">
        <v>151863</v>
      </c>
      <c r="CA91" s="596">
        <v>152310</v>
      </c>
      <c r="CB91" s="596">
        <v>177824</v>
      </c>
      <c r="CC91" s="596">
        <v>155456</v>
      </c>
      <c r="CD91" s="596">
        <v>159431</v>
      </c>
      <c r="CE91" s="596"/>
      <c r="CF91" s="596"/>
      <c r="CG91" s="596"/>
      <c r="CH91" s="596"/>
      <c r="CJ91" s="596">
        <v>145276</v>
      </c>
      <c r="CK91" s="596">
        <v>157921</v>
      </c>
      <c r="CL91" s="596">
        <v>147905</v>
      </c>
      <c r="CM91" s="596">
        <v>157807</v>
      </c>
      <c r="CN91" s="596"/>
      <c r="CO91" s="596"/>
      <c r="CP91" s="596"/>
      <c r="CQ91" s="596"/>
      <c r="CR91" s="596"/>
      <c r="CS91" s="596"/>
      <c r="CT91" s="596"/>
      <c r="CU91" s="596"/>
      <c r="CV91" s="596"/>
      <c r="CW91" s="758"/>
      <c r="CX91" s="940"/>
      <c r="CY91" s="940"/>
      <c r="CZ91" s="596">
        <v>6339</v>
      </c>
      <c r="DA91" s="940"/>
      <c r="DB91" s="940"/>
      <c r="DC91" s="940"/>
      <c r="DD91" s="940"/>
      <c r="DE91" s="940"/>
      <c r="DF91" s="940"/>
      <c r="DG91" s="940"/>
      <c r="DH91" s="940"/>
      <c r="DI91" s="940"/>
      <c r="DJ91" s="596"/>
      <c r="DK91" s="948"/>
      <c r="DL91" s="940" t="e">
        <f>DL18-DL17</f>
        <v>#DIV/0!</v>
      </c>
      <c r="DM91" s="940" t="e">
        <f t="shared" ref="DM91:DW91" si="194">DM18-DM17</f>
        <v>#DIV/0!</v>
      </c>
      <c r="DN91" s="940" t="e">
        <f t="shared" si="194"/>
        <v>#DIV/0!</v>
      </c>
      <c r="DO91" s="940" t="e">
        <f t="shared" si="194"/>
        <v>#DIV/0!</v>
      </c>
      <c r="DP91" s="940" t="e">
        <f t="shared" si="194"/>
        <v>#DIV/0!</v>
      </c>
      <c r="DQ91" s="940" t="e">
        <f t="shared" si="194"/>
        <v>#DIV/0!</v>
      </c>
      <c r="DR91" s="940" t="e">
        <f t="shared" si="194"/>
        <v>#DIV/0!</v>
      </c>
      <c r="DS91" s="940" t="e">
        <f t="shared" si="194"/>
        <v>#DIV/0!</v>
      </c>
      <c r="DT91" s="940" t="e">
        <f t="shared" si="194"/>
        <v>#DIV/0!</v>
      </c>
      <c r="DU91" s="940" t="e">
        <f t="shared" si="194"/>
        <v>#DIV/0!</v>
      </c>
      <c r="DV91" s="940" t="e">
        <f t="shared" si="194"/>
        <v>#DIV/0!</v>
      </c>
      <c r="DW91" s="940">
        <f t="shared" si="194"/>
        <v>0.31066052737228139</v>
      </c>
      <c r="DX91" s="596"/>
    </row>
    <row r="92" spans="1:129" ht="15.75" hidden="1" customHeight="1">
      <c r="A92" s="821"/>
      <c r="B92" s="823" t="s">
        <v>135</v>
      </c>
      <c r="C92" s="814"/>
      <c r="D92" s="804"/>
      <c r="E92" s="805"/>
      <c r="F92" s="805"/>
      <c r="G92" s="805"/>
      <c r="H92" s="805"/>
      <c r="I92" s="805"/>
      <c r="J92" s="805"/>
      <c r="K92" s="805"/>
      <c r="L92" s="805"/>
      <c r="M92" s="805"/>
      <c r="N92" s="805"/>
      <c r="O92" s="805"/>
      <c r="P92" s="806"/>
      <c r="Q92" s="807"/>
      <c r="R92" s="804"/>
      <c r="S92" s="596"/>
      <c r="T92" s="596"/>
      <c r="U92" s="596"/>
      <c r="V92" s="596"/>
      <c r="W92" s="596"/>
      <c r="X92" s="596"/>
      <c r="Y92" s="596"/>
      <c r="Z92" s="596"/>
      <c r="AA92" s="596"/>
      <c r="AB92" s="596"/>
      <c r="AC92" s="596"/>
      <c r="AD92" s="809"/>
      <c r="AE92" s="28"/>
      <c r="AF92" s="596">
        <f t="shared" ref="AF92:AL92" si="195">AF90-AF91</f>
        <v>19254</v>
      </c>
      <c r="AG92" s="596">
        <f t="shared" si="195"/>
        <v>14480</v>
      </c>
      <c r="AH92" s="596">
        <f t="shared" si="195"/>
        <v>24960</v>
      </c>
      <c r="AI92" s="596">
        <f t="shared" si="195"/>
        <v>14040</v>
      </c>
      <c r="AJ92" s="596">
        <f t="shared" si="195"/>
        <v>19048</v>
      </c>
      <c r="AK92" s="596">
        <f t="shared" si="195"/>
        <v>19740</v>
      </c>
      <c r="AL92" s="596">
        <f t="shared" si="195"/>
        <v>12900</v>
      </c>
      <c r="AM92" s="596">
        <v>15041</v>
      </c>
      <c r="AN92" s="596">
        <v>10548</v>
      </c>
      <c r="AO92" s="596">
        <v>3940</v>
      </c>
      <c r="AP92" s="596">
        <v>0</v>
      </c>
      <c r="AQ92" s="596">
        <v>0</v>
      </c>
      <c r="AR92" s="810">
        <f t="shared" si="185"/>
        <v>153951</v>
      </c>
      <c r="AS92" s="28"/>
      <c r="AT92" s="596">
        <v>0</v>
      </c>
      <c r="AU92" s="596">
        <v>0</v>
      </c>
      <c r="AV92" s="596">
        <v>0</v>
      </c>
      <c r="AW92" s="596">
        <v>0</v>
      </c>
      <c r="AX92" s="596">
        <v>0</v>
      </c>
      <c r="AY92" s="596">
        <v>0</v>
      </c>
      <c r="AZ92" s="596">
        <v>0</v>
      </c>
      <c r="BA92" s="596">
        <v>1060</v>
      </c>
      <c r="BB92" s="596">
        <v>320</v>
      </c>
      <c r="BC92" s="596">
        <v>0</v>
      </c>
      <c r="BD92" s="596">
        <v>0</v>
      </c>
      <c r="BE92" s="596"/>
      <c r="BF92" s="596">
        <f t="shared" si="187"/>
        <v>1380</v>
      </c>
      <c r="BG92" s="28"/>
      <c r="BH92" s="596"/>
      <c r="BI92" s="596"/>
      <c r="BJ92" s="596"/>
      <c r="BK92" s="596"/>
      <c r="BL92" s="596"/>
      <c r="BM92" s="596"/>
      <c r="BN92" s="596"/>
      <c r="BO92" s="596"/>
      <c r="BP92" s="596"/>
      <c r="BQ92" s="596"/>
      <c r="BR92" s="596"/>
      <c r="BS92" s="596"/>
      <c r="BT92" s="596">
        <f t="shared" si="189"/>
        <v>0</v>
      </c>
      <c r="BU92" s="28"/>
      <c r="BV92" s="596"/>
      <c r="BW92" s="596"/>
      <c r="BX92" s="596"/>
      <c r="BY92" s="596"/>
      <c r="BZ92" s="596"/>
      <c r="CA92" s="596"/>
      <c r="CB92" s="596"/>
      <c r="CC92" s="596"/>
      <c r="CD92" s="596"/>
      <c r="CE92" s="596"/>
      <c r="CF92" s="596"/>
      <c r="CG92" s="596"/>
      <c r="CH92" s="596"/>
      <c r="CJ92" s="596">
        <v>14444</v>
      </c>
      <c r="CK92" s="596">
        <v>24674</v>
      </c>
      <c r="CL92" s="596">
        <v>27206</v>
      </c>
      <c r="CM92" s="596">
        <v>34245</v>
      </c>
      <c r="CN92" s="596"/>
      <c r="CO92" s="596"/>
      <c r="CP92" s="596"/>
      <c r="CQ92" s="596"/>
      <c r="CR92" s="596"/>
      <c r="CS92" s="596"/>
      <c r="CT92" s="596"/>
      <c r="CU92" s="596"/>
      <c r="CV92" s="596"/>
      <c r="CW92" s="758"/>
      <c r="CX92" s="596">
        <v>2341</v>
      </c>
      <c r="CY92" s="596">
        <v>2341</v>
      </c>
      <c r="CZ92" s="596">
        <v>2469</v>
      </c>
      <c r="DA92" s="596"/>
      <c r="DB92" s="596"/>
      <c r="DC92" s="596"/>
      <c r="DD92" s="596"/>
      <c r="DE92" s="596"/>
      <c r="DF92" s="596"/>
      <c r="DG92" s="596"/>
      <c r="DH92" s="596"/>
      <c r="DI92" s="596"/>
      <c r="DJ92" s="596"/>
      <c r="DK92" s="948"/>
      <c r="DL92" s="596"/>
      <c r="DM92" s="596"/>
      <c r="DN92" s="596"/>
      <c r="DO92" s="596"/>
      <c r="DP92" s="596"/>
      <c r="DQ92" s="596"/>
      <c r="DR92" s="596"/>
      <c r="DS92" s="596"/>
      <c r="DT92" s="596"/>
      <c r="DU92" s="596"/>
      <c r="DV92" s="596"/>
      <c r="DW92" s="596"/>
      <c r="DX92" s="596"/>
    </row>
    <row r="93" spans="1:129" ht="18.75" hidden="1">
      <c r="A93" s="103" t="s">
        <v>103</v>
      </c>
      <c r="B93" s="337"/>
      <c r="C93" s="330"/>
      <c r="D93" s="331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332"/>
      <c r="Q93" s="105"/>
      <c r="R93" s="333"/>
      <c r="S93" s="333"/>
      <c r="T93" s="333"/>
      <c r="U93" s="333"/>
      <c r="V93" s="333"/>
      <c r="W93" s="333"/>
      <c r="X93" s="333"/>
      <c r="Y93" s="333"/>
      <c r="Z93" s="333"/>
      <c r="AA93" s="333"/>
      <c r="AB93" s="333"/>
      <c r="AC93" s="333"/>
      <c r="AD93" s="334"/>
      <c r="AE93" s="106"/>
      <c r="AF93" s="333">
        <f t="shared" ref="AF93:AQ93" si="196">AF90-AF81</f>
        <v>-15784</v>
      </c>
      <c r="AG93" s="333">
        <f t="shared" si="196"/>
        <v>2450</v>
      </c>
      <c r="AH93" s="333">
        <f t="shared" si="196"/>
        <v>2820</v>
      </c>
      <c r="AI93" s="333">
        <f t="shared" si="196"/>
        <v>338</v>
      </c>
      <c r="AJ93" s="333">
        <f t="shared" si="196"/>
        <v>0</v>
      </c>
      <c r="AK93" s="333">
        <f t="shared" si="196"/>
        <v>7258</v>
      </c>
      <c r="AL93" s="333">
        <f t="shared" si="196"/>
        <v>-18242</v>
      </c>
      <c r="AM93" s="333">
        <f t="shared" si="196"/>
        <v>1974</v>
      </c>
      <c r="AN93" s="333">
        <f t="shared" si="196"/>
        <v>-25708</v>
      </c>
      <c r="AO93" s="333">
        <f t="shared" si="196"/>
        <v>1375</v>
      </c>
      <c r="AP93" s="333">
        <f t="shared" si="196"/>
        <v>13221</v>
      </c>
      <c r="AQ93" s="333">
        <f t="shared" si="196"/>
        <v>-14457</v>
      </c>
      <c r="AR93" s="107">
        <f t="shared" si="185"/>
        <v>-44755</v>
      </c>
      <c r="AS93" s="106"/>
      <c r="AT93" s="333">
        <f t="shared" ref="AT93:BE93" si="197">AT90-AT81</f>
        <v>-12789</v>
      </c>
      <c r="AU93" s="333">
        <f t="shared" si="197"/>
        <v>-4964</v>
      </c>
      <c r="AV93" s="333">
        <f t="shared" si="197"/>
        <v>-16175</v>
      </c>
      <c r="AW93" s="333">
        <f t="shared" si="197"/>
        <v>9888</v>
      </c>
      <c r="AX93" s="333">
        <f t="shared" si="197"/>
        <v>-2600</v>
      </c>
      <c r="AY93" s="333">
        <f t="shared" si="197"/>
        <v>-22930.999998999992</v>
      </c>
      <c r="AZ93" s="333">
        <f t="shared" si="197"/>
        <v>4623</v>
      </c>
      <c r="BA93" s="333">
        <f t="shared" si="197"/>
        <v>-233</v>
      </c>
      <c r="BB93" s="333">
        <f t="shared" si="197"/>
        <v>1815</v>
      </c>
      <c r="BC93" s="333">
        <f t="shared" si="197"/>
        <v>-3684</v>
      </c>
      <c r="BD93" s="333">
        <f t="shared" si="197"/>
        <v>8620</v>
      </c>
      <c r="BE93" s="333">
        <f t="shared" si="197"/>
        <v>-5750</v>
      </c>
      <c r="BF93" s="108">
        <f t="shared" si="187"/>
        <v>-44179.999998999992</v>
      </c>
      <c r="BG93" s="106"/>
      <c r="BH93" s="333">
        <f t="shared" ref="BH93:BQ93" si="198">BH90-BH81</f>
        <v>-1198</v>
      </c>
      <c r="BI93" s="333">
        <f t="shared" si="198"/>
        <v>-7189</v>
      </c>
      <c r="BJ93" s="333">
        <f t="shared" si="198"/>
        <v>11716</v>
      </c>
      <c r="BK93" s="333">
        <f t="shared" si="198"/>
        <v>12466</v>
      </c>
      <c r="BL93" s="333">
        <f t="shared" si="198"/>
        <v>42525</v>
      </c>
      <c r="BM93" s="333">
        <f t="shared" si="198"/>
        <v>-18728</v>
      </c>
      <c r="BN93" s="333">
        <f t="shared" si="198"/>
        <v>19329</v>
      </c>
      <c r="BO93" s="333">
        <f t="shared" si="198"/>
        <v>-9423</v>
      </c>
      <c r="BP93" s="333">
        <f t="shared" si="198"/>
        <v>-13665</v>
      </c>
      <c r="BQ93" s="333">
        <f t="shared" si="198"/>
        <v>2490</v>
      </c>
      <c r="BR93" s="108"/>
      <c r="BS93" s="108"/>
      <c r="BT93" s="108">
        <f t="shared" si="189"/>
        <v>38323</v>
      </c>
      <c r="BU93" s="28"/>
      <c r="BV93" s="333"/>
      <c r="BW93" s="333"/>
      <c r="BX93" s="333"/>
      <c r="BY93" s="333">
        <f>BY90-BY81</f>
        <v>5998</v>
      </c>
      <c r="BZ93" s="333">
        <f t="shared" ref="BZ93:CG93" si="199">BZ90-BZ81</f>
        <v>-13737</v>
      </c>
      <c r="CA93" s="333">
        <f t="shared" si="199"/>
        <v>-6090</v>
      </c>
      <c r="CB93" s="333">
        <f t="shared" si="199"/>
        <v>-2176</v>
      </c>
      <c r="CC93" s="333">
        <f t="shared" si="199"/>
        <v>-17344</v>
      </c>
      <c r="CD93" s="333">
        <f t="shared" si="199"/>
        <v>-13369</v>
      </c>
      <c r="CE93" s="333">
        <f t="shared" si="199"/>
        <v>793</v>
      </c>
      <c r="CF93" s="333">
        <f t="shared" si="199"/>
        <v>-12350</v>
      </c>
      <c r="CG93" s="333">
        <f t="shared" si="199"/>
        <v>-98800</v>
      </c>
      <c r="CH93" s="333">
        <f>CH90-CH81</f>
        <v>-118882</v>
      </c>
      <c r="CJ93" s="333">
        <f t="shared" ref="CJ93:CV93" si="200">CJ90-CJ81</f>
        <v>-9572</v>
      </c>
      <c r="CK93" s="333">
        <f>CK90-CK81</f>
        <v>-6005</v>
      </c>
      <c r="CL93" s="333">
        <f t="shared" si="200"/>
        <v>4111</v>
      </c>
      <c r="CM93" s="333">
        <f t="shared" si="200"/>
        <v>-7948</v>
      </c>
      <c r="CN93" s="333">
        <f t="shared" si="200"/>
        <v>36498</v>
      </c>
      <c r="CO93" s="333">
        <f t="shared" si="200"/>
        <v>-54273</v>
      </c>
      <c r="CP93" s="333">
        <f t="shared" si="200"/>
        <v>-53783</v>
      </c>
      <c r="CQ93" s="333">
        <f t="shared" si="200"/>
        <v>-27252</v>
      </c>
      <c r="CR93" s="333">
        <f t="shared" si="200"/>
        <v>-36926</v>
      </c>
      <c r="CS93" s="333">
        <f t="shared" si="200"/>
        <v>-205579</v>
      </c>
      <c r="CT93" s="333">
        <f t="shared" si="200"/>
        <v>-164340</v>
      </c>
      <c r="CU93" s="333">
        <f t="shared" si="200"/>
        <v>-118660</v>
      </c>
      <c r="CV93" s="333">
        <f t="shared" si="200"/>
        <v>-2260169</v>
      </c>
      <c r="CW93" s="758"/>
      <c r="CX93" s="333">
        <f>CX90-CX80</f>
        <v>-3422.0999999999767</v>
      </c>
      <c r="CY93" s="333">
        <f t="shared" ref="CY93:DK93" si="201">CY90-CY81</f>
        <v>27531.399999999994</v>
      </c>
      <c r="CZ93" s="333">
        <f t="shared" si="201"/>
        <v>173731</v>
      </c>
      <c r="DA93" s="333">
        <f t="shared" si="201"/>
        <v>146212</v>
      </c>
      <c r="DB93" s="333">
        <f t="shared" si="201"/>
        <v>61508</v>
      </c>
      <c r="DC93" s="333">
        <f t="shared" si="201"/>
        <v>44137</v>
      </c>
      <c r="DD93" s="333">
        <f t="shared" si="201"/>
        <v>34833</v>
      </c>
      <c r="DE93" s="333">
        <f t="shared" si="201"/>
        <v>24518</v>
      </c>
      <c r="DF93" s="333">
        <f t="shared" si="201"/>
        <v>18982</v>
      </c>
      <c r="DG93" s="333">
        <f t="shared" si="201"/>
        <v>-186892</v>
      </c>
      <c r="DH93" s="333">
        <f t="shared" si="201"/>
        <v>-172684</v>
      </c>
      <c r="DI93" s="333">
        <f t="shared" si="201"/>
        <v>-93664</v>
      </c>
      <c r="DJ93" s="333">
        <f t="shared" si="201"/>
        <v>-1477487.7</v>
      </c>
      <c r="DK93" s="948"/>
      <c r="DL93" s="333">
        <f t="shared" ref="DL93:DX93" si="202">DL90-DL81</f>
        <v>49405</v>
      </c>
      <c r="DM93" s="333">
        <f t="shared" si="202"/>
        <v>12586</v>
      </c>
      <c r="DN93" s="333">
        <f t="shared" si="202"/>
        <v>11531</v>
      </c>
      <c r="DO93" s="333">
        <f t="shared" si="202"/>
        <v>15612</v>
      </c>
      <c r="DP93" s="333">
        <f t="shared" si="202"/>
        <v>51708</v>
      </c>
      <c r="DQ93" s="333">
        <f t="shared" si="202"/>
        <v>12217</v>
      </c>
      <c r="DR93" s="333">
        <f t="shared" si="202"/>
        <v>30325</v>
      </c>
      <c r="DS93" s="333">
        <f t="shared" si="202"/>
        <v>43138</v>
      </c>
      <c r="DT93" s="333">
        <f t="shared" si="202"/>
        <v>18982</v>
      </c>
      <c r="DU93" s="333">
        <f t="shared" si="202"/>
        <v>-186892</v>
      </c>
      <c r="DV93" s="333">
        <f t="shared" si="202"/>
        <v>-172684</v>
      </c>
      <c r="DW93" s="333">
        <f t="shared" si="202"/>
        <v>-93664</v>
      </c>
      <c r="DX93" s="333">
        <f t="shared" si="202"/>
        <v>-1822894</v>
      </c>
    </row>
    <row r="94" spans="1:129" ht="14.25" hidden="1" customHeight="1">
      <c r="A94" s="55" t="s">
        <v>104</v>
      </c>
      <c r="B94" s="56"/>
      <c r="C94" s="280"/>
      <c r="D94" s="288" t="e">
        <f t="shared" ref="D94:F94" si="203">#REF!-#REF!</f>
        <v>#REF!</v>
      </c>
      <c r="E94" s="57" t="e">
        <f t="shared" si="203"/>
        <v>#REF!</v>
      </c>
      <c r="F94" s="57" t="e">
        <f t="shared" si="203"/>
        <v>#REF!</v>
      </c>
      <c r="G94" s="57" t="e">
        <f t="shared" ref="G94:I94" si="204">G81-#REF!</f>
        <v>#REF!</v>
      </c>
      <c r="H94" s="57" t="e">
        <f t="shared" si="204"/>
        <v>#REF!</v>
      </c>
      <c r="I94" s="57" t="e">
        <f t="shared" si="204"/>
        <v>#REF!</v>
      </c>
      <c r="J94" s="57" t="e">
        <f t="shared" ref="J94:K94" si="205">#REF!-#REF!</f>
        <v>#REF!</v>
      </c>
      <c r="K94" s="57" t="e">
        <f t="shared" si="205"/>
        <v>#REF!</v>
      </c>
      <c r="L94" s="57">
        <f>L81-L34</f>
        <v>-24911</v>
      </c>
      <c r="M94" s="57">
        <f>M81-M34</f>
        <v>-13674</v>
      </c>
      <c r="N94" s="57">
        <f>N81-N34</f>
        <v>57632</v>
      </c>
      <c r="O94" s="57">
        <f>O81-O34</f>
        <v>74079</v>
      </c>
      <c r="P94" s="289" t="e">
        <f>SUM(D94:O94)</f>
        <v>#REF!</v>
      </c>
      <c r="Q94" s="39"/>
      <c r="R94" s="288">
        <f t="shared" ref="R94:AD94" si="206">R81-R34</f>
        <v>22222.660017050745</v>
      </c>
      <c r="S94" s="58">
        <f t="shared" si="206"/>
        <v>17159.673608830723</v>
      </c>
      <c r="T94" s="58">
        <f t="shared" si="206"/>
        <v>-24753.77192982455</v>
      </c>
      <c r="U94" s="58">
        <f t="shared" si="206"/>
        <v>-17814.899999999998</v>
      </c>
      <c r="V94" s="58">
        <f t="shared" si="206"/>
        <v>1715</v>
      </c>
      <c r="W94" s="290">
        <f t="shared" si="206"/>
        <v>120430.6180497602</v>
      </c>
      <c r="X94" s="290">
        <f t="shared" si="206"/>
        <v>43436.666666667006</v>
      </c>
      <c r="Y94" s="290">
        <f t="shared" si="206"/>
        <v>-29747.083333333314</v>
      </c>
      <c r="Z94" s="290">
        <f t="shared" si="206"/>
        <v>-80887.5</v>
      </c>
      <c r="AA94" s="290">
        <f t="shared" si="206"/>
        <v>10200</v>
      </c>
      <c r="AB94" s="290">
        <f t="shared" si="206"/>
        <v>137500</v>
      </c>
      <c r="AC94" s="290">
        <f t="shared" si="206"/>
        <v>134100</v>
      </c>
      <c r="AD94" s="291">
        <f t="shared" si="206"/>
        <v>333561.36307915067</v>
      </c>
      <c r="AE94" s="59"/>
      <c r="AF94" s="292">
        <f t="shared" ref="AF94:AQ94" si="207">AF81-AF34</f>
        <v>32754</v>
      </c>
      <c r="AG94" s="58">
        <f t="shared" si="207"/>
        <v>-11977</v>
      </c>
      <c r="AH94" s="58">
        <f t="shared" si="207"/>
        <v>76847</v>
      </c>
      <c r="AI94" s="58">
        <f t="shared" si="207"/>
        <v>59682</v>
      </c>
      <c r="AJ94" s="58">
        <f t="shared" si="207"/>
        <v>74226</v>
      </c>
      <c r="AK94" s="58">
        <f t="shared" si="207"/>
        <v>14740</v>
      </c>
      <c r="AL94" s="58">
        <f t="shared" si="207"/>
        <v>38005</v>
      </c>
      <c r="AM94" s="58">
        <f t="shared" si="207"/>
        <v>-71903</v>
      </c>
      <c r="AN94" s="58">
        <f t="shared" si="207"/>
        <v>-90633.333333333343</v>
      </c>
      <c r="AO94" s="58">
        <f t="shared" si="207"/>
        <v>-115900</v>
      </c>
      <c r="AP94" s="58">
        <f t="shared" si="207"/>
        <v>1360</v>
      </c>
      <c r="AQ94" s="58">
        <f t="shared" si="207"/>
        <v>2160</v>
      </c>
      <c r="AR94" s="58">
        <f t="shared" si="185"/>
        <v>9360.666666666657</v>
      </c>
      <c r="AS94" s="59"/>
      <c r="AT94" s="58">
        <f t="shared" ref="AT94:BE94" si="208">AT81-AT34</f>
        <v>-19749.25</v>
      </c>
      <c r="AU94" s="58">
        <f t="shared" si="208"/>
        <v>-43342.103448275855</v>
      </c>
      <c r="AV94" s="58">
        <f t="shared" si="208"/>
        <v>-36893.137931034493</v>
      </c>
      <c r="AW94" s="58">
        <f t="shared" si="208"/>
        <v>-32095.137931034493</v>
      </c>
      <c r="AX94" s="58">
        <f t="shared" si="208"/>
        <v>19900.034482758623</v>
      </c>
      <c r="AY94" s="58">
        <f t="shared" si="208"/>
        <v>19999.222221222211</v>
      </c>
      <c r="AZ94" s="58">
        <f t="shared" si="208"/>
        <v>-14264.777777777781</v>
      </c>
      <c r="BA94" s="58">
        <f t="shared" si="208"/>
        <v>-68922.296296296292</v>
      </c>
      <c r="BB94" s="58">
        <f t="shared" si="208"/>
        <v>-78407.777777777781</v>
      </c>
      <c r="BC94" s="58">
        <f t="shared" si="208"/>
        <v>-95868.290755657828</v>
      </c>
      <c r="BD94" s="58">
        <f t="shared" si="208"/>
        <v>-5124.586881472962</v>
      </c>
      <c r="BE94" s="58">
        <f t="shared" si="208"/>
        <v>-10986.612965093984</v>
      </c>
      <c r="BF94" s="58">
        <f t="shared" si="187"/>
        <v>-365754.71506044065</v>
      </c>
      <c r="BG94" s="59"/>
      <c r="BH94" s="58">
        <f t="shared" ref="BH94:BQ94" si="209">BH81-BH34</f>
        <v>-12993</v>
      </c>
      <c r="BI94" s="58">
        <f t="shared" si="209"/>
        <v>-30242.333333333314</v>
      </c>
      <c r="BJ94" s="58">
        <f t="shared" si="209"/>
        <v>-23206.074074074073</v>
      </c>
      <c r="BK94" s="58">
        <f t="shared" si="209"/>
        <v>-47411.74074074073</v>
      </c>
      <c r="BL94" s="58">
        <f t="shared" si="209"/>
        <v>-23836.851851851854</v>
      </c>
      <c r="BM94" s="58">
        <f t="shared" si="209"/>
        <v>23509.740740740745</v>
      </c>
      <c r="BN94" s="58">
        <f t="shared" si="209"/>
        <v>-33707.555555555562</v>
      </c>
      <c r="BO94" s="58">
        <f t="shared" si="209"/>
        <v>-18896.378111111087</v>
      </c>
      <c r="BP94" s="58">
        <f t="shared" si="209"/>
        <v>-45053.749537037045</v>
      </c>
      <c r="BQ94" s="58">
        <f t="shared" si="209"/>
        <v>-7140</v>
      </c>
      <c r="BR94" s="58"/>
      <c r="BS94" s="58"/>
      <c r="BT94" s="58">
        <f t="shared" si="189"/>
        <v>-218977.94246296291</v>
      </c>
      <c r="BU94" s="60"/>
      <c r="BV94" s="58"/>
      <c r="BW94" s="58"/>
      <c r="BX94" s="58"/>
      <c r="BY94" s="58">
        <f>BY81-BY34</f>
        <v>13630.76923076922</v>
      </c>
      <c r="BZ94" s="58">
        <f t="shared" ref="BZ94:CG94" si="210">BZ81-BZ34</f>
        <v>14117.606582143373</v>
      </c>
      <c r="CA94" s="58">
        <f t="shared" si="210"/>
        <v>16957.870899031579</v>
      </c>
      <c r="CB94" s="58">
        <f t="shared" si="210"/>
        <v>3013.7855523840117</v>
      </c>
      <c r="CC94" s="58">
        <f t="shared" si="210"/>
        <v>-28501.089448851068</v>
      </c>
      <c r="CD94" s="58">
        <f t="shared" si="210"/>
        <v>-40033.040135593415</v>
      </c>
      <c r="CE94" s="58">
        <f t="shared" si="210"/>
        <v>-43122.303862118919</v>
      </c>
      <c r="CF94" s="58">
        <f t="shared" si="210"/>
        <v>-3915.8422363018617</v>
      </c>
      <c r="CG94" s="58">
        <f t="shared" si="210"/>
        <v>11316.183308289634</v>
      </c>
      <c r="CH94" s="58">
        <f>CH90-CH76</f>
        <v>-50665</v>
      </c>
      <c r="CJ94" s="58">
        <f t="shared" ref="CJ94:CV94" si="211">CJ81-CJ34</f>
        <v>7083.6330227357394</v>
      </c>
      <c r="CK94" s="58">
        <f t="shared" si="211"/>
        <v>13756.340186358546</v>
      </c>
      <c r="CL94" s="58">
        <f t="shared" si="211"/>
        <v>4307.6667014535924</v>
      </c>
      <c r="CM94" s="58">
        <f t="shared" si="211"/>
        <v>34375.841222512099</v>
      </c>
      <c r="CN94" s="58">
        <f t="shared" si="211"/>
        <v>10438.8879612374</v>
      </c>
      <c r="CO94" s="58">
        <f t="shared" si="211"/>
        <v>63053.84509877002</v>
      </c>
      <c r="CP94" s="58">
        <f t="shared" si="211"/>
        <v>32882.489535864966</v>
      </c>
      <c r="CQ94" s="58">
        <f t="shared" si="211"/>
        <v>-22005.693924050604</v>
      </c>
      <c r="CR94" s="58">
        <f t="shared" si="211"/>
        <v>-47858.190843881865</v>
      </c>
      <c r="CS94" s="58">
        <f t="shared" si="211"/>
        <v>-44713.95105485231</v>
      </c>
      <c r="CT94" s="58">
        <f t="shared" si="211"/>
        <v>-9023.6010970463976</v>
      </c>
      <c r="CU94" s="58">
        <f t="shared" si="211"/>
        <v>22348.607594936708</v>
      </c>
      <c r="CV94" s="58">
        <f t="shared" si="211"/>
        <v>64645.874404037837</v>
      </c>
      <c r="CW94" s="758"/>
      <c r="CX94" s="58">
        <f>CX81-CX34</f>
        <v>-58112.900000000023</v>
      </c>
      <c r="CY94" s="58">
        <f t="shared" ref="CY94:DK94" si="212">CY81-CY34</f>
        <v>-27135.399999999994</v>
      </c>
      <c r="CZ94" s="58">
        <f t="shared" si="212"/>
        <v>-178620</v>
      </c>
      <c r="DA94" s="58">
        <f t="shared" si="212"/>
        <v>-70160</v>
      </c>
      <c r="DB94" s="58">
        <f t="shared" si="212"/>
        <v>-21670.250000000029</v>
      </c>
      <c r="DC94" s="58">
        <f t="shared" si="212"/>
        <v>-31247.280000000013</v>
      </c>
      <c r="DD94" s="58">
        <f t="shared" si="212"/>
        <v>-57067.280000000057</v>
      </c>
      <c r="DE94" s="58">
        <f t="shared" si="212"/>
        <v>-69834.960000000021</v>
      </c>
      <c r="DF94" s="58">
        <f t="shared" si="212"/>
        <v>-133791.14000000001</v>
      </c>
      <c r="DG94" s="58">
        <f t="shared" si="212"/>
        <v>-93543.060337552743</v>
      </c>
      <c r="DH94" s="58">
        <f t="shared" si="212"/>
        <v>-18312.786751054868</v>
      </c>
      <c r="DI94" s="58">
        <f t="shared" si="212"/>
        <v>-13948.445569620264</v>
      </c>
      <c r="DJ94" s="58">
        <f t="shared" si="212"/>
        <v>-258443.50265822816</v>
      </c>
      <c r="DK94" s="948"/>
      <c r="DL94" s="58">
        <f>DL81-DL34</f>
        <v>-74180.000000000029</v>
      </c>
      <c r="DM94" s="58">
        <f t="shared" ref="DM94:DY94" si="213">DM81-DM34</f>
        <v>-28520</v>
      </c>
      <c r="DN94" s="58">
        <f t="shared" si="213"/>
        <v>-32740</v>
      </c>
      <c r="DO94" s="58">
        <f t="shared" si="213"/>
        <v>-16622.043000000063</v>
      </c>
      <c r="DP94" s="58">
        <f t="shared" si="213"/>
        <v>-27156.131000000023</v>
      </c>
      <c r="DQ94" s="58">
        <f t="shared" si="213"/>
        <v>-10201.864000000031</v>
      </c>
      <c r="DR94" s="58">
        <f t="shared" si="213"/>
        <v>-71768.950200000079</v>
      </c>
      <c r="DS94" s="58">
        <f t="shared" si="213"/>
        <v>-108911.09540000002</v>
      </c>
      <c r="DT94" s="58">
        <f t="shared" si="213"/>
        <v>-161196.95870000008</v>
      </c>
      <c r="DU94" s="58">
        <f t="shared" si="213"/>
        <v>-119312.53237130807</v>
      </c>
      <c r="DV94" s="58">
        <f t="shared" si="213"/>
        <v>-34666.464826160372</v>
      </c>
      <c r="DW94" s="58">
        <f t="shared" si="213"/>
        <v>-21559.690126582282</v>
      </c>
      <c r="DX94" s="58">
        <f t="shared" si="213"/>
        <v>-706835.7296240516</v>
      </c>
    </row>
    <row r="95" spans="1:129" ht="15" hidden="1" customHeight="1">
      <c r="B95" t="s">
        <v>106</v>
      </c>
      <c r="BZ95" s="598"/>
      <c r="CA95" s="598">
        <f>BZ95+CA94</f>
        <v>16957.870899031579</v>
      </c>
      <c r="CB95" s="598">
        <f t="shared" ref="CB95:CG95" si="214">CA95+CB94</f>
        <v>19971.656451415591</v>
      </c>
      <c r="CC95" s="598">
        <f t="shared" si="214"/>
        <v>-8529.4329974354769</v>
      </c>
      <c r="CD95" s="598">
        <f t="shared" si="214"/>
        <v>-48562.473133028892</v>
      </c>
      <c r="CE95" s="598">
        <f t="shared" si="214"/>
        <v>-91684.776995147811</v>
      </c>
      <c r="CF95" s="598">
        <f t="shared" si="214"/>
        <v>-95600.619231449673</v>
      </c>
      <c r="CG95" s="598">
        <f t="shared" si="214"/>
        <v>-84284.435923160039</v>
      </c>
      <c r="CN95">
        <v>147</v>
      </c>
      <c r="CO95">
        <v>147</v>
      </c>
      <c r="CP95">
        <v>147</v>
      </c>
      <c r="CQ95">
        <v>147</v>
      </c>
      <c r="CR95">
        <v>147</v>
      </c>
      <c r="CS95">
        <v>147</v>
      </c>
      <c r="CT95">
        <v>147</v>
      </c>
      <c r="CU95">
        <v>147</v>
      </c>
      <c r="CW95" s="758"/>
      <c r="CX95">
        <f>CX78/(CX77+CX78)</f>
        <v>0.10889228207304867</v>
      </c>
      <c r="CY95">
        <f t="shared" ref="CY95:DI95" si="215">CY78/(CY77+CY78)</f>
        <v>0.10906332005393196</v>
      </c>
      <c r="CZ95">
        <f t="shared" si="215"/>
        <v>0.10560295990871499</v>
      </c>
      <c r="DA95">
        <f t="shared" si="215"/>
        <v>0.1103740306776172</v>
      </c>
      <c r="DB95">
        <f t="shared" si="215"/>
        <v>0.13051445317054414</v>
      </c>
      <c r="DC95">
        <f t="shared" si="215"/>
        <v>0.11523987852948538</v>
      </c>
      <c r="DD95">
        <f t="shared" si="215"/>
        <v>0.15437832681434827</v>
      </c>
      <c r="DE95">
        <f t="shared" si="215"/>
        <v>0.15036914685746341</v>
      </c>
      <c r="DF95">
        <f t="shared" si="215"/>
        <v>0.14020904139872914</v>
      </c>
      <c r="DG95">
        <f t="shared" si="215"/>
        <v>7.9975851863863481E-2</v>
      </c>
      <c r="DH95">
        <f t="shared" si="215"/>
        <v>0.10518071187595056</v>
      </c>
      <c r="DI95">
        <f t="shared" si="215"/>
        <v>9.825520729297918E-2</v>
      </c>
      <c r="DK95" s="948"/>
      <c r="DL95">
        <f>DL78/(DL77+DL78)</f>
        <v>9.6743432367023818E-2</v>
      </c>
      <c r="DM95">
        <f t="shared" ref="DM95:DW95" si="216">DM78/(DM77+DM78)</f>
        <v>9.6498631887906555E-2</v>
      </c>
      <c r="DN95">
        <f t="shared" si="216"/>
        <v>9.4591881536495157E-2</v>
      </c>
      <c r="DO95">
        <f t="shared" si="216"/>
        <v>9.7964874027716115E-2</v>
      </c>
      <c r="DP95">
        <f t="shared" si="216"/>
        <v>9.6214773867036557E-2</v>
      </c>
      <c r="DQ95">
        <f t="shared" si="216"/>
        <v>9.1265234582406166E-2</v>
      </c>
      <c r="DR95">
        <f t="shared" si="216"/>
        <v>0.10014614608853602</v>
      </c>
      <c r="DS95">
        <f t="shared" si="216"/>
        <v>0.11099587737436893</v>
      </c>
      <c r="DT95">
        <f t="shared" si="216"/>
        <v>0.1164117090457787</v>
      </c>
      <c r="DU95">
        <f t="shared" si="216"/>
        <v>7.1907521879673655E-2</v>
      </c>
      <c r="DV95">
        <f t="shared" si="216"/>
        <v>9.4879734818233225E-2</v>
      </c>
      <c r="DW95">
        <f t="shared" si="216"/>
        <v>8.908196304065602E-2</v>
      </c>
    </row>
    <row r="96" spans="1:129" ht="15" hidden="1" customHeight="1">
      <c r="B96" t="s">
        <v>107</v>
      </c>
      <c r="CN96" s="735">
        <f>CN89/CN95</f>
        <v>8840.5732799999987</v>
      </c>
      <c r="CO96" s="735">
        <f t="shared" ref="CO96:CU96" si="217">CO89/CO95</f>
        <v>9261.5529599999973</v>
      </c>
      <c r="CP96" s="735">
        <f t="shared" si="217"/>
        <v>10524.491999999997</v>
      </c>
      <c r="CQ96" s="735">
        <f t="shared" si="217"/>
        <v>8840.5732799999987</v>
      </c>
      <c r="CR96" s="735">
        <f t="shared" si="217"/>
        <v>9261.5529599999973</v>
      </c>
      <c r="CS96" s="735">
        <f t="shared" si="217"/>
        <v>9682.5326399999976</v>
      </c>
      <c r="CT96" s="735">
        <f t="shared" si="217"/>
        <v>9261.5529599999973</v>
      </c>
      <c r="CU96" s="735">
        <f t="shared" si="217"/>
        <v>7156.654559999999</v>
      </c>
      <c r="CW96" s="758"/>
      <c r="CX96">
        <f>ROUND(CX95*CX81,0)</f>
        <v>14361</v>
      </c>
      <c r="CY96">
        <f t="shared" ref="CY96:DI96" si="218">ROUND(CY95*CY81,0)</f>
        <v>12855</v>
      </c>
      <c r="CZ96">
        <f t="shared" si="218"/>
        <v>146</v>
      </c>
      <c r="DA96">
        <f t="shared" si="218"/>
        <v>5060</v>
      </c>
      <c r="DB96">
        <f t="shared" si="218"/>
        <v>20005</v>
      </c>
      <c r="DC96">
        <f t="shared" si="218"/>
        <v>11477</v>
      </c>
      <c r="DD96">
        <f t="shared" si="218"/>
        <v>24142</v>
      </c>
      <c r="DE96">
        <f t="shared" si="218"/>
        <v>23477</v>
      </c>
      <c r="DF96">
        <f t="shared" si="218"/>
        <v>22699</v>
      </c>
      <c r="DG96">
        <f t="shared" si="218"/>
        <v>14947</v>
      </c>
      <c r="DH96">
        <f t="shared" si="218"/>
        <v>18163</v>
      </c>
      <c r="DI96">
        <f t="shared" si="218"/>
        <v>9203</v>
      </c>
      <c r="DK96" s="948"/>
      <c r="DL96">
        <f>ROUND(DL95*DL81,0)</f>
        <v>13732</v>
      </c>
      <c r="DM96">
        <f t="shared" ref="DM96:DW96" si="219">ROUND(DM95*DM81,0)</f>
        <v>12816</v>
      </c>
      <c r="DN96">
        <f t="shared" si="219"/>
        <v>15473</v>
      </c>
      <c r="DO96">
        <f t="shared" si="219"/>
        <v>17285</v>
      </c>
      <c r="DP96">
        <f t="shared" si="219"/>
        <v>15691</v>
      </c>
      <c r="DQ96">
        <f t="shared" si="219"/>
        <v>12002</v>
      </c>
      <c r="DR96">
        <f t="shared" si="219"/>
        <v>16113</v>
      </c>
      <c r="DS96">
        <f t="shared" si="219"/>
        <v>15263</v>
      </c>
      <c r="DT96">
        <f t="shared" si="219"/>
        <v>18846</v>
      </c>
      <c r="DU96">
        <f t="shared" si="219"/>
        <v>13439</v>
      </c>
      <c r="DV96">
        <f t="shared" si="219"/>
        <v>16384</v>
      </c>
      <c r="DW96">
        <f t="shared" si="219"/>
        <v>8344</v>
      </c>
    </row>
    <row r="97" spans="1:128" ht="15" hidden="1" customHeight="1">
      <c r="CO97" s="598">
        <f>CO85</f>
        <v>9000</v>
      </c>
      <c r="CP97" s="598">
        <f t="shared" ref="CP97:CU97" si="220">CP85</f>
        <v>9800</v>
      </c>
      <c r="CQ97" s="598">
        <f t="shared" si="220"/>
        <v>9900</v>
      </c>
      <c r="CR97" s="598">
        <f t="shared" si="220"/>
        <v>9900</v>
      </c>
      <c r="CS97" s="598">
        <f t="shared" si="220"/>
        <v>9300</v>
      </c>
      <c r="CT97" s="598">
        <f t="shared" si="220"/>
        <v>8400</v>
      </c>
      <c r="CU97" s="598">
        <f t="shared" si="220"/>
        <v>9300</v>
      </c>
      <c r="CW97" s="758"/>
      <c r="CX97" s="413">
        <v>194469.46000000002</v>
      </c>
      <c r="CY97" s="413">
        <v>159466.88999999998</v>
      </c>
      <c r="CZ97" s="413">
        <v>208203.57</v>
      </c>
      <c r="DA97" s="413">
        <v>158532.44</v>
      </c>
      <c r="DB97" s="413">
        <v>157404.75999999998</v>
      </c>
      <c r="DC97" s="413">
        <v>118894.62</v>
      </c>
      <c r="DD97" s="413">
        <v>211625.73</v>
      </c>
      <c r="DE97" s="413">
        <v>208193.11</v>
      </c>
      <c r="DF97" s="413">
        <v>269889.13</v>
      </c>
      <c r="DG97" s="413">
        <v>258868.84085232066</v>
      </c>
      <c r="DH97" s="413">
        <v>178376.53444641351</v>
      </c>
      <c r="DI97" s="413">
        <v>114212.18776329115</v>
      </c>
      <c r="DK97" s="948"/>
      <c r="DL97" s="413">
        <f>DL98*1.1</f>
        <v>213916.40600000005</v>
      </c>
      <c r="DM97" s="413">
        <f t="shared" ref="DM97:DW97" si="221">DM98*1.1</f>
        <v>175413.579</v>
      </c>
      <c r="DN97" s="413">
        <f t="shared" si="221"/>
        <v>229023.92700000003</v>
      </c>
      <c r="DO97" s="413">
        <f t="shared" si="221"/>
        <v>174385.68400000001</v>
      </c>
      <c r="DP97" s="413">
        <f t="shared" si="221"/>
        <v>173145.236</v>
      </c>
      <c r="DQ97" s="413">
        <f t="shared" si="221"/>
        <v>130784.08200000001</v>
      </c>
      <c r="DR97" s="413">
        <f t="shared" si="221"/>
        <v>232788.30300000004</v>
      </c>
      <c r="DS97" s="413">
        <f t="shared" si="221"/>
        <v>229012.421</v>
      </c>
      <c r="DT97" s="413">
        <f t="shared" si="221"/>
        <v>296878.04300000001</v>
      </c>
      <c r="DU97" s="413">
        <f t="shared" si="221"/>
        <v>284755.72493755276</v>
      </c>
      <c r="DV97" s="413">
        <f t="shared" si="221"/>
        <v>196214.18789105487</v>
      </c>
      <c r="DW97" s="413">
        <f t="shared" si="221"/>
        <v>125633.40653962028</v>
      </c>
    </row>
    <row r="98" spans="1:128" ht="15" hidden="1" customHeight="1">
      <c r="B98" s="576"/>
      <c r="C98" s="576"/>
      <c r="D98" s="576"/>
      <c r="E98" s="576"/>
      <c r="F98" s="576"/>
      <c r="G98" s="576"/>
      <c r="H98" s="576"/>
      <c r="I98" s="576"/>
      <c r="J98" s="576"/>
      <c r="K98" s="576"/>
      <c r="L98" s="576"/>
      <c r="M98" s="576"/>
      <c r="N98" s="576"/>
      <c r="O98" s="576"/>
      <c r="P98" s="576"/>
      <c r="Q98" s="576"/>
      <c r="R98" s="576"/>
      <c r="S98" s="576"/>
      <c r="T98" s="576"/>
      <c r="U98" s="576"/>
      <c r="V98" s="576"/>
      <c r="W98" s="576"/>
      <c r="X98" s="576"/>
      <c r="Y98" s="576"/>
      <c r="Z98" s="576"/>
      <c r="AA98" s="576"/>
      <c r="AB98" s="576"/>
      <c r="AC98" s="576"/>
      <c r="AD98" s="576"/>
      <c r="AE98" s="576"/>
      <c r="AF98" s="576"/>
      <c r="AG98" s="576"/>
      <c r="AH98" s="576"/>
      <c r="AI98" s="576"/>
      <c r="AJ98" s="576"/>
      <c r="AK98" s="576"/>
      <c r="AL98" s="576"/>
      <c r="AM98" s="576"/>
      <c r="AN98" s="576"/>
      <c r="AO98" s="576"/>
      <c r="AP98" s="576"/>
      <c r="AQ98" s="576"/>
      <c r="AR98" s="576"/>
      <c r="AS98" s="576"/>
      <c r="AT98" s="576"/>
      <c r="AU98" s="576"/>
      <c r="AV98" s="576"/>
      <c r="AW98" s="576"/>
      <c r="AX98" s="576"/>
      <c r="AY98" s="576"/>
      <c r="AZ98" s="576"/>
      <c r="BA98" s="576"/>
      <c r="BB98" s="576"/>
      <c r="BC98" s="576"/>
      <c r="BD98" s="576"/>
      <c r="BE98" s="576"/>
      <c r="BF98" s="576"/>
      <c r="BG98" s="576"/>
      <c r="BH98" s="576"/>
      <c r="BI98" s="576"/>
      <c r="BJ98" s="576"/>
      <c r="BK98" s="576"/>
      <c r="BL98" s="576"/>
      <c r="BM98" s="576"/>
      <c r="BN98" s="576"/>
      <c r="BO98" s="576"/>
      <c r="BP98" s="576"/>
      <c r="BQ98" s="576"/>
      <c r="BR98" s="576"/>
      <c r="BS98" s="576"/>
      <c r="BT98" s="576"/>
      <c r="BU98" s="576"/>
      <c r="BV98" s="576"/>
      <c r="BW98" s="576"/>
      <c r="BX98" s="576"/>
      <c r="BY98" s="576"/>
      <c r="BZ98" s="576"/>
      <c r="CA98" s="576"/>
      <c r="CB98" s="576"/>
      <c r="CC98" s="576"/>
      <c r="CD98" s="576"/>
      <c r="CE98" s="576"/>
      <c r="CF98" s="576"/>
      <c r="CG98" s="576"/>
      <c r="CH98" s="576"/>
      <c r="CI98" s="576"/>
      <c r="CJ98" s="576"/>
      <c r="CK98" s="576"/>
      <c r="CL98" s="576"/>
      <c r="CM98" s="576"/>
      <c r="CN98" s="576"/>
      <c r="CO98" s="576">
        <f>CO81*0.95</f>
        <v>188100</v>
      </c>
      <c r="CP98" s="576">
        <f t="shared" ref="CP98:CU98" si="222">CP81*0.95</f>
        <v>232750</v>
      </c>
      <c r="CQ98" s="576">
        <f t="shared" si="222"/>
        <v>197505</v>
      </c>
      <c r="CR98" s="576">
        <f t="shared" si="222"/>
        <v>206910</v>
      </c>
      <c r="CS98" s="576">
        <f t="shared" si="222"/>
        <v>195300.05</v>
      </c>
      <c r="CT98" s="576">
        <f t="shared" si="222"/>
        <v>156123</v>
      </c>
      <c r="CU98" s="576">
        <f t="shared" si="222"/>
        <v>112727</v>
      </c>
      <c r="CV98" s="576"/>
      <c r="CW98" s="758"/>
      <c r="CX98" s="576"/>
      <c r="CY98" s="576"/>
      <c r="CZ98" s="576"/>
      <c r="DA98" s="576"/>
      <c r="DB98" s="576"/>
      <c r="DC98" s="576"/>
      <c r="DD98" s="576"/>
      <c r="DE98" s="576"/>
      <c r="DF98" s="576"/>
      <c r="DG98" s="576"/>
      <c r="DH98" s="576"/>
      <c r="DI98" s="576"/>
      <c r="DK98" s="948"/>
      <c r="DL98" s="413">
        <v>194469.46000000002</v>
      </c>
      <c r="DM98" s="413">
        <v>159466.88999999998</v>
      </c>
      <c r="DN98" s="413">
        <v>208203.57</v>
      </c>
      <c r="DO98" s="413">
        <v>158532.44</v>
      </c>
      <c r="DP98" s="413">
        <v>157404.75999999998</v>
      </c>
      <c r="DQ98" s="413">
        <v>118894.62</v>
      </c>
      <c r="DR98" s="413">
        <v>211625.73</v>
      </c>
      <c r="DS98" s="413">
        <v>208193.11</v>
      </c>
      <c r="DT98" s="413">
        <v>269889.13</v>
      </c>
      <c r="DU98" s="413">
        <v>258868.84085232066</v>
      </c>
      <c r="DV98" s="413">
        <v>178376.53444641351</v>
      </c>
      <c r="DW98" s="413">
        <v>114212.18776329115</v>
      </c>
    </row>
    <row r="99" spans="1:128" ht="15" hidden="1" customHeight="1">
      <c r="A99" s="576"/>
      <c r="B99" s="760" t="s">
        <v>136</v>
      </c>
      <c r="C99" s="761"/>
      <c r="D99" s="761"/>
      <c r="E99" s="761"/>
      <c r="F99" s="761"/>
      <c r="G99" s="761"/>
      <c r="H99" s="761"/>
      <c r="I99" s="761"/>
      <c r="J99" s="761"/>
      <c r="K99" s="761"/>
      <c r="L99" s="761"/>
      <c r="M99" s="761"/>
      <c r="N99" s="761"/>
      <c r="O99" s="761"/>
      <c r="P99" s="761"/>
      <c r="Q99" s="761"/>
      <c r="R99" s="761"/>
      <c r="S99" s="761"/>
      <c r="T99" s="761"/>
      <c r="U99" s="761"/>
      <c r="V99" s="761"/>
      <c r="W99" s="761"/>
      <c r="X99" s="761"/>
      <c r="Y99" s="761"/>
      <c r="Z99" s="761"/>
      <c r="AA99" s="761"/>
      <c r="AB99" s="761"/>
      <c r="AC99" s="761"/>
      <c r="AD99" s="761"/>
      <c r="AE99" s="761"/>
      <c r="AF99" s="761"/>
      <c r="AG99" s="761"/>
      <c r="AH99" s="761"/>
      <c r="AI99" s="761"/>
      <c r="AJ99" s="761"/>
      <c r="AK99" s="761"/>
      <c r="AL99" s="761"/>
      <c r="AM99" s="761"/>
      <c r="AN99" s="761"/>
      <c r="AO99" s="761"/>
      <c r="AP99" s="761"/>
      <c r="AQ99" s="761"/>
      <c r="AR99" s="761"/>
      <c r="AS99" s="761"/>
      <c r="AT99" s="761"/>
      <c r="AU99" s="761"/>
      <c r="AV99" s="761"/>
      <c r="AW99" s="761"/>
      <c r="AX99" s="761"/>
      <c r="AY99" s="761"/>
      <c r="AZ99" s="761"/>
      <c r="BA99" s="761"/>
      <c r="BB99" s="761"/>
      <c r="BC99" s="761"/>
      <c r="BD99" s="761"/>
      <c r="BE99" s="761"/>
      <c r="BF99" s="761"/>
      <c r="BG99" s="761"/>
      <c r="BH99" s="761"/>
      <c r="BI99" s="761"/>
      <c r="BJ99" s="761"/>
      <c r="BK99" s="761"/>
      <c r="BL99" s="761"/>
      <c r="BM99" s="761"/>
      <c r="BN99" s="761"/>
      <c r="BO99" s="761"/>
      <c r="BP99" s="761"/>
      <c r="BQ99" s="761"/>
      <c r="BR99" s="761"/>
      <c r="BS99" s="761"/>
      <c r="BT99" s="761"/>
      <c r="BU99" s="761"/>
      <c r="BV99" s="761"/>
      <c r="BW99" s="761"/>
      <c r="BX99" s="761"/>
      <c r="BY99" s="761"/>
      <c r="BZ99" s="761"/>
      <c r="CA99" s="761"/>
      <c r="CB99" s="761"/>
      <c r="CC99" s="761"/>
      <c r="CD99" s="761"/>
      <c r="CE99" s="761"/>
      <c r="CF99" s="761"/>
      <c r="CG99" s="761"/>
      <c r="CH99" s="761"/>
      <c r="CI99" s="761"/>
      <c r="CJ99" s="761"/>
      <c r="CK99" s="761"/>
      <c r="CL99" s="761"/>
      <c r="CM99" s="761"/>
      <c r="CN99" s="761"/>
      <c r="CO99" s="761"/>
      <c r="CP99" s="761"/>
      <c r="CQ99" s="761"/>
      <c r="CR99" s="761"/>
      <c r="CS99" s="761">
        <v>0</v>
      </c>
      <c r="CT99" s="761">
        <v>20460</v>
      </c>
      <c r="CU99" s="761">
        <f>CU105-CU104</f>
        <v>39440</v>
      </c>
      <c r="CV99" s="761"/>
      <c r="CW99" s="758"/>
      <c r="CX99" s="761">
        <f>CX105-CX104</f>
        <v>53880</v>
      </c>
      <c r="CY99" s="761">
        <f t="shared" ref="CY99:DB99" si="223">CY105-CY104</f>
        <v>30080</v>
      </c>
      <c r="CZ99" s="761">
        <f t="shared" si="223"/>
        <v>34020</v>
      </c>
      <c r="DA99" s="761">
        <f t="shared" si="223"/>
        <v>21160</v>
      </c>
      <c r="DB99" s="761">
        <v>10000</v>
      </c>
      <c r="DC99" s="761">
        <v>50000</v>
      </c>
      <c r="DD99" s="761">
        <v>40000</v>
      </c>
      <c r="DE99" s="761">
        <v>40000</v>
      </c>
      <c r="DF99" s="761">
        <v>35000</v>
      </c>
      <c r="DG99" s="761">
        <v>20000</v>
      </c>
      <c r="DH99" s="761">
        <v>10000</v>
      </c>
      <c r="DI99" s="761">
        <f>DC99</f>
        <v>50000</v>
      </c>
      <c r="DJ99" s="576"/>
      <c r="DK99" s="948"/>
      <c r="DL99" s="761">
        <f>DL105-DL104</f>
        <v>53880</v>
      </c>
      <c r="DM99" s="761">
        <f t="shared" ref="DM99:DP99" si="224">DM105-DM104</f>
        <v>30080</v>
      </c>
      <c r="DN99" s="761">
        <f t="shared" si="224"/>
        <v>34020</v>
      </c>
      <c r="DO99" s="761">
        <f t="shared" si="224"/>
        <v>21160</v>
      </c>
      <c r="DP99" s="761">
        <v>10000</v>
      </c>
      <c r="DQ99" s="761">
        <v>50000</v>
      </c>
      <c r="DR99" s="761">
        <v>40000</v>
      </c>
      <c r="DS99" s="761">
        <v>40000</v>
      </c>
      <c r="DT99" s="761">
        <v>35000</v>
      </c>
      <c r="DU99" s="761">
        <v>20000</v>
      </c>
      <c r="DV99" s="761">
        <v>10000</v>
      </c>
      <c r="DW99" s="761">
        <f>DQ99</f>
        <v>50000</v>
      </c>
      <c r="DX99" s="576"/>
    </row>
    <row r="100" spans="1:128" ht="15" hidden="1" customHeight="1">
      <c r="A100" s="576"/>
      <c r="B100" s="762" t="s">
        <v>137</v>
      </c>
      <c r="C100" s="763"/>
      <c r="D100" s="763"/>
      <c r="E100" s="763"/>
      <c r="F100" s="763"/>
      <c r="G100" s="763"/>
      <c r="H100" s="763"/>
      <c r="I100" s="763"/>
      <c r="J100" s="763"/>
      <c r="K100" s="763"/>
      <c r="L100" s="763"/>
      <c r="M100" s="763"/>
      <c r="N100" s="763"/>
      <c r="O100" s="763"/>
      <c r="P100" s="763"/>
      <c r="Q100" s="763"/>
      <c r="R100" s="763"/>
      <c r="S100" s="763"/>
      <c r="T100" s="763"/>
      <c r="U100" s="763"/>
      <c r="V100" s="763"/>
      <c r="W100" s="763"/>
      <c r="X100" s="763"/>
      <c r="Y100" s="763"/>
      <c r="Z100" s="763"/>
      <c r="AA100" s="763"/>
      <c r="AB100" s="763"/>
      <c r="AC100" s="763"/>
      <c r="AD100" s="763"/>
      <c r="AE100" s="763"/>
      <c r="AF100" s="763"/>
      <c r="AG100" s="763"/>
      <c r="AH100" s="763"/>
      <c r="AI100" s="763"/>
      <c r="AJ100" s="763"/>
      <c r="AK100" s="763"/>
      <c r="AL100" s="763"/>
      <c r="AM100" s="763"/>
      <c r="AN100" s="763"/>
      <c r="AO100" s="763"/>
      <c r="AP100" s="763"/>
      <c r="AQ100" s="763"/>
      <c r="AR100" s="763"/>
      <c r="AS100" s="763"/>
      <c r="AT100" s="763"/>
      <c r="AU100" s="763"/>
      <c r="AV100" s="763"/>
      <c r="AW100" s="763"/>
      <c r="AX100" s="763"/>
      <c r="AY100" s="763"/>
      <c r="AZ100" s="763"/>
      <c r="BA100" s="763"/>
      <c r="BB100" s="763"/>
      <c r="BC100" s="763"/>
      <c r="BD100" s="763"/>
      <c r="BE100" s="763"/>
      <c r="BF100" s="763"/>
      <c r="BG100" s="763"/>
      <c r="BH100" s="763"/>
      <c r="BI100" s="763"/>
      <c r="BJ100" s="763"/>
      <c r="BK100" s="763"/>
      <c r="BL100" s="763"/>
      <c r="BM100" s="763"/>
      <c r="BN100" s="763"/>
      <c r="BO100" s="763"/>
      <c r="BP100" s="763"/>
      <c r="BQ100" s="763"/>
      <c r="BR100" s="763"/>
      <c r="BS100" s="763"/>
      <c r="BT100" s="763"/>
      <c r="BU100" s="763"/>
      <c r="BV100" s="763"/>
      <c r="BW100" s="763"/>
      <c r="BX100" s="763"/>
      <c r="BY100" s="763"/>
      <c r="BZ100" s="763"/>
      <c r="CA100" s="763"/>
      <c r="CB100" s="763"/>
      <c r="CC100" s="763"/>
      <c r="CD100" s="763"/>
      <c r="CE100" s="763"/>
      <c r="CF100" s="763"/>
      <c r="CG100" s="763"/>
      <c r="CH100" s="763"/>
      <c r="CI100" s="763"/>
      <c r="CJ100" s="763"/>
      <c r="CK100" s="763"/>
      <c r="CL100" s="763"/>
      <c r="CM100" s="763"/>
      <c r="CN100" s="763"/>
      <c r="CO100" s="763"/>
      <c r="CP100" s="763"/>
      <c r="CQ100" s="763"/>
      <c r="CR100" s="763"/>
      <c r="CS100" s="763"/>
      <c r="CT100" s="763">
        <v>35000</v>
      </c>
      <c r="CU100" s="763">
        <v>2096</v>
      </c>
      <c r="CV100" s="763"/>
      <c r="CW100" s="758"/>
      <c r="CX100" s="764">
        <f>CX107-CX106</f>
        <v>39610</v>
      </c>
      <c r="CY100" s="764">
        <f t="shared" ref="CY100:DC100" si="225">CY107-CY106</f>
        <v>36994</v>
      </c>
      <c r="CZ100" s="764">
        <f t="shared" si="225"/>
        <v>29344</v>
      </c>
      <c r="DA100" s="764">
        <f t="shared" si="225"/>
        <v>33378</v>
      </c>
      <c r="DB100" s="764">
        <f t="shared" si="225"/>
        <v>19489</v>
      </c>
      <c r="DC100" s="764">
        <f t="shared" si="225"/>
        <v>14764</v>
      </c>
      <c r="DD100" s="763">
        <f>DD101*1.1</f>
        <v>49685.9</v>
      </c>
      <c r="DE100" s="763">
        <f t="shared" ref="DE100:DI100" si="226">DE101*1.1</f>
        <v>48585.9</v>
      </c>
      <c r="DF100" s="763">
        <f t="shared" si="226"/>
        <v>55922.9</v>
      </c>
      <c r="DG100" s="763">
        <f t="shared" si="226"/>
        <v>28156.7</v>
      </c>
      <c r="DH100" s="763">
        <f t="shared" si="226"/>
        <v>14078.35</v>
      </c>
      <c r="DI100" s="763">
        <f t="shared" si="226"/>
        <v>3300.0000000000005</v>
      </c>
      <c r="DJ100" s="576"/>
      <c r="DK100" s="948"/>
      <c r="DL100" s="764">
        <f>DL107-DL106</f>
        <v>39610</v>
      </c>
      <c r="DM100" s="764">
        <f t="shared" ref="DM100:DQ100" si="227">DM107-DM106</f>
        <v>36994</v>
      </c>
      <c r="DN100" s="764">
        <f t="shared" si="227"/>
        <v>29344</v>
      </c>
      <c r="DO100" s="764">
        <f t="shared" si="227"/>
        <v>33378</v>
      </c>
      <c r="DP100" s="764">
        <f t="shared" si="227"/>
        <v>19489</v>
      </c>
      <c r="DQ100" s="764">
        <f t="shared" si="227"/>
        <v>14764</v>
      </c>
      <c r="DR100" s="763">
        <f>DR101*1.1</f>
        <v>49685.9</v>
      </c>
      <c r="DS100" s="763">
        <f t="shared" ref="DS100:DW100" si="228">DS101*1.1</f>
        <v>48585.9</v>
      </c>
      <c r="DT100" s="763">
        <f t="shared" si="228"/>
        <v>55922.9</v>
      </c>
      <c r="DU100" s="763">
        <f t="shared" si="228"/>
        <v>28156.7</v>
      </c>
      <c r="DV100" s="763">
        <f t="shared" si="228"/>
        <v>14078.35</v>
      </c>
      <c r="DW100" s="763">
        <f t="shared" si="228"/>
        <v>3300.0000000000005</v>
      </c>
      <c r="DX100" s="576"/>
    </row>
    <row r="101" spans="1:128" ht="15" hidden="1" customHeight="1">
      <c r="B101" s="576"/>
      <c r="C101" s="576"/>
      <c r="D101" s="576"/>
      <c r="E101" s="576"/>
      <c r="F101" s="576"/>
      <c r="G101" s="576"/>
      <c r="H101" s="576"/>
      <c r="I101" s="576"/>
      <c r="J101" s="576"/>
      <c r="K101" s="576"/>
      <c r="L101" s="576"/>
      <c r="M101" s="576"/>
      <c r="N101" s="576"/>
      <c r="O101" s="576"/>
      <c r="P101" s="576"/>
      <c r="Q101" s="576"/>
      <c r="R101" s="576"/>
      <c r="S101" s="576"/>
      <c r="T101" s="576"/>
      <c r="U101" s="576"/>
      <c r="V101" s="576"/>
      <c r="W101" s="576"/>
      <c r="X101" s="576"/>
      <c r="Y101" s="576"/>
      <c r="Z101" s="576"/>
      <c r="AA101" s="576"/>
      <c r="AB101" s="576"/>
      <c r="AC101" s="576"/>
      <c r="AD101" s="576"/>
      <c r="AE101" s="576"/>
      <c r="AF101" s="576"/>
      <c r="AG101" s="576"/>
      <c r="AH101" s="576"/>
      <c r="AI101" s="576"/>
      <c r="AJ101" s="576"/>
      <c r="AK101" s="576"/>
      <c r="AL101" s="576"/>
      <c r="AM101" s="576"/>
      <c r="AN101" s="576"/>
      <c r="AO101" s="576"/>
      <c r="AP101" s="576"/>
      <c r="AQ101" s="576"/>
      <c r="AR101" s="576"/>
      <c r="AS101" s="576"/>
      <c r="AT101" s="576"/>
      <c r="AU101" s="576"/>
      <c r="AV101" s="576"/>
      <c r="AW101" s="576"/>
      <c r="AX101" s="576"/>
      <c r="AY101" s="576"/>
      <c r="AZ101" s="576"/>
      <c r="BA101" s="576"/>
      <c r="BB101" s="576"/>
      <c r="BC101" s="576"/>
      <c r="BD101" s="576"/>
      <c r="BE101" s="576"/>
      <c r="BF101" s="576"/>
      <c r="BG101" s="576"/>
      <c r="BH101" s="576"/>
      <c r="BI101" s="576"/>
      <c r="BJ101" s="576"/>
      <c r="BK101" s="576"/>
      <c r="BL101" s="576"/>
      <c r="BM101" s="576"/>
      <c r="BN101" s="576"/>
      <c r="BO101" s="576"/>
      <c r="BP101" s="576"/>
      <c r="BQ101" s="576"/>
      <c r="BR101" s="576"/>
      <c r="BS101" s="576"/>
      <c r="BT101" s="576"/>
      <c r="BU101" s="576"/>
      <c r="BV101" s="576"/>
      <c r="BW101" s="576"/>
      <c r="BX101" s="576"/>
      <c r="BY101" s="576"/>
      <c r="BZ101" s="576"/>
      <c r="CA101" s="576"/>
      <c r="CB101" s="576"/>
      <c r="CC101" s="576"/>
      <c r="CD101" s="576"/>
      <c r="CE101" s="576"/>
      <c r="CF101" s="576"/>
      <c r="CG101" s="576"/>
      <c r="CH101" s="576"/>
      <c r="CI101" s="576"/>
      <c r="CJ101" s="576"/>
      <c r="CK101" s="576"/>
      <c r="CL101" s="576"/>
      <c r="CM101" s="576"/>
      <c r="CN101" s="576"/>
      <c r="CO101" s="576"/>
      <c r="CP101" s="576"/>
      <c r="CQ101" s="576"/>
      <c r="CR101" s="576"/>
      <c r="CS101" s="576"/>
      <c r="CT101" s="576"/>
      <c r="CU101" s="576"/>
      <c r="CV101" s="576"/>
      <c r="CW101" s="758"/>
      <c r="CX101" s="576"/>
      <c r="CY101" s="576"/>
      <c r="CZ101" s="576"/>
      <c r="DA101" s="576"/>
      <c r="DB101" s="576"/>
      <c r="DC101" s="576"/>
      <c r="DD101" s="576">
        <v>45169</v>
      </c>
      <c r="DE101" s="576">
        <v>44169</v>
      </c>
      <c r="DF101" s="576">
        <v>50839</v>
      </c>
      <c r="DG101" s="576">
        <v>25597</v>
      </c>
      <c r="DH101" s="763">
        <f>DG101/2</f>
        <v>12798.5</v>
      </c>
      <c r="DI101" s="763">
        <v>3000</v>
      </c>
      <c r="DK101" s="948"/>
      <c r="DL101" s="576"/>
      <c r="DM101" s="576"/>
      <c r="DN101" s="576"/>
      <c r="DO101" s="576"/>
      <c r="DP101" s="576"/>
      <c r="DQ101" s="576"/>
      <c r="DR101" s="576">
        <v>45169</v>
      </c>
      <c r="DS101" s="576">
        <v>44169</v>
      </c>
      <c r="DT101" s="576">
        <v>50839</v>
      </c>
      <c r="DU101" s="576">
        <v>25597</v>
      </c>
      <c r="DV101" s="763">
        <f>DU101/2</f>
        <v>12798.5</v>
      </c>
      <c r="DW101" s="763">
        <v>3000</v>
      </c>
    </row>
    <row r="102" spans="1:128" ht="15" hidden="1" customHeight="1">
      <c r="CU102">
        <v>50000</v>
      </c>
      <c r="CX102">
        <v>40000</v>
      </c>
      <c r="CY102">
        <v>40000</v>
      </c>
      <c r="CZ102">
        <v>35000</v>
      </c>
      <c r="DA102">
        <v>20000</v>
      </c>
      <c r="DL102">
        <v>40000</v>
      </c>
      <c r="DM102">
        <v>40000</v>
      </c>
      <c r="DN102">
        <v>35000</v>
      </c>
      <c r="DO102">
        <v>20000</v>
      </c>
    </row>
    <row r="103" spans="1:128" ht="15" hidden="1" customHeight="1"/>
    <row r="104" spans="1:128" ht="15" hidden="1" customHeight="1">
      <c r="CT104" s="682" t="s">
        <v>138</v>
      </c>
      <c r="CU104">
        <v>31560</v>
      </c>
      <c r="CX104">
        <v>26320</v>
      </c>
      <c r="CY104">
        <v>21280</v>
      </c>
      <c r="CZ104">
        <v>19180</v>
      </c>
      <c r="DA104">
        <v>14700</v>
      </c>
      <c r="DL104">
        <v>26320</v>
      </c>
      <c r="DM104">
        <v>21280</v>
      </c>
      <c r="DN104">
        <v>19180</v>
      </c>
      <c r="DO104">
        <v>14700</v>
      </c>
    </row>
    <row r="105" spans="1:128" ht="15" hidden="1" customHeight="1">
      <c r="CU105" s="761">
        <v>71000</v>
      </c>
      <c r="CV105" s="761"/>
      <c r="CW105" s="761"/>
      <c r="CX105" s="761">
        <v>80200</v>
      </c>
      <c r="CY105" s="761">
        <v>51360</v>
      </c>
      <c r="CZ105" s="761">
        <v>53200</v>
      </c>
      <c r="DA105" s="761">
        <v>35860</v>
      </c>
      <c r="DL105" s="761">
        <v>80200</v>
      </c>
      <c r="DM105" s="761">
        <v>51360</v>
      </c>
      <c r="DN105" s="761">
        <v>53200</v>
      </c>
      <c r="DO105" s="761">
        <v>35860</v>
      </c>
    </row>
    <row r="106" spans="1:128" ht="15" hidden="1" customHeight="1">
      <c r="B106" s="576"/>
      <c r="C106" s="576"/>
      <c r="CT106" t="s">
        <v>139</v>
      </c>
      <c r="CX106" s="764">
        <v>24332</v>
      </c>
      <c r="CY106" s="764">
        <v>18419</v>
      </c>
      <c r="CZ106" s="764">
        <v>19179</v>
      </c>
      <c r="DA106" s="764">
        <v>17338</v>
      </c>
      <c r="DB106" s="764">
        <v>12064</v>
      </c>
      <c r="DC106" s="764">
        <v>9136</v>
      </c>
      <c r="DL106" s="764">
        <v>24332</v>
      </c>
      <c r="DM106" s="764">
        <v>18419</v>
      </c>
      <c r="DN106" s="764">
        <v>19179</v>
      </c>
      <c r="DO106" s="764">
        <v>17338</v>
      </c>
      <c r="DP106" s="764">
        <v>12064</v>
      </c>
      <c r="DQ106" s="764">
        <v>9136</v>
      </c>
    </row>
    <row r="107" spans="1:128" ht="15" hidden="1" customHeight="1">
      <c r="A107" s="576"/>
      <c r="B107" s="946" t="s">
        <v>140</v>
      </c>
      <c r="C107" s="947" t="s">
        <v>141</v>
      </c>
      <c r="D107" s="576"/>
      <c r="CX107" s="764">
        <v>63942</v>
      </c>
      <c r="CY107" s="764">
        <v>55413</v>
      </c>
      <c r="CZ107" s="764">
        <v>48523</v>
      </c>
      <c r="DA107" s="764">
        <v>50716</v>
      </c>
      <c r="DB107" s="764">
        <v>31553</v>
      </c>
      <c r="DC107" s="764">
        <v>23900</v>
      </c>
      <c r="DL107" s="764">
        <v>63942</v>
      </c>
      <c r="DM107" s="764">
        <v>55413</v>
      </c>
      <c r="DN107" s="764">
        <v>48523</v>
      </c>
      <c r="DO107" s="764">
        <v>50716</v>
      </c>
      <c r="DP107" s="764">
        <v>31553</v>
      </c>
      <c r="DQ107" s="764">
        <v>23900</v>
      </c>
    </row>
    <row r="108" spans="1:128" ht="15" hidden="1" customHeight="1">
      <c r="A108" s="576"/>
      <c r="B108" s="944" t="s">
        <v>142</v>
      </c>
      <c r="C108" s="945">
        <f>COUNTIFS(grupos!C:C,B108)</f>
        <v>1</v>
      </c>
      <c r="D108" s="576"/>
    </row>
    <row r="109" spans="1:128" ht="15" hidden="1" customHeight="1">
      <c r="A109" s="576"/>
      <c r="B109" s="941" t="s">
        <v>143</v>
      </c>
      <c r="C109" s="942">
        <v>12</v>
      </c>
      <c r="D109" s="576"/>
      <c r="CV109" t="s">
        <v>144</v>
      </c>
      <c r="CX109">
        <v>15330</v>
      </c>
      <c r="CY109">
        <v>12143</v>
      </c>
      <c r="CZ109">
        <v>17171</v>
      </c>
      <c r="DA109">
        <v>12558</v>
      </c>
      <c r="DB109">
        <v>13440</v>
      </c>
      <c r="DC109">
        <v>9626</v>
      </c>
      <c r="DD109">
        <v>16670</v>
      </c>
      <c r="DE109">
        <v>18206</v>
      </c>
      <c r="DF109">
        <v>25500</v>
      </c>
      <c r="DG109">
        <v>16774</v>
      </c>
      <c r="DH109">
        <v>15710</v>
      </c>
      <c r="DI109">
        <v>9907</v>
      </c>
      <c r="DL109">
        <v>15330</v>
      </c>
      <c r="DM109">
        <v>12143</v>
      </c>
      <c r="DN109">
        <v>17171</v>
      </c>
      <c r="DO109">
        <v>12558</v>
      </c>
      <c r="DP109">
        <v>13440</v>
      </c>
      <c r="DQ109">
        <v>9626</v>
      </c>
      <c r="DR109">
        <v>16670</v>
      </c>
      <c r="DS109">
        <v>18206</v>
      </c>
      <c r="DT109">
        <v>25500</v>
      </c>
      <c r="DU109">
        <v>16774</v>
      </c>
      <c r="DV109">
        <v>15710</v>
      </c>
      <c r="DW109">
        <v>9907</v>
      </c>
    </row>
    <row r="110" spans="1:128" ht="15" hidden="1" customHeight="1">
      <c r="A110" s="576"/>
      <c r="B110" s="941" t="s">
        <v>145</v>
      </c>
      <c r="C110" s="942">
        <f>COUNTIFS(grupos!C:C,B110)</f>
        <v>1</v>
      </c>
      <c r="D110" s="576"/>
      <c r="DL110" s="881">
        <v>166555.77995873816</v>
      </c>
      <c r="DM110" s="881">
        <v>152835.36924465047</v>
      </c>
      <c r="DN110" s="881">
        <v>195319.2072937729</v>
      </c>
      <c r="DO110" s="881">
        <v>158396.18906207831</v>
      </c>
      <c r="DP110" s="881">
        <v>152371.51475009107</v>
      </c>
      <c r="DQ110" s="881">
        <v>147696.01107361159</v>
      </c>
      <c r="DR110" s="881">
        <v>189465.0513586243</v>
      </c>
      <c r="DS110" s="881">
        <v>202914.10079748323</v>
      </c>
      <c r="DT110" s="881">
        <v>214499.61628422557</v>
      </c>
      <c r="DU110" s="881">
        <v>217682.99793575107</v>
      </c>
      <c r="DV110" s="881">
        <v>179284.72030485788</v>
      </c>
      <c r="DW110" s="881">
        <v>88389.319383536102</v>
      </c>
      <c r="DX110" s="69">
        <v>2065409.8774474205</v>
      </c>
    </row>
    <row r="111" spans="1:128" ht="15" hidden="1" customHeight="1">
      <c r="A111" s="576"/>
      <c r="B111" s="941" t="s">
        <v>146</v>
      </c>
      <c r="C111" s="942">
        <v>3</v>
      </c>
      <c r="D111" s="576"/>
    </row>
    <row r="112" spans="1:128" ht="15" hidden="1" customHeight="1">
      <c r="A112" s="576"/>
      <c r="B112" s="762" t="s">
        <v>147</v>
      </c>
      <c r="C112" s="943">
        <v>5</v>
      </c>
      <c r="D112" s="576"/>
    </row>
    <row r="113" spans="2:103" ht="15" hidden="1" customHeight="1">
      <c r="B113" s="576"/>
      <c r="C113" s="602">
        <f>SUM(C108:C112)</f>
        <v>22</v>
      </c>
    </row>
    <row r="114" spans="2:103" s="594" customFormat="1" ht="15" hidden="1" customHeight="1">
      <c r="B114" s="594" t="s">
        <v>148</v>
      </c>
      <c r="CX114" s="953">
        <v>191345</v>
      </c>
      <c r="CY114" s="953">
        <v>145396</v>
      </c>
    </row>
    <row r="115" spans="2:103" ht="15" hidden="1" customHeight="1">
      <c r="B115" t="s">
        <v>149</v>
      </c>
      <c r="CX115" s="862">
        <v>27823</v>
      </c>
      <c r="CY115" s="862">
        <v>27550</v>
      </c>
    </row>
    <row r="116" spans="2:103" ht="15" hidden="1" customHeight="1">
      <c r="B116" t="s">
        <v>150</v>
      </c>
      <c r="CX116" s="862">
        <v>14235</v>
      </c>
      <c r="CY116" s="862">
        <v>15739</v>
      </c>
    </row>
    <row r="117" spans="2:103" ht="15" hidden="1" customHeight="1"/>
  </sheetData>
  <mergeCells count="28">
    <mergeCell ref="B59:C59"/>
    <mergeCell ref="DL2:DW2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CX1:DI1"/>
    <mergeCell ref="DL1:DW1"/>
    <mergeCell ref="D2:P2"/>
    <mergeCell ref="R2:AD2"/>
    <mergeCell ref="AF2:AR2"/>
    <mergeCell ref="AT2:BF2"/>
    <mergeCell ref="BH2:BS2"/>
    <mergeCell ref="BV2:CG2"/>
    <mergeCell ref="CJ2:CU2"/>
    <mergeCell ref="CX2:DI2"/>
    <mergeCell ref="R1:AD1"/>
    <mergeCell ref="AF1:AR1"/>
    <mergeCell ref="AT1:BF1"/>
    <mergeCell ref="BH1:BS1"/>
    <mergeCell ref="BV1:CG1"/>
    <mergeCell ref="CJ1:CU1"/>
  </mergeCells>
  <pageMargins left="0.25" right="0.25" top="0.75" bottom="0.75" header="0" footer="0"/>
  <pageSetup paperSize="9" scale="55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6572-5090-44FB-890F-1A6137B02466}">
  <sheetPr>
    <tabColor rgb="FFFFC000"/>
  </sheetPr>
  <dimension ref="A1:DY117"/>
  <sheetViews>
    <sheetView showGridLines="0" zoomScale="80" zoomScaleNormal="80" workbookViewId="0">
      <pane xSplit="3" ySplit="9" topLeftCell="CZ11" activePane="bottomRight" state="frozen"/>
      <selection pane="bottomRight" activeCell="DF14" sqref="DF14"/>
      <selection pane="bottomLeft"/>
      <selection pane="topRight"/>
    </sheetView>
  </sheetViews>
  <sheetFormatPr defaultColWidth="14.42578125" defaultRowHeight="15" customHeight="1" outlineLevelRow="1" outlineLevelCol="1"/>
  <cols>
    <col min="1" max="1" width="3" customWidth="1"/>
    <col min="2" max="2" width="17.85546875" customWidth="1"/>
    <col min="3" max="3" width="14.710937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3.140625" hidden="1" customWidth="1" collapsed="1"/>
    <col min="74" max="87" width="12.28515625" hidden="1" customWidth="1"/>
    <col min="88" max="88" width="12.28515625" hidden="1" customWidth="1" collapsed="1"/>
    <col min="89" max="99" width="12.28515625" hidden="1" customWidth="1"/>
    <col min="100" max="100" width="16.85546875" hidden="1" customWidth="1"/>
    <col min="101" max="101" width="12" hidden="1" customWidth="1"/>
    <col min="102" max="103" width="13" hidden="1" customWidth="1"/>
    <col min="104" max="104" width="12.140625" customWidth="1"/>
    <col min="105" max="105" width="13.5703125" customWidth="1"/>
    <col min="106" max="106" width="12.28515625" customWidth="1"/>
    <col min="107" max="107" width="12.85546875" customWidth="1"/>
    <col min="108" max="108" width="13.5703125" customWidth="1"/>
    <col min="109" max="109" width="12.42578125" customWidth="1"/>
    <col min="110" max="110" width="13.28515625" customWidth="1"/>
    <col min="111" max="111" width="13.140625" customWidth="1"/>
    <col min="112" max="112" width="13.85546875" customWidth="1"/>
    <col min="113" max="113" width="12.28515625" customWidth="1"/>
    <col min="114" max="114" width="12.5703125" customWidth="1"/>
    <col min="115" max="115" width="2.7109375" customWidth="1"/>
    <col min="116" max="128" width="10.5703125" customWidth="1"/>
  </cols>
  <sheetData>
    <row r="1" spans="1:128" ht="2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s="699" t="s">
        <v>1</v>
      </c>
      <c r="CJ1" s="1089" t="s">
        <v>2</v>
      </c>
      <c r="CK1" s="1090"/>
      <c r="CL1" s="1090"/>
      <c r="CM1" s="1090"/>
      <c r="CN1" s="1090"/>
      <c r="CO1" s="1090"/>
      <c r="CP1" s="1090"/>
      <c r="CQ1" s="1090"/>
      <c r="CR1" s="1090"/>
      <c r="CS1" s="1090"/>
      <c r="CT1" s="1090"/>
      <c r="CU1" s="1091"/>
      <c r="CX1" s="1080" t="s">
        <v>157</v>
      </c>
      <c r="CY1" s="1121"/>
      <c r="CZ1" s="1121"/>
      <c r="DA1" s="1121"/>
      <c r="DB1" s="1121"/>
      <c r="DC1" s="1121"/>
      <c r="DD1" s="1121"/>
      <c r="DE1" s="1121"/>
      <c r="DF1" s="1121"/>
      <c r="DG1" s="1121"/>
      <c r="DH1" s="1121"/>
      <c r="DI1" s="1122"/>
      <c r="DK1" s="948"/>
      <c r="DL1" s="1081" t="s">
        <v>0</v>
      </c>
      <c r="DM1" s="1113"/>
      <c r="DN1" s="1113"/>
      <c r="DO1" s="1113"/>
      <c r="DP1" s="1113"/>
      <c r="DQ1" s="1113"/>
      <c r="DR1" s="1113"/>
      <c r="DS1" s="1113"/>
      <c r="DT1" s="1113"/>
      <c r="DU1" s="1113"/>
      <c r="DV1" s="1113"/>
      <c r="DW1" s="1114"/>
    </row>
    <row r="2" spans="1:128" ht="15" customHeight="1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H2" s="700" t="s">
        <v>3</v>
      </c>
      <c r="CJ2" s="1085" t="s">
        <v>4</v>
      </c>
      <c r="CK2" s="1086"/>
      <c r="CL2" s="1086"/>
      <c r="CM2" s="1086"/>
      <c r="CN2" s="1086"/>
      <c r="CO2" s="1086"/>
      <c r="CP2" s="1086"/>
      <c r="CQ2" s="1086"/>
      <c r="CR2" s="1086"/>
      <c r="CS2" s="1086"/>
      <c r="CT2" s="1086"/>
      <c r="CU2" s="1087"/>
      <c r="CX2" s="1077">
        <v>2026</v>
      </c>
      <c r="CY2" s="1115"/>
      <c r="CZ2" s="1115"/>
      <c r="DA2" s="1115"/>
      <c r="DB2" s="1115"/>
      <c r="DC2" s="1115"/>
      <c r="DD2" s="1115"/>
      <c r="DE2" s="1115"/>
      <c r="DF2" s="1115"/>
      <c r="DG2" s="1115"/>
      <c r="DH2" s="1115"/>
      <c r="DI2" s="1116"/>
      <c r="DK2" s="948"/>
      <c r="DL2" s="1077" t="s">
        <v>154</v>
      </c>
      <c r="DM2" s="1115"/>
      <c r="DN2" s="1115"/>
      <c r="DO2" s="1115"/>
      <c r="DP2" s="1115"/>
      <c r="DQ2" s="1115"/>
      <c r="DR2" s="1115"/>
      <c r="DS2" s="1115"/>
      <c r="DT2" s="1115"/>
      <c r="DU2" s="1115"/>
      <c r="DV2" s="1115"/>
      <c r="DW2" s="1116"/>
    </row>
    <row r="3" spans="1:128" ht="15.75">
      <c r="A3" s="703" t="s">
        <v>5</v>
      </c>
      <c r="B3" s="4"/>
      <c r="C3" s="4" t="str">
        <f>A3</f>
        <v>Dias Uteis Produção</v>
      </c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H3" t="s">
        <v>6</v>
      </c>
      <c r="CJ3" s="253">
        <v>23</v>
      </c>
      <c r="CK3" s="566">
        <v>20</v>
      </c>
      <c r="CL3" s="566">
        <v>21</v>
      </c>
      <c r="CM3" s="252">
        <v>22</v>
      </c>
      <c r="CN3" s="248">
        <v>22</v>
      </c>
      <c r="CO3" s="248">
        <v>21</v>
      </c>
      <c r="CP3" s="248">
        <v>23</v>
      </c>
      <c r="CQ3" s="248">
        <v>21</v>
      </c>
      <c r="CR3" s="248">
        <v>22</v>
      </c>
      <c r="CS3" s="248">
        <v>23</v>
      </c>
      <c r="CT3" s="248">
        <v>20</v>
      </c>
      <c r="CU3" s="248">
        <v>13</v>
      </c>
      <c r="CX3" s="253">
        <v>22</v>
      </c>
      <c r="CY3" s="252">
        <v>20</v>
      </c>
      <c r="CZ3" s="252">
        <v>22</v>
      </c>
      <c r="DA3" s="252">
        <v>21</v>
      </c>
      <c r="DB3" s="248">
        <v>21</v>
      </c>
      <c r="DC3" s="248">
        <v>22</v>
      </c>
      <c r="DD3" s="248">
        <v>23</v>
      </c>
      <c r="DE3" s="248">
        <v>21</v>
      </c>
      <c r="DF3" s="248">
        <v>22</v>
      </c>
      <c r="DG3" s="248">
        <v>22</v>
      </c>
      <c r="DH3" s="248">
        <v>21</v>
      </c>
      <c r="DI3" s="248">
        <v>21</v>
      </c>
      <c r="DK3" s="948"/>
      <c r="DL3" s="253">
        <v>22</v>
      </c>
      <c r="DM3" s="252">
        <v>20</v>
      </c>
      <c r="DN3" s="252">
        <v>22</v>
      </c>
      <c r="DO3" s="252">
        <v>22</v>
      </c>
      <c r="DP3" s="248">
        <v>21</v>
      </c>
      <c r="DQ3" s="248">
        <v>22</v>
      </c>
      <c r="DR3" s="248">
        <v>23</v>
      </c>
      <c r="DS3" s="248">
        <v>21</v>
      </c>
      <c r="DT3" s="248">
        <v>22</v>
      </c>
      <c r="DU3" s="248">
        <v>22</v>
      </c>
      <c r="DV3" s="248">
        <v>21</v>
      </c>
      <c r="DW3" s="248">
        <v>21</v>
      </c>
    </row>
    <row r="4" spans="1:128" ht="11.25" customHeight="1">
      <c r="A4" s="703" t="s">
        <v>7</v>
      </c>
      <c r="B4" s="4"/>
      <c r="C4" s="4" t="str">
        <f t="shared" ref="C4:C7" si="0">A4</f>
        <v>(-) FÉRIAS</v>
      </c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H4" t="s">
        <v>8</v>
      </c>
      <c r="CJ4" s="253">
        <v>3</v>
      </c>
      <c r="CK4" s="566"/>
      <c r="CL4" s="566">
        <v>1.5</v>
      </c>
      <c r="CM4" s="252"/>
      <c r="CN4" s="248"/>
      <c r="CO4" s="248"/>
      <c r="CP4" s="248" t="s">
        <v>109</v>
      </c>
      <c r="CQ4" s="248"/>
      <c r="CR4" s="248"/>
      <c r="CS4" s="248"/>
      <c r="CT4" s="248" t="s">
        <v>110</v>
      </c>
      <c r="CU4" s="248"/>
      <c r="CX4" s="253">
        <v>2</v>
      </c>
      <c r="CY4" s="252">
        <v>0</v>
      </c>
      <c r="CZ4" s="252"/>
      <c r="DA4" s="252"/>
      <c r="DB4" s="248"/>
      <c r="DC4" s="248"/>
      <c r="DD4" s="248"/>
      <c r="DE4" s="248"/>
      <c r="DF4" s="248"/>
      <c r="DG4" s="248"/>
      <c r="DH4" s="248"/>
      <c r="DI4" s="248">
        <v>5</v>
      </c>
      <c r="DK4" s="948"/>
      <c r="DL4" s="253">
        <v>2</v>
      </c>
      <c r="DM4" s="252">
        <v>0</v>
      </c>
      <c r="DN4" s="252"/>
      <c r="DO4" s="252"/>
      <c r="DP4" s="248"/>
      <c r="DQ4" s="248"/>
      <c r="DR4" s="248"/>
      <c r="DS4" s="248"/>
      <c r="DT4" s="248"/>
      <c r="DU4" s="248"/>
      <c r="DV4" s="248"/>
      <c r="DW4" s="248">
        <v>5</v>
      </c>
    </row>
    <row r="5" spans="1:128" ht="15.75" customHeight="1">
      <c r="A5" s="703" t="s">
        <v>9</v>
      </c>
      <c r="B5" s="4"/>
      <c r="C5" s="4" t="str">
        <f t="shared" si="0"/>
        <v>(+) SABADO</v>
      </c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H5" t="s">
        <v>10</v>
      </c>
      <c r="CJ5" s="701">
        <v>2</v>
      </c>
      <c r="CK5" s="701">
        <v>3</v>
      </c>
      <c r="CL5" s="701">
        <v>1.5</v>
      </c>
      <c r="CM5" s="733">
        <v>0</v>
      </c>
      <c r="CN5" s="733">
        <v>0</v>
      </c>
      <c r="CO5" s="733">
        <v>2</v>
      </c>
      <c r="CP5" s="750">
        <v>2</v>
      </c>
      <c r="CQ5" s="679">
        <v>0</v>
      </c>
      <c r="CR5" s="679">
        <v>0</v>
      </c>
      <c r="CS5" s="679">
        <v>0</v>
      </c>
      <c r="CT5" s="679">
        <v>3</v>
      </c>
      <c r="CU5" s="643"/>
      <c r="CV5" s="682" t="s">
        <v>111</v>
      </c>
      <c r="CX5" s="701">
        <v>2</v>
      </c>
      <c r="CY5" s="733">
        <v>2</v>
      </c>
      <c r="CZ5" s="733">
        <v>2</v>
      </c>
      <c r="DA5" s="938">
        <v>2</v>
      </c>
      <c r="DB5" s="938">
        <v>2</v>
      </c>
      <c r="DC5" s="938">
        <v>2</v>
      </c>
      <c r="DD5" s="938">
        <v>2</v>
      </c>
      <c r="DE5" s="938">
        <v>2</v>
      </c>
      <c r="DF5" s="938">
        <v>2</v>
      </c>
      <c r="DG5" s="938">
        <v>2</v>
      </c>
      <c r="DH5" s="938">
        <v>2</v>
      </c>
      <c r="DI5" s="939"/>
      <c r="DK5" s="948"/>
      <c r="DL5" s="701">
        <v>2</v>
      </c>
      <c r="DM5" s="733">
        <v>2</v>
      </c>
      <c r="DN5" s="733">
        <v>2</v>
      </c>
      <c r="DO5" s="938">
        <v>2</v>
      </c>
      <c r="DP5" s="938"/>
      <c r="DQ5" s="938"/>
      <c r="DR5" s="938"/>
      <c r="DS5" s="938"/>
      <c r="DT5" s="938">
        <v>2</v>
      </c>
      <c r="DU5" s="938">
        <v>2</v>
      </c>
      <c r="DV5" s="938">
        <v>2</v>
      </c>
      <c r="DW5" s="939"/>
    </row>
    <row r="6" spans="1:128" ht="9.75" customHeight="1">
      <c r="A6" s="703" t="s">
        <v>11</v>
      </c>
      <c r="B6" s="4"/>
      <c r="C6" s="4" t="str">
        <f t="shared" si="0"/>
        <v>(-)FERIADO</v>
      </c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 t="s">
        <v>12</v>
      </c>
      <c r="CJ6" s="644"/>
      <c r="CK6" s="679"/>
      <c r="CL6" s="679">
        <v>2</v>
      </c>
      <c r="CM6" s="679">
        <v>2</v>
      </c>
      <c r="CN6" s="679">
        <v>1</v>
      </c>
      <c r="CO6" s="679">
        <v>1</v>
      </c>
      <c r="CP6" s="679"/>
      <c r="CQ6" s="679"/>
      <c r="CR6" s="679">
        <v>0</v>
      </c>
      <c r="CS6" s="643">
        <v>0</v>
      </c>
      <c r="CT6" s="643">
        <v>1</v>
      </c>
      <c r="CU6" s="643"/>
      <c r="CX6" s="644"/>
      <c r="CY6" s="938">
        <v>3</v>
      </c>
      <c r="CZ6" s="938">
        <v>2</v>
      </c>
      <c r="DA6" s="938">
        <v>3</v>
      </c>
      <c r="DB6" s="938">
        <v>1</v>
      </c>
      <c r="DC6" s="938">
        <v>1</v>
      </c>
      <c r="DD6" s="938"/>
      <c r="DE6" s="938">
        <v>0</v>
      </c>
      <c r="DF6" s="938">
        <v>1</v>
      </c>
      <c r="DG6" s="938">
        <v>1</v>
      </c>
      <c r="DH6" s="938">
        <v>2</v>
      </c>
      <c r="DI6" s="939">
        <v>5</v>
      </c>
      <c r="DK6" s="948"/>
      <c r="DL6" s="644"/>
      <c r="DM6" s="938">
        <v>3</v>
      </c>
      <c r="DN6" s="938">
        <v>2</v>
      </c>
      <c r="DO6" s="938">
        <v>2</v>
      </c>
      <c r="DP6" s="938">
        <v>1</v>
      </c>
      <c r="DQ6" s="938">
        <v>1</v>
      </c>
      <c r="DR6" s="938"/>
      <c r="DS6" s="938">
        <v>0</v>
      </c>
      <c r="DT6" s="938">
        <v>1</v>
      </c>
      <c r="DU6" s="938">
        <v>1</v>
      </c>
      <c r="DV6" s="938">
        <v>2</v>
      </c>
      <c r="DW6" s="939">
        <v>5</v>
      </c>
    </row>
    <row r="7" spans="1:128">
      <c r="A7" s="704" t="s">
        <v>13</v>
      </c>
      <c r="B7" s="3"/>
      <c r="C7" s="3" t="str">
        <f t="shared" si="0"/>
        <v>Dias Trabalhados</v>
      </c>
      <c r="D7" s="252">
        <v>16</v>
      </c>
      <c r="E7" s="252">
        <v>21</v>
      </c>
      <c r="F7" s="252">
        <v>18</v>
      </c>
      <c r="G7" s="252">
        <v>21</v>
      </c>
      <c r="H7" s="252">
        <v>22</v>
      </c>
      <c r="I7" s="252">
        <v>19</v>
      </c>
      <c r="J7" s="252">
        <v>23</v>
      </c>
      <c r="K7" s="252">
        <v>21</v>
      </c>
      <c r="L7" s="252">
        <v>21</v>
      </c>
      <c r="M7" s="252">
        <v>26</v>
      </c>
      <c r="N7" s="252">
        <v>24</v>
      </c>
      <c r="O7" s="252">
        <v>15</v>
      </c>
      <c r="P7" s="4"/>
      <c r="Q7" s="247"/>
      <c r="R7" s="252">
        <v>22</v>
      </c>
      <c r="S7" s="252">
        <v>20</v>
      </c>
      <c r="T7" s="252">
        <v>14</v>
      </c>
      <c r="U7" s="252">
        <v>1</v>
      </c>
      <c r="V7" s="252">
        <v>12</v>
      </c>
      <c r="W7" s="252">
        <v>22</v>
      </c>
      <c r="X7" s="252">
        <v>23</v>
      </c>
      <c r="Y7" s="252">
        <v>21</v>
      </c>
      <c r="Z7" s="252">
        <v>21</v>
      </c>
      <c r="AA7" s="252">
        <v>21</v>
      </c>
      <c r="AB7" s="252">
        <v>20</v>
      </c>
      <c r="AC7" s="252">
        <v>17</v>
      </c>
      <c r="AD7" s="2"/>
      <c r="AE7" s="253"/>
      <c r="AF7" s="254">
        <v>18</v>
      </c>
      <c r="AG7" s="252">
        <v>20</v>
      </c>
      <c r="AH7" s="248">
        <v>20</v>
      </c>
      <c r="AI7" s="248">
        <v>20</v>
      </c>
      <c r="AJ7" s="252">
        <v>22</v>
      </c>
      <c r="AK7" s="252">
        <v>20</v>
      </c>
      <c r="AL7" s="252">
        <v>22</v>
      </c>
      <c r="AM7" s="252">
        <v>22</v>
      </c>
      <c r="AN7" s="252">
        <v>21</v>
      </c>
      <c r="AO7" s="252">
        <v>20</v>
      </c>
      <c r="AP7" s="252">
        <v>20</v>
      </c>
      <c r="AQ7" s="248">
        <v>12</v>
      </c>
      <c r="AR7" s="2"/>
      <c r="AS7" s="124"/>
      <c r="AT7" s="253">
        <v>19</v>
      </c>
      <c r="AU7" s="248">
        <v>19</v>
      </c>
      <c r="AV7" s="248">
        <v>18</v>
      </c>
      <c r="AW7" s="248">
        <v>19</v>
      </c>
      <c r="AX7" s="248">
        <v>22</v>
      </c>
      <c r="AY7" s="248">
        <v>21</v>
      </c>
      <c r="AZ7" s="248">
        <v>21</v>
      </c>
      <c r="BA7" s="248">
        <v>22</v>
      </c>
      <c r="BB7" s="248">
        <v>22</v>
      </c>
      <c r="BC7" s="248">
        <v>21</v>
      </c>
      <c r="BD7" s="248">
        <v>20</v>
      </c>
      <c r="BE7" s="248">
        <v>10</v>
      </c>
      <c r="BF7" s="2"/>
      <c r="BG7" s="125"/>
      <c r="BH7" s="253">
        <v>20</v>
      </c>
      <c r="BI7" s="248">
        <v>17</v>
      </c>
      <c r="BJ7" s="248">
        <v>23</v>
      </c>
      <c r="BK7" s="248">
        <v>18</v>
      </c>
      <c r="BL7" s="248">
        <v>22</v>
      </c>
      <c r="BM7" s="248">
        <v>23</v>
      </c>
      <c r="BN7" s="248">
        <v>21</v>
      </c>
      <c r="BO7" s="248">
        <v>21</v>
      </c>
      <c r="BP7" s="248">
        <v>20</v>
      </c>
      <c r="BQ7" s="248">
        <v>21</v>
      </c>
      <c r="BR7" s="248">
        <v>20</v>
      </c>
      <c r="BS7" s="248">
        <v>14</v>
      </c>
      <c r="BT7" s="253">
        <v>20</v>
      </c>
      <c r="BU7" s="252"/>
      <c r="BV7" s="253">
        <v>19</v>
      </c>
      <c r="BW7" s="248">
        <v>19</v>
      </c>
      <c r="BX7" s="566">
        <v>21</v>
      </c>
      <c r="BY7" s="566">
        <f>22+2</f>
        <v>24</v>
      </c>
      <c r="BZ7" s="248">
        <f>21+2</f>
        <v>23</v>
      </c>
      <c r="CA7" s="567">
        <f>20+2</f>
        <v>22</v>
      </c>
      <c r="CB7" s="567">
        <f>23+2</f>
        <v>25</v>
      </c>
      <c r="CC7" s="252">
        <f>21+3</f>
        <v>24</v>
      </c>
      <c r="CD7" s="252">
        <f>21+3</f>
        <v>24</v>
      </c>
      <c r="CE7" s="248">
        <f>23+1</f>
        <v>24</v>
      </c>
      <c r="CF7" s="248">
        <f>19+3</f>
        <v>22</v>
      </c>
      <c r="CG7" s="248">
        <f>12+1</f>
        <v>13</v>
      </c>
      <c r="CH7" s="248"/>
      <c r="CJ7" s="253">
        <f>CJ3+CJ5-CJ6-CJ4</f>
        <v>22</v>
      </c>
      <c r="CK7" s="253">
        <f>CK3+CK5-CK6-CK4</f>
        <v>23</v>
      </c>
      <c r="CL7" s="253">
        <v>19</v>
      </c>
      <c r="CM7" s="734">
        <f t="shared" ref="CM7:CQ7" si="1">CM3+CM5-CM6-CM4</f>
        <v>20</v>
      </c>
      <c r="CN7" s="734">
        <f>CN3+CN5-CN6-CN4</f>
        <v>21</v>
      </c>
      <c r="CO7" s="734">
        <f>CO3+CO5-CO6-CO4</f>
        <v>22</v>
      </c>
      <c r="CP7" s="734">
        <f t="shared" ref="CP7:CU7" si="2">CP3+CP5-CP6</f>
        <v>25</v>
      </c>
      <c r="CQ7" s="734">
        <f>CQ3+CQ5-CQ6</f>
        <v>21</v>
      </c>
      <c r="CR7" s="734">
        <f t="shared" si="2"/>
        <v>22</v>
      </c>
      <c r="CS7" s="734">
        <f>CS3+CS5-CS6</f>
        <v>23</v>
      </c>
      <c r="CT7" s="734">
        <f>CT3+CT5-CT6</f>
        <v>22</v>
      </c>
      <c r="CU7" s="734">
        <v>17</v>
      </c>
      <c r="CV7" s="248"/>
      <c r="CX7" s="253">
        <f>CX3+CX5-CX6-CX4</f>
        <v>22</v>
      </c>
      <c r="CY7" s="253">
        <f t="shared" ref="CY7:DC7" si="3">CY3+CY5-CY6-CY4</f>
        <v>19</v>
      </c>
      <c r="CZ7" s="253">
        <v>6</v>
      </c>
      <c r="DA7" s="253">
        <v>10</v>
      </c>
      <c r="DB7" s="253">
        <f t="shared" si="3"/>
        <v>22</v>
      </c>
      <c r="DC7" s="253">
        <f>DC3+DC5-DC6-DC4</f>
        <v>23</v>
      </c>
      <c r="DD7" s="253">
        <f t="shared" ref="DD7:DI7" si="4">DD3+DD5-DD6</f>
        <v>25</v>
      </c>
      <c r="DE7" s="253">
        <f>DE3+DE5-DE6</f>
        <v>23</v>
      </c>
      <c r="DF7" s="253">
        <f>DF3+DF5-DF6</f>
        <v>23</v>
      </c>
      <c r="DG7" s="253">
        <f>DG3+DG5-DG6</f>
        <v>23</v>
      </c>
      <c r="DH7" s="253">
        <f>DH3+DH5-DH6</f>
        <v>21</v>
      </c>
      <c r="DI7" s="253">
        <f>DI3+DI5-DI6</f>
        <v>16</v>
      </c>
      <c r="DJ7" s="248"/>
      <c r="DK7" s="948"/>
      <c r="DL7" s="253">
        <f>DL3+DL5-DL6-DL4</f>
        <v>22</v>
      </c>
      <c r="DM7" s="253">
        <f t="shared" ref="DM7:DQ7" si="5">DM3+DM5-DM6-DM4</f>
        <v>19</v>
      </c>
      <c r="DN7" s="253">
        <f>DN3+DN5-DN6-DN4</f>
        <v>22</v>
      </c>
      <c r="DO7" s="253">
        <f>DO3+DO5-DO6-DO4</f>
        <v>22</v>
      </c>
      <c r="DP7" s="253">
        <f t="shared" ref="DP7:DT7" si="6">DP3+DP5-DP6-DP4</f>
        <v>20</v>
      </c>
      <c r="DQ7" s="253">
        <f t="shared" si="6"/>
        <v>21</v>
      </c>
      <c r="DR7" s="253">
        <f t="shared" ref="DR7:DW7" si="7">DR3+DR5-DR6</f>
        <v>23</v>
      </c>
      <c r="DS7" s="253">
        <f>DS3+DS5-DS6</f>
        <v>21</v>
      </c>
      <c r="DT7" s="253">
        <f>DT3+DT5-DT6</f>
        <v>23</v>
      </c>
      <c r="DU7" s="253">
        <f>DU3+DU5-DU6</f>
        <v>23</v>
      </c>
      <c r="DV7" s="253">
        <f>DV3+DV5-DV6</f>
        <v>21</v>
      </c>
      <c r="DW7" s="253">
        <f>DW3+DW5-DW6</f>
        <v>16</v>
      </c>
      <c r="DX7" s="248"/>
    </row>
    <row r="8" spans="1:128" ht="18" customHeight="1">
      <c r="A8" s="8"/>
      <c r="B8" s="255"/>
      <c r="C8" s="256"/>
      <c r="D8" s="257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258" t="s">
        <v>26</v>
      </c>
      <c r="Q8" s="10"/>
      <c r="R8" s="257" t="s">
        <v>14</v>
      </c>
      <c r="S8" s="9" t="s">
        <v>15</v>
      </c>
      <c r="T8" s="9" t="s">
        <v>16</v>
      </c>
      <c r="U8" s="9" t="s">
        <v>17</v>
      </c>
      <c r="V8" s="9" t="s">
        <v>18</v>
      </c>
      <c r="W8" s="9" t="s">
        <v>19</v>
      </c>
      <c r="X8" s="9" t="s">
        <v>20</v>
      </c>
      <c r="Y8" s="9" t="s">
        <v>21</v>
      </c>
      <c r="Z8" s="9" t="s">
        <v>22</v>
      </c>
      <c r="AA8" s="9" t="s">
        <v>23</v>
      </c>
      <c r="AB8" s="9" t="s">
        <v>24</v>
      </c>
      <c r="AC8" s="9" t="s">
        <v>25</v>
      </c>
      <c r="AD8" s="258" t="s">
        <v>26</v>
      </c>
      <c r="AE8" s="11"/>
      <c r="AF8" s="257" t="s">
        <v>14</v>
      </c>
      <c r="AG8" s="9" t="s">
        <v>15</v>
      </c>
      <c r="AH8" s="9" t="s">
        <v>16</v>
      </c>
      <c r="AI8" s="9" t="s">
        <v>17</v>
      </c>
      <c r="AJ8" s="9" t="s">
        <v>18</v>
      </c>
      <c r="AK8" s="9" t="s">
        <v>19</v>
      </c>
      <c r="AL8" s="9" t="s">
        <v>20</v>
      </c>
      <c r="AM8" s="9" t="s">
        <v>21</v>
      </c>
      <c r="AN8" s="9" t="s">
        <v>22</v>
      </c>
      <c r="AO8" s="9" t="s">
        <v>23</v>
      </c>
      <c r="AP8" s="9" t="s">
        <v>24</v>
      </c>
      <c r="AQ8" s="9" t="s">
        <v>25</v>
      </c>
      <c r="AR8" s="9" t="s">
        <v>26</v>
      </c>
      <c r="AS8" s="11"/>
      <c r="AT8" s="9" t="s">
        <v>14</v>
      </c>
      <c r="AU8" s="9" t="s">
        <v>15</v>
      </c>
      <c r="AV8" s="9" t="s">
        <v>16</v>
      </c>
      <c r="AW8" s="9" t="s">
        <v>17</v>
      </c>
      <c r="AX8" s="9" t="s">
        <v>18</v>
      </c>
      <c r="AY8" s="9" t="s">
        <v>19</v>
      </c>
      <c r="AZ8" s="9" t="s">
        <v>20</v>
      </c>
      <c r="BA8" s="9" t="s">
        <v>21</v>
      </c>
      <c r="BB8" s="9" t="s">
        <v>22</v>
      </c>
      <c r="BC8" s="9" t="s">
        <v>23</v>
      </c>
      <c r="BD8" s="9" t="s">
        <v>24</v>
      </c>
      <c r="BE8" s="9" t="s">
        <v>25</v>
      </c>
      <c r="BF8" s="9" t="s">
        <v>26</v>
      </c>
      <c r="BG8" s="10"/>
      <c r="BH8" s="9" t="s">
        <v>14</v>
      </c>
      <c r="BI8" s="9" t="s">
        <v>15</v>
      </c>
      <c r="BJ8" s="9" t="s">
        <v>16</v>
      </c>
      <c r="BK8" s="9" t="s">
        <v>17</v>
      </c>
      <c r="BL8" s="9" t="s">
        <v>18</v>
      </c>
      <c r="BM8" s="9" t="s">
        <v>19</v>
      </c>
      <c r="BN8" s="9" t="s">
        <v>20</v>
      </c>
      <c r="BO8" s="9" t="s">
        <v>21</v>
      </c>
      <c r="BP8" s="9" t="s">
        <v>22</v>
      </c>
      <c r="BQ8" s="9" t="s">
        <v>23</v>
      </c>
      <c r="BR8" s="9" t="s">
        <v>24</v>
      </c>
      <c r="BS8" s="9" t="s">
        <v>25</v>
      </c>
      <c r="BT8" s="9" t="s">
        <v>26</v>
      </c>
      <c r="BU8" s="12"/>
      <c r="BV8" s="9" t="s">
        <v>14</v>
      </c>
      <c r="BW8" s="9" t="s">
        <v>15</v>
      </c>
      <c r="BX8" s="9" t="s">
        <v>16</v>
      </c>
      <c r="BY8" s="9" t="s">
        <v>17</v>
      </c>
      <c r="BZ8" s="9" t="s">
        <v>18</v>
      </c>
      <c r="CA8" s="9" t="s">
        <v>19</v>
      </c>
      <c r="CB8" s="9" t="s">
        <v>20</v>
      </c>
      <c r="CC8" s="9" t="s">
        <v>21</v>
      </c>
      <c r="CD8" s="9" t="s">
        <v>22</v>
      </c>
      <c r="CE8" s="9" t="s">
        <v>23</v>
      </c>
      <c r="CF8" s="9" t="s">
        <v>24</v>
      </c>
      <c r="CG8" s="9" t="s">
        <v>25</v>
      </c>
      <c r="CH8" s="9" t="s">
        <v>26</v>
      </c>
      <c r="CJ8" s="9" t="s">
        <v>14</v>
      </c>
      <c r="CK8" s="9" t="s">
        <v>15</v>
      </c>
      <c r="CL8" s="9" t="s">
        <v>16</v>
      </c>
      <c r="CM8" s="9" t="s">
        <v>17</v>
      </c>
      <c r="CN8" s="9" t="s">
        <v>18</v>
      </c>
      <c r="CO8" s="9" t="s">
        <v>19</v>
      </c>
      <c r="CP8" s="9" t="s">
        <v>20</v>
      </c>
      <c r="CQ8" s="9" t="s">
        <v>21</v>
      </c>
      <c r="CR8" s="9" t="s">
        <v>22</v>
      </c>
      <c r="CS8" s="9" t="s">
        <v>23</v>
      </c>
      <c r="CT8" s="9" t="s">
        <v>24</v>
      </c>
      <c r="CU8" s="9" t="s">
        <v>25</v>
      </c>
      <c r="CV8" s="9" t="s">
        <v>26</v>
      </c>
      <c r="CX8" s="9" t="s">
        <v>14</v>
      </c>
      <c r="CY8" s="9" t="s">
        <v>15</v>
      </c>
      <c r="CZ8" s="9" t="s">
        <v>16</v>
      </c>
      <c r="DA8" s="9" t="s">
        <v>17</v>
      </c>
      <c r="DB8" s="9" t="s">
        <v>18</v>
      </c>
      <c r="DC8" s="9" t="s">
        <v>19</v>
      </c>
      <c r="DD8" s="9" t="s">
        <v>20</v>
      </c>
      <c r="DE8" s="980" t="s">
        <v>21</v>
      </c>
      <c r="DF8" s="980" t="s">
        <v>22</v>
      </c>
      <c r="DG8" s="980" t="s">
        <v>23</v>
      </c>
      <c r="DH8" s="9" t="s">
        <v>24</v>
      </c>
      <c r="DI8" s="9" t="s">
        <v>25</v>
      </c>
      <c r="DJ8" s="9" t="s">
        <v>26</v>
      </c>
      <c r="DK8" s="948"/>
      <c r="DL8" s="9" t="s">
        <v>14</v>
      </c>
      <c r="DM8" s="9" t="s">
        <v>15</v>
      </c>
      <c r="DN8" s="9" t="s">
        <v>16</v>
      </c>
      <c r="DO8" s="9" t="s">
        <v>17</v>
      </c>
      <c r="DP8" s="9" t="s">
        <v>18</v>
      </c>
      <c r="DQ8" s="9" t="s">
        <v>19</v>
      </c>
      <c r="DR8" s="9" t="s">
        <v>20</v>
      </c>
      <c r="DS8" s="9" t="s">
        <v>21</v>
      </c>
      <c r="DT8" s="9" t="s">
        <v>22</v>
      </c>
      <c r="DU8" s="9" t="s">
        <v>23</v>
      </c>
      <c r="DV8" s="9" t="s">
        <v>24</v>
      </c>
      <c r="DW8" s="9" t="s">
        <v>25</v>
      </c>
      <c r="DX8" s="9" t="s">
        <v>26</v>
      </c>
    </row>
    <row r="9" spans="1:128" ht="10.5" customHeight="1">
      <c r="A9" s="13"/>
      <c r="B9" s="259"/>
      <c r="C9" s="260"/>
      <c r="D9" s="26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62"/>
      <c r="Q9" s="15"/>
      <c r="R9" s="261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263"/>
      <c r="AE9" s="16"/>
      <c r="AF9" s="261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7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7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8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682" t="s">
        <v>27</v>
      </c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682" t="s">
        <v>27</v>
      </c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948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</row>
    <row r="10" spans="1:128" ht="30.75" hidden="1">
      <c r="A10" s="13" t="s">
        <v>28</v>
      </c>
      <c r="B10" s="706" t="s">
        <v>29</v>
      </c>
      <c r="C10" s="260"/>
      <c r="D10" s="261">
        <f t="shared" ref="D10:O10" si="8">SUM(D20:D24)</f>
        <v>304786</v>
      </c>
      <c r="E10" s="14">
        <f t="shared" si="8"/>
        <v>311986</v>
      </c>
      <c r="F10" s="14">
        <f t="shared" si="8"/>
        <v>328231</v>
      </c>
      <c r="G10" s="14">
        <f t="shared" si="8"/>
        <v>317873</v>
      </c>
      <c r="H10" s="14">
        <f t="shared" si="8"/>
        <v>347196</v>
      </c>
      <c r="I10" s="14">
        <f t="shared" si="8"/>
        <v>402253</v>
      </c>
      <c r="J10" s="14">
        <f t="shared" si="8"/>
        <v>454488</v>
      </c>
      <c r="K10" s="14">
        <f t="shared" si="8"/>
        <v>447182</v>
      </c>
      <c r="L10" s="14">
        <f t="shared" si="8"/>
        <v>416931</v>
      </c>
      <c r="M10" s="14">
        <f t="shared" si="8"/>
        <v>304402</v>
      </c>
      <c r="N10" s="14">
        <f t="shared" si="8"/>
        <v>0</v>
      </c>
      <c r="O10" s="14">
        <f t="shared" si="8"/>
        <v>188264</v>
      </c>
      <c r="P10" s="262"/>
      <c r="Q10" s="15"/>
      <c r="R10" s="14">
        <f t="shared" ref="R10:AC10" si="9">SUM(R20:R24)</f>
        <v>283359</v>
      </c>
      <c r="S10" s="14">
        <f t="shared" si="9"/>
        <v>342718</v>
      </c>
      <c r="T10" s="14">
        <f t="shared" si="9"/>
        <v>313212</v>
      </c>
      <c r="U10" s="14">
        <f t="shared" si="9"/>
        <v>298093</v>
      </c>
      <c r="V10" s="14">
        <f t="shared" si="9"/>
        <v>206617</v>
      </c>
      <c r="W10" s="14">
        <f t="shared" si="9"/>
        <v>235875</v>
      </c>
      <c r="X10" s="14">
        <f t="shared" si="9"/>
        <v>360135</v>
      </c>
      <c r="Y10" s="14">
        <f t="shared" si="9"/>
        <v>361665</v>
      </c>
      <c r="Z10" s="14">
        <f t="shared" si="9"/>
        <v>353400</v>
      </c>
      <c r="AA10" s="14">
        <f t="shared" si="9"/>
        <v>272097</v>
      </c>
      <c r="AB10" s="14">
        <f t="shared" si="9"/>
        <v>170626</v>
      </c>
      <c r="AC10" s="14">
        <f t="shared" si="9"/>
        <v>197551</v>
      </c>
      <c r="AD10" s="263"/>
      <c r="AE10" s="16"/>
      <c r="AF10" s="14">
        <f t="shared" ref="AF10:AQ10" si="10">SUM(AF20:AF26)</f>
        <v>255339</v>
      </c>
      <c r="AG10" s="14">
        <f t="shared" si="10"/>
        <v>292621</v>
      </c>
      <c r="AH10" s="14">
        <f t="shared" si="10"/>
        <v>397976</v>
      </c>
      <c r="AI10" s="14">
        <f t="shared" si="10"/>
        <v>388165</v>
      </c>
      <c r="AJ10" s="14">
        <f t="shared" si="10"/>
        <v>409301</v>
      </c>
      <c r="AK10" s="14">
        <f t="shared" si="10"/>
        <v>490913</v>
      </c>
      <c r="AL10" s="14">
        <f t="shared" si="10"/>
        <v>563229</v>
      </c>
      <c r="AM10" s="14">
        <f t="shared" si="10"/>
        <v>559169</v>
      </c>
      <c r="AN10" s="14">
        <f t="shared" si="10"/>
        <v>487294</v>
      </c>
      <c r="AO10" s="14">
        <f t="shared" si="10"/>
        <v>407614</v>
      </c>
      <c r="AP10" s="14">
        <f t="shared" si="10"/>
        <v>503756</v>
      </c>
      <c r="AQ10" s="14">
        <f t="shared" si="10"/>
        <v>531679</v>
      </c>
      <c r="AR10" s="14">
        <f t="shared" ref="AR10:AR31" si="11">AQ10</f>
        <v>531679</v>
      </c>
      <c r="AS10" s="17"/>
      <c r="AT10" s="14">
        <f t="shared" ref="AT10:BE10" si="12">SUM(AT20:AT26)</f>
        <v>471378</v>
      </c>
      <c r="AU10" s="14">
        <f t="shared" si="12"/>
        <v>473307</v>
      </c>
      <c r="AV10" s="14">
        <f t="shared" si="12"/>
        <v>412518</v>
      </c>
      <c r="AW10" s="14">
        <f t="shared" si="12"/>
        <v>398039</v>
      </c>
      <c r="AX10" s="14">
        <f t="shared" si="12"/>
        <v>417827</v>
      </c>
      <c r="AY10" s="14">
        <f t="shared" si="12"/>
        <v>507968</v>
      </c>
      <c r="AZ10" s="14">
        <f t="shared" si="12"/>
        <v>477530</v>
      </c>
      <c r="BA10" s="14">
        <f t="shared" si="12"/>
        <v>520708</v>
      </c>
      <c r="BB10" s="14">
        <f t="shared" si="12"/>
        <v>505851</v>
      </c>
      <c r="BC10" s="14">
        <f t="shared" si="12"/>
        <v>454245</v>
      </c>
      <c r="BD10" s="14">
        <f t="shared" si="12"/>
        <v>405700</v>
      </c>
      <c r="BE10" s="14">
        <f t="shared" si="12"/>
        <v>356505</v>
      </c>
      <c r="BF10" s="14">
        <f t="shared" ref="BF10:BF26" si="13">BE10</f>
        <v>356505</v>
      </c>
      <c r="BG10" s="17"/>
      <c r="BH10" s="14">
        <f t="shared" ref="BH10:BQ10" si="14">SUM(BH20:BH26)</f>
        <v>357143</v>
      </c>
      <c r="BI10" s="14">
        <f t="shared" si="14"/>
        <v>355011</v>
      </c>
      <c r="BJ10" s="14">
        <f t="shared" si="14"/>
        <v>344281</v>
      </c>
      <c r="BK10" s="14">
        <f t="shared" si="14"/>
        <v>389628</v>
      </c>
      <c r="BL10" s="14">
        <f t="shared" si="14"/>
        <v>324889</v>
      </c>
      <c r="BM10" s="14">
        <f t="shared" si="14"/>
        <v>352666</v>
      </c>
      <c r="BN10" s="14">
        <f t="shared" si="14"/>
        <v>418721</v>
      </c>
      <c r="BO10" s="14">
        <f t="shared" si="14"/>
        <v>356602</v>
      </c>
      <c r="BP10" s="14">
        <f t="shared" si="14"/>
        <v>326706</v>
      </c>
      <c r="BQ10" s="14">
        <f t="shared" si="14"/>
        <v>304987</v>
      </c>
      <c r="BR10" s="14">
        <f>SUM(BR20:BR26)</f>
        <v>228035</v>
      </c>
      <c r="BS10" s="14">
        <f>BS20+BS23+BS26</f>
        <v>201165</v>
      </c>
      <c r="BT10" s="14">
        <f>BS10</f>
        <v>201165</v>
      </c>
      <c r="BU10" s="18"/>
      <c r="BV10" s="14">
        <f>BV11+BV23+BV26</f>
        <v>247713</v>
      </c>
      <c r="BW10" s="14">
        <f t="shared" ref="BW10:CF10" si="15">BW11+BW23+BW26</f>
        <v>278707</v>
      </c>
      <c r="BX10" s="14">
        <f t="shared" si="15"/>
        <v>281829</v>
      </c>
      <c r="BY10" s="14">
        <f t="shared" si="15"/>
        <v>317753</v>
      </c>
      <c r="BZ10" s="14">
        <f t="shared" si="15"/>
        <v>270339</v>
      </c>
      <c r="CA10" s="14">
        <f t="shared" si="15"/>
        <v>310383</v>
      </c>
      <c r="CB10" s="14">
        <f t="shared" si="15"/>
        <v>328365</v>
      </c>
      <c r="CC10" s="14">
        <f t="shared" si="15"/>
        <v>333476</v>
      </c>
      <c r="CD10" s="14">
        <f>CD11+CD23+CD26</f>
        <v>306264</v>
      </c>
      <c r="CE10" s="14">
        <f t="shared" si="15"/>
        <v>270370</v>
      </c>
      <c r="CF10" s="14">
        <f t="shared" si="15"/>
        <v>194014</v>
      </c>
      <c r="CG10" s="14">
        <f>CG11+CG23+CG26</f>
        <v>182266</v>
      </c>
      <c r="CH10" s="14">
        <f t="shared" ref="CH10" si="16">CH20+CH23+CH26</f>
        <v>161447</v>
      </c>
      <c r="CJ10" s="14">
        <f>CH10+CJ81-CJ34</f>
        <v>168530.63302273574</v>
      </c>
      <c r="CK10" s="14">
        <f>CJ10+CK81-CK34</f>
        <v>182286.97320909426</v>
      </c>
      <c r="CL10" s="14">
        <f>CL20+CL23</f>
        <v>127909</v>
      </c>
      <c r="CM10" s="14">
        <f>CM20+CM23</f>
        <v>174007</v>
      </c>
      <c r="CN10" s="14">
        <f>CM10+CN81-CN34</f>
        <v>184445.8879612374</v>
      </c>
      <c r="CO10" s="14">
        <f>CN10+CO81-CO34</f>
        <v>247499.73306000742</v>
      </c>
      <c r="CP10" s="14">
        <f>CO10+CP81-CP34</f>
        <v>280382.22259587242</v>
      </c>
      <c r="CQ10" s="14">
        <f>CP10+CQ81-CQ34</f>
        <v>258376.52867182181</v>
      </c>
      <c r="CR10" s="14">
        <f>CQ10+CR81-CR34</f>
        <v>210518.33782793995</v>
      </c>
      <c r="CS10" s="14">
        <f>CR10+CS81-CS34</f>
        <v>165804.38677308764</v>
      </c>
      <c r="CT10" s="14">
        <f>CS10+CT81-CT34</f>
        <v>156780.78567604127</v>
      </c>
      <c r="CU10" s="14">
        <f>CT10+CU81-CU34</f>
        <v>179129.39327097798</v>
      </c>
      <c r="CV10" s="14">
        <v>116080.10690622788</v>
      </c>
      <c r="CX10" s="14">
        <f>CU10+CX81-CX34</f>
        <v>121016.49327097798</v>
      </c>
      <c r="CY10" s="14">
        <f>CX10+CY81-CY34</f>
        <v>93881.093270977988</v>
      </c>
      <c r="CZ10" s="14">
        <f>CY10+CZ81-CZ34</f>
        <v>-84738.906729022012</v>
      </c>
      <c r="DA10" s="14">
        <f>CZ10+DA81-DA34</f>
        <v>-154898.90672902201</v>
      </c>
      <c r="DB10" s="14">
        <f>DA10+DB81-DB34</f>
        <v>-164809.15672902204</v>
      </c>
      <c r="DC10" s="14">
        <f>DB10+DC81-DC34</f>
        <v>-180476.43672902207</v>
      </c>
      <c r="DD10" s="14">
        <f>DC10+DD81-DD34</f>
        <v>-226077.71672902213</v>
      </c>
      <c r="DE10" s="14">
        <f>DD10+DE81-DE34</f>
        <v>-304652.67672902218</v>
      </c>
      <c r="DF10" s="14">
        <f>DE10+DF81-DF34</f>
        <v>-447459.81672902219</v>
      </c>
      <c r="DG10" s="14">
        <f>DF10+DG81-DG34</f>
        <v>-550018.87706657499</v>
      </c>
      <c r="DH10" s="14">
        <f>DG10+DH81-DH34</f>
        <v>-576563.66381762992</v>
      </c>
      <c r="DI10" s="14">
        <f>DH10+DI81-DI34</f>
        <v>-596784.10938725015</v>
      </c>
      <c r="DJ10" s="14">
        <v>116080.10690622788</v>
      </c>
      <c r="DK10" s="948"/>
      <c r="DL10" s="14">
        <f>DI10+DL81-DL34</f>
        <v>-679324.10938725015</v>
      </c>
      <c r="DM10" s="14">
        <f>DL10+DM81-DM34</f>
        <v>-715064.10938725015</v>
      </c>
      <c r="DN10" s="14">
        <f>DM10+DN81-DN34</f>
        <v>-756604.10938725015</v>
      </c>
      <c r="DO10" s="14">
        <f>DN10+DO81-DO34</f>
        <v>-782026.15238725021</v>
      </c>
      <c r="DP10" s="14">
        <f>DO10+DP81-DP34</f>
        <v>-817022.28338725027</v>
      </c>
      <c r="DQ10" s="14">
        <f>DP10+DQ81-DQ34</f>
        <v>-835204.14738725033</v>
      </c>
      <c r="DR10" s="14">
        <f>DQ10+DR81-DR34</f>
        <v>-915989.09758725041</v>
      </c>
      <c r="DS10" s="14">
        <f>DR10+DS81-DS34</f>
        <v>-1032880.1929872504</v>
      </c>
      <c r="DT10" s="14">
        <f>DS10+DT81-DT34</f>
        <v>-1203093.1516872505</v>
      </c>
      <c r="DU10" s="14">
        <f>DT10+DU81-DU34</f>
        <v>-1331421.6840585587</v>
      </c>
      <c r="DV10" s="14">
        <f>DU10+DV81-DV34</f>
        <v>-1374320.148884719</v>
      </c>
      <c r="DW10" s="14">
        <f>DV10+DW81-DW34</f>
        <v>-1402151.8390113013</v>
      </c>
      <c r="DX10" s="14">
        <v>116080.10690622788</v>
      </c>
    </row>
    <row r="11" spans="1:128">
      <c r="A11" s="19">
        <v>0</v>
      </c>
      <c r="B11" s="158" t="s">
        <v>30</v>
      </c>
      <c r="C11" s="264"/>
      <c r="D11" s="265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66"/>
      <c r="Q11" s="21"/>
      <c r="R11" s="265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67"/>
      <c r="AE11" s="23"/>
      <c r="AF11" s="22"/>
      <c r="AG11" s="22"/>
      <c r="AH11" s="22"/>
      <c r="AI11" s="22"/>
      <c r="AJ11" s="24"/>
      <c r="AK11" s="22"/>
      <c r="AL11" s="22"/>
      <c r="AM11" s="22"/>
      <c r="AN11" s="22"/>
      <c r="AO11" s="22"/>
      <c r="AP11" s="25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6"/>
      <c r="BC11" s="22"/>
      <c r="BD11" s="22"/>
      <c r="BE11" s="22"/>
      <c r="BF11" s="22"/>
      <c r="BG11" s="27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8"/>
      <c r="BV11" s="22">
        <v>204006</v>
      </c>
      <c r="BW11" s="22">
        <v>241182</v>
      </c>
      <c r="BX11" s="22">
        <v>245950</v>
      </c>
      <c r="BY11" s="22">
        <v>281974</v>
      </c>
      <c r="BZ11" s="22">
        <v>202865</v>
      </c>
      <c r="CA11" s="22">
        <v>240895</v>
      </c>
      <c r="CB11" s="22">
        <v>273565</v>
      </c>
      <c r="CC11" s="22">
        <v>288981</v>
      </c>
      <c r="CD11" s="22">
        <v>273990</v>
      </c>
      <c r="CE11" s="22">
        <v>237556</v>
      </c>
      <c r="CF11" s="22">
        <v>168313</v>
      </c>
      <c r="CG11" s="22">
        <v>150819</v>
      </c>
      <c r="CH11" s="22">
        <f>CG11</f>
        <v>150819</v>
      </c>
      <c r="CJ11" s="22">
        <v>205037</v>
      </c>
      <c r="CK11" s="22">
        <v>230430</v>
      </c>
      <c r="CL11" s="22">
        <v>234343</v>
      </c>
      <c r="CM11" s="22">
        <v>266388</v>
      </c>
      <c r="CN11" s="22"/>
      <c r="CO11" s="22"/>
      <c r="CP11" s="22"/>
      <c r="CQ11" s="22"/>
      <c r="CR11" s="22"/>
      <c r="CS11" s="22">
        <v>278269</v>
      </c>
      <c r="CT11" s="22"/>
      <c r="CU11" s="22"/>
      <c r="CV11" s="22"/>
      <c r="CX11" s="22">
        <v>315473</v>
      </c>
      <c r="CY11" s="22">
        <v>340292</v>
      </c>
      <c r="CZ11" s="22">
        <v>246000</v>
      </c>
      <c r="DA11" s="22">
        <f>CZ11-DA34+DA80</f>
        <v>215000</v>
      </c>
      <c r="DB11" s="22">
        <f>DA11-DB34+DB80</f>
        <v>234089.74999999997</v>
      </c>
      <c r="DC11" s="22">
        <f>DB11-DC34+DC80</f>
        <v>282422.46999999997</v>
      </c>
      <c r="DD11" s="22">
        <f>DC11-DD34+DD80</f>
        <v>296821.18999999994</v>
      </c>
      <c r="DE11" s="22">
        <f>DD11-DE34+DE80</f>
        <v>276246.22999999992</v>
      </c>
      <c r="DF11" s="22">
        <f>DE11-DF75+DF80</f>
        <v>218233.09999999992</v>
      </c>
      <c r="DG11" s="22">
        <f>DF11-DG75+DG80</f>
        <v>171240.25914767926</v>
      </c>
      <c r="DH11" s="22">
        <f>DG11-DH75+DH80</f>
        <v>186315.72470126575</v>
      </c>
      <c r="DI11" s="22">
        <f>DH11-DI75+DI80</f>
        <v>219495.5369379746</v>
      </c>
      <c r="DJ11" s="22"/>
      <c r="DK11" s="948"/>
      <c r="DL11" s="22">
        <f>DI11-DL75+DL80</f>
        <v>202039.13093797455</v>
      </c>
      <c r="DM11" s="22">
        <f>DL11-DM75+DM80</f>
        <v>196295.55193797455</v>
      </c>
      <c r="DN11" s="22">
        <f t="shared" ref="DN11:DW11" si="17">DM11-DN75+DN80</f>
        <v>174071.62493797453</v>
      </c>
      <c r="DO11" s="22">
        <f t="shared" si="17"/>
        <v>206485.94093797452</v>
      </c>
      <c r="DP11" s="22">
        <f t="shared" si="17"/>
        <v>217580.70493797451</v>
      </c>
      <c r="DQ11" s="22">
        <f t="shared" si="17"/>
        <v>274326.62293797452</v>
      </c>
      <c r="DR11" s="22">
        <f t="shared" si="17"/>
        <v>253414.31993797448</v>
      </c>
      <c r="DS11" s="22">
        <f t="shared" si="17"/>
        <v>211931.89893797447</v>
      </c>
      <c r="DT11" s="22">
        <f t="shared" si="17"/>
        <v>126929.85593797447</v>
      </c>
      <c r="DU11" s="22">
        <f t="shared" si="17"/>
        <v>54050.131000421708</v>
      </c>
      <c r="DV11" s="22">
        <f t="shared" si="17"/>
        <v>51287.943109366839</v>
      </c>
      <c r="DW11" s="22">
        <f t="shared" si="17"/>
        <v>73046.53656974656</v>
      </c>
      <c r="DX11" s="22"/>
    </row>
    <row r="12" spans="1:128">
      <c r="A12" s="19"/>
      <c r="B12" s="158" t="s">
        <v>112</v>
      </c>
      <c r="C12" s="264"/>
      <c r="D12" s="265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66"/>
      <c r="Q12" s="21"/>
      <c r="R12" s="265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67"/>
      <c r="AE12" s="23"/>
      <c r="AF12" s="22"/>
      <c r="AG12" s="22"/>
      <c r="AH12" s="22"/>
      <c r="AI12" s="22"/>
      <c r="AJ12" s="24"/>
      <c r="AK12" s="22"/>
      <c r="AL12" s="22"/>
      <c r="AM12" s="22"/>
      <c r="AN12" s="22"/>
      <c r="AO12" s="22"/>
      <c r="AP12" s="25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6"/>
      <c r="BC12" s="22"/>
      <c r="BD12" s="22"/>
      <c r="BE12" s="22"/>
      <c r="BF12" s="22"/>
      <c r="BG12" s="27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8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>
        <v>40000</v>
      </c>
      <c r="CT12" s="22"/>
      <c r="CU12" s="22"/>
      <c r="CV12" s="22"/>
      <c r="CX12" s="22">
        <v>27585</v>
      </c>
      <c r="CY12" s="22">
        <v>35241</v>
      </c>
      <c r="CZ12" s="22">
        <v>33500</v>
      </c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948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</row>
    <row r="13" spans="1:128">
      <c r="A13" s="19"/>
      <c r="B13" s="158" t="s">
        <v>113</v>
      </c>
      <c r="C13" s="264"/>
      <c r="D13" s="26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66"/>
      <c r="Q13" s="21"/>
      <c r="R13" s="265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67"/>
      <c r="AE13" s="23"/>
      <c r="AF13" s="22"/>
      <c r="AG13" s="22"/>
      <c r="AH13" s="22"/>
      <c r="AI13" s="22"/>
      <c r="AJ13" s="24"/>
      <c r="AK13" s="22"/>
      <c r="AL13" s="22"/>
      <c r="AM13" s="22"/>
      <c r="AN13" s="22"/>
      <c r="AO13" s="22"/>
      <c r="AP13" s="25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6"/>
      <c r="BC13" s="22"/>
      <c r="BD13" s="22"/>
      <c r="BE13" s="22"/>
      <c r="BF13" s="22"/>
      <c r="BG13" s="27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8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>
        <v>25428</v>
      </c>
      <c r="CT13" s="22"/>
      <c r="CU13" s="22"/>
      <c r="CV13" s="22"/>
      <c r="CX13" s="22">
        <v>47014</v>
      </c>
      <c r="CY13" s="22">
        <v>54401</v>
      </c>
      <c r="CZ13" s="22">
        <v>68100</v>
      </c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948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</row>
    <row r="14" spans="1:128">
      <c r="A14" s="19">
        <v>0</v>
      </c>
      <c r="B14" s="158" t="s">
        <v>114</v>
      </c>
      <c r="C14" s="264"/>
      <c r="D14" s="26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66"/>
      <c r="Q14" s="21"/>
      <c r="R14" s="265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67"/>
      <c r="AE14" s="23"/>
      <c r="AF14" s="22"/>
      <c r="AG14" s="22"/>
      <c r="AH14" s="22"/>
      <c r="AI14" s="22"/>
      <c r="AJ14" s="24"/>
      <c r="AK14" s="22"/>
      <c r="AL14" s="22"/>
      <c r="AM14" s="22"/>
      <c r="AN14" s="22"/>
      <c r="AO14" s="22"/>
      <c r="AP14" s="25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6"/>
      <c r="BC14" s="22"/>
      <c r="BD14" s="22"/>
      <c r="BE14" s="22"/>
      <c r="BF14" s="22"/>
      <c r="BG14" s="27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8"/>
      <c r="BV14" s="22">
        <v>80956</v>
      </c>
      <c r="BW14" s="22">
        <v>110544</v>
      </c>
      <c r="BX14" s="22">
        <v>134506</v>
      </c>
      <c r="BY14" s="22">
        <v>127959</v>
      </c>
      <c r="BZ14" s="22">
        <v>66136</v>
      </c>
      <c r="CA14" s="22">
        <v>72582</v>
      </c>
      <c r="CB14" s="22">
        <v>94286</v>
      </c>
      <c r="CC14" s="22">
        <v>133081</v>
      </c>
      <c r="CD14" s="22">
        <v>148174</v>
      </c>
      <c r="CE14" s="22">
        <v>154201</v>
      </c>
      <c r="CF14" s="22">
        <v>97365</v>
      </c>
      <c r="CG14" s="22">
        <v>30184</v>
      </c>
      <c r="CH14" s="22"/>
      <c r="CJ14" s="22">
        <v>132209</v>
      </c>
      <c r="CK14" s="22">
        <v>180000</v>
      </c>
      <c r="CL14" s="22">
        <v>177643</v>
      </c>
      <c r="CM14" s="22">
        <v>153210</v>
      </c>
      <c r="CN14" s="22"/>
      <c r="CO14" s="22"/>
      <c r="CP14" s="22"/>
      <c r="CQ14" s="22"/>
      <c r="CR14" s="22"/>
      <c r="CS14" s="22">
        <v>189875</v>
      </c>
      <c r="CT14" s="22"/>
      <c r="CU14" s="22"/>
      <c r="CV14" s="22"/>
      <c r="CX14" s="22">
        <v>101210</v>
      </c>
      <c r="CY14" s="22">
        <v>105819</v>
      </c>
      <c r="CZ14" s="22">
        <v>12500</v>
      </c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948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</row>
    <row r="15" spans="1:128">
      <c r="A15" s="19">
        <v>0</v>
      </c>
      <c r="B15" s="158" t="s">
        <v>32</v>
      </c>
      <c r="C15" s="264"/>
      <c r="D15" s="26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66"/>
      <c r="Q15" s="21"/>
      <c r="R15" s="265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67"/>
      <c r="AE15" s="23"/>
      <c r="AF15" s="22"/>
      <c r="AG15" s="22"/>
      <c r="AH15" s="22"/>
      <c r="AI15" s="22"/>
      <c r="AJ15" s="24"/>
      <c r="AK15" s="22"/>
      <c r="AL15" s="22"/>
      <c r="AM15" s="22"/>
      <c r="AN15" s="22"/>
      <c r="AO15" s="22"/>
      <c r="AP15" s="25"/>
      <c r="AQ15" s="22"/>
      <c r="AR15" s="22"/>
      <c r="AS15" s="23"/>
      <c r="AT15" s="22"/>
      <c r="AU15" s="22"/>
      <c r="AV15" s="22"/>
      <c r="AW15" s="22"/>
      <c r="AX15" s="22"/>
      <c r="AY15" s="22"/>
      <c r="AZ15" s="22"/>
      <c r="BA15" s="22"/>
      <c r="BB15" s="26"/>
      <c r="BC15" s="22"/>
      <c r="BD15" s="22"/>
      <c r="BE15" s="22"/>
      <c r="BF15" s="22"/>
      <c r="BG15" s="27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8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J15" s="22">
        <v>150321</v>
      </c>
      <c r="CK15" s="22">
        <v>133602</v>
      </c>
      <c r="CL15" s="22">
        <v>135672</v>
      </c>
      <c r="CM15" s="22">
        <v>133268</v>
      </c>
      <c r="CN15" s="22"/>
      <c r="CO15" s="22"/>
      <c r="CP15" s="22"/>
      <c r="CQ15" s="22"/>
      <c r="CR15" s="22"/>
      <c r="CS15" s="22">
        <v>113875</v>
      </c>
      <c r="CT15" s="22"/>
      <c r="CU15" s="22"/>
      <c r="CV15" s="22"/>
      <c r="CX15" s="726">
        <v>109268</v>
      </c>
      <c r="CY15" s="726">
        <v>114943</v>
      </c>
      <c r="CZ15" s="22">
        <v>133000</v>
      </c>
      <c r="DA15" s="22"/>
      <c r="DB15" s="22"/>
      <c r="DC15" s="22"/>
      <c r="DD15" s="22"/>
      <c r="DE15" s="22"/>
      <c r="DF15" s="22"/>
      <c r="DG15" s="22"/>
      <c r="DH15" s="22"/>
      <c r="DI15" s="22">
        <f t="shared" ref="DI15" si="18">DH15</f>
        <v>0</v>
      </c>
      <c r="DJ15" s="22"/>
      <c r="DK15" s="948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>
        <f t="shared" ref="DW15" si="19">DV15</f>
        <v>0</v>
      </c>
      <c r="DX15" s="22"/>
    </row>
    <row r="16" spans="1:128">
      <c r="A16" s="19">
        <v>0</v>
      </c>
      <c r="B16" s="717" t="s">
        <v>33</v>
      </c>
      <c r="C16" s="264"/>
      <c r="D16" s="265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66"/>
      <c r="Q16" s="21"/>
      <c r="R16" s="265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67"/>
      <c r="AE16" s="23"/>
      <c r="AF16" s="22"/>
      <c r="AG16" s="22"/>
      <c r="AH16" s="22"/>
      <c r="AI16" s="22"/>
      <c r="AJ16" s="24"/>
      <c r="AK16" s="22"/>
      <c r="AL16" s="22"/>
      <c r="AM16" s="22"/>
      <c r="AN16" s="22"/>
      <c r="AO16" s="22"/>
      <c r="AP16" s="25"/>
      <c r="AQ16" s="22"/>
      <c r="AR16" s="22"/>
      <c r="AS16" s="23"/>
      <c r="AT16" s="22"/>
      <c r="AU16" s="22"/>
      <c r="AV16" s="22"/>
      <c r="AW16" s="22"/>
      <c r="AX16" s="22"/>
      <c r="AY16" s="22"/>
      <c r="AZ16" s="22"/>
      <c r="BA16" s="22"/>
      <c r="BB16" s="26"/>
      <c r="BC16" s="22"/>
      <c r="BD16" s="22"/>
      <c r="BE16" s="22"/>
      <c r="BF16" s="22"/>
      <c r="BG16" s="27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8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J16" s="718">
        <v>36757</v>
      </c>
      <c r="CK16" s="718">
        <v>55826</v>
      </c>
      <c r="CL16" s="718">
        <v>60438</v>
      </c>
      <c r="CM16" s="718">
        <v>52291</v>
      </c>
      <c r="CN16" s="22"/>
      <c r="CO16" s="22"/>
      <c r="CP16" s="22"/>
      <c r="CQ16" s="22"/>
      <c r="CR16" s="22"/>
      <c r="CS16" s="718">
        <v>35740</v>
      </c>
      <c r="CT16" s="22"/>
      <c r="CU16" s="22"/>
      <c r="CV16" s="22"/>
      <c r="CX16" s="22">
        <v>-44963</v>
      </c>
      <c r="CY16" s="22">
        <v>-45395</v>
      </c>
      <c r="CZ16" s="22">
        <v>89000</v>
      </c>
      <c r="DA16" s="22"/>
      <c r="DB16" s="22"/>
      <c r="DC16" s="22"/>
      <c r="DD16" s="22"/>
      <c r="DE16" s="22"/>
      <c r="DF16" s="22"/>
      <c r="DG16" s="22">
        <v>50000</v>
      </c>
      <c r="DH16" s="22"/>
      <c r="DI16" s="22"/>
      <c r="DJ16" s="22"/>
      <c r="DK16" s="948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</row>
    <row r="17" spans="1:128" s="758" customFormat="1" ht="18.75" hidden="1">
      <c r="A17" s="839"/>
      <c r="B17" s="901" t="s">
        <v>115</v>
      </c>
      <c r="C17" s="902"/>
      <c r="D17" s="840"/>
      <c r="E17" s="841"/>
      <c r="F17" s="841"/>
      <c r="G17" s="841"/>
      <c r="H17" s="841"/>
      <c r="I17" s="841"/>
      <c r="J17" s="841"/>
      <c r="K17" s="841"/>
      <c r="L17" s="841"/>
      <c r="M17" s="841"/>
      <c r="N17" s="841"/>
      <c r="O17" s="841"/>
      <c r="P17" s="842"/>
      <c r="Q17" s="843"/>
      <c r="R17" s="840"/>
      <c r="S17" s="844"/>
      <c r="T17" s="844"/>
      <c r="U17" s="844"/>
      <c r="V17" s="844"/>
      <c r="W17" s="844"/>
      <c r="X17" s="844"/>
      <c r="Y17" s="844"/>
      <c r="Z17" s="844"/>
      <c r="AA17" s="844"/>
      <c r="AB17" s="844"/>
      <c r="AC17" s="844"/>
      <c r="AD17" s="845"/>
      <c r="AE17" s="846"/>
      <c r="AF17" s="844"/>
      <c r="AG17" s="844"/>
      <c r="AH17" s="844"/>
      <c r="AI17" s="844"/>
      <c r="AJ17" s="846"/>
      <c r="AK17" s="844"/>
      <c r="AL17" s="844"/>
      <c r="AM17" s="844"/>
      <c r="AN17" s="844"/>
      <c r="AO17" s="844"/>
      <c r="AP17" s="844"/>
      <c r="AQ17" s="844"/>
      <c r="AR17" s="844"/>
      <c r="AS17" s="846"/>
      <c r="AT17" s="844"/>
      <c r="AU17" s="844"/>
      <c r="AV17" s="844"/>
      <c r="AW17" s="844"/>
      <c r="AX17" s="844"/>
      <c r="AY17" s="844"/>
      <c r="AZ17" s="844"/>
      <c r="BA17" s="844"/>
      <c r="BB17" s="847"/>
      <c r="BC17" s="844"/>
      <c r="BD17" s="844"/>
      <c r="BE17" s="844"/>
      <c r="BF17" s="844"/>
      <c r="BG17" s="846"/>
      <c r="BH17" s="844"/>
      <c r="BI17" s="844"/>
      <c r="BJ17" s="844"/>
      <c r="BK17" s="844"/>
      <c r="BL17" s="844"/>
      <c r="BM17" s="844"/>
      <c r="BN17" s="844"/>
      <c r="BO17" s="844"/>
      <c r="BP17" s="844"/>
      <c r="BQ17" s="844"/>
      <c r="BR17" s="844"/>
      <c r="BS17" s="844"/>
      <c r="BT17" s="844"/>
      <c r="BU17" s="846"/>
      <c r="BV17" s="844"/>
      <c r="BW17" s="844"/>
      <c r="BX17" s="844"/>
      <c r="BY17" s="844"/>
      <c r="BZ17" s="844"/>
      <c r="CA17" s="844"/>
      <c r="CB17" s="844"/>
      <c r="CC17" s="844"/>
      <c r="CD17" s="844"/>
      <c r="CE17" s="844"/>
      <c r="CF17" s="844"/>
      <c r="CG17" s="844"/>
      <c r="CH17" s="844"/>
      <c r="CJ17" s="848"/>
      <c r="CK17" s="848"/>
      <c r="CL17" s="848"/>
      <c r="CM17" s="848"/>
      <c r="CN17" s="844"/>
      <c r="CO17" s="844"/>
      <c r="CP17" s="844"/>
      <c r="CQ17" s="844"/>
      <c r="CR17" s="844"/>
      <c r="CS17" s="849" t="e">
        <f>CS20/$DK$77</f>
        <v>#DIV/0!</v>
      </c>
      <c r="CT17" s="849" t="e">
        <f>CT20/$DK$77</f>
        <v>#DIV/0!</v>
      </c>
      <c r="CU17" s="849" t="e">
        <f>CU20/$DK$77</f>
        <v>#DIV/0!</v>
      </c>
      <c r="CV17" s="844"/>
      <c r="CX17" s="849" t="e">
        <f>CX20/$DK$77</f>
        <v>#DIV/0!</v>
      </c>
      <c r="CY17" s="849" t="e">
        <f t="shared" ref="CY17:DH17" si="20">CY20/$DK$77</f>
        <v>#DIV/0!</v>
      </c>
      <c r="CZ17" s="849" t="e">
        <f t="shared" si="20"/>
        <v>#DIV/0!</v>
      </c>
      <c r="DA17" s="849" t="e">
        <f t="shared" si="20"/>
        <v>#DIV/0!</v>
      </c>
      <c r="DB17" s="849" t="e">
        <f t="shared" si="20"/>
        <v>#DIV/0!</v>
      </c>
      <c r="DC17" s="849" t="e">
        <f t="shared" si="20"/>
        <v>#DIV/0!</v>
      </c>
      <c r="DD17" s="849" t="e">
        <f t="shared" si="20"/>
        <v>#DIV/0!</v>
      </c>
      <c r="DE17" s="849" t="e">
        <f t="shared" si="20"/>
        <v>#DIV/0!</v>
      </c>
      <c r="DF17" s="849" t="e">
        <f t="shared" si="20"/>
        <v>#DIV/0!</v>
      </c>
      <c r="DG17" s="849" t="e">
        <f t="shared" si="20"/>
        <v>#DIV/0!</v>
      </c>
      <c r="DH17" s="849" t="e">
        <f t="shared" si="20"/>
        <v>#DIV/0!</v>
      </c>
      <c r="DI17" s="849">
        <f t="shared" ref="DI17:DS17" si="21">DI20/138624</f>
        <v>0.78408714896392129</v>
      </c>
      <c r="DJ17" s="844"/>
      <c r="DK17" s="948"/>
      <c r="DL17" s="849" t="e">
        <f>DL20/$DK$77</f>
        <v>#DIV/0!</v>
      </c>
      <c r="DM17" s="849" t="e">
        <f t="shared" ref="DM17:DV17" si="22">DM20/$DK$77</f>
        <v>#DIV/0!</v>
      </c>
      <c r="DN17" s="849" t="e">
        <f t="shared" si="22"/>
        <v>#DIV/0!</v>
      </c>
      <c r="DO17" s="849" t="e">
        <f t="shared" si="22"/>
        <v>#DIV/0!</v>
      </c>
      <c r="DP17" s="849" t="e">
        <f t="shared" si="22"/>
        <v>#DIV/0!</v>
      </c>
      <c r="DQ17" s="849" t="e">
        <f t="shared" si="22"/>
        <v>#DIV/0!</v>
      </c>
      <c r="DR17" s="849" t="e">
        <f t="shared" si="22"/>
        <v>#DIV/0!</v>
      </c>
      <c r="DS17" s="849" t="e">
        <f t="shared" si="22"/>
        <v>#DIV/0!</v>
      </c>
      <c r="DT17" s="849" t="e">
        <f t="shared" si="22"/>
        <v>#DIV/0!</v>
      </c>
      <c r="DU17" s="849" t="e">
        <f t="shared" si="22"/>
        <v>#DIV/0!</v>
      </c>
      <c r="DV17" s="849" t="e">
        <f t="shared" si="22"/>
        <v>#DIV/0!</v>
      </c>
      <c r="DW17" s="849">
        <f t="shared" ref="DW17:DY17" si="23">DW20/138624</f>
        <v>-0.3913352192279359</v>
      </c>
      <c r="DX17" s="844"/>
    </row>
    <row r="18" spans="1:128" s="758" customFormat="1" ht="18.75" hidden="1">
      <c r="A18" s="839"/>
      <c r="B18" s="901" t="s">
        <v>116</v>
      </c>
      <c r="C18" s="902"/>
      <c r="D18" s="840"/>
      <c r="E18" s="841"/>
      <c r="F18" s="841"/>
      <c r="G18" s="841"/>
      <c r="H18" s="841"/>
      <c r="I18" s="841"/>
      <c r="J18" s="841"/>
      <c r="K18" s="841"/>
      <c r="L18" s="841"/>
      <c r="M18" s="841"/>
      <c r="N18" s="841"/>
      <c r="O18" s="841"/>
      <c r="P18" s="842"/>
      <c r="Q18" s="843"/>
      <c r="R18" s="840"/>
      <c r="S18" s="844"/>
      <c r="T18" s="844"/>
      <c r="U18" s="844"/>
      <c r="V18" s="844"/>
      <c r="W18" s="844"/>
      <c r="X18" s="844"/>
      <c r="Y18" s="844"/>
      <c r="Z18" s="844"/>
      <c r="AA18" s="844"/>
      <c r="AB18" s="844"/>
      <c r="AC18" s="844"/>
      <c r="AD18" s="845"/>
      <c r="AE18" s="846"/>
      <c r="AF18" s="844"/>
      <c r="AG18" s="844"/>
      <c r="AH18" s="844"/>
      <c r="AI18" s="844"/>
      <c r="AJ18" s="846"/>
      <c r="AK18" s="844"/>
      <c r="AL18" s="844"/>
      <c r="AM18" s="844"/>
      <c r="AN18" s="844"/>
      <c r="AO18" s="844"/>
      <c r="AP18" s="844"/>
      <c r="AQ18" s="844"/>
      <c r="AR18" s="844"/>
      <c r="AS18" s="846"/>
      <c r="AT18" s="844"/>
      <c r="AU18" s="844"/>
      <c r="AV18" s="844"/>
      <c r="AW18" s="844"/>
      <c r="AX18" s="844"/>
      <c r="AY18" s="844"/>
      <c r="AZ18" s="844"/>
      <c r="BA18" s="844"/>
      <c r="BB18" s="847"/>
      <c r="BC18" s="844"/>
      <c r="BD18" s="844"/>
      <c r="BE18" s="844"/>
      <c r="BF18" s="844"/>
      <c r="BG18" s="846"/>
      <c r="BH18" s="844"/>
      <c r="BI18" s="844"/>
      <c r="BJ18" s="844"/>
      <c r="BK18" s="844"/>
      <c r="BL18" s="844"/>
      <c r="BM18" s="844"/>
      <c r="BN18" s="844"/>
      <c r="BO18" s="844"/>
      <c r="BP18" s="844"/>
      <c r="BQ18" s="844"/>
      <c r="BR18" s="844"/>
      <c r="BS18" s="844"/>
      <c r="BT18" s="844"/>
      <c r="BU18" s="846"/>
      <c r="BV18" s="844"/>
      <c r="BW18" s="844"/>
      <c r="BX18" s="844"/>
      <c r="BY18" s="844"/>
      <c r="BZ18" s="844"/>
      <c r="CA18" s="844"/>
      <c r="CB18" s="844"/>
      <c r="CC18" s="844"/>
      <c r="CD18" s="844"/>
      <c r="CE18" s="844"/>
      <c r="CF18" s="844"/>
      <c r="CG18" s="844"/>
      <c r="CH18" s="844"/>
      <c r="CJ18" s="848"/>
      <c r="CK18" s="848"/>
      <c r="CL18" s="848"/>
      <c r="CM18" s="848"/>
      <c r="CN18" s="844"/>
      <c r="CO18" s="844"/>
      <c r="CP18" s="844"/>
      <c r="CQ18" s="844"/>
      <c r="CR18" s="844"/>
      <c r="CS18" s="849" t="e">
        <f>CS21/$DK$78</f>
        <v>#DIV/0!</v>
      </c>
      <c r="CT18" s="849" t="e">
        <f>CT21/$DK$78</f>
        <v>#DIV/0!</v>
      </c>
      <c r="CU18" s="849" t="e">
        <f>CU21/$DK$78</f>
        <v>#DIV/0!</v>
      </c>
      <c r="CV18" s="844"/>
      <c r="CX18" s="849" t="e">
        <f>CX21/$DK$78</f>
        <v>#DIV/0!</v>
      </c>
      <c r="CY18" s="849" t="e">
        <f t="shared" ref="CY18:DH18" si="24">CY21/$DK$78</f>
        <v>#DIV/0!</v>
      </c>
      <c r="CZ18" s="849" t="e">
        <f t="shared" si="24"/>
        <v>#DIV/0!</v>
      </c>
      <c r="DA18" s="849" t="e">
        <f t="shared" si="24"/>
        <v>#DIV/0!</v>
      </c>
      <c r="DB18" s="849" t="e">
        <f t="shared" si="24"/>
        <v>#DIV/0!</v>
      </c>
      <c r="DC18" s="849" t="e">
        <f t="shared" si="24"/>
        <v>#DIV/0!</v>
      </c>
      <c r="DD18" s="849" t="e">
        <f t="shared" si="24"/>
        <v>#DIV/0!</v>
      </c>
      <c r="DE18" s="849" t="e">
        <f t="shared" si="24"/>
        <v>#DIV/0!</v>
      </c>
      <c r="DF18" s="849" t="e">
        <f>DF21/$DK$78</f>
        <v>#DIV/0!</v>
      </c>
      <c r="DG18" s="849" t="e">
        <f t="shared" si="24"/>
        <v>#DIV/0!</v>
      </c>
      <c r="DH18" s="849" t="e">
        <f t="shared" si="24"/>
        <v>#DIV/0!</v>
      </c>
      <c r="DI18" s="849">
        <f t="shared" ref="DI18:DS18" si="25">DI21/17313</f>
        <v>0.89852134234390313</v>
      </c>
      <c r="DJ18" s="844"/>
      <c r="DK18" s="948"/>
      <c r="DL18" s="849" t="e">
        <f>DL21/$DK$78</f>
        <v>#DIV/0!</v>
      </c>
      <c r="DM18" s="849" t="e">
        <f t="shared" ref="DM18:DV18" si="26">DM21/$DK$78</f>
        <v>#DIV/0!</v>
      </c>
      <c r="DN18" s="849" t="e">
        <f t="shared" si="26"/>
        <v>#DIV/0!</v>
      </c>
      <c r="DO18" s="849" t="e">
        <f t="shared" si="26"/>
        <v>#DIV/0!</v>
      </c>
      <c r="DP18" s="849" t="e">
        <f t="shared" si="26"/>
        <v>#DIV/0!</v>
      </c>
      <c r="DQ18" s="849" t="e">
        <f t="shared" si="26"/>
        <v>#DIV/0!</v>
      </c>
      <c r="DR18" s="849" t="e">
        <f t="shared" si="26"/>
        <v>#DIV/0!</v>
      </c>
      <c r="DS18" s="849" t="e">
        <f t="shared" si="26"/>
        <v>#DIV/0!</v>
      </c>
      <c r="DT18" s="849" t="e">
        <f>DT21/$DK$78</f>
        <v>#DIV/0!</v>
      </c>
      <c r="DU18" s="849" t="e">
        <f t="shared" ref="DU18:DY18" si="27">DU21/$DK$78</f>
        <v>#DIV/0!</v>
      </c>
      <c r="DV18" s="849" t="e">
        <f t="shared" si="27"/>
        <v>#DIV/0!</v>
      </c>
      <c r="DW18" s="849">
        <f t="shared" ref="DW18:DY18" si="28">DW21/17313</f>
        <v>0.64792930168081742</v>
      </c>
      <c r="DX18" s="844"/>
    </row>
    <row r="19" spans="1:128" s="758" customFormat="1" ht="18.75">
      <c r="A19" s="839"/>
      <c r="B19" s="1022" t="s">
        <v>155</v>
      </c>
      <c r="C19" s="1023"/>
      <c r="D19" s="840"/>
      <c r="E19" s="841"/>
      <c r="F19" s="841"/>
      <c r="G19" s="841"/>
      <c r="H19" s="841"/>
      <c r="I19" s="841"/>
      <c r="J19" s="841"/>
      <c r="K19" s="841"/>
      <c r="L19" s="841"/>
      <c r="M19" s="841"/>
      <c r="N19" s="841"/>
      <c r="O19" s="841"/>
      <c r="P19" s="842"/>
      <c r="Q19" s="843"/>
      <c r="R19" s="840"/>
      <c r="S19" s="844"/>
      <c r="T19" s="844"/>
      <c r="U19" s="844"/>
      <c r="V19" s="844"/>
      <c r="W19" s="844"/>
      <c r="X19" s="844"/>
      <c r="Y19" s="844"/>
      <c r="Z19" s="844"/>
      <c r="AA19" s="844"/>
      <c r="AB19" s="844"/>
      <c r="AC19" s="844"/>
      <c r="AD19" s="845"/>
      <c r="AE19" s="846"/>
      <c r="AF19" s="844"/>
      <c r="AG19" s="844"/>
      <c r="AH19" s="844"/>
      <c r="AI19" s="844"/>
      <c r="AJ19" s="846"/>
      <c r="AK19" s="844"/>
      <c r="AL19" s="844"/>
      <c r="AM19" s="844"/>
      <c r="AN19" s="844"/>
      <c r="AO19" s="844"/>
      <c r="AP19" s="844"/>
      <c r="AQ19" s="844"/>
      <c r="AR19" s="844"/>
      <c r="AS19" s="846"/>
      <c r="AT19" s="844"/>
      <c r="AU19" s="844"/>
      <c r="AV19" s="844"/>
      <c r="AW19" s="844"/>
      <c r="AX19" s="844"/>
      <c r="AY19" s="844"/>
      <c r="AZ19" s="844"/>
      <c r="BA19" s="844"/>
      <c r="BB19" s="847"/>
      <c r="BC19" s="844"/>
      <c r="BD19" s="844"/>
      <c r="BE19" s="844"/>
      <c r="BF19" s="844"/>
      <c r="BG19" s="846"/>
      <c r="BH19" s="844"/>
      <c r="BI19" s="844"/>
      <c r="BJ19" s="844"/>
      <c r="BK19" s="844"/>
      <c r="BL19" s="844"/>
      <c r="BM19" s="844"/>
      <c r="BN19" s="844"/>
      <c r="BO19" s="844"/>
      <c r="BP19" s="844"/>
      <c r="BQ19" s="844"/>
      <c r="BR19" s="844"/>
      <c r="BS19" s="844"/>
      <c r="BT19" s="844"/>
      <c r="BU19" s="846"/>
      <c r="BV19" s="844"/>
      <c r="BW19" s="844"/>
      <c r="BX19" s="844"/>
      <c r="BY19" s="844"/>
      <c r="BZ19" s="844"/>
      <c r="CA19" s="844"/>
      <c r="CB19" s="844"/>
      <c r="CC19" s="844"/>
      <c r="CD19" s="844"/>
      <c r="CE19" s="844"/>
      <c r="CF19" s="844"/>
      <c r="CG19" s="844"/>
      <c r="CH19" s="844"/>
      <c r="CJ19" s="848"/>
      <c r="CK19" s="848"/>
      <c r="CL19" s="848"/>
      <c r="CM19" s="848"/>
      <c r="CN19" s="844"/>
      <c r="CO19" s="844"/>
      <c r="CP19" s="844"/>
      <c r="CQ19" s="844"/>
      <c r="CR19" s="844"/>
      <c r="CS19" s="849"/>
      <c r="CT19" s="849"/>
      <c r="CU19" s="849"/>
      <c r="CV19" s="844"/>
      <c r="CX19" s="849"/>
      <c r="CY19" s="849"/>
      <c r="CZ19" s="844">
        <f>CZ20+CZ21</f>
        <v>203000</v>
      </c>
      <c r="DA19" s="844">
        <f t="shared" ref="DA19:DH19" si="29">DA20+DA21</f>
        <v>141685.56</v>
      </c>
      <c r="DB19" s="844">
        <f t="shared" si="29"/>
        <v>187809.8</v>
      </c>
      <c r="DC19" s="844">
        <f t="shared" si="29"/>
        <v>212849.18</v>
      </c>
      <c r="DD19" s="844">
        <f t="shared" si="29"/>
        <v>238759.34999999998</v>
      </c>
      <c r="DE19" s="844">
        <f t="shared" si="29"/>
        <v>244542.13999999996</v>
      </c>
      <c r="DF19" s="844">
        <f t="shared" si="29"/>
        <v>207451.90999999992</v>
      </c>
      <c r="DG19" s="844">
        <f t="shared" si="29"/>
        <v>118615.7691476793</v>
      </c>
      <c r="DH19" s="844">
        <f t="shared" si="29"/>
        <v>137769.58470126576</v>
      </c>
      <c r="DI19" s="844">
        <f>DI20+DI21</f>
        <v>124249.39693797461</v>
      </c>
      <c r="DJ19" s="844"/>
      <c r="DK19" s="948"/>
      <c r="DL19" s="844">
        <f>DL20+DL21</f>
        <v>92522.99093797458</v>
      </c>
      <c r="DM19" s="844">
        <f t="shared" ref="DM19:DW19" si="30">DM20+DM21</f>
        <v>93693.411937974583</v>
      </c>
      <c r="DN19" s="844">
        <f t="shared" si="30"/>
        <v>66793.484937974557</v>
      </c>
      <c r="DO19" s="844">
        <f t="shared" si="30"/>
        <v>111425.80093797455</v>
      </c>
      <c r="DP19" s="844">
        <f t="shared" si="30"/>
        <v>132009.56493797456</v>
      </c>
      <c r="DQ19" s="844">
        <f t="shared" si="30"/>
        <v>153519.48293797456</v>
      </c>
      <c r="DR19" s="844">
        <f t="shared" si="30"/>
        <v>142293.07993797451</v>
      </c>
      <c r="DS19" s="844">
        <f t="shared" si="30"/>
        <v>109396.55893797452</v>
      </c>
      <c r="DT19" s="844">
        <f t="shared" si="30"/>
        <v>45317.415937974511</v>
      </c>
      <c r="DU19" s="844">
        <f t="shared" si="30"/>
        <v>-19405.608999578249</v>
      </c>
      <c r="DV19" s="844">
        <f t="shared" si="30"/>
        <v>-18089.446890633113</v>
      </c>
      <c r="DW19" s="844">
        <f t="shared" si="30"/>
        <v>-43030.853430253395</v>
      </c>
      <c r="DX19" s="844"/>
    </row>
    <row r="20" spans="1:128" s="1008" customFormat="1" ht="18.75">
      <c r="A20" s="1007">
        <v>1</v>
      </c>
      <c r="B20" s="1009" t="s">
        <v>117</v>
      </c>
      <c r="C20" s="1010"/>
      <c r="D20" s="1011">
        <v>197000</v>
      </c>
      <c r="E20" s="1012">
        <v>223027</v>
      </c>
      <c r="F20" s="1012">
        <v>230513</v>
      </c>
      <c r="G20" s="1012">
        <v>231174</v>
      </c>
      <c r="H20" s="1012">
        <v>255028</v>
      </c>
      <c r="I20" s="1012">
        <f>316386+3241</f>
        <v>319627</v>
      </c>
      <c r="J20" s="1012">
        <v>377712</v>
      </c>
      <c r="K20" s="1012">
        <v>382411</v>
      </c>
      <c r="L20" s="1012">
        <v>394107</v>
      </c>
      <c r="M20" s="1012">
        <v>267954</v>
      </c>
      <c r="N20" s="1012"/>
      <c r="O20" s="1012">
        <v>143875</v>
      </c>
      <c r="P20" s="1013"/>
      <c r="Q20" s="1014"/>
      <c r="R20" s="1011">
        <v>208084</v>
      </c>
      <c r="S20" s="1015">
        <v>268431</v>
      </c>
      <c r="T20" s="1015">
        <v>250616</v>
      </c>
      <c r="U20" s="1015">
        <v>237088</v>
      </c>
      <c r="V20" s="1015">
        <v>147777</v>
      </c>
      <c r="W20" s="1015">
        <v>215818</v>
      </c>
      <c r="X20" s="1015">
        <v>273510</v>
      </c>
      <c r="Y20" s="1015">
        <v>299059</v>
      </c>
      <c r="Z20" s="1015">
        <v>304980</v>
      </c>
      <c r="AA20" s="1015">
        <v>231197</v>
      </c>
      <c r="AB20" s="1015">
        <v>143086</v>
      </c>
      <c r="AC20" s="1015">
        <v>172491</v>
      </c>
      <c r="AD20" s="1016"/>
      <c r="AE20" s="1017"/>
      <c r="AF20" s="1015">
        <v>198695</v>
      </c>
      <c r="AG20" s="1015">
        <v>234210</v>
      </c>
      <c r="AH20" s="1015">
        <v>327560</v>
      </c>
      <c r="AI20" s="1015">
        <v>332523</v>
      </c>
      <c r="AJ20" s="1017">
        <v>356667</v>
      </c>
      <c r="AK20" s="1015">
        <v>384165</v>
      </c>
      <c r="AL20" s="1015">
        <v>317268</v>
      </c>
      <c r="AM20" s="1015">
        <v>370708</v>
      </c>
      <c r="AN20" s="1015">
        <v>354503</v>
      </c>
      <c r="AO20" s="1015">
        <v>314605</v>
      </c>
      <c r="AP20" s="1015">
        <v>90490</v>
      </c>
      <c r="AQ20" s="1015">
        <v>58348</v>
      </c>
      <c r="AR20" s="1015">
        <f t="shared" si="11"/>
        <v>58348</v>
      </c>
      <c r="AS20" s="1017"/>
      <c r="AT20" s="1015">
        <v>158701</v>
      </c>
      <c r="AU20" s="1015">
        <v>115369</v>
      </c>
      <c r="AV20" s="1015">
        <v>142379</v>
      </c>
      <c r="AW20" s="1015">
        <v>118765</v>
      </c>
      <c r="AX20" s="1015">
        <v>113246</v>
      </c>
      <c r="AY20" s="1015">
        <v>106776</v>
      </c>
      <c r="AZ20" s="1015">
        <v>175234</v>
      </c>
      <c r="BA20" s="1015">
        <v>151553</v>
      </c>
      <c r="BB20" s="1018">
        <v>167082</v>
      </c>
      <c r="BC20" s="1015">
        <v>150959</v>
      </c>
      <c r="BD20" s="1015">
        <v>119787</v>
      </c>
      <c r="BE20" s="1015">
        <v>65426</v>
      </c>
      <c r="BF20" s="1015">
        <f t="shared" si="13"/>
        <v>65426</v>
      </c>
      <c r="BG20" s="1017"/>
      <c r="BH20" s="1015">
        <v>166918</v>
      </c>
      <c r="BI20" s="1015">
        <v>167160</v>
      </c>
      <c r="BJ20" s="1015">
        <v>204571</v>
      </c>
      <c r="BK20" s="1015">
        <v>153197</v>
      </c>
      <c r="BL20" s="1015">
        <v>196798</v>
      </c>
      <c r="BM20" s="1015">
        <v>145596</v>
      </c>
      <c r="BN20" s="1015">
        <v>166021</v>
      </c>
      <c r="BO20" s="1015">
        <v>211305</v>
      </c>
      <c r="BP20" s="1015">
        <v>201071</v>
      </c>
      <c r="BQ20" s="1015">
        <v>177743</v>
      </c>
      <c r="BR20" s="1015">
        <v>144020</v>
      </c>
      <c r="BS20" s="1015">
        <v>154347</v>
      </c>
      <c r="BT20" s="1015">
        <f>BS20</f>
        <v>154347</v>
      </c>
      <c r="BU20" s="1017"/>
      <c r="BV20" s="1015">
        <v>151471</v>
      </c>
      <c r="BW20" s="1015">
        <v>155653</v>
      </c>
      <c r="BX20" s="1015">
        <v>151611</v>
      </c>
      <c r="BY20" s="1015">
        <v>177044</v>
      </c>
      <c r="BZ20" s="1015">
        <v>170481</v>
      </c>
      <c r="CA20" s="1015">
        <v>221665</v>
      </c>
      <c r="CB20" s="1015">
        <v>218105</v>
      </c>
      <c r="CC20" s="1015">
        <v>188153</v>
      </c>
      <c r="CD20" s="1015">
        <v>147751</v>
      </c>
      <c r="CE20" s="1015">
        <v>112996</v>
      </c>
      <c r="CF20" s="1015">
        <v>135968</v>
      </c>
      <c r="CG20" s="1015">
        <v>130000</v>
      </c>
      <c r="CH20" s="1015">
        <f t="shared" ref="CH20:CH31" si="31">CG20</f>
        <v>130000</v>
      </c>
      <c r="CI20" s="988">
        <v>114000</v>
      </c>
      <c r="CJ20" s="1015">
        <v>109585</v>
      </c>
      <c r="CK20" s="1015">
        <v>103815</v>
      </c>
      <c r="CL20" s="1015">
        <v>117138</v>
      </c>
      <c r="CM20" s="1015">
        <v>165469</v>
      </c>
      <c r="CN20" s="1015">
        <f>CM20+CN81-CN34</f>
        <v>175907.8879612374</v>
      </c>
      <c r="CO20" s="1015">
        <f>CN20+CO81-CO34</f>
        <v>238961.73306000742</v>
      </c>
      <c r="CP20" s="1015">
        <f>CO20+CP81-CP34</f>
        <v>271844.22259587242</v>
      </c>
      <c r="CQ20" s="1015">
        <f>CP20+CQ81-CQ34</f>
        <v>249838.52867182181</v>
      </c>
      <c r="CR20" s="1015">
        <f>CQ20+CR81-CR34</f>
        <v>201980.33782793995</v>
      </c>
      <c r="CS20" s="1019">
        <f>91286-CS21</f>
        <v>76250</v>
      </c>
      <c r="CT20" s="1019">
        <f>CS20+CT81-CT77-CT21</f>
        <v>101848.14995780593</v>
      </c>
      <c r="CU20" s="1019">
        <f>CT20+CU81-CU77-CU21</f>
        <v>111197.32717299581</v>
      </c>
      <c r="CV20" s="1020"/>
      <c r="CW20" s="1021"/>
      <c r="CX20" s="1015">
        <v>205563</v>
      </c>
      <c r="CY20" s="1015">
        <v>222075</v>
      </c>
      <c r="CZ20" s="1015">
        <v>174000</v>
      </c>
      <c r="DA20" s="1015">
        <f>CZ20+DA81-DA77+DA15-DA16</f>
        <v>108499.36</v>
      </c>
      <c r="DB20" s="1015">
        <f>DA20+DB81-DB77+DB15-DB16</f>
        <v>153623.6</v>
      </c>
      <c r="DC20" s="1015">
        <f>DB20+DC81-DC77+DC15-DC16</f>
        <v>176662.97999999998</v>
      </c>
      <c r="DD20" s="1015">
        <f>DC20+DD81-DD77+DD15-DD16</f>
        <v>207573.14999999997</v>
      </c>
      <c r="DE20" s="1015">
        <f>DD20+DE81-DE77+DE15-DE16</f>
        <v>219355.93999999997</v>
      </c>
      <c r="DF20" s="1015">
        <f>DE20+DF81-DF77+DF15-DF16</f>
        <v>188265.70999999993</v>
      </c>
      <c r="DG20" s="1015">
        <f>DF20+DG81-DG77+DG15-DG16</f>
        <v>103880.96914767931</v>
      </c>
      <c r="DH20" s="1015">
        <f>DG20+DH81-DH77+DH15-DH16</f>
        <v>121315.78470126577</v>
      </c>
      <c r="DI20" s="1015">
        <f>DH20+DI81-DI77+DI15-DI16</f>
        <v>108693.29693797462</v>
      </c>
      <c r="DJ20" s="989"/>
      <c r="DK20" s="948"/>
      <c r="DL20" s="898">
        <f>DI20+DL81-DL77</f>
        <v>84829.890937974589</v>
      </c>
      <c r="DM20" s="898">
        <f>DL20+DM81-DM77+DM15-DM16</f>
        <v>85357.611937974594</v>
      </c>
      <c r="DN20" s="898">
        <f>DM20+DN81-DN77+DN15-DN16</f>
        <v>59345.78493797456</v>
      </c>
      <c r="DO20" s="898">
        <f>DN20+DO81-DO77+DO15-DO16</f>
        <v>99791.900937974555</v>
      </c>
      <c r="DP20" s="898">
        <f>DO20+DP81-DP77+DP15-DP16</f>
        <v>116159.66493797456</v>
      </c>
      <c r="DQ20" s="898">
        <f>DP20+DQ81-DQ77+DQ15-DQ16</f>
        <v>134258.18293797458</v>
      </c>
      <c r="DR20" s="898">
        <f>DQ20+DR81-DR77+DR15</f>
        <v>121368.77993797453</v>
      </c>
      <c r="DS20" s="898">
        <f>DR20+DS81-DS77+DS15</f>
        <v>90498.858937974524</v>
      </c>
      <c r="DT20" s="898">
        <f>DS20+DT81-DT77+DT15</f>
        <v>30469.715937974514</v>
      </c>
      <c r="DU20" s="898">
        <f>DT20+DU81-DU77+DU15</f>
        <v>-29801.908999578241</v>
      </c>
      <c r="DV20" s="898">
        <f>DU20+DV81-DV77+DV15</f>
        <v>-30204.746890633105</v>
      </c>
      <c r="DW20" s="898">
        <f>DV20+DW81-DW77+DW15</f>
        <v>-54248.453430253387</v>
      </c>
      <c r="DX20" s="989"/>
    </row>
    <row r="21" spans="1:128" s="1008" customFormat="1" ht="18.75">
      <c r="A21" s="1007"/>
      <c r="B21" s="1009" t="s">
        <v>118</v>
      </c>
      <c r="C21" s="1010"/>
      <c r="D21" s="1011"/>
      <c r="E21" s="1012"/>
      <c r="F21" s="1012"/>
      <c r="G21" s="1012"/>
      <c r="H21" s="1012"/>
      <c r="I21" s="1012"/>
      <c r="J21" s="1012"/>
      <c r="K21" s="1012"/>
      <c r="L21" s="1012"/>
      <c r="M21" s="1012"/>
      <c r="N21" s="1012"/>
      <c r="O21" s="1012"/>
      <c r="P21" s="1013"/>
      <c r="Q21" s="1014"/>
      <c r="R21" s="1011"/>
      <c r="S21" s="1015"/>
      <c r="T21" s="1015"/>
      <c r="U21" s="1015"/>
      <c r="V21" s="1015"/>
      <c r="W21" s="1015"/>
      <c r="X21" s="1015"/>
      <c r="Y21" s="1015"/>
      <c r="Z21" s="1015"/>
      <c r="AA21" s="1015"/>
      <c r="AB21" s="1015"/>
      <c r="AC21" s="1015"/>
      <c r="AD21" s="1016"/>
      <c r="AE21" s="1017"/>
      <c r="AF21" s="1015"/>
      <c r="AG21" s="1015"/>
      <c r="AH21" s="1015"/>
      <c r="AI21" s="1015"/>
      <c r="AJ21" s="1017"/>
      <c r="AK21" s="1015"/>
      <c r="AL21" s="1015"/>
      <c r="AM21" s="1015"/>
      <c r="AN21" s="1015"/>
      <c r="AO21" s="1015"/>
      <c r="AP21" s="1015"/>
      <c r="AQ21" s="1015"/>
      <c r="AR21" s="1015"/>
      <c r="AS21" s="1017"/>
      <c r="AT21" s="1015"/>
      <c r="AU21" s="1015"/>
      <c r="AV21" s="1015"/>
      <c r="AW21" s="1015"/>
      <c r="AX21" s="1015"/>
      <c r="AY21" s="1015"/>
      <c r="AZ21" s="1015"/>
      <c r="BA21" s="1015"/>
      <c r="BB21" s="1018"/>
      <c r="BC21" s="1015"/>
      <c r="BD21" s="1015"/>
      <c r="BE21" s="1015"/>
      <c r="BF21" s="1015"/>
      <c r="BG21" s="1017"/>
      <c r="BH21" s="1015"/>
      <c r="BI21" s="1015"/>
      <c r="BJ21" s="1015"/>
      <c r="BK21" s="1015"/>
      <c r="BL21" s="1015"/>
      <c r="BM21" s="1015"/>
      <c r="BN21" s="1015"/>
      <c r="BO21" s="1015"/>
      <c r="BP21" s="1015"/>
      <c r="BQ21" s="1015"/>
      <c r="BR21" s="1015"/>
      <c r="BS21" s="1015"/>
      <c r="BT21" s="1015"/>
      <c r="BU21" s="1017"/>
      <c r="BV21" s="1015"/>
      <c r="BW21" s="1015"/>
      <c r="BX21" s="1015"/>
      <c r="BY21" s="1015"/>
      <c r="BZ21" s="1015"/>
      <c r="CA21" s="1015"/>
      <c r="CB21" s="1015"/>
      <c r="CC21" s="1015"/>
      <c r="CD21" s="1015"/>
      <c r="CE21" s="1015"/>
      <c r="CF21" s="1015"/>
      <c r="CG21" s="1015"/>
      <c r="CH21" s="1015"/>
      <c r="CI21" s="988"/>
      <c r="CJ21" s="1015"/>
      <c r="CK21" s="1015"/>
      <c r="CL21" s="1015"/>
      <c r="CM21" s="1015"/>
      <c r="CN21" s="1015"/>
      <c r="CO21" s="1015"/>
      <c r="CP21" s="1015"/>
      <c r="CQ21" s="1015"/>
      <c r="CR21" s="1015"/>
      <c r="CS21" s="1019">
        <v>15036</v>
      </c>
      <c r="CT21" s="1019">
        <f>CS21+CT82-CT78</f>
        <v>24795</v>
      </c>
      <c r="CU21" s="1019">
        <f>CT21+CU82-CU78</f>
        <v>29568</v>
      </c>
      <c r="CV21" s="1020"/>
      <c r="CW21" s="1021"/>
      <c r="CX21" s="1015">
        <v>25049</v>
      </c>
      <c r="CY21" s="1015">
        <v>24195</v>
      </c>
      <c r="CZ21" s="1015">
        <v>29000</v>
      </c>
      <c r="DA21" s="1015">
        <f>CZ21+DA82-DA78</f>
        <v>33186.199999999997</v>
      </c>
      <c r="DB21" s="1015">
        <f>DA21+DB82-DB78</f>
        <v>34186.199999999997</v>
      </c>
      <c r="DC21" s="1015">
        <f>DB21+DC82-DC78</f>
        <v>36186.199999999997</v>
      </c>
      <c r="DD21" s="1015">
        <f>DC21+DD82-DD78</f>
        <v>31186.199999999997</v>
      </c>
      <c r="DE21" s="1015">
        <f>DD21+DE82-DE78</f>
        <v>25186.199999999997</v>
      </c>
      <c r="DF21" s="1015">
        <f>DE21+DF82-DF78</f>
        <v>19186.199999999997</v>
      </c>
      <c r="DG21" s="1015">
        <f>DF21+DG82-DG78</f>
        <v>14734.799999999996</v>
      </c>
      <c r="DH21" s="1015">
        <f>DG21+DH82-DH78</f>
        <v>16453.799999999996</v>
      </c>
      <c r="DI21" s="1015">
        <f>DH21+DI82-DI78</f>
        <v>15556.099999999995</v>
      </c>
      <c r="DJ21" s="989"/>
      <c r="DK21" s="948"/>
      <c r="DL21" s="898">
        <f>DI21+DL82-DL78</f>
        <v>7693.0999999999949</v>
      </c>
      <c r="DM21" s="898">
        <f>DL21+DM82-DM78</f>
        <v>8335.7999999999938</v>
      </c>
      <c r="DN21" s="898">
        <f>DM21+DN82-DN78</f>
        <v>7447.6999999999935</v>
      </c>
      <c r="DO21" s="898">
        <f>DN21+DO82-DO78</f>
        <v>11633.899999999992</v>
      </c>
      <c r="DP21" s="898">
        <f>DO21+DP82-DP78</f>
        <v>15849.899999999992</v>
      </c>
      <c r="DQ21" s="898">
        <f>DP21+DQ82-DQ78</f>
        <v>19261.299999999996</v>
      </c>
      <c r="DR21" s="898">
        <f>DQ21+DR82-DR78</f>
        <v>20924.299999999996</v>
      </c>
      <c r="DS21" s="898">
        <f>DR21+DS82-DS78</f>
        <v>18897.699999999993</v>
      </c>
      <c r="DT21" s="898">
        <f>DS21+DT82-DT78</f>
        <v>14847.699999999993</v>
      </c>
      <c r="DU21" s="898">
        <f>DT21+DU82-DU78</f>
        <v>10396.299999999992</v>
      </c>
      <c r="DV21" s="898">
        <f>DU21+DV82-DV78</f>
        <v>12115.299999999992</v>
      </c>
      <c r="DW21" s="898">
        <f>DV21+DW82-DW78</f>
        <v>11217.599999999991</v>
      </c>
      <c r="DX21" s="989"/>
    </row>
    <row r="22" spans="1:128" s="698" customFormat="1" ht="18.75" hidden="1">
      <c r="A22" s="683"/>
      <c r="B22" s="684" t="s">
        <v>119</v>
      </c>
      <c r="C22" s="685"/>
      <c r="D22" s="686"/>
      <c r="E22" s="687"/>
      <c r="F22" s="687"/>
      <c r="G22" s="687"/>
      <c r="H22" s="687"/>
      <c r="I22" s="687"/>
      <c r="J22" s="687"/>
      <c r="K22" s="687"/>
      <c r="L22" s="687"/>
      <c r="M22" s="687"/>
      <c r="N22" s="687"/>
      <c r="O22" s="687"/>
      <c r="P22" s="688"/>
      <c r="Q22" s="689"/>
      <c r="R22" s="686"/>
      <c r="S22" s="690"/>
      <c r="T22" s="690"/>
      <c r="U22" s="690"/>
      <c r="V22" s="690"/>
      <c r="W22" s="690"/>
      <c r="X22" s="690"/>
      <c r="Y22" s="690"/>
      <c r="Z22" s="690"/>
      <c r="AA22" s="690"/>
      <c r="AB22" s="690"/>
      <c r="AC22" s="690"/>
      <c r="AD22" s="691"/>
      <c r="AE22" s="692"/>
      <c r="AF22" s="690"/>
      <c r="AG22" s="690"/>
      <c r="AH22" s="690"/>
      <c r="AI22" s="690"/>
      <c r="AJ22" s="693"/>
      <c r="AK22" s="690"/>
      <c r="AL22" s="690"/>
      <c r="AM22" s="690"/>
      <c r="AN22" s="690"/>
      <c r="AO22" s="690"/>
      <c r="AP22" s="694"/>
      <c r="AQ22" s="690"/>
      <c r="AR22" s="690"/>
      <c r="AS22" s="692"/>
      <c r="AT22" s="690"/>
      <c r="AU22" s="690"/>
      <c r="AV22" s="690"/>
      <c r="AW22" s="690"/>
      <c r="AX22" s="690"/>
      <c r="AY22" s="690"/>
      <c r="AZ22" s="690"/>
      <c r="BA22" s="690"/>
      <c r="BB22" s="695"/>
      <c r="BC22" s="690"/>
      <c r="BD22" s="690"/>
      <c r="BE22" s="690"/>
      <c r="BF22" s="690"/>
      <c r="BG22" s="696"/>
      <c r="BH22" s="690"/>
      <c r="BI22" s="690"/>
      <c r="BJ22" s="690"/>
      <c r="BK22" s="690"/>
      <c r="BL22" s="690"/>
      <c r="BM22" s="690"/>
      <c r="BN22" s="690"/>
      <c r="BO22" s="690"/>
      <c r="BP22" s="690"/>
      <c r="BQ22" s="690"/>
      <c r="BR22" s="690"/>
      <c r="BS22" s="690"/>
      <c r="BT22" s="690"/>
      <c r="BU22" s="697"/>
      <c r="BV22" s="690"/>
      <c r="BW22" s="690"/>
      <c r="BX22" s="690"/>
      <c r="BY22" s="690"/>
      <c r="BZ22" s="690"/>
      <c r="CA22" s="690"/>
      <c r="CB22" s="690"/>
      <c r="CC22" s="690"/>
      <c r="CD22" s="690"/>
      <c r="CE22" s="690"/>
      <c r="CF22" s="690"/>
      <c r="CG22" s="690"/>
      <c r="CH22" s="690"/>
      <c r="CI22" s="707"/>
      <c r="CJ22" s="690"/>
      <c r="CK22" s="690"/>
      <c r="CL22" s="690"/>
      <c r="CM22" s="690"/>
      <c r="CN22" s="690"/>
      <c r="CO22" s="690"/>
      <c r="CP22" s="690"/>
      <c r="CQ22" s="690"/>
      <c r="CR22" s="690"/>
      <c r="CS22" s="756">
        <v>28927</v>
      </c>
      <c r="CT22" s="756">
        <f>CS22+CT83-CT79</f>
        <v>14387</v>
      </c>
      <c r="CU22" s="756">
        <f>CT22+CU83-CU79</f>
        <v>51731</v>
      </c>
      <c r="CV22" s="757"/>
      <c r="CW22" s="758"/>
      <c r="CX22" s="690">
        <v>6272</v>
      </c>
      <c r="CY22" s="690">
        <v>6499</v>
      </c>
      <c r="CZ22" s="690">
        <f>CY22+CZ83-CZ79+CZ16</f>
        <v>100175</v>
      </c>
      <c r="DA22" s="690">
        <f>CZ22+DA83-DA79+DA16</f>
        <v>87957</v>
      </c>
      <c r="DB22" s="690">
        <f>DA22+DB83-DB79+DB16</f>
        <v>78468</v>
      </c>
      <c r="DC22" s="690">
        <f>DB22+DC83-DC79+DC16</f>
        <v>113704</v>
      </c>
      <c r="DD22" s="690">
        <f>DC22+DD83-DD79+DD16</f>
        <v>104018.1</v>
      </c>
      <c r="DE22" s="690">
        <f>DD22+DE83-DE79+DE16</f>
        <v>95432.200000000012</v>
      </c>
      <c r="DF22" s="690">
        <f>DE22+DF83-DF79+DF16</f>
        <v>74509.300000000017</v>
      </c>
      <c r="DG22" s="690">
        <f>DF22+DG83-DG79+DG16</f>
        <v>116352.60000000002</v>
      </c>
      <c r="DH22" s="690">
        <f>DG22+DH83-DH79+DH16</f>
        <v>112274.25000000001</v>
      </c>
      <c r="DI22" s="690">
        <f>DH22+DI83-DI79+DI16</f>
        <v>158974.25</v>
      </c>
      <c r="DJ22" s="756"/>
      <c r="DK22" s="948"/>
      <c r="DL22" s="690">
        <f>DI22+DL83-DL79+DL16</f>
        <v>173244.25</v>
      </c>
      <c r="DM22" s="690">
        <f>DL22+DM83-DM79+DM16</f>
        <v>166330.25</v>
      </c>
      <c r="DN22" s="690">
        <f>DM22+DN83-DN79+DN16</f>
        <v>171006.25</v>
      </c>
      <c r="DO22" s="690">
        <f>DN22+DO83-DO79+DO16</f>
        <v>158788.25</v>
      </c>
      <c r="DP22" s="690">
        <f>DO22+DP83-DP79+DP16</f>
        <v>149299.25</v>
      </c>
      <c r="DQ22" s="690">
        <f>DP22+DQ83-DQ79+DQ16</f>
        <v>184535.25</v>
      </c>
      <c r="DR22" s="690">
        <f>DQ22+DR83-DR79+DR16</f>
        <v>174849.35</v>
      </c>
      <c r="DS22" s="690">
        <f>DR22+DS83-DS79+DS16</f>
        <v>166263.45000000001</v>
      </c>
      <c r="DT22" s="690">
        <f>DS22+DT83-DT79+DT16</f>
        <v>145340.55000000002</v>
      </c>
      <c r="DU22" s="690">
        <f>DT22+DU83-DU79+DU16</f>
        <v>137183.85</v>
      </c>
      <c r="DV22" s="690">
        <f>DU22+DV83-DV79+DV16</f>
        <v>133105.5</v>
      </c>
      <c r="DW22" s="690">
        <f>DV22+DW83-DW79+DW16</f>
        <v>179805.5</v>
      </c>
      <c r="DX22" s="756"/>
    </row>
    <row r="23" spans="1:128" ht="18.75" hidden="1">
      <c r="A23" s="19">
        <v>2</v>
      </c>
      <c r="B23" s="684" t="s">
        <v>35</v>
      </c>
      <c r="C23" s="903"/>
      <c r="D23" s="265">
        <v>73670</v>
      </c>
      <c r="E23" s="20">
        <v>59682</v>
      </c>
      <c r="F23" s="20">
        <v>54710</v>
      </c>
      <c r="G23" s="20">
        <v>56175</v>
      </c>
      <c r="H23" s="20">
        <v>58933</v>
      </c>
      <c r="I23" s="20">
        <v>42784</v>
      </c>
      <c r="J23" s="20">
        <v>35755</v>
      </c>
      <c r="K23" s="20">
        <v>33547</v>
      </c>
      <c r="L23" s="20">
        <v>22824</v>
      </c>
      <c r="M23" s="20">
        <v>26162</v>
      </c>
      <c r="N23" s="20"/>
      <c r="O23" s="20">
        <v>44389</v>
      </c>
      <c r="P23" s="266"/>
      <c r="Q23" s="21"/>
      <c r="R23" s="265">
        <v>39759</v>
      </c>
      <c r="S23" s="22">
        <v>38325</v>
      </c>
      <c r="T23" s="22">
        <v>26634</v>
      </c>
      <c r="U23" s="22">
        <f>14430+2754+7859</f>
        <v>25043</v>
      </c>
      <c r="V23" s="22">
        <v>23840</v>
      </c>
      <c r="W23" s="22">
        <v>20057</v>
      </c>
      <c r="X23" s="22">
        <v>80502</v>
      </c>
      <c r="Y23" s="22">
        <v>56483</v>
      </c>
      <c r="Z23" s="22">
        <v>44233</v>
      </c>
      <c r="AA23" s="22">
        <v>38155</v>
      </c>
      <c r="AB23" s="22">
        <v>27540</v>
      </c>
      <c r="AC23" s="22">
        <v>25060</v>
      </c>
      <c r="AD23" s="267"/>
      <c r="AE23" s="23"/>
      <c r="AF23" s="22">
        <v>21326</v>
      </c>
      <c r="AG23" s="22">
        <v>17804</v>
      </c>
      <c r="AH23" s="22">
        <v>27157</v>
      </c>
      <c r="AI23" s="22">
        <v>19677</v>
      </c>
      <c r="AJ23" s="22">
        <v>18817</v>
      </c>
      <c r="AK23" s="22">
        <v>25034</v>
      </c>
      <c r="AL23" s="22">
        <v>28090</v>
      </c>
      <c r="AM23" s="22">
        <v>25660</v>
      </c>
      <c r="AN23" s="22">
        <v>33752</v>
      </c>
      <c r="AO23" s="22">
        <v>24699</v>
      </c>
      <c r="AP23" s="25">
        <v>19340</v>
      </c>
      <c r="AQ23" s="22">
        <v>29842</v>
      </c>
      <c r="AR23" s="22">
        <f t="shared" si="11"/>
        <v>29842</v>
      </c>
      <c r="AS23" s="23"/>
      <c r="AT23" s="22">
        <v>46493</v>
      </c>
      <c r="AU23" s="22">
        <v>37125</v>
      </c>
      <c r="AV23" s="22">
        <v>38574</v>
      </c>
      <c r="AW23" s="22">
        <v>43626</v>
      </c>
      <c r="AX23" s="22">
        <v>39641</v>
      </c>
      <c r="AY23" s="22">
        <v>55553</v>
      </c>
      <c r="AZ23" s="22">
        <v>48023</v>
      </c>
      <c r="BA23" s="22">
        <v>55043</v>
      </c>
      <c r="BB23" s="26">
        <v>50383</v>
      </c>
      <c r="BC23" s="22">
        <v>54355</v>
      </c>
      <c r="BD23" s="22">
        <v>82473</v>
      </c>
      <c r="BE23" s="22">
        <v>65398</v>
      </c>
      <c r="BF23" s="22">
        <f t="shared" si="13"/>
        <v>65398</v>
      </c>
      <c r="BG23" s="27"/>
      <c r="BH23" s="22">
        <v>68747</v>
      </c>
      <c r="BI23" s="22">
        <v>62843</v>
      </c>
      <c r="BJ23" s="22">
        <v>62154</v>
      </c>
      <c r="BK23" s="22">
        <v>49337</v>
      </c>
      <c r="BL23" s="22">
        <v>27730</v>
      </c>
      <c r="BM23" s="22">
        <v>42459</v>
      </c>
      <c r="BN23" s="22">
        <v>44049</v>
      </c>
      <c r="BO23" s="22">
        <v>29196</v>
      </c>
      <c r="BP23" s="22">
        <v>36882</v>
      </c>
      <c r="BQ23" s="22">
        <v>35965</v>
      </c>
      <c r="BR23" s="22">
        <v>31343</v>
      </c>
      <c r="BS23" s="22">
        <v>23087</v>
      </c>
      <c r="BT23" s="22">
        <f t="shared" ref="BT23:BT31" si="32">BS23</f>
        <v>23087</v>
      </c>
      <c r="BU23" s="28"/>
      <c r="BV23" s="22">
        <v>15202</v>
      </c>
      <c r="BW23" s="22">
        <v>12471</v>
      </c>
      <c r="BX23" s="22">
        <v>11483</v>
      </c>
      <c r="BY23" s="22">
        <v>14071</v>
      </c>
      <c r="BZ23" s="22">
        <v>49617</v>
      </c>
      <c r="CA23" s="22">
        <v>36385</v>
      </c>
      <c r="CB23" s="22">
        <v>25473</v>
      </c>
      <c r="CC23" s="22">
        <v>16933</v>
      </c>
      <c r="CD23" s="22">
        <v>12684</v>
      </c>
      <c r="CE23" s="22">
        <v>21084</v>
      </c>
      <c r="CF23" s="22">
        <v>15172</v>
      </c>
      <c r="CG23" s="22">
        <v>11469</v>
      </c>
      <c r="CH23" s="22">
        <f>CG23</f>
        <v>11469</v>
      </c>
      <c r="CI23">
        <f>7500*5</f>
        <v>37500</v>
      </c>
      <c r="CJ23" s="22">
        <v>9465</v>
      </c>
      <c r="CK23" s="22">
        <v>13722</v>
      </c>
      <c r="CL23" s="22">
        <v>10771</v>
      </c>
      <c r="CM23" s="22">
        <v>8538</v>
      </c>
      <c r="CN23" s="22"/>
      <c r="CO23" s="22"/>
      <c r="CP23" s="22"/>
      <c r="CQ23" s="22"/>
      <c r="CR23" s="22"/>
      <c r="CS23" s="22">
        <v>4128</v>
      </c>
      <c r="CT23" s="22"/>
      <c r="CU23" s="22"/>
      <c r="CV23" s="22">
        <v>0</v>
      </c>
      <c r="CW23" s="758"/>
      <c r="CX23" s="870"/>
      <c r="CY23" s="870"/>
      <c r="CZ23" s="870"/>
      <c r="DA23" s="870"/>
      <c r="DB23" s="870"/>
      <c r="DC23" s="870"/>
      <c r="DD23" s="870"/>
      <c r="DE23" s="870"/>
      <c r="DF23" s="870"/>
      <c r="DG23" s="870"/>
      <c r="DH23" s="870"/>
      <c r="DI23" s="870"/>
      <c r="DJ23" s="22">
        <v>0</v>
      </c>
      <c r="DK23" s="948"/>
      <c r="DL23" s="870"/>
      <c r="DM23" s="870"/>
      <c r="DN23" s="870"/>
      <c r="DO23" s="870"/>
      <c r="DP23" s="870"/>
      <c r="DQ23" s="870"/>
      <c r="DR23" s="870"/>
      <c r="DS23" s="870"/>
      <c r="DT23" s="870"/>
      <c r="DU23" s="870"/>
      <c r="DV23" s="870"/>
      <c r="DW23" s="870"/>
      <c r="DX23" s="22">
        <v>0</v>
      </c>
    </row>
    <row r="24" spans="1:128" ht="18.75" hidden="1">
      <c r="A24" s="19">
        <v>3</v>
      </c>
      <c r="B24" s="684" t="s">
        <v>36</v>
      </c>
      <c r="C24" s="903"/>
      <c r="D24" s="268">
        <v>34116</v>
      </c>
      <c r="E24" s="269">
        <v>29277</v>
      </c>
      <c r="F24" s="269">
        <v>43008</v>
      </c>
      <c r="G24" s="269">
        <v>30524</v>
      </c>
      <c r="H24" s="269">
        <v>33235</v>
      </c>
      <c r="I24" s="269">
        <v>39842</v>
      </c>
      <c r="J24" s="269">
        <v>41021</v>
      </c>
      <c r="K24" s="269">
        <v>31224</v>
      </c>
      <c r="L24" s="269"/>
      <c r="M24" s="269">
        <v>10286</v>
      </c>
      <c r="N24" s="269"/>
      <c r="O24" s="269"/>
      <c r="P24" s="266"/>
      <c r="Q24" s="21"/>
      <c r="R24" s="268">
        <v>35516</v>
      </c>
      <c r="S24" s="270">
        <v>35962</v>
      </c>
      <c r="T24" s="270">
        <v>35962</v>
      </c>
      <c r="U24" s="270">
        <v>35962</v>
      </c>
      <c r="V24" s="270">
        <v>35000</v>
      </c>
      <c r="W24" s="270"/>
      <c r="X24" s="270">
        <v>6123</v>
      </c>
      <c r="Y24" s="270">
        <v>6123</v>
      </c>
      <c r="Z24" s="270">
        <v>4187</v>
      </c>
      <c r="AA24" s="270">
        <v>2745</v>
      </c>
      <c r="AB24" s="270"/>
      <c r="AC24" s="270"/>
      <c r="AD24" s="267"/>
      <c r="AE24" s="23"/>
      <c r="AF24" s="270">
        <v>8366</v>
      </c>
      <c r="AG24" s="270">
        <v>11534</v>
      </c>
      <c r="AH24" s="270">
        <v>11507</v>
      </c>
      <c r="AI24" s="270">
        <v>9148</v>
      </c>
      <c r="AJ24" s="22">
        <v>8524</v>
      </c>
      <c r="AK24" s="270">
        <v>25290</v>
      </c>
      <c r="AL24" s="270">
        <v>91080</v>
      </c>
      <c r="AM24" s="270">
        <v>66830</v>
      </c>
      <c r="AN24" s="270">
        <v>36866</v>
      </c>
      <c r="AO24" s="270">
        <v>16173</v>
      </c>
      <c r="AP24" s="271">
        <v>178274</v>
      </c>
      <c r="AQ24" s="270">
        <v>210665</v>
      </c>
      <c r="AR24" s="22">
        <f t="shared" si="11"/>
        <v>210665</v>
      </c>
      <c r="AS24" s="23"/>
      <c r="AT24" s="270">
        <v>121075</v>
      </c>
      <c r="AU24" s="270">
        <v>149376</v>
      </c>
      <c r="AV24" s="270">
        <v>104538</v>
      </c>
      <c r="AW24" s="270">
        <v>105262</v>
      </c>
      <c r="AX24" s="270">
        <v>121073</v>
      </c>
      <c r="AY24" s="270">
        <v>163931</v>
      </c>
      <c r="AZ24" s="270">
        <v>109964</v>
      </c>
      <c r="BA24" s="270">
        <v>148266</v>
      </c>
      <c r="BB24" s="26">
        <v>130697</v>
      </c>
      <c r="BC24" s="270">
        <v>113779</v>
      </c>
      <c r="BD24" s="270">
        <v>91119</v>
      </c>
      <c r="BE24" s="270">
        <v>103286</v>
      </c>
      <c r="BF24" s="22">
        <f t="shared" si="13"/>
        <v>103286</v>
      </c>
      <c r="BG24" s="27"/>
      <c r="BH24" s="270">
        <v>49631</v>
      </c>
      <c r="BI24" s="270">
        <v>52953</v>
      </c>
      <c r="BJ24" s="270">
        <v>28440</v>
      </c>
      <c r="BK24" s="270">
        <v>83601</v>
      </c>
      <c r="BL24" s="22">
        <v>25812</v>
      </c>
      <c r="BM24" s="22">
        <v>59545</v>
      </c>
      <c r="BN24" s="22">
        <v>83435</v>
      </c>
      <c r="BO24" s="22">
        <v>34041</v>
      </c>
      <c r="BP24" s="22">
        <v>22399</v>
      </c>
      <c r="BQ24" s="22">
        <v>24887</v>
      </c>
      <c r="BR24" s="22">
        <v>12183</v>
      </c>
      <c r="BS24" s="22">
        <v>12183</v>
      </c>
      <c r="BT24" s="22">
        <f t="shared" si="32"/>
        <v>12183</v>
      </c>
      <c r="BU24" s="28"/>
      <c r="BV24" s="270">
        <v>5216</v>
      </c>
      <c r="BW24" s="270"/>
      <c r="BX24" s="270">
        <v>65273</v>
      </c>
      <c r="BY24" s="270">
        <v>70182</v>
      </c>
      <c r="BZ24" s="22">
        <v>57659</v>
      </c>
      <c r="CA24" s="22">
        <v>71669</v>
      </c>
      <c r="CB24" s="22">
        <v>73078</v>
      </c>
      <c r="CC24" s="22">
        <v>85302</v>
      </c>
      <c r="CD24" s="22">
        <v>25343</v>
      </c>
      <c r="CE24" s="22">
        <v>19030</v>
      </c>
      <c r="CF24" s="22">
        <v>19422</v>
      </c>
      <c r="CG24" s="22">
        <v>25927</v>
      </c>
      <c r="CH24" s="22">
        <f>CG24</f>
        <v>25927</v>
      </c>
      <c r="CI24">
        <v>29000</v>
      </c>
      <c r="CJ24" s="270">
        <v>21580</v>
      </c>
      <c r="CK24" s="270">
        <v>18052</v>
      </c>
      <c r="CL24" s="270">
        <v>30722</v>
      </c>
      <c r="CM24" s="270">
        <v>33641</v>
      </c>
      <c r="CN24" s="22"/>
      <c r="CO24" s="22"/>
      <c r="CP24" s="22"/>
      <c r="CQ24" s="22"/>
      <c r="CR24" s="22"/>
      <c r="CS24" s="22">
        <v>10634</v>
      </c>
      <c r="CT24" s="22"/>
      <c r="CU24" s="22"/>
      <c r="CV24" s="22">
        <v>0</v>
      </c>
      <c r="CW24" s="758"/>
      <c r="CX24" s="871">
        <v>29749</v>
      </c>
      <c r="CY24" s="871">
        <v>27364</v>
      </c>
      <c r="CZ24" s="871"/>
      <c r="DA24" s="871"/>
      <c r="DB24" s="870"/>
      <c r="DC24" s="870"/>
      <c r="DD24" s="870"/>
      <c r="DE24" s="870"/>
      <c r="DF24" s="870"/>
      <c r="DG24" s="870"/>
      <c r="DH24" s="870"/>
      <c r="DI24" s="870"/>
      <c r="DJ24" s="22">
        <v>0</v>
      </c>
      <c r="DK24" s="948"/>
      <c r="DL24" s="871"/>
      <c r="DM24" s="871"/>
      <c r="DN24" s="871"/>
      <c r="DO24" s="871"/>
      <c r="DP24" s="870"/>
      <c r="DQ24" s="870"/>
      <c r="DR24" s="870"/>
      <c r="DS24" s="870"/>
      <c r="DT24" s="870"/>
      <c r="DU24" s="870"/>
      <c r="DV24" s="870"/>
      <c r="DW24" s="870"/>
      <c r="DX24" s="22">
        <v>0</v>
      </c>
    </row>
    <row r="25" spans="1:128" ht="18.75" hidden="1">
      <c r="A25" s="19">
        <v>4</v>
      </c>
      <c r="B25" s="684" t="s">
        <v>37</v>
      </c>
      <c r="C25" s="903"/>
      <c r="D25" s="268">
        <v>34116</v>
      </c>
      <c r="E25" s="269">
        <v>29277</v>
      </c>
      <c r="F25" s="269">
        <v>43008</v>
      </c>
      <c r="G25" s="269">
        <v>30524</v>
      </c>
      <c r="H25" s="269">
        <v>33235</v>
      </c>
      <c r="I25" s="269">
        <v>39842</v>
      </c>
      <c r="J25" s="269">
        <v>41021</v>
      </c>
      <c r="K25" s="269">
        <v>31224</v>
      </c>
      <c r="L25" s="269"/>
      <c r="M25" s="269">
        <v>10286</v>
      </c>
      <c r="N25" s="269"/>
      <c r="O25" s="269"/>
      <c r="P25" s="266"/>
      <c r="Q25" s="21"/>
      <c r="R25" s="268">
        <v>35516</v>
      </c>
      <c r="S25" s="270">
        <v>35962</v>
      </c>
      <c r="T25" s="270">
        <v>35962</v>
      </c>
      <c r="U25" s="270">
        <v>35962</v>
      </c>
      <c r="V25" s="270">
        <v>35000</v>
      </c>
      <c r="W25" s="270"/>
      <c r="X25" s="270">
        <v>6123</v>
      </c>
      <c r="Y25" s="270">
        <v>6123</v>
      </c>
      <c r="Z25" s="270">
        <v>4187</v>
      </c>
      <c r="AA25" s="270">
        <v>2745</v>
      </c>
      <c r="AB25" s="270"/>
      <c r="AC25" s="270"/>
      <c r="AD25" s="267"/>
      <c r="AE25" s="23"/>
      <c r="AF25" s="270">
        <v>8366</v>
      </c>
      <c r="AG25" s="270">
        <v>11534</v>
      </c>
      <c r="AH25" s="270">
        <v>11507</v>
      </c>
      <c r="AI25" s="270">
        <v>9148</v>
      </c>
      <c r="AJ25" s="22">
        <v>8524</v>
      </c>
      <c r="AK25" s="270">
        <v>25290</v>
      </c>
      <c r="AL25" s="270">
        <v>91080</v>
      </c>
      <c r="AM25" s="270">
        <v>66830</v>
      </c>
      <c r="AN25" s="270">
        <v>36866</v>
      </c>
      <c r="AO25" s="270">
        <v>16173</v>
      </c>
      <c r="AP25" s="271">
        <v>178274</v>
      </c>
      <c r="AQ25" s="270">
        <v>210665</v>
      </c>
      <c r="AR25" s="22">
        <f t="shared" si="11"/>
        <v>210665</v>
      </c>
      <c r="AS25" s="23"/>
      <c r="AT25" s="270">
        <v>121075</v>
      </c>
      <c r="AU25" s="270">
        <v>149376</v>
      </c>
      <c r="AV25" s="270">
        <v>104538</v>
      </c>
      <c r="AW25" s="270">
        <v>105262</v>
      </c>
      <c r="AX25" s="270">
        <v>121073</v>
      </c>
      <c r="AY25" s="270">
        <v>163931</v>
      </c>
      <c r="AZ25" s="270">
        <v>109964</v>
      </c>
      <c r="BA25" s="270">
        <v>148266</v>
      </c>
      <c r="BB25" s="26">
        <v>130697</v>
      </c>
      <c r="BC25" s="270">
        <v>113779</v>
      </c>
      <c r="BD25" s="270">
        <v>91119</v>
      </c>
      <c r="BE25" s="270">
        <v>103286</v>
      </c>
      <c r="BF25" s="22">
        <f t="shared" si="13"/>
        <v>103286</v>
      </c>
      <c r="BG25" s="27"/>
      <c r="BH25" s="270">
        <v>49631</v>
      </c>
      <c r="BI25" s="270">
        <v>52953</v>
      </c>
      <c r="BJ25" s="270">
        <v>28440</v>
      </c>
      <c r="BK25" s="270">
        <v>83601</v>
      </c>
      <c r="BL25" s="22">
        <v>25812</v>
      </c>
      <c r="BM25" s="22">
        <v>59545</v>
      </c>
      <c r="BN25" s="22">
        <v>83435</v>
      </c>
      <c r="BO25" s="22">
        <v>34041</v>
      </c>
      <c r="BP25" s="22">
        <v>22399</v>
      </c>
      <c r="BQ25" s="22">
        <v>24887</v>
      </c>
      <c r="BR25" s="22">
        <v>12183</v>
      </c>
      <c r="BS25" s="22">
        <v>12183</v>
      </c>
      <c r="BT25" s="22">
        <f t="shared" si="32"/>
        <v>12183</v>
      </c>
      <c r="BU25" s="28"/>
      <c r="BV25" s="270"/>
      <c r="BW25" s="270"/>
      <c r="BX25" s="270"/>
      <c r="BY25" s="270"/>
      <c r="BZ25" s="22"/>
      <c r="CA25" s="22"/>
      <c r="CB25" s="22"/>
      <c r="CC25" s="22"/>
      <c r="CD25" s="22">
        <v>6361</v>
      </c>
      <c r="CE25" s="22">
        <v>7759</v>
      </c>
      <c r="CF25" s="22">
        <v>6573</v>
      </c>
      <c r="CG25" s="22">
        <v>9541</v>
      </c>
      <c r="CH25" s="22">
        <f t="shared" si="31"/>
        <v>9541</v>
      </c>
      <c r="CI25">
        <f>CI20+CI23-CI24</f>
        <v>122500</v>
      </c>
      <c r="CJ25" s="270">
        <v>9582</v>
      </c>
      <c r="CK25" s="270">
        <v>7266</v>
      </c>
      <c r="CL25" s="270">
        <v>11364</v>
      </c>
      <c r="CM25" s="270">
        <v>10698</v>
      </c>
      <c r="CN25" s="22"/>
      <c r="CO25" s="22"/>
      <c r="CP25" s="22"/>
      <c r="CQ25" s="22"/>
      <c r="CR25" s="22"/>
      <c r="CS25" s="22">
        <v>2650</v>
      </c>
      <c r="CT25" s="22"/>
      <c r="CU25" s="22"/>
      <c r="CV25" s="22">
        <v>0</v>
      </c>
      <c r="CW25" s="758"/>
      <c r="CX25" s="871">
        <v>13676</v>
      </c>
      <c r="CY25" s="871">
        <v>12313</v>
      </c>
      <c r="CZ25" s="871"/>
      <c r="DA25" s="871"/>
      <c r="DB25" s="870"/>
      <c r="DC25" s="870"/>
      <c r="DD25" s="870"/>
      <c r="DE25" s="870"/>
      <c r="DF25" s="870"/>
      <c r="DG25" s="870"/>
      <c r="DH25" s="870"/>
      <c r="DI25" s="870"/>
      <c r="DJ25" s="22">
        <v>0</v>
      </c>
      <c r="DK25" s="948"/>
      <c r="DL25" s="871"/>
      <c r="DM25" s="871"/>
      <c r="DN25" s="871"/>
      <c r="DO25" s="871"/>
      <c r="DP25" s="870"/>
      <c r="DQ25" s="870"/>
      <c r="DR25" s="870"/>
      <c r="DS25" s="870"/>
      <c r="DT25" s="870"/>
      <c r="DU25" s="870"/>
      <c r="DV25" s="870"/>
      <c r="DW25" s="870"/>
      <c r="DX25" s="22">
        <v>0</v>
      </c>
    </row>
    <row r="26" spans="1:128" ht="18.75" hidden="1">
      <c r="A26" s="19">
        <v>1</v>
      </c>
      <c r="B26" s="904" t="s">
        <v>38</v>
      </c>
      <c r="C26" s="905"/>
      <c r="D26" s="265">
        <v>6409</v>
      </c>
      <c r="E26" s="20">
        <v>6860</v>
      </c>
      <c r="F26" s="20">
        <v>4970</v>
      </c>
      <c r="G26" s="20">
        <v>31203</v>
      </c>
      <c r="H26" s="20">
        <v>31499</v>
      </c>
      <c r="I26" s="20">
        <v>25903</v>
      </c>
      <c r="J26" s="20">
        <v>18606</v>
      </c>
      <c r="K26" s="20">
        <v>16014</v>
      </c>
      <c r="L26" s="20">
        <v>13416</v>
      </c>
      <c r="M26" s="20">
        <v>40079</v>
      </c>
      <c r="N26" s="20"/>
      <c r="O26" s="20">
        <v>0</v>
      </c>
      <c r="P26" s="266"/>
      <c r="Q26" s="21"/>
      <c r="R26" s="265">
        <v>3376</v>
      </c>
      <c r="S26" s="22">
        <v>11736</v>
      </c>
      <c r="T26" s="22">
        <v>22454</v>
      </c>
      <c r="U26" s="22">
        <v>21384</v>
      </c>
      <c r="V26" s="22">
        <v>66870</v>
      </c>
      <c r="W26" s="22">
        <v>73769</v>
      </c>
      <c r="X26" s="22">
        <v>13944</v>
      </c>
      <c r="Y26" s="22">
        <v>32750</v>
      </c>
      <c r="Z26" s="22">
        <v>18536</v>
      </c>
      <c r="AA26" s="22">
        <v>40211</v>
      </c>
      <c r="AB26" s="22">
        <v>44457</v>
      </c>
      <c r="AC26" s="22">
        <v>24504</v>
      </c>
      <c r="AD26" s="267"/>
      <c r="AE26" s="23"/>
      <c r="AF26" s="22">
        <v>18586</v>
      </c>
      <c r="AG26" s="22">
        <v>17539</v>
      </c>
      <c r="AH26" s="22">
        <v>20245</v>
      </c>
      <c r="AI26" s="22">
        <v>17669</v>
      </c>
      <c r="AJ26" s="22">
        <v>16769</v>
      </c>
      <c r="AK26" s="22">
        <v>31134</v>
      </c>
      <c r="AL26" s="22">
        <v>35711</v>
      </c>
      <c r="AM26" s="22">
        <v>29141</v>
      </c>
      <c r="AN26" s="22">
        <v>25307</v>
      </c>
      <c r="AO26" s="22">
        <v>35964</v>
      </c>
      <c r="AP26" s="25">
        <v>37378</v>
      </c>
      <c r="AQ26" s="22">
        <v>22159</v>
      </c>
      <c r="AR26" s="22">
        <f t="shared" si="11"/>
        <v>22159</v>
      </c>
      <c r="AS26" s="23"/>
      <c r="AT26" s="22">
        <v>24034</v>
      </c>
      <c r="AU26" s="270">
        <v>22061</v>
      </c>
      <c r="AV26" s="22">
        <v>22489</v>
      </c>
      <c r="AW26" s="22">
        <v>25124</v>
      </c>
      <c r="AX26" s="22">
        <v>22794</v>
      </c>
      <c r="AY26" s="22">
        <v>17777</v>
      </c>
      <c r="AZ26" s="22">
        <v>34345</v>
      </c>
      <c r="BA26" s="22">
        <v>17580</v>
      </c>
      <c r="BB26" s="26">
        <v>26992</v>
      </c>
      <c r="BC26" s="22">
        <v>21373</v>
      </c>
      <c r="BD26" s="22">
        <v>21202</v>
      </c>
      <c r="BE26" s="22">
        <v>19109</v>
      </c>
      <c r="BF26" s="22">
        <f t="shared" si="13"/>
        <v>19109</v>
      </c>
      <c r="BG26" s="27"/>
      <c r="BH26" s="22">
        <v>22216</v>
      </c>
      <c r="BI26" s="270">
        <v>19102</v>
      </c>
      <c r="BJ26" s="22">
        <v>20676</v>
      </c>
      <c r="BK26" s="22">
        <v>19892</v>
      </c>
      <c r="BL26" s="22">
        <v>48737</v>
      </c>
      <c r="BM26" s="22">
        <v>45521</v>
      </c>
      <c r="BN26" s="22">
        <v>41781</v>
      </c>
      <c r="BO26" s="22">
        <v>48019</v>
      </c>
      <c r="BP26" s="22">
        <v>43955</v>
      </c>
      <c r="BQ26" s="22">
        <v>41505</v>
      </c>
      <c r="BR26" s="22">
        <v>28306</v>
      </c>
      <c r="BS26" s="22">
        <v>23731</v>
      </c>
      <c r="BT26" s="22">
        <f t="shared" si="32"/>
        <v>23731</v>
      </c>
      <c r="BU26" s="28"/>
      <c r="BV26" s="22">
        <v>28505</v>
      </c>
      <c r="BW26" s="270">
        <v>25054</v>
      </c>
      <c r="BX26" s="22">
        <v>24396</v>
      </c>
      <c r="BY26" s="22">
        <v>21708</v>
      </c>
      <c r="BZ26" s="22">
        <v>17857</v>
      </c>
      <c r="CA26" s="22">
        <v>33103</v>
      </c>
      <c r="CB26" s="22">
        <v>29327</v>
      </c>
      <c r="CC26" s="22">
        <v>27562</v>
      </c>
      <c r="CD26" s="22">
        <v>19590</v>
      </c>
      <c r="CE26" s="22">
        <v>11730</v>
      </c>
      <c r="CF26" s="22">
        <v>10529</v>
      </c>
      <c r="CG26" s="22">
        <v>19978</v>
      </c>
      <c r="CH26" s="22">
        <f t="shared" si="31"/>
        <v>19978</v>
      </c>
      <c r="CJ26" s="22">
        <v>18456</v>
      </c>
      <c r="CK26" s="270">
        <v>15409</v>
      </c>
      <c r="CL26" s="22">
        <v>18755</v>
      </c>
      <c r="CM26" s="22">
        <v>15399</v>
      </c>
      <c r="CN26" s="22"/>
      <c r="CO26" s="22"/>
      <c r="CP26" s="22"/>
      <c r="CQ26" s="22"/>
      <c r="CR26" s="22"/>
      <c r="CS26" s="22">
        <v>14419</v>
      </c>
      <c r="CT26" s="22"/>
      <c r="CU26" s="22"/>
      <c r="CV26" s="22">
        <v>0</v>
      </c>
      <c r="CW26" s="758"/>
      <c r="CX26" s="870"/>
      <c r="CY26" s="871"/>
      <c r="CZ26" s="870"/>
      <c r="DA26" s="870"/>
      <c r="DB26" s="870"/>
      <c r="DC26" s="870"/>
      <c r="DD26" s="870"/>
      <c r="DE26" s="870"/>
      <c r="DF26" s="870"/>
      <c r="DG26" s="870"/>
      <c r="DH26" s="870"/>
      <c r="DI26" s="870"/>
      <c r="DJ26" s="22">
        <v>0</v>
      </c>
      <c r="DK26" s="948"/>
      <c r="DL26" s="870"/>
      <c r="DM26" s="871"/>
      <c r="DN26" s="870"/>
      <c r="DO26" s="870"/>
      <c r="DP26" s="870"/>
      <c r="DQ26" s="870"/>
      <c r="DR26" s="870"/>
      <c r="DS26" s="870"/>
      <c r="DT26" s="870"/>
      <c r="DU26" s="870"/>
      <c r="DV26" s="870"/>
      <c r="DW26" s="870"/>
      <c r="DX26" s="22">
        <v>0</v>
      </c>
    </row>
    <row r="27" spans="1:128" ht="18.75" hidden="1">
      <c r="A27" s="19">
        <v>0</v>
      </c>
      <c r="B27" s="904" t="s">
        <v>39</v>
      </c>
      <c r="C27" s="905"/>
      <c r="D27" s="265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66"/>
      <c r="Q27" s="21"/>
      <c r="R27" s="265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67"/>
      <c r="AE27" s="23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5"/>
      <c r="AQ27" s="22"/>
      <c r="AR27" s="22"/>
      <c r="AS27" s="23"/>
      <c r="AT27" s="22"/>
      <c r="AU27" s="270"/>
      <c r="AV27" s="22"/>
      <c r="AW27" s="22"/>
      <c r="AX27" s="22"/>
      <c r="AY27" s="22"/>
      <c r="AZ27" s="22"/>
      <c r="BA27" s="22"/>
      <c r="BB27" s="26"/>
      <c r="BC27" s="22"/>
      <c r="BD27" s="22"/>
      <c r="BE27" s="22"/>
      <c r="BF27" s="22"/>
      <c r="BG27" s="27"/>
      <c r="BH27" s="22"/>
      <c r="BI27" s="270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8"/>
      <c r="BV27" s="22"/>
      <c r="BW27" s="270"/>
      <c r="BX27" s="22"/>
      <c r="BY27" s="22"/>
      <c r="BZ27" s="22"/>
      <c r="CA27" s="22"/>
      <c r="CB27" s="22"/>
      <c r="CC27" s="22"/>
      <c r="CD27" s="22"/>
      <c r="CE27" s="22">
        <v>34501</v>
      </c>
      <c r="CF27" s="22">
        <v>18809</v>
      </c>
      <c r="CG27" s="22">
        <v>12618</v>
      </c>
      <c r="CH27" s="22"/>
      <c r="CJ27" s="22">
        <v>11940</v>
      </c>
      <c r="CK27" s="270">
        <v>19956</v>
      </c>
      <c r="CL27" s="22">
        <v>15650</v>
      </c>
      <c r="CM27" s="22">
        <v>12005</v>
      </c>
      <c r="CN27" s="22"/>
      <c r="CO27" s="22"/>
      <c r="CP27" s="22"/>
      <c r="CQ27" s="22"/>
      <c r="CR27" s="22"/>
      <c r="CS27" s="22">
        <v>6064</v>
      </c>
      <c r="CT27" s="22"/>
      <c r="CU27" s="22"/>
      <c r="CV27" s="22"/>
      <c r="CW27" s="758"/>
      <c r="CX27" s="870"/>
      <c r="CY27" s="871"/>
      <c r="CZ27" s="870"/>
      <c r="DA27" s="870"/>
      <c r="DB27" s="870"/>
      <c r="DC27" s="870"/>
      <c r="DD27" s="870"/>
      <c r="DE27" s="870"/>
      <c r="DF27" s="870"/>
      <c r="DG27" s="870"/>
      <c r="DH27" s="870"/>
      <c r="DI27" s="870"/>
      <c r="DJ27" s="22"/>
      <c r="DK27" s="948"/>
      <c r="DL27" s="870"/>
      <c r="DM27" s="871"/>
      <c r="DN27" s="870"/>
      <c r="DO27" s="870"/>
      <c r="DP27" s="870"/>
      <c r="DQ27" s="870"/>
      <c r="DR27" s="870"/>
      <c r="DS27" s="870"/>
      <c r="DT27" s="870"/>
      <c r="DU27" s="870"/>
      <c r="DV27" s="870"/>
      <c r="DW27" s="870"/>
      <c r="DX27" s="22"/>
    </row>
    <row r="28" spans="1:128" ht="18.75" hidden="1">
      <c r="A28" s="19">
        <v>0</v>
      </c>
      <c r="B28" s="904" t="s">
        <v>40</v>
      </c>
      <c r="C28" s="905"/>
      <c r="D28" s="265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66"/>
      <c r="Q28" s="21"/>
      <c r="R28" s="265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67"/>
      <c r="AE28" s="23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5"/>
      <c r="AQ28" s="22"/>
      <c r="AR28" s="22"/>
      <c r="AS28" s="23"/>
      <c r="AT28" s="22"/>
      <c r="AU28" s="270"/>
      <c r="AV28" s="22"/>
      <c r="AW28" s="22"/>
      <c r="AX28" s="22"/>
      <c r="AY28" s="22"/>
      <c r="AZ28" s="22"/>
      <c r="BA28" s="22"/>
      <c r="BB28" s="26"/>
      <c r="BC28" s="22"/>
      <c r="BD28" s="22"/>
      <c r="BE28" s="22"/>
      <c r="BF28" s="22"/>
      <c r="BG28" s="27"/>
      <c r="BH28" s="22"/>
      <c r="BI28" s="270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8"/>
      <c r="BV28" s="22"/>
      <c r="BW28" s="270"/>
      <c r="BX28" s="22"/>
      <c r="BY28" s="22"/>
      <c r="BZ28" s="22"/>
      <c r="CA28" s="22"/>
      <c r="CB28" s="22"/>
      <c r="CC28" s="22"/>
      <c r="CD28" s="22"/>
      <c r="CE28" s="22">
        <v>12837</v>
      </c>
      <c r="CF28" s="22">
        <v>11839</v>
      </c>
      <c r="CG28" s="22">
        <v>20519</v>
      </c>
      <c r="CH28" s="22"/>
      <c r="CJ28" s="22">
        <v>17816</v>
      </c>
      <c r="CK28" s="270">
        <v>17432</v>
      </c>
      <c r="CL28" s="22">
        <v>21670</v>
      </c>
      <c r="CM28" s="22">
        <v>19092</v>
      </c>
      <c r="CN28" s="22"/>
      <c r="CO28" s="22"/>
      <c r="CP28" s="22"/>
      <c r="CQ28" s="22"/>
      <c r="CR28" s="22"/>
      <c r="CS28" s="22">
        <v>20858</v>
      </c>
      <c r="CT28" s="22"/>
      <c r="CU28" s="22"/>
      <c r="CV28" s="22"/>
      <c r="CW28" s="758"/>
      <c r="CX28" s="870"/>
      <c r="CY28" s="871"/>
      <c r="CZ28" s="870"/>
      <c r="DA28" s="870"/>
      <c r="DB28" s="870"/>
      <c r="DC28" s="870"/>
      <c r="DD28" s="870"/>
      <c r="DE28" s="870"/>
      <c r="DF28" s="870"/>
      <c r="DG28" s="870"/>
      <c r="DH28" s="870"/>
      <c r="DI28" s="870"/>
      <c r="DJ28" s="22"/>
      <c r="DK28" s="948"/>
      <c r="DL28" s="870"/>
      <c r="DM28" s="871"/>
      <c r="DN28" s="870"/>
      <c r="DO28" s="870"/>
      <c r="DP28" s="870"/>
      <c r="DQ28" s="870"/>
      <c r="DR28" s="870"/>
      <c r="DS28" s="870"/>
      <c r="DT28" s="870"/>
      <c r="DU28" s="870"/>
      <c r="DV28" s="870"/>
      <c r="DW28" s="870"/>
      <c r="DX28" s="22"/>
    </row>
    <row r="29" spans="1:128" ht="18.75" hidden="1">
      <c r="A29" s="13" t="s">
        <v>42</v>
      </c>
      <c r="B29" s="908"/>
      <c r="C29" s="909" t="s">
        <v>43</v>
      </c>
      <c r="D29" s="277">
        <f>D20-D24</f>
        <v>162884</v>
      </c>
      <c r="E29" s="33">
        <f>E20+E26-E24-E67</f>
        <v>200610</v>
      </c>
      <c r="F29" s="33">
        <f>F20+F26-F24-F67</f>
        <v>192475</v>
      </c>
      <c r="G29" s="33">
        <f>G20+G26-G24-G67</f>
        <v>231853</v>
      </c>
      <c r="H29" s="33">
        <f>H20+H26-H24-H67</f>
        <v>253292</v>
      </c>
      <c r="I29" s="33">
        <f>I20+I26-I24-I67</f>
        <v>305688</v>
      </c>
      <c r="J29" s="33">
        <f>J20+J26-J24-J67</f>
        <v>355297</v>
      </c>
      <c r="K29" s="33">
        <f>K20+K26-K24-K67</f>
        <v>367201</v>
      </c>
      <c r="L29" s="33">
        <f>L20+L26-L24-L67</f>
        <v>407523</v>
      </c>
      <c r="M29" s="33">
        <f>M20+M26-M24-M67</f>
        <v>297747</v>
      </c>
      <c r="N29" s="33">
        <f>N20+N26-N24-N67</f>
        <v>0</v>
      </c>
      <c r="O29" s="33">
        <f>O20+O26-O24-O67</f>
        <v>143875</v>
      </c>
      <c r="P29" s="262">
        <f>J29</f>
        <v>355297</v>
      </c>
      <c r="Q29" s="15"/>
      <c r="R29" s="277">
        <f>R20-R24</f>
        <v>172568</v>
      </c>
      <c r="S29" s="14">
        <f>S20+S26-S24-S67</f>
        <v>244205</v>
      </c>
      <c r="T29" s="14">
        <f>T20+T26-T24-T67</f>
        <v>237108</v>
      </c>
      <c r="U29" s="14">
        <f>U20+U26-U24-U67</f>
        <v>222510</v>
      </c>
      <c r="V29" s="14">
        <f>V20+V26-V24-V67</f>
        <v>179647</v>
      </c>
      <c r="W29" s="14">
        <f>W20+W26-W24-W67</f>
        <v>289587</v>
      </c>
      <c r="X29" s="14">
        <f>X20+X26-X24-X67</f>
        <v>281331</v>
      </c>
      <c r="Y29" s="14">
        <f>Y20+Y26-Y24-Y67</f>
        <v>325686</v>
      </c>
      <c r="Z29" s="14">
        <f>Z20+Z26-Z24-Z67</f>
        <v>319329</v>
      </c>
      <c r="AA29" s="14">
        <f>AA20+AA26-AA24-AA67</f>
        <v>268663</v>
      </c>
      <c r="AB29" s="14">
        <f>AB20+AB26-AB24-AB67</f>
        <v>187543</v>
      </c>
      <c r="AC29" s="14">
        <f>AC20+AC26-AC24-AC67</f>
        <v>196995</v>
      </c>
      <c r="AD29" s="263">
        <f>X29</f>
        <v>281331</v>
      </c>
      <c r="AE29" s="16"/>
      <c r="AF29" s="14">
        <f t="shared" ref="AF29:AQ29" si="33">AF20+AF24+AF23</f>
        <v>228387</v>
      </c>
      <c r="AG29" s="14">
        <f t="shared" si="33"/>
        <v>263548</v>
      </c>
      <c r="AH29" s="14">
        <f t="shared" si="33"/>
        <v>366224</v>
      </c>
      <c r="AI29" s="14">
        <f t="shared" si="33"/>
        <v>361348</v>
      </c>
      <c r="AJ29" s="14">
        <f t="shared" si="33"/>
        <v>384008</v>
      </c>
      <c r="AK29" s="14">
        <f t="shared" si="33"/>
        <v>434489</v>
      </c>
      <c r="AL29" s="14">
        <f t="shared" si="33"/>
        <v>436438</v>
      </c>
      <c r="AM29" s="14">
        <f t="shared" si="33"/>
        <v>463198</v>
      </c>
      <c r="AN29" s="14">
        <f t="shared" si="33"/>
        <v>425121</v>
      </c>
      <c r="AO29" s="14">
        <f t="shared" si="33"/>
        <v>355477</v>
      </c>
      <c r="AP29" s="14">
        <f t="shared" si="33"/>
        <v>288104</v>
      </c>
      <c r="AQ29" s="14">
        <f t="shared" si="33"/>
        <v>298855</v>
      </c>
      <c r="AR29" s="14">
        <f t="shared" si="11"/>
        <v>298855</v>
      </c>
      <c r="AS29" s="17"/>
      <c r="AT29" s="14">
        <f t="shared" ref="AT29:BE29" si="34">AT20+AT24+AT23</f>
        <v>326269</v>
      </c>
      <c r="AU29" s="14">
        <f t="shared" si="34"/>
        <v>301870</v>
      </c>
      <c r="AV29" s="14">
        <f t="shared" si="34"/>
        <v>285491</v>
      </c>
      <c r="AW29" s="14">
        <f t="shared" si="34"/>
        <v>267653</v>
      </c>
      <c r="AX29" s="14">
        <f t="shared" si="34"/>
        <v>273960</v>
      </c>
      <c r="AY29" s="14">
        <f t="shared" si="34"/>
        <v>326260</v>
      </c>
      <c r="AZ29" s="14">
        <f t="shared" si="34"/>
        <v>333221</v>
      </c>
      <c r="BA29" s="14">
        <f t="shared" si="34"/>
        <v>354862</v>
      </c>
      <c r="BB29" s="14">
        <f t="shared" si="34"/>
        <v>348162</v>
      </c>
      <c r="BC29" s="14">
        <f t="shared" si="34"/>
        <v>319093</v>
      </c>
      <c r="BD29" s="14">
        <f t="shared" si="34"/>
        <v>293379</v>
      </c>
      <c r="BE29" s="14">
        <f t="shared" si="34"/>
        <v>234110</v>
      </c>
      <c r="BF29" s="32">
        <f t="shared" ref="BF29:BF30" si="35">SUM(AT29:BE29)</f>
        <v>3664330</v>
      </c>
      <c r="BG29" s="17"/>
      <c r="BH29" s="14">
        <f t="shared" ref="BH29:BS29" si="36">BH20+BH24+BH23</f>
        <v>285296</v>
      </c>
      <c r="BI29" s="14">
        <f t="shared" si="36"/>
        <v>282956</v>
      </c>
      <c r="BJ29" s="14">
        <f t="shared" si="36"/>
        <v>295165</v>
      </c>
      <c r="BK29" s="14">
        <f t="shared" si="36"/>
        <v>286135</v>
      </c>
      <c r="BL29" s="14">
        <f t="shared" si="36"/>
        <v>250340</v>
      </c>
      <c r="BM29" s="14">
        <f t="shared" si="36"/>
        <v>247600</v>
      </c>
      <c r="BN29" s="14">
        <f t="shared" si="36"/>
        <v>293505</v>
      </c>
      <c r="BO29" s="14">
        <f t="shared" si="36"/>
        <v>274542</v>
      </c>
      <c r="BP29" s="14">
        <f t="shared" si="36"/>
        <v>260352</v>
      </c>
      <c r="BQ29" s="14">
        <f>BQ20+BQ24+BQ23</f>
        <v>238595</v>
      </c>
      <c r="BR29" s="14">
        <f t="shared" si="36"/>
        <v>187546</v>
      </c>
      <c r="BS29" s="14">
        <f t="shared" si="36"/>
        <v>189617</v>
      </c>
      <c r="BT29" s="14">
        <f t="shared" si="32"/>
        <v>189617</v>
      </c>
      <c r="BU29" s="18"/>
      <c r="BV29" s="14">
        <f>BV20+BV24+BV23</f>
        <v>171889</v>
      </c>
      <c r="BW29" s="14">
        <f>BW20+BW26+BW23</f>
        <v>193178</v>
      </c>
      <c r="BX29" s="14">
        <f>BX20+BX24+BX23</f>
        <v>228367</v>
      </c>
      <c r="BY29" s="14">
        <f>BY20+BY24+BY23</f>
        <v>261297</v>
      </c>
      <c r="BZ29" s="14">
        <f>BZ20+BZ24+BZ23</f>
        <v>277757</v>
      </c>
      <c r="CA29" s="14">
        <f>CA20+CA24+CA23</f>
        <v>329719</v>
      </c>
      <c r="CB29" s="14">
        <f>CB20+CB24+CB23</f>
        <v>316656</v>
      </c>
      <c r="CC29" s="14">
        <f>CC20+CC24+CC23</f>
        <v>290388</v>
      </c>
      <c r="CD29" s="14">
        <f>CD20+CD24+CD23</f>
        <v>185778</v>
      </c>
      <c r="CE29" s="14">
        <f>CE20+CE24+CE23</f>
        <v>153110</v>
      </c>
      <c r="CF29" s="14">
        <f>CF20+CF24+CF23</f>
        <v>170562</v>
      </c>
      <c r="CG29" s="14">
        <f>CG20+CG24+CG23</f>
        <v>167396</v>
      </c>
      <c r="CH29" s="14">
        <f t="shared" si="31"/>
        <v>167396</v>
      </c>
      <c r="CJ29" s="14">
        <v>224424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758"/>
      <c r="CX29" s="873">
        <v>224424</v>
      </c>
      <c r="CY29" s="873">
        <v>0</v>
      </c>
      <c r="CZ29" s="873">
        <v>0</v>
      </c>
      <c r="DA29" s="873">
        <v>0</v>
      </c>
      <c r="DB29" s="873">
        <v>0</v>
      </c>
      <c r="DC29" s="873">
        <v>0</v>
      </c>
      <c r="DD29" s="873">
        <v>0</v>
      </c>
      <c r="DE29" s="873">
        <v>0</v>
      </c>
      <c r="DF29" s="873">
        <v>0</v>
      </c>
      <c r="DG29" s="873">
        <v>0</v>
      </c>
      <c r="DH29" s="873">
        <v>0</v>
      </c>
      <c r="DI29" s="873">
        <v>0</v>
      </c>
      <c r="DJ29" s="14">
        <v>0</v>
      </c>
      <c r="DK29" s="948"/>
      <c r="DL29" s="873">
        <v>224424</v>
      </c>
      <c r="DM29" s="873">
        <v>0</v>
      </c>
      <c r="DN29" s="873">
        <v>0</v>
      </c>
      <c r="DO29" s="873">
        <v>0</v>
      </c>
      <c r="DP29" s="873">
        <v>0</v>
      </c>
      <c r="DQ29" s="873">
        <v>0</v>
      </c>
      <c r="DR29" s="873">
        <v>0</v>
      </c>
      <c r="DS29" s="873">
        <v>0</v>
      </c>
      <c r="DT29" s="873">
        <v>0</v>
      </c>
      <c r="DU29" s="873">
        <v>0</v>
      </c>
      <c r="DV29" s="873">
        <v>0</v>
      </c>
      <c r="DW29" s="873">
        <v>0</v>
      </c>
      <c r="DX29" s="14">
        <v>0</v>
      </c>
    </row>
    <row r="30" spans="1:128" ht="18.75" hidden="1">
      <c r="A30" s="34" t="s">
        <v>44</v>
      </c>
      <c r="B30" s="910"/>
      <c r="C30" s="911" t="s">
        <v>45</v>
      </c>
      <c r="D30" s="277">
        <f t="shared" ref="D30:O30" si="37">D10-D26-D24</f>
        <v>264261</v>
      </c>
      <c r="E30" s="33">
        <f t="shared" si="37"/>
        <v>275849</v>
      </c>
      <c r="F30" s="33">
        <f t="shared" si="37"/>
        <v>280253</v>
      </c>
      <c r="G30" s="33">
        <f t="shared" si="37"/>
        <v>256146</v>
      </c>
      <c r="H30" s="33">
        <f t="shared" si="37"/>
        <v>282462</v>
      </c>
      <c r="I30" s="33">
        <f t="shared" si="37"/>
        <v>336508</v>
      </c>
      <c r="J30" s="33">
        <f t="shared" si="37"/>
        <v>394861</v>
      </c>
      <c r="K30" s="33">
        <f t="shared" si="37"/>
        <v>399944</v>
      </c>
      <c r="L30" s="33">
        <f t="shared" si="37"/>
        <v>403515</v>
      </c>
      <c r="M30" s="33">
        <f t="shared" si="37"/>
        <v>254037</v>
      </c>
      <c r="N30" s="33">
        <f t="shared" si="37"/>
        <v>0</v>
      </c>
      <c r="O30" s="33">
        <f t="shared" si="37"/>
        <v>188264</v>
      </c>
      <c r="P30" s="262">
        <f t="shared" ref="P30:P31" si="38">O30</f>
        <v>188264</v>
      </c>
      <c r="Q30" s="15"/>
      <c r="R30" s="277">
        <f t="shared" ref="R30:AC30" si="39">R10-R26-R24</f>
        <v>244467</v>
      </c>
      <c r="S30" s="14">
        <f t="shared" si="39"/>
        <v>295020</v>
      </c>
      <c r="T30" s="14">
        <f t="shared" si="39"/>
        <v>254796</v>
      </c>
      <c r="U30" s="14">
        <f t="shared" si="39"/>
        <v>240747</v>
      </c>
      <c r="V30" s="14">
        <f t="shared" si="39"/>
        <v>104747</v>
      </c>
      <c r="W30" s="14">
        <f t="shared" si="39"/>
        <v>162106</v>
      </c>
      <c r="X30" s="14">
        <f t="shared" si="39"/>
        <v>340068</v>
      </c>
      <c r="Y30" s="14">
        <f t="shared" si="39"/>
        <v>322792</v>
      </c>
      <c r="Z30" s="14">
        <f t="shared" si="39"/>
        <v>330677</v>
      </c>
      <c r="AA30" s="14">
        <f t="shared" si="39"/>
        <v>229141</v>
      </c>
      <c r="AB30" s="14">
        <f t="shared" si="39"/>
        <v>126169</v>
      </c>
      <c r="AC30" s="14">
        <f t="shared" si="39"/>
        <v>173047</v>
      </c>
      <c r="AD30" s="263">
        <f t="shared" ref="AD30:AD31" si="40">AC30</f>
        <v>173047</v>
      </c>
      <c r="AE30" s="16"/>
      <c r="AF30" s="261">
        <f>AF29-AF24</f>
        <v>220021</v>
      </c>
      <c r="AG30" s="261">
        <f>AG29-AG24</f>
        <v>252014</v>
      </c>
      <c r="AH30" s="261">
        <f>AH29-AH24</f>
        <v>354717</v>
      </c>
      <c r="AI30" s="261">
        <f>AI29-AI24</f>
        <v>352200</v>
      </c>
      <c r="AJ30" s="261">
        <f>AJ29-AJ24</f>
        <v>375484</v>
      </c>
      <c r="AK30" s="261">
        <f>AK29-AK24</f>
        <v>409199</v>
      </c>
      <c r="AL30" s="261">
        <f>AL29-AL24</f>
        <v>345358</v>
      </c>
      <c r="AM30" s="261">
        <f>AM29-AM24</f>
        <v>396368</v>
      </c>
      <c r="AN30" s="261">
        <f>AN29-AN24</f>
        <v>388255</v>
      </c>
      <c r="AO30" s="261">
        <f>AO29-AO24</f>
        <v>339304</v>
      </c>
      <c r="AP30" s="261">
        <f>AP29-AP24</f>
        <v>109830</v>
      </c>
      <c r="AQ30" s="261">
        <f>AQ29-AQ24</f>
        <v>88190</v>
      </c>
      <c r="AR30" s="14">
        <f t="shared" si="11"/>
        <v>88190</v>
      </c>
      <c r="AS30" s="17"/>
      <c r="AT30" s="261">
        <f>AT29-AT24</f>
        <v>205194</v>
      </c>
      <c r="AU30" s="261">
        <f>AU29-AU24</f>
        <v>152494</v>
      </c>
      <c r="AV30" s="261">
        <f>AV29-AV24</f>
        <v>180953</v>
      </c>
      <c r="AW30" s="261">
        <f>AW29-AW24</f>
        <v>162391</v>
      </c>
      <c r="AX30" s="261">
        <f>AX29-AX24</f>
        <v>152887</v>
      </c>
      <c r="AY30" s="261">
        <f>AY29-AY24</f>
        <v>162329</v>
      </c>
      <c r="AZ30" s="261">
        <f>AZ29-AZ24</f>
        <v>223257</v>
      </c>
      <c r="BA30" s="261">
        <f>BA29-BA24</f>
        <v>206596</v>
      </c>
      <c r="BB30" s="261">
        <f>BB29-BB24</f>
        <v>217465</v>
      </c>
      <c r="BC30" s="261">
        <f>BC29-BC24</f>
        <v>205314</v>
      </c>
      <c r="BD30" s="261">
        <f>BD29-BD24</f>
        <v>202260</v>
      </c>
      <c r="BE30" s="261">
        <f>BE29-BE24</f>
        <v>130824</v>
      </c>
      <c r="BF30" s="32">
        <f t="shared" si="35"/>
        <v>2201964</v>
      </c>
      <c r="BG30" s="35">
        <f>SUM(AT34:AY34)/SUM(AF68:AK68)-1</f>
        <v>0.2283258050797119</v>
      </c>
      <c r="BH30" s="416">
        <f>BH29-BH24</f>
        <v>235665</v>
      </c>
      <c r="BI30" s="416">
        <f>BI29-BI24</f>
        <v>230003</v>
      </c>
      <c r="BJ30" s="416">
        <f>BJ29-BJ24</f>
        <v>266725</v>
      </c>
      <c r="BK30" s="416">
        <f>BK29-BK24</f>
        <v>202534</v>
      </c>
      <c r="BL30" s="417">
        <f>BL29-BL24</f>
        <v>224528</v>
      </c>
      <c r="BM30" s="417">
        <f>BM29-BM24</f>
        <v>188055</v>
      </c>
      <c r="BN30" s="417">
        <f>BN29-BN24</f>
        <v>210070</v>
      </c>
      <c r="BO30" s="417">
        <f>BO29-BO24</f>
        <v>240501</v>
      </c>
      <c r="BP30" s="417">
        <f>BP29-BP24</f>
        <v>237953</v>
      </c>
      <c r="BQ30" s="417">
        <f>BQ29-BQ24</f>
        <v>213708</v>
      </c>
      <c r="BR30" s="417">
        <f>BR29-BR24</f>
        <v>175363</v>
      </c>
      <c r="BS30" s="417">
        <f>BS29-BS24</f>
        <v>177434</v>
      </c>
      <c r="BT30" s="417">
        <f t="shared" si="32"/>
        <v>177434</v>
      </c>
      <c r="BU30" s="18"/>
      <c r="BV30" s="261">
        <f>BV29-BV24</f>
        <v>166673</v>
      </c>
      <c r="BW30" s="261">
        <f>BW29-BW24</f>
        <v>193178</v>
      </c>
      <c r="BX30" s="261">
        <f>BX29-BX24</f>
        <v>163094</v>
      </c>
      <c r="BY30" s="416">
        <f>BY29-BY24</f>
        <v>191115</v>
      </c>
      <c r="BZ30" s="417">
        <f>BZ29-BZ24</f>
        <v>220098</v>
      </c>
      <c r="CA30" s="417">
        <f>CA29-CA24</f>
        <v>258050</v>
      </c>
      <c r="CB30" s="417">
        <f>CB29-CB24</f>
        <v>243578</v>
      </c>
      <c r="CC30" s="417">
        <f>CC29-CC24</f>
        <v>205086</v>
      </c>
      <c r="CD30" s="417">
        <f>CD29-CD24</f>
        <v>160435</v>
      </c>
      <c r="CE30" s="417">
        <f>CE29-CE24</f>
        <v>134080</v>
      </c>
      <c r="CF30" s="417">
        <f>CF29-CF24</f>
        <v>151140</v>
      </c>
      <c r="CG30" s="417">
        <f>CG29-CG24</f>
        <v>141469</v>
      </c>
      <c r="CH30" s="417">
        <f t="shared" si="31"/>
        <v>141469</v>
      </c>
      <c r="CJ30" s="261">
        <v>219208</v>
      </c>
      <c r="CK30" s="261">
        <v>0</v>
      </c>
      <c r="CL30" s="261">
        <v>0</v>
      </c>
      <c r="CM30" s="416">
        <v>0</v>
      </c>
      <c r="CN30" s="417">
        <v>0</v>
      </c>
      <c r="CO30" s="417">
        <v>0</v>
      </c>
      <c r="CP30" s="417">
        <v>0</v>
      </c>
      <c r="CQ30" s="417">
        <v>0</v>
      </c>
      <c r="CR30" s="417">
        <v>0</v>
      </c>
      <c r="CS30" s="417">
        <v>0</v>
      </c>
      <c r="CT30" s="417">
        <v>0</v>
      </c>
      <c r="CU30" s="417">
        <v>0</v>
      </c>
      <c r="CV30" s="417">
        <v>0</v>
      </c>
      <c r="CW30" s="758"/>
      <c r="CX30" s="874">
        <v>219208</v>
      </c>
      <c r="CY30" s="874">
        <v>0</v>
      </c>
      <c r="CZ30" s="874">
        <v>0</v>
      </c>
      <c r="DA30" s="875">
        <v>0</v>
      </c>
      <c r="DB30" s="876">
        <v>0</v>
      </c>
      <c r="DC30" s="876">
        <v>0</v>
      </c>
      <c r="DD30" s="876">
        <v>0</v>
      </c>
      <c r="DE30" s="876">
        <v>0</v>
      </c>
      <c r="DF30" s="876">
        <v>0</v>
      </c>
      <c r="DG30" s="876">
        <v>0</v>
      </c>
      <c r="DH30" s="876">
        <v>0</v>
      </c>
      <c r="DI30" s="876">
        <v>0</v>
      </c>
      <c r="DJ30" s="417">
        <v>0</v>
      </c>
      <c r="DK30" s="948"/>
      <c r="DL30" s="874">
        <v>219208</v>
      </c>
      <c r="DM30" s="874">
        <v>0</v>
      </c>
      <c r="DN30" s="874">
        <v>0</v>
      </c>
      <c r="DO30" s="875">
        <v>0</v>
      </c>
      <c r="DP30" s="876">
        <v>0</v>
      </c>
      <c r="DQ30" s="876">
        <v>0</v>
      </c>
      <c r="DR30" s="876">
        <v>0</v>
      </c>
      <c r="DS30" s="876">
        <v>0</v>
      </c>
      <c r="DT30" s="876">
        <v>0</v>
      </c>
      <c r="DU30" s="876">
        <v>0</v>
      </c>
      <c r="DV30" s="876">
        <v>0</v>
      </c>
      <c r="DW30" s="876">
        <v>0</v>
      </c>
      <c r="DX30" s="417">
        <v>0</v>
      </c>
    </row>
    <row r="31" spans="1:128" s="748" customFormat="1" ht="18.75" hidden="1">
      <c r="A31" s="739" t="s">
        <v>120</v>
      </c>
      <c r="B31" s="736"/>
      <c r="C31" s="737" t="s">
        <v>47</v>
      </c>
      <c r="D31" s="738">
        <f t="shared" ref="D31:O31" si="41">D10</f>
        <v>304786</v>
      </c>
      <c r="E31" s="740">
        <f t="shared" si="41"/>
        <v>311986</v>
      </c>
      <c r="F31" s="740">
        <f t="shared" si="41"/>
        <v>328231</v>
      </c>
      <c r="G31" s="740">
        <f t="shared" si="41"/>
        <v>317873</v>
      </c>
      <c r="H31" s="740">
        <f t="shared" si="41"/>
        <v>347196</v>
      </c>
      <c r="I31" s="740">
        <f t="shared" si="41"/>
        <v>402253</v>
      </c>
      <c r="J31" s="740">
        <f t="shared" si="41"/>
        <v>454488</v>
      </c>
      <c r="K31" s="740">
        <f t="shared" si="41"/>
        <v>447182</v>
      </c>
      <c r="L31" s="740">
        <f t="shared" si="41"/>
        <v>416931</v>
      </c>
      <c r="M31" s="740">
        <f t="shared" si="41"/>
        <v>304402</v>
      </c>
      <c r="N31" s="740">
        <f t="shared" si="41"/>
        <v>0</v>
      </c>
      <c r="O31" s="740">
        <f t="shared" si="41"/>
        <v>188264</v>
      </c>
      <c r="P31" s="741">
        <f t="shared" si="38"/>
        <v>188264</v>
      </c>
      <c r="Q31" s="742"/>
      <c r="R31" s="743">
        <f t="shared" ref="R31:AC31" si="42">R10</f>
        <v>283359</v>
      </c>
      <c r="S31" s="744">
        <f t="shared" si="42"/>
        <v>342718</v>
      </c>
      <c r="T31" s="744">
        <f t="shared" si="42"/>
        <v>313212</v>
      </c>
      <c r="U31" s="744">
        <f t="shared" si="42"/>
        <v>298093</v>
      </c>
      <c r="V31" s="744">
        <f t="shared" si="42"/>
        <v>206617</v>
      </c>
      <c r="W31" s="744">
        <f t="shared" si="42"/>
        <v>235875</v>
      </c>
      <c r="X31" s="744">
        <f t="shared" si="42"/>
        <v>360135</v>
      </c>
      <c r="Y31" s="744">
        <f t="shared" si="42"/>
        <v>361665</v>
      </c>
      <c r="Z31" s="744">
        <f t="shared" si="42"/>
        <v>353400</v>
      </c>
      <c r="AA31" s="744">
        <f t="shared" si="42"/>
        <v>272097</v>
      </c>
      <c r="AB31" s="744">
        <f t="shared" si="42"/>
        <v>170626</v>
      </c>
      <c r="AC31" s="744">
        <f t="shared" si="42"/>
        <v>197551</v>
      </c>
      <c r="AD31" s="745">
        <f t="shared" si="40"/>
        <v>197551</v>
      </c>
      <c r="AE31" s="746"/>
      <c r="AF31" s="744">
        <f>AF10-AF67</f>
        <v>255339</v>
      </c>
      <c r="AG31" s="744">
        <f>AG10-AG67</f>
        <v>292621</v>
      </c>
      <c r="AH31" s="744">
        <f>AH10-AH67</f>
        <v>397976</v>
      </c>
      <c r="AI31" s="744">
        <f>AI10-AI67</f>
        <v>388165</v>
      </c>
      <c r="AJ31" s="744">
        <f>AJ10-AJ67</f>
        <v>409301</v>
      </c>
      <c r="AK31" s="744">
        <f>AK10-AK67</f>
        <v>490913</v>
      </c>
      <c r="AL31" s="744">
        <f>AL10-AL67</f>
        <v>563229</v>
      </c>
      <c r="AM31" s="744">
        <f>AM10-AM67</f>
        <v>559169</v>
      </c>
      <c r="AN31" s="744">
        <f>AN10-AN67</f>
        <v>487294</v>
      </c>
      <c r="AO31" s="744">
        <f>AO10-AO67</f>
        <v>407614</v>
      </c>
      <c r="AP31" s="744">
        <f>AP10-AP67</f>
        <v>503756</v>
      </c>
      <c r="AQ31" s="744">
        <f>AQ10-AQ67</f>
        <v>522741</v>
      </c>
      <c r="AR31" s="744">
        <f t="shared" si="11"/>
        <v>522741</v>
      </c>
      <c r="AS31" s="746"/>
      <c r="AT31" s="744">
        <f>AT10-AT67</f>
        <v>364736</v>
      </c>
      <c r="AU31" s="744">
        <f>AU10-AU67</f>
        <v>382608</v>
      </c>
      <c r="AV31" s="744">
        <f>AV10-AV67</f>
        <v>322837</v>
      </c>
      <c r="AW31" s="744">
        <f>AW10-AW67</f>
        <v>339249</v>
      </c>
      <c r="AX31" s="744">
        <f>AX10-AX67</f>
        <v>382307</v>
      </c>
      <c r="AY31" s="744">
        <f>AY10-AY67</f>
        <v>446417</v>
      </c>
      <c r="AZ31" s="744">
        <f>AZ10-AZ67</f>
        <v>406019</v>
      </c>
      <c r="BA31" s="744">
        <f>BA10-BA67</f>
        <v>457091</v>
      </c>
      <c r="BB31" s="744">
        <f>BB10-BB67</f>
        <v>439103</v>
      </c>
      <c r="BC31" s="744">
        <f>BB31-BC34+BC81-BC67</f>
        <v>267702.70924434217</v>
      </c>
      <c r="BD31" s="744">
        <f>BC31-BD34+BD81-BD67</f>
        <v>224792.12236286921</v>
      </c>
      <c r="BE31" s="744">
        <f>BD31-BE34+BE81-BE67</f>
        <v>209302.50939777523</v>
      </c>
      <c r="BF31" s="744">
        <f>BE31</f>
        <v>209302.50939777523</v>
      </c>
      <c r="BG31" s="747">
        <f>BG34/AR34</f>
        <v>7.0333736034655189E-2</v>
      </c>
      <c r="BH31" s="744">
        <f>BH10-BH67</f>
        <v>287739</v>
      </c>
      <c r="BI31" s="744">
        <f>BI10-BI67</f>
        <v>274599</v>
      </c>
      <c r="BJ31" s="744">
        <f>BJ10-BJ67</f>
        <v>249895</v>
      </c>
      <c r="BK31" s="744">
        <f>BK10-BK67</f>
        <v>311315</v>
      </c>
      <c r="BL31" s="744">
        <f>BL10-BL67</f>
        <v>277855</v>
      </c>
      <c r="BM31" s="744">
        <f>BM10-BM67</f>
        <v>301815</v>
      </c>
      <c r="BN31" s="744">
        <f>BN10-BN67</f>
        <v>325519</v>
      </c>
      <c r="BO31" s="744">
        <f>BO10-BO67</f>
        <v>255915</v>
      </c>
      <c r="BP31" s="744">
        <f>BP10-BP67</f>
        <v>198711</v>
      </c>
      <c r="BQ31" s="744">
        <f>BQ10-BQ67</f>
        <v>182301</v>
      </c>
      <c r="BR31" s="744">
        <f>BR10-BR67</f>
        <v>228035</v>
      </c>
      <c r="BS31" s="744">
        <f>BS10-BS67</f>
        <v>201165</v>
      </c>
      <c r="BT31" s="744">
        <f t="shared" si="32"/>
        <v>201165</v>
      </c>
      <c r="BU31" s="746"/>
      <c r="BV31" s="744">
        <f>BV10-BV67</f>
        <v>247713</v>
      </c>
      <c r="BW31" s="744">
        <f>BW10-BW67</f>
        <v>278707</v>
      </c>
      <c r="BX31" s="744">
        <f>BX10-BX67</f>
        <v>281829</v>
      </c>
      <c r="BY31" s="744">
        <f>BY10-BY67</f>
        <v>317753</v>
      </c>
      <c r="BZ31" s="744">
        <f>BZ10-BZ67</f>
        <v>270339</v>
      </c>
      <c r="CA31" s="744">
        <f>CA10-CA67</f>
        <v>310383</v>
      </c>
      <c r="CB31" s="744">
        <f>CB10-CB67</f>
        <v>328365</v>
      </c>
      <c r="CC31" s="744">
        <f>CC10-CC67</f>
        <v>333476</v>
      </c>
      <c r="CD31" s="744">
        <f>CD10-CD67</f>
        <v>306264</v>
      </c>
      <c r="CE31" s="744">
        <f>CE10-CE67</f>
        <v>270370</v>
      </c>
      <c r="CF31" s="744">
        <f>CF10-CF67</f>
        <v>194014</v>
      </c>
      <c r="CG31" s="744">
        <f>CG10-CG67</f>
        <v>182266</v>
      </c>
      <c r="CH31" s="744">
        <f t="shared" si="31"/>
        <v>182266</v>
      </c>
      <c r="CJ31" s="744">
        <f t="shared" ref="CJ31:CL31" si="43">CJ28+CJ27+CJ11</f>
        <v>234793</v>
      </c>
      <c r="CK31" s="744">
        <f t="shared" si="43"/>
        <v>267818</v>
      </c>
      <c r="CL31" s="744">
        <f t="shared" si="43"/>
        <v>271663</v>
      </c>
      <c r="CM31" s="744">
        <f>CM28+CM27+CM11</f>
        <v>297485</v>
      </c>
      <c r="CN31" s="744">
        <f>CM31-CN34+CN81</f>
        <v>307923.8879612374</v>
      </c>
      <c r="CO31" s="744">
        <f>CN31-CO34+CO81</f>
        <v>370977.73306000745</v>
      </c>
      <c r="CP31" s="744">
        <f>CO31-CP34+CP81</f>
        <v>403860.22259587242</v>
      </c>
      <c r="CQ31" s="744">
        <f>CP31-CQ34+CQ81</f>
        <v>381854.52867182181</v>
      </c>
      <c r="CR31" s="744">
        <f>CQ31-CR34+CR81</f>
        <v>333996.33782793995</v>
      </c>
      <c r="CS31" s="744">
        <f>CR31-CS34+CS81</f>
        <v>289282.38677308767</v>
      </c>
      <c r="CT31" s="744">
        <f>CS31-CT34+CT81</f>
        <v>280258.78567604127</v>
      </c>
      <c r="CU31" s="744">
        <f>CT31-CU34+CU81</f>
        <v>302607.39327097801</v>
      </c>
      <c r="CV31" s="744">
        <v>116080.10690622788</v>
      </c>
      <c r="CW31" s="758"/>
      <c r="CX31" s="744">
        <f>CU31-CX34+CX81</f>
        <v>244494.49327097798</v>
      </c>
      <c r="CY31" s="744">
        <f>CX31-CY34+CY81</f>
        <v>217359.09327097799</v>
      </c>
      <c r="CZ31" s="744">
        <f t="shared" ref="CZ31:DI31" si="44">CY31-CZ34+CZ81</f>
        <v>38739.093270977988</v>
      </c>
      <c r="DA31" s="744">
        <f t="shared" si="44"/>
        <v>-31420.906729022012</v>
      </c>
      <c r="DB31" s="744">
        <f t="shared" si="44"/>
        <v>-41331.156729022041</v>
      </c>
      <c r="DC31" s="744">
        <f t="shared" si="44"/>
        <v>-56998.436729022069</v>
      </c>
      <c r="DD31" s="744">
        <f t="shared" si="44"/>
        <v>-102599.7167290221</v>
      </c>
      <c r="DE31" s="744">
        <f t="shared" si="44"/>
        <v>-181174.67672902212</v>
      </c>
      <c r="DF31" s="744">
        <f t="shared" si="44"/>
        <v>-323981.81672902213</v>
      </c>
      <c r="DG31" s="744">
        <f t="shared" si="44"/>
        <v>-426540.87706657487</v>
      </c>
      <c r="DH31" s="744">
        <f t="shared" si="44"/>
        <v>-453085.66381762968</v>
      </c>
      <c r="DI31" s="744">
        <f t="shared" si="44"/>
        <v>-473306.10938724992</v>
      </c>
      <c r="DJ31" s="744">
        <v>116080.10690622788</v>
      </c>
      <c r="DK31" s="948"/>
      <c r="DL31" s="744"/>
      <c r="DM31" s="744"/>
      <c r="DN31" s="744"/>
      <c r="DO31" s="744"/>
      <c r="DP31" s="744"/>
      <c r="DQ31" s="744"/>
      <c r="DR31" s="744"/>
      <c r="DS31" s="744"/>
      <c r="DT31" s="744"/>
      <c r="DU31" s="744"/>
      <c r="DV31" s="744"/>
      <c r="DW31" s="744"/>
      <c r="DX31" s="744"/>
    </row>
    <row r="32" spans="1:128" ht="18.75" hidden="1">
      <c r="A32" s="46"/>
      <c r="B32" s="912" t="s">
        <v>48</v>
      </c>
      <c r="C32" s="913"/>
      <c r="D32" s="283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284"/>
      <c r="Q32" s="49"/>
      <c r="R32" s="283"/>
      <c r="S32" s="50"/>
      <c r="T32" s="50"/>
      <c r="U32" s="50"/>
      <c r="V32" s="51"/>
      <c r="W32" s="51"/>
      <c r="X32" s="51"/>
      <c r="Y32" s="51"/>
      <c r="Z32" s="51"/>
      <c r="AA32" s="51"/>
      <c r="AB32" s="51"/>
      <c r="AC32" s="50"/>
      <c r="AD32" s="285"/>
      <c r="AE32" s="23"/>
      <c r="AF32" s="286">
        <f>AF10/AG34</f>
        <v>1.4346741432881778</v>
      </c>
      <c r="AG32" s="286">
        <f>AG10/AH34</f>
        <v>3.9745327610561771</v>
      </c>
      <c r="AH32" s="286">
        <f>AH10/AI34</f>
        <v>4.4537254638644557</v>
      </c>
      <c r="AI32" s="286">
        <f>AI10/AJ34</f>
        <v>3.1781895295331357</v>
      </c>
      <c r="AJ32" s="286">
        <f>AJ10/AK34</f>
        <v>2.7551225094238019</v>
      </c>
      <c r="AK32" s="286">
        <f>AK10/AL34</f>
        <v>3.2297970327971317</v>
      </c>
      <c r="AL32" s="286">
        <f>AL10/AM34</f>
        <v>2.3575635299682296</v>
      </c>
      <c r="AM32" s="286">
        <f>AM10/AN34</f>
        <v>2.1413160582078121</v>
      </c>
      <c r="AN32" s="286">
        <f>AN10/AO34</f>
        <v>1.9042360296991012</v>
      </c>
      <c r="AO32" s="286">
        <f>AO10/AP34</f>
        <v>3.1686411691542289</v>
      </c>
      <c r="AP32" s="286">
        <f>AP10/AQ34</f>
        <v>5.1487735077677845</v>
      </c>
      <c r="AQ32" s="286">
        <f>AQ10/AT34</f>
        <v>3.4807306746186968</v>
      </c>
      <c r="AR32" s="287">
        <f>AQ32</f>
        <v>3.4807306746186968</v>
      </c>
      <c r="AS32" s="23"/>
      <c r="AT32" s="286">
        <f>AT10/AU34</f>
        <v>2.7971286279646934</v>
      </c>
      <c r="AU32" s="286">
        <f>AU10/AV34</f>
        <v>3.0710063937614676</v>
      </c>
      <c r="AV32" s="286">
        <f>AV10/AW34</f>
        <v>2.5847779910329129</v>
      </c>
      <c r="AW32" s="286">
        <f>AW10/AX34</f>
        <v>3.3142307600651066</v>
      </c>
      <c r="AX32" s="286">
        <f>AX10/AY34</f>
        <v>3.0202081128011216</v>
      </c>
      <c r="AY32" s="286">
        <f>AY10/(AZ64+AZ63)</f>
        <v>3.0375411110446691</v>
      </c>
      <c r="AZ32" s="286">
        <f>AZ10/(BA64+BA63)</f>
        <v>1.7862994390436959</v>
      </c>
      <c r="BA32" s="286">
        <f>BA10/(BB64+BB63)</f>
        <v>2.3917338115287117</v>
      </c>
      <c r="BB32" s="286">
        <f>BB10/(BC64+BC63)</f>
        <v>2.0297186803388318</v>
      </c>
      <c r="BC32" s="286">
        <f>BC10/(BD64+BD63)</f>
        <v>2.9418601583113455</v>
      </c>
      <c r="BD32" s="286">
        <f>BD10/(BE64+BE63)</f>
        <v>5.3595753009100697</v>
      </c>
      <c r="BE32" s="286">
        <f>BE10/BH34</f>
        <v>2.3338657833234047</v>
      </c>
      <c r="BF32" s="52"/>
      <c r="BG32" s="27"/>
      <c r="BH32" s="418">
        <f>BH10/BI34</f>
        <v>2.4324841588586663</v>
      </c>
      <c r="BI32" s="418">
        <f>BI10/BJ34</f>
        <v>2.0694790126570033</v>
      </c>
      <c r="BJ32" s="418">
        <f>BJ10/BK34</f>
        <v>2.1548303749075362</v>
      </c>
      <c r="BK32" s="418">
        <f>BK10/BL34</f>
        <v>2.940658548141605</v>
      </c>
      <c r="BL32" s="418">
        <f>BL10/BM34</f>
        <v>2.5009495450993295</v>
      </c>
      <c r="BM32" s="418">
        <f>BM10/BN34</f>
        <v>2.0577586855214944</v>
      </c>
      <c r="BN32" s="418">
        <f>BN10/BO34</f>
        <v>2.3320530115558045</v>
      </c>
      <c r="BO32" s="419"/>
      <c r="BP32" s="419"/>
      <c r="BQ32" s="419"/>
      <c r="BR32" s="419"/>
      <c r="BS32" s="419"/>
      <c r="BT32" s="419"/>
      <c r="BU32" s="54"/>
      <c r="BV32" s="286">
        <v>0</v>
      </c>
      <c r="BW32" s="286">
        <v>0</v>
      </c>
      <c r="BX32" s="286">
        <v>0</v>
      </c>
      <c r="BY32" s="418">
        <v>0</v>
      </c>
      <c r="BZ32" s="418">
        <v>0</v>
      </c>
      <c r="CA32" s="418">
        <v>0</v>
      </c>
      <c r="CB32" s="418">
        <v>0</v>
      </c>
      <c r="CC32" s="418">
        <v>0</v>
      </c>
      <c r="CD32" s="418">
        <v>0</v>
      </c>
      <c r="CE32" s="418">
        <v>0</v>
      </c>
      <c r="CF32" s="418">
        <v>0</v>
      </c>
      <c r="CG32" s="419"/>
      <c r="CH32" s="419"/>
      <c r="CJ32" s="286">
        <v>0</v>
      </c>
      <c r="CK32" s="286">
        <v>0</v>
      </c>
      <c r="CL32" s="286">
        <v>0</v>
      </c>
      <c r="CM32" s="418">
        <v>0</v>
      </c>
      <c r="CN32" s="418">
        <v>0</v>
      </c>
      <c r="CO32" s="418">
        <v>0</v>
      </c>
      <c r="CP32" s="418">
        <v>0</v>
      </c>
      <c r="CQ32" s="418">
        <v>0</v>
      </c>
      <c r="CR32" s="418">
        <v>0</v>
      </c>
      <c r="CS32" s="418">
        <v>0</v>
      </c>
      <c r="CT32" s="418">
        <v>0</v>
      </c>
      <c r="CU32" s="419"/>
      <c r="CV32" s="419"/>
      <c r="CW32" s="758"/>
      <c r="CX32" s="877">
        <v>0</v>
      </c>
      <c r="CY32" s="877">
        <v>0</v>
      </c>
      <c r="CZ32" s="877">
        <v>0</v>
      </c>
      <c r="DA32" s="878">
        <v>0</v>
      </c>
      <c r="DB32" s="878">
        <v>0</v>
      </c>
      <c r="DC32" s="878">
        <v>0</v>
      </c>
      <c r="DD32" s="878">
        <v>0</v>
      </c>
      <c r="DE32" s="878">
        <v>0</v>
      </c>
      <c r="DF32" s="878">
        <v>0</v>
      </c>
      <c r="DG32" s="878">
        <v>0</v>
      </c>
      <c r="DH32" s="878">
        <v>0</v>
      </c>
      <c r="DI32" s="879"/>
      <c r="DJ32" s="419"/>
      <c r="DK32" s="948"/>
      <c r="DL32" s="877">
        <v>0</v>
      </c>
      <c r="DM32" s="877">
        <v>0</v>
      </c>
      <c r="DN32" s="877">
        <v>0</v>
      </c>
      <c r="DO32" s="878">
        <v>0</v>
      </c>
      <c r="DP32" s="878">
        <v>0</v>
      </c>
      <c r="DQ32" s="878">
        <v>0</v>
      </c>
      <c r="DR32" s="878">
        <v>0</v>
      </c>
      <c r="DS32" s="878">
        <v>0</v>
      </c>
      <c r="DT32" s="878">
        <v>0</v>
      </c>
      <c r="DU32" s="878">
        <v>0</v>
      </c>
      <c r="DV32" s="878">
        <v>0</v>
      </c>
      <c r="DW32" s="879"/>
      <c r="DX32" s="419"/>
    </row>
    <row r="33" spans="1:129" ht="18.75" hidden="1">
      <c r="A33" s="29"/>
      <c r="B33" s="906" t="s">
        <v>41</v>
      </c>
      <c r="C33" s="907"/>
      <c r="D33" s="274">
        <f>D10-D24</f>
        <v>270670</v>
      </c>
      <c r="E33" s="30">
        <f>E10-E24</f>
        <v>282709</v>
      </c>
      <c r="F33" s="30">
        <f>F10-F24</f>
        <v>285223</v>
      </c>
      <c r="G33" s="30">
        <f>G10-G24</f>
        <v>287349</v>
      </c>
      <c r="H33" s="30">
        <f>H10-H24</f>
        <v>313961</v>
      </c>
      <c r="I33" s="30">
        <f>I10-I24</f>
        <v>362411</v>
      </c>
      <c r="J33" s="30">
        <f>J10-J24</f>
        <v>413467</v>
      </c>
      <c r="K33" s="30">
        <f>K10-K24</f>
        <v>415958</v>
      </c>
      <c r="L33" s="30">
        <f>L10-L24</f>
        <v>416931</v>
      </c>
      <c r="M33" s="30">
        <f>M10-M24</f>
        <v>294116</v>
      </c>
      <c r="N33" s="30">
        <f>N10-N24</f>
        <v>0</v>
      </c>
      <c r="O33" s="30">
        <f>O10-O24</f>
        <v>188264</v>
      </c>
      <c r="P33" s="275"/>
      <c r="Q33" s="31"/>
      <c r="R33" s="274">
        <f>R10-R24</f>
        <v>247843</v>
      </c>
      <c r="S33" s="32">
        <f>S10-S24</f>
        <v>306756</v>
      </c>
      <c r="T33" s="32">
        <f>T10-T24</f>
        <v>277250</v>
      </c>
      <c r="U33" s="32">
        <f>U10-U24</f>
        <v>262131</v>
      </c>
      <c r="V33" s="32">
        <f>V10-V24</f>
        <v>171617</v>
      </c>
      <c r="W33" s="32">
        <f>W10-W24</f>
        <v>235875</v>
      </c>
      <c r="X33" s="32">
        <f>X10-X24</f>
        <v>354012</v>
      </c>
      <c r="Y33" s="32">
        <f>Y10-Y24</f>
        <v>355542</v>
      </c>
      <c r="Z33" s="32">
        <f>Z10-Z24</f>
        <v>349213</v>
      </c>
      <c r="AA33" s="32">
        <f>AA10-AA24</f>
        <v>269352</v>
      </c>
      <c r="AB33" s="32">
        <f>AB10-AB24</f>
        <v>170626</v>
      </c>
      <c r="AC33" s="32"/>
      <c r="AD33" s="276"/>
      <c r="AE33" s="17"/>
      <c r="AF33" s="32">
        <f>AF10-AF24</f>
        <v>246973</v>
      </c>
      <c r="AG33" s="32">
        <f>AG10-AG24</f>
        <v>281087</v>
      </c>
      <c r="AH33" s="32">
        <f>AH10-AH24</f>
        <v>386469</v>
      </c>
      <c r="AI33" s="32">
        <f>AI10-AI24</f>
        <v>379017</v>
      </c>
      <c r="AJ33" s="32">
        <f>AJ10-AJ24</f>
        <v>400777</v>
      </c>
      <c r="AK33" s="32">
        <f>AK10-AK24</f>
        <v>465623</v>
      </c>
      <c r="AL33" s="32">
        <f>AL10-AL24</f>
        <v>472149</v>
      </c>
      <c r="AM33" s="32">
        <f>AM10-AM24</f>
        <v>492339</v>
      </c>
      <c r="AN33" s="32">
        <f>AN10-AN24</f>
        <v>450428</v>
      </c>
      <c r="AO33" s="32">
        <f>AO10-AO24</f>
        <v>391441</v>
      </c>
      <c r="AP33" s="32">
        <f>AP10-AP24</f>
        <v>325482</v>
      </c>
      <c r="AQ33" s="32">
        <f>AQ10-AQ24</f>
        <v>321014</v>
      </c>
      <c r="AR33" s="32">
        <f>AQ33</f>
        <v>321014</v>
      </c>
      <c r="AS33" s="17"/>
      <c r="AT33" s="32">
        <f>AT10-AT24</f>
        <v>350303</v>
      </c>
      <c r="AU33" s="32">
        <f>AU10-AU24</f>
        <v>323931</v>
      </c>
      <c r="AV33" s="32">
        <f>AV10-AV24</f>
        <v>307980</v>
      </c>
      <c r="AW33" s="32">
        <f>AW10-AW24</f>
        <v>292777</v>
      </c>
      <c r="AX33" s="32">
        <f>AX10-AX24</f>
        <v>296754</v>
      </c>
      <c r="AY33" s="32">
        <f>AY10-AY24</f>
        <v>344037</v>
      </c>
      <c r="AZ33" s="32">
        <f>AZ10-AZ24</f>
        <v>367566</v>
      </c>
      <c r="BA33" s="32">
        <f>BA10-BA24</f>
        <v>372442</v>
      </c>
      <c r="BB33" s="32">
        <f>BB10-BB24</f>
        <v>375154</v>
      </c>
      <c r="BC33" s="32">
        <f>BC10-BC24</f>
        <v>340466</v>
      </c>
      <c r="BD33" s="32">
        <f>BD10-BD24</f>
        <v>314581</v>
      </c>
      <c r="BE33" s="32">
        <f>BE10-BE24</f>
        <v>253219</v>
      </c>
      <c r="BF33" s="32">
        <f>BE33</f>
        <v>253219</v>
      </c>
      <c r="BG33" s="17"/>
      <c r="BH33" s="32">
        <f>BH10-BH24</f>
        <v>307512</v>
      </c>
      <c r="BI33" s="32">
        <f>BI10-BI24</f>
        <v>302058</v>
      </c>
      <c r="BJ33" s="32">
        <f>BJ10-BJ24</f>
        <v>315841</v>
      </c>
      <c r="BK33" s="32">
        <f>BK10-BK24</f>
        <v>306027</v>
      </c>
      <c r="BL33" s="32">
        <f>BL10-BL24</f>
        <v>299077</v>
      </c>
      <c r="BM33" s="32">
        <f>BM10-BM24</f>
        <v>293121</v>
      </c>
      <c r="BN33" s="32">
        <f>BN10-BN24</f>
        <v>335286</v>
      </c>
      <c r="BO33" s="32">
        <f>BO10-BO24</f>
        <v>322561</v>
      </c>
      <c r="BP33" s="32">
        <f>BP10-BP24</f>
        <v>304307</v>
      </c>
      <c r="BQ33" s="32">
        <f>BQ10-BQ24</f>
        <v>280100</v>
      </c>
      <c r="BR33" s="32">
        <f>BR10-BR24</f>
        <v>215852</v>
      </c>
      <c r="BS33" s="32">
        <f>BS10-BS24</f>
        <v>188982</v>
      </c>
      <c r="BT33" s="32">
        <f>BS33</f>
        <v>188982</v>
      </c>
      <c r="BU33" s="28"/>
      <c r="BV33" s="32">
        <f>BV20-BV24-BV25</f>
        <v>146255</v>
      </c>
      <c r="BW33" s="32">
        <f>BW20-BW24-BW25</f>
        <v>155653</v>
      </c>
      <c r="BX33" s="32">
        <f>BX20-BX24-BX25</f>
        <v>86338</v>
      </c>
      <c r="BY33" s="32">
        <f>BY20-BY24-BY25</f>
        <v>106862</v>
      </c>
      <c r="BZ33" s="32">
        <f>BZ20-BZ24-BZ25</f>
        <v>112822</v>
      </c>
      <c r="CA33" s="32">
        <f>CA20-CA24-CA25</f>
        <v>149996</v>
      </c>
      <c r="CB33" s="32">
        <f>CB20-CB24-CB25</f>
        <v>145027</v>
      </c>
      <c r="CC33" s="32">
        <f>CC20-CC24-CC25</f>
        <v>102851</v>
      </c>
      <c r="CD33" s="32">
        <f>CD20-CD24-CD25</f>
        <v>116047</v>
      </c>
      <c r="CE33" s="32">
        <f>CE20-CE24-CE25</f>
        <v>86207</v>
      </c>
      <c r="CF33" s="32">
        <f>CF20-CF24-CF25</f>
        <v>109973</v>
      </c>
      <c r="CG33" s="32">
        <f>CG20-CG24-CG25</f>
        <v>94532</v>
      </c>
      <c r="CH33" s="32">
        <f>CH20-CH24-CH25</f>
        <v>94532</v>
      </c>
      <c r="CJ33" s="32">
        <f>CJ20-CJ24-CJ25</f>
        <v>78423</v>
      </c>
      <c r="CK33" s="32">
        <f>CK20-CK24-CK25</f>
        <v>78497</v>
      </c>
      <c r="CL33" s="32">
        <f>CL20-CL24-CL25</f>
        <v>75052</v>
      </c>
      <c r="CM33" s="32">
        <f>CM20-CM24-CM25</f>
        <v>121130</v>
      </c>
      <c r="CN33" s="32">
        <f>CN20-CN24-CN25</f>
        <v>175907.8879612374</v>
      </c>
      <c r="CO33" s="32">
        <f>CO20-CO24-CO25</f>
        <v>238961.73306000742</v>
      </c>
      <c r="CP33" s="32">
        <f>CP20-CP24-CP25</f>
        <v>271844.22259587242</v>
      </c>
      <c r="CQ33" s="32">
        <f>CQ20-CQ24-CQ25</f>
        <v>249838.52867182181</v>
      </c>
      <c r="CR33" s="32">
        <f>CR20-CR24-CR25</f>
        <v>201980.33782793995</v>
      </c>
      <c r="CS33" s="32">
        <f>CS20-CS24-CS25</f>
        <v>62966</v>
      </c>
      <c r="CT33" s="32">
        <f>CT20-CT24-CT25</f>
        <v>101848.14995780593</v>
      </c>
      <c r="CU33" s="32">
        <f>CU20-CU24-CU25</f>
        <v>111197.32717299581</v>
      </c>
      <c r="CV33" s="32">
        <v>116080.10690622788</v>
      </c>
      <c r="CW33" s="758"/>
      <c r="CX33" s="872">
        <v>242497</v>
      </c>
      <c r="CY33" s="872">
        <v>234422.08006563294</v>
      </c>
      <c r="CZ33" s="872">
        <v>194348.7132915963</v>
      </c>
      <c r="DA33" s="872">
        <v>223062.99421980139</v>
      </c>
      <c r="DB33" s="872">
        <v>228884.86858944659</v>
      </c>
      <c r="DC33" s="872">
        <v>240669.78918926936</v>
      </c>
      <c r="DD33" s="872">
        <v>234679.65868928705</v>
      </c>
      <c r="DE33" s="872">
        <v>197008.01236523816</v>
      </c>
      <c r="DF33" s="872">
        <v>148007.96159444697</v>
      </c>
      <c r="DG33" s="872">
        <v>111276.29521213027</v>
      </c>
      <c r="DH33" s="872">
        <v>93072.105643725808</v>
      </c>
      <c r="DI33" s="872">
        <v>116080.10690622788</v>
      </c>
      <c r="DJ33" s="32">
        <v>116080.10690622788</v>
      </c>
      <c r="DK33" s="948"/>
      <c r="DL33" s="872">
        <v>242497</v>
      </c>
      <c r="DM33" s="872">
        <v>234422.08006563294</v>
      </c>
      <c r="DN33" s="872">
        <v>194348.7132915963</v>
      </c>
      <c r="DO33" s="872">
        <v>223062.99421980139</v>
      </c>
      <c r="DP33" s="872">
        <v>228884.86858944659</v>
      </c>
      <c r="DQ33" s="872">
        <v>240669.78918926936</v>
      </c>
      <c r="DR33" s="872">
        <v>234679.65868928705</v>
      </c>
      <c r="DS33" s="872">
        <v>197008.01236523816</v>
      </c>
      <c r="DT33" s="872">
        <v>148007.96159444697</v>
      </c>
      <c r="DU33" s="872">
        <v>111276.29521213027</v>
      </c>
      <c r="DV33" s="872">
        <v>93072.105643725808</v>
      </c>
      <c r="DW33" s="872">
        <v>116080.10690622788</v>
      </c>
      <c r="DX33" s="32">
        <v>116080.10690622788</v>
      </c>
    </row>
    <row r="34" spans="1:129" s="594" customFormat="1" ht="18.75">
      <c r="A34" s="1005">
        <v>6</v>
      </c>
      <c r="B34" s="958" t="s">
        <v>49</v>
      </c>
      <c r="C34" s="959"/>
      <c r="D34" s="960">
        <f t="shared" ref="D34:P34" si="45">SUM(D38:D61)</f>
        <v>82250</v>
      </c>
      <c r="E34" s="961">
        <f t="shared" si="45"/>
        <v>117000</v>
      </c>
      <c r="F34" s="961">
        <f t="shared" si="45"/>
        <v>121750</v>
      </c>
      <c r="G34" s="961">
        <f t="shared" si="45"/>
        <v>150000</v>
      </c>
      <c r="H34" s="961">
        <f t="shared" si="45"/>
        <v>99500</v>
      </c>
      <c r="I34" s="961">
        <f t="shared" si="45"/>
        <v>102000</v>
      </c>
      <c r="J34" s="961">
        <f t="shared" si="45"/>
        <v>177632</v>
      </c>
      <c r="K34" s="961">
        <f t="shared" si="45"/>
        <v>178158</v>
      </c>
      <c r="L34" s="961">
        <f t="shared" si="45"/>
        <v>199211</v>
      </c>
      <c r="M34" s="961">
        <f t="shared" si="45"/>
        <v>229474</v>
      </c>
      <c r="N34" s="961">
        <f t="shared" si="45"/>
        <v>122368</v>
      </c>
      <c r="O34" s="961">
        <f t="shared" si="45"/>
        <v>38421</v>
      </c>
      <c r="P34" s="962">
        <f t="shared" si="45"/>
        <v>1617764</v>
      </c>
      <c r="Q34" s="963"/>
      <c r="R34" s="960">
        <f t="shared" ref="R34:AC34" si="46">R38+R62</f>
        <v>136177.33998294926</v>
      </c>
      <c r="S34" s="964">
        <f t="shared" si="46"/>
        <v>143840.32639116928</v>
      </c>
      <c r="T34" s="964">
        <f t="shared" si="46"/>
        <v>142553.77192982455</v>
      </c>
      <c r="U34" s="964">
        <f t="shared" si="46"/>
        <v>19814.899999999998</v>
      </c>
      <c r="V34" s="964">
        <f t="shared" si="46"/>
        <v>52085</v>
      </c>
      <c r="W34" s="965">
        <f t="shared" si="46"/>
        <v>70169.381950239796</v>
      </c>
      <c r="X34" s="965">
        <f t="shared" si="46"/>
        <v>144463.33333333299</v>
      </c>
      <c r="Y34" s="965">
        <f t="shared" si="46"/>
        <v>226547.08333333331</v>
      </c>
      <c r="Z34" s="965">
        <f t="shared" si="46"/>
        <v>273187.5</v>
      </c>
      <c r="AA34" s="965">
        <f t="shared" si="46"/>
        <v>172100</v>
      </c>
      <c r="AB34" s="965">
        <f t="shared" si="46"/>
        <v>37500</v>
      </c>
      <c r="AC34" s="965">
        <f t="shared" si="46"/>
        <v>0</v>
      </c>
      <c r="AD34" s="966">
        <f>SUM(R34:AC34)</f>
        <v>1418438.6369208493</v>
      </c>
      <c r="AE34" s="967"/>
      <c r="AF34" s="599">
        <f>AF38+AF62</f>
        <v>128646</v>
      </c>
      <c r="AG34" s="964">
        <f t="shared" ref="AG34:AQ34" si="47">AG38+AG62</f>
        <v>177977</v>
      </c>
      <c r="AH34" s="964">
        <f t="shared" si="47"/>
        <v>73624</v>
      </c>
      <c r="AI34" s="964">
        <f t="shared" si="47"/>
        <v>89358</v>
      </c>
      <c r="AJ34" s="964">
        <f t="shared" si="47"/>
        <v>122134</v>
      </c>
      <c r="AK34" s="964">
        <f t="shared" si="47"/>
        <v>148560</v>
      </c>
      <c r="AL34" s="964">
        <f t="shared" si="47"/>
        <v>151995</v>
      </c>
      <c r="AM34" s="964">
        <f t="shared" si="47"/>
        <v>238903</v>
      </c>
      <c r="AN34" s="964">
        <f t="shared" si="47"/>
        <v>261133.33333333334</v>
      </c>
      <c r="AO34" s="964">
        <f t="shared" si="47"/>
        <v>255900</v>
      </c>
      <c r="AP34" s="964">
        <f t="shared" si="47"/>
        <v>128640</v>
      </c>
      <c r="AQ34" s="964">
        <f t="shared" si="47"/>
        <v>97840</v>
      </c>
      <c r="AR34" s="964">
        <f>SUM(AF34:AQ34)</f>
        <v>1874710.3333333333</v>
      </c>
      <c r="AS34" s="967"/>
      <c r="AT34" s="964">
        <f t="shared" ref="AT34:BD34" si="48">AT38+AT62</f>
        <v>152749.25</v>
      </c>
      <c r="AU34" s="964">
        <f t="shared" si="48"/>
        <v>168522.10344827586</v>
      </c>
      <c r="AV34" s="964">
        <f t="shared" si="48"/>
        <v>154121.13793103449</v>
      </c>
      <c r="AW34" s="964">
        <f t="shared" si="48"/>
        <v>159595.13793103449</v>
      </c>
      <c r="AX34" s="964">
        <f t="shared" si="48"/>
        <v>120099.96551724138</v>
      </c>
      <c r="AY34" s="964">
        <f t="shared" si="48"/>
        <v>138343.77777777778</v>
      </c>
      <c r="AZ34" s="964">
        <f t="shared" si="48"/>
        <v>166673.77777777778</v>
      </c>
      <c r="BA34" s="964">
        <f t="shared" si="48"/>
        <v>242442.29629629629</v>
      </c>
      <c r="BB34" s="964">
        <f t="shared" si="48"/>
        <v>243407.77777777778</v>
      </c>
      <c r="BC34" s="964">
        <f t="shared" si="48"/>
        <v>253368.29075565783</v>
      </c>
      <c r="BD34" s="964">
        <f t="shared" si="48"/>
        <v>134555.58688147296</v>
      </c>
      <c r="BE34" s="964">
        <f>BE38+BE63</f>
        <v>72686.612965093984</v>
      </c>
      <c r="BF34" s="964">
        <f t="shared" ref="BF34:BF36" si="49">SUM(AT34:BE34)</f>
        <v>2006565.7150594404</v>
      </c>
      <c r="BG34" s="967">
        <f>BF34-AR34</f>
        <v>131855.38172610709</v>
      </c>
      <c r="BH34" s="964">
        <f>BH35+BH62</f>
        <v>152753</v>
      </c>
      <c r="BI34" s="964">
        <f t="shared" ref="BI34:BN34" si="50">BI35+BI62</f>
        <v>146822.33333333331</v>
      </c>
      <c r="BJ34" s="964">
        <f t="shared" si="50"/>
        <v>171546.07407407407</v>
      </c>
      <c r="BK34" s="964">
        <f t="shared" si="50"/>
        <v>159771.74074074073</v>
      </c>
      <c r="BL34" s="964">
        <f t="shared" si="50"/>
        <v>132496.85185185185</v>
      </c>
      <c r="BM34" s="964">
        <f t="shared" si="50"/>
        <v>129906.25925925926</v>
      </c>
      <c r="BN34" s="964">
        <f t="shared" si="50"/>
        <v>171383.55555555556</v>
      </c>
      <c r="BO34" s="964">
        <f>BO35+BO63</f>
        <v>179550.37811111109</v>
      </c>
      <c r="BP34" s="964">
        <f>BP35+BP63</f>
        <v>202053.74953703705</v>
      </c>
      <c r="BQ34" s="964">
        <f>BQ35+BQ63</f>
        <v>163865</v>
      </c>
      <c r="BR34" s="964">
        <f>BR35+BR63</f>
        <v>175620.6</v>
      </c>
      <c r="BS34" s="964">
        <v>92285.6</v>
      </c>
      <c r="BT34" s="964">
        <f t="shared" ref="BT34:BT36" si="51">SUM(BH34:BS34)</f>
        <v>1878055.142462963</v>
      </c>
      <c r="BU34" s="968"/>
      <c r="BV34" s="964">
        <f>BV38+(BV63)*$CI$34</f>
        <v>161157.867486095</v>
      </c>
      <c r="BW34" s="964">
        <f t="shared" ref="BW34:CG34" si="52">BW38+(BW63)*$CI$34</f>
        <v>155966.83045180296</v>
      </c>
      <c r="BX34" s="964">
        <f>BX38+(BX63)*$CI$34</f>
        <v>196111.53846153844</v>
      </c>
      <c r="BY34" s="964">
        <f t="shared" si="52"/>
        <v>159169.23076923078</v>
      </c>
      <c r="BZ34" s="964">
        <f>BZ38+(BZ63)*$CI$34</f>
        <v>151482.39341785663</v>
      </c>
      <c r="CA34" s="964">
        <f t="shared" si="52"/>
        <v>141442.12910096842</v>
      </c>
      <c r="CB34" s="964">
        <f>CB38+(CB63)*$CI$34</f>
        <v>176986.21444761599</v>
      </c>
      <c r="CC34" s="964">
        <f t="shared" si="52"/>
        <v>201301.08944885107</v>
      </c>
      <c r="CD34" s="964">
        <f t="shared" si="52"/>
        <v>212833.04013559342</v>
      </c>
      <c r="CE34" s="964">
        <f t="shared" si="52"/>
        <v>215922.30386211892</v>
      </c>
      <c r="CF34" s="964">
        <f>CF38+(CF63)*$CI$34</f>
        <v>171115.84223630186</v>
      </c>
      <c r="CG34" s="964">
        <f t="shared" si="52"/>
        <v>87483.816691710366</v>
      </c>
      <c r="CH34" s="964">
        <f t="shared" ref="CH34:CH35" si="53">SUM(BV34:CG34)</f>
        <v>2030972.2965096838</v>
      </c>
      <c r="CI34" s="969">
        <v>0.95</v>
      </c>
      <c r="CJ34" s="964">
        <f>CJ38+CJ72</f>
        <v>157916.36697726426</v>
      </c>
      <c r="CK34" s="964">
        <f t="shared" ref="CK34:CU34" si="54">CK38+CK72</f>
        <v>174843.65981364145</v>
      </c>
      <c r="CL34" s="964">
        <f t="shared" si="54"/>
        <v>166692.33329854641</v>
      </c>
      <c r="CM34" s="964">
        <f t="shared" si="54"/>
        <v>165624.1587774879</v>
      </c>
      <c r="CN34" s="964">
        <f>CN38+CN72</f>
        <v>167851.1120387626</v>
      </c>
      <c r="CO34" s="964">
        <f>CO38+CO72</f>
        <v>134946.15490122998</v>
      </c>
      <c r="CP34" s="964">
        <f t="shared" si="54"/>
        <v>212117.51046413503</v>
      </c>
      <c r="CQ34" s="964">
        <f t="shared" si="54"/>
        <v>229905.6939240506</v>
      </c>
      <c r="CR34" s="964">
        <f t="shared" si="54"/>
        <v>265658.19084388186</v>
      </c>
      <c r="CS34" s="964">
        <f>CS38+CS72</f>
        <v>250292.95105485231</v>
      </c>
      <c r="CT34" s="964">
        <f>CT38+CT72</f>
        <v>173363.6010970464</v>
      </c>
      <c r="CU34" s="964">
        <f>CU38+CU72</f>
        <v>96311.392405063292</v>
      </c>
      <c r="CV34" s="964">
        <f>SUM(CJ34:CU34)</f>
        <v>2195523.1255959622</v>
      </c>
      <c r="CW34" s="954"/>
      <c r="CX34" s="964">
        <v>190000</v>
      </c>
      <c r="CY34" s="964">
        <v>145000</v>
      </c>
      <c r="CZ34" s="964">
        <f>CZ38+CZ72</f>
        <v>180000</v>
      </c>
      <c r="DA34" s="964">
        <v>116000</v>
      </c>
      <c r="DB34" s="964">
        <f t="shared" ref="DB34:DK34" si="55">DB38+DB72</f>
        <v>174950.25000000003</v>
      </c>
      <c r="DC34" s="964">
        <f t="shared" si="55"/>
        <v>130837.28000000001</v>
      </c>
      <c r="DD34" s="964">
        <f t="shared" si="55"/>
        <v>213451.28000000006</v>
      </c>
      <c r="DE34" s="964">
        <f>DE38+DE72</f>
        <v>225964.96000000002</v>
      </c>
      <c r="DF34" s="964">
        <f t="shared" si="55"/>
        <v>295683.14</v>
      </c>
      <c r="DG34" s="964">
        <f>DG38+DG72</f>
        <v>280435.06033755274</v>
      </c>
      <c r="DH34" s="964">
        <f t="shared" si="55"/>
        <v>190996.78675105487</v>
      </c>
      <c r="DI34" s="964">
        <f t="shared" si="55"/>
        <v>107612.44556962026</v>
      </c>
      <c r="DJ34" s="964">
        <f>SUM(DA34:DI34)</f>
        <v>1735931.2026582281</v>
      </c>
      <c r="DK34" s="948"/>
      <c r="DL34" s="957">
        <f>DL38+DL72</f>
        <v>216120.00000000003</v>
      </c>
      <c r="DM34" s="957">
        <f>DM38+DM72</f>
        <v>161330</v>
      </c>
      <c r="DN34" s="957">
        <f t="shared" ref="DN34:DW34" si="56">DN38+DN72</f>
        <v>196320</v>
      </c>
      <c r="DO34" s="957">
        <f t="shared" si="56"/>
        <v>193062.04300000006</v>
      </c>
      <c r="DP34" s="957">
        <f t="shared" si="56"/>
        <v>190236.13100000002</v>
      </c>
      <c r="DQ34" s="957">
        <f t="shared" si="56"/>
        <v>141711.86400000003</v>
      </c>
      <c r="DR34" s="957">
        <f t="shared" si="56"/>
        <v>232660.95020000008</v>
      </c>
      <c r="DS34" s="957">
        <f t="shared" si="56"/>
        <v>246421.09540000002</v>
      </c>
      <c r="DT34" s="957">
        <f t="shared" si="56"/>
        <v>323088.95870000008</v>
      </c>
      <c r="DU34" s="957">
        <f t="shared" si="56"/>
        <v>306204.53237130807</v>
      </c>
      <c r="DV34" s="957">
        <f t="shared" si="56"/>
        <v>207350.46482616037</v>
      </c>
      <c r="DW34" s="957">
        <f t="shared" si="56"/>
        <v>115223.69012658228</v>
      </c>
      <c r="DX34" s="730">
        <f>SUM(DL34:DW34)</f>
        <v>2529729.7296240516</v>
      </c>
      <c r="DY34" s="1006">
        <f>DX34-DJ34</f>
        <v>793798.52696582349</v>
      </c>
    </row>
    <row r="35" spans="1:129" ht="18.75" hidden="1">
      <c r="A35" s="61"/>
      <c r="B35" s="914" t="s">
        <v>51</v>
      </c>
      <c r="C35" s="915"/>
      <c r="D35" s="294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295"/>
      <c r="Q35" s="64"/>
      <c r="R35" s="294"/>
      <c r="S35" s="65"/>
      <c r="T35" s="65"/>
      <c r="U35" s="65"/>
      <c r="V35" s="296"/>
      <c r="W35" s="297"/>
      <c r="X35" s="297"/>
      <c r="Y35" s="297"/>
      <c r="Z35" s="297"/>
      <c r="AA35" s="297"/>
      <c r="AB35" s="297"/>
      <c r="AC35" s="66"/>
      <c r="AD35" s="67"/>
      <c r="AE35" s="68"/>
      <c r="AF35" s="298"/>
      <c r="AG35" s="65"/>
      <c r="AH35" s="65"/>
      <c r="AI35" s="65"/>
      <c r="AJ35" s="296"/>
      <c r="AK35" s="296"/>
      <c r="AL35" s="296"/>
      <c r="AM35" s="296"/>
      <c r="AN35" s="65"/>
      <c r="AO35" s="65"/>
      <c r="AP35" s="65"/>
      <c r="AQ35" s="65"/>
      <c r="AR35" s="299"/>
      <c r="AS35" s="68"/>
      <c r="AT35" s="65"/>
      <c r="AU35" s="65"/>
      <c r="AV35" s="65"/>
      <c r="AW35" s="65"/>
      <c r="AX35" s="65"/>
      <c r="AY35" s="69">
        <f t="shared" ref="AY35:BA35" si="57">AY38+AY63</f>
        <v>119777.77777777778</v>
      </c>
      <c r="AZ35" s="69">
        <f t="shared" si="57"/>
        <v>150777.77777777778</v>
      </c>
      <c r="BA35" s="69">
        <f t="shared" si="57"/>
        <v>233098.4962962963</v>
      </c>
      <c r="BB35" s="69">
        <f>BB36/BB37</f>
        <v>210777.77777777778</v>
      </c>
      <c r="BC35" s="69">
        <f>BC38+BC63</f>
        <v>249806.29075565783</v>
      </c>
      <c r="BD35" s="69">
        <f t="shared" ref="BD35:BE35" si="58">BD38+BD63*0.85</f>
        <v>122960.58688147296</v>
      </c>
      <c r="BE35" s="69">
        <f t="shared" si="58"/>
        <v>66386.612965093984</v>
      </c>
      <c r="BF35" s="69">
        <f t="shared" si="49"/>
        <v>1153585.3202318544</v>
      </c>
      <c r="BG35" s="68"/>
      <c r="BH35" s="69">
        <f>BH36/BH37-0.1*BH36/BH37</f>
        <v>116600</v>
      </c>
      <c r="BI35" s="69">
        <f t="shared" ref="BI35" si="59">BI36/BI37-0.1*BI36/BI37</f>
        <v>111533.33333333333</v>
      </c>
      <c r="BJ35" s="69">
        <f t="shared" ref="BJ35:BP35" si="60">BJ36/BJ37-0.05*BJ36/BJ37</f>
        <v>135674.07407407407</v>
      </c>
      <c r="BK35" s="69">
        <f t="shared" si="60"/>
        <v>121740.74074074074</v>
      </c>
      <c r="BL35" s="69">
        <f t="shared" si="60"/>
        <v>93926.851851851854</v>
      </c>
      <c r="BM35" s="69">
        <f t="shared" si="60"/>
        <v>90679.259259259255</v>
      </c>
      <c r="BN35" s="69">
        <f t="shared" si="60"/>
        <v>130255.55555555556</v>
      </c>
      <c r="BO35" s="69">
        <f t="shared" si="60"/>
        <v>150550.37811111109</v>
      </c>
      <c r="BP35" s="69">
        <f t="shared" si="60"/>
        <v>161830.74953703705</v>
      </c>
      <c r="BQ35" s="69">
        <v>127130</v>
      </c>
      <c r="BR35" s="69">
        <v>138687.6</v>
      </c>
      <c r="BS35" s="69">
        <v>43639.199999999997</v>
      </c>
      <c r="BT35" s="69">
        <f t="shared" si="51"/>
        <v>1422247.7424629631</v>
      </c>
      <c r="BU35" s="54"/>
      <c r="BV35" s="69">
        <f>BV38+BV62</f>
        <v>166555.77995873816</v>
      </c>
      <c r="BW35" s="69">
        <f>BW38+BW62</f>
        <v>152835.36924465047</v>
      </c>
      <c r="BX35" s="69">
        <f t="shared" ref="BX35:CG35" si="61">BX38+BX62</f>
        <v>195319.2072937729</v>
      </c>
      <c r="BY35" s="69">
        <f t="shared" si="61"/>
        <v>158396.18906207831</v>
      </c>
      <c r="BZ35" s="69">
        <f t="shared" si="61"/>
        <v>152371.51475009107</v>
      </c>
      <c r="CA35" s="69">
        <f t="shared" si="61"/>
        <v>147696.01107361159</v>
      </c>
      <c r="CB35" s="69">
        <f t="shared" si="61"/>
        <v>189465.0513586243</v>
      </c>
      <c r="CC35" s="69">
        <f t="shared" si="61"/>
        <v>202914.10079748323</v>
      </c>
      <c r="CD35" s="69">
        <f t="shared" si="61"/>
        <v>214499.61628422557</v>
      </c>
      <c r="CE35" s="69">
        <f t="shared" si="61"/>
        <v>217682.99793575107</v>
      </c>
      <c r="CF35" s="69">
        <f t="shared" si="61"/>
        <v>179284.72030485788</v>
      </c>
      <c r="CG35" s="69">
        <f t="shared" si="61"/>
        <v>88389.319383536102</v>
      </c>
      <c r="CH35" s="69">
        <f t="shared" si="53"/>
        <v>2065409.8774474205</v>
      </c>
      <c r="CI35" s="395">
        <f>(CH35-BT69)/BT69</f>
        <v>0.48621753003500767</v>
      </c>
      <c r="CJ35" s="69"/>
      <c r="CK35" s="69"/>
      <c r="CL35" s="69"/>
      <c r="CM35" s="69"/>
      <c r="CN35" s="69"/>
      <c r="CO35" s="69"/>
      <c r="CP35" s="69"/>
      <c r="CQ35" s="69"/>
      <c r="CR35" s="69"/>
      <c r="CS35" s="69"/>
      <c r="CT35" s="69"/>
      <c r="CU35" s="69"/>
      <c r="CV35" s="69"/>
      <c r="CW35" s="758"/>
      <c r="CX35" s="881">
        <v>166555.77995873816</v>
      </c>
      <c r="CY35" s="881">
        <v>152835.36924465047</v>
      </c>
      <c r="CZ35" s="881">
        <v>195319.2072937729</v>
      </c>
      <c r="DA35" s="881">
        <v>158396.18906207831</v>
      </c>
      <c r="DB35" s="881">
        <v>152371.51475009107</v>
      </c>
      <c r="DC35" s="881">
        <v>147696.01107361159</v>
      </c>
      <c r="DD35" s="881">
        <v>189465.0513586243</v>
      </c>
      <c r="DE35" s="881">
        <v>202914.10079748323</v>
      </c>
      <c r="DF35" s="881">
        <v>214499.61628422557</v>
      </c>
      <c r="DG35" s="881">
        <v>217682.99793575107</v>
      </c>
      <c r="DH35" s="881">
        <v>179284.72030485788</v>
      </c>
      <c r="DI35" s="881">
        <v>88389.319383536102</v>
      </c>
      <c r="DJ35" s="69">
        <v>2065409.8774474205</v>
      </c>
      <c r="DK35" s="948"/>
      <c r="DL35" s="881">
        <f>DL110*1.1</f>
        <v>183211.357954612</v>
      </c>
      <c r="DM35" s="881">
        <f t="shared" ref="DM35:DX35" si="62">DM110*1.1</f>
        <v>168118.90616911554</v>
      </c>
      <c r="DN35" s="881">
        <f t="shared" si="62"/>
        <v>214851.1280231502</v>
      </c>
      <c r="DO35" s="881">
        <f t="shared" si="62"/>
        <v>174235.80796828616</v>
      </c>
      <c r="DP35" s="881">
        <f t="shared" si="62"/>
        <v>167608.6662251002</v>
      </c>
      <c r="DQ35" s="881">
        <f t="shared" si="62"/>
        <v>162465.61218097276</v>
      </c>
      <c r="DR35" s="881">
        <f t="shared" si="62"/>
        <v>208411.55649448675</v>
      </c>
      <c r="DS35" s="881">
        <f t="shared" si="62"/>
        <v>223205.51087723157</v>
      </c>
      <c r="DT35" s="881">
        <f t="shared" si="62"/>
        <v>235949.57791264815</v>
      </c>
      <c r="DU35" s="881">
        <f t="shared" si="62"/>
        <v>239451.29772932621</v>
      </c>
      <c r="DV35" s="881">
        <f t="shared" si="62"/>
        <v>197213.19233534369</v>
      </c>
      <c r="DW35" s="881">
        <f t="shared" si="62"/>
        <v>97228.251321889722</v>
      </c>
      <c r="DX35" s="881">
        <f t="shared" si="62"/>
        <v>2271950.8651921628</v>
      </c>
    </row>
    <row r="36" spans="1:129" ht="18.75" hidden="1">
      <c r="A36" s="61"/>
      <c r="B36" s="914" t="s">
        <v>52</v>
      </c>
      <c r="C36" s="915"/>
      <c r="D36" s="294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295"/>
      <c r="Q36" s="64"/>
      <c r="R36" s="294"/>
      <c r="S36" s="65"/>
      <c r="T36" s="65"/>
      <c r="U36" s="65"/>
      <c r="V36" s="296"/>
      <c r="W36" s="297"/>
      <c r="X36" s="297"/>
      <c r="Y36" s="297"/>
      <c r="Z36" s="297"/>
      <c r="AA36" s="297"/>
      <c r="AB36" s="297"/>
      <c r="AC36" s="66"/>
      <c r="AD36" s="67"/>
      <c r="AE36" s="68"/>
      <c r="AF36" s="298"/>
      <c r="AG36" s="65"/>
      <c r="AH36" s="65" t="s">
        <v>53</v>
      </c>
      <c r="AI36" s="65"/>
      <c r="AJ36" s="296"/>
      <c r="AK36" s="296"/>
      <c r="AL36" s="296"/>
      <c r="AM36" s="296"/>
      <c r="AN36" s="65">
        <v>6715000</v>
      </c>
      <c r="AO36" s="65">
        <v>6555000</v>
      </c>
      <c r="AP36" s="65">
        <v>2640000</v>
      </c>
      <c r="AQ36" s="65">
        <v>1302000</v>
      </c>
      <c r="AR36" s="299"/>
      <c r="AS36" s="68"/>
      <c r="AT36" s="65">
        <v>3264695</v>
      </c>
      <c r="AU36" s="65">
        <v>3863760</v>
      </c>
      <c r="AV36" s="65">
        <v>3429225</v>
      </c>
      <c r="AW36" s="65">
        <v>3525360</v>
      </c>
      <c r="AX36" s="65">
        <v>2509485</v>
      </c>
      <c r="AY36" s="65">
        <v>2829000</v>
      </c>
      <c r="AZ36" s="65">
        <v>3666000</v>
      </c>
      <c r="BA36" s="65">
        <v>5705000</v>
      </c>
      <c r="BB36" s="65">
        <v>5691000</v>
      </c>
      <c r="BC36" s="65">
        <v>5600000</v>
      </c>
      <c r="BD36" s="65">
        <v>2430000</v>
      </c>
      <c r="BE36" s="65">
        <v>800000</v>
      </c>
      <c r="BF36" s="69">
        <f t="shared" si="49"/>
        <v>43313525</v>
      </c>
      <c r="BG36" s="68"/>
      <c r="BH36" s="70">
        <v>3498000</v>
      </c>
      <c r="BI36" s="70">
        <v>3346000</v>
      </c>
      <c r="BJ36" s="70">
        <v>3856000</v>
      </c>
      <c r="BK36" s="70">
        <v>3460000</v>
      </c>
      <c r="BL36" s="70">
        <v>2669500</v>
      </c>
      <c r="BM36" s="70">
        <v>2577200</v>
      </c>
      <c r="BN36" s="70">
        <v>3702000</v>
      </c>
      <c r="BO36" s="70">
        <v>4278800.22</v>
      </c>
      <c r="BP36" s="70">
        <v>4599400.25</v>
      </c>
      <c r="BQ36" s="70">
        <f>BQ35*BQ37</f>
        <v>3432510</v>
      </c>
      <c r="BR36" s="70">
        <v>2954493.21</v>
      </c>
      <c r="BS36" s="70">
        <v>984831.07</v>
      </c>
      <c r="BT36" s="65">
        <f t="shared" si="51"/>
        <v>39358734.75</v>
      </c>
      <c r="BU36" s="54"/>
      <c r="BV36" s="70">
        <f>BV37*BV38</f>
        <v>3399704.5546384701</v>
      </c>
      <c r="BW36" s="70">
        <f t="shared" ref="BW36:CG36" si="63">BW37*BW38</f>
        <v>3264737.5917468769</v>
      </c>
      <c r="BX36" s="70">
        <f t="shared" si="63"/>
        <v>4184999.9999999995</v>
      </c>
      <c r="BY36" s="70">
        <f t="shared" si="63"/>
        <v>3348000.0000000005</v>
      </c>
      <c r="BZ36" s="70">
        <f t="shared" si="63"/>
        <v>3074042.2288642721</v>
      </c>
      <c r="CA36" s="70">
        <f t="shared" si="63"/>
        <v>2812995.3566251793</v>
      </c>
      <c r="CB36" s="70">
        <f t="shared" si="63"/>
        <v>3737141.5756380158</v>
      </c>
      <c r="CC36" s="70">
        <f t="shared" si="63"/>
        <v>4437000.7194458414</v>
      </c>
      <c r="CD36" s="70">
        <f t="shared" si="63"/>
        <v>4710370.4261011425</v>
      </c>
      <c r="CE36" s="70">
        <f t="shared" si="63"/>
        <v>4744197.0280408058</v>
      </c>
      <c r="CF36" s="70">
        <f t="shared" si="63"/>
        <v>3461011.8981438484</v>
      </c>
      <c r="CG36" s="70">
        <f t="shared" si="63"/>
        <v>792579.23398446955</v>
      </c>
      <c r="CH36" s="65">
        <f>SUM(BV36:CG36)</f>
        <v>41966780.613228925</v>
      </c>
      <c r="CJ36" s="70">
        <v>3470304</v>
      </c>
      <c r="CK36" s="70">
        <v>4047936</v>
      </c>
      <c r="CL36" s="70">
        <v>3793200</v>
      </c>
      <c r="CM36" s="70">
        <v>3664392</v>
      </c>
      <c r="CN36" s="70">
        <v>3656712</v>
      </c>
      <c r="CO36" s="70">
        <v>2773872</v>
      </c>
      <c r="CP36" s="70">
        <v>5165016</v>
      </c>
      <c r="CQ36" s="70">
        <v>5668920</v>
      </c>
      <c r="CR36" s="70">
        <v>6676728</v>
      </c>
      <c r="CS36" s="70">
        <v>6194424</v>
      </c>
      <c r="CT36" s="70">
        <v>3814800</v>
      </c>
      <c r="CU36" s="70">
        <v>1459296</v>
      </c>
      <c r="CV36" s="70">
        <f>SUM(CJ36:CU36)</f>
        <v>50385600</v>
      </c>
      <c r="CW36" s="758"/>
      <c r="CX36" s="882">
        <v>3399704.5546384701</v>
      </c>
      <c r="CY36" s="882">
        <v>3264737.5917468769</v>
      </c>
      <c r="CZ36" s="882">
        <v>4184999.9999999995</v>
      </c>
      <c r="DA36" s="882">
        <v>3348000.0000000005</v>
      </c>
      <c r="DB36" s="882">
        <v>3074042.2288642721</v>
      </c>
      <c r="DC36" s="882">
        <v>2812995.3566251793</v>
      </c>
      <c r="DD36" s="882">
        <v>3737141.5756380158</v>
      </c>
      <c r="DE36" s="882">
        <v>4437000.7194458414</v>
      </c>
      <c r="DF36" s="882">
        <v>4710370.4261011425</v>
      </c>
      <c r="DG36" s="882">
        <v>4744197.0280408058</v>
      </c>
      <c r="DH36" s="882">
        <v>3461011.8981438484</v>
      </c>
      <c r="DI36" s="882">
        <v>792579.23398446955</v>
      </c>
      <c r="DJ36" s="70">
        <v>41966780.613228925</v>
      </c>
      <c r="DK36" s="948"/>
      <c r="DL36" s="882">
        <v>3399704.5546384701</v>
      </c>
      <c r="DM36" s="882">
        <v>3264737.5917468769</v>
      </c>
      <c r="DN36" s="882">
        <v>4184999.9999999995</v>
      </c>
      <c r="DO36" s="882">
        <v>3348000.0000000005</v>
      </c>
      <c r="DP36" s="882">
        <v>3074042.2288642721</v>
      </c>
      <c r="DQ36" s="882">
        <v>2812995.3566251793</v>
      </c>
      <c r="DR36" s="882">
        <v>3737141.5756380158</v>
      </c>
      <c r="DS36" s="882">
        <v>4437000.7194458414</v>
      </c>
      <c r="DT36" s="882">
        <v>4710370.4261011425</v>
      </c>
      <c r="DU36" s="882">
        <v>4744197.0280408058</v>
      </c>
      <c r="DV36" s="882">
        <v>3461011.8981438484</v>
      </c>
      <c r="DW36" s="882">
        <v>792579.23398446955</v>
      </c>
      <c r="DX36" s="65">
        <v>41966780.613228925</v>
      </c>
    </row>
    <row r="37" spans="1:129" ht="18.75" hidden="1">
      <c r="A37" s="71"/>
      <c r="B37" s="916" t="s">
        <v>54</v>
      </c>
      <c r="C37" s="917"/>
      <c r="D37" s="301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302"/>
      <c r="Q37" s="74"/>
      <c r="R37" s="301"/>
      <c r="S37" s="69"/>
      <c r="T37" s="69"/>
      <c r="U37" s="69"/>
      <c r="V37" s="303"/>
      <c r="W37" s="304"/>
      <c r="X37" s="304"/>
      <c r="Y37" s="304"/>
      <c r="Z37" s="304"/>
      <c r="AA37" s="304"/>
      <c r="AB37" s="304"/>
      <c r="AC37" s="75"/>
      <c r="AD37" s="76"/>
      <c r="AE37" s="77"/>
      <c r="AF37" s="305"/>
      <c r="AG37" s="69"/>
      <c r="AH37" s="69"/>
      <c r="AI37" s="69"/>
      <c r="AJ37" s="303"/>
      <c r="AK37" s="303"/>
      <c r="AL37" s="303"/>
      <c r="AM37" s="303"/>
      <c r="AN37" s="69">
        <f t="shared" ref="AN37:AQ37" si="64">30</f>
        <v>30</v>
      </c>
      <c r="AO37" s="69">
        <f t="shared" si="64"/>
        <v>30</v>
      </c>
      <c r="AP37" s="69">
        <f t="shared" si="64"/>
        <v>30</v>
      </c>
      <c r="AQ37" s="69">
        <f t="shared" si="64"/>
        <v>30</v>
      </c>
      <c r="AR37" s="306"/>
      <c r="AS37" s="77"/>
      <c r="AT37" s="69">
        <v>28</v>
      </c>
      <c r="AU37" s="69">
        <v>29</v>
      </c>
      <c r="AV37" s="69">
        <v>29</v>
      </c>
      <c r="AW37" s="69">
        <v>29</v>
      </c>
      <c r="AX37" s="69">
        <v>29</v>
      </c>
      <c r="AY37" s="69">
        <v>27</v>
      </c>
      <c r="AZ37" s="69">
        <v>27</v>
      </c>
      <c r="BA37" s="69">
        <v>27</v>
      </c>
      <c r="BB37" s="69">
        <v>27</v>
      </c>
      <c r="BC37" s="69">
        <v>26.07</v>
      </c>
      <c r="BD37" s="69">
        <v>26.07</v>
      </c>
      <c r="BE37" s="69">
        <v>26.07</v>
      </c>
      <c r="BF37" s="305"/>
      <c r="BG37" s="78"/>
      <c r="BH37" s="69">
        <v>27</v>
      </c>
      <c r="BI37" s="69">
        <v>27</v>
      </c>
      <c r="BJ37" s="69">
        <v>27</v>
      </c>
      <c r="BK37" s="69">
        <v>27</v>
      </c>
      <c r="BL37" s="69">
        <v>27</v>
      </c>
      <c r="BM37" s="69">
        <v>27</v>
      </c>
      <c r="BN37" s="69">
        <v>27</v>
      </c>
      <c r="BO37" s="69">
        <v>27</v>
      </c>
      <c r="BP37" s="69">
        <v>27</v>
      </c>
      <c r="BQ37" s="69">
        <v>27</v>
      </c>
      <c r="BR37" s="69">
        <v>27</v>
      </c>
      <c r="BS37" s="69">
        <v>27</v>
      </c>
      <c r="BT37" s="69"/>
      <c r="BU37" s="54"/>
      <c r="BV37" s="69">
        <v>26</v>
      </c>
      <c r="BW37" s="69">
        <v>26</v>
      </c>
      <c r="BX37" s="69">
        <v>26</v>
      </c>
      <c r="BY37" s="69">
        <v>26</v>
      </c>
      <c r="BZ37" s="69">
        <v>26</v>
      </c>
      <c r="CA37" s="69">
        <v>26</v>
      </c>
      <c r="CB37" s="69">
        <v>26</v>
      </c>
      <c r="CC37" s="69">
        <v>26</v>
      </c>
      <c r="CD37" s="69">
        <v>26</v>
      </c>
      <c r="CE37" s="69">
        <v>26</v>
      </c>
      <c r="CF37" s="69">
        <v>26</v>
      </c>
      <c r="CG37" s="69">
        <v>26</v>
      </c>
      <c r="CH37" s="69"/>
      <c r="CJ37" s="751">
        <v>26.83</v>
      </c>
      <c r="CK37" s="751">
        <f>CJ37</f>
        <v>26.83</v>
      </c>
      <c r="CL37" s="751">
        <f t="shared" ref="CL37:CV37" si="65">CK37</f>
        <v>26.83</v>
      </c>
      <c r="CM37" s="751">
        <f t="shared" si="65"/>
        <v>26.83</v>
      </c>
      <c r="CN37" s="751">
        <f t="shared" si="65"/>
        <v>26.83</v>
      </c>
      <c r="CO37" s="751">
        <f t="shared" si="65"/>
        <v>26.83</v>
      </c>
      <c r="CP37" s="751">
        <v>28.44</v>
      </c>
      <c r="CQ37" s="751">
        <f t="shared" si="65"/>
        <v>28.44</v>
      </c>
      <c r="CR37" s="751">
        <f t="shared" si="65"/>
        <v>28.44</v>
      </c>
      <c r="CS37" s="751">
        <f t="shared" si="65"/>
        <v>28.44</v>
      </c>
      <c r="CT37" s="751">
        <f t="shared" si="65"/>
        <v>28.44</v>
      </c>
      <c r="CU37" s="751">
        <f t="shared" si="65"/>
        <v>28.44</v>
      </c>
      <c r="CV37" s="69">
        <f t="shared" si="65"/>
        <v>28.44</v>
      </c>
      <c r="CW37" s="758"/>
      <c r="CX37" s="881">
        <v>26</v>
      </c>
      <c r="CY37" s="881">
        <v>26</v>
      </c>
      <c r="CZ37" s="881">
        <v>26</v>
      </c>
      <c r="DA37" s="881">
        <v>26</v>
      </c>
      <c r="DB37" s="881">
        <v>26</v>
      </c>
      <c r="DC37" s="881">
        <v>26</v>
      </c>
      <c r="DD37" s="881">
        <v>26</v>
      </c>
      <c r="DE37" s="881">
        <v>26</v>
      </c>
      <c r="DF37" s="881">
        <v>26</v>
      </c>
      <c r="DG37" s="881">
        <v>26</v>
      </c>
      <c r="DH37" s="881">
        <v>26</v>
      </c>
      <c r="DI37" s="881">
        <v>26</v>
      </c>
      <c r="DJ37" s="69"/>
      <c r="DK37" s="948"/>
      <c r="DL37" s="881">
        <v>26</v>
      </c>
      <c r="DM37" s="881">
        <v>26</v>
      </c>
      <c r="DN37" s="881">
        <v>26</v>
      </c>
      <c r="DO37" s="881">
        <v>26</v>
      </c>
      <c r="DP37" s="881">
        <v>26</v>
      </c>
      <c r="DQ37" s="881">
        <v>26</v>
      </c>
      <c r="DR37" s="881">
        <v>26</v>
      </c>
      <c r="DS37" s="881">
        <v>26</v>
      </c>
      <c r="DT37" s="881">
        <v>26</v>
      </c>
      <c r="DU37" s="881">
        <v>26</v>
      </c>
      <c r="DV37" s="881">
        <v>26</v>
      </c>
      <c r="DW37" s="881">
        <v>26</v>
      </c>
      <c r="DX37" s="69"/>
    </row>
    <row r="38" spans="1:129" ht="18.75" hidden="1">
      <c r="A38" s="79"/>
      <c r="B38" s="80" t="s">
        <v>121</v>
      </c>
      <c r="C38" s="81"/>
      <c r="D38" s="288">
        <v>82250</v>
      </c>
      <c r="E38" s="57">
        <v>117000</v>
      </c>
      <c r="F38" s="57">
        <v>121750</v>
      </c>
      <c r="G38" s="57">
        <v>150000</v>
      </c>
      <c r="H38" s="57">
        <v>99500</v>
      </c>
      <c r="I38" s="57">
        <v>102000</v>
      </c>
      <c r="J38" s="57">
        <v>177632</v>
      </c>
      <c r="K38" s="57">
        <v>178158</v>
      </c>
      <c r="L38" s="57">
        <v>199211</v>
      </c>
      <c r="M38" s="57">
        <v>229474</v>
      </c>
      <c r="N38" s="57">
        <v>122368</v>
      </c>
      <c r="O38" s="57">
        <v>38421</v>
      </c>
      <c r="P38" s="289">
        <f>SUM(D38:O38)</f>
        <v>1617764</v>
      </c>
      <c r="Q38" s="39"/>
      <c r="R38" s="288">
        <v>115619.79612330014</v>
      </c>
      <c r="S38" s="58">
        <v>123327.78253152016</v>
      </c>
      <c r="T38" s="58">
        <v>128854</v>
      </c>
      <c r="U38" s="58">
        <f>126016*0.15</f>
        <v>18902.399999999998</v>
      </c>
      <c r="V38" s="58">
        <v>35234</v>
      </c>
      <c r="W38" s="290">
        <v>56469.381950239796</v>
      </c>
      <c r="X38" s="290">
        <v>118413.33333333299</v>
      </c>
      <c r="Y38" s="290">
        <v>198797.08333333331</v>
      </c>
      <c r="Z38" s="290">
        <v>242087.5</v>
      </c>
      <c r="AA38" s="290">
        <v>140000</v>
      </c>
      <c r="AB38" s="290">
        <v>0</v>
      </c>
      <c r="AC38" s="290">
        <v>-45300</v>
      </c>
      <c r="AD38" s="291">
        <f>SUM(R38:AC38)</f>
        <v>1132405.2772717264</v>
      </c>
      <c r="AE38" s="59"/>
      <c r="AF38" s="292">
        <v>90146</v>
      </c>
      <c r="AG38" s="58">
        <v>155577</v>
      </c>
      <c r="AH38" s="58">
        <v>62953</v>
      </c>
      <c r="AI38" s="58">
        <v>73261</v>
      </c>
      <c r="AJ38" s="58">
        <v>91856</v>
      </c>
      <c r="AK38" s="58">
        <v>120000</v>
      </c>
      <c r="AL38" s="58">
        <v>110295</v>
      </c>
      <c r="AM38" s="58">
        <v>200203</v>
      </c>
      <c r="AN38" s="58">
        <f t="shared" ref="AN38:AQ38" si="66">AN36/AN37</f>
        <v>223833.33333333334</v>
      </c>
      <c r="AO38" s="58">
        <f t="shared" si="66"/>
        <v>218500</v>
      </c>
      <c r="AP38" s="58">
        <f t="shared" si="66"/>
        <v>88000</v>
      </c>
      <c r="AQ38" s="58">
        <f t="shared" si="66"/>
        <v>43400</v>
      </c>
      <c r="AR38" s="58">
        <f>SUM(AF38:AQ38)</f>
        <v>1478024.3333333333</v>
      </c>
      <c r="AS38" s="59"/>
      <c r="AT38" s="58">
        <f t="shared" ref="AT38:BE38" si="67">AT36/AT37</f>
        <v>116596.25</v>
      </c>
      <c r="AU38" s="58">
        <f t="shared" si="67"/>
        <v>133233.10344827586</v>
      </c>
      <c r="AV38" s="58">
        <f t="shared" si="67"/>
        <v>118249.13793103448</v>
      </c>
      <c r="AW38" s="58">
        <f t="shared" si="67"/>
        <v>121564.13793103448</v>
      </c>
      <c r="AX38" s="58">
        <f t="shared" si="67"/>
        <v>86533.965517241377</v>
      </c>
      <c r="AY38" s="58">
        <f t="shared" si="67"/>
        <v>104777.77777777778</v>
      </c>
      <c r="AZ38" s="58">
        <f t="shared" si="67"/>
        <v>135777.77777777778</v>
      </c>
      <c r="BA38" s="58">
        <f t="shared" si="67"/>
        <v>211296.29629629629</v>
      </c>
      <c r="BB38" s="58">
        <f t="shared" si="67"/>
        <v>210777.77777777778</v>
      </c>
      <c r="BC38" s="58">
        <f t="shared" si="67"/>
        <v>214806.29075565783</v>
      </c>
      <c r="BD38" s="58">
        <f t="shared" si="67"/>
        <v>93210.586881472962</v>
      </c>
      <c r="BE38" s="58">
        <f t="shared" si="67"/>
        <v>30686.612965093977</v>
      </c>
      <c r="BF38" s="58">
        <f>SUM(AT38:BE38)</f>
        <v>1577509.7150594404</v>
      </c>
      <c r="BG38" s="59">
        <f>BF38-AR38</f>
        <v>99485.381726107094</v>
      </c>
      <c r="BH38" s="58">
        <f>BH35</f>
        <v>116600</v>
      </c>
      <c r="BI38" s="58">
        <f t="shared" ref="BI38:BT38" si="68">BI35</f>
        <v>111533.33333333333</v>
      </c>
      <c r="BJ38" s="58">
        <f t="shared" si="68"/>
        <v>135674.07407407407</v>
      </c>
      <c r="BK38" s="58">
        <f t="shared" si="68"/>
        <v>121740.74074074074</v>
      </c>
      <c r="BL38" s="58">
        <f t="shared" si="68"/>
        <v>93926.851851851854</v>
      </c>
      <c r="BM38" s="58">
        <f t="shared" si="68"/>
        <v>90679.259259259255</v>
      </c>
      <c r="BN38" s="58">
        <f t="shared" si="68"/>
        <v>130255.55555555556</v>
      </c>
      <c r="BO38" s="58">
        <f t="shared" si="68"/>
        <v>150550.37811111109</v>
      </c>
      <c r="BP38" s="58">
        <f t="shared" si="68"/>
        <v>161830.74953703705</v>
      </c>
      <c r="BQ38" s="58">
        <f t="shared" si="68"/>
        <v>127130</v>
      </c>
      <c r="BR38" s="58">
        <f>BR35</f>
        <v>138687.6</v>
      </c>
      <c r="BS38" s="58">
        <f t="shared" si="68"/>
        <v>43639.199999999997</v>
      </c>
      <c r="BT38" s="58">
        <f t="shared" si="68"/>
        <v>1422247.7424629631</v>
      </c>
      <c r="BU38" s="60"/>
      <c r="BV38" s="58">
        <f>'META  EM PEÇAS'!S73</f>
        <v>130757.867486095</v>
      </c>
      <c r="BW38" s="58">
        <f>'META  EM PEÇAS'!T73</f>
        <v>125566.83045180296</v>
      </c>
      <c r="BX38" s="58">
        <f>'META  EM PEÇAS'!U73</f>
        <v>160961.53846153844</v>
      </c>
      <c r="BY38" s="58">
        <f>'META  EM PEÇAS'!V73</f>
        <v>128769.23076923078</v>
      </c>
      <c r="BZ38" s="58">
        <f>'META  EM PEÇAS'!W73</f>
        <v>118232.39341785663</v>
      </c>
      <c r="CA38" s="58">
        <f>'META  EM PEÇAS'!X73</f>
        <v>108192.12910096844</v>
      </c>
      <c r="CB38" s="58">
        <f>'META  EM PEÇAS'!Y73</f>
        <v>143736.21444761599</v>
      </c>
      <c r="CC38" s="58">
        <f>'META  EM PEÇAS'!Z73</f>
        <v>170653.87382484006</v>
      </c>
      <c r="CD38" s="58">
        <f>'META  EM PEÇAS'!AA73</f>
        <v>181168.0933115824</v>
      </c>
      <c r="CE38" s="58">
        <f>'META  EM PEÇAS'!AB73</f>
        <v>182469.1164631079</v>
      </c>
      <c r="CF38" s="58">
        <f>'META  EM PEÇAS'!AC73</f>
        <v>133115.84223630186</v>
      </c>
      <c r="CG38" s="58">
        <f>'META  EM PEÇAS'!AD73</f>
        <v>30483.816691710366</v>
      </c>
      <c r="CH38" s="58">
        <v>45</v>
      </c>
      <c r="CI38">
        <f>CH38*26</f>
        <v>1170</v>
      </c>
      <c r="CJ38" s="58">
        <f>CJ36/CJ37</f>
        <v>129344.16697726426</v>
      </c>
      <c r="CK38" s="58">
        <f t="shared" ref="CK38:CU38" si="69">CK36/CK37</f>
        <v>150873.49981364145</v>
      </c>
      <c r="CL38" s="58">
        <f t="shared" si="69"/>
        <v>141379.05329854641</v>
      </c>
      <c r="CM38" s="58">
        <f t="shared" si="69"/>
        <v>136578.1587774879</v>
      </c>
      <c r="CN38" s="58">
        <f>CN36/CN37</f>
        <v>136291.91203876259</v>
      </c>
      <c r="CO38" s="58">
        <f t="shared" si="69"/>
        <v>103386.95490122997</v>
      </c>
      <c r="CP38" s="58">
        <f>CP36/CP37</f>
        <v>181610.97046413503</v>
      </c>
      <c r="CQ38" s="58">
        <f t="shared" si="69"/>
        <v>199329.11392405062</v>
      </c>
      <c r="CR38" s="58">
        <f t="shared" si="69"/>
        <v>234765.40084388186</v>
      </c>
      <c r="CS38" s="58">
        <f>CS36/CS37</f>
        <v>217806.7510548523</v>
      </c>
      <c r="CT38" s="58">
        <f t="shared" si="69"/>
        <v>134135.02109704641</v>
      </c>
      <c r="CU38" s="58">
        <f t="shared" si="69"/>
        <v>51311.392405063292</v>
      </c>
      <c r="CV38" s="58">
        <f>SUM(CJ38:CU38)</f>
        <v>1816812.3955959619</v>
      </c>
      <c r="CW38" s="758"/>
      <c r="CX38" s="880">
        <v>174000</v>
      </c>
      <c r="CY38" s="880">
        <v>127000</v>
      </c>
      <c r="CZ38" s="880">
        <v>156000</v>
      </c>
      <c r="DA38" s="880">
        <f t="shared" ref="DA38:DK38" si="70">DA39*1.1</f>
        <v>148313.33000000005</v>
      </c>
      <c r="DB38" s="880">
        <f t="shared" si="70"/>
        <v>143391.05000000002</v>
      </c>
      <c r="DC38" s="880">
        <f t="shared" si="70"/>
        <v>99278.080000000016</v>
      </c>
      <c r="DD38" s="880">
        <f t="shared" si="70"/>
        <v>182944.74000000005</v>
      </c>
      <c r="DE38" s="880">
        <f t="shared" si="70"/>
        <v>195388.38</v>
      </c>
      <c r="DF38" s="880">
        <f>DF39*1.1</f>
        <v>264790.35000000003</v>
      </c>
      <c r="DG38" s="880">
        <f>DG39*1.1</f>
        <v>247948.86033755276</v>
      </c>
      <c r="DH38" s="880">
        <f t="shared" si="70"/>
        <v>151768.20675105488</v>
      </c>
      <c r="DI38" s="880">
        <f t="shared" si="70"/>
        <v>62612.445569620257</v>
      </c>
      <c r="DJ38" s="58">
        <f>SUM(CX38:DI38)</f>
        <v>1953435.4426582281</v>
      </c>
      <c r="DK38" s="948"/>
      <c r="DL38" s="880">
        <f>CX38*1.1</f>
        <v>191400.00000000003</v>
      </c>
      <c r="DM38" s="880">
        <f t="shared" ref="DM38:DW38" si="71">CY38*1.1</f>
        <v>139700</v>
      </c>
      <c r="DN38" s="880">
        <f t="shared" si="71"/>
        <v>171600</v>
      </c>
      <c r="DO38" s="880">
        <f t="shared" si="71"/>
        <v>163144.66300000006</v>
      </c>
      <c r="DP38" s="880">
        <f t="shared" si="71"/>
        <v>157730.15500000003</v>
      </c>
      <c r="DQ38" s="880">
        <f t="shared" si="71"/>
        <v>109205.88800000002</v>
      </c>
      <c r="DR38" s="880">
        <f t="shared" si="71"/>
        <v>201239.21400000007</v>
      </c>
      <c r="DS38" s="880">
        <f t="shared" si="71"/>
        <v>214927.21800000002</v>
      </c>
      <c r="DT38" s="880">
        <f t="shared" si="71"/>
        <v>291269.38500000007</v>
      </c>
      <c r="DU38" s="880">
        <f t="shared" si="71"/>
        <v>272743.74637130805</v>
      </c>
      <c r="DV38" s="880">
        <f t="shared" si="71"/>
        <v>166945.02742616038</v>
      </c>
      <c r="DW38" s="880">
        <f t="shared" si="71"/>
        <v>68873.690126582282</v>
      </c>
      <c r="DX38" s="58">
        <f>SUM(DL38:DW38)</f>
        <v>2148778.9869240513</v>
      </c>
      <c r="DY38" s="598">
        <f>DX38-DJ38</f>
        <v>195343.54426582321</v>
      </c>
    </row>
    <row r="39" spans="1:129" ht="18.75" hidden="1">
      <c r="A39" s="307"/>
      <c r="B39" s="918"/>
      <c r="C39" s="919" t="s">
        <v>122</v>
      </c>
      <c r="D39" s="309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310"/>
      <c r="Q39" s="84"/>
      <c r="R39" s="309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311"/>
      <c r="AE39" s="23"/>
      <c r="AF39" s="312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6"/>
      <c r="AS39" s="23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2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54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J39" s="87">
        <f t="shared" ref="CJ39:CT39" si="72">(CJ38*0.95)-2000</f>
        <v>120876.95862840104</v>
      </c>
      <c r="CK39" s="87">
        <f t="shared" si="72"/>
        <v>141329.82482295937</v>
      </c>
      <c r="CL39" s="87">
        <f t="shared" si="72"/>
        <v>132310.10063361909</v>
      </c>
      <c r="CM39" s="87">
        <f t="shared" si="72"/>
        <v>127749.2508386135</v>
      </c>
      <c r="CN39" s="87">
        <f t="shared" si="72"/>
        <v>127477.31643682445</v>
      </c>
      <c r="CO39" s="87">
        <f t="shared" si="72"/>
        <v>96217.607156168466</v>
      </c>
      <c r="CP39" s="87">
        <f>(CP38*0.95)-2000</f>
        <v>170530.42194092827</v>
      </c>
      <c r="CQ39" s="87">
        <f t="shared" si="72"/>
        <v>187362.65822784806</v>
      </c>
      <c r="CR39" s="87">
        <f t="shared" si="72"/>
        <v>221027.13080168774</v>
      </c>
      <c r="CS39" s="87">
        <f t="shared" si="72"/>
        <v>204916.41350210967</v>
      </c>
      <c r="CT39" s="87">
        <f t="shared" si="72"/>
        <v>125428.27004219408</v>
      </c>
      <c r="CU39" s="87">
        <f>(CU38*0.95)-2000</f>
        <v>46745.822784810123</v>
      </c>
      <c r="CV39" s="87">
        <f>SUM(CJ39:CU39)</f>
        <v>1701971.775816164</v>
      </c>
      <c r="CW39" s="758"/>
      <c r="CX39" s="883">
        <v>169016.1</v>
      </c>
      <c r="CY39" s="883">
        <v>192696.9</v>
      </c>
      <c r="CZ39" s="883">
        <v>138243.6</v>
      </c>
      <c r="DA39" s="883">
        <v>134830.30000000002</v>
      </c>
      <c r="DB39" s="883">
        <v>130355.5</v>
      </c>
      <c r="DC39" s="883">
        <v>90252.800000000003</v>
      </c>
      <c r="DD39" s="883">
        <v>166313.40000000002</v>
      </c>
      <c r="DE39" s="883">
        <v>177625.8</v>
      </c>
      <c r="DF39" s="883">
        <v>240718.5</v>
      </c>
      <c r="DG39" s="883">
        <v>225408.05485232067</v>
      </c>
      <c r="DH39" s="883">
        <v>137971.09704641352</v>
      </c>
      <c r="DI39" s="883">
        <v>56920.405063291139</v>
      </c>
      <c r="DJ39" s="87">
        <f>SUM(CX39:DI39)</f>
        <v>1860352.4569620253</v>
      </c>
      <c r="DK39" s="948"/>
      <c r="DL39" s="883">
        <v>169016.1</v>
      </c>
      <c r="DM39" s="883">
        <v>192696.9</v>
      </c>
      <c r="DN39" s="883">
        <v>138243.6</v>
      </c>
      <c r="DO39" s="883">
        <v>134830.30000000002</v>
      </c>
      <c r="DP39" s="883">
        <v>130355.5</v>
      </c>
      <c r="DQ39" s="883">
        <v>90252.800000000003</v>
      </c>
      <c r="DR39" s="883">
        <v>166313.40000000002</v>
      </c>
      <c r="DS39" s="883">
        <v>177625.8</v>
      </c>
      <c r="DT39" s="883">
        <v>240718.5</v>
      </c>
      <c r="DU39" s="883">
        <v>225408.05485232067</v>
      </c>
      <c r="DV39" s="883">
        <v>137971.09704641352</v>
      </c>
      <c r="DW39" s="883">
        <v>56920.405063291139</v>
      </c>
      <c r="DX39" s="87">
        <f>SUM(DL39:DW39)</f>
        <v>1860352.4569620253</v>
      </c>
    </row>
    <row r="40" spans="1:129" ht="18.75" hidden="1">
      <c r="A40" s="709"/>
      <c r="B40" s="920"/>
      <c r="C40" s="920"/>
      <c r="D40" s="309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310"/>
      <c r="Q40" s="84"/>
      <c r="R40" s="309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311"/>
      <c r="AE40" s="23"/>
      <c r="AF40" s="312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6"/>
      <c r="AS40" s="23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2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54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J40" s="711">
        <f>(CJ38-CJ39)/CJ39</f>
        <v>7.0048158432683957E-2</v>
      </c>
      <c r="CK40" s="711">
        <f t="shared" ref="CK40:CU40" si="73">(CK38-CK39)/CK39</f>
        <v>6.7527678624361279E-2</v>
      </c>
      <c r="CL40" s="711">
        <f t="shared" si="73"/>
        <v>6.8543162022378201E-2</v>
      </c>
      <c r="CM40" s="711">
        <f t="shared" si="73"/>
        <v>6.911123064062441E-2</v>
      </c>
      <c r="CN40" s="711">
        <f t="shared" si="73"/>
        <v>6.9146385006516056E-2</v>
      </c>
      <c r="CO40" s="711">
        <f t="shared" si="73"/>
        <v>7.4511806694850649E-2</v>
      </c>
      <c r="CP40" s="711">
        <f t="shared" si="73"/>
        <v>6.4976960691770641E-2</v>
      </c>
      <c r="CQ40" s="711">
        <f t="shared" si="73"/>
        <v>6.3867879594504795E-2</v>
      </c>
      <c r="CR40" s="711">
        <f t="shared" si="73"/>
        <v>6.2156487270879454E-2</v>
      </c>
      <c r="CS40" s="711">
        <f t="shared" si="73"/>
        <v>6.2905344342316025E-2</v>
      </c>
      <c r="CT40" s="711">
        <f t="shared" si="73"/>
        <v>6.94161774847359E-2</v>
      </c>
      <c r="CU40" s="711">
        <f t="shared" si="73"/>
        <v>9.7667970061631554E-2</v>
      </c>
      <c r="CV40" s="87"/>
      <c r="CW40" s="758"/>
      <c r="CX40" s="883"/>
      <c r="CY40" s="883"/>
      <c r="CZ40" s="883"/>
      <c r="DA40" s="883"/>
      <c r="DB40" s="883"/>
      <c r="DC40" s="883"/>
      <c r="DD40" s="883"/>
      <c r="DE40" s="883"/>
      <c r="DF40" s="883"/>
      <c r="DG40" s="883"/>
      <c r="DH40" s="883"/>
      <c r="DI40" s="883"/>
      <c r="DJ40" s="87"/>
      <c r="DK40" s="948"/>
      <c r="DL40" s="883"/>
      <c r="DM40" s="883"/>
      <c r="DN40" s="883"/>
      <c r="DO40" s="883"/>
      <c r="DP40" s="883"/>
      <c r="DQ40" s="883"/>
      <c r="DR40" s="883"/>
      <c r="DS40" s="883"/>
      <c r="DT40" s="883"/>
      <c r="DU40" s="883"/>
      <c r="DV40" s="883"/>
      <c r="DW40" s="883"/>
      <c r="DX40" s="87"/>
    </row>
    <row r="41" spans="1:129" ht="15" hidden="1" customHeight="1" outlineLevel="1">
      <c r="A41" s="88">
        <v>1</v>
      </c>
      <c r="B41" s="1078" t="s">
        <v>56</v>
      </c>
      <c r="C41" s="1119"/>
      <c r="D41" s="313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314">
        <f t="shared" ref="P41:P53" si="74">SUM(D41:O41)</f>
        <v>0</v>
      </c>
      <c r="Q41" s="90"/>
      <c r="R41" s="313">
        <v>7017.5438596491231</v>
      </c>
      <c r="S41" s="91">
        <v>7017.5438596491231</v>
      </c>
      <c r="T41" s="91">
        <f>7017.54385964912/2</f>
        <v>3508.7719298245602</v>
      </c>
      <c r="U41" s="91">
        <f>96*U7</f>
        <v>96</v>
      </c>
      <c r="V41" s="91">
        <v>3000</v>
      </c>
      <c r="W41" s="91">
        <v>7200</v>
      </c>
      <c r="X41" s="91">
        <v>8500</v>
      </c>
      <c r="Y41" s="91">
        <v>8500</v>
      </c>
      <c r="Z41" s="91">
        <v>8500</v>
      </c>
      <c r="AA41" s="91">
        <v>9000</v>
      </c>
      <c r="AB41" s="91">
        <v>9500</v>
      </c>
      <c r="AC41" s="91">
        <v>8500</v>
      </c>
      <c r="AD41" s="315">
        <f t="shared" ref="AD41:AD55" si="75">SUM(R41:AC41)</f>
        <v>80339.859649122809</v>
      </c>
      <c r="AE41" s="23"/>
      <c r="AF41" s="316">
        <v>8000</v>
      </c>
      <c r="AG41" s="91">
        <v>4000</v>
      </c>
      <c r="AH41" s="91">
        <v>5673</v>
      </c>
      <c r="AI41" s="91">
        <v>4500</v>
      </c>
      <c r="AJ41" s="91">
        <v>7892</v>
      </c>
      <c r="AK41" s="91">
        <v>6400</v>
      </c>
      <c r="AL41" s="91">
        <v>8000</v>
      </c>
      <c r="AM41" s="91">
        <v>8000</v>
      </c>
      <c r="AN41" s="91">
        <v>8000</v>
      </c>
      <c r="AO41" s="91">
        <v>8000</v>
      </c>
      <c r="AP41" s="91">
        <v>8800</v>
      </c>
      <c r="AQ41" s="91">
        <v>6400</v>
      </c>
      <c r="AR41" s="92">
        <f t="shared" ref="AR41:AR59" si="76">SUM(AF41:AQ41)</f>
        <v>83665</v>
      </c>
      <c r="AS41" s="23"/>
      <c r="AT41" s="91">
        <v>4861</v>
      </c>
      <c r="AU41" s="91">
        <v>5809</v>
      </c>
      <c r="AV41" s="91">
        <v>5072</v>
      </c>
      <c r="AW41" s="91">
        <v>4725</v>
      </c>
      <c r="AX41" s="317">
        <v>5832</v>
      </c>
      <c r="AY41" s="317">
        <v>5832</v>
      </c>
      <c r="AZ41" s="317">
        <v>5567</v>
      </c>
      <c r="BA41" s="317">
        <v>5567</v>
      </c>
      <c r="BB41" s="317">
        <v>5832</v>
      </c>
      <c r="BC41" s="317">
        <v>6892</v>
      </c>
      <c r="BD41" s="317">
        <v>7422</v>
      </c>
      <c r="BE41" s="317">
        <v>4241</v>
      </c>
      <c r="BF41" s="91">
        <f t="shared" ref="BF41:BF73" si="77">SUM(AT41:BE41)</f>
        <v>67652</v>
      </c>
      <c r="BG41" s="93">
        <f t="shared" ref="BG41:BG59" si="78">BF41/AR41-1</f>
        <v>-0.19139425088149165</v>
      </c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>
        <v>36051</v>
      </c>
      <c r="BU41" s="54"/>
      <c r="BV41" s="91">
        <v>4782.99</v>
      </c>
      <c r="BW41" s="91">
        <v>2945.31</v>
      </c>
      <c r="BX41" s="91">
        <f>'META  EM PEÇAS'!U26-('META  EM PEÇAS'!U26*0.05)</f>
        <v>7080.3689999999997</v>
      </c>
      <c r="BY41" s="91">
        <f>'META  EM PEÇAS'!V26-('META  EM PEÇAS'!V26*0.05)</f>
        <v>4355.6549999999997</v>
      </c>
      <c r="BZ41" s="91">
        <f>'META  EM PEÇAS'!W26-('META  EM PEÇAS'!W26*0.05)</f>
        <v>5839.9349999999995</v>
      </c>
      <c r="CA41" s="91">
        <f>'META  EM PEÇAS'!X26-('META  EM PEÇAS'!X26*0.05)</f>
        <v>5900.8964999999989</v>
      </c>
      <c r="CB41" s="91">
        <f>'META  EM PEÇAS'!Y26-('META  EM PEÇAS'!Y26*0.05)</f>
        <v>5279.7959999999994</v>
      </c>
      <c r="CC41" s="91">
        <f>'META  EM PEÇAS'!Z26-('META  EM PEÇAS'!Z26*0.05)</f>
        <v>4897.2404999999999</v>
      </c>
      <c r="CD41" s="91">
        <f>'META  EM PEÇAS'!AA26-('META  EM PEÇAS'!AA26*0.05)</f>
        <v>5018.28</v>
      </c>
      <c r="CE41" s="91">
        <f>'META  EM PEÇAS'!AB26-('META  EM PEÇAS'!AB26*0.05)</f>
        <v>4641.0254999999997</v>
      </c>
      <c r="CF41" s="91">
        <f>'META  EM PEÇAS'!AC26-('META  EM PEÇAS'!AC26*0.05)</f>
        <v>6521.1134999999995</v>
      </c>
      <c r="CG41" s="91">
        <f>'META  EM PEÇAS'!AD26-('META  EM PEÇAS'!AD26*0.05)</f>
        <v>3929.8079999999995</v>
      </c>
      <c r="CH41" s="91">
        <v>4136.6400000000003</v>
      </c>
      <c r="CJ41" s="91">
        <v>4782.99</v>
      </c>
      <c r="CK41" s="91">
        <v>2945.31</v>
      </c>
      <c r="CL41" s="91">
        <v>7080.3689999999997</v>
      </c>
      <c r="CM41" s="91">
        <v>4355.6549999999997</v>
      </c>
      <c r="CN41" s="91">
        <v>5839.9349999999995</v>
      </c>
      <c r="CO41" s="91">
        <v>5900.8964999999989</v>
      </c>
      <c r="CP41" s="91">
        <v>5279.7959999999994</v>
      </c>
      <c r="CQ41" s="91">
        <v>4897.2404999999999</v>
      </c>
      <c r="CR41" s="91">
        <v>5018.28</v>
      </c>
      <c r="CS41" s="91">
        <v>4641.0254999999997</v>
      </c>
      <c r="CT41" s="91">
        <v>6521.1134999999995</v>
      </c>
      <c r="CU41" s="91">
        <v>3929.8079999999995</v>
      </c>
      <c r="CV41" s="91">
        <v>4136.6400000000003</v>
      </c>
      <c r="CW41" s="758"/>
      <c r="CX41" s="884">
        <v>4782.99</v>
      </c>
      <c r="CY41" s="884">
        <v>2945.31</v>
      </c>
      <c r="CZ41" s="884">
        <v>7080.3689999999997</v>
      </c>
      <c r="DA41" s="884">
        <v>4355.6549999999997</v>
      </c>
      <c r="DB41" s="884">
        <v>5839.9349999999995</v>
      </c>
      <c r="DC41" s="884">
        <v>5900.8964999999989</v>
      </c>
      <c r="DD41" s="884">
        <v>5279.7959999999994</v>
      </c>
      <c r="DE41" s="884">
        <v>4897.2404999999999</v>
      </c>
      <c r="DF41" s="884">
        <v>5018.28</v>
      </c>
      <c r="DG41" s="884">
        <v>4641.0254999999997</v>
      </c>
      <c r="DH41" s="884">
        <v>6521.1134999999995</v>
      </c>
      <c r="DI41" s="884">
        <v>3929.8079999999995</v>
      </c>
      <c r="DJ41" s="91">
        <v>4136.6400000000003</v>
      </c>
      <c r="DK41" s="948"/>
      <c r="DL41" s="884">
        <v>4782.99</v>
      </c>
      <c r="DM41" s="884">
        <v>2945.31</v>
      </c>
      <c r="DN41" s="884">
        <v>7080.3689999999997</v>
      </c>
      <c r="DO41" s="884">
        <v>4355.6549999999997</v>
      </c>
      <c r="DP41" s="884">
        <v>5839.9349999999995</v>
      </c>
      <c r="DQ41" s="884">
        <v>5900.8964999999989</v>
      </c>
      <c r="DR41" s="884">
        <v>5279.7959999999994</v>
      </c>
      <c r="DS41" s="884">
        <v>4897.2404999999999</v>
      </c>
      <c r="DT41" s="884">
        <v>5018.28</v>
      </c>
      <c r="DU41" s="884">
        <v>4641.0254999999997</v>
      </c>
      <c r="DV41" s="884">
        <v>6521.1134999999995</v>
      </c>
      <c r="DW41" s="884">
        <v>3929.8079999999995</v>
      </c>
      <c r="DX41" s="91">
        <v>4136.6400000000003</v>
      </c>
    </row>
    <row r="42" spans="1:129" ht="15" hidden="1" customHeight="1" outlineLevel="1">
      <c r="A42" s="94">
        <v>2</v>
      </c>
      <c r="B42" s="1079" t="s">
        <v>57</v>
      </c>
      <c r="C42" s="1120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si="74"/>
        <v>0</v>
      </c>
      <c r="Q42" s="90"/>
      <c r="R42" s="313">
        <v>2909</v>
      </c>
      <c r="S42" s="91">
        <v>2545</v>
      </c>
      <c r="T42" s="91">
        <f>2727/1.2</f>
        <v>2272.5</v>
      </c>
      <c r="U42" s="91">
        <f>2*U7</f>
        <v>2</v>
      </c>
      <c r="V42" s="91">
        <v>500</v>
      </c>
      <c r="W42" s="91">
        <v>1300</v>
      </c>
      <c r="X42" s="91">
        <v>3200</v>
      </c>
      <c r="Y42" s="91">
        <v>3200</v>
      </c>
      <c r="Z42" s="91">
        <v>3600</v>
      </c>
      <c r="AA42" s="91">
        <v>3600</v>
      </c>
      <c r="AB42" s="91">
        <v>3600</v>
      </c>
      <c r="AC42" s="91">
        <v>4500</v>
      </c>
      <c r="AD42" s="315">
        <f t="shared" si="75"/>
        <v>31228.5</v>
      </c>
      <c r="AE42" s="23"/>
      <c r="AF42" s="316">
        <v>4000</v>
      </c>
      <c r="AG42" s="91">
        <v>1500</v>
      </c>
      <c r="AH42" s="91">
        <v>189</v>
      </c>
      <c r="AI42" s="91">
        <v>1842</v>
      </c>
      <c r="AJ42" s="91">
        <v>3764</v>
      </c>
      <c r="AK42" s="91">
        <v>3200</v>
      </c>
      <c r="AL42" s="91">
        <v>6000</v>
      </c>
      <c r="AM42" s="91">
        <v>5000</v>
      </c>
      <c r="AN42" s="91">
        <v>5000</v>
      </c>
      <c r="AO42" s="91">
        <v>5000</v>
      </c>
      <c r="AP42" s="91">
        <v>5000</v>
      </c>
      <c r="AQ42" s="91">
        <v>9000</v>
      </c>
      <c r="AR42" s="92">
        <f t="shared" si="76"/>
        <v>49495</v>
      </c>
      <c r="AS42" s="23"/>
      <c r="AT42" s="91">
        <v>5468</v>
      </c>
      <c r="AU42" s="91">
        <v>5468</v>
      </c>
      <c r="AV42" s="91">
        <v>6249</v>
      </c>
      <c r="AW42" s="91">
        <v>6249</v>
      </c>
      <c r="AX42" s="317">
        <v>3923</v>
      </c>
      <c r="AY42" s="317">
        <v>3923</v>
      </c>
      <c r="AZ42" s="317">
        <v>3745</v>
      </c>
      <c r="BA42" s="317">
        <v>3745</v>
      </c>
      <c r="BB42" s="317">
        <v>3923</v>
      </c>
      <c r="BC42" s="317">
        <v>4636</v>
      </c>
      <c r="BD42" s="317">
        <v>4993</v>
      </c>
      <c r="BE42" s="317">
        <v>7133</v>
      </c>
      <c r="BF42" s="91">
        <f t="shared" si="77"/>
        <v>59455</v>
      </c>
      <c r="BG42" s="93">
        <f t="shared" si="78"/>
        <v>0.20123244772199222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40562</v>
      </c>
      <c r="BU42" s="54"/>
      <c r="BV42" s="91">
        <v>4442.6099999999997</v>
      </c>
      <c r="BW42" s="91">
        <v>3433.56</v>
      </c>
      <c r="BX42" s="91">
        <f>'META  EM PEÇAS'!U27-('META  EM PEÇAS'!U27*0.05)</f>
        <v>3860.0114999999996</v>
      </c>
      <c r="BY42" s="91">
        <f>'META  EM PEÇAS'!V27-('META  EM PEÇAS'!V27*0.05)</f>
        <v>3578.1749999999997</v>
      </c>
      <c r="BZ42" s="91">
        <f>'META  EM PEÇAS'!W27-('META  EM PEÇAS'!W27*0.05)</f>
        <v>4015.5074999999997</v>
      </c>
      <c r="CA42" s="91">
        <f>'META  EM PEÇAS'!X27-('META  EM PEÇAS'!X27*0.05)</f>
        <v>4835.3954999999996</v>
      </c>
      <c r="CB42" s="91">
        <f>'META  EM PEÇAS'!Y27-('META  EM PEÇAS'!Y27*0.05)</f>
        <v>5815.1969999999992</v>
      </c>
      <c r="CC42" s="91">
        <f>'META  EM PEÇAS'!Z27-('META  EM PEÇAS'!Z27*0.05)</f>
        <v>3888.2835</v>
      </c>
      <c r="CD42" s="91">
        <f>'META  EM PEÇAS'!AA27-('META  EM PEÇAS'!AA27*0.05)</f>
        <v>4032.2939999999994</v>
      </c>
      <c r="CE42" s="91">
        <f>'META  EM PEÇAS'!AB27-('META  EM PEÇAS'!AB27*0.05)</f>
        <v>4375.0919999999996</v>
      </c>
      <c r="CF42" s="91">
        <f>'META  EM PEÇAS'!AC27-('META  EM PEÇAS'!AC27*0.05)</f>
        <v>5604.9239999999991</v>
      </c>
      <c r="CG42" s="91">
        <f>'META  EM PEÇAS'!AD27-('META  EM PEÇAS'!AD27*0.05)</f>
        <v>7897.606499999999</v>
      </c>
      <c r="CH42" s="91">
        <f>SUM(BV42:CG42)</f>
        <v>55778.656499999997</v>
      </c>
      <c r="CJ42" s="91">
        <v>4442.6099999999997</v>
      </c>
      <c r="CK42" s="91">
        <v>3433.56</v>
      </c>
      <c r="CL42" s="91">
        <v>3860.0114999999996</v>
      </c>
      <c r="CM42" s="91">
        <v>3578.1749999999997</v>
      </c>
      <c r="CN42" s="91">
        <v>4015.5074999999997</v>
      </c>
      <c r="CO42" s="91">
        <v>4835.3954999999996</v>
      </c>
      <c r="CP42" s="91">
        <v>5815.1969999999992</v>
      </c>
      <c r="CQ42" s="91">
        <v>3888.2835</v>
      </c>
      <c r="CR42" s="91">
        <v>4032.2939999999994</v>
      </c>
      <c r="CS42" s="91">
        <v>4375.0919999999996</v>
      </c>
      <c r="CT42" s="91">
        <v>5604.9239999999991</v>
      </c>
      <c r="CU42" s="91">
        <v>7897.606499999999</v>
      </c>
      <c r="CV42" s="91">
        <v>55778.656499999997</v>
      </c>
      <c r="CW42" s="758"/>
      <c r="CX42" s="884">
        <v>4442.6099999999997</v>
      </c>
      <c r="CY42" s="884">
        <v>3433.56</v>
      </c>
      <c r="CZ42" s="884">
        <v>3860.0114999999996</v>
      </c>
      <c r="DA42" s="884">
        <v>3578.1749999999997</v>
      </c>
      <c r="DB42" s="884">
        <v>4015.5074999999997</v>
      </c>
      <c r="DC42" s="884">
        <v>4835.3954999999996</v>
      </c>
      <c r="DD42" s="884">
        <v>5815.1969999999992</v>
      </c>
      <c r="DE42" s="884">
        <v>3888.2835</v>
      </c>
      <c r="DF42" s="884">
        <v>4032.2939999999994</v>
      </c>
      <c r="DG42" s="884">
        <v>4375.0919999999996</v>
      </c>
      <c r="DH42" s="884">
        <v>5604.9239999999991</v>
      </c>
      <c r="DI42" s="884">
        <v>7897.606499999999</v>
      </c>
      <c r="DJ42" s="91">
        <v>55778.656499999997</v>
      </c>
      <c r="DK42" s="948"/>
      <c r="DL42" s="884">
        <v>4442.6099999999997</v>
      </c>
      <c r="DM42" s="884">
        <v>3433.56</v>
      </c>
      <c r="DN42" s="884">
        <v>3860.0114999999996</v>
      </c>
      <c r="DO42" s="884">
        <v>3578.1749999999997</v>
      </c>
      <c r="DP42" s="884">
        <v>4015.5074999999997</v>
      </c>
      <c r="DQ42" s="884">
        <v>4835.3954999999996</v>
      </c>
      <c r="DR42" s="884">
        <v>5815.1969999999992</v>
      </c>
      <c r="DS42" s="884">
        <v>3888.2835</v>
      </c>
      <c r="DT42" s="884">
        <v>4032.2939999999994</v>
      </c>
      <c r="DU42" s="884">
        <v>4375.0919999999996</v>
      </c>
      <c r="DV42" s="884">
        <v>5604.9239999999991</v>
      </c>
      <c r="DW42" s="884">
        <v>7897.606499999999</v>
      </c>
      <c r="DX42" s="91">
        <v>55778.656499999997</v>
      </c>
    </row>
    <row r="43" spans="1:129" ht="15" hidden="1" customHeight="1" outlineLevel="1">
      <c r="A43" s="94">
        <v>3</v>
      </c>
      <c r="B43" s="1079" t="s">
        <v>58</v>
      </c>
      <c r="C43" s="1120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>
        <f t="shared" si="74"/>
        <v>0</v>
      </c>
      <c r="Q43" s="90"/>
      <c r="R43" s="313">
        <v>746</v>
      </c>
      <c r="S43" s="91">
        <v>653</v>
      </c>
      <c r="T43" s="91">
        <v>700</v>
      </c>
      <c r="U43" s="91">
        <v>0</v>
      </c>
      <c r="V43" s="91">
        <v>200</v>
      </c>
      <c r="W43" s="91">
        <v>400</v>
      </c>
      <c r="X43" s="91">
        <v>900</v>
      </c>
      <c r="Y43" s="91">
        <v>900</v>
      </c>
      <c r="Z43" s="91">
        <v>900</v>
      </c>
      <c r="AA43" s="91">
        <v>900</v>
      </c>
      <c r="AB43" s="91">
        <v>900</v>
      </c>
      <c r="AC43" s="91">
        <v>1200</v>
      </c>
      <c r="AD43" s="315">
        <f t="shared" si="75"/>
        <v>8399</v>
      </c>
      <c r="AE43" s="23"/>
      <c r="AF43" s="316">
        <v>1800</v>
      </c>
      <c r="AG43" s="91">
        <v>1200</v>
      </c>
      <c r="AH43" s="91">
        <v>230</v>
      </c>
      <c r="AI43" s="91">
        <v>472</v>
      </c>
      <c r="AJ43" s="91">
        <v>1495</v>
      </c>
      <c r="AK43" s="91">
        <v>1200</v>
      </c>
      <c r="AL43" s="91">
        <v>1500</v>
      </c>
      <c r="AM43" s="91">
        <v>1500</v>
      </c>
      <c r="AN43" s="91">
        <v>1500</v>
      </c>
      <c r="AO43" s="91">
        <v>1500</v>
      </c>
      <c r="AP43" s="91">
        <v>1650</v>
      </c>
      <c r="AQ43" s="91">
        <v>2400</v>
      </c>
      <c r="AR43" s="92">
        <f t="shared" si="76"/>
        <v>16447</v>
      </c>
      <c r="AS43" s="23"/>
      <c r="AT43" s="91">
        <v>2438</v>
      </c>
      <c r="AU43" s="91">
        <v>1501</v>
      </c>
      <c r="AV43" s="91">
        <v>1566</v>
      </c>
      <c r="AW43" s="91">
        <v>2127</v>
      </c>
      <c r="AX43" s="317">
        <v>1928</v>
      </c>
      <c r="AY43" s="317">
        <v>1928</v>
      </c>
      <c r="AZ43" s="317">
        <v>1840</v>
      </c>
      <c r="BA43" s="317">
        <v>1840</v>
      </c>
      <c r="BB43" s="317">
        <v>1928</v>
      </c>
      <c r="BC43" s="317">
        <v>2278</v>
      </c>
      <c r="BD43" s="317">
        <v>2454</v>
      </c>
      <c r="BE43" s="317">
        <v>3505</v>
      </c>
      <c r="BF43" s="91">
        <f t="shared" si="77"/>
        <v>25333</v>
      </c>
      <c r="BG43" s="93">
        <f t="shared" si="78"/>
        <v>0.54028090229221126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7784</v>
      </c>
      <c r="BU43" s="54"/>
      <c r="BV43" s="91">
        <v>450.99999999999989</v>
      </c>
      <c r="BW43" s="91">
        <v>348.59999999999991</v>
      </c>
      <c r="BX43" s="91">
        <f>'META  EM PEÇAS'!U28-('META  EM PEÇAS'!U28*0.05)</f>
        <v>391.96999999999991</v>
      </c>
      <c r="BY43" s="91">
        <f>'META  EM PEÇAS'!V28-('META  EM PEÇAS'!V28*0.05)</f>
        <v>363.27999999999992</v>
      </c>
      <c r="BZ43" s="91">
        <f>'META  EM PEÇAS'!W28-('META  EM PEÇAS'!W28*0.05)</f>
        <v>407.5499999999999</v>
      </c>
      <c r="CA43" s="91">
        <f>'META  EM PEÇAS'!X28-('META  EM PEÇAS'!X28*0.05)</f>
        <v>490.76999999999992</v>
      </c>
      <c r="CB43" s="91">
        <f>'META  EM PEÇAS'!Y28-('META  EM PEÇAS'!Y28*0.05)</f>
        <v>590.32999999999993</v>
      </c>
      <c r="CC43" s="91">
        <f>'META  EM PEÇAS'!Z28-('META  EM PEÇAS'!Z28*0.05)</f>
        <v>394.62999999999994</v>
      </c>
      <c r="CD43" s="91">
        <f>'META  EM PEÇAS'!AA28-('META  EM PEÇAS'!AA28*0.05)</f>
        <v>409.25999999999988</v>
      </c>
      <c r="CE43" s="91">
        <f>'META  EM PEÇAS'!AB28-('META  EM PEÇAS'!AB28*0.05)</f>
        <v>444.21999999999991</v>
      </c>
      <c r="CF43" s="91">
        <f>'META  EM PEÇAS'!AC28-('META  EM PEÇAS'!AC28*0.05)</f>
        <v>569.04999999999984</v>
      </c>
      <c r="CG43" s="91">
        <f>'META  EM PEÇAS'!AD28-('META  EM PEÇAS'!AD28*0.05)</f>
        <v>801.79999999999973</v>
      </c>
      <c r="CH43" s="91">
        <f t="shared" ref="CH43:CH56" si="79">SUM(BV43:CG43)</f>
        <v>5662.4599999999991</v>
      </c>
      <c r="CJ43" s="91">
        <v>450.99999999999989</v>
      </c>
      <c r="CK43" s="91">
        <v>348.59999999999991</v>
      </c>
      <c r="CL43" s="91">
        <v>391.96999999999991</v>
      </c>
      <c r="CM43" s="91">
        <v>363.27999999999992</v>
      </c>
      <c r="CN43" s="91">
        <v>407.5499999999999</v>
      </c>
      <c r="CO43" s="91">
        <v>490.76999999999992</v>
      </c>
      <c r="CP43" s="91">
        <v>590.32999999999993</v>
      </c>
      <c r="CQ43" s="91">
        <v>394.62999999999994</v>
      </c>
      <c r="CR43" s="91">
        <v>409.25999999999988</v>
      </c>
      <c r="CS43" s="91">
        <v>444.21999999999991</v>
      </c>
      <c r="CT43" s="91">
        <v>569.04999999999984</v>
      </c>
      <c r="CU43" s="91">
        <v>801.79999999999973</v>
      </c>
      <c r="CV43" s="91">
        <v>5662.4599999999991</v>
      </c>
      <c r="CW43" s="758"/>
      <c r="CX43" s="884">
        <v>450.99999999999989</v>
      </c>
      <c r="CY43" s="884">
        <v>348.59999999999991</v>
      </c>
      <c r="CZ43" s="884">
        <v>391.96999999999991</v>
      </c>
      <c r="DA43" s="884">
        <v>363.27999999999992</v>
      </c>
      <c r="DB43" s="884">
        <v>407.5499999999999</v>
      </c>
      <c r="DC43" s="884">
        <v>490.76999999999992</v>
      </c>
      <c r="DD43" s="884">
        <v>590.32999999999993</v>
      </c>
      <c r="DE43" s="884">
        <v>394.62999999999994</v>
      </c>
      <c r="DF43" s="884">
        <v>409.25999999999988</v>
      </c>
      <c r="DG43" s="884">
        <v>444.21999999999991</v>
      </c>
      <c r="DH43" s="884">
        <v>569.04999999999984</v>
      </c>
      <c r="DI43" s="884">
        <v>801.79999999999973</v>
      </c>
      <c r="DJ43" s="91">
        <v>5662.4599999999991</v>
      </c>
      <c r="DK43" s="948"/>
      <c r="DL43" s="884">
        <v>450.99999999999989</v>
      </c>
      <c r="DM43" s="884">
        <v>348.59999999999991</v>
      </c>
      <c r="DN43" s="884">
        <v>391.96999999999991</v>
      </c>
      <c r="DO43" s="884">
        <v>363.27999999999992</v>
      </c>
      <c r="DP43" s="884">
        <v>407.5499999999999</v>
      </c>
      <c r="DQ43" s="884">
        <v>490.76999999999992</v>
      </c>
      <c r="DR43" s="884">
        <v>590.32999999999993</v>
      </c>
      <c r="DS43" s="884">
        <v>394.62999999999994</v>
      </c>
      <c r="DT43" s="884">
        <v>409.25999999999988</v>
      </c>
      <c r="DU43" s="884">
        <v>444.21999999999991</v>
      </c>
      <c r="DV43" s="884">
        <v>569.04999999999984</v>
      </c>
      <c r="DW43" s="884">
        <v>801.79999999999973</v>
      </c>
      <c r="DX43" s="91">
        <v>5662.4599999999991</v>
      </c>
    </row>
    <row r="44" spans="1:129" ht="15" hidden="1" customHeight="1" outlineLevel="1">
      <c r="A44" s="94">
        <v>4</v>
      </c>
      <c r="B44" s="1079" t="s">
        <v>59</v>
      </c>
      <c r="C44" s="1120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>
        <f t="shared" si="74"/>
        <v>0</v>
      </c>
      <c r="Q44" s="90"/>
      <c r="R44" s="313">
        <v>1455</v>
      </c>
      <c r="S44" s="91">
        <f>2036</f>
        <v>2036</v>
      </c>
      <c r="T44" s="91">
        <f>2182/2</f>
        <v>1091</v>
      </c>
      <c r="U44" s="91">
        <v>0</v>
      </c>
      <c r="V44" s="91">
        <v>200</v>
      </c>
      <c r="W44" s="91">
        <v>900</v>
      </c>
      <c r="X44" s="91">
        <v>1600</v>
      </c>
      <c r="Y44" s="91">
        <v>1600</v>
      </c>
      <c r="Z44" s="91">
        <v>1600</v>
      </c>
      <c r="AA44" s="91">
        <v>1600</v>
      </c>
      <c r="AB44" s="91">
        <v>2200</v>
      </c>
      <c r="AC44" s="91">
        <v>2500</v>
      </c>
      <c r="AD44" s="315">
        <f t="shared" si="75"/>
        <v>16782</v>
      </c>
      <c r="AE44" s="23"/>
      <c r="AF44" s="316">
        <v>2200</v>
      </c>
      <c r="AG44" s="91">
        <v>1500</v>
      </c>
      <c r="AH44" s="91">
        <v>121</v>
      </c>
      <c r="AI44" s="91">
        <v>565</v>
      </c>
      <c r="AJ44" s="91">
        <v>1514</v>
      </c>
      <c r="AK44" s="91">
        <v>1760</v>
      </c>
      <c r="AL44" s="91">
        <v>1800</v>
      </c>
      <c r="AM44" s="91">
        <v>2200</v>
      </c>
      <c r="AN44" s="91">
        <v>2200</v>
      </c>
      <c r="AO44" s="91">
        <v>2200</v>
      </c>
      <c r="AP44" s="91">
        <v>2420</v>
      </c>
      <c r="AQ44" s="91">
        <v>3520</v>
      </c>
      <c r="AR44" s="92">
        <f t="shared" si="76"/>
        <v>22000</v>
      </c>
      <c r="AS44" s="23"/>
      <c r="AT44" s="91">
        <v>1529</v>
      </c>
      <c r="AU44" s="91">
        <v>1516</v>
      </c>
      <c r="AV44" s="91">
        <v>1586</v>
      </c>
      <c r="AW44" s="91">
        <v>1979</v>
      </c>
      <c r="AX44" s="317">
        <v>1283</v>
      </c>
      <c r="AY44" s="317">
        <v>1283</v>
      </c>
      <c r="AZ44" s="317">
        <v>1224</v>
      </c>
      <c r="BA44" s="317">
        <v>1224</v>
      </c>
      <c r="BB44" s="317">
        <v>1283</v>
      </c>
      <c r="BC44" s="317">
        <v>1516</v>
      </c>
      <c r="BD44" s="317">
        <v>1632</v>
      </c>
      <c r="BE44" s="317">
        <v>2332</v>
      </c>
      <c r="BF44" s="91">
        <f t="shared" si="77"/>
        <v>18387</v>
      </c>
      <c r="BG44" s="93">
        <f t="shared" si="78"/>
        <v>-0.16422727272727278</v>
      </c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>
        <v>9018</v>
      </c>
      <c r="BU44" s="54"/>
      <c r="BV44" s="91">
        <v>1143.8999999999999</v>
      </c>
      <c r="BW44" s="91">
        <v>884.43</v>
      </c>
      <c r="BX44" s="91">
        <f>'META  EM PEÇAS'!U29-('META  EM PEÇAS'!U29*0.05)</f>
        <v>993.9375</v>
      </c>
      <c r="BY44" s="91">
        <f>'META  EM PEÇAS'!V29-('META  EM PEÇAS'!V29*0.05)</f>
        <v>921.49049999999988</v>
      </c>
      <c r="BZ44" s="91">
        <f>'META  EM PEÇAS'!W29-('META  EM PEÇAS'!W29*0.05)</f>
        <v>1033.6949999999999</v>
      </c>
      <c r="CA44" s="91">
        <f>'META  EM PEÇAS'!X29-('META  EM PEÇAS'!X29*0.05)</f>
        <v>1244.8515</v>
      </c>
      <c r="CB44" s="91">
        <f>'META  EM PEÇAS'!Y29-('META  EM PEÇAS'!Y29*0.05)</f>
        <v>1497.5324999999998</v>
      </c>
      <c r="CC44" s="91">
        <f>'META  EM PEÇAS'!Z29-('META  EM PEÇAS'!Z29*0.05)</f>
        <v>1001.0054999999999</v>
      </c>
      <c r="CD44" s="91">
        <f>'META  EM PEÇAS'!AA29-('META  EM PEÇAS'!AA29*0.05)</f>
        <v>1038.1125</v>
      </c>
      <c r="CE44" s="91">
        <f>'META  EM PEÇAS'!AB29-('META  EM PEÇAS'!AB29*0.05)</f>
        <v>1126.4625000000001</v>
      </c>
      <c r="CF44" s="91">
        <f>'META  EM PEÇAS'!AC29-('META  EM PEÇAS'!AC29*0.05)</f>
        <v>1443.6389999999999</v>
      </c>
      <c r="CG44" s="91">
        <f>'META  EM PEÇAS'!AD29-('META  EM PEÇAS'!AD29*0.05)</f>
        <v>2033.8169999999998</v>
      </c>
      <c r="CH44" s="91">
        <f t="shared" si="79"/>
        <v>14362.873499999996</v>
      </c>
      <c r="CJ44" s="91">
        <v>1143.8999999999999</v>
      </c>
      <c r="CK44" s="91">
        <v>884.43</v>
      </c>
      <c r="CL44" s="91">
        <v>993.9375</v>
      </c>
      <c r="CM44" s="91">
        <v>921.49049999999988</v>
      </c>
      <c r="CN44" s="91">
        <v>1033.6949999999999</v>
      </c>
      <c r="CO44" s="91">
        <v>1244.8515</v>
      </c>
      <c r="CP44" s="91">
        <v>1497.5324999999998</v>
      </c>
      <c r="CQ44" s="91">
        <v>1001.0054999999999</v>
      </c>
      <c r="CR44" s="91">
        <v>1038.1125</v>
      </c>
      <c r="CS44" s="91">
        <v>1126.4625000000001</v>
      </c>
      <c r="CT44" s="91">
        <v>1443.6389999999999</v>
      </c>
      <c r="CU44" s="91">
        <v>2033.8169999999998</v>
      </c>
      <c r="CV44" s="91">
        <v>14362.873499999996</v>
      </c>
      <c r="CW44" s="758"/>
      <c r="CX44" s="884">
        <v>1143.8999999999999</v>
      </c>
      <c r="CY44" s="884">
        <v>884.43</v>
      </c>
      <c r="CZ44" s="884">
        <v>993.9375</v>
      </c>
      <c r="DA44" s="884">
        <v>921.49049999999988</v>
      </c>
      <c r="DB44" s="884">
        <v>1033.6949999999999</v>
      </c>
      <c r="DC44" s="884">
        <v>1244.8515</v>
      </c>
      <c r="DD44" s="884">
        <v>1497.5324999999998</v>
      </c>
      <c r="DE44" s="884">
        <v>1001.0054999999999</v>
      </c>
      <c r="DF44" s="884">
        <v>1038.1125</v>
      </c>
      <c r="DG44" s="884">
        <v>1126.4625000000001</v>
      </c>
      <c r="DH44" s="884">
        <v>1443.6389999999999</v>
      </c>
      <c r="DI44" s="884">
        <v>2033.8169999999998</v>
      </c>
      <c r="DJ44" s="91">
        <v>14362.873499999996</v>
      </c>
      <c r="DK44" s="948"/>
      <c r="DL44" s="884">
        <v>1143.8999999999999</v>
      </c>
      <c r="DM44" s="884">
        <v>884.43</v>
      </c>
      <c r="DN44" s="884">
        <v>993.9375</v>
      </c>
      <c r="DO44" s="884">
        <v>921.49049999999988</v>
      </c>
      <c r="DP44" s="884">
        <v>1033.6949999999999</v>
      </c>
      <c r="DQ44" s="884">
        <v>1244.8515</v>
      </c>
      <c r="DR44" s="884">
        <v>1497.5324999999998</v>
      </c>
      <c r="DS44" s="884">
        <v>1001.0054999999999</v>
      </c>
      <c r="DT44" s="884">
        <v>1038.1125</v>
      </c>
      <c r="DU44" s="884">
        <v>1126.4625000000001</v>
      </c>
      <c r="DV44" s="884">
        <v>1443.6389999999999</v>
      </c>
      <c r="DW44" s="884">
        <v>2033.8169999999998</v>
      </c>
      <c r="DX44" s="91">
        <v>14362.873499999996</v>
      </c>
    </row>
    <row r="45" spans="1:129" ht="15" hidden="1" customHeight="1" outlineLevel="1">
      <c r="A45" s="94">
        <v>5</v>
      </c>
      <c r="B45" s="1079" t="s">
        <v>60</v>
      </c>
      <c r="C45" s="1120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>
        <f t="shared" si="74"/>
        <v>0</v>
      </c>
      <c r="Q45" s="90"/>
      <c r="R45" s="313">
        <v>1353</v>
      </c>
      <c r="S45" s="91">
        <v>1184</v>
      </c>
      <c r="T45" s="91">
        <v>1268</v>
      </c>
      <c r="U45" s="91">
        <f t="shared" ref="U45:V45" si="80">10*U7</f>
        <v>10</v>
      </c>
      <c r="V45" s="91">
        <f t="shared" si="80"/>
        <v>120</v>
      </c>
      <c r="W45" s="91">
        <v>600</v>
      </c>
      <c r="X45" s="91">
        <v>1600</v>
      </c>
      <c r="Y45" s="91">
        <v>1600</v>
      </c>
      <c r="Z45" s="91">
        <v>1600</v>
      </c>
      <c r="AA45" s="91">
        <v>1600</v>
      </c>
      <c r="AB45" s="91">
        <v>1600</v>
      </c>
      <c r="AC45" s="91">
        <v>2200</v>
      </c>
      <c r="AD45" s="315">
        <f t="shared" si="75"/>
        <v>14735</v>
      </c>
      <c r="AE45" s="23"/>
      <c r="AF45" s="316">
        <v>1800</v>
      </c>
      <c r="AG45" s="91">
        <v>1200</v>
      </c>
      <c r="AH45" s="91">
        <v>181</v>
      </c>
      <c r="AI45" s="91">
        <v>628</v>
      </c>
      <c r="AJ45" s="91">
        <v>1169</v>
      </c>
      <c r="AK45" s="91">
        <v>960</v>
      </c>
      <c r="AL45" s="91">
        <v>1500</v>
      </c>
      <c r="AM45" s="91">
        <v>1200</v>
      </c>
      <c r="AN45" s="91">
        <v>1200</v>
      </c>
      <c r="AO45" s="91">
        <v>1200</v>
      </c>
      <c r="AP45" s="91">
        <v>1320</v>
      </c>
      <c r="AQ45" s="91">
        <v>1920</v>
      </c>
      <c r="AR45" s="92">
        <f t="shared" si="76"/>
        <v>14278</v>
      </c>
      <c r="AS45" s="23"/>
      <c r="AT45" s="91">
        <v>1496</v>
      </c>
      <c r="AU45" s="91">
        <v>1200</v>
      </c>
      <c r="AV45" s="91">
        <v>1227</v>
      </c>
      <c r="AW45" s="91">
        <v>1655</v>
      </c>
      <c r="AX45" s="317">
        <v>1141</v>
      </c>
      <c r="AY45" s="317">
        <v>1141</v>
      </c>
      <c r="AZ45" s="317">
        <v>1089</v>
      </c>
      <c r="BA45" s="317">
        <v>1089</v>
      </c>
      <c r="BB45" s="317">
        <v>1141</v>
      </c>
      <c r="BC45" s="317">
        <v>1349</v>
      </c>
      <c r="BD45" s="317">
        <v>1453</v>
      </c>
      <c r="BE45" s="317">
        <v>2075</v>
      </c>
      <c r="BF45" s="91">
        <f t="shared" si="77"/>
        <v>16056</v>
      </c>
      <c r="BG45" s="93">
        <f t="shared" si="78"/>
        <v>0.1245272447121446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>
        <v>10591</v>
      </c>
      <c r="BU45" s="54"/>
      <c r="BV45" s="91">
        <v>1474.9799999999998</v>
      </c>
      <c r="BW45" s="91">
        <v>1140.1799999999998</v>
      </c>
      <c r="BX45" s="91">
        <f>'META  EM PEÇAS'!U30-('META  EM PEÇAS'!U30*0.05)</f>
        <v>1281.9584999999997</v>
      </c>
      <c r="BY45" s="91">
        <f>'META  EM PEÇAS'!V30-('META  EM PEÇAS'!V30*0.05)</f>
        <v>1188.3074999999999</v>
      </c>
      <c r="BZ45" s="91">
        <f>'META  EM PEÇAS'!W30-('META  EM PEÇAS'!W30*0.05)</f>
        <v>1333.2014999999999</v>
      </c>
      <c r="CA45" s="91">
        <f>'META  EM PEÇAS'!X30-('META  EM PEÇAS'!X30*0.05)</f>
        <v>1606.2029999999997</v>
      </c>
      <c r="CB45" s="91">
        <f>'META  EM PEÇAS'!Y30-('META  EM PEÇAS'!Y30*0.05)</f>
        <v>1931.3309999999997</v>
      </c>
      <c r="CC45" s="91">
        <f>'META  EM PEÇAS'!Z30-('META  EM PEÇAS'!Z30*0.05)</f>
        <v>1291.6769999999999</v>
      </c>
      <c r="CD45" s="91">
        <f>'META  EM PEÇAS'!AA30-('META  EM PEÇAS'!AA30*0.05)</f>
        <v>1339.386</v>
      </c>
      <c r="CE45" s="91">
        <f>'META  EM PEÇAS'!AB30-('META  EM PEÇAS'!AB30*0.05)</f>
        <v>1453.3574999999998</v>
      </c>
      <c r="CF45" s="91">
        <f>'META  EM PEÇAS'!AC30-('META  EM PEÇAS'!AC30*0.05)</f>
        <v>1861.5344999999998</v>
      </c>
      <c r="CG45" s="91">
        <f>'META  EM PEÇAS'!AD30-('META  EM PEÇAS'!AD30*0.05)</f>
        <v>2623.1114999999995</v>
      </c>
      <c r="CH45" s="91">
        <f t="shared" si="79"/>
        <v>18525.227999999999</v>
      </c>
      <c r="CI45" s="450"/>
      <c r="CJ45" s="91">
        <v>1474.9799999999998</v>
      </c>
      <c r="CK45" s="91">
        <v>1140.1799999999998</v>
      </c>
      <c r="CL45" s="91">
        <v>1281.9584999999997</v>
      </c>
      <c r="CM45" s="91">
        <v>1188.3074999999999</v>
      </c>
      <c r="CN45" s="91">
        <v>1333.2014999999999</v>
      </c>
      <c r="CO45" s="91">
        <v>1606.2029999999997</v>
      </c>
      <c r="CP45" s="91">
        <v>1931.3309999999997</v>
      </c>
      <c r="CQ45" s="91">
        <v>1291.6769999999999</v>
      </c>
      <c r="CR45" s="91">
        <v>1339.386</v>
      </c>
      <c r="CS45" s="91">
        <v>1453.3574999999998</v>
      </c>
      <c r="CT45" s="91">
        <v>1861.5344999999998</v>
      </c>
      <c r="CU45" s="91">
        <v>2623.1114999999995</v>
      </c>
      <c r="CV45" s="91">
        <v>18525.227999999999</v>
      </c>
      <c r="CW45" s="758"/>
      <c r="CX45" s="884">
        <v>1474.9799999999998</v>
      </c>
      <c r="CY45" s="884">
        <v>1140.1799999999998</v>
      </c>
      <c r="CZ45" s="884">
        <v>1281.9584999999997</v>
      </c>
      <c r="DA45" s="884">
        <v>1188.3074999999999</v>
      </c>
      <c r="DB45" s="884">
        <v>1333.2014999999999</v>
      </c>
      <c r="DC45" s="884">
        <v>1606.2029999999997</v>
      </c>
      <c r="DD45" s="884">
        <v>1931.3309999999997</v>
      </c>
      <c r="DE45" s="884">
        <v>1291.6769999999999</v>
      </c>
      <c r="DF45" s="884">
        <v>1339.386</v>
      </c>
      <c r="DG45" s="884">
        <v>1453.3574999999998</v>
      </c>
      <c r="DH45" s="884">
        <v>1861.5344999999998</v>
      </c>
      <c r="DI45" s="884">
        <v>2623.1114999999995</v>
      </c>
      <c r="DJ45" s="91">
        <v>18525.227999999999</v>
      </c>
      <c r="DK45" s="948"/>
      <c r="DL45" s="884">
        <v>1474.9799999999998</v>
      </c>
      <c r="DM45" s="884">
        <v>1140.1799999999998</v>
      </c>
      <c r="DN45" s="884">
        <v>1281.9584999999997</v>
      </c>
      <c r="DO45" s="884">
        <v>1188.3074999999999</v>
      </c>
      <c r="DP45" s="884">
        <v>1333.2014999999999</v>
      </c>
      <c r="DQ45" s="884">
        <v>1606.2029999999997</v>
      </c>
      <c r="DR45" s="884">
        <v>1931.3309999999997</v>
      </c>
      <c r="DS45" s="884">
        <v>1291.6769999999999</v>
      </c>
      <c r="DT45" s="884">
        <v>1339.386</v>
      </c>
      <c r="DU45" s="884">
        <v>1453.3574999999998</v>
      </c>
      <c r="DV45" s="884">
        <v>1861.5344999999998</v>
      </c>
      <c r="DW45" s="884">
        <v>2623.1114999999995</v>
      </c>
      <c r="DX45" s="91">
        <v>18525.227999999999</v>
      </c>
    </row>
    <row r="46" spans="1:129" ht="15" hidden="1" customHeight="1" outlineLevel="1">
      <c r="A46" s="94">
        <v>6</v>
      </c>
      <c r="B46" s="1079" t="s">
        <v>61</v>
      </c>
      <c r="C46" s="1120"/>
      <c r="D46" s="313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314">
        <f t="shared" si="74"/>
        <v>0</v>
      </c>
      <c r="Q46" s="90"/>
      <c r="R46" s="313">
        <v>1455</v>
      </c>
      <c r="S46" s="91">
        <v>1273</v>
      </c>
      <c r="T46" s="91">
        <v>1364</v>
      </c>
      <c r="U46" s="91">
        <v>0</v>
      </c>
      <c r="V46" s="91">
        <v>200</v>
      </c>
      <c r="W46" s="91">
        <v>800</v>
      </c>
      <c r="X46" s="91">
        <v>1600</v>
      </c>
      <c r="Y46" s="91">
        <v>1600</v>
      </c>
      <c r="Z46" s="91">
        <v>1600</v>
      </c>
      <c r="AA46" s="91">
        <v>1600</v>
      </c>
      <c r="AB46" s="91">
        <v>1800</v>
      </c>
      <c r="AC46" s="91">
        <v>2400</v>
      </c>
      <c r="AD46" s="315">
        <f t="shared" si="75"/>
        <v>15692</v>
      </c>
      <c r="AE46" s="23"/>
      <c r="AF46" s="316">
        <v>1500</v>
      </c>
      <c r="AG46" s="91">
        <v>1200</v>
      </c>
      <c r="AH46" s="91">
        <v>127</v>
      </c>
      <c r="AI46" s="91">
        <v>426</v>
      </c>
      <c r="AJ46" s="91">
        <v>1063</v>
      </c>
      <c r="AK46" s="91">
        <v>960</v>
      </c>
      <c r="AL46" s="91">
        <v>1500</v>
      </c>
      <c r="AM46" s="91">
        <v>1200</v>
      </c>
      <c r="AN46" s="91">
        <v>1200</v>
      </c>
      <c r="AO46" s="91">
        <v>1200</v>
      </c>
      <c r="AP46" s="91">
        <v>1320</v>
      </c>
      <c r="AQ46" s="91">
        <v>1920</v>
      </c>
      <c r="AR46" s="92">
        <f t="shared" si="76"/>
        <v>13616</v>
      </c>
      <c r="AS46" s="23"/>
      <c r="AT46" s="91">
        <v>1222</v>
      </c>
      <c r="AU46" s="91">
        <v>1200</v>
      </c>
      <c r="AV46" s="91">
        <v>1117</v>
      </c>
      <c r="AW46" s="91">
        <v>1463</v>
      </c>
      <c r="AX46" s="317">
        <v>1087</v>
      </c>
      <c r="AY46" s="317">
        <v>1087</v>
      </c>
      <c r="AZ46" s="317">
        <v>1038</v>
      </c>
      <c r="BA46" s="317">
        <v>1038</v>
      </c>
      <c r="BB46" s="317">
        <v>1087</v>
      </c>
      <c r="BC46" s="317">
        <v>1285</v>
      </c>
      <c r="BD46" s="317">
        <v>1384</v>
      </c>
      <c r="BE46" s="317">
        <v>1977</v>
      </c>
      <c r="BF46" s="91">
        <f t="shared" si="77"/>
        <v>14985</v>
      </c>
      <c r="BG46" s="93">
        <f t="shared" si="78"/>
        <v>0.10054347826086962</v>
      </c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>
        <v>10087</v>
      </c>
      <c r="BU46" s="54"/>
      <c r="BV46" s="91">
        <v>1214.58</v>
      </c>
      <c r="BW46" s="91">
        <v>939.3</v>
      </c>
      <c r="BX46" s="91">
        <f>'META  EM PEÇAS'!U31-('META  EM PEÇAS'!U31*0.05)</f>
        <v>1055.7824999999998</v>
      </c>
      <c r="BY46" s="91">
        <f>'META  EM PEÇAS'!V31-('META  EM PEÇAS'!V31*0.05)</f>
        <v>978.03449999999998</v>
      </c>
      <c r="BZ46" s="91">
        <f>'META  EM PEÇAS'!W31-('META  EM PEÇAS'!W31*0.05)</f>
        <v>1098.1904999999999</v>
      </c>
      <c r="CA46" s="91">
        <f>'META  EM PEÇAS'!X31-('META  EM PEÇAS'!X31*0.05)</f>
        <v>1322.5994999999998</v>
      </c>
      <c r="CB46" s="91">
        <f>'META  EM PEÇAS'!Y31-('META  EM PEÇAS'!Y31*0.05)</f>
        <v>1590.3</v>
      </c>
      <c r="CC46" s="91">
        <f>'META  EM PEÇAS'!Z31-('META  EM PEÇAS'!Z31*0.05)</f>
        <v>1062.8505</v>
      </c>
      <c r="CD46" s="91">
        <f>'META  EM PEÇAS'!AA31-('META  EM PEÇAS'!AA31*0.05)</f>
        <v>1102.6079999999999</v>
      </c>
      <c r="CE46" s="91">
        <f>'META  EM PEÇAS'!AB31-('META  EM PEÇAS'!AB31*0.05)</f>
        <v>1196.259</v>
      </c>
      <c r="CF46" s="91">
        <f>'META  EM PEÇAS'!AC31-('META  EM PEÇAS'!AC31*0.05)</f>
        <v>1532.8724999999999</v>
      </c>
      <c r="CG46" s="91">
        <f>'META  EM PEÇAS'!AD31-('META  EM PEÇAS'!AD31*0.05)</f>
        <v>2160.1574999999998</v>
      </c>
      <c r="CH46" s="91">
        <f t="shared" si="79"/>
        <v>15253.534499999998</v>
      </c>
      <c r="CJ46" s="91">
        <v>1214.58</v>
      </c>
      <c r="CK46" s="91">
        <v>939.3</v>
      </c>
      <c r="CL46" s="91">
        <v>1055.7824999999998</v>
      </c>
      <c r="CM46" s="91">
        <v>978.03449999999998</v>
      </c>
      <c r="CN46" s="91">
        <v>1098.1904999999999</v>
      </c>
      <c r="CO46" s="91">
        <v>1322.5994999999998</v>
      </c>
      <c r="CP46" s="91">
        <v>1590.3</v>
      </c>
      <c r="CQ46" s="91">
        <v>1062.8505</v>
      </c>
      <c r="CR46" s="91">
        <v>1102.6079999999999</v>
      </c>
      <c r="CS46" s="91">
        <v>1196.259</v>
      </c>
      <c r="CT46" s="91">
        <v>1532.8724999999999</v>
      </c>
      <c r="CU46" s="91">
        <v>2160.1574999999998</v>
      </c>
      <c r="CV46" s="91">
        <v>15253.534499999998</v>
      </c>
      <c r="CW46" s="758"/>
      <c r="CX46" s="884">
        <v>1214.58</v>
      </c>
      <c r="CY46" s="884">
        <v>939.3</v>
      </c>
      <c r="CZ46" s="884">
        <v>1055.7824999999998</v>
      </c>
      <c r="DA46" s="884">
        <v>978.03449999999998</v>
      </c>
      <c r="DB46" s="884">
        <v>1098.1904999999999</v>
      </c>
      <c r="DC46" s="884">
        <v>1322.5994999999998</v>
      </c>
      <c r="DD46" s="884">
        <v>1590.3</v>
      </c>
      <c r="DE46" s="884">
        <v>1062.8505</v>
      </c>
      <c r="DF46" s="884">
        <v>1102.6079999999999</v>
      </c>
      <c r="DG46" s="884">
        <v>1196.259</v>
      </c>
      <c r="DH46" s="884">
        <v>1532.8724999999999</v>
      </c>
      <c r="DI46" s="884">
        <v>2160.1574999999998</v>
      </c>
      <c r="DJ46" s="91">
        <v>15253.534499999998</v>
      </c>
      <c r="DK46" s="948"/>
      <c r="DL46" s="884">
        <v>1214.58</v>
      </c>
      <c r="DM46" s="884">
        <v>939.3</v>
      </c>
      <c r="DN46" s="884">
        <v>1055.7824999999998</v>
      </c>
      <c r="DO46" s="884">
        <v>978.03449999999998</v>
      </c>
      <c r="DP46" s="884">
        <v>1098.1904999999999</v>
      </c>
      <c r="DQ46" s="884">
        <v>1322.5994999999998</v>
      </c>
      <c r="DR46" s="884">
        <v>1590.3</v>
      </c>
      <c r="DS46" s="884">
        <v>1062.8505</v>
      </c>
      <c r="DT46" s="884">
        <v>1102.6079999999999</v>
      </c>
      <c r="DU46" s="884">
        <v>1196.259</v>
      </c>
      <c r="DV46" s="884">
        <v>1532.8724999999999</v>
      </c>
      <c r="DW46" s="884">
        <v>2160.1574999999998</v>
      </c>
      <c r="DX46" s="91">
        <v>15253.534499999998</v>
      </c>
    </row>
    <row r="47" spans="1:129" ht="15" hidden="1" customHeight="1" outlineLevel="1">
      <c r="A47" s="94">
        <v>7</v>
      </c>
      <c r="B47" s="1079" t="s">
        <v>62</v>
      </c>
      <c r="C47" s="1120"/>
      <c r="D47" s="313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314">
        <f t="shared" si="74"/>
        <v>0</v>
      </c>
      <c r="Q47" s="90"/>
      <c r="R47" s="313">
        <v>2000</v>
      </c>
      <c r="S47" s="91">
        <f>2182</f>
        <v>2182</v>
      </c>
      <c r="T47" s="91">
        <f>2455/2</f>
        <v>1227.5</v>
      </c>
      <c r="U47" s="91">
        <f>4*U7</f>
        <v>4</v>
      </c>
      <c r="V47" s="91">
        <v>200</v>
      </c>
      <c r="W47" s="91">
        <v>700</v>
      </c>
      <c r="X47" s="91">
        <v>1600</v>
      </c>
      <c r="Y47" s="91">
        <v>1600</v>
      </c>
      <c r="Z47" s="91">
        <v>1600</v>
      </c>
      <c r="AA47" s="91">
        <v>1600</v>
      </c>
      <c r="AB47" s="91">
        <v>2500</v>
      </c>
      <c r="AC47" s="91">
        <v>3200</v>
      </c>
      <c r="AD47" s="315">
        <f t="shared" si="75"/>
        <v>18413.5</v>
      </c>
      <c r="AE47" s="23"/>
      <c r="AF47" s="316">
        <v>2600</v>
      </c>
      <c r="AG47" s="91">
        <v>1000</v>
      </c>
      <c r="AH47" s="91">
        <v>195</v>
      </c>
      <c r="AI47" s="91">
        <v>844</v>
      </c>
      <c r="AJ47" s="91">
        <v>1973</v>
      </c>
      <c r="AK47" s="91">
        <v>1840</v>
      </c>
      <c r="AL47" s="91">
        <v>2000</v>
      </c>
      <c r="AM47" s="91">
        <v>2300</v>
      </c>
      <c r="AN47" s="91">
        <v>2300</v>
      </c>
      <c r="AO47" s="91">
        <v>2300</v>
      </c>
      <c r="AP47" s="91">
        <v>2530</v>
      </c>
      <c r="AQ47" s="91">
        <v>3680</v>
      </c>
      <c r="AR47" s="92">
        <f t="shared" si="76"/>
        <v>23562</v>
      </c>
      <c r="AS47" s="23"/>
      <c r="AT47" s="91">
        <v>1888</v>
      </c>
      <c r="AU47" s="91">
        <v>1414</v>
      </c>
      <c r="AV47" s="91">
        <v>2073</v>
      </c>
      <c r="AW47" s="91">
        <v>2338</v>
      </c>
      <c r="AX47" s="317">
        <v>1857</v>
      </c>
      <c r="AY47" s="317">
        <v>1857</v>
      </c>
      <c r="AZ47" s="317">
        <v>1772</v>
      </c>
      <c r="BA47" s="317">
        <v>1772</v>
      </c>
      <c r="BB47" s="317">
        <v>1857</v>
      </c>
      <c r="BC47" s="317">
        <v>2194</v>
      </c>
      <c r="BD47" s="317">
        <v>2363</v>
      </c>
      <c r="BE47" s="317">
        <v>3376</v>
      </c>
      <c r="BF47" s="91">
        <f t="shared" si="77"/>
        <v>24761</v>
      </c>
      <c r="BG47" s="93">
        <f t="shared" si="78"/>
        <v>5.0887021475256811E-2</v>
      </c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>
        <v>22941</v>
      </c>
      <c r="BU47" s="54"/>
      <c r="BV47" s="91">
        <v>3211.29</v>
      </c>
      <c r="BW47" s="91">
        <v>2482.1699999999996</v>
      </c>
      <c r="BX47" s="91">
        <f>'META  EM PEÇAS'!U32-('META  EM PEÇAS'!U32*0.05)</f>
        <v>2790.0929999999998</v>
      </c>
      <c r="BY47" s="91">
        <f>'META  EM PEÇAS'!V32-('META  EM PEÇAS'!V32*0.05)</f>
        <v>2586.0044999999996</v>
      </c>
      <c r="BZ47" s="91">
        <f>'META  EM PEÇAS'!W32-('META  EM PEÇAS'!W32*0.05)</f>
        <v>2902.2974999999997</v>
      </c>
      <c r="CA47" s="91">
        <f>'META  EM PEÇAS'!X32-('META  EM PEÇAS'!X32*0.05)</f>
        <v>3495.1259999999997</v>
      </c>
      <c r="CB47" s="91">
        <f>'META  EM PEÇAS'!Y32-('META  EM PEÇAS'!Y32*0.05)</f>
        <v>4203.6929999999993</v>
      </c>
      <c r="CC47" s="91">
        <f>'META  EM PEÇAS'!Z32-('META  EM PEÇAS'!Z32*0.05)</f>
        <v>2810.4135000000001</v>
      </c>
      <c r="CD47" s="91">
        <f>'META  EM PEÇAS'!AA32-('META  EM PEÇAS'!AA32*0.05)</f>
        <v>2914.6664999999998</v>
      </c>
      <c r="CE47" s="91">
        <f>'META  EM PEÇAS'!AB32-('META  EM PEÇAS'!AB32*0.05)</f>
        <v>3162.93</v>
      </c>
      <c r="CF47" s="91">
        <f>'META  EM PEÇAS'!AC32-('META  EM PEÇAS'!AC32*0.05)</f>
        <v>4051.7309999999998</v>
      </c>
      <c r="CG47" s="91">
        <f>'META  EM PEÇAS'!AD32-('META  EM PEÇAS'!AD32*0.05)</f>
        <v>5709.1769999999997</v>
      </c>
      <c r="CH47" s="91">
        <f t="shared" si="79"/>
        <v>40319.59199999999</v>
      </c>
      <c r="CJ47" s="91">
        <v>3211.29</v>
      </c>
      <c r="CK47" s="91">
        <v>2482.1699999999996</v>
      </c>
      <c r="CL47" s="91">
        <v>2790.0929999999998</v>
      </c>
      <c r="CM47" s="91">
        <v>2586.0044999999996</v>
      </c>
      <c r="CN47" s="91">
        <v>2902.2974999999997</v>
      </c>
      <c r="CO47" s="91">
        <v>3495.1259999999997</v>
      </c>
      <c r="CP47" s="91">
        <v>4203.6929999999993</v>
      </c>
      <c r="CQ47" s="91">
        <v>2810.4135000000001</v>
      </c>
      <c r="CR47" s="91">
        <v>2914.6664999999998</v>
      </c>
      <c r="CS47" s="91">
        <v>3162.93</v>
      </c>
      <c r="CT47" s="91">
        <v>4051.7309999999998</v>
      </c>
      <c r="CU47" s="91">
        <v>5709.1769999999997</v>
      </c>
      <c r="CV47" s="91">
        <v>40319.59199999999</v>
      </c>
      <c r="CW47" s="758"/>
      <c r="CX47" s="884">
        <v>3211.29</v>
      </c>
      <c r="CY47" s="884">
        <v>2482.1699999999996</v>
      </c>
      <c r="CZ47" s="884">
        <v>2790.0929999999998</v>
      </c>
      <c r="DA47" s="884">
        <v>2586.0044999999996</v>
      </c>
      <c r="DB47" s="884">
        <v>2902.2974999999997</v>
      </c>
      <c r="DC47" s="884">
        <v>3495.1259999999997</v>
      </c>
      <c r="DD47" s="884">
        <v>4203.6929999999993</v>
      </c>
      <c r="DE47" s="884">
        <v>2810.4135000000001</v>
      </c>
      <c r="DF47" s="884">
        <v>2914.6664999999998</v>
      </c>
      <c r="DG47" s="884">
        <v>3162.93</v>
      </c>
      <c r="DH47" s="884">
        <v>4051.7309999999998</v>
      </c>
      <c r="DI47" s="884">
        <v>5709.1769999999997</v>
      </c>
      <c r="DJ47" s="91">
        <v>40319.59199999999</v>
      </c>
      <c r="DK47" s="948"/>
      <c r="DL47" s="884">
        <v>3211.29</v>
      </c>
      <c r="DM47" s="884">
        <v>2482.1699999999996</v>
      </c>
      <c r="DN47" s="884">
        <v>2790.0929999999998</v>
      </c>
      <c r="DO47" s="884">
        <v>2586.0044999999996</v>
      </c>
      <c r="DP47" s="884">
        <v>2902.2974999999997</v>
      </c>
      <c r="DQ47" s="884">
        <v>3495.1259999999997</v>
      </c>
      <c r="DR47" s="884">
        <v>4203.6929999999993</v>
      </c>
      <c r="DS47" s="884">
        <v>2810.4135000000001</v>
      </c>
      <c r="DT47" s="884">
        <v>2914.6664999999998</v>
      </c>
      <c r="DU47" s="884">
        <v>3162.93</v>
      </c>
      <c r="DV47" s="884">
        <v>4051.7309999999998</v>
      </c>
      <c r="DW47" s="884">
        <v>5709.1769999999997</v>
      </c>
      <c r="DX47" s="91">
        <v>40319.59199999999</v>
      </c>
    </row>
    <row r="48" spans="1:129" ht="15" hidden="1" customHeight="1" outlineLevel="1">
      <c r="A48" s="94">
        <v>9</v>
      </c>
      <c r="B48" s="1079" t="s">
        <v>63</v>
      </c>
      <c r="C48" s="1120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314">
        <f t="shared" si="74"/>
        <v>0</v>
      </c>
      <c r="Q48" s="90"/>
      <c r="R48" s="313">
        <v>1636</v>
      </c>
      <c r="S48" s="91">
        <v>1636</v>
      </c>
      <c r="T48" s="91">
        <f t="shared" ref="T48:T49" si="81">1818/2</f>
        <v>909</v>
      </c>
      <c r="U48" s="91">
        <v>0</v>
      </c>
      <c r="V48" s="91">
        <v>200</v>
      </c>
      <c r="W48" s="91">
        <v>300</v>
      </c>
      <c r="X48" s="91">
        <v>1000</v>
      </c>
      <c r="Y48" s="91">
        <v>1200</v>
      </c>
      <c r="Z48" s="91">
        <v>1600</v>
      </c>
      <c r="AA48" s="91">
        <v>1600</v>
      </c>
      <c r="AB48" s="91">
        <v>1800</v>
      </c>
      <c r="AC48" s="91">
        <v>2300</v>
      </c>
      <c r="AD48" s="315">
        <f t="shared" si="75"/>
        <v>14181</v>
      </c>
      <c r="AE48" s="23"/>
      <c r="AF48" s="316">
        <v>1500</v>
      </c>
      <c r="AG48" s="91">
        <v>1000</v>
      </c>
      <c r="AH48" s="91">
        <v>126</v>
      </c>
      <c r="AI48" s="91">
        <v>387</v>
      </c>
      <c r="AJ48" s="91">
        <v>895</v>
      </c>
      <c r="AK48" s="91">
        <v>800</v>
      </c>
      <c r="AL48" s="91">
        <v>1500</v>
      </c>
      <c r="AM48" s="91">
        <v>1000</v>
      </c>
      <c r="AN48" s="91">
        <v>1000</v>
      </c>
      <c r="AO48" s="91">
        <v>1000</v>
      </c>
      <c r="AP48" s="91">
        <v>1100</v>
      </c>
      <c r="AQ48" s="91">
        <v>1600</v>
      </c>
      <c r="AR48" s="92">
        <f t="shared" si="76"/>
        <v>11908</v>
      </c>
      <c r="AS48" s="23"/>
      <c r="AT48" s="91">
        <v>1182</v>
      </c>
      <c r="AU48" s="91">
        <v>1200</v>
      </c>
      <c r="AV48" s="91">
        <v>932</v>
      </c>
      <c r="AW48" s="91">
        <v>1020</v>
      </c>
      <c r="AX48" s="317">
        <v>0</v>
      </c>
      <c r="AY48" s="317">
        <v>0</v>
      </c>
      <c r="AZ48" s="317">
        <v>0</v>
      </c>
      <c r="BA48" s="317">
        <v>0</v>
      </c>
      <c r="BB48" s="317">
        <v>0</v>
      </c>
      <c r="BC48" s="317">
        <v>0</v>
      </c>
      <c r="BD48" s="317">
        <v>0</v>
      </c>
      <c r="BE48" s="317">
        <v>0</v>
      </c>
      <c r="BF48" s="91">
        <f t="shared" si="77"/>
        <v>4334</v>
      </c>
      <c r="BG48" s="93">
        <f t="shared" si="78"/>
        <v>-0.63604299630500505</v>
      </c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>
        <v>7070</v>
      </c>
      <c r="BU48" s="54"/>
      <c r="BV48" s="91">
        <v>928.14</v>
      </c>
      <c r="BW48" s="91">
        <v>717.95999999999992</v>
      </c>
      <c r="BX48" s="91">
        <f>'META  EM PEÇAS'!U37-('META  EM PEÇAS'!U37*0.05)</f>
        <v>806.63549999999987</v>
      </c>
      <c r="BY48" s="91">
        <f>'META  EM PEÇAS'!V37-('META  EM PEÇAS'!V37*0.05)</f>
        <v>747.44100000000003</v>
      </c>
      <c r="BZ48" s="91">
        <f>'META  EM PEÇAS'!W37-('META  EM PEÇAS'!W37*0.05)</f>
        <v>839.32499999999993</v>
      </c>
      <c r="CA48" s="91">
        <f>'META  EM PEÇAS'!X37-('META  EM PEÇAS'!X37*0.05)</f>
        <v>1010.7239999999998</v>
      </c>
      <c r="CB48" s="91">
        <f>'META  EM PEÇAS'!Y37-('META  EM PEÇAS'!Y37*0.05)</f>
        <v>1214.8125</v>
      </c>
      <c r="CC48" s="91">
        <f>'META  EM PEÇAS'!Z37-('META  EM PEÇAS'!Z37*0.05)</f>
        <v>812.81999999999994</v>
      </c>
      <c r="CD48" s="91">
        <f>'META  EM PEÇAS'!AA37-('META  EM PEÇAS'!AA37*0.05)</f>
        <v>842.85899999999992</v>
      </c>
      <c r="CE48" s="91">
        <f>'META  EM PEÇAS'!AB37-('META  EM PEÇAS'!AB37*0.05)</f>
        <v>914.4224999999999</v>
      </c>
      <c r="CF48" s="91">
        <f>'META  EM PEÇAS'!AC37-('META  EM PEÇAS'!AC37*0.05)</f>
        <v>1171.5209999999997</v>
      </c>
      <c r="CG48" s="91">
        <f>'META  EM PEÇAS'!AD37-('META  EM PEÇAS'!AD37*0.05)</f>
        <v>1650.3779999999997</v>
      </c>
      <c r="CH48" s="91">
        <f t="shared" si="79"/>
        <v>11657.038499999999</v>
      </c>
      <c r="CJ48" s="91">
        <v>928.14</v>
      </c>
      <c r="CK48" s="91">
        <v>717.95999999999992</v>
      </c>
      <c r="CL48" s="91">
        <v>806.63549999999987</v>
      </c>
      <c r="CM48" s="91">
        <v>747.44100000000003</v>
      </c>
      <c r="CN48" s="91">
        <v>839.32499999999993</v>
      </c>
      <c r="CO48" s="91">
        <v>1010.7239999999998</v>
      </c>
      <c r="CP48" s="91">
        <v>1214.8125</v>
      </c>
      <c r="CQ48" s="91">
        <v>812.81999999999994</v>
      </c>
      <c r="CR48" s="91">
        <v>842.85899999999992</v>
      </c>
      <c r="CS48" s="91">
        <v>914.4224999999999</v>
      </c>
      <c r="CT48" s="91">
        <v>1171.5209999999997</v>
      </c>
      <c r="CU48" s="91">
        <v>1650.3779999999997</v>
      </c>
      <c r="CV48" s="91">
        <v>11657.038499999999</v>
      </c>
      <c r="CW48" s="758"/>
      <c r="CX48" s="884">
        <v>928.14</v>
      </c>
      <c r="CY48" s="884">
        <v>717.95999999999992</v>
      </c>
      <c r="CZ48" s="884">
        <v>806.63549999999987</v>
      </c>
      <c r="DA48" s="884">
        <v>747.44100000000003</v>
      </c>
      <c r="DB48" s="884">
        <v>839.32499999999993</v>
      </c>
      <c r="DC48" s="884">
        <v>1010.7239999999998</v>
      </c>
      <c r="DD48" s="884">
        <v>1214.8125</v>
      </c>
      <c r="DE48" s="884">
        <v>812.81999999999994</v>
      </c>
      <c r="DF48" s="884">
        <v>842.85899999999992</v>
      </c>
      <c r="DG48" s="884">
        <v>914.4224999999999</v>
      </c>
      <c r="DH48" s="884">
        <v>1171.5209999999997</v>
      </c>
      <c r="DI48" s="884">
        <v>1650.3779999999997</v>
      </c>
      <c r="DJ48" s="91">
        <v>11657.038499999999</v>
      </c>
      <c r="DK48" s="948"/>
      <c r="DL48" s="884">
        <v>928.14</v>
      </c>
      <c r="DM48" s="884">
        <v>717.95999999999992</v>
      </c>
      <c r="DN48" s="884">
        <v>806.63549999999987</v>
      </c>
      <c r="DO48" s="884">
        <v>747.44100000000003</v>
      </c>
      <c r="DP48" s="884">
        <v>839.32499999999993</v>
      </c>
      <c r="DQ48" s="884">
        <v>1010.7239999999998</v>
      </c>
      <c r="DR48" s="884">
        <v>1214.8125</v>
      </c>
      <c r="DS48" s="884">
        <v>812.81999999999994</v>
      </c>
      <c r="DT48" s="884">
        <v>842.85899999999992</v>
      </c>
      <c r="DU48" s="884">
        <v>914.4224999999999</v>
      </c>
      <c r="DV48" s="884">
        <v>1171.5209999999997</v>
      </c>
      <c r="DW48" s="884">
        <v>1650.3779999999997</v>
      </c>
      <c r="DX48" s="91">
        <v>11657.038499999999</v>
      </c>
    </row>
    <row r="49" spans="1:128" ht="15" hidden="1" customHeight="1" outlineLevel="1">
      <c r="A49" s="94">
        <v>10</v>
      </c>
      <c r="B49" s="1079" t="s">
        <v>64</v>
      </c>
      <c r="C49" s="1120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>
        <f t="shared" si="74"/>
        <v>0</v>
      </c>
      <c r="Q49" s="90"/>
      <c r="R49" s="313">
        <v>1636</v>
      </c>
      <c r="S49" s="91">
        <v>1636</v>
      </c>
      <c r="T49" s="91">
        <f t="shared" si="81"/>
        <v>909</v>
      </c>
      <c r="U49" s="91">
        <f>0.5*U7</f>
        <v>0.5</v>
      </c>
      <c r="V49" s="91">
        <v>200</v>
      </c>
      <c r="W49" s="91">
        <v>300</v>
      </c>
      <c r="X49" s="91">
        <v>1000</v>
      </c>
      <c r="Y49" s="91">
        <v>1200</v>
      </c>
      <c r="Z49" s="91">
        <v>1600</v>
      </c>
      <c r="AA49" s="91">
        <v>1600</v>
      </c>
      <c r="AB49" s="91">
        <v>1800</v>
      </c>
      <c r="AC49" s="91">
        <v>2300</v>
      </c>
      <c r="AD49" s="315">
        <f t="shared" si="75"/>
        <v>14181.5</v>
      </c>
      <c r="AE49" s="23"/>
      <c r="AF49" s="316">
        <v>1500</v>
      </c>
      <c r="AG49" s="91">
        <v>1000</v>
      </c>
      <c r="AH49" s="91">
        <v>764</v>
      </c>
      <c r="AI49" s="91">
        <v>561</v>
      </c>
      <c r="AJ49" s="91">
        <v>1353</v>
      </c>
      <c r="AK49" s="91">
        <v>960</v>
      </c>
      <c r="AL49" s="91">
        <v>1500</v>
      </c>
      <c r="AM49" s="91">
        <v>1200</v>
      </c>
      <c r="AN49" s="91">
        <v>1200</v>
      </c>
      <c r="AO49" s="91">
        <v>1200</v>
      </c>
      <c r="AP49" s="91">
        <v>1320</v>
      </c>
      <c r="AQ49" s="91">
        <v>1920</v>
      </c>
      <c r="AR49" s="92">
        <f t="shared" si="76"/>
        <v>14478</v>
      </c>
      <c r="AS49" s="23"/>
      <c r="AT49" s="91">
        <v>1285</v>
      </c>
      <c r="AU49" s="91">
        <v>957</v>
      </c>
      <c r="AV49" s="91">
        <v>1426</v>
      </c>
      <c r="AW49" s="91">
        <v>1595</v>
      </c>
      <c r="AX49" s="317">
        <v>1767</v>
      </c>
      <c r="AY49" s="317">
        <v>1767</v>
      </c>
      <c r="AZ49" s="317">
        <v>1686</v>
      </c>
      <c r="BA49" s="317">
        <v>1686</v>
      </c>
      <c r="BB49" s="317">
        <v>1767</v>
      </c>
      <c r="BC49" s="317">
        <v>2088</v>
      </c>
      <c r="BD49" s="317">
        <v>2248</v>
      </c>
      <c r="BE49" s="317">
        <v>3212</v>
      </c>
      <c r="BF49" s="91">
        <f t="shared" si="77"/>
        <v>21484</v>
      </c>
      <c r="BG49" s="93">
        <f t="shared" si="78"/>
        <v>0.48390661693604087</v>
      </c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>
        <v>16952</v>
      </c>
      <c r="BU49" s="54"/>
      <c r="BV49" s="91">
        <v>2631.8999999999996</v>
      </c>
      <c r="BW49" s="91">
        <v>2034.84</v>
      </c>
      <c r="BX49" s="91">
        <f>'META  EM PEÇAS'!U33-('META  EM PEÇAS'!U33*0.05)</f>
        <v>2287.3815</v>
      </c>
      <c r="BY49" s="91">
        <f>'META  EM PEÇAS'!V33-('META  EM PEÇAS'!V33*0.05)</f>
        <v>2119.5164999999997</v>
      </c>
      <c r="BZ49" s="91">
        <f>'META  EM PEÇAS'!W33-('META  EM PEÇAS'!W33*0.05)</f>
        <v>2379.2655</v>
      </c>
      <c r="CA49" s="91">
        <f>'META  EM PEÇAS'!X33-('META  EM PEÇAS'!X33*0.05)</f>
        <v>2865.1904999999997</v>
      </c>
      <c r="CB49" s="91">
        <f>'META  EM PEÇAS'!Y33-('META  EM PEÇAS'!Y33*0.05)</f>
        <v>3445.6499999999996</v>
      </c>
      <c r="CC49" s="91">
        <f>'META  EM PEÇAS'!Z33-('META  EM PEÇAS'!Z33*0.05)</f>
        <v>2303.2844999999998</v>
      </c>
      <c r="CD49" s="91">
        <f>'META  EM PEÇAS'!AA33-('META  EM PEÇAS'!AA33*0.05)</f>
        <v>2388.9839999999999</v>
      </c>
      <c r="CE49" s="91">
        <f>'META  EM PEÇAS'!AB33-('META  EM PEÇAS'!AB33*0.05)</f>
        <v>2592.1889999999999</v>
      </c>
      <c r="CF49" s="91">
        <f>'META  EM PEÇAS'!AC33-('META  EM PEÇAS'!AC33*0.05)</f>
        <v>3321.0765000000001</v>
      </c>
      <c r="CG49" s="91">
        <f>'META  EM PEÇAS'!AD33-('META  EM PEÇAS'!AD33*0.05)</f>
        <v>4679.8995000000004</v>
      </c>
      <c r="CH49" s="91">
        <f t="shared" si="79"/>
        <v>33049.177499999998</v>
      </c>
      <c r="CJ49" s="91">
        <v>2631.8999999999996</v>
      </c>
      <c r="CK49" s="91">
        <v>2034.84</v>
      </c>
      <c r="CL49" s="91">
        <v>2287.3815</v>
      </c>
      <c r="CM49" s="91">
        <v>2119.5164999999997</v>
      </c>
      <c r="CN49" s="91">
        <v>2379.2655</v>
      </c>
      <c r="CO49" s="91">
        <v>2865.1904999999997</v>
      </c>
      <c r="CP49" s="91">
        <v>3445.6499999999996</v>
      </c>
      <c r="CQ49" s="91">
        <v>2303.2844999999998</v>
      </c>
      <c r="CR49" s="91">
        <v>2388.9839999999999</v>
      </c>
      <c r="CS49" s="91">
        <v>2592.1889999999999</v>
      </c>
      <c r="CT49" s="91">
        <v>3321.0765000000001</v>
      </c>
      <c r="CU49" s="91">
        <v>4679.8995000000004</v>
      </c>
      <c r="CV49" s="91">
        <v>33049.177499999998</v>
      </c>
      <c r="CW49" s="758"/>
      <c r="CX49" s="884">
        <v>2631.8999999999996</v>
      </c>
      <c r="CY49" s="884">
        <v>2034.84</v>
      </c>
      <c r="CZ49" s="884">
        <v>2287.3815</v>
      </c>
      <c r="DA49" s="884">
        <v>2119.5164999999997</v>
      </c>
      <c r="DB49" s="884">
        <v>2379.2655</v>
      </c>
      <c r="DC49" s="884">
        <v>2865.1904999999997</v>
      </c>
      <c r="DD49" s="884">
        <v>3445.6499999999996</v>
      </c>
      <c r="DE49" s="884">
        <v>2303.2844999999998</v>
      </c>
      <c r="DF49" s="884">
        <v>2388.9839999999999</v>
      </c>
      <c r="DG49" s="884">
        <v>2592.1889999999999</v>
      </c>
      <c r="DH49" s="884">
        <v>3321.0765000000001</v>
      </c>
      <c r="DI49" s="884">
        <v>4679.8995000000004</v>
      </c>
      <c r="DJ49" s="91">
        <v>33049.177499999998</v>
      </c>
      <c r="DK49" s="948"/>
      <c r="DL49" s="884">
        <v>2631.8999999999996</v>
      </c>
      <c r="DM49" s="884">
        <v>2034.84</v>
      </c>
      <c r="DN49" s="884">
        <v>2287.3815</v>
      </c>
      <c r="DO49" s="884">
        <v>2119.5164999999997</v>
      </c>
      <c r="DP49" s="884">
        <v>2379.2655</v>
      </c>
      <c r="DQ49" s="884">
        <v>2865.1904999999997</v>
      </c>
      <c r="DR49" s="884">
        <v>3445.6499999999996</v>
      </c>
      <c r="DS49" s="884">
        <v>2303.2844999999998</v>
      </c>
      <c r="DT49" s="884">
        <v>2388.9839999999999</v>
      </c>
      <c r="DU49" s="884">
        <v>2592.1889999999999</v>
      </c>
      <c r="DV49" s="884">
        <v>3321.0765000000001</v>
      </c>
      <c r="DW49" s="884">
        <v>4679.8995000000004</v>
      </c>
      <c r="DX49" s="91">
        <v>33049.177499999998</v>
      </c>
    </row>
    <row r="50" spans="1:128" ht="15" hidden="1" customHeight="1" outlineLevel="1">
      <c r="A50" s="94">
        <v>10</v>
      </c>
      <c r="B50" s="1079" t="s">
        <v>65</v>
      </c>
      <c r="C50" s="1120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>
        <f t="shared" si="74"/>
        <v>0</v>
      </c>
      <c r="Q50" s="90"/>
      <c r="R50" s="313">
        <v>0</v>
      </c>
      <c r="S50" s="91">
        <v>0</v>
      </c>
      <c r="T50" s="91">
        <v>0</v>
      </c>
      <c r="U50" s="91">
        <v>0</v>
      </c>
      <c r="V50" s="91">
        <v>3500</v>
      </c>
      <c r="W50" s="91">
        <v>350</v>
      </c>
      <c r="X50" s="91">
        <v>800</v>
      </c>
      <c r="Y50" s="91">
        <v>1000</v>
      </c>
      <c r="Z50" s="91">
        <v>1600</v>
      </c>
      <c r="AA50" s="91">
        <v>2000</v>
      </c>
      <c r="AB50" s="91">
        <v>2400</v>
      </c>
      <c r="AC50" s="91">
        <v>3000</v>
      </c>
      <c r="AD50" s="315">
        <f t="shared" si="75"/>
        <v>14650</v>
      </c>
      <c r="AE50" s="23"/>
      <c r="AF50" s="316">
        <v>2500</v>
      </c>
      <c r="AG50" s="91">
        <v>1000</v>
      </c>
      <c r="AH50" s="91">
        <f>2500*0.15</f>
        <v>375</v>
      </c>
      <c r="AI50" s="91">
        <v>787</v>
      </c>
      <c r="AJ50" s="91">
        <v>1569</v>
      </c>
      <c r="AK50" s="91">
        <v>2000</v>
      </c>
      <c r="AL50" s="91">
        <v>2500</v>
      </c>
      <c r="AM50" s="91">
        <v>2500</v>
      </c>
      <c r="AN50" s="91">
        <v>2500</v>
      </c>
      <c r="AO50" s="91">
        <v>2500</v>
      </c>
      <c r="AP50" s="91">
        <v>2750</v>
      </c>
      <c r="AQ50" s="91">
        <v>4000</v>
      </c>
      <c r="AR50" s="92">
        <f t="shared" si="76"/>
        <v>24981</v>
      </c>
      <c r="AS50" s="23"/>
      <c r="AT50" s="91">
        <v>1806</v>
      </c>
      <c r="AU50" s="91">
        <v>2046</v>
      </c>
      <c r="AV50" s="91">
        <v>1646</v>
      </c>
      <c r="AW50" s="91">
        <v>1902</v>
      </c>
      <c r="AX50" s="317">
        <v>1545</v>
      </c>
      <c r="AY50" s="317">
        <v>1545</v>
      </c>
      <c r="AZ50" s="317">
        <v>1475</v>
      </c>
      <c r="BA50" s="317">
        <v>1475</v>
      </c>
      <c r="BB50" s="317">
        <v>1545</v>
      </c>
      <c r="BC50" s="317">
        <v>1826</v>
      </c>
      <c r="BD50" s="317">
        <v>0</v>
      </c>
      <c r="BE50" s="317">
        <v>0</v>
      </c>
      <c r="BF50" s="91">
        <f t="shared" si="77"/>
        <v>16811</v>
      </c>
      <c r="BG50" s="93">
        <f t="shared" si="78"/>
        <v>-0.32704855690324641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>
        <v>10230</v>
      </c>
      <c r="BU50" s="54"/>
      <c r="BV50" s="91">
        <v>1335.48</v>
      </c>
      <c r="BW50" s="91">
        <v>1032.3</v>
      </c>
      <c r="BX50" s="91">
        <f>'META  EM PEÇAS'!U39-('META  EM PEÇAS'!U39*0.05)</f>
        <v>1160.0355</v>
      </c>
      <c r="BY50" s="91">
        <f>'META  EM PEÇAS'!V39-('META  EM PEÇAS'!V39*0.05)</f>
        <v>1075.2194999999999</v>
      </c>
      <c r="BZ50" s="91">
        <f>'META  EM PEÇAS'!W39-('META  EM PEÇAS'!W39*0.05)</f>
        <v>1206.8609999999999</v>
      </c>
      <c r="CA50" s="91">
        <f>'META  EM PEÇAS'!X39-('META  EM PEÇAS'!X39*0.05)</f>
        <v>1453.3574999999998</v>
      </c>
      <c r="CB50" s="91">
        <f>'META  EM PEÇAS'!Y39-('META  EM PEÇAS'!Y39*0.05)</f>
        <v>1747.5629999999999</v>
      </c>
      <c r="CC50" s="91">
        <f>'META  EM PEÇAS'!Z39-('META  EM PEÇAS'!Z39*0.05)</f>
        <v>1168.8705</v>
      </c>
      <c r="CD50" s="91">
        <f>'META  EM PEÇAS'!AA39-('META  EM PEÇAS'!AA39*0.05)</f>
        <v>1212.1619999999998</v>
      </c>
      <c r="CE50" s="91">
        <f>'META  EM PEÇAS'!AB39-('META  EM PEÇAS'!AB39*0.05)</f>
        <v>1314.6479999999999</v>
      </c>
      <c r="CF50" s="91">
        <f>'META  EM PEÇAS'!AC39-('META  EM PEÇAS'!AC39*0.05)</f>
        <v>1684.8344999999999</v>
      </c>
      <c r="CG50" s="91">
        <f>'META  EM PEÇAS'!AD39-('META  EM PEÇAS'!AD39*0.05)</f>
        <v>2373.9645</v>
      </c>
      <c r="CH50" s="91">
        <f t="shared" si="79"/>
        <v>16765.295999999995</v>
      </c>
      <c r="CJ50" s="91">
        <v>1335.48</v>
      </c>
      <c r="CK50" s="91">
        <v>1032.3</v>
      </c>
      <c r="CL50" s="91">
        <v>1160.0355</v>
      </c>
      <c r="CM50" s="91">
        <v>1075.2194999999999</v>
      </c>
      <c r="CN50" s="91">
        <v>1206.8609999999999</v>
      </c>
      <c r="CO50" s="91">
        <v>1453.3574999999998</v>
      </c>
      <c r="CP50" s="91">
        <v>1747.5629999999999</v>
      </c>
      <c r="CQ50" s="91">
        <v>1168.8705</v>
      </c>
      <c r="CR50" s="91">
        <v>1212.1619999999998</v>
      </c>
      <c r="CS50" s="91">
        <v>1314.6479999999999</v>
      </c>
      <c r="CT50" s="91">
        <v>1684.8344999999999</v>
      </c>
      <c r="CU50" s="91">
        <v>2373.9645</v>
      </c>
      <c r="CV50" s="91">
        <v>16765.295999999995</v>
      </c>
      <c r="CW50" s="758"/>
      <c r="CX50" s="884">
        <v>1335.48</v>
      </c>
      <c r="CY50" s="884">
        <v>1032.3</v>
      </c>
      <c r="CZ50" s="884">
        <v>1160.0355</v>
      </c>
      <c r="DA50" s="884">
        <v>1075.2194999999999</v>
      </c>
      <c r="DB50" s="884">
        <v>1206.8609999999999</v>
      </c>
      <c r="DC50" s="884">
        <v>1453.3574999999998</v>
      </c>
      <c r="DD50" s="884">
        <v>1747.5629999999999</v>
      </c>
      <c r="DE50" s="884">
        <v>1168.8705</v>
      </c>
      <c r="DF50" s="884">
        <v>1212.1619999999998</v>
      </c>
      <c r="DG50" s="884">
        <v>1314.6479999999999</v>
      </c>
      <c r="DH50" s="884">
        <v>1684.8344999999999</v>
      </c>
      <c r="DI50" s="884">
        <v>2373.9645</v>
      </c>
      <c r="DJ50" s="91">
        <v>16765.295999999995</v>
      </c>
      <c r="DK50" s="948"/>
      <c r="DL50" s="884">
        <v>1335.48</v>
      </c>
      <c r="DM50" s="884">
        <v>1032.3</v>
      </c>
      <c r="DN50" s="884">
        <v>1160.0355</v>
      </c>
      <c r="DO50" s="884">
        <v>1075.2194999999999</v>
      </c>
      <c r="DP50" s="884">
        <v>1206.8609999999999</v>
      </c>
      <c r="DQ50" s="884">
        <v>1453.3574999999998</v>
      </c>
      <c r="DR50" s="884">
        <v>1747.5629999999999</v>
      </c>
      <c r="DS50" s="884">
        <v>1168.8705</v>
      </c>
      <c r="DT50" s="884">
        <v>1212.1619999999998</v>
      </c>
      <c r="DU50" s="884">
        <v>1314.6479999999999</v>
      </c>
      <c r="DV50" s="884">
        <v>1684.8344999999999</v>
      </c>
      <c r="DW50" s="884">
        <v>2373.9645</v>
      </c>
      <c r="DX50" s="91">
        <v>16765.295999999995</v>
      </c>
    </row>
    <row r="51" spans="1:128" ht="15" hidden="1" customHeight="1" outlineLevel="1">
      <c r="A51" s="94">
        <v>11</v>
      </c>
      <c r="B51" s="921" t="s">
        <v>66</v>
      </c>
      <c r="C51" s="922"/>
      <c r="D51" s="313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314">
        <f t="shared" si="74"/>
        <v>0</v>
      </c>
      <c r="Q51" s="90"/>
      <c r="R51" s="313">
        <v>0</v>
      </c>
      <c r="S51" s="91">
        <v>0</v>
      </c>
      <c r="T51" s="91">
        <v>0</v>
      </c>
      <c r="U51" s="91">
        <v>0</v>
      </c>
      <c r="V51" s="91">
        <v>4000</v>
      </c>
      <c r="W51" s="91">
        <v>100</v>
      </c>
      <c r="X51" s="91">
        <v>800</v>
      </c>
      <c r="Y51" s="91">
        <v>800</v>
      </c>
      <c r="Z51" s="91">
        <v>1200</v>
      </c>
      <c r="AA51" s="91">
        <v>1200</v>
      </c>
      <c r="AB51" s="91">
        <v>1800</v>
      </c>
      <c r="AC51" s="91">
        <v>2300</v>
      </c>
      <c r="AD51" s="315">
        <f t="shared" si="75"/>
        <v>12200</v>
      </c>
      <c r="AE51" s="23"/>
      <c r="AF51" s="316">
        <v>1500</v>
      </c>
      <c r="AG51" s="91">
        <v>1000</v>
      </c>
      <c r="AH51" s="91">
        <f t="shared" ref="AH51:AH52" si="82">1500*0.15</f>
        <v>225</v>
      </c>
      <c r="AI51" s="91">
        <v>324</v>
      </c>
      <c r="AJ51" s="91">
        <v>869</v>
      </c>
      <c r="AK51" s="91">
        <v>800</v>
      </c>
      <c r="AL51" s="91">
        <v>1500</v>
      </c>
      <c r="AM51" s="91">
        <v>1000</v>
      </c>
      <c r="AN51" s="91">
        <v>1000</v>
      </c>
      <c r="AO51" s="91">
        <v>1000</v>
      </c>
      <c r="AP51" s="91">
        <v>1100</v>
      </c>
      <c r="AQ51" s="91">
        <v>1600</v>
      </c>
      <c r="AR51" s="92">
        <f t="shared" si="76"/>
        <v>11918</v>
      </c>
      <c r="AS51" s="23"/>
      <c r="AT51" s="91">
        <v>1191</v>
      </c>
      <c r="AU51" s="91">
        <v>1191</v>
      </c>
      <c r="AV51" s="91">
        <v>1191</v>
      </c>
      <c r="AW51" s="91">
        <v>1191</v>
      </c>
      <c r="AX51" s="317">
        <v>876</v>
      </c>
      <c r="AY51" s="317">
        <v>876</v>
      </c>
      <c r="AZ51" s="317">
        <v>836</v>
      </c>
      <c r="BA51" s="317">
        <v>836</v>
      </c>
      <c r="BB51" s="317">
        <v>876</v>
      </c>
      <c r="BC51" s="317">
        <v>1035</v>
      </c>
      <c r="BD51" s="317">
        <v>0</v>
      </c>
      <c r="BE51" s="317">
        <v>0</v>
      </c>
      <c r="BF51" s="91">
        <f t="shared" si="77"/>
        <v>10099</v>
      </c>
      <c r="BG51" s="93">
        <f t="shared" si="78"/>
        <v>-0.15262627957711028</v>
      </c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>
        <v>7342</v>
      </c>
      <c r="BU51" s="54"/>
      <c r="BV51" s="91">
        <v>1643.31</v>
      </c>
      <c r="BW51" s="91">
        <v>1270.3799999999999</v>
      </c>
      <c r="BX51" s="91">
        <f>'META  EM PEÇAS'!U40-('META  EM PEÇAS'!U40*0.05)</f>
        <v>1427.7359999999999</v>
      </c>
      <c r="BY51" s="91">
        <f>'META  EM PEÇAS'!V40-('META  EM PEÇAS'!V40*0.05)</f>
        <v>1323.4829999999999</v>
      </c>
      <c r="BZ51" s="91">
        <f>'META  EM PEÇAS'!W40-('META  EM PEÇAS'!W40*0.05)</f>
        <v>1485.1634999999999</v>
      </c>
      <c r="CA51" s="91">
        <f>'META  EM PEÇAS'!X40-('META  EM PEÇAS'!X40*0.05)</f>
        <v>1788.204</v>
      </c>
      <c r="CB51" s="91">
        <f>'META  EM PEÇAS'!Y40-('META  EM PEÇAS'!Y40*0.05)</f>
        <v>2151.3224999999998</v>
      </c>
      <c r="CC51" s="91">
        <f>'META  EM PEÇAS'!Z40-('META  EM PEÇAS'!Z40*0.05)</f>
        <v>1438.338</v>
      </c>
      <c r="CD51" s="91">
        <f>'META  EM PEÇAS'!AA40-('META  EM PEÇAS'!AA40*0.05)</f>
        <v>1491.348</v>
      </c>
      <c r="CE51" s="91">
        <f>'META  EM PEÇAS'!AB40-('META  EM PEÇAS'!AB40*0.05)</f>
        <v>1618.5719999999999</v>
      </c>
      <c r="CF51" s="91">
        <f>'META  EM PEÇAS'!AC40-('META  EM PEÇAS'!AC40*0.05)</f>
        <v>2073.5745000000002</v>
      </c>
      <c r="CG51" s="91">
        <f>'META  EM PEÇAS'!AD40-('META  EM PEÇAS'!AD40*0.05)</f>
        <v>2921.7344999999996</v>
      </c>
      <c r="CH51" s="91">
        <f t="shared" si="79"/>
        <v>20633.165999999997</v>
      </c>
      <c r="CJ51" s="91">
        <v>1643.31</v>
      </c>
      <c r="CK51" s="91">
        <v>1270.3799999999999</v>
      </c>
      <c r="CL51" s="91">
        <v>1427.7359999999999</v>
      </c>
      <c r="CM51" s="91">
        <v>1323.4829999999999</v>
      </c>
      <c r="CN51" s="91">
        <v>1485.1634999999999</v>
      </c>
      <c r="CO51" s="91">
        <v>1788.204</v>
      </c>
      <c r="CP51" s="91">
        <v>2151.3224999999998</v>
      </c>
      <c r="CQ51" s="91">
        <v>1438.338</v>
      </c>
      <c r="CR51" s="91">
        <v>1491.348</v>
      </c>
      <c r="CS51" s="91">
        <v>1618.5719999999999</v>
      </c>
      <c r="CT51" s="91">
        <v>2073.5745000000002</v>
      </c>
      <c r="CU51" s="91">
        <v>2921.7344999999996</v>
      </c>
      <c r="CV51" s="91">
        <v>20633.165999999997</v>
      </c>
      <c r="CW51" s="758"/>
      <c r="CX51" s="884">
        <v>1643.31</v>
      </c>
      <c r="CY51" s="884">
        <v>1270.3799999999999</v>
      </c>
      <c r="CZ51" s="884">
        <v>1427.7359999999999</v>
      </c>
      <c r="DA51" s="884">
        <v>1323.4829999999999</v>
      </c>
      <c r="DB51" s="884">
        <v>1485.1634999999999</v>
      </c>
      <c r="DC51" s="884">
        <v>1788.204</v>
      </c>
      <c r="DD51" s="884">
        <v>2151.3224999999998</v>
      </c>
      <c r="DE51" s="884">
        <v>1438.338</v>
      </c>
      <c r="DF51" s="884">
        <v>1491.348</v>
      </c>
      <c r="DG51" s="884">
        <v>1618.5719999999999</v>
      </c>
      <c r="DH51" s="884">
        <v>2073.5745000000002</v>
      </c>
      <c r="DI51" s="884">
        <v>2921.7344999999996</v>
      </c>
      <c r="DJ51" s="91">
        <v>20633.165999999997</v>
      </c>
      <c r="DK51" s="948"/>
      <c r="DL51" s="884">
        <v>1643.31</v>
      </c>
      <c r="DM51" s="884">
        <v>1270.3799999999999</v>
      </c>
      <c r="DN51" s="884">
        <v>1427.7359999999999</v>
      </c>
      <c r="DO51" s="884">
        <v>1323.4829999999999</v>
      </c>
      <c r="DP51" s="884">
        <v>1485.1634999999999</v>
      </c>
      <c r="DQ51" s="884">
        <v>1788.204</v>
      </c>
      <c r="DR51" s="884">
        <v>2151.3224999999998</v>
      </c>
      <c r="DS51" s="884">
        <v>1438.338</v>
      </c>
      <c r="DT51" s="884">
        <v>1491.348</v>
      </c>
      <c r="DU51" s="884">
        <v>1618.5719999999999</v>
      </c>
      <c r="DV51" s="884">
        <v>2073.5745000000002</v>
      </c>
      <c r="DW51" s="884">
        <v>2921.7344999999996</v>
      </c>
      <c r="DX51" s="91">
        <v>20633.165999999997</v>
      </c>
    </row>
    <row r="52" spans="1:128" ht="15" hidden="1" customHeight="1" outlineLevel="1">
      <c r="A52" s="94">
        <v>12</v>
      </c>
      <c r="B52" s="921" t="s">
        <v>67</v>
      </c>
      <c r="C52" s="922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>
        <f t="shared" si="74"/>
        <v>0</v>
      </c>
      <c r="Q52" s="90"/>
      <c r="R52" s="313">
        <v>0</v>
      </c>
      <c r="S52" s="91">
        <v>0</v>
      </c>
      <c r="T52" s="91">
        <v>0</v>
      </c>
      <c r="U52" s="91">
        <v>0</v>
      </c>
      <c r="V52" s="91">
        <v>4000</v>
      </c>
      <c r="W52" s="91">
        <v>0</v>
      </c>
      <c r="X52" s="91">
        <v>800</v>
      </c>
      <c r="Y52" s="91">
        <v>1000</v>
      </c>
      <c r="Z52" s="91">
        <v>1200</v>
      </c>
      <c r="AA52" s="91">
        <v>1200</v>
      </c>
      <c r="AB52" s="91">
        <v>1800</v>
      </c>
      <c r="AC52" s="91">
        <v>2300</v>
      </c>
      <c r="AD52" s="315">
        <f t="shared" si="75"/>
        <v>12300</v>
      </c>
      <c r="AE52" s="23"/>
      <c r="AF52" s="316">
        <v>1500</v>
      </c>
      <c r="AG52" s="91">
        <v>1200</v>
      </c>
      <c r="AH52" s="91">
        <f t="shared" si="82"/>
        <v>225</v>
      </c>
      <c r="AI52" s="91">
        <v>332</v>
      </c>
      <c r="AJ52" s="91">
        <v>945</v>
      </c>
      <c r="AK52" s="91">
        <v>960</v>
      </c>
      <c r="AL52" s="91">
        <v>1500</v>
      </c>
      <c r="AM52" s="91">
        <v>1200</v>
      </c>
      <c r="AN52" s="91">
        <v>1200</v>
      </c>
      <c r="AO52" s="91">
        <v>1200</v>
      </c>
      <c r="AP52" s="91">
        <v>1320</v>
      </c>
      <c r="AQ52" s="91">
        <v>1920</v>
      </c>
      <c r="AR52" s="92">
        <f t="shared" si="76"/>
        <v>13502</v>
      </c>
      <c r="AS52" s="23"/>
      <c r="AT52" s="91">
        <v>1254</v>
      </c>
      <c r="AU52" s="91">
        <v>1254</v>
      </c>
      <c r="AV52" s="91">
        <v>1254</v>
      </c>
      <c r="AW52" s="91">
        <v>1254</v>
      </c>
      <c r="AX52" s="317">
        <v>1236</v>
      </c>
      <c r="AY52" s="317">
        <v>1236</v>
      </c>
      <c r="AZ52" s="317">
        <v>0</v>
      </c>
      <c r="BA52" s="317">
        <v>0</v>
      </c>
      <c r="BB52" s="317">
        <v>0</v>
      </c>
      <c r="BC52" s="317">
        <v>0</v>
      </c>
      <c r="BD52" s="317">
        <v>0</v>
      </c>
      <c r="BE52" s="317">
        <v>0</v>
      </c>
      <c r="BF52" s="91">
        <f t="shared" si="77"/>
        <v>7488</v>
      </c>
      <c r="BG52" s="93">
        <f t="shared" si="78"/>
        <v>-0.44541549400088876</v>
      </c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>
        <v>16899</v>
      </c>
      <c r="BU52" s="54"/>
      <c r="BV52" s="91">
        <v>2552.85</v>
      </c>
      <c r="BW52" s="91">
        <v>1973.4599999999998</v>
      </c>
      <c r="BX52" s="91">
        <f>'META  EM PEÇAS'!U34-('META  EM PEÇAS'!U34*0.05)</f>
        <v>2218.4684999999999</v>
      </c>
      <c r="BY52" s="91">
        <f>'META  EM PEÇAS'!V34-('META  EM PEÇAS'!V34*0.05)</f>
        <v>2056.788</v>
      </c>
      <c r="BZ52" s="91">
        <f>'META  EM PEÇAS'!W34-('META  EM PEÇAS'!W34*0.05)</f>
        <v>2307.7019999999998</v>
      </c>
      <c r="CA52" s="91">
        <f>'META  EM PEÇAS'!X34-('META  EM PEÇAS'!X34*0.05)</f>
        <v>2778.6075000000001</v>
      </c>
      <c r="CB52" s="91">
        <f>'META  EM PEÇAS'!Y34-('META  EM PEÇAS'!Y34*0.05)</f>
        <v>3342.2804999999998</v>
      </c>
      <c r="CC52" s="91">
        <f>'META  EM PEÇAS'!Z34-('META  EM PEÇAS'!Z34*0.05)</f>
        <v>2234.3714999999997</v>
      </c>
      <c r="CD52" s="91">
        <f>'META  EM PEÇAS'!AA34-('META  EM PEÇAS'!AA34*0.05)</f>
        <v>2317.4204999999997</v>
      </c>
      <c r="CE52" s="91">
        <f>'META  EM PEÇAS'!AB34-('META  EM PEÇAS'!AB34*0.05)</f>
        <v>2514.4409999999998</v>
      </c>
      <c r="CF52" s="91">
        <f>'META  EM PEÇAS'!AC34-('META  EM PEÇAS'!AC34*0.05)</f>
        <v>3221.241</v>
      </c>
      <c r="CG52" s="91">
        <f>'META  EM PEÇAS'!AD34-('META  EM PEÇAS'!AD34*0.05)</f>
        <v>4539.4229999999989</v>
      </c>
      <c r="CH52" s="91">
        <f t="shared" si="79"/>
        <v>32057.053499999998</v>
      </c>
      <c r="CJ52" s="91">
        <v>2552.85</v>
      </c>
      <c r="CK52" s="91">
        <v>1973.4599999999998</v>
      </c>
      <c r="CL52" s="91">
        <v>2218.4684999999999</v>
      </c>
      <c r="CM52" s="91">
        <v>2056.788</v>
      </c>
      <c r="CN52" s="91">
        <v>2307.7019999999998</v>
      </c>
      <c r="CO52" s="91">
        <v>2778.6075000000001</v>
      </c>
      <c r="CP52" s="91">
        <v>3342.2804999999998</v>
      </c>
      <c r="CQ52" s="91">
        <v>2234.3714999999997</v>
      </c>
      <c r="CR52" s="91">
        <v>2317.4204999999997</v>
      </c>
      <c r="CS52" s="91">
        <v>2514.4409999999998</v>
      </c>
      <c r="CT52" s="91">
        <v>3221.241</v>
      </c>
      <c r="CU52" s="91">
        <v>4539.4229999999989</v>
      </c>
      <c r="CV52" s="91">
        <v>32057.053499999998</v>
      </c>
      <c r="CW52" s="758"/>
      <c r="CX52" s="884">
        <v>2552.85</v>
      </c>
      <c r="CY52" s="884">
        <v>1973.4599999999998</v>
      </c>
      <c r="CZ52" s="884">
        <v>2218.4684999999999</v>
      </c>
      <c r="DA52" s="884">
        <v>2056.788</v>
      </c>
      <c r="DB52" s="884">
        <v>2307.7019999999998</v>
      </c>
      <c r="DC52" s="884">
        <v>2778.6075000000001</v>
      </c>
      <c r="DD52" s="884">
        <v>3342.2804999999998</v>
      </c>
      <c r="DE52" s="884">
        <v>2234.3714999999997</v>
      </c>
      <c r="DF52" s="884">
        <v>2317.4204999999997</v>
      </c>
      <c r="DG52" s="884">
        <v>2514.4409999999998</v>
      </c>
      <c r="DH52" s="884">
        <v>3221.241</v>
      </c>
      <c r="DI52" s="884">
        <v>4539.4229999999989</v>
      </c>
      <c r="DJ52" s="91">
        <v>32057.053499999998</v>
      </c>
      <c r="DK52" s="948"/>
      <c r="DL52" s="884">
        <v>2552.85</v>
      </c>
      <c r="DM52" s="884">
        <v>1973.4599999999998</v>
      </c>
      <c r="DN52" s="884">
        <v>2218.4684999999999</v>
      </c>
      <c r="DO52" s="884">
        <v>2056.788</v>
      </c>
      <c r="DP52" s="884">
        <v>2307.7019999999998</v>
      </c>
      <c r="DQ52" s="884">
        <v>2778.6075000000001</v>
      </c>
      <c r="DR52" s="884">
        <v>3342.2804999999998</v>
      </c>
      <c r="DS52" s="884">
        <v>2234.3714999999997</v>
      </c>
      <c r="DT52" s="884">
        <v>2317.4204999999997</v>
      </c>
      <c r="DU52" s="884">
        <v>2514.4409999999998</v>
      </c>
      <c r="DV52" s="884">
        <v>3221.241</v>
      </c>
      <c r="DW52" s="884">
        <v>4539.4229999999989</v>
      </c>
      <c r="DX52" s="91">
        <v>32057.053499999998</v>
      </c>
    </row>
    <row r="53" spans="1:128" ht="15" hidden="1" customHeight="1" outlineLevel="1">
      <c r="A53" s="94">
        <v>13</v>
      </c>
      <c r="B53" s="921" t="s">
        <v>68</v>
      </c>
      <c r="C53" s="923"/>
      <c r="D53" s="313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314">
        <f t="shared" si="74"/>
        <v>0</v>
      </c>
      <c r="Q53" s="90"/>
      <c r="R53" s="313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2000</v>
      </c>
      <c r="Y53" s="91">
        <v>800</v>
      </c>
      <c r="Z53" s="91">
        <v>800</v>
      </c>
      <c r="AA53" s="91">
        <v>1200</v>
      </c>
      <c r="AB53" s="91">
        <v>1800</v>
      </c>
      <c r="AC53" s="91">
        <v>2300</v>
      </c>
      <c r="AD53" s="315">
        <f t="shared" si="75"/>
        <v>8900</v>
      </c>
      <c r="AE53" s="23"/>
      <c r="AF53" s="316">
        <v>1800</v>
      </c>
      <c r="AG53" s="91">
        <v>1200</v>
      </c>
      <c r="AH53" s="91">
        <f>1800*0.15</f>
        <v>270</v>
      </c>
      <c r="AI53" s="91">
        <v>896</v>
      </c>
      <c r="AJ53" s="91">
        <v>1339</v>
      </c>
      <c r="AK53" s="91">
        <v>1600</v>
      </c>
      <c r="AL53" s="91">
        <v>1800</v>
      </c>
      <c r="AM53" s="91">
        <v>2000</v>
      </c>
      <c r="AN53" s="91">
        <v>2000</v>
      </c>
      <c r="AO53" s="91">
        <v>2000</v>
      </c>
      <c r="AP53" s="91">
        <v>2200</v>
      </c>
      <c r="AQ53" s="91">
        <v>3200</v>
      </c>
      <c r="AR53" s="92">
        <f t="shared" si="76"/>
        <v>20305</v>
      </c>
      <c r="AS53" s="23"/>
      <c r="AT53" s="91">
        <v>1980</v>
      </c>
      <c r="AU53" s="91">
        <v>1980</v>
      </c>
      <c r="AV53" s="91">
        <v>1980</v>
      </c>
      <c r="AW53" s="91">
        <v>1980</v>
      </c>
      <c r="AX53" s="317">
        <v>1409</v>
      </c>
      <c r="AY53" s="317">
        <v>1409</v>
      </c>
      <c r="AZ53" s="317">
        <v>1345</v>
      </c>
      <c r="BA53" s="317">
        <v>1345</v>
      </c>
      <c r="BB53" s="317">
        <v>1409</v>
      </c>
      <c r="BC53" s="317">
        <v>1665</v>
      </c>
      <c r="BD53" s="317">
        <v>1793</v>
      </c>
      <c r="BE53" s="317">
        <v>2562</v>
      </c>
      <c r="BF53" s="91">
        <f t="shared" si="77"/>
        <v>20857</v>
      </c>
      <c r="BG53" s="93">
        <f t="shared" si="78"/>
        <v>2.7185422309775831E-2</v>
      </c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>
        <v>11555</v>
      </c>
      <c r="BU53" s="54"/>
      <c r="BV53" s="91">
        <v>1903.7099999999998</v>
      </c>
      <c r="BW53" s="91">
        <v>1471.26</v>
      </c>
      <c r="BX53" s="91">
        <f>'META  EM PEÇAS'!U35-('META  EM PEÇAS'!U35*0.05)</f>
        <v>1654.7954999999999</v>
      </c>
      <c r="BY53" s="91">
        <f>'META  EM PEÇAS'!V35-('META  EM PEÇAS'!V35*0.05)</f>
        <v>1533.7559999999999</v>
      </c>
      <c r="BZ53" s="91">
        <f>'META  EM PEÇAS'!W35-('META  EM PEÇAS'!W35*0.05)</f>
        <v>1721.058</v>
      </c>
      <c r="CA53" s="91">
        <f>'META  EM PEÇAS'!X35-('META  EM PEÇAS'!X35*0.05)</f>
        <v>2071.8074999999999</v>
      </c>
      <c r="CB53" s="91">
        <f>'META  EM PEÇAS'!Y35-('META  EM PEÇAS'!Y35*0.05)</f>
        <v>2492.3534999999997</v>
      </c>
      <c r="CC53" s="91">
        <f>'META  EM PEÇAS'!Z35-('META  EM PEÇAS'!Z35*0.05)</f>
        <v>1666.2809999999997</v>
      </c>
      <c r="CD53" s="91">
        <f>'META  EM PEÇAS'!AA35-('META  EM PEÇAS'!AA35*0.05)</f>
        <v>1728.126</v>
      </c>
      <c r="CE53" s="91">
        <f>'META  EM PEÇAS'!AB35-('META  EM PEÇAS'!AB35*0.05)</f>
        <v>1874.7869999999998</v>
      </c>
      <c r="CF53" s="91">
        <f>'META  EM PEÇAS'!AC35-('META  EM PEÇAS'!AC35*0.05)</f>
        <v>2402.2364999999995</v>
      </c>
      <c r="CG53" s="91">
        <f>'META  EM PEÇAS'!AD35-('META  EM PEÇAS'!AD35*0.05)</f>
        <v>3384.6884999999997</v>
      </c>
      <c r="CH53" s="91">
        <f t="shared" si="79"/>
        <v>23904.859499999995</v>
      </c>
      <c r="CJ53" s="91">
        <v>1903.7099999999998</v>
      </c>
      <c r="CK53" s="91">
        <v>1471.26</v>
      </c>
      <c r="CL53" s="91">
        <v>1654.7954999999999</v>
      </c>
      <c r="CM53" s="91">
        <v>1533.7559999999999</v>
      </c>
      <c r="CN53" s="91">
        <v>1721.058</v>
      </c>
      <c r="CO53" s="91">
        <v>2071.8074999999999</v>
      </c>
      <c r="CP53" s="91">
        <v>2492.3534999999997</v>
      </c>
      <c r="CQ53" s="91">
        <v>1666.2809999999997</v>
      </c>
      <c r="CR53" s="91">
        <v>1728.126</v>
      </c>
      <c r="CS53" s="91">
        <v>1874.7869999999998</v>
      </c>
      <c r="CT53" s="91">
        <v>2402.2364999999995</v>
      </c>
      <c r="CU53" s="91">
        <v>3384.6884999999997</v>
      </c>
      <c r="CV53" s="91">
        <v>23904.859499999995</v>
      </c>
      <c r="CW53" s="758"/>
      <c r="CX53" s="884">
        <v>1903.7099999999998</v>
      </c>
      <c r="CY53" s="884">
        <v>1471.26</v>
      </c>
      <c r="CZ53" s="884">
        <v>1654.7954999999999</v>
      </c>
      <c r="DA53" s="884">
        <v>1533.7559999999999</v>
      </c>
      <c r="DB53" s="884">
        <v>1721.058</v>
      </c>
      <c r="DC53" s="884">
        <v>2071.8074999999999</v>
      </c>
      <c r="DD53" s="884">
        <v>2492.3534999999997</v>
      </c>
      <c r="DE53" s="884">
        <v>1666.2809999999997</v>
      </c>
      <c r="DF53" s="884">
        <v>1728.126</v>
      </c>
      <c r="DG53" s="884">
        <v>1874.7869999999998</v>
      </c>
      <c r="DH53" s="884">
        <v>2402.2364999999995</v>
      </c>
      <c r="DI53" s="884">
        <v>3384.6884999999997</v>
      </c>
      <c r="DJ53" s="91">
        <v>23904.859499999995</v>
      </c>
      <c r="DK53" s="948"/>
      <c r="DL53" s="884">
        <v>1903.7099999999998</v>
      </c>
      <c r="DM53" s="884">
        <v>1471.26</v>
      </c>
      <c r="DN53" s="884">
        <v>1654.7954999999999</v>
      </c>
      <c r="DO53" s="884">
        <v>1533.7559999999999</v>
      </c>
      <c r="DP53" s="884">
        <v>1721.058</v>
      </c>
      <c r="DQ53" s="884">
        <v>2071.8074999999999</v>
      </c>
      <c r="DR53" s="884">
        <v>2492.3534999999997</v>
      </c>
      <c r="DS53" s="884">
        <v>1666.2809999999997</v>
      </c>
      <c r="DT53" s="884">
        <v>1728.126</v>
      </c>
      <c r="DU53" s="884">
        <v>1874.7869999999998</v>
      </c>
      <c r="DV53" s="884">
        <v>2402.2364999999995</v>
      </c>
      <c r="DW53" s="884">
        <v>3384.6884999999997</v>
      </c>
      <c r="DX53" s="91">
        <v>23904.859499999995</v>
      </c>
    </row>
    <row r="54" spans="1:128" ht="15" hidden="1" customHeight="1" outlineLevel="1">
      <c r="A54" s="94">
        <v>14</v>
      </c>
      <c r="B54" s="921" t="s">
        <v>69</v>
      </c>
      <c r="C54" s="923"/>
      <c r="D54" s="313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314"/>
      <c r="Q54" s="90"/>
      <c r="R54" s="313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2000</v>
      </c>
      <c r="Z54" s="91">
        <v>800</v>
      </c>
      <c r="AA54" s="91">
        <v>800</v>
      </c>
      <c r="AB54" s="91">
        <v>1200</v>
      </c>
      <c r="AC54" s="91">
        <v>1800</v>
      </c>
      <c r="AD54" s="315">
        <f t="shared" si="75"/>
        <v>6600</v>
      </c>
      <c r="AE54" s="23"/>
      <c r="AF54" s="316">
        <v>1500</v>
      </c>
      <c r="AG54" s="91">
        <v>1200</v>
      </c>
      <c r="AH54" s="91">
        <f>1500*0.15</f>
        <v>225</v>
      </c>
      <c r="AI54" s="91">
        <v>374</v>
      </c>
      <c r="AJ54" s="91">
        <v>990</v>
      </c>
      <c r="AK54" s="91">
        <v>960</v>
      </c>
      <c r="AL54" s="91">
        <v>1800</v>
      </c>
      <c r="AM54" s="91">
        <v>1200</v>
      </c>
      <c r="AN54" s="91">
        <v>1200</v>
      </c>
      <c r="AO54" s="91">
        <v>1200</v>
      </c>
      <c r="AP54" s="91">
        <v>1320</v>
      </c>
      <c r="AQ54" s="91">
        <v>1920</v>
      </c>
      <c r="AR54" s="92">
        <f t="shared" si="76"/>
        <v>13889</v>
      </c>
      <c r="AS54" s="23"/>
      <c r="AT54" s="91">
        <v>1518</v>
      </c>
      <c r="AU54" s="91">
        <v>1518</v>
      </c>
      <c r="AV54" s="91">
        <v>1518</v>
      </c>
      <c r="AW54" s="91">
        <v>1518</v>
      </c>
      <c r="AX54" s="317">
        <v>1276</v>
      </c>
      <c r="AY54" s="317">
        <v>1276</v>
      </c>
      <c r="AZ54" s="317">
        <v>1218</v>
      </c>
      <c r="BA54" s="317">
        <v>1218</v>
      </c>
      <c r="BB54" s="317">
        <v>1276</v>
      </c>
      <c r="BC54" s="317">
        <v>1508</v>
      </c>
      <c r="BD54" s="317">
        <v>1624</v>
      </c>
      <c r="BE54" s="317">
        <v>2320</v>
      </c>
      <c r="BF54" s="91">
        <f t="shared" si="77"/>
        <v>17788</v>
      </c>
      <c r="BG54" s="93">
        <f t="shared" si="78"/>
        <v>0.2807257541939665</v>
      </c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>
        <v>19018</v>
      </c>
      <c r="BU54" s="54"/>
      <c r="BV54" s="91">
        <v>2737.9199999999996</v>
      </c>
      <c r="BW54" s="91">
        <v>2116.6799999999998</v>
      </c>
      <c r="BX54" s="91">
        <f>'META  EM PEÇAS'!U36-('META  EM PEÇAS'!U36*0.05)</f>
        <v>2379.2655</v>
      </c>
      <c r="BY54" s="91">
        <f>'META  EM PEÇAS'!V36-('META  EM PEÇAS'!V36*0.05)</f>
        <v>2205.2159999999999</v>
      </c>
      <c r="BZ54" s="91">
        <f>'META  EM PEÇAS'!W36-('META  EM PEÇAS'!W36*0.05)</f>
        <v>2474.6834999999996</v>
      </c>
      <c r="CA54" s="91">
        <f>'META  EM PEÇAS'!X36-('META  EM PEÇAS'!X36*0.05)</f>
        <v>2980.0454999999997</v>
      </c>
      <c r="CB54" s="91">
        <f>'META  EM PEÇAS'!Y36-('META  EM PEÇAS'!Y36*0.05)</f>
        <v>3584.3594999999996</v>
      </c>
      <c r="CC54" s="91">
        <f>'META  EM PEÇAS'!Z36-('META  EM PEÇAS'!Z36*0.05)</f>
        <v>2396.0519999999997</v>
      </c>
      <c r="CD54" s="91">
        <f>'META  EM PEÇAS'!AA36-('META  EM PEÇAS'!AA36*0.05)</f>
        <v>2485.2854999999995</v>
      </c>
      <c r="CE54" s="91">
        <f>'META  EM PEÇAS'!AB36-('META  EM PEÇAS'!AB36*0.05)</f>
        <v>2696.4419999999996</v>
      </c>
      <c r="CF54" s="91">
        <f>'META  EM PEÇAS'!AC36-('META  EM PEÇAS'!AC36*0.05)</f>
        <v>3454.4849999999997</v>
      </c>
      <c r="CG54" s="91">
        <f>'META  EM PEÇAS'!AD36-('META  EM PEÇAS'!AD36*0.05)</f>
        <v>4868.0849999999991</v>
      </c>
      <c r="CH54" s="91">
        <f t="shared" si="79"/>
        <v>34378.519499999995</v>
      </c>
      <c r="CJ54" s="91">
        <v>2737.9199999999996</v>
      </c>
      <c r="CK54" s="91">
        <v>2116.6799999999998</v>
      </c>
      <c r="CL54" s="91">
        <v>2379.2655</v>
      </c>
      <c r="CM54" s="91">
        <v>2205.2159999999999</v>
      </c>
      <c r="CN54" s="91">
        <v>2474.6834999999996</v>
      </c>
      <c r="CO54" s="91">
        <v>2980.0454999999997</v>
      </c>
      <c r="CP54" s="91">
        <v>3584.3594999999996</v>
      </c>
      <c r="CQ54" s="91">
        <v>2396.0519999999997</v>
      </c>
      <c r="CR54" s="91">
        <v>2485.2854999999995</v>
      </c>
      <c r="CS54" s="91">
        <v>2696.4419999999996</v>
      </c>
      <c r="CT54" s="91">
        <v>3454.4849999999997</v>
      </c>
      <c r="CU54" s="91">
        <v>4868.0849999999991</v>
      </c>
      <c r="CV54" s="91">
        <v>34378.519499999995</v>
      </c>
      <c r="CW54" s="758"/>
      <c r="CX54" s="884">
        <v>2737.9199999999996</v>
      </c>
      <c r="CY54" s="884">
        <v>2116.6799999999998</v>
      </c>
      <c r="CZ54" s="884">
        <v>2379.2655</v>
      </c>
      <c r="DA54" s="884">
        <v>2205.2159999999999</v>
      </c>
      <c r="DB54" s="884">
        <v>2474.6834999999996</v>
      </c>
      <c r="DC54" s="884">
        <v>2980.0454999999997</v>
      </c>
      <c r="DD54" s="884">
        <v>3584.3594999999996</v>
      </c>
      <c r="DE54" s="884">
        <v>2396.0519999999997</v>
      </c>
      <c r="DF54" s="884">
        <v>2485.2854999999995</v>
      </c>
      <c r="DG54" s="884">
        <v>2696.4419999999996</v>
      </c>
      <c r="DH54" s="884">
        <v>3454.4849999999997</v>
      </c>
      <c r="DI54" s="884">
        <v>4868.0849999999991</v>
      </c>
      <c r="DJ54" s="91">
        <v>34378.519499999995</v>
      </c>
      <c r="DK54" s="948"/>
      <c r="DL54" s="884">
        <v>2737.9199999999996</v>
      </c>
      <c r="DM54" s="884">
        <v>2116.6799999999998</v>
      </c>
      <c r="DN54" s="884">
        <v>2379.2655</v>
      </c>
      <c r="DO54" s="884">
        <v>2205.2159999999999</v>
      </c>
      <c r="DP54" s="884">
        <v>2474.6834999999996</v>
      </c>
      <c r="DQ54" s="884">
        <v>2980.0454999999997</v>
      </c>
      <c r="DR54" s="884">
        <v>3584.3594999999996</v>
      </c>
      <c r="DS54" s="884">
        <v>2396.0519999999997</v>
      </c>
      <c r="DT54" s="884">
        <v>2485.2854999999995</v>
      </c>
      <c r="DU54" s="884">
        <v>2696.4419999999996</v>
      </c>
      <c r="DV54" s="884">
        <v>3454.4849999999997</v>
      </c>
      <c r="DW54" s="884">
        <v>4868.0849999999991</v>
      </c>
      <c r="DX54" s="91">
        <v>34378.519499999995</v>
      </c>
    </row>
    <row r="55" spans="1:128" ht="15" hidden="1" customHeight="1" outlineLevel="1">
      <c r="A55" s="94">
        <v>15</v>
      </c>
      <c r="B55" s="921" t="s">
        <v>70</v>
      </c>
      <c r="C55" s="923"/>
      <c r="D55" s="313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314"/>
      <c r="Q55" s="90"/>
      <c r="R55" s="313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  <c r="Z55" s="91">
        <v>2000</v>
      </c>
      <c r="AA55" s="91">
        <v>800</v>
      </c>
      <c r="AB55" s="91">
        <v>800</v>
      </c>
      <c r="AC55" s="91">
        <v>1500</v>
      </c>
      <c r="AD55" s="315">
        <f t="shared" si="75"/>
        <v>5100</v>
      </c>
      <c r="AE55" s="23"/>
      <c r="AF55" s="316">
        <v>1800</v>
      </c>
      <c r="AG55" s="91">
        <v>1200</v>
      </c>
      <c r="AH55" s="91">
        <f>1800*0.4</f>
        <v>720</v>
      </c>
      <c r="AI55" s="91">
        <v>1147</v>
      </c>
      <c r="AJ55" s="91">
        <v>1155</v>
      </c>
      <c r="AK55" s="91">
        <v>1600</v>
      </c>
      <c r="AL55" s="91">
        <v>1800</v>
      </c>
      <c r="AM55" s="91">
        <v>2000</v>
      </c>
      <c r="AN55" s="91">
        <v>2000</v>
      </c>
      <c r="AO55" s="91">
        <v>2000</v>
      </c>
      <c r="AP55" s="91">
        <v>2200</v>
      </c>
      <c r="AQ55" s="91">
        <v>3200</v>
      </c>
      <c r="AR55" s="92">
        <f t="shared" si="76"/>
        <v>20822</v>
      </c>
      <c r="AS55" s="23"/>
      <c r="AT55" s="91">
        <v>1544</v>
      </c>
      <c r="AU55" s="91">
        <v>1544</v>
      </c>
      <c r="AV55" s="91">
        <v>1544</v>
      </c>
      <c r="AW55" s="91">
        <v>1544</v>
      </c>
      <c r="AX55" s="317">
        <v>862</v>
      </c>
      <c r="AY55" s="317">
        <v>862</v>
      </c>
      <c r="AZ55" s="317">
        <v>823</v>
      </c>
      <c r="BA55" s="317">
        <v>823</v>
      </c>
      <c r="BB55" s="317">
        <v>862</v>
      </c>
      <c r="BC55" s="317">
        <v>1019</v>
      </c>
      <c r="BD55" s="317">
        <v>1098</v>
      </c>
      <c r="BE55" s="317">
        <v>1568</v>
      </c>
      <c r="BF55" s="91">
        <f t="shared" si="77"/>
        <v>14093</v>
      </c>
      <c r="BG55" s="93">
        <f t="shared" si="78"/>
        <v>-0.32316780328498707</v>
      </c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>
        <v>21133</v>
      </c>
      <c r="BU55" s="54"/>
      <c r="BV55" s="91">
        <v>3593.52</v>
      </c>
      <c r="BW55" s="91">
        <v>2776.98</v>
      </c>
      <c r="BX55" s="91">
        <f>'META  EM PEÇAS'!U38-('META  EM PEÇAS'!U38*0.05)</f>
        <v>3122.2889999999998</v>
      </c>
      <c r="BY55" s="91">
        <f>'META  EM PEÇAS'!V38-('META  EM PEÇAS'!V38*0.05)</f>
        <v>2893.4625000000001</v>
      </c>
      <c r="BZ55" s="91">
        <f>'META  EM PEÇAS'!W38-('META  EM PEÇAS'!W38*0.05)</f>
        <v>3247.7459999999996</v>
      </c>
      <c r="CA55" s="91">
        <f>'META  EM PEÇAS'!X38-('META  EM PEÇAS'!X38*0.05)</f>
        <v>3910.3709999999992</v>
      </c>
      <c r="CB55" s="91">
        <f>'META  EM PEÇAS'!Y38-('META  EM PEÇAS'!Y38*0.05)</f>
        <v>4703.7539999999999</v>
      </c>
      <c r="CC55" s="91">
        <f>'META  EM PEÇAS'!Z38-('META  EM PEÇAS'!Z38*0.05)</f>
        <v>3144.3764999999999</v>
      </c>
      <c r="CD55" s="91">
        <f>'META  EM PEÇAS'!AA38-('META  EM PEÇAS'!AA38*0.05)</f>
        <v>3260.9984999999997</v>
      </c>
      <c r="CE55" s="91">
        <f>'META  EM PEÇAS'!AB38-('META  EM PEÇAS'!AB38*0.05)</f>
        <v>3539.3009999999999</v>
      </c>
      <c r="CF55" s="91">
        <f>'META  EM PEÇAS'!AC38-('META  EM PEÇAS'!AC38*0.05)</f>
        <v>4533.2384999999995</v>
      </c>
      <c r="CG55" s="91">
        <f>'META  EM PEÇAS'!AD38-('META  EM PEÇAS'!AD38*0.05)</f>
        <v>6387.7049999999999</v>
      </c>
      <c r="CH55" s="91">
        <f t="shared" si="79"/>
        <v>45113.741999999998</v>
      </c>
      <c r="CJ55" s="91">
        <v>3593.52</v>
      </c>
      <c r="CK55" s="91">
        <v>2776.98</v>
      </c>
      <c r="CL55" s="91">
        <v>3122.2889999999998</v>
      </c>
      <c r="CM55" s="91">
        <v>2893.4625000000001</v>
      </c>
      <c r="CN55" s="91">
        <v>3247.7459999999996</v>
      </c>
      <c r="CO55" s="91">
        <v>3910.3709999999992</v>
      </c>
      <c r="CP55" s="91">
        <v>4703.7539999999999</v>
      </c>
      <c r="CQ55" s="91">
        <v>3144.3764999999999</v>
      </c>
      <c r="CR55" s="91">
        <v>3260.9984999999997</v>
      </c>
      <c r="CS55" s="91">
        <v>3539.3009999999999</v>
      </c>
      <c r="CT55" s="91">
        <v>4533.2384999999995</v>
      </c>
      <c r="CU55" s="91">
        <v>6387.7049999999999</v>
      </c>
      <c r="CV55" s="91">
        <v>45113.741999999998</v>
      </c>
      <c r="CW55" s="758"/>
      <c r="CX55" s="884">
        <v>3593.52</v>
      </c>
      <c r="CY55" s="884">
        <v>2776.98</v>
      </c>
      <c r="CZ55" s="884">
        <v>3122.2889999999998</v>
      </c>
      <c r="DA55" s="884">
        <v>2893.4625000000001</v>
      </c>
      <c r="DB55" s="884">
        <v>3247.7459999999996</v>
      </c>
      <c r="DC55" s="884">
        <v>3910.3709999999992</v>
      </c>
      <c r="DD55" s="884">
        <v>4703.7539999999999</v>
      </c>
      <c r="DE55" s="884">
        <v>3144.3764999999999</v>
      </c>
      <c r="DF55" s="884">
        <v>3260.9984999999997</v>
      </c>
      <c r="DG55" s="884">
        <v>3539.3009999999999</v>
      </c>
      <c r="DH55" s="884">
        <v>4533.2384999999995</v>
      </c>
      <c r="DI55" s="884">
        <v>6387.7049999999999</v>
      </c>
      <c r="DJ55" s="91">
        <v>45113.741999999998</v>
      </c>
      <c r="DK55" s="948"/>
      <c r="DL55" s="884">
        <v>3593.52</v>
      </c>
      <c r="DM55" s="884">
        <v>2776.98</v>
      </c>
      <c r="DN55" s="884">
        <v>3122.2889999999998</v>
      </c>
      <c r="DO55" s="884">
        <v>2893.4625000000001</v>
      </c>
      <c r="DP55" s="884">
        <v>3247.7459999999996</v>
      </c>
      <c r="DQ55" s="884">
        <v>3910.3709999999992</v>
      </c>
      <c r="DR55" s="884">
        <v>4703.7539999999999</v>
      </c>
      <c r="DS55" s="884">
        <v>3144.3764999999999</v>
      </c>
      <c r="DT55" s="884">
        <v>3260.9984999999997</v>
      </c>
      <c r="DU55" s="884">
        <v>3539.3009999999999</v>
      </c>
      <c r="DV55" s="884">
        <v>4533.2384999999995</v>
      </c>
      <c r="DW55" s="884">
        <v>6387.7049999999999</v>
      </c>
      <c r="DX55" s="91">
        <v>45113.741999999998</v>
      </c>
    </row>
    <row r="56" spans="1:128" ht="15" hidden="1" customHeight="1" outlineLevel="1">
      <c r="A56" s="94">
        <v>16</v>
      </c>
      <c r="B56" s="924" t="s">
        <v>71</v>
      </c>
      <c r="C56" s="923"/>
      <c r="D56" s="313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314"/>
      <c r="Q56" s="90"/>
      <c r="R56" s="313"/>
      <c r="S56" s="91"/>
      <c r="T56" s="91"/>
      <c r="U56" s="91"/>
      <c r="V56" s="91"/>
      <c r="W56" s="91"/>
      <c r="X56" s="91"/>
      <c r="Y56" s="91"/>
      <c r="Z56" s="91"/>
      <c r="AA56" s="91">
        <v>800</v>
      </c>
      <c r="AB56" s="91">
        <v>800</v>
      </c>
      <c r="AC56" s="91">
        <v>1500</v>
      </c>
      <c r="AD56" s="315"/>
      <c r="AE56" s="23"/>
      <c r="AF56" s="316">
        <v>1500</v>
      </c>
      <c r="AG56" s="91">
        <v>1200</v>
      </c>
      <c r="AH56" s="91">
        <f>1500*0.15</f>
        <v>225</v>
      </c>
      <c r="AI56" s="91">
        <v>192</v>
      </c>
      <c r="AJ56" s="91">
        <v>663</v>
      </c>
      <c r="AK56" s="91">
        <v>800</v>
      </c>
      <c r="AL56" s="91">
        <v>1500</v>
      </c>
      <c r="AM56" s="91">
        <v>1000</v>
      </c>
      <c r="AN56" s="91">
        <v>1000</v>
      </c>
      <c r="AO56" s="91">
        <v>1000</v>
      </c>
      <c r="AP56" s="91">
        <v>1100</v>
      </c>
      <c r="AQ56" s="91">
        <v>1600</v>
      </c>
      <c r="AR56" s="92">
        <f t="shared" si="76"/>
        <v>11780</v>
      </c>
      <c r="AS56" s="23"/>
      <c r="AT56" s="91">
        <v>960</v>
      </c>
      <c r="AU56" s="91">
        <v>960</v>
      </c>
      <c r="AV56" s="91">
        <v>960</v>
      </c>
      <c r="AW56" s="91">
        <v>960</v>
      </c>
      <c r="AX56" s="317">
        <v>1414</v>
      </c>
      <c r="AY56" s="317">
        <v>1414</v>
      </c>
      <c r="AZ56" s="317">
        <v>1350</v>
      </c>
      <c r="BA56" s="317">
        <v>1350</v>
      </c>
      <c r="BB56" s="317">
        <v>1414</v>
      </c>
      <c r="BC56" s="317">
        <v>1671</v>
      </c>
      <c r="BD56" s="317">
        <v>1800</v>
      </c>
      <c r="BE56" s="317">
        <v>2571</v>
      </c>
      <c r="BF56" s="91">
        <f t="shared" si="77"/>
        <v>16824</v>
      </c>
      <c r="BG56" s="93">
        <f t="shared" si="78"/>
        <v>0.42818336162988113</v>
      </c>
      <c r="BH56" s="91">
        <v>900</v>
      </c>
      <c r="BI56" s="91">
        <v>643</v>
      </c>
      <c r="BJ56" s="91">
        <v>891</v>
      </c>
      <c r="BK56" s="91">
        <v>679</v>
      </c>
      <c r="BL56" s="91">
        <v>940</v>
      </c>
      <c r="BM56" s="91">
        <v>948</v>
      </c>
      <c r="BN56" s="91">
        <v>1124</v>
      </c>
      <c r="BO56" s="91">
        <v>913</v>
      </c>
      <c r="BP56" s="91">
        <v>911</v>
      </c>
      <c r="BQ56" s="91">
        <v>898</v>
      </c>
      <c r="BR56" s="91">
        <v>1465</v>
      </c>
      <c r="BS56" s="91">
        <v>1278</v>
      </c>
      <c r="BT56" s="91">
        <f>SUM(BH56:BS56)</f>
        <v>11590</v>
      </c>
      <c r="BU56" s="54"/>
      <c r="BV56" s="91">
        <f>'META  EM PEÇAS'!T47</f>
        <v>1749.7324726431702</v>
      </c>
      <c r="BW56" s="91">
        <f>'META  EM PEÇAS'!T48</f>
        <v>1701.1287928475265</v>
      </c>
      <c r="BX56" s="91">
        <f>'META  EM PEÇAS'!T49</f>
        <v>1846.9398322344578</v>
      </c>
      <c r="BY56" s="91">
        <f>'META  EM PEÇAS'!T50</f>
        <v>1701.1287928475265</v>
      </c>
      <c r="BZ56" s="91">
        <f>'META  EM PEÇAS'!T51</f>
        <v>1846.9398322344578</v>
      </c>
      <c r="CA56" s="91">
        <f>'META  EM PEÇAS'!T52</f>
        <v>1749.7324726431702</v>
      </c>
      <c r="CB56" s="91">
        <f>'META  EM PEÇAS'!T53</f>
        <v>2138.5619110083194</v>
      </c>
      <c r="CC56" s="91">
        <f>'META  EM PEÇAS'!T54</f>
        <v>1749.7324726431702</v>
      </c>
      <c r="CD56" s="91">
        <f>'META  EM PEÇAS'!T55</f>
        <v>1749.7324726431702</v>
      </c>
      <c r="CE56" s="91">
        <f>'META  EM PEÇAS'!T56</f>
        <v>1749.7324726431702</v>
      </c>
      <c r="CF56" s="91">
        <f>'META  EM PEÇAS'!T57</f>
        <v>2721.8060685560426</v>
      </c>
      <c r="CG56" s="91">
        <f>'META  EM PEÇAS'!T58</f>
        <v>1944.1471918257448</v>
      </c>
      <c r="CH56" s="91">
        <f t="shared" si="79"/>
        <v>22649.314784769926</v>
      </c>
      <c r="CJ56" s="91">
        <v>1749.7324726431702</v>
      </c>
      <c r="CK56" s="91">
        <v>1701.1287928475265</v>
      </c>
      <c r="CL56" s="91">
        <v>1846.9398322344578</v>
      </c>
      <c r="CM56" s="91">
        <v>1701.1287928475265</v>
      </c>
      <c r="CN56" s="91">
        <v>1846.9398322344578</v>
      </c>
      <c r="CO56" s="91">
        <v>1749.7324726431702</v>
      </c>
      <c r="CP56" s="91">
        <v>2138.5619110083194</v>
      </c>
      <c r="CQ56" s="91">
        <v>1749.7324726431702</v>
      </c>
      <c r="CR56" s="91">
        <v>1749.7324726431702</v>
      </c>
      <c r="CS56" s="91">
        <v>1749.7324726431702</v>
      </c>
      <c r="CT56" s="91">
        <v>2721.8060685560426</v>
      </c>
      <c r="CU56" s="91">
        <v>1944.1471918257448</v>
      </c>
      <c r="CV56" s="91">
        <v>22649.314784769926</v>
      </c>
      <c r="CW56" s="758"/>
      <c r="CX56" s="884">
        <v>1749.7324726431702</v>
      </c>
      <c r="CY56" s="884">
        <v>1701.1287928475265</v>
      </c>
      <c r="CZ56" s="884">
        <v>1846.9398322344578</v>
      </c>
      <c r="DA56" s="884">
        <v>1701.1287928475265</v>
      </c>
      <c r="DB56" s="884">
        <v>1846.9398322344578</v>
      </c>
      <c r="DC56" s="884">
        <v>1749.7324726431702</v>
      </c>
      <c r="DD56" s="884">
        <v>2138.5619110083194</v>
      </c>
      <c r="DE56" s="884">
        <v>1749.7324726431702</v>
      </c>
      <c r="DF56" s="884">
        <v>1749.7324726431702</v>
      </c>
      <c r="DG56" s="884">
        <v>1749.7324726431702</v>
      </c>
      <c r="DH56" s="884">
        <v>2721.8060685560426</v>
      </c>
      <c r="DI56" s="884">
        <v>1944.1471918257448</v>
      </c>
      <c r="DJ56" s="91">
        <v>22649.314784769926</v>
      </c>
      <c r="DK56" s="948"/>
      <c r="DL56" s="884">
        <v>1749.7324726431702</v>
      </c>
      <c r="DM56" s="884">
        <v>1701.1287928475265</v>
      </c>
      <c r="DN56" s="884">
        <v>1846.9398322344578</v>
      </c>
      <c r="DO56" s="884">
        <v>1701.1287928475265</v>
      </c>
      <c r="DP56" s="884">
        <v>1846.9398322344578</v>
      </c>
      <c r="DQ56" s="884">
        <v>1749.7324726431702</v>
      </c>
      <c r="DR56" s="884">
        <v>2138.5619110083194</v>
      </c>
      <c r="DS56" s="884">
        <v>1749.7324726431702</v>
      </c>
      <c r="DT56" s="884">
        <v>1749.7324726431702</v>
      </c>
      <c r="DU56" s="884">
        <v>1749.7324726431702</v>
      </c>
      <c r="DV56" s="884">
        <v>2721.8060685560426</v>
      </c>
      <c r="DW56" s="884">
        <v>1944.1471918257448</v>
      </c>
      <c r="DX56" s="91">
        <v>22649.314784769926</v>
      </c>
    </row>
    <row r="57" spans="1:128" ht="15" hidden="1" customHeight="1" outlineLevel="1">
      <c r="A57" s="94"/>
      <c r="B57" s="921"/>
      <c r="C57" s="925"/>
      <c r="D57" s="313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314"/>
      <c r="Q57" s="90"/>
      <c r="R57" s="313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315"/>
      <c r="AE57" s="23"/>
      <c r="AF57" s="316">
        <v>0</v>
      </c>
      <c r="AG57" s="91">
        <v>0</v>
      </c>
      <c r="AH57" s="91">
        <v>0</v>
      </c>
      <c r="AI57" s="91">
        <v>0</v>
      </c>
      <c r="AJ57" s="91">
        <v>0</v>
      </c>
      <c r="AK57" s="91">
        <v>400</v>
      </c>
      <c r="AL57" s="91">
        <v>500</v>
      </c>
      <c r="AM57" s="91">
        <v>500</v>
      </c>
      <c r="AN57" s="91">
        <v>600</v>
      </c>
      <c r="AO57" s="91">
        <v>600</v>
      </c>
      <c r="AP57" s="91">
        <v>660</v>
      </c>
      <c r="AQ57" s="91">
        <v>960</v>
      </c>
      <c r="AR57" s="92">
        <f t="shared" si="76"/>
        <v>4220</v>
      </c>
      <c r="AS57" s="23"/>
      <c r="AT57" s="91">
        <v>960</v>
      </c>
      <c r="AU57" s="91">
        <v>960</v>
      </c>
      <c r="AV57" s="91">
        <v>960</v>
      </c>
      <c r="AW57" s="91">
        <v>960</v>
      </c>
      <c r="AX57" s="317">
        <v>580</v>
      </c>
      <c r="AY57" s="317">
        <v>580</v>
      </c>
      <c r="AZ57" s="317">
        <v>554</v>
      </c>
      <c r="BA57" s="317">
        <v>554</v>
      </c>
      <c r="BB57" s="317">
        <v>580</v>
      </c>
      <c r="BC57" s="317">
        <v>686</v>
      </c>
      <c r="BD57" s="317">
        <v>739</v>
      </c>
      <c r="BE57" s="317">
        <v>1055</v>
      </c>
      <c r="BF57" s="91">
        <f t="shared" si="77"/>
        <v>9168</v>
      </c>
      <c r="BG57" s="93">
        <f t="shared" si="78"/>
        <v>1.172511848341232</v>
      </c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54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758"/>
      <c r="CX57" s="884"/>
      <c r="CY57" s="884"/>
      <c r="CZ57" s="884"/>
      <c r="DA57" s="884"/>
      <c r="DB57" s="884"/>
      <c r="DC57" s="884"/>
      <c r="DD57" s="884"/>
      <c r="DE57" s="884"/>
      <c r="DF57" s="884"/>
      <c r="DG57" s="884"/>
      <c r="DH57" s="884"/>
      <c r="DI57" s="884"/>
      <c r="DJ57" s="91"/>
      <c r="DK57" s="948"/>
      <c r="DL57" s="884"/>
      <c r="DM57" s="884"/>
      <c r="DN57" s="884"/>
      <c r="DO57" s="884"/>
      <c r="DP57" s="884"/>
      <c r="DQ57" s="884"/>
      <c r="DR57" s="884"/>
      <c r="DS57" s="884"/>
      <c r="DT57" s="884"/>
      <c r="DU57" s="884"/>
      <c r="DV57" s="884"/>
      <c r="DW57" s="884"/>
      <c r="DX57" s="91"/>
    </row>
    <row r="58" spans="1:128" ht="15" hidden="1" customHeight="1" outlineLevel="1">
      <c r="A58" s="95"/>
      <c r="B58" s="924"/>
      <c r="C58" s="926"/>
      <c r="D58" s="421"/>
      <c r="E58" s="422"/>
      <c r="F58" s="422"/>
      <c r="G58" s="422"/>
      <c r="H58" s="422"/>
      <c r="I58" s="422"/>
      <c r="J58" s="422"/>
      <c r="K58" s="422"/>
      <c r="L58" s="422"/>
      <c r="M58" s="422"/>
      <c r="N58" s="422"/>
      <c r="O58" s="422"/>
      <c r="P58" s="423"/>
      <c r="Q58" s="424"/>
      <c r="R58" s="421"/>
      <c r="S58" s="425"/>
      <c r="T58" s="425"/>
      <c r="U58" s="425"/>
      <c r="V58" s="425"/>
      <c r="W58" s="425"/>
      <c r="X58" s="425"/>
      <c r="Y58" s="425"/>
      <c r="Z58" s="425"/>
      <c r="AA58" s="425"/>
      <c r="AB58" s="425"/>
      <c r="AC58" s="425"/>
      <c r="AD58" s="426"/>
      <c r="AE58" s="427"/>
      <c r="AF58" s="428">
        <v>0</v>
      </c>
      <c r="AG58" s="425">
        <v>0</v>
      </c>
      <c r="AH58" s="425">
        <v>0</v>
      </c>
      <c r="AI58" s="425">
        <v>0</v>
      </c>
      <c r="AJ58" s="425">
        <v>0</v>
      </c>
      <c r="AK58" s="425">
        <v>0</v>
      </c>
      <c r="AL58" s="425">
        <v>2500</v>
      </c>
      <c r="AM58" s="425">
        <v>2000</v>
      </c>
      <c r="AN58" s="425">
        <v>500</v>
      </c>
      <c r="AO58" s="425">
        <v>600</v>
      </c>
      <c r="AP58" s="425">
        <v>660</v>
      </c>
      <c r="AQ58" s="425">
        <v>960</v>
      </c>
      <c r="AR58" s="429">
        <f t="shared" si="76"/>
        <v>7220</v>
      </c>
      <c r="AS58" s="23"/>
      <c r="AT58" s="425">
        <v>1518</v>
      </c>
      <c r="AU58" s="425">
        <v>1518</v>
      </c>
      <c r="AV58" s="425">
        <v>1518</v>
      </c>
      <c r="AW58" s="425">
        <v>1518</v>
      </c>
      <c r="AX58" s="317">
        <v>1943</v>
      </c>
      <c r="AY58" s="317">
        <v>1943</v>
      </c>
      <c r="AZ58" s="317">
        <v>1854</v>
      </c>
      <c r="BA58" s="317">
        <v>1854</v>
      </c>
      <c r="BB58" s="317">
        <v>1943</v>
      </c>
      <c r="BC58" s="317">
        <v>2296</v>
      </c>
      <c r="BD58" s="317">
        <v>2472</v>
      </c>
      <c r="BE58" s="317">
        <v>3532</v>
      </c>
      <c r="BF58" s="425">
        <f t="shared" si="77"/>
        <v>23909</v>
      </c>
      <c r="BG58" s="93">
        <f t="shared" si="78"/>
        <v>2.3114958448753464</v>
      </c>
      <c r="BH58" s="425"/>
      <c r="BI58" s="425"/>
      <c r="BJ58" s="425"/>
      <c r="BK58" s="425"/>
      <c r="BL58" s="91"/>
      <c r="BM58" s="91"/>
      <c r="BN58" s="91"/>
      <c r="BO58" s="91"/>
      <c r="BP58" s="91"/>
      <c r="BQ58" s="91"/>
      <c r="BR58" s="91"/>
      <c r="BS58" s="91"/>
      <c r="BT58" s="91"/>
      <c r="BU58" s="54"/>
      <c r="BV58" s="425"/>
      <c r="BW58" s="425"/>
      <c r="BX58" s="425"/>
      <c r="BY58" s="425"/>
      <c r="BZ58" s="91"/>
      <c r="CA58" s="91"/>
      <c r="CB58" s="91"/>
      <c r="CC58" s="91"/>
      <c r="CD58" s="91"/>
      <c r="CE58" s="91"/>
      <c r="CF58" s="91"/>
      <c r="CG58" s="91"/>
      <c r="CH58" s="91"/>
      <c r="CJ58" s="425"/>
      <c r="CK58" s="425"/>
      <c r="CL58" s="425"/>
      <c r="CM58" s="425"/>
      <c r="CN58" s="91"/>
      <c r="CO58" s="91"/>
      <c r="CP58" s="91"/>
      <c r="CQ58" s="91"/>
      <c r="CR58" s="91"/>
      <c r="CS58" s="91"/>
      <c r="CT58" s="91"/>
      <c r="CU58" s="91"/>
      <c r="CV58" s="91"/>
      <c r="CW58" s="758"/>
      <c r="CX58" s="885"/>
      <c r="CY58" s="885"/>
      <c r="CZ58" s="885"/>
      <c r="DA58" s="885"/>
      <c r="DB58" s="884"/>
      <c r="DC58" s="884"/>
      <c r="DD58" s="884"/>
      <c r="DE58" s="884"/>
      <c r="DF58" s="884"/>
      <c r="DG58" s="884"/>
      <c r="DH58" s="884"/>
      <c r="DI58" s="884"/>
      <c r="DJ58" s="91"/>
      <c r="DK58" s="948"/>
      <c r="DL58" s="885"/>
      <c r="DM58" s="885"/>
      <c r="DN58" s="885"/>
      <c r="DO58" s="885"/>
      <c r="DP58" s="884"/>
      <c r="DQ58" s="884"/>
      <c r="DR58" s="884"/>
      <c r="DS58" s="884"/>
      <c r="DT58" s="884"/>
      <c r="DU58" s="884"/>
      <c r="DV58" s="884"/>
      <c r="DW58" s="884"/>
      <c r="DX58" s="91"/>
    </row>
    <row r="59" spans="1:128" ht="15" hidden="1" customHeight="1" outlineLevel="1">
      <c r="A59" s="434"/>
      <c r="B59" s="1075"/>
      <c r="C59" s="1076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6"/>
      <c r="AF59" s="437">
        <v>0</v>
      </c>
      <c r="AG59" s="437">
        <v>0</v>
      </c>
      <c r="AH59" s="437">
        <v>0</v>
      </c>
      <c r="AI59" s="437">
        <v>0</v>
      </c>
      <c r="AJ59" s="437">
        <v>0</v>
      </c>
      <c r="AK59" s="437">
        <v>0</v>
      </c>
      <c r="AL59" s="437">
        <v>0</v>
      </c>
      <c r="AM59" s="437">
        <v>0</v>
      </c>
      <c r="AN59" s="437">
        <v>0</v>
      </c>
      <c r="AO59" s="437">
        <v>0</v>
      </c>
      <c r="AP59" s="437">
        <v>0</v>
      </c>
      <c r="AQ59" s="437">
        <v>0</v>
      </c>
      <c r="AR59" s="438">
        <f t="shared" si="76"/>
        <v>0</v>
      </c>
      <c r="AS59" s="322"/>
      <c r="AT59" s="437">
        <v>0</v>
      </c>
      <c r="AU59" s="437">
        <v>0</v>
      </c>
      <c r="AV59" s="437">
        <v>0</v>
      </c>
      <c r="AW59" s="437">
        <v>0</v>
      </c>
      <c r="AX59" s="439">
        <v>800</v>
      </c>
      <c r="AY59" s="317">
        <v>800</v>
      </c>
      <c r="AZ59" s="317">
        <v>800</v>
      </c>
      <c r="BA59" s="317">
        <v>1050</v>
      </c>
      <c r="BB59" s="317">
        <v>1100</v>
      </c>
      <c r="BC59" s="317">
        <v>1300</v>
      </c>
      <c r="BD59" s="317">
        <v>1400</v>
      </c>
      <c r="BE59" s="440">
        <v>2000</v>
      </c>
      <c r="BF59" s="437">
        <f t="shared" si="77"/>
        <v>9250</v>
      </c>
      <c r="BG59" s="325" t="e">
        <f t="shared" si="78"/>
        <v>#DIV/0!</v>
      </c>
      <c r="BH59" s="437"/>
      <c r="BI59" s="437"/>
      <c r="BJ59" s="437"/>
      <c r="BK59" s="437"/>
      <c r="BL59" s="439"/>
      <c r="BM59" s="317"/>
      <c r="BN59" s="317"/>
      <c r="BO59" s="317"/>
      <c r="BP59" s="317"/>
      <c r="BQ59" s="317"/>
      <c r="BR59" s="317"/>
      <c r="BS59" s="317"/>
      <c r="BT59" s="317"/>
      <c r="BU59" s="326"/>
      <c r="BV59" s="443"/>
      <c r="BW59" s="443"/>
      <c r="BX59" s="443"/>
      <c r="BY59" s="443"/>
      <c r="BZ59" s="444"/>
      <c r="CA59" s="317"/>
      <c r="CB59" s="317"/>
      <c r="CC59" s="317"/>
      <c r="CD59" s="317"/>
      <c r="CE59" s="317"/>
      <c r="CF59" s="317"/>
      <c r="CG59" s="317"/>
      <c r="CH59" s="317"/>
      <c r="CJ59" s="443"/>
      <c r="CK59" s="443"/>
      <c r="CL59" s="443"/>
      <c r="CM59" s="443"/>
      <c r="CN59" s="444"/>
      <c r="CO59" s="317"/>
      <c r="CP59" s="317"/>
      <c r="CQ59" s="317"/>
      <c r="CR59" s="317"/>
      <c r="CS59" s="317"/>
      <c r="CT59" s="317"/>
      <c r="CU59" s="317"/>
      <c r="CV59" s="317"/>
      <c r="CW59" s="758"/>
      <c r="CX59" s="886"/>
      <c r="CY59" s="886"/>
      <c r="CZ59" s="886"/>
      <c r="DA59" s="886"/>
      <c r="DB59" s="887"/>
      <c r="DC59" s="888"/>
      <c r="DD59" s="888"/>
      <c r="DE59" s="888"/>
      <c r="DF59" s="888"/>
      <c r="DG59" s="888"/>
      <c r="DH59" s="888"/>
      <c r="DI59" s="888"/>
      <c r="DJ59" s="317"/>
      <c r="DK59" s="948"/>
      <c r="DL59" s="886"/>
      <c r="DM59" s="886"/>
      <c r="DN59" s="886"/>
      <c r="DO59" s="886"/>
      <c r="DP59" s="887"/>
      <c r="DQ59" s="888"/>
      <c r="DR59" s="888"/>
      <c r="DS59" s="888"/>
      <c r="DT59" s="888"/>
      <c r="DU59" s="888"/>
      <c r="DV59" s="888"/>
      <c r="DW59" s="888"/>
      <c r="DX59" s="317"/>
    </row>
    <row r="60" spans="1:128" ht="15" hidden="1" customHeight="1" outlineLevel="1">
      <c r="A60" s="430"/>
      <c r="B60" s="927"/>
      <c r="C60" s="928"/>
      <c r="D60" s="424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32"/>
      <c r="T60" s="432"/>
      <c r="U60" s="432"/>
      <c r="V60" s="432"/>
      <c r="W60" s="432"/>
      <c r="X60" s="432"/>
      <c r="Y60" s="432"/>
      <c r="Z60" s="432"/>
      <c r="AA60" s="432"/>
      <c r="AB60" s="432"/>
      <c r="AC60" s="432"/>
      <c r="AD60" s="432"/>
      <c r="AE60" s="427"/>
      <c r="AF60" s="432"/>
      <c r="AG60" s="432"/>
      <c r="AH60" s="432"/>
      <c r="AI60" s="432"/>
      <c r="AJ60" s="432"/>
      <c r="AK60" s="432"/>
      <c r="AL60" s="432"/>
      <c r="AM60" s="432"/>
      <c r="AN60" s="432"/>
      <c r="AO60" s="432"/>
      <c r="AP60" s="432"/>
      <c r="AQ60" s="432"/>
      <c r="AR60" s="433"/>
      <c r="AS60" s="23"/>
      <c r="AT60" s="97"/>
      <c r="AU60" s="97"/>
      <c r="AV60" s="97"/>
      <c r="AW60" s="97"/>
      <c r="AX60" s="91"/>
      <c r="AY60" s="91"/>
      <c r="AZ60" s="91"/>
      <c r="BA60" s="91"/>
      <c r="BB60" s="91"/>
      <c r="BC60" s="91"/>
      <c r="BD60" s="91">
        <v>600</v>
      </c>
      <c r="BE60" s="315">
        <v>700</v>
      </c>
      <c r="BF60" s="437">
        <f t="shared" si="77"/>
        <v>1300</v>
      </c>
      <c r="BG60" s="93"/>
      <c r="BH60" s="442"/>
      <c r="BI60" s="442"/>
      <c r="BJ60" s="442"/>
      <c r="BK60" s="442"/>
      <c r="BL60" s="316"/>
      <c r="BM60" s="91"/>
      <c r="BN60" s="91"/>
      <c r="BO60" s="91"/>
      <c r="BP60" s="91"/>
      <c r="BQ60" s="91"/>
      <c r="BR60" s="91"/>
      <c r="BS60" s="91"/>
      <c r="BT60" s="91"/>
      <c r="BU60" s="54"/>
      <c r="BV60" s="442"/>
      <c r="BW60" s="442"/>
      <c r="BX60" s="442"/>
      <c r="BY60" s="442"/>
      <c r="BZ60" s="442"/>
      <c r="CA60" s="316"/>
      <c r="CB60" s="91">
        <v>60</v>
      </c>
      <c r="CC60" s="91"/>
      <c r="CD60" s="91"/>
      <c r="CE60" s="91"/>
      <c r="CF60" s="91"/>
      <c r="CG60" s="91"/>
      <c r="CH60" s="91"/>
      <c r="CJ60" s="708">
        <f>(CJ62-CJ61)/CJ61</f>
        <v>0.03</v>
      </c>
      <c r="CK60" s="708">
        <f t="shared" ref="CK60:CU60" si="83">(CK62-CK61)/CK61</f>
        <v>3.0000000000000079E-2</v>
      </c>
      <c r="CL60" s="708">
        <f t="shared" si="83"/>
        <v>3.0000000000000058E-2</v>
      </c>
      <c r="CM60" s="708">
        <f t="shared" si="83"/>
        <v>3.0000000000000034E-2</v>
      </c>
      <c r="CN60" s="708">
        <f t="shared" si="83"/>
        <v>3.000000000000011E-2</v>
      </c>
      <c r="CO60" s="708">
        <f t="shared" si="83"/>
        <v>3.000000000000012E-2</v>
      </c>
      <c r="CP60" s="708">
        <f t="shared" si="83"/>
        <v>3.0000000000000113E-2</v>
      </c>
      <c r="CQ60" s="708">
        <f t="shared" si="83"/>
        <v>3.0000000000000127E-2</v>
      </c>
      <c r="CR60" s="708">
        <f t="shared" si="83"/>
        <v>3.0000000000000068E-2</v>
      </c>
      <c r="CS60" s="708">
        <f t="shared" si="83"/>
        <v>2.9999999999999982E-2</v>
      </c>
      <c r="CT60" s="708">
        <f t="shared" si="83"/>
        <v>2.9999999999999961E-2</v>
      </c>
      <c r="CU60" s="708">
        <f t="shared" si="83"/>
        <v>0.03</v>
      </c>
      <c r="CV60" s="91"/>
      <c r="CW60" s="758"/>
      <c r="CX60" s="889"/>
      <c r="CY60" s="889"/>
      <c r="CZ60" s="889"/>
      <c r="DA60" s="889"/>
      <c r="DB60" s="889"/>
      <c r="DC60" s="890"/>
      <c r="DD60" s="884"/>
      <c r="DE60" s="884"/>
      <c r="DF60" s="884"/>
      <c r="DG60" s="884"/>
      <c r="DH60" s="884"/>
      <c r="DI60" s="884"/>
      <c r="DJ60" s="91"/>
      <c r="DK60" s="948"/>
      <c r="DL60" s="889"/>
      <c r="DM60" s="889"/>
      <c r="DN60" s="889"/>
      <c r="DO60" s="889"/>
      <c r="DP60" s="889"/>
      <c r="DQ60" s="890"/>
      <c r="DR60" s="884"/>
      <c r="DS60" s="884"/>
      <c r="DT60" s="884"/>
      <c r="DU60" s="884"/>
      <c r="DV60" s="884"/>
      <c r="DW60" s="884"/>
      <c r="DX60" s="91"/>
    </row>
    <row r="61" spans="1:128" ht="15" hidden="1" customHeight="1" outlineLevel="1">
      <c r="A61" s="95"/>
      <c r="B61" s="924" t="s">
        <v>71</v>
      </c>
      <c r="C61" s="922"/>
      <c r="D61" s="313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>
        <f t="shared" ref="P61:P62" si="84">SUM(D61:O61)</f>
        <v>0</v>
      </c>
      <c r="Q61" s="90"/>
      <c r="R61" s="313">
        <v>350</v>
      </c>
      <c r="S61" s="91">
        <v>350</v>
      </c>
      <c r="T61" s="91">
        <v>450</v>
      </c>
      <c r="U61" s="91">
        <v>800</v>
      </c>
      <c r="V61" s="91">
        <v>531</v>
      </c>
      <c r="W61" s="91">
        <v>750</v>
      </c>
      <c r="X61" s="91">
        <v>650</v>
      </c>
      <c r="Y61" s="91">
        <v>750</v>
      </c>
      <c r="Z61" s="91">
        <v>900</v>
      </c>
      <c r="AA61" s="91">
        <v>1000</v>
      </c>
      <c r="AB61" s="91">
        <v>1200</v>
      </c>
      <c r="AC61" s="91">
        <v>1500</v>
      </c>
      <c r="AD61" s="315">
        <f t="shared" ref="AD61:AD62" si="85">SUM(R61:AC61)</f>
        <v>9231</v>
      </c>
      <c r="AE61" s="23"/>
      <c r="AF61" s="316">
        <v>1500</v>
      </c>
      <c r="AG61" s="91">
        <v>800</v>
      </c>
      <c r="AH61" s="91">
        <v>800</v>
      </c>
      <c r="AI61" s="91">
        <v>1820</v>
      </c>
      <c r="AJ61" s="91">
        <v>1630</v>
      </c>
      <c r="AK61" s="91">
        <v>1360</v>
      </c>
      <c r="AL61" s="91">
        <v>1000</v>
      </c>
      <c r="AM61" s="91">
        <v>1700</v>
      </c>
      <c r="AN61" s="91">
        <v>1700</v>
      </c>
      <c r="AO61" s="91">
        <v>1700</v>
      </c>
      <c r="AP61" s="91">
        <v>1870</v>
      </c>
      <c r="AQ61" s="91">
        <v>2720</v>
      </c>
      <c r="AR61" s="92">
        <f t="shared" ref="AR61:AR62" si="86">SUM(AF61:AQ61)</f>
        <v>18600</v>
      </c>
      <c r="AS61" s="23"/>
      <c r="AT61" s="91">
        <v>2053</v>
      </c>
      <c r="AU61" s="91">
        <v>2053</v>
      </c>
      <c r="AV61" s="91">
        <v>2053</v>
      </c>
      <c r="AW61" s="91">
        <v>2053</v>
      </c>
      <c r="AX61" s="91">
        <v>2807</v>
      </c>
      <c r="AY61" s="91">
        <v>2807</v>
      </c>
      <c r="AZ61" s="91">
        <v>2680</v>
      </c>
      <c r="BA61" s="91">
        <v>2680</v>
      </c>
      <c r="BB61" s="91">
        <v>2807</v>
      </c>
      <c r="BC61" s="91">
        <v>3318</v>
      </c>
      <c r="BD61" s="91">
        <v>5870</v>
      </c>
      <c r="BE61" s="91">
        <v>5104</v>
      </c>
      <c r="BF61" s="441">
        <f t="shared" si="77"/>
        <v>36285</v>
      </c>
      <c r="BG61" s="93">
        <f>BF61/AR61-1</f>
        <v>0.95080645161290334</v>
      </c>
      <c r="BH61" s="441"/>
      <c r="BI61" s="441"/>
      <c r="BJ61" s="441"/>
      <c r="BK61" s="441"/>
      <c r="BL61" s="91"/>
      <c r="BM61" s="91"/>
      <c r="BN61" s="91"/>
      <c r="BO61" s="91"/>
      <c r="BP61" s="91"/>
      <c r="BQ61" s="91"/>
      <c r="BR61" s="91"/>
      <c r="BS61" s="91"/>
      <c r="BT61" s="91">
        <f>SUM(BH61:BS61)</f>
        <v>0</v>
      </c>
      <c r="BU61" s="54"/>
      <c r="BV61" s="441"/>
      <c r="BW61" s="441"/>
      <c r="BX61" s="441"/>
      <c r="BY61" s="441"/>
      <c r="BZ61" s="441"/>
      <c r="CA61" s="91"/>
      <c r="CB61" s="91"/>
      <c r="CC61" s="91"/>
      <c r="CD61" s="91"/>
      <c r="CE61" s="91"/>
      <c r="CF61" s="91"/>
      <c r="CG61" s="91"/>
      <c r="CH61" s="91"/>
      <c r="CJ61" s="441">
        <f>BV71</f>
        <v>38900</v>
      </c>
      <c r="CK61" s="441">
        <f t="shared" ref="CK61:CU61" si="87">BW71</f>
        <v>31376</v>
      </c>
      <c r="CL61" s="441">
        <f t="shared" si="87"/>
        <v>29886</v>
      </c>
      <c r="CM61" s="441">
        <f t="shared" si="87"/>
        <v>30671</v>
      </c>
      <c r="CN61" s="441">
        <f t="shared" si="87"/>
        <v>34553</v>
      </c>
      <c r="CO61" s="441">
        <f t="shared" si="87"/>
        <v>36515</v>
      </c>
      <c r="CP61" s="441">
        <f t="shared" si="87"/>
        <v>38915</v>
      </c>
      <c r="CQ61" s="441">
        <f t="shared" si="87"/>
        <v>34615</v>
      </c>
      <c r="CR61" s="441">
        <f t="shared" si="87"/>
        <v>29617</v>
      </c>
      <c r="CS61" s="441">
        <f t="shared" si="87"/>
        <v>34538</v>
      </c>
      <c r="CT61" s="441">
        <f t="shared" si="87"/>
        <v>45914</v>
      </c>
      <c r="CU61" s="441">
        <f t="shared" si="87"/>
        <v>60875</v>
      </c>
      <c r="CV61" s="91"/>
      <c r="CW61" s="758"/>
      <c r="CX61" s="891"/>
      <c r="CY61" s="891"/>
      <c r="CZ61" s="891"/>
      <c r="DA61" s="891"/>
      <c r="DB61" s="891"/>
      <c r="DC61" s="884"/>
      <c r="DD61" s="884"/>
      <c r="DE61" s="884"/>
      <c r="DF61" s="884"/>
      <c r="DG61" s="884"/>
      <c r="DH61" s="884"/>
      <c r="DI61" s="884"/>
      <c r="DJ61" s="91"/>
      <c r="DK61" s="948"/>
      <c r="DL61" s="891"/>
      <c r="DM61" s="891"/>
      <c r="DN61" s="891"/>
      <c r="DO61" s="891"/>
      <c r="DP61" s="891"/>
      <c r="DQ61" s="884"/>
      <c r="DR61" s="884"/>
      <c r="DS61" s="884"/>
      <c r="DT61" s="884"/>
      <c r="DU61" s="884"/>
      <c r="DV61" s="884"/>
      <c r="DW61" s="884"/>
      <c r="DX61" s="91"/>
    </row>
    <row r="62" spans="1:128" ht="18.75" hidden="1" collapsed="1">
      <c r="A62" s="55"/>
      <c r="B62" s="56" t="s">
        <v>123</v>
      </c>
      <c r="C62" s="753"/>
      <c r="D62" s="288">
        <f t="shared" ref="D62:O62" si="88">SUM(D41:D61)</f>
        <v>0</v>
      </c>
      <c r="E62" s="57">
        <f t="shared" si="88"/>
        <v>0</v>
      </c>
      <c r="F62" s="57">
        <f t="shared" si="88"/>
        <v>0</v>
      </c>
      <c r="G62" s="57">
        <f t="shared" si="88"/>
        <v>0</v>
      </c>
      <c r="H62" s="57">
        <f t="shared" si="88"/>
        <v>0</v>
      </c>
      <c r="I62" s="57">
        <f t="shared" si="88"/>
        <v>0</v>
      </c>
      <c r="J62" s="57">
        <f t="shared" si="88"/>
        <v>0</v>
      </c>
      <c r="K62" s="57">
        <f t="shared" si="88"/>
        <v>0</v>
      </c>
      <c r="L62" s="57">
        <f t="shared" si="88"/>
        <v>0</v>
      </c>
      <c r="M62" s="57">
        <f t="shared" si="88"/>
        <v>0</v>
      </c>
      <c r="N62" s="57">
        <f t="shared" si="88"/>
        <v>0</v>
      </c>
      <c r="O62" s="57">
        <f t="shared" si="88"/>
        <v>0</v>
      </c>
      <c r="P62" s="289">
        <f t="shared" si="84"/>
        <v>0</v>
      </c>
      <c r="Q62" s="39"/>
      <c r="R62" s="288">
        <f t="shared" ref="R62:AC62" si="89">SUM(R41:R61)</f>
        <v>20557.543859649122</v>
      </c>
      <c r="S62" s="58">
        <f t="shared" si="89"/>
        <v>20512.543859649122</v>
      </c>
      <c r="T62" s="58">
        <f t="shared" si="89"/>
        <v>13699.771929824561</v>
      </c>
      <c r="U62" s="58">
        <f t="shared" si="89"/>
        <v>912.5</v>
      </c>
      <c r="V62" s="58">
        <f t="shared" si="89"/>
        <v>16851</v>
      </c>
      <c r="W62" s="290">
        <f t="shared" si="89"/>
        <v>13700</v>
      </c>
      <c r="X62" s="290">
        <f t="shared" si="89"/>
        <v>26050</v>
      </c>
      <c r="Y62" s="290">
        <f t="shared" si="89"/>
        <v>27750</v>
      </c>
      <c r="Z62" s="290">
        <f t="shared" si="89"/>
        <v>31100</v>
      </c>
      <c r="AA62" s="290">
        <f t="shared" si="89"/>
        <v>32100</v>
      </c>
      <c r="AB62" s="290">
        <f t="shared" si="89"/>
        <v>37500</v>
      </c>
      <c r="AC62" s="290">
        <f t="shared" si="89"/>
        <v>45300</v>
      </c>
      <c r="AD62" s="291">
        <f t="shared" si="85"/>
        <v>286033.35964912281</v>
      </c>
      <c r="AE62" s="59"/>
      <c r="AF62" s="292">
        <f>SUM(AF41:AF61)</f>
        <v>38500</v>
      </c>
      <c r="AG62" s="58">
        <f t="shared" ref="AG62:AQ62" si="90">SUM(AG41:AG61)</f>
        <v>22400</v>
      </c>
      <c r="AH62" s="58">
        <f t="shared" si="90"/>
        <v>10671</v>
      </c>
      <c r="AI62" s="58">
        <f t="shared" si="90"/>
        <v>16097</v>
      </c>
      <c r="AJ62" s="58">
        <f t="shared" si="90"/>
        <v>30278</v>
      </c>
      <c r="AK62" s="58">
        <f t="shared" si="90"/>
        <v>28560</v>
      </c>
      <c r="AL62" s="58">
        <f t="shared" si="90"/>
        <v>41700</v>
      </c>
      <c r="AM62" s="58">
        <f t="shared" si="90"/>
        <v>38700</v>
      </c>
      <c r="AN62" s="58">
        <f t="shared" si="90"/>
        <v>37300</v>
      </c>
      <c r="AO62" s="58">
        <f t="shared" si="90"/>
        <v>37400</v>
      </c>
      <c r="AP62" s="58">
        <f t="shared" si="90"/>
        <v>40640</v>
      </c>
      <c r="AQ62" s="58">
        <f t="shared" si="90"/>
        <v>54440</v>
      </c>
      <c r="AR62" s="58">
        <f t="shared" si="86"/>
        <v>396686</v>
      </c>
      <c r="AS62" s="59"/>
      <c r="AT62" s="58">
        <f t="shared" ref="AT62:BE62" si="91">SUM(AT41:AT61)</f>
        <v>36153</v>
      </c>
      <c r="AU62" s="58">
        <f>SUM(AU41:AU61)</f>
        <v>35289</v>
      </c>
      <c r="AV62" s="58">
        <f t="shared" si="91"/>
        <v>35872</v>
      </c>
      <c r="AW62" s="58">
        <f t="shared" si="91"/>
        <v>38031</v>
      </c>
      <c r="AX62" s="58">
        <f t="shared" si="91"/>
        <v>33566</v>
      </c>
      <c r="AY62" s="58">
        <f t="shared" si="91"/>
        <v>33566</v>
      </c>
      <c r="AZ62" s="58">
        <f t="shared" si="91"/>
        <v>30896</v>
      </c>
      <c r="BA62" s="58">
        <f t="shared" si="91"/>
        <v>31146</v>
      </c>
      <c r="BB62" s="58">
        <f t="shared" si="91"/>
        <v>32630</v>
      </c>
      <c r="BC62" s="58">
        <f t="shared" si="91"/>
        <v>38562</v>
      </c>
      <c r="BD62" s="58">
        <f t="shared" si="91"/>
        <v>41345</v>
      </c>
      <c r="BE62" s="58">
        <f t="shared" si="91"/>
        <v>49263</v>
      </c>
      <c r="BF62" s="58">
        <f>SUM(AT62:BE62)</f>
        <v>436319</v>
      </c>
      <c r="BG62" s="59">
        <f>BF62-AR62</f>
        <v>39633</v>
      </c>
      <c r="BH62" s="58">
        <v>36153</v>
      </c>
      <c r="BI62" s="58">
        <v>35289</v>
      </c>
      <c r="BJ62" s="58">
        <v>35872</v>
      </c>
      <c r="BK62" s="58">
        <v>38031</v>
      </c>
      <c r="BL62" s="58">
        <v>38570</v>
      </c>
      <c r="BM62" s="58">
        <v>39227</v>
      </c>
      <c r="BN62" s="58">
        <v>41128</v>
      </c>
      <c r="BO62" s="58">
        <v>38191</v>
      </c>
      <c r="BP62" s="58">
        <v>38191</v>
      </c>
      <c r="BQ62" s="58">
        <v>40225</v>
      </c>
      <c r="BR62" s="58">
        <v>43272</v>
      </c>
      <c r="BS62" s="58">
        <v>60327</v>
      </c>
      <c r="BT62" s="58">
        <f t="shared" ref="BT62:BT66" si="92">SUM(BH62:BS62)</f>
        <v>484476</v>
      </c>
      <c r="BU62" s="60"/>
      <c r="BV62" s="58">
        <f>SUM(BV41:BV58)</f>
        <v>35797.912472643162</v>
      </c>
      <c r="BW62" s="58">
        <f t="shared" ref="BW62:CG62" si="93">SUM(BW41:BW58)</f>
        <v>27268.538792847521</v>
      </c>
      <c r="BX62" s="58">
        <f t="shared" si="93"/>
        <v>34357.668832234456</v>
      </c>
      <c r="BY62" s="58">
        <f t="shared" si="93"/>
        <v>29626.958292847525</v>
      </c>
      <c r="BZ62" s="58">
        <f t="shared" si="93"/>
        <v>34139.121332234456</v>
      </c>
      <c r="CA62" s="58">
        <f t="shared" si="93"/>
        <v>39503.881972643161</v>
      </c>
      <c r="CB62" s="58">
        <f t="shared" si="93"/>
        <v>45728.836911008315</v>
      </c>
      <c r="CC62" s="58">
        <f t="shared" si="93"/>
        <v>32260.226972643166</v>
      </c>
      <c r="CD62" s="58">
        <f t="shared" si="93"/>
        <v>33331.522972643164</v>
      </c>
      <c r="CE62" s="58">
        <f t="shared" si="93"/>
        <v>35213.881472643166</v>
      </c>
      <c r="CF62" s="58">
        <f t="shared" si="93"/>
        <v>46168.878068556034</v>
      </c>
      <c r="CG62" s="58">
        <f t="shared" si="93"/>
        <v>57905.502691825735</v>
      </c>
      <c r="CH62" s="58">
        <f>SUM(BV62:CG62)</f>
        <v>451302.93078476982</v>
      </c>
      <c r="CI62" s="395">
        <f>(CH62-BT71)/BT71</f>
        <v>5.1833718555945915E-2</v>
      </c>
      <c r="CJ62" s="58">
        <f>BV71*1.03</f>
        <v>40067</v>
      </c>
      <c r="CK62" s="58">
        <f t="shared" ref="CK62:CU62" si="94">BW71*1.03</f>
        <v>32317.280000000002</v>
      </c>
      <c r="CL62" s="58">
        <f t="shared" si="94"/>
        <v>30782.58</v>
      </c>
      <c r="CM62" s="58">
        <f>BY71*1.03</f>
        <v>31591.13</v>
      </c>
      <c r="CN62" s="58">
        <f t="shared" si="94"/>
        <v>35589.590000000004</v>
      </c>
      <c r="CO62" s="58">
        <f t="shared" si="94"/>
        <v>37610.450000000004</v>
      </c>
      <c r="CP62" s="58">
        <f t="shared" si="94"/>
        <v>40082.450000000004</v>
      </c>
      <c r="CQ62" s="58">
        <f t="shared" si="94"/>
        <v>35653.450000000004</v>
      </c>
      <c r="CR62" s="58">
        <f t="shared" si="94"/>
        <v>30505.510000000002</v>
      </c>
      <c r="CS62" s="58">
        <f>CE71*1.03</f>
        <v>35574.14</v>
      </c>
      <c r="CT62" s="58">
        <f t="shared" si="94"/>
        <v>47291.42</v>
      </c>
      <c r="CU62" s="58">
        <f t="shared" si="94"/>
        <v>62701.25</v>
      </c>
      <c r="CV62" s="58">
        <f>SUM(CJ62:CU62)</f>
        <v>459766.25</v>
      </c>
      <c r="CW62" s="758"/>
      <c r="CX62" s="880">
        <v>25453.360000000001</v>
      </c>
      <c r="CY62" s="880">
        <v>21658.84</v>
      </c>
      <c r="CZ62" s="880">
        <v>25209.25</v>
      </c>
      <c r="DA62" s="880">
        <v>27828.54</v>
      </c>
      <c r="DB62" s="880">
        <v>32049.480000000003</v>
      </c>
      <c r="DC62" s="880">
        <v>32772.54</v>
      </c>
      <c r="DD62" s="880">
        <v>34046.649999999994</v>
      </c>
      <c r="DE62" s="880">
        <v>30567.31</v>
      </c>
      <c r="DF62" s="880">
        <v>29170.629999999997</v>
      </c>
      <c r="DG62" s="880">
        <v>33460.786</v>
      </c>
      <c r="DH62" s="880">
        <v>40405.437400000003</v>
      </c>
      <c r="DI62" s="880">
        <v>57291.782700000003</v>
      </c>
      <c r="DJ62" s="58">
        <f>SUM(CX62:DI62)</f>
        <v>389914.60609999998</v>
      </c>
      <c r="DK62" s="948"/>
      <c r="DL62" s="880">
        <v>25453.360000000001</v>
      </c>
      <c r="DM62" s="880">
        <v>21658.84</v>
      </c>
      <c r="DN62" s="880">
        <v>25209.25</v>
      </c>
      <c r="DO62" s="880">
        <v>27828.54</v>
      </c>
      <c r="DP62" s="880">
        <v>32049.480000000003</v>
      </c>
      <c r="DQ62" s="880">
        <v>32772.54</v>
      </c>
      <c r="DR62" s="880">
        <v>34046.649999999994</v>
      </c>
      <c r="DS62" s="880">
        <v>30567.31</v>
      </c>
      <c r="DT62" s="880">
        <v>29170.629999999997</v>
      </c>
      <c r="DU62" s="880">
        <v>33460.786</v>
      </c>
      <c r="DV62" s="880">
        <v>40405.437400000003</v>
      </c>
      <c r="DW62" s="880">
        <v>57291.782700000003</v>
      </c>
      <c r="DX62" s="58">
        <f>SUM(DL62:DW62)</f>
        <v>389914.60609999998</v>
      </c>
    </row>
    <row r="63" spans="1:128" ht="18.75" hidden="1">
      <c r="A63" s="99"/>
      <c r="B63" s="929" t="s">
        <v>73</v>
      </c>
      <c r="C63" s="930"/>
      <c r="D63" s="301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302"/>
      <c r="Q63" s="74"/>
      <c r="R63" s="301"/>
      <c r="S63" s="69"/>
      <c r="T63" s="69"/>
      <c r="U63" s="69"/>
      <c r="V63" s="303"/>
      <c r="W63" s="304"/>
      <c r="X63" s="304"/>
      <c r="Y63" s="304"/>
      <c r="Z63" s="304"/>
      <c r="AA63" s="304"/>
      <c r="AB63" s="304"/>
      <c r="AC63" s="75"/>
      <c r="AD63" s="76"/>
      <c r="AE63" s="77"/>
      <c r="AF63" s="305"/>
      <c r="AG63" s="69"/>
      <c r="AH63" s="69"/>
      <c r="AI63" s="69"/>
      <c r="AJ63" s="303"/>
      <c r="AK63" s="303"/>
      <c r="AL63" s="303"/>
      <c r="AM63" s="303"/>
      <c r="AN63" s="69"/>
      <c r="AO63" s="69"/>
      <c r="AP63" s="69"/>
      <c r="AQ63" s="69"/>
      <c r="AR63" s="306"/>
      <c r="AS63" s="77"/>
      <c r="AT63" s="69"/>
      <c r="AU63" s="69"/>
      <c r="AV63" s="69"/>
      <c r="AW63" s="69"/>
      <c r="AX63" s="69"/>
      <c r="AY63" s="69">
        <v>15000</v>
      </c>
      <c r="AZ63" s="69">
        <v>15000</v>
      </c>
      <c r="BA63" s="69">
        <f t="shared" ref="BA63:BB63" si="95">BA62*70%</f>
        <v>21802.199999999997</v>
      </c>
      <c r="BB63" s="69">
        <f t="shared" si="95"/>
        <v>22841</v>
      </c>
      <c r="BC63" s="69">
        <v>35000</v>
      </c>
      <c r="BD63" s="69">
        <v>35000</v>
      </c>
      <c r="BE63" s="69">
        <v>42000</v>
      </c>
      <c r="BF63" s="69">
        <f t="shared" si="77"/>
        <v>186643.20000000001</v>
      </c>
      <c r="BG63" s="77"/>
      <c r="BH63" s="69">
        <f t="shared" ref="BH63:BM63" si="96">BH62*0.8</f>
        <v>28922.400000000001</v>
      </c>
      <c r="BI63" s="69">
        <f t="shared" si="96"/>
        <v>28231.200000000001</v>
      </c>
      <c r="BJ63" s="69">
        <f t="shared" si="96"/>
        <v>28697.600000000002</v>
      </c>
      <c r="BK63" s="69">
        <f t="shared" si="96"/>
        <v>30424.800000000003</v>
      </c>
      <c r="BL63" s="69">
        <f t="shared" si="96"/>
        <v>30856</v>
      </c>
      <c r="BM63" s="69">
        <f t="shared" si="96"/>
        <v>31381.600000000002</v>
      </c>
      <c r="BN63" s="69">
        <f>BN62*0.85</f>
        <v>34958.799999999996</v>
      </c>
      <c r="BO63" s="69">
        <v>29000</v>
      </c>
      <c r="BP63" s="69">
        <v>40223</v>
      </c>
      <c r="BQ63" s="69">
        <v>36735</v>
      </c>
      <c r="BR63" s="69">
        <v>36933</v>
      </c>
      <c r="BS63" s="69">
        <v>52283</v>
      </c>
      <c r="BT63" s="69">
        <f t="shared" si="92"/>
        <v>408646.40000000002</v>
      </c>
      <c r="BU63" s="28"/>
      <c r="BV63" s="69">
        <v>32000</v>
      </c>
      <c r="BW63" s="69">
        <v>32000</v>
      </c>
      <c r="BX63" s="69">
        <v>37000</v>
      </c>
      <c r="BY63" s="69">
        <v>32000</v>
      </c>
      <c r="BZ63" s="69">
        <v>35000</v>
      </c>
      <c r="CA63" s="69">
        <v>35000</v>
      </c>
      <c r="CB63" s="69">
        <v>35000</v>
      </c>
      <c r="CC63" s="69">
        <f>CC62*1</f>
        <v>32260.226972643166</v>
      </c>
      <c r="CD63" s="69">
        <f>CD62*1</f>
        <v>33331.522972643164</v>
      </c>
      <c r="CE63" s="69">
        <f>CE62</f>
        <v>35213.881472643166</v>
      </c>
      <c r="CF63" s="69">
        <v>40000</v>
      </c>
      <c r="CG63" s="69">
        <v>60000</v>
      </c>
      <c r="CH63" s="69"/>
      <c r="CI63" s="395"/>
      <c r="CJ63" s="69">
        <v>32000</v>
      </c>
      <c r="CK63" s="69">
        <v>30000</v>
      </c>
      <c r="CL63" s="69">
        <v>31500</v>
      </c>
      <c r="CM63" s="69">
        <v>32000</v>
      </c>
      <c r="CN63" s="69">
        <v>45000</v>
      </c>
      <c r="CO63" s="69">
        <v>35000</v>
      </c>
      <c r="CP63" s="69">
        <v>36000</v>
      </c>
      <c r="CQ63" s="69">
        <v>35000</v>
      </c>
      <c r="CR63" s="69">
        <v>35000</v>
      </c>
      <c r="CS63" s="69">
        <v>40000</v>
      </c>
      <c r="CT63" s="69">
        <v>51000</v>
      </c>
      <c r="CU63" s="69">
        <v>60000</v>
      </c>
      <c r="CV63" s="69">
        <f>SUM(CJ63:CU63)</f>
        <v>462500</v>
      </c>
      <c r="CW63" s="758"/>
      <c r="CX63" s="881">
        <v>28638.329978114532</v>
      </c>
      <c r="CY63" s="881">
        <v>21814.831034278017</v>
      </c>
      <c r="CZ63" s="881">
        <v>27486.135065787566</v>
      </c>
      <c r="DA63" s="881">
        <v>23701.566634278021</v>
      </c>
      <c r="DB63" s="881">
        <v>27311.297065787567</v>
      </c>
      <c r="DC63" s="881">
        <v>31603.10557811453</v>
      </c>
      <c r="DD63" s="881">
        <v>36583.069528806656</v>
      </c>
      <c r="DE63" s="881">
        <v>25808.181578114534</v>
      </c>
      <c r="DF63" s="881">
        <v>26665.218378114532</v>
      </c>
      <c r="DG63" s="881">
        <v>28171.105178114536</v>
      </c>
      <c r="DH63" s="881">
        <v>36935.102454844826</v>
      </c>
      <c r="DI63" s="881">
        <v>46324.402153460593</v>
      </c>
      <c r="DJ63" s="69"/>
      <c r="DK63" s="948"/>
      <c r="DL63" s="881">
        <v>28638.329978114532</v>
      </c>
      <c r="DM63" s="881">
        <v>21814.831034278017</v>
      </c>
      <c r="DN63" s="881">
        <v>27486.135065787566</v>
      </c>
      <c r="DO63" s="881">
        <v>23701.566634278021</v>
      </c>
      <c r="DP63" s="881">
        <v>27311.297065787567</v>
      </c>
      <c r="DQ63" s="881">
        <v>31603.10557811453</v>
      </c>
      <c r="DR63" s="881">
        <v>36583.069528806656</v>
      </c>
      <c r="DS63" s="881">
        <v>25808.181578114534</v>
      </c>
      <c r="DT63" s="881">
        <v>26665.218378114532</v>
      </c>
      <c r="DU63" s="881">
        <v>28171.105178114536</v>
      </c>
      <c r="DV63" s="881">
        <v>36935.102454844826</v>
      </c>
      <c r="DW63" s="881">
        <v>46324.402153460593</v>
      </c>
      <c r="DX63" s="69"/>
    </row>
    <row r="64" spans="1:128" ht="14.25" hidden="1" customHeight="1">
      <c r="A64" s="55" t="s">
        <v>74</v>
      </c>
      <c r="B64" s="56"/>
      <c r="C64" s="280"/>
      <c r="D64" s="288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289"/>
      <c r="Q64" s="39"/>
      <c r="R64" s="288"/>
      <c r="S64" s="58"/>
      <c r="T64" s="58"/>
      <c r="U64" s="58"/>
      <c r="V64" s="58"/>
      <c r="W64" s="290"/>
      <c r="X64" s="290"/>
      <c r="Y64" s="290"/>
      <c r="Z64" s="290"/>
      <c r="AA64" s="290"/>
      <c r="AB64" s="290"/>
      <c r="AC64" s="290"/>
      <c r="AD64" s="291"/>
      <c r="AE64" s="59"/>
      <c r="AF64" s="292"/>
      <c r="AG64" s="58"/>
      <c r="AH64" s="58"/>
      <c r="AI64" s="58"/>
      <c r="AJ64" s="58"/>
      <c r="AK64" s="58"/>
      <c r="AL64" s="58">
        <f>AL62/AVERAGE($AF$62:$AQ$62)</f>
        <v>1.2614511225503295</v>
      </c>
      <c r="AM64" s="58"/>
      <c r="AN64" s="58"/>
      <c r="AO64" s="58"/>
      <c r="AP64" s="58">
        <f t="shared" ref="AP64:AQ64" si="97">AP62/AVERAGE($AF$62:$AQ$62)</f>
        <v>1.2293854585238704</v>
      </c>
      <c r="AQ64" s="58">
        <f t="shared" si="97"/>
        <v>1.6468441033966412</v>
      </c>
      <c r="AR64" s="58"/>
      <c r="AS64" s="59"/>
      <c r="AT64" s="58">
        <v>109190</v>
      </c>
      <c r="AU64" s="58">
        <v>153667</v>
      </c>
      <c r="AV64" s="58">
        <v>178778</v>
      </c>
      <c r="AW64" s="58">
        <v>151970</v>
      </c>
      <c r="AX64" s="58">
        <v>142416</v>
      </c>
      <c r="AY64" s="58">
        <v>177335</v>
      </c>
      <c r="AZ64" s="58">
        <v>152230</v>
      </c>
      <c r="BA64" s="58">
        <v>245527</v>
      </c>
      <c r="BB64" s="58">
        <f>5261504/27</f>
        <v>194870.51851851851</v>
      </c>
      <c r="BC64" s="58">
        <f>5784000/27</f>
        <v>214222.22222222222</v>
      </c>
      <c r="BD64" s="58">
        <f>3224000/27</f>
        <v>119407.4074074074</v>
      </c>
      <c r="BE64" s="58">
        <f>909800/27</f>
        <v>33696.296296296299</v>
      </c>
      <c r="BF64" s="58">
        <f t="shared" si="77"/>
        <v>1873309.4444444445</v>
      </c>
      <c r="BG64" s="59"/>
      <c r="BH64" s="58">
        <v>156208</v>
      </c>
      <c r="BI64" s="58">
        <v>147340</v>
      </c>
      <c r="BJ64" s="58">
        <v>166759</v>
      </c>
      <c r="BK64" s="58">
        <v>152352</v>
      </c>
      <c r="BL64" s="58">
        <v>128446</v>
      </c>
      <c r="BM64" s="58">
        <v>126790</v>
      </c>
      <c r="BN64" s="58">
        <v>173761</v>
      </c>
      <c r="BO64" s="58">
        <f>144510.599073001+BO63</f>
        <v>173510.59907300101</v>
      </c>
      <c r="BP64" s="58">
        <f>162574.422556972+BP63</f>
        <v>202797.42255697199</v>
      </c>
      <c r="BQ64" s="58">
        <f>166187.186558517+BQ63</f>
        <v>202922.18655851699</v>
      </c>
      <c r="BR64" s="58">
        <f>BQ38+BR34*0.6</f>
        <v>232502.36</v>
      </c>
      <c r="BS64" s="58">
        <f>BR34*0.4+BS34*0.5</f>
        <v>116391.04000000001</v>
      </c>
      <c r="BT64" s="58">
        <f t="shared" si="92"/>
        <v>1979779.6081884899</v>
      </c>
      <c r="BU64" s="60"/>
      <c r="BV64" s="58">
        <f t="shared" ref="BV64:CC64" si="98">BV38+BV63</f>
        <v>162757.867486095</v>
      </c>
      <c r="BW64" s="58">
        <f t="shared" si="98"/>
        <v>157566.83045180296</v>
      </c>
      <c r="BX64" s="58">
        <f t="shared" si="98"/>
        <v>197961.53846153844</v>
      </c>
      <c r="BY64" s="58">
        <f t="shared" si="98"/>
        <v>160769.23076923078</v>
      </c>
      <c r="BZ64" s="58">
        <f t="shared" si="98"/>
        <v>153232.39341785663</v>
      </c>
      <c r="CA64" s="58">
        <f t="shared" si="98"/>
        <v>143192.12910096842</v>
      </c>
      <c r="CB64" s="58">
        <f t="shared" si="98"/>
        <v>178736.21444761599</v>
      </c>
      <c r="CC64" s="58">
        <f t="shared" si="98"/>
        <v>202914.10079748323</v>
      </c>
      <c r="CD64" s="58">
        <f>CD38+CD63</f>
        <v>214499.61628422557</v>
      </c>
      <c r="CE64" s="58">
        <f>CE38+CE63</f>
        <v>217682.99793575107</v>
      </c>
      <c r="CF64" s="58">
        <f>CF38+CF63</f>
        <v>173115.84223630186</v>
      </c>
      <c r="CG64" s="58">
        <f t="shared" ref="CG64" si="99">BS64</f>
        <v>116391.04000000001</v>
      </c>
      <c r="CH64" s="58"/>
      <c r="CJ64" s="58">
        <f>CJ38+CJ63</f>
        <v>161344.16697726428</v>
      </c>
      <c r="CK64" s="58">
        <f t="shared" ref="CK64:CU64" si="100">CK38+CK63</f>
        <v>180873.49981364145</v>
      </c>
      <c r="CL64" s="58">
        <f t="shared" si="100"/>
        <v>172879.05329854641</v>
      </c>
      <c r="CM64" s="58">
        <f t="shared" si="100"/>
        <v>168578.1587774879</v>
      </c>
      <c r="CN64" s="58">
        <f t="shared" si="100"/>
        <v>181291.91203876259</v>
      </c>
      <c r="CO64" s="58">
        <f t="shared" si="100"/>
        <v>138386.95490122997</v>
      </c>
      <c r="CP64" s="58">
        <f t="shared" si="100"/>
        <v>217610.97046413503</v>
      </c>
      <c r="CQ64" s="58">
        <f>CQ38+CQ63</f>
        <v>234329.11392405062</v>
      </c>
      <c r="CR64" s="58">
        <f t="shared" si="100"/>
        <v>269765.40084388189</v>
      </c>
      <c r="CS64" s="58">
        <f t="shared" si="100"/>
        <v>257806.7510548523</v>
      </c>
      <c r="CT64" s="58">
        <f>CT38+CT63</f>
        <v>185135.02109704641</v>
      </c>
      <c r="CU64" s="58">
        <f t="shared" si="100"/>
        <v>111311.39240506329</v>
      </c>
      <c r="CV64" s="58">
        <f>SUM(CJ64:CU64)</f>
        <v>2279312.3955959622</v>
      </c>
      <c r="CW64" s="758"/>
      <c r="CX64" s="880">
        <v>98000</v>
      </c>
      <c r="CY64" s="880">
        <v>147381.66148608096</v>
      </c>
      <c r="CZ64" s="880">
        <v>188447.673527326</v>
      </c>
      <c r="DA64" s="880">
        <v>152352</v>
      </c>
      <c r="DB64" s="880">
        <v>128446</v>
      </c>
      <c r="DC64" s="880">
        <v>126790</v>
      </c>
      <c r="DD64" s="880">
        <v>173761</v>
      </c>
      <c r="DE64" s="880">
        <v>173510.59907300101</v>
      </c>
      <c r="DF64" s="880">
        <v>202797.42255697199</v>
      </c>
      <c r="DG64" s="880">
        <v>202922.18655851699</v>
      </c>
      <c r="DH64" s="880">
        <v>232502.36</v>
      </c>
      <c r="DI64" s="880">
        <v>116391.04000000001</v>
      </c>
      <c r="DJ64" s="58"/>
      <c r="DK64" s="948"/>
      <c r="DL64" s="880">
        <v>98000</v>
      </c>
      <c r="DM64" s="880">
        <v>147381.66148608096</v>
      </c>
      <c r="DN64" s="880">
        <v>188447.673527326</v>
      </c>
      <c r="DO64" s="880">
        <v>152352</v>
      </c>
      <c r="DP64" s="880">
        <v>128446</v>
      </c>
      <c r="DQ64" s="880">
        <v>126790</v>
      </c>
      <c r="DR64" s="880">
        <v>173761</v>
      </c>
      <c r="DS64" s="880">
        <v>173510.59907300101</v>
      </c>
      <c r="DT64" s="880">
        <v>202797.42255697199</v>
      </c>
      <c r="DU64" s="880">
        <v>202922.18655851699</v>
      </c>
      <c r="DV64" s="880">
        <v>232502.36</v>
      </c>
      <c r="DW64" s="880">
        <v>116391.04000000001</v>
      </c>
      <c r="DX64" s="58"/>
    </row>
    <row r="65" spans="1:129" ht="18.75" hidden="1">
      <c r="A65" s="101" t="s">
        <v>75</v>
      </c>
      <c r="B65" s="931"/>
      <c r="C65" s="909"/>
      <c r="D65" s="277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262"/>
      <c r="Q65" s="15"/>
      <c r="R65" s="277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263"/>
      <c r="AE65" s="16"/>
      <c r="AF65" s="261">
        <v>133791</v>
      </c>
      <c r="AG65" s="14">
        <v>166459</v>
      </c>
      <c r="AH65" s="14">
        <v>149450</v>
      </c>
      <c r="AI65" s="14">
        <v>151073</v>
      </c>
      <c r="AJ65" s="14">
        <v>192944</v>
      </c>
      <c r="AK65" s="14">
        <v>166139</v>
      </c>
      <c r="AL65" s="14">
        <v>151874</v>
      </c>
      <c r="AM65" s="14">
        <v>157771</v>
      </c>
      <c r="AN65" s="14">
        <v>200312</v>
      </c>
      <c r="AO65" s="14">
        <v>202691</v>
      </c>
      <c r="AP65" s="14">
        <v>207768</v>
      </c>
      <c r="AQ65" s="14">
        <v>113286</v>
      </c>
      <c r="AR65" s="14">
        <f>SUM(AF65:AK65)</f>
        <v>959856</v>
      </c>
      <c r="AS65" s="17"/>
      <c r="AT65" s="14">
        <v>89680</v>
      </c>
      <c r="AU65" s="14">
        <v>128308</v>
      </c>
      <c r="AV65" s="14">
        <v>144871</v>
      </c>
      <c r="AW65" s="32">
        <v>161772</v>
      </c>
      <c r="AX65" s="32">
        <v>144516</v>
      </c>
      <c r="AY65" s="32">
        <v>103667</v>
      </c>
      <c r="AZ65" s="32">
        <v>141023</v>
      </c>
      <c r="BA65" s="32">
        <v>172093</v>
      </c>
      <c r="BB65" s="32">
        <f>166606+10000</f>
        <v>176606</v>
      </c>
      <c r="BC65" s="32">
        <v>181091</v>
      </c>
      <c r="BD65" s="32">
        <v>169802</v>
      </c>
      <c r="BE65" s="32">
        <v>120406</v>
      </c>
      <c r="BF65" s="32">
        <f t="shared" si="77"/>
        <v>1733835</v>
      </c>
      <c r="BG65" s="17">
        <f>BG62/AR62</f>
        <v>9.9910256474894502E-2</v>
      </c>
      <c r="BH65" s="14">
        <v>78906</v>
      </c>
      <c r="BI65" s="14">
        <v>119296</v>
      </c>
      <c r="BJ65" s="14">
        <v>165286</v>
      </c>
      <c r="BK65" s="14">
        <v>144532</v>
      </c>
      <c r="BL65" s="32">
        <v>157691</v>
      </c>
      <c r="BM65" s="32">
        <v>129096</v>
      </c>
      <c r="BN65" s="32">
        <v>125800</v>
      </c>
      <c r="BO65" s="32">
        <v>176354</v>
      </c>
      <c r="BP65" s="32">
        <v>173554</v>
      </c>
      <c r="BQ65" s="32">
        <v>185766</v>
      </c>
      <c r="BR65" s="32"/>
      <c r="BS65" s="32"/>
      <c r="BT65" s="32">
        <f t="shared" si="92"/>
        <v>1456281</v>
      </c>
      <c r="BU65" s="28"/>
      <c r="BV65" s="14"/>
      <c r="BW65" s="14"/>
      <c r="BX65" s="14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J65" s="14"/>
      <c r="CK65" s="14"/>
      <c r="CL65" s="14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758"/>
      <c r="CX65" s="873"/>
      <c r="CY65" s="873"/>
      <c r="CZ65" s="873"/>
      <c r="DA65" s="872"/>
      <c r="DB65" s="872"/>
      <c r="DC65" s="872"/>
      <c r="DD65" s="872"/>
      <c r="DE65" s="872"/>
      <c r="DF65" s="872"/>
      <c r="DG65" s="872"/>
      <c r="DH65" s="872"/>
      <c r="DI65" s="872"/>
      <c r="DJ65" s="32"/>
      <c r="DK65" s="948"/>
      <c r="DL65" s="873"/>
      <c r="DM65" s="873"/>
      <c r="DN65" s="873"/>
      <c r="DO65" s="872"/>
      <c r="DP65" s="872"/>
      <c r="DQ65" s="872"/>
      <c r="DR65" s="872"/>
      <c r="DS65" s="872"/>
      <c r="DT65" s="872"/>
      <c r="DU65" s="872"/>
      <c r="DV65" s="872"/>
      <c r="DW65" s="872"/>
      <c r="DX65" s="32"/>
    </row>
    <row r="66" spans="1:129" ht="18.75" hidden="1">
      <c r="A66" s="103"/>
      <c r="B66" s="932" t="s">
        <v>76</v>
      </c>
      <c r="C66" s="933"/>
      <c r="D66" s="331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332"/>
      <c r="Q66" s="105"/>
      <c r="R66" s="333"/>
      <c r="S66" s="333"/>
      <c r="T66" s="333"/>
      <c r="U66" s="333"/>
      <c r="V66" s="333"/>
      <c r="W66" s="333"/>
      <c r="X66" s="333"/>
      <c r="Y66" s="333"/>
      <c r="Z66" s="333"/>
      <c r="AA66" s="333"/>
      <c r="AB66" s="333"/>
      <c r="AC66" s="333"/>
      <c r="AD66" s="334"/>
      <c r="AE66" s="106"/>
      <c r="AF66" s="333">
        <f t="shared" ref="AF66:AQ66" si="101">AF65-AF32</f>
        <v>133789.5653258567</v>
      </c>
      <c r="AG66" s="333">
        <f t="shared" si="101"/>
        <v>166455.02546723894</v>
      </c>
      <c r="AH66" s="333">
        <f t="shared" si="101"/>
        <v>149445.54627453614</v>
      </c>
      <c r="AI66" s="333">
        <f t="shared" si="101"/>
        <v>151069.82181047046</v>
      </c>
      <c r="AJ66" s="333">
        <f t="shared" si="101"/>
        <v>192941.24487749056</v>
      </c>
      <c r="AK66" s="333">
        <f t="shared" si="101"/>
        <v>166135.77020296719</v>
      </c>
      <c r="AL66" s="333">
        <f t="shared" si="101"/>
        <v>151871.64243647002</v>
      </c>
      <c r="AM66" s="333">
        <f t="shared" si="101"/>
        <v>157768.8586839418</v>
      </c>
      <c r="AN66" s="333">
        <f t="shared" si="101"/>
        <v>200310.09576397031</v>
      </c>
      <c r="AO66" s="333">
        <f t="shared" si="101"/>
        <v>202687.83135883085</v>
      </c>
      <c r="AP66" s="333">
        <f t="shared" si="101"/>
        <v>207762.85122649223</v>
      </c>
      <c r="AQ66" s="333">
        <f t="shared" si="101"/>
        <v>113282.51926932538</v>
      </c>
      <c r="AR66" s="107">
        <f t="shared" ref="AR66:AR74" si="102">SUM(AF66:AQ66)</f>
        <v>1993520.772697591</v>
      </c>
      <c r="AS66" s="106"/>
      <c r="AT66" s="333">
        <f t="shared" ref="AT66:BE66" si="103">AT65-AT64</f>
        <v>-19510</v>
      </c>
      <c r="AU66" s="333">
        <f t="shared" si="103"/>
        <v>-25359</v>
      </c>
      <c r="AV66" s="333">
        <f t="shared" si="103"/>
        <v>-33907</v>
      </c>
      <c r="AW66" s="333">
        <f t="shared" si="103"/>
        <v>9802</v>
      </c>
      <c r="AX66" s="333">
        <f t="shared" si="103"/>
        <v>2100</v>
      </c>
      <c r="AY66" s="333">
        <f t="shared" si="103"/>
        <v>-73668</v>
      </c>
      <c r="AZ66" s="333">
        <f t="shared" si="103"/>
        <v>-11207</v>
      </c>
      <c r="BA66" s="333">
        <f t="shared" si="103"/>
        <v>-73434</v>
      </c>
      <c r="BB66" s="333">
        <f t="shared" si="103"/>
        <v>-18264.518518518511</v>
      </c>
      <c r="BC66" s="333">
        <f t="shared" si="103"/>
        <v>-33131.222222222219</v>
      </c>
      <c r="BD66" s="333">
        <f t="shared" si="103"/>
        <v>50394.592592592599</v>
      </c>
      <c r="BE66" s="333">
        <f t="shared" si="103"/>
        <v>86709.703703703708</v>
      </c>
      <c r="BF66" s="108">
        <f t="shared" si="77"/>
        <v>-139474.44444444444</v>
      </c>
      <c r="BG66" s="106"/>
      <c r="BH66" s="333">
        <f t="shared" ref="BH66:BQ66" si="104">BH65-BH64</f>
        <v>-77302</v>
      </c>
      <c r="BI66" s="333">
        <f t="shared" si="104"/>
        <v>-28044</v>
      </c>
      <c r="BJ66" s="333">
        <f t="shared" si="104"/>
        <v>-1473</v>
      </c>
      <c r="BK66" s="333">
        <f t="shared" si="104"/>
        <v>-7820</v>
      </c>
      <c r="BL66" s="333">
        <f t="shared" si="104"/>
        <v>29245</v>
      </c>
      <c r="BM66" s="333">
        <f t="shared" si="104"/>
        <v>2306</v>
      </c>
      <c r="BN66" s="333">
        <f t="shared" si="104"/>
        <v>-47961</v>
      </c>
      <c r="BO66" s="333">
        <f t="shared" si="104"/>
        <v>2843.4009269989911</v>
      </c>
      <c r="BP66" s="333">
        <f t="shared" si="104"/>
        <v>-29243.422556971986</v>
      </c>
      <c r="BQ66" s="333">
        <f t="shared" si="104"/>
        <v>-17156.186558516987</v>
      </c>
      <c r="BR66" s="108"/>
      <c r="BS66" s="108"/>
      <c r="BT66" s="108">
        <f t="shared" si="92"/>
        <v>-174605.20818848998</v>
      </c>
      <c r="BU66" s="28"/>
      <c r="BV66" s="333"/>
      <c r="BW66" s="333"/>
      <c r="BX66" s="333"/>
      <c r="BY66" s="333"/>
      <c r="BZ66" s="108"/>
      <c r="CA66" s="108"/>
      <c r="CB66" s="108"/>
      <c r="CC66" s="108"/>
      <c r="CD66" s="108"/>
      <c r="CE66" s="108"/>
      <c r="CF66" s="108"/>
      <c r="CG66" s="108"/>
      <c r="CH66" s="108"/>
      <c r="CJ66" s="333"/>
      <c r="CK66" s="333"/>
      <c r="CL66" s="333"/>
      <c r="CM66" s="333"/>
      <c r="CN66" s="108"/>
      <c r="CO66" s="108"/>
      <c r="CP66" s="108"/>
      <c r="CQ66" s="108"/>
      <c r="CR66" s="108"/>
      <c r="CS66" s="108"/>
      <c r="CT66" s="108"/>
      <c r="CU66" s="108"/>
      <c r="CV66" s="108"/>
      <c r="CW66" s="758"/>
      <c r="CX66" s="892"/>
      <c r="CY66" s="892"/>
      <c r="CZ66" s="892"/>
      <c r="DA66" s="892"/>
      <c r="DB66" s="893"/>
      <c r="DC66" s="893"/>
      <c r="DD66" s="893"/>
      <c r="DE66" s="893"/>
      <c r="DF66" s="893"/>
      <c r="DG66" s="893"/>
      <c r="DH66" s="893"/>
      <c r="DI66" s="893"/>
      <c r="DJ66" s="108"/>
      <c r="DK66" s="948"/>
      <c r="DL66" s="892"/>
      <c r="DM66" s="892"/>
      <c r="DN66" s="892"/>
      <c r="DO66" s="892"/>
      <c r="DP66" s="893"/>
      <c r="DQ66" s="893"/>
      <c r="DR66" s="893"/>
      <c r="DS66" s="893"/>
      <c r="DT66" s="893"/>
      <c r="DU66" s="893"/>
      <c r="DV66" s="893"/>
      <c r="DW66" s="893"/>
      <c r="DX66" s="108"/>
    </row>
    <row r="67" spans="1:129" ht="15.75" hidden="1" customHeight="1">
      <c r="A67" s="94">
        <v>5</v>
      </c>
      <c r="B67" s="921" t="s">
        <v>77</v>
      </c>
      <c r="C67" s="934"/>
      <c r="D67" s="313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>
        <v>0</v>
      </c>
      <c r="P67" s="314">
        <f>SUM(D67:O67)</f>
        <v>0</v>
      </c>
      <c r="Q67" s="90"/>
      <c r="R67" s="313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315">
        <f>SUM(R67:AC67)</f>
        <v>0</v>
      </c>
      <c r="AE67" s="23"/>
      <c r="AF67" s="316">
        <v>0</v>
      </c>
      <c r="AG67" s="91">
        <v>0</v>
      </c>
      <c r="AH67" s="91">
        <v>0</v>
      </c>
      <c r="AI67" s="91">
        <v>0</v>
      </c>
      <c r="AJ67" s="91">
        <v>0</v>
      </c>
      <c r="AK67" s="91">
        <v>0</v>
      </c>
      <c r="AL67" s="91">
        <v>0</v>
      </c>
      <c r="AM67" s="91">
        <v>0</v>
      </c>
      <c r="AN67" s="91">
        <v>0</v>
      </c>
      <c r="AO67" s="91">
        <v>0</v>
      </c>
      <c r="AP67" s="91"/>
      <c r="AQ67" s="91">
        <v>8938</v>
      </c>
      <c r="AR67" s="92">
        <f t="shared" si="102"/>
        <v>8938</v>
      </c>
      <c r="AS67" s="23"/>
      <c r="AT67" s="91">
        <v>106642</v>
      </c>
      <c r="AU67" s="91">
        <v>90699</v>
      </c>
      <c r="AV67" s="91">
        <v>89681</v>
      </c>
      <c r="AW67" s="91">
        <v>58790</v>
      </c>
      <c r="AX67" s="91">
        <v>35520</v>
      </c>
      <c r="AY67" s="91">
        <v>61551</v>
      </c>
      <c r="AZ67" s="91">
        <v>71511</v>
      </c>
      <c r="BA67" s="91">
        <v>63617</v>
      </c>
      <c r="BB67" s="91">
        <v>66748</v>
      </c>
      <c r="BC67" s="91">
        <v>75532</v>
      </c>
      <c r="BD67" s="91">
        <v>37786</v>
      </c>
      <c r="BE67" s="91">
        <v>4503</v>
      </c>
      <c r="BF67" s="91">
        <f t="shared" si="77"/>
        <v>762580</v>
      </c>
      <c r="BG67" s="27"/>
      <c r="BH67" s="91">
        <v>69404</v>
      </c>
      <c r="BI67" s="91">
        <v>80412</v>
      </c>
      <c r="BJ67" s="91">
        <v>94386</v>
      </c>
      <c r="BK67" s="91">
        <v>78313</v>
      </c>
      <c r="BL67" s="91">
        <v>47034</v>
      </c>
      <c r="BM67" s="91">
        <v>50851</v>
      </c>
      <c r="BN67" s="91">
        <v>93202</v>
      </c>
      <c r="BO67" s="91">
        <v>100687</v>
      </c>
      <c r="BP67" s="91">
        <v>127995</v>
      </c>
      <c r="BQ67" s="91">
        <v>122686</v>
      </c>
      <c r="BR67" s="91"/>
      <c r="BS67" s="91"/>
      <c r="BT67" s="91"/>
      <c r="BU67" s="28"/>
      <c r="BV67" s="91"/>
      <c r="BW67" s="91"/>
      <c r="BX67" s="91"/>
      <c r="BY67" s="91"/>
      <c r="BZ67" s="91"/>
      <c r="CA67" s="91"/>
      <c r="CB67" s="91"/>
      <c r="CC67" s="91"/>
      <c r="CD67" s="91"/>
      <c r="CE67" s="91"/>
      <c r="CF67" s="91"/>
      <c r="CG67" s="91"/>
      <c r="CH67" s="91"/>
      <c r="CJ67" s="91"/>
      <c r="CK67" s="91"/>
      <c r="CL67" s="91"/>
      <c r="CM67" s="91"/>
      <c r="CN67" s="91"/>
      <c r="CO67" s="91"/>
      <c r="CP67" s="91"/>
      <c r="CQ67" s="91"/>
      <c r="CR67" s="91"/>
      <c r="CS67" s="91"/>
      <c r="CT67" s="91"/>
      <c r="CU67" s="91"/>
      <c r="CV67" s="91"/>
      <c r="CW67" s="758"/>
      <c r="CX67" s="884"/>
      <c r="CY67" s="884"/>
      <c r="CZ67" s="884"/>
      <c r="DA67" s="884"/>
      <c r="DB67" s="884"/>
      <c r="DC67" s="884"/>
      <c r="DD67" s="884"/>
      <c r="DE67" s="884"/>
      <c r="DF67" s="884"/>
      <c r="DG67" s="884"/>
      <c r="DH67" s="884"/>
      <c r="DI67" s="884"/>
      <c r="DJ67" s="91"/>
      <c r="DK67" s="948"/>
      <c r="DL67" s="884"/>
      <c r="DM67" s="884"/>
      <c r="DN67" s="884"/>
      <c r="DO67" s="884"/>
      <c r="DP67" s="884"/>
      <c r="DQ67" s="884"/>
      <c r="DR67" s="884"/>
      <c r="DS67" s="884"/>
      <c r="DT67" s="884"/>
      <c r="DU67" s="884"/>
      <c r="DV67" s="884"/>
      <c r="DW67" s="884"/>
      <c r="DX67" s="91"/>
    </row>
    <row r="68" spans="1:129" ht="18.75" hidden="1">
      <c r="A68" s="13" t="s">
        <v>78</v>
      </c>
      <c r="B68" s="908"/>
      <c r="C68" s="909"/>
      <c r="D68" s="277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262"/>
      <c r="Q68" s="15"/>
      <c r="R68" s="277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263"/>
      <c r="AE68" s="16"/>
      <c r="AF68" s="261">
        <f t="shared" ref="AF68:AQ68" si="105">AF69+AF71</f>
        <v>118364</v>
      </c>
      <c r="AG68" s="261">
        <f t="shared" si="105"/>
        <v>173742</v>
      </c>
      <c r="AH68" s="261">
        <f t="shared" si="105"/>
        <v>73470</v>
      </c>
      <c r="AI68" s="261">
        <f t="shared" si="105"/>
        <v>87377</v>
      </c>
      <c r="AJ68" s="261">
        <f t="shared" si="105"/>
        <v>119657</v>
      </c>
      <c r="AK68" s="261">
        <f t="shared" si="105"/>
        <v>154747</v>
      </c>
      <c r="AL68" s="261">
        <f t="shared" si="105"/>
        <v>138073</v>
      </c>
      <c r="AM68" s="261">
        <f t="shared" si="105"/>
        <v>180773</v>
      </c>
      <c r="AN68" s="261">
        <f t="shared" si="105"/>
        <v>194598</v>
      </c>
      <c r="AO68" s="261">
        <f t="shared" si="105"/>
        <v>242931</v>
      </c>
      <c r="AP68" s="261">
        <f t="shared" si="105"/>
        <v>107346</v>
      </c>
      <c r="AQ68" s="261">
        <f t="shared" si="105"/>
        <v>87384</v>
      </c>
      <c r="AR68" s="14">
        <f t="shared" si="102"/>
        <v>1678462</v>
      </c>
      <c r="AS68" s="17"/>
      <c r="AT68" s="261">
        <f t="shared" ref="AT68:BE68" si="106">AT69+AT71</f>
        <v>155346</v>
      </c>
      <c r="AU68" s="261">
        <f t="shared" si="106"/>
        <v>123370</v>
      </c>
      <c r="AV68" s="261">
        <f t="shared" si="106"/>
        <v>144065</v>
      </c>
      <c r="AW68" s="261">
        <f t="shared" si="106"/>
        <v>127865</v>
      </c>
      <c r="AX68" s="261">
        <f t="shared" si="106"/>
        <v>123461</v>
      </c>
      <c r="AY68" s="261">
        <f t="shared" si="106"/>
        <v>121196</v>
      </c>
      <c r="AZ68" s="261">
        <f t="shared" si="106"/>
        <v>168029</v>
      </c>
      <c r="BA68" s="261">
        <f t="shared" si="106"/>
        <v>164268</v>
      </c>
      <c r="BB68" s="261">
        <f t="shared" si="106"/>
        <v>185112</v>
      </c>
      <c r="BC68" s="261">
        <f t="shared" si="106"/>
        <v>147235</v>
      </c>
      <c r="BD68" s="261">
        <f t="shared" si="106"/>
        <v>135608</v>
      </c>
      <c r="BE68" s="261">
        <f t="shared" si="106"/>
        <v>90194</v>
      </c>
      <c r="BF68" s="32">
        <f t="shared" si="77"/>
        <v>1685749</v>
      </c>
      <c r="BG68" s="35">
        <f t="shared" ref="BG68:BG69" si="107">BF68/AR68-1</f>
        <v>4.3414745165515356E-3</v>
      </c>
      <c r="BH68" s="261">
        <f>BH69+BH71</f>
        <v>144332</v>
      </c>
      <c r="BI68" s="261">
        <f t="shared" ref="BI68:BQ68" si="108">BI69+BI71</f>
        <v>128781</v>
      </c>
      <c r="BJ68" s="261">
        <f t="shared" si="108"/>
        <v>193129</v>
      </c>
      <c r="BK68" s="261">
        <f t="shared" si="108"/>
        <v>106092</v>
      </c>
      <c r="BL68" s="261">
        <f t="shared" si="108"/>
        <v>132638</v>
      </c>
      <c r="BM68" s="261">
        <f t="shared" si="108"/>
        <v>139193</v>
      </c>
      <c r="BN68" s="261">
        <f t="shared" si="108"/>
        <v>173703</v>
      </c>
      <c r="BO68" s="261">
        <f t="shared" si="108"/>
        <v>186902</v>
      </c>
      <c r="BP68" s="261">
        <f t="shared" si="108"/>
        <v>200686</v>
      </c>
      <c r="BQ68" s="261">
        <f t="shared" si="108"/>
        <v>191324</v>
      </c>
      <c r="BR68" s="14"/>
      <c r="BS68" s="14"/>
      <c r="BT68" s="14">
        <f t="shared" ref="BT68:BT73" si="109">SUM(BH68:BS68)</f>
        <v>1596780</v>
      </c>
      <c r="BU68" s="18"/>
      <c r="BV68" s="261"/>
      <c r="BW68" s="261"/>
      <c r="BX68" s="261"/>
      <c r="BY68" s="261"/>
      <c r="BZ68" s="14"/>
      <c r="CA68" s="14"/>
      <c r="CB68" s="14"/>
      <c r="CC68" s="14"/>
      <c r="CD68" s="14"/>
      <c r="CE68" s="14"/>
      <c r="CF68" s="14"/>
      <c r="CG68" s="14"/>
      <c r="CH68" s="14"/>
      <c r="CJ68" s="261">
        <f>CJ69+CJ71</f>
        <v>204853</v>
      </c>
      <c r="CK68" s="261">
        <f t="shared" ref="CK68:CM68" si="110">CK69+CK71</f>
        <v>0</v>
      </c>
      <c r="CL68" s="261">
        <f t="shared" si="110"/>
        <v>0</v>
      </c>
      <c r="CM68" s="261">
        <f t="shared" si="110"/>
        <v>0</v>
      </c>
      <c r="CN68" s="14"/>
      <c r="CO68" s="14"/>
      <c r="CP68" s="14"/>
      <c r="CQ68" s="14"/>
      <c r="CR68" s="14"/>
      <c r="CS68" s="14"/>
      <c r="CT68" s="14"/>
      <c r="CU68" s="14"/>
      <c r="CV68" s="14"/>
      <c r="CW68" s="758"/>
      <c r="CX68" s="874"/>
      <c r="CY68" s="874"/>
      <c r="CZ68" s="874"/>
      <c r="DA68" s="874"/>
      <c r="DB68" s="873"/>
      <c r="DC68" s="873"/>
      <c r="DD68" s="873"/>
      <c r="DE68" s="873"/>
      <c r="DF68" s="873"/>
      <c r="DG68" s="873"/>
      <c r="DH68" s="873"/>
      <c r="DI68" s="873"/>
      <c r="DJ68" s="14"/>
      <c r="DK68" s="948"/>
      <c r="DL68" s="874"/>
      <c r="DM68" s="874"/>
      <c r="DN68" s="874"/>
      <c r="DO68" s="874"/>
      <c r="DP68" s="873"/>
      <c r="DQ68" s="873"/>
      <c r="DR68" s="873"/>
      <c r="DS68" s="873"/>
      <c r="DT68" s="873"/>
      <c r="DU68" s="873"/>
      <c r="DV68" s="873"/>
      <c r="DW68" s="873"/>
      <c r="DX68" s="14"/>
    </row>
    <row r="69" spans="1:129" ht="15.75" hidden="1" customHeight="1">
      <c r="A69" s="210"/>
      <c r="B69" s="921" t="s">
        <v>79</v>
      </c>
      <c r="C69" s="890"/>
      <c r="D69" s="313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314"/>
      <c r="Q69" s="90"/>
      <c r="R69" s="313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315"/>
      <c r="AE69" s="23"/>
      <c r="AF69" s="316">
        <v>92193</v>
      </c>
      <c r="AG69" s="91">
        <v>152006</v>
      </c>
      <c r="AH69" s="91">
        <v>62734</v>
      </c>
      <c r="AI69" s="91">
        <v>71526</v>
      </c>
      <c r="AJ69" s="91">
        <v>89409</v>
      </c>
      <c r="AK69" s="91">
        <v>120675</v>
      </c>
      <c r="AL69" s="91">
        <v>100592</v>
      </c>
      <c r="AM69" s="91">
        <v>148128</v>
      </c>
      <c r="AN69" s="91">
        <v>164346</v>
      </c>
      <c r="AO69" s="91">
        <v>203437</v>
      </c>
      <c r="AP69" s="91">
        <v>64957</v>
      </c>
      <c r="AQ69" s="91">
        <v>31837</v>
      </c>
      <c r="AR69" s="92">
        <f t="shared" si="102"/>
        <v>1301840</v>
      </c>
      <c r="AS69" s="23"/>
      <c r="AT69" s="91">
        <v>125048</v>
      </c>
      <c r="AU69" s="91">
        <v>96006</v>
      </c>
      <c r="AV69" s="91">
        <v>111470</v>
      </c>
      <c r="AW69" s="91">
        <v>99222</v>
      </c>
      <c r="AX69" s="91">
        <v>91253</v>
      </c>
      <c r="AY69" s="91">
        <v>90595</v>
      </c>
      <c r="AZ69" s="91">
        <v>129147</v>
      </c>
      <c r="BA69" s="91">
        <v>133525</v>
      </c>
      <c r="BB69" s="91">
        <v>159291</v>
      </c>
      <c r="BC69" s="91">
        <v>115573</v>
      </c>
      <c r="BD69" s="91">
        <v>98386</v>
      </c>
      <c r="BE69" s="91">
        <v>36527</v>
      </c>
      <c r="BF69" s="91">
        <f t="shared" si="77"/>
        <v>1286043</v>
      </c>
      <c r="BG69" s="93">
        <f t="shared" si="107"/>
        <v>-1.2134363669882631E-2</v>
      </c>
      <c r="BH69" s="91">
        <v>110235</v>
      </c>
      <c r="BI69" s="91">
        <v>103047</v>
      </c>
      <c r="BJ69" s="91">
        <v>158855</v>
      </c>
      <c r="BK69" s="91">
        <v>77254</v>
      </c>
      <c r="BL69" s="91">
        <v>99853</v>
      </c>
      <c r="BM69" s="91">
        <v>100723</v>
      </c>
      <c r="BN69" s="91">
        <v>125338</v>
      </c>
      <c r="BO69" s="91">
        <v>153622</v>
      </c>
      <c r="BP69" s="91">
        <v>166483</v>
      </c>
      <c r="BQ69" s="91">
        <v>156140</v>
      </c>
      <c r="BR69" s="91">
        <v>111391</v>
      </c>
      <c r="BS69" s="91">
        <v>26768</v>
      </c>
      <c r="BT69" s="91">
        <f t="shared" si="109"/>
        <v>1389709</v>
      </c>
      <c r="BU69" s="28"/>
      <c r="BV69" s="91">
        <v>128446</v>
      </c>
      <c r="BW69" s="91">
        <v>119229</v>
      </c>
      <c r="BX69" s="91">
        <v>134860</v>
      </c>
      <c r="BY69" s="91">
        <v>111992</v>
      </c>
      <c r="BZ69" s="91">
        <v>102725</v>
      </c>
      <c r="CA69" s="91">
        <v>74472</v>
      </c>
      <c r="CB69" s="91">
        <v>164045</v>
      </c>
      <c r="CC69" s="91">
        <v>148167</v>
      </c>
      <c r="CD69" s="91">
        <v>189715</v>
      </c>
      <c r="CE69" s="91">
        <v>165488</v>
      </c>
      <c r="CF69" s="91">
        <v>103829</v>
      </c>
      <c r="CG69" s="91">
        <v>39967</v>
      </c>
      <c r="CH69" s="91">
        <f t="shared" ref="CH69:CH72" si="111">SUM(BV69:CG69)</f>
        <v>1482935</v>
      </c>
      <c r="CJ69" s="91">
        <v>167136</v>
      </c>
      <c r="CK69" s="91"/>
      <c r="CL69" s="91"/>
      <c r="CM69" s="91"/>
      <c r="CN69" s="91"/>
      <c r="CO69" s="91"/>
      <c r="CP69" s="91"/>
      <c r="CQ69" s="91"/>
      <c r="CR69" s="91"/>
      <c r="CS69" s="91"/>
      <c r="CT69" s="91"/>
      <c r="CU69" s="91"/>
      <c r="CV69" s="91"/>
      <c r="CW69" s="758"/>
      <c r="CX69" s="884">
        <v>54245</v>
      </c>
      <c r="CY69" s="884"/>
      <c r="CZ69" s="884"/>
      <c r="DA69" s="884"/>
      <c r="DB69" s="884"/>
      <c r="DC69" s="884"/>
      <c r="DD69" s="884"/>
      <c r="DE69" s="884"/>
      <c r="DF69" s="884"/>
      <c r="DG69" s="884"/>
      <c r="DH69" s="884"/>
      <c r="DI69" s="884"/>
      <c r="DJ69" s="91"/>
      <c r="DK69" s="948"/>
      <c r="DL69" s="884">
        <v>54245</v>
      </c>
      <c r="DM69" s="884"/>
      <c r="DN69" s="884"/>
      <c r="DO69" s="884"/>
      <c r="DP69" s="884"/>
      <c r="DQ69" s="884"/>
      <c r="DR69" s="884"/>
      <c r="DS69" s="884"/>
      <c r="DT69" s="884"/>
      <c r="DU69" s="884"/>
      <c r="DV69" s="884"/>
      <c r="DW69" s="884"/>
      <c r="DX69" s="91"/>
    </row>
    <row r="70" spans="1:129" ht="18.75" hidden="1">
      <c r="A70" s="103"/>
      <c r="B70" s="932" t="s">
        <v>80</v>
      </c>
      <c r="C70" s="933"/>
      <c r="D70" s="331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332"/>
      <c r="Q70" s="105"/>
      <c r="R70" s="333"/>
      <c r="S70" s="333"/>
      <c r="T70" s="333"/>
      <c r="U70" s="333"/>
      <c r="V70" s="333"/>
      <c r="W70" s="333"/>
      <c r="X70" s="333"/>
      <c r="Y70" s="333"/>
      <c r="Z70" s="333"/>
      <c r="AA70" s="333"/>
      <c r="AB70" s="333"/>
      <c r="AC70" s="333"/>
      <c r="AD70" s="334"/>
      <c r="AE70" s="106"/>
      <c r="AF70" s="333">
        <f t="shared" ref="AF70:AQ70" si="112">AF69-AF38</f>
        <v>2047</v>
      </c>
      <c r="AG70" s="333">
        <f t="shared" si="112"/>
        <v>-3571</v>
      </c>
      <c r="AH70" s="333">
        <f t="shared" si="112"/>
        <v>-219</v>
      </c>
      <c r="AI70" s="333">
        <f t="shared" si="112"/>
        <v>-1735</v>
      </c>
      <c r="AJ70" s="333">
        <f t="shared" si="112"/>
        <v>-2447</v>
      </c>
      <c r="AK70" s="333">
        <f t="shared" si="112"/>
        <v>675</v>
      </c>
      <c r="AL70" s="333">
        <f t="shared" si="112"/>
        <v>-9703</v>
      </c>
      <c r="AM70" s="333">
        <f t="shared" si="112"/>
        <v>-52075</v>
      </c>
      <c r="AN70" s="333">
        <f t="shared" si="112"/>
        <v>-59487.333333333343</v>
      </c>
      <c r="AO70" s="333">
        <f t="shared" si="112"/>
        <v>-15063</v>
      </c>
      <c r="AP70" s="333">
        <f t="shared" si="112"/>
        <v>-23043</v>
      </c>
      <c r="AQ70" s="333">
        <f t="shared" si="112"/>
        <v>-11563</v>
      </c>
      <c r="AR70" s="107">
        <f t="shared" si="102"/>
        <v>-176184.33333333334</v>
      </c>
      <c r="AS70" s="106"/>
      <c r="AT70" s="333">
        <f t="shared" ref="AT70:BE70" si="113">AT69-AT38</f>
        <v>8451.75</v>
      </c>
      <c r="AU70" s="333">
        <f t="shared" si="113"/>
        <v>-37227.103448275855</v>
      </c>
      <c r="AV70" s="333">
        <f t="shared" si="113"/>
        <v>-6779.1379310344782</v>
      </c>
      <c r="AW70" s="333">
        <f t="shared" si="113"/>
        <v>-22342.137931034478</v>
      </c>
      <c r="AX70" s="333">
        <f t="shared" si="113"/>
        <v>4719.0344827586232</v>
      </c>
      <c r="AY70" s="333">
        <f t="shared" si="113"/>
        <v>-14182.777777777781</v>
      </c>
      <c r="AZ70" s="333">
        <f t="shared" si="113"/>
        <v>-6630.777777777781</v>
      </c>
      <c r="BA70" s="333">
        <f t="shared" si="113"/>
        <v>-77771.296296296292</v>
      </c>
      <c r="BB70" s="333">
        <f t="shared" si="113"/>
        <v>-51486.777777777781</v>
      </c>
      <c r="BC70" s="333">
        <f t="shared" si="113"/>
        <v>-99233.290755657828</v>
      </c>
      <c r="BD70" s="333">
        <f t="shared" si="113"/>
        <v>5175.413118527038</v>
      </c>
      <c r="BE70" s="333">
        <f t="shared" si="113"/>
        <v>5840.3870349060235</v>
      </c>
      <c r="BF70" s="108">
        <f t="shared" si="77"/>
        <v>-291466.71505944064</v>
      </c>
      <c r="BG70" s="106"/>
      <c r="BH70" s="333">
        <f t="shared" ref="BH70:BQ70" si="114">BH69-BH35</f>
        <v>-6365</v>
      </c>
      <c r="BI70" s="333">
        <f t="shared" si="114"/>
        <v>-8486.3333333333285</v>
      </c>
      <c r="BJ70" s="333">
        <f t="shared" si="114"/>
        <v>23180.925925925927</v>
      </c>
      <c r="BK70" s="333">
        <f t="shared" si="114"/>
        <v>-44486.740740740745</v>
      </c>
      <c r="BL70" s="333">
        <f t="shared" si="114"/>
        <v>5926.148148148146</v>
      </c>
      <c r="BM70" s="333">
        <f t="shared" si="114"/>
        <v>10043.740740740745</v>
      </c>
      <c r="BN70" s="333">
        <f t="shared" si="114"/>
        <v>-4917.555555555562</v>
      </c>
      <c r="BO70" s="333">
        <f t="shared" si="114"/>
        <v>3071.6218888889125</v>
      </c>
      <c r="BP70" s="333">
        <f t="shared" si="114"/>
        <v>4652.2504629629548</v>
      </c>
      <c r="BQ70" s="333">
        <f t="shared" si="114"/>
        <v>29010</v>
      </c>
      <c r="BR70" s="108"/>
      <c r="BS70" s="108"/>
      <c r="BT70" s="108">
        <f t="shared" si="109"/>
        <v>11629.05753703705</v>
      </c>
      <c r="BU70" s="28"/>
      <c r="BV70" s="333">
        <v>124435</v>
      </c>
      <c r="BW70" s="333">
        <v>117564</v>
      </c>
      <c r="BX70" s="333">
        <v>133262</v>
      </c>
      <c r="BY70" s="333">
        <v>110312</v>
      </c>
      <c r="BZ70" s="108">
        <v>101441</v>
      </c>
      <c r="CA70" s="108">
        <v>67535</v>
      </c>
      <c r="CB70" s="108">
        <v>155594</v>
      </c>
      <c r="CC70" s="108"/>
      <c r="CD70" s="108"/>
      <c r="CE70" s="108"/>
      <c r="CF70" s="108"/>
      <c r="CG70" s="108"/>
      <c r="CH70" s="108">
        <f t="shared" si="111"/>
        <v>810143</v>
      </c>
      <c r="CJ70" s="333">
        <v>159683</v>
      </c>
      <c r="CK70" s="333">
        <v>182683</v>
      </c>
      <c r="CL70" s="333">
        <v>137562</v>
      </c>
      <c r="CM70" s="333">
        <v>131937</v>
      </c>
      <c r="CN70" s="108"/>
      <c r="CO70" s="108"/>
      <c r="CP70" s="108"/>
      <c r="CQ70" s="108"/>
      <c r="CR70" s="108"/>
      <c r="CS70" s="108"/>
      <c r="CT70" s="108"/>
      <c r="CU70" s="108"/>
      <c r="CV70" s="108"/>
      <c r="CW70" s="758"/>
      <c r="CX70" s="892"/>
      <c r="CY70" s="892"/>
      <c r="CZ70" s="892"/>
      <c r="DA70" s="892"/>
      <c r="DB70" s="893"/>
      <c r="DC70" s="893"/>
      <c r="DD70" s="893"/>
      <c r="DE70" s="893"/>
      <c r="DF70" s="893"/>
      <c r="DG70" s="893"/>
      <c r="DH70" s="893"/>
      <c r="DI70" s="893"/>
      <c r="DJ70" s="108"/>
      <c r="DK70" s="948"/>
      <c r="DL70" s="892"/>
      <c r="DM70" s="892"/>
      <c r="DN70" s="892"/>
      <c r="DO70" s="892"/>
      <c r="DP70" s="893"/>
      <c r="DQ70" s="893"/>
      <c r="DR70" s="893"/>
      <c r="DS70" s="893"/>
      <c r="DT70" s="893"/>
      <c r="DU70" s="893"/>
      <c r="DV70" s="893"/>
      <c r="DW70" s="893"/>
      <c r="DX70" s="108"/>
    </row>
    <row r="71" spans="1:129" ht="15.75" hidden="1" customHeight="1">
      <c r="A71" s="94"/>
      <c r="B71" s="935" t="s">
        <v>81</v>
      </c>
      <c r="C71" s="934"/>
      <c r="D71" s="313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314"/>
      <c r="Q71" s="90"/>
      <c r="R71" s="316"/>
      <c r="S71" s="316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5"/>
      <c r="AE71" s="23"/>
      <c r="AF71" s="316">
        <v>26171</v>
      </c>
      <c r="AG71" s="316">
        <v>21736</v>
      </c>
      <c r="AH71" s="316">
        <v>10736</v>
      </c>
      <c r="AI71" s="316">
        <v>15851</v>
      </c>
      <c r="AJ71" s="316">
        <v>30248</v>
      </c>
      <c r="AK71" s="316">
        <v>34072</v>
      </c>
      <c r="AL71" s="316">
        <v>37481</v>
      </c>
      <c r="AM71" s="91">
        <v>32645</v>
      </c>
      <c r="AN71" s="91">
        <v>30252</v>
      </c>
      <c r="AO71" s="91">
        <v>39494</v>
      </c>
      <c r="AP71" s="91">
        <v>42389</v>
      </c>
      <c r="AQ71" s="91">
        <v>55547</v>
      </c>
      <c r="AR71" s="92">
        <f t="shared" si="102"/>
        <v>376622</v>
      </c>
      <c r="AS71" s="23"/>
      <c r="AT71" s="91">
        <v>30298</v>
      </c>
      <c r="AU71" s="91">
        <v>27364</v>
      </c>
      <c r="AV71" s="91">
        <v>32595</v>
      </c>
      <c r="AW71" s="91">
        <v>28643</v>
      </c>
      <c r="AX71" s="91">
        <v>32208</v>
      </c>
      <c r="AY71" s="91">
        <v>30601</v>
      </c>
      <c r="AZ71" s="91">
        <v>38882</v>
      </c>
      <c r="BA71" s="91">
        <v>30743</v>
      </c>
      <c r="BB71" s="91">
        <f>24621+1200</f>
        <v>25821</v>
      </c>
      <c r="BC71" s="91">
        <v>31662</v>
      </c>
      <c r="BD71" s="91">
        <v>37222</v>
      </c>
      <c r="BE71" s="91">
        <v>53667</v>
      </c>
      <c r="BF71" s="91">
        <f t="shared" si="77"/>
        <v>399706</v>
      </c>
      <c r="BG71" s="93">
        <f>BF71/AR71-1</f>
        <v>6.1292224033646425E-2</v>
      </c>
      <c r="BH71" s="91">
        <v>34097</v>
      </c>
      <c r="BI71" s="91">
        <v>25734</v>
      </c>
      <c r="BJ71" s="91">
        <v>34274</v>
      </c>
      <c r="BK71" s="91">
        <v>28838</v>
      </c>
      <c r="BL71" s="91">
        <v>32785</v>
      </c>
      <c r="BM71" s="91">
        <v>38470</v>
      </c>
      <c r="BN71" s="91">
        <v>48365</v>
      </c>
      <c r="BO71" s="91">
        <v>33280</v>
      </c>
      <c r="BP71" s="91">
        <v>34203</v>
      </c>
      <c r="BQ71" s="91">
        <v>35184</v>
      </c>
      <c r="BR71" s="91">
        <v>34873</v>
      </c>
      <c r="BS71" s="91">
        <v>48960</v>
      </c>
      <c r="BT71" s="91">
        <f t="shared" si="109"/>
        <v>429063</v>
      </c>
      <c r="BU71" s="28"/>
      <c r="BV71" s="91">
        <v>38900</v>
      </c>
      <c r="BW71" s="91">
        <v>31376</v>
      </c>
      <c r="BX71" s="91">
        <v>29886</v>
      </c>
      <c r="BY71" s="91">
        <v>30671</v>
      </c>
      <c r="BZ71" s="91">
        <v>34553</v>
      </c>
      <c r="CA71" s="91">
        <v>36515</v>
      </c>
      <c r="CB71" s="91">
        <v>38915</v>
      </c>
      <c r="CC71" s="91">
        <v>34615</v>
      </c>
      <c r="CD71" s="91">
        <v>29617</v>
      </c>
      <c r="CE71" s="91">
        <v>34538</v>
      </c>
      <c r="CF71" s="91">
        <v>45914</v>
      </c>
      <c r="CG71" s="91">
        <v>60875</v>
      </c>
      <c r="CH71" s="91">
        <f t="shared" si="111"/>
        <v>446375</v>
      </c>
      <c r="CJ71" s="91">
        <v>37717</v>
      </c>
      <c r="CK71" s="91"/>
      <c r="CL71" s="91"/>
      <c r="CM71" s="91"/>
      <c r="CN71" s="91"/>
      <c r="CO71" s="91"/>
      <c r="CP71" s="91"/>
      <c r="CQ71" s="91"/>
      <c r="CR71" s="91"/>
      <c r="CS71" s="91"/>
      <c r="CT71" s="91"/>
      <c r="CU71" s="91"/>
      <c r="CV71" s="91"/>
      <c r="CW71" s="758"/>
      <c r="CX71" s="884">
        <v>22115</v>
      </c>
      <c r="CY71" s="884"/>
      <c r="CZ71" s="884"/>
      <c r="DA71" s="884"/>
      <c r="DB71" s="884"/>
      <c r="DC71" s="884"/>
      <c r="DD71" s="884"/>
      <c r="DE71" s="884"/>
      <c r="DF71" s="884"/>
      <c r="DG71" s="884"/>
      <c r="DH71" s="884"/>
      <c r="DI71" s="884"/>
      <c r="DJ71" s="91"/>
      <c r="DK71" s="948"/>
      <c r="DL71" s="884">
        <v>22115</v>
      </c>
      <c r="DM71" s="884"/>
      <c r="DN71" s="884"/>
      <c r="DO71" s="884"/>
      <c r="DP71" s="884"/>
      <c r="DQ71" s="884"/>
      <c r="DR71" s="884"/>
      <c r="DS71" s="884"/>
      <c r="DT71" s="884"/>
      <c r="DU71" s="884"/>
      <c r="DV71" s="884"/>
      <c r="DW71" s="884"/>
      <c r="DX71" s="91"/>
    </row>
    <row r="72" spans="1:129" ht="18.75" hidden="1">
      <c r="A72" s="103"/>
      <c r="B72" s="932" t="s">
        <v>82</v>
      </c>
      <c r="C72" s="933"/>
      <c r="D72" s="331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332"/>
      <c r="Q72" s="105"/>
      <c r="R72" s="333"/>
      <c r="S72" s="333"/>
      <c r="T72" s="333"/>
      <c r="U72" s="333"/>
      <c r="V72" s="333"/>
      <c r="W72" s="333"/>
      <c r="X72" s="333"/>
      <c r="Y72" s="333"/>
      <c r="Z72" s="333"/>
      <c r="AA72" s="333"/>
      <c r="AB72" s="333"/>
      <c r="AC72" s="333"/>
      <c r="AD72" s="334"/>
      <c r="AE72" s="106"/>
      <c r="AF72" s="333">
        <f t="shared" ref="AF72:AQ72" si="115">AF71-AF62</f>
        <v>-12329</v>
      </c>
      <c r="AG72" s="333">
        <f t="shared" si="115"/>
        <v>-664</v>
      </c>
      <c r="AH72" s="333">
        <f t="shared" si="115"/>
        <v>65</v>
      </c>
      <c r="AI72" s="333">
        <f t="shared" si="115"/>
        <v>-246</v>
      </c>
      <c r="AJ72" s="333">
        <f t="shared" si="115"/>
        <v>-30</v>
      </c>
      <c r="AK72" s="333">
        <f t="shared" si="115"/>
        <v>5512</v>
      </c>
      <c r="AL72" s="333">
        <f t="shared" si="115"/>
        <v>-4219</v>
      </c>
      <c r="AM72" s="333">
        <f t="shared" si="115"/>
        <v>-6055</v>
      </c>
      <c r="AN72" s="333">
        <f t="shared" si="115"/>
        <v>-7048</v>
      </c>
      <c r="AO72" s="333">
        <f t="shared" si="115"/>
        <v>2094</v>
      </c>
      <c r="AP72" s="333">
        <f t="shared" si="115"/>
        <v>1749</v>
      </c>
      <c r="AQ72" s="333">
        <f t="shared" si="115"/>
        <v>1107</v>
      </c>
      <c r="AR72" s="107">
        <f t="shared" si="102"/>
        <v>-20064</v>
      </c>
      <c r="AS72" s="106"/>
      <c r="AT72" s="333">
        <f t="shared" ref="AT72:BE72" si="116">AT71-AT62</f>
        <v>-5855</v>
      </c>
      <c r="AU72" s="333">
        <f t="shared" si="116"/>
        <v>-7925</v>
      </c>
      <c r="AV72" s="333">
        <f t="shared" si="116"/>
        <v>-3277</v>
      </c>
      <c r="AW72" s="333">
        <f t="shared" si="116"/>
        <v>-9388</v>
      </c>
      <c r="AX72" s="333">
        <f t="shared" si="116"/>
        <v>-1358</v>
      </c>
      <c r="AY72" s="333">
        <f t="shared" si="116"/>
        <v>-2965</v>
      </c>
      <c r="AZ72" s="333">
        <f t="shared" si="116"/>
        <v>7986</v>
      </c>
      <c r="BA72" s="333">
        <f t="shared" si="116"/>
        <v>-403</v>
      </c>
      <c r="BB72" s="333">
        <f t="shared" si="116"/>
        <v>-6809</v>
      </c>
      <c r="BC72" s="333">
        <f t="shared" si="116"/>
        <v>-6900</v>
      </c>
      <c r="BD72" s="333">
        <f t="shared" si="116"/>
        <v>-4123</v>
      </c>
      <c r="BE72" s="333">
        <f t="shared" si="116"/>
        <v>4404</v>
      </c>
      <c r="BF72" s="108">
        <f t="shared" si="77"/>
        <v>-36613</v>
      </c>
      <c r="BG72" s="106"/>
      <c r="BH72" s="333">
        <f t="shared" ref="BH72:BQ72" si="117">BH71-BH62</f>
        <v>-2056</v>
      </c>
      <c r="BI72" s="333">
        <f t="shared" si="117"/>
        <v>-9555</v>
      </c>
      <c r="BJ72" s="333">
        <f t="shared" si="117"/>
        <v>-1598</v>
      </c>
      <c r="BK72" s="333">
        <f t="shared" si="117"/>
        <v>-9193</v>
      </c>
      <c r="BL72" s="333">
        <f t="shared" si="117"/>
        <v>-5785</v>
      </c>
      <c r="BM72" s="333">
        <f t="shared" si="117"/>
        <v>-757</v>
      </c>
      <c r="BN72" s="333">
        <f t="shared" si="117"/>
        <v>7237</v>
      </c>
      <c r="BO72" s="333">
        <f t="shared" si="117"/>
        <v>-4911</v>
      </c>
      <c r="BP72" s="333">
        <f t="shared" si="117"/>
        <v>-3988</v>
      </c>
      <c r="BQ72" s="333">
        <f t="shared" si="117"/>
        <v>-5041</v>
      </c>
      <c r="BR72" s="108"/>
      <c r="BS72" s="108"/>
      <c r="BT72" s="108">
        <f t="shared" si="109"/>
        <v>-35647</v>
      </c>
      <c r="BU72" s="28"/>
      <c r="BV72" s="333">
        <v>27740</v>
      </c>
      <c r="BW72" s="333">
        <v>23272</v>
      </c>
      <c r="BX72" s="333">
        <v>24576</v>
      </c>
      <c r="BY72" s="108">
        <v>26006</v>
      </c>
      <c r="BZ72" s="108">
        <v>30640</v>
      </c>
      <c r="CA72" s="108">
        <v>30640</v>
      </c>
      <c r="CB72" s="108">
        <v>29618</v>
      </c>
      <c r="CC72" s="108">
        <v>29686</v>
      </c>
      <c r="CD72" s="108">
        <v>29993</v>
      </c>
      <c r="CE72" s="108">
        <v>31540</v>
      </c>
      <c r="CF72" s="108">
        <v>38086</v>
      </c>
      <c r="CG72" s="108">
        <v>54003</v>
      </c>
      <c r="CH72" s="108">
        <f t="shared" si="111"/>
        <v>375800</v>
      </c>
      <c r="CJ72" s="333">
        <f>BV72*1.03</f>
        <v>28572.2</v>
      </c>
      <c r="CK72" s="333">
        <f>BW72*1.03</f>
        <v>23970.16</v>
      </c>
      <c r="CL72" s="333">
        <f t="shared" ref="CL72:CT72" si="118">BX72*1.03</f>
        <v>25313.279999999999</v>
      </c>
      <c r="CM72" s="333">
        <v>29046</v>
      </c>
      <c r="CN72" s="333">
        <f t="shared" si="118"/>
        <v>31559.200000000001</v>
      </c>
      <c r="CO72" s="333">
        <f t="shared" si="118"/>
        <v>31559.200000000001</v>
      </c>
      <c r="CP72" s="333">
        <f t="shared" si="118"/>
        <v>30506.54</v>
      </c>
      <c r="CQ72" s="333">
        <f t="shared" si="118"/>
        <v>30576.58</v>
      </c>
      <c r="CR72" s="333">
        <f t="shared" si="118"/>
        <v>30892.79</v>
      </c>
      <c r="CS72" s="333">
        <f t="shared" si="118"/>
        <v>32486.2</v>
      </c>
      <c r="CT72" s="333">
        <f t="shared" si="118"/>
        <v>39228.58</v>
      </c>
      <c r="CU72" s="333">
        <v>45000</v>
      </c>
      <c r="CV72" s="108">
        <f>SUM(CJ72:CU72)</f>
        <v>378710.73000000004</v>
      </c>
      <c r="CW72" s="758"/>
      <c r="CX72" s="892">
        <v>24000</v>
      </c>
      <c r="CY72" s="892">
        <v>21000</v>
      </c>
      <c r="CZ72" s="892">
        <v>24000</v>
      </c>
      <c r="DA72" s="892">
        <f t="shared" ref="DA72:DI72" si="119">CM72</f>
        <v>29046</v>
      </c>
      <c r="DB72" s="892">
        <f t="shared" si="119"/>
        <v>31559.200000000001</v>
      </c>
      <c r="DC72" s="892">
        <f t="shared" si="119"/>
        <v>31559.200000000001</v>
      </c>
      <c r="DD72" s="892">
        <f t="shared" si="119"/>
        <v>30506.54</v>
      </c>
      <c r="DE72" s="892">
        <f t="shared" si="119"/>
        <v>30576.58</v>
      </c>
      <c r="DF72" s="892">
        <f t="shared" si="119"/>
        <v>30892.79</v>
      </c>
      <c r="DG72" s="892">
        <f>CS72</f>
        <v>32486.2</v>
      </c>
      <c r="DH72" s="892">
        <f t="shared" si="119"/>
        <v>39228.58</v>
      </c>
      <c r="DI72" s="892">
        <f t="shared" si="119"/>
        <v>45000</v>
      </c>
      <c r="DJ72" s="108">
        <f>SUM(CX72:DI72)</f>
        <v>369855.09</v>
      </c>
      <c r="DK72" s="948"/>
      <c r="DL72" s="892">
        <f>CX72*1.03</f>
        <v>24720</v>
      </c>
      <c r="DM72" s="892">
        <f t="shared" ref="DM72:DW72" si="120">CY72*1.03</f>
        <v>21630</v>
      </c>
      <c r="DN72" s="892">
        <f t="shared" si="120"/>
        <v>24720</v>
      </c>
      <c r="DO72" s="892">
        <f t="shared" si="120"/>
        <v>29917.38</v>
      </c>
      <c r="DP72" s="892">
        <f t="shared" si="120"/>
        <v>32505.976000000002</v>
      </c>
      <c r="DQ72" s="892">
        <f t="shared" si="120"/>
        <v>32505.976000000002</v>
      </c>
      <c r="DR72" s="892">
        <f t="shared" si="120"/>
        <v>31421.736200000003</v>
      </c>
      <c r="DS72" s="892">
        <f t="shared" si="120"/>
        <v>31493.877400000001</v>
      </c>
      <c r="DT72" s="892">
        <f t="shared" si="120"/>
        <v>31819.573700000001</v>
      </c>
      <c r="DU72" s="892">
        <f t="shared" si="120"/>
        <v>33460.786</v>
      </c>
      <c r="DV72" s="892">
        <f t="shared" si="120"/>
        <v>40405.437400000003</v>
      </c>
      <c r="DW72" s="892">
        <f t="shared" si="120"/>
        <v>46350</v>
      </c>
      <c r="DX72" s="108">
        <f>SUM(DL72:DW72)</f>
        <v>380950.7427</v>
      </c>
      <c r="DY72" s="598">
        <f>DX72-DJ72</f>
        <v>11095.652699999977</v>
      </c>
    </row>
    <row r="73" spans="1:129" ht="18.75" hidden="1">
      <c r="A73" s="103" t="s">
        <v>83</v>
      </c>
      <c r="B73" s="932" t="s">
        <v>84</v>
      </c>
      <c r="C73" s="933"/>
      <c r="D73" s="331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332"/>
      <c r="Q73" s="105"/>
      <c r="R73" s="333"/>
      <c r="S73" s="333"/>
      <c r="T73" s="333"/>
      <c r="U73" s="333"/>
      <c r="V73" s="333"/>
      <c r="W73" s="333"/>
      <c r="X73" s="333"/>
      <c r="Y73" s="333"/>
      <c r="Z73" s="333"/>
      <c r="AA73" s="333"/>
      <c r="AB73" s="333"/>
      <c r="AC73" s="333"/>
      <c r="AD73" s="334"/>
      <c r="AE73" s="106"/>
      <c r="AF73" s="333">
        <f>AF68-AF34</f>
        <v>-10282</v>
      </c>
      <c r="AG73" s="333">
        <f>AG68-AG34</f>
        <v>-4235</v>
      </c>
      <c r="AH73" s="333">
        <f>AH68-AH34</f>
        <v>-154</v>
      </c>
      <c r="AI73" s="333">
        <f>AI68-AI34</f>
        <v>-1981</v>
      </c>
      <c r="AJ73" s="333">
        <f>AJ68-AJ34</f>
        <v>-2477</v>
      </c>
      <c r="AK73" s="333">
        <f>AK68-AK34</f>
        <v>6187</v>
      </c>
      <c r="AL73" s="333">
        <f>AL68-AL34</f>
        <v>-13922</v>
      </c>
      <c r="AM73" s="333">
        <f>AM68-AM34</f>
        <v>-58130</v>
      </c>
      <c r="AN73" s="333">
        <f>AN68-AN34</f>
        <v>-66535.333333333343</v>
      </c>
      <c r="AO73" s="333">
        <f>AO68-AO34</f>
        <v>-12969</v>
      </c>
      <c r="AP73" s="333">
        <f>AP68-AP34</f>
        <v>-21294</v>
      </c>
      <c r="AQ73" s="333">
        <f>AQ68-AQ34</f>
        <v>-10456</v>
      </c>
      <c r="AR73" s="107">
        <f t="shared" si="102"/>
        <v>-196248.33333333334</v>
      </c>
      <c r="AS73" s="106"/>
      <c r="AT73" s="333">
        <f t="shared" ref="AT73:BE73" si="121">AT68-AT34</f>
        <v>2596.75</v>
      </c>
      <c r="AU73" s="333">
        <f t="shared" si="121"/>
        <v>-45152.103448275855</v>
      </c>
      <c r="AV73" s="333">
        <f t="shared" si="121"/>
        <v>-10056.137931034493</v>
      </c>
      <c r="AW73" s="333">
        <f t="shared" si="121"/>
        <v>-31730.137931034493</v>
      </c>
      <c r="AX73" s="333">
        <f t="shared" si="121"/>
        <v>3361.0344827586232</v>
      </c>
      <c r="AY73" s="333">
        <f t="shared" si="121"/>
        <v>-17147.777777777781</v>
      </c>
      <c r="AZ73" s="333">
        <f t="shared" si="121"/>
        <v>1355.222222222219</v>
      </c>
      <c r="BA73" s="333">
        <f t="shared" si="121"/>
        <v>-78174.296296296292</v>
      </c>
      <c r="BB73" s="333">
        <f t="shared" si="121"/>
        <v>-58295.777777777781</v>
      </c>
      <c r="BC73" s="333">
        <f t="shared" si="121"/>
        <v>-106133.29075565783</v>
      </c>
      <c r="BD73" s="333">
        <f t="shared" si="121"/>
        <v>1052.413118527038</v>
      </c>
      <c r="BE73" s="333">
        <f t="shared" si="121"/>
        <v>17507.387034906016</v>
      </c>
      <c r="BF73" s="108">
        <f t="shared" si="77"/>
        <v>-320816.71505944064</v>
      </c>
      <c r="BG73" s="106"/>
      <c r="BH73" s="333">
        <f t="shared" ref="BH73:BQ73" si="122">BH68-BH34</f>
        <v>-8421</v>
      </c>
      <c r="BI73" s="333">
        <f t="shared" si="122"/>
        <v>-18041.333333333314</v>
      </c>
      <c r="BJ73" s="333">
        <f t="shared" si="122"/>
        <v>21582.925925925927</v>
      </c>
      <c r="BK73" s="333">
        <f t="shared" si="122"/>
        <v>-53679.74074074073</v>
      </c>
      <c r="BL73" s="333">
        <f t="shared" si="122"/>
        <v>141.14814814814599</v>
      </c>
      <c r="BM73" s="333">
        <f t="shared" si="122"/>
        <v>9286.7407407407445</v>
      </c>
      <c r="BN73" s="333">
        <f t="shared" si="122"/>
        <v>2319.444444444438</v>
      </c>
      <c r="BO73" s="333">
        <f t="shared" si="122"/>
        <v>7351.6218888889125</v>
      </c>
      <c r="BP73" s="333">
        <f t="shared" si="122"/>
        <v>-1367.7495370370452</v>
      </c>
      <c r="BQ73" s="333">
        <f t="shared" si="122"/>
        <v>27459</v>
      </c>
      <c r="BR73" s="108"/>
      <c r="BS73" s="108"/>
      <c r="BT73" s="108">
        <f t="shared" si="109"/>
        <v>-13368.942462962921</v>
      </c>
      <c r="BU73" s="28"/>
      <c r="BV73" s="333"/>
      <c r="BW73" s="333"/>
      <c r="BX73" s="333"/>
      <c r="BY73" s="333"/>
      <c r="BZ73" s="108"/>
      <c r="CA73" s="108"/>
      <c r="CB73" s="108">
        <f>CB72+CB69</f>
        <v>193663</v>
      </c>
      <c r="CC73" s="108">
        <f>CC72+CC69</f>
        <v>177853</v>
      </c>
      <c r="CD73" s="108">
        <f t="shared" ref="CD73:CH73" si="123">CD72+CD69</f>
        <v>219708</v>
      </c>
      <c r="CE73" s="108">
        <f t="shared" si="123"/>
        <v>197028</v>
      </c>
      <c r="CF73" s="108">
        <f t="shared" si="123"/>
        <v>141915</v>
      </c>
      <c r="CG73" s="108">
        <f t="shared" si="123"/>
        <v>93970</v>
      </c>
      <c r="CH73" s="108"/>
      <c r="CJ73" s="333">
        <v>27785</v>
      </c>
      <c r="CK73" s="333">
        <v>23447</v>
      </c>
      <c r="CL73" s="333">
        <v>26944</v>
      </c>
      <c r="CM73" s="333"/>
      <c r="CN73" s="108"/>
      <c r="CO73" s="108"/>
      <c r="CP73" s="108"/>
      <c r="CQ73" s="108"/>
      <c r="CR73" s="108"/>
      <c r="CS73" s="108"/>
      <c r="CT73" s="108"/>
      <c r="CU73" s="108"/>
      <c r="CV73" s="108"/>
      <c r="CW73" s="758"/>
      <c r="CX73" s="892"/>
      <c r="CY73" s="892"/>
      <c r="CZ73" s="892"/>
      <c r="DA73" s="892"/>
      <c r="DB73" s="893"/>
      <c r="DC73" s="893"/>
      <c r="DD73" s="893"/>
      <c r="DE73" s="893"/>
      <c r="DF73" s="893"/>
      <c r="DG73" s="893"/>
      <c r="DH73" s="893"/>
      <c r="DI73" s="893"/>
      <c r="DJ73" s="108"/>
      <c r="DK73" s="948"/>
      <c r="DL73" s="892"/>
      <c r="DM73" s="892"/>
      <c r="DN73" s="892"/>
      <c r="DO73" s="892"/>
      <c r="DP73" s="893"/>
      <c r="DQ73" s="893"/>
      <c r="DR73" s="893"/>
      <c r="DS73" s="893"/>
      <c r="DT73" s="893"/>
      <c r="DU73" s="893"/>
      <c r="DV73" s="893"/>
      <c r="DW73" s="893"/>
      <c r="DX73" s="108"/>
    </row>
    <row r="74" spans="1:129" ht="18.75" hidden="1">
      <c r="A74" s="103" t="s">
        <v>85</v>
      </c>
      <c r="B74" s="932"/>
      <c r="C74" s="933"/>
      <c r="D74" s="331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332"/>
      <c r="Q74" s="105"/>
      <c r="R74" s="333"/>
      <c r="S74" s="333"/>
      <c r="T74" s="333"/>
      <c r="U74" s="333"/>
      <c r="V74" s="333"/>
      <c r="W74" s="333"/>
      <c r="X74" s="333"/>
      <c r="Y74" s="333"/>
      <c r="Z74" s="333"/>
      <c r="AA74" s="333"/>
      <c r="AB74" s="333"/>
      <c r="AC74" s="333"/>
      <c r="AD74" s="334"/>
      <c r="AE74" s="106"/>
      <c r="AF74" s="333">
        <f>AF69-AF35</f>
        <v>92193</v>
      </c>
      <c r="AG74" s="333">
        <f>AG69-AG35</f>
        <v>152006</v>
      </c>
      <c r="AH74" s="333">
        <f>AH69-AH35</f>
        <v>62734</v>
      </c>
      <c r="AI74" s="333">
        <f>AI69-AI35</f>
        <v>71526</v>
      </c>
      <c r="AJ74" s="333">
        <f>AJ69-AJ35</f>
        <v>89409</v>
      </c>
      <c r="AK74" s="333">
        <f>AK69-AK35</f>
        <v>120675</v>
      </c>
      <c r="AL74" s="333">
        <f>AL69-AL35</f>
        <v>100592</v>
      </c>
      <c r="AM74" s="333">
        <f>AM69-AM35</f>
        <v>148128</v>
      </c>
      <c r="AN74" s="333">
        <f>AN69-AN35</f>
        <v>164346</v>
      </c>
      <c r="AO74" s="333">
        <f>AO69-AO35</f>
        <v>203437</v>
      </c>
      <c r="AP74" s="333">
        <f>AP69-AP35</f>
        <v>64957</v>
      </c>
      <c r="AQ74" s="333">
        <f>AQ69-AQ35</f>
        <v>31837</v>
      </c>
      <c r="AR74" s="107">
        <f t="shared" si="102"/>
        <v>1301840</v>
      </c>
      <c r="AS74" s="106"/>
      <c r="AT74" s="338">
        <f t="shared" ref="AT74:BE74" si="124">AT73/AT34</f>
        <v>1.7000083470131603E-2</v>
      </c>
      <c r="AU74" s="338">
        <f t="shared" si="124"/>
        <v>-0.26792985919579565</v>
      </c>
      <c r="AV74" s="338">
        <f t="shared" si="124"/>
        <v>-6.5248272015318062E-2</v>
      </c>
      <c r="AW74" s="338">
        <f t="shared" si="124"/>
        <v>-0.19881644480138216</v>
      </c>
      <c r="AX74" s="338">
        <f t="shared" si="124"/>
        <v>2.798530764170884E-2</v>
      </c>
      <c r="AY74" s="338">
        <f t="shared" si="124"/>
        <v>-0.12395048084722922</v>
      </c>
      <c r="AZ74" s="338">
        <f t="shared" si="124"/>
        <v>8.1309864112464342E-3</v>
      </c>
      <c r="BA74" s="338">
        <f t="shared" si="124"/>
        <v>-0.32244495902957893</v>
      </c>
      <c r="BB74" s="338">
        <f t="shared" si="124"/>
        <v>-0.23949841829212068</v>
      </c>
      <c r="BC74" s="338">
        <f t="shared" si="124"/>
        <v>-0.41888939787658819</v>
      </c>
      <c r="BD74" s="338">
        <f t="shared" si="124"/>
        <v>7.8214003811977375E-3</v>
      </c>
      <c r="BE74" s="338">
        <f t="shared" si="124"/>
        <v>0.24086123043473662</v>
      </c>
      <c r="BF74" s="109">
        <f>AVERAGE(AT74:BE74)</f>
        <v>-0.11124823530991597</v>
      </c>
      <c r="BG74" s="106"/>
      <c r="BH74" s="338">
        <f t="shared" ref="BH74:BQ74" si="125">BH73/BH34</f>
        <v>-5.512821352117471E-2</v>
      </c>
      <c r="BI74" s="338">
        <f t="shared" si="125"/>
        <v>-0.12287867195499311</v>
      </c>
      <c r="BJ74" s="338">
        <f t="shared" si="125"/>
        <v>0.12581416416796784</v>
      </c>
      <c r="BK74" s="338">
        <f t="shared" si="125"/>
        <v>-0.33597769224938256</v>
      </c>
      <c r="BL74" s="338">
        <f t="shared" si="125"/>
        <v>1.0652943536044719E-3</v>
      </c>
      <c r="BM74" s="338">
        <f t="shared" si="125"/>
        <v>7.1488016002422286E-2</v>
      </c>
      <c r="BN74" s="338">
        <f t="shared" si="125"/>
        <v>1.3533646427895287E-2</v>
      </c>
      <c r="BO74" s="338">
        <f t="shared" si="125"/>
        <v>4.0944619366602007E-2</v>
      </c>
      <c r="BP74" s="338">
        <f t="shared" si="125"/>
        <v>-6.7692361075750926E-3</v>
      </c>
      <c r="BQ74" s="338">
        <f t="shared" si="125"/>
        <v>0.16757086626186191</v>
      </c>
      <c r="BR74" s="109"/>
      <c r="BS74" s="109"/>
      <c r="BT74" s="338">
        <f>BT73/BT34</f>
        <v>-7.1185036907011742E-3</v>
      </c>
      <c r="BU74" s="54"/>
      <c r="BV74" s="338"/>
      <c r="BW74" s="338"/>
      <c r="BX74" s="338"/>
      <c r="BY74" s="338"/>
      <c r="BZ74" s="109"/>
      <c r="CA74" s="109"/>
      <c r="CB74" s="109"/>
      <c r="CC74" s="109"/>
      <c r="CD74" s="109"/>
      <c r="CE74" s="109"/>
      <c r="CF74" s="109"/>
      <c r="CG74" s="109"/>
      <c r="CH74" s="109"/>
      <c r="CJ74" s="338"/>
      <c r="CK74" s="338"/>
      <c r="CL74" s="338"/>
      <c r="CM74" s="338"/>
      <c r="CN74" s="109"/>
      <c r="CO74" s="109"/>
      <c r="CP74" s="109"/>
      <c r="CQ74" s="109"/>
      <c r="CR74" s="109"/>
      <c r="CS74" s="109"/>
      <c r="CT74" s="109"/>
      <c r="CU74" s="109"/>
      <c r="CV74" s="109"/>
      <c r="CW74" s="758"/>
      <c r="CX74" s="894"/>
      <c r="CY74" s="894"/>
      <c r="CZ74" s="894"/>
      <c r="DA74" s="894"/>
      <c r="DB74" s="895"/>
      <c r="DC74" s="895"/>
      <c r="DD74" s="895"/>
      <c r="DE74" s="895"/>
      <c r="DF74" s="895"/>
      <c r="DG74" s="895"/>
      <c r="DH74" s="895"/>
      <c r="DI74" s="895"/>
      <c r="DJ74" s="109"/>
      <c r="DK74" s="948"/>
      <c r="DL74" s="894"/>
      <c r="DM74" s="894"/>
      <c r="DN74" s="894"/>
      <c r="DO74" s="894"/>
      <c r="DP74" s="895"/>
      <c r="DQ74" s="895"/>
      <c r="DR74" s="895"/>
      <c r="DS74" s="895"/>
      <c r="DT74" s="895"/>
      <c r="DU74" s="895"/>
      <c r="DV74" s="895"/>
      <c r="DW74" s="895"/>
      <c r="DX74" s="109"/>
    </row>
    <row r="75" spans="1:129" ht="14.25" hidden="1" customHeight="1">
      <c r="A75" s="55" t="s">
        <v>86</v>
      </c>
      <c r="B75" s="958" t="s">
        <v>124</v>
      </c>
      <c r="C75" s="959"/>
      <c r="D75" s="960"/>
      <c r="E75" s="961"/>
      <c r="F75" s="961"/>
      <c r="G75" s="961"/>
      <c r="H75" s="961"/>
      <c r="I75" s="961"/>
      <c r="J75" s="961"/>
      <c r="K75" s="961"/>
      <c r="L75" s="961"/>
      <c r="M75" s="961"/>
      <c r="N75" s="961"/>
      <c r="O75" s="961"/>
      <c r="P75" s="962"/>
      <c r="Q75" s="963"/>
      <c r="R75" s="960"/>
      <c r="S75" s="964"/>
      <c r="T75" s="964"/>
      <c r="U75" s="964"/>
      <c r="V75" s="964"/>
      <c r="W75" s="965"/>
      <c r="X75" s="965"/>
      <c r="Y75" s="965"/>
      <c r="Z75" s="965"/>
      <c r="AA75" s="965"/>
      <c r="AB75" s="965"/>
      <c r="AC75" s="965"/>
      <c r="AD75" s="966"/>
      <c r="AE75" s="967"/>
      <c r="AF75" s="599"/>
      <c r="AG75" s="964"/>
      <c r="AH75" s="964"/>
      <c r="AI75" s="964"/>
      <c r="AJ75" s="964"/>
      <c r="AK75" s="964"/>
      <c r="AL75" s="964"/>
      <c r="AM75" s="964"/>
      <c r="AN75" s="964"/>
      <c r="AO75" s="964"/>
      <c r="AP75" s="964"/>
      <c r="AQ75" s="964"/>
      <c r="AR75" s="964"/>
      <c r="AS75" s="967"/>
      <c r="AT75" s="964"/>
      <c r="AU75" s="964"/>
      <c r="AV75" s="964"/>
      <c r="AW75" s="964"/>
      <c r="AX75" s="964"/>
      <c r="AY75" s="964"/>
      <c r="AZ75" s="964"/>
      <c r="BA75" s="964"/>
      <c r="BB75" s="964"/>
      <c r="BC75" s="964"/>
      <c r="BD75" s="964"/>
      <c r="BE75" s="964"/>
      <c r="BF75" s="964"/>
      <c r="BG75" s="967"/>
      <c r="BH75" s="964"/>
      <c r="BI75" s="964"/>
      <c r="BJ75" s="964"/>
      <c r="BK75" s="964"/>
      <c r="BL75" s="964"/>
      <c r="BM75" s="964"/>
      <c r="BN75" s="964"/>
      <c r="BO75" s="964"/>
      <c r="BP75" s="964"/>
      <c r="BQ75" s="964"/>
      <c r="BR75" s="964"/>
      <c r="BS75" s="964"/>
      <c r="BT75" s="964"/>
      <c r="BU75" s="968"/>
      <c r="BV75" s="964"/>
      <c r="BW75" s="964"/>
      <c r="BX75" s="964"/>
      <c r="BY75" s="964"/>
      <c r="BZ75" s="964"/>
      <c r="CA75" s="964"/>
      <c r="CB75" s="964"/>
      <c r="CC75" s="964"/>
      <c r="CD75" s="964"/>
      <c r="CE75" s="964"/>
      <c r="CF75" s="964"/>
      <c r="CG75" s="964"/>
      <c r="CH75" s="964"/>
      <c r="CI75" s="969"/>
      <c r="CJ75" s="964"/>
      <c r="CK75" s="964"/>
      <c r="CL75" s="964"/>
      <c r="CM75" s="964"/>
      <c r="CN75" s="964"/>
      <c r="CO75" s="964"/>
      <c r="CP75" s="964"/>
      <c r="CQ75" s="964"/>
      <c r="CR75" s="964"/>
      <c r="CS75" s="964"/>
      <c r="CT75" s="964">
        <f>SUM(CT77:CT79)</f>
        <v>164656.85004219407</v>
      </c>
      <c r="CU75" s="964">
        <f>SUM(CU77:CU79)</f>
        <v>91745.822784810123</v>
      </c>
      <c r="CV75" s="964"/>
      <c r="CW75" s="956">
        <f>SUM(CX75:DC75)</f>
        <v>996971.73999999987</v>
      </c>
      <c r="CX75" s="964">
        <f>SUM(CX77:CX79)</f>
        <v>194469.46000000002</v>
      </c>
      <c r="CY75" s="964">
        <f t="shared" ref="CY75:DJ75" si="126">SUM(CY77:CY79)</f>
        <v>159466.88999999998</v>
      </c>
      <c r="CZ75" s="964">
        <f t="shared" si="126"/>
        <v>208203.57</v>
      </c>
      <c r="DA75" s="964">
        <f t="shared" si="126"/>
        <v>158532.44</v>
      </c>
      <c r="DB75" s="964">
        <f t="shared" si="126"/>
        <v>157404.75999999998</v>
      </c>
      <c r="DC75" s="964">
        <f t="shared" si="126"/>
        <v>118894.62</v>
      </c>
      <c r="DD75" s="964">
        <f t="shared" si="126"/>
        <v>211625.73</v>
      </c>
      <c r="DE75" s="964">
        <f t="shared" si="126"/>
        <v>208193.11</v>
      </c>
      <c r="DF75" s="964">
        <f t="shared" si="126"/>
        <v>269889.13</v>
      </c>
      <c r="DG75" s="964">
        <f>SUM(DG77:DG79)</f>
        <v>258868.84085232066</v>
      </c>
      <c r="DH75" s="964">
        <f t="shared" si="126"/>
        <v>178376.53444641351</v>
      </c>
      <c r="DI75" s="964">
        <f t="shared" si="126"/>
        <v>114212.18776329115</v>
      </c>
      <c r="DJ75" s="599">
        <f>SUM(CX75:DI75)</f>
        <v>2238137.2730620252</v>
      </c>
      <c r="DK75" s="948"/>
      <c r="DL75" s="896">
        <f>SUM(DL77:DL79)</f>
        <v>213916.40600000005</v>
      </c>
      <c r="DM75" s="896">
        <f t="shared" ref="DM75:DX75" si="127">SUM(DM77:DM79)</f>
        <v>175413.579</v>
      </c>
      <c r="DN75" s="896">
        <f t="shared" si="127"/>
        <v>229023.92700000003</v>
      </c>
      <c r="DO75" s="896">
        <f t="shared" si="127"/>
        <v>174385.68400000001</v>
      </c>
      <c r="DP75" s="896">
        <f t="shared" si="127"/>
        <v>173145.236</v>
      </c>
      <c r="DQ75" s="896">
        <f t="shared" si="127"/>
        <v>130784.08200000001</v>
      </c>
      <c r="DR75" s="896">
        <f t="shared" si="127"/>
        <v>232788.30300000004</v>
      </c>
      <c r="DS75" s="896">
        <f t="shared" si="127"/>
        <v>229012.421</v>
      </c>
      <c r="DT75" s="896">
        <f t="shared" si="127"/>
        <v>296878.04300000001</v>
      </c>
      <c r="DU75" s="896">
        <f t="shared" si="127"/>
        <v>284755.72493755276</v>
      </c>
      <c r="DV75" s="896">
        <f t="shared" si="127"/>
        <v>196214.18789105487</v>
      </c>
      <c r="DW75" s="896">
        <f t="shared" si="127"/>
        <v>125633.40653962028</v>
      </c>
      <c r="DX75" s="778">
        <f>SUM(DL75:DW75)</f>
        <v>2461951.0003682282</v>
      </c>
    </row>
    <row r="76" spans="1:129" ht="21" hidden="1" customHeight="1">
      <c r="A76" s="55"/>
      <c r="B76" s="766" t="s">
        <v>87</v>
      </c>
      <c r="C76" s="767"/>
      <c r="D76" s="768"/>
      <c r="E76" s="769"/>
      <c r="F76" s="769"/>
      <c r="G76" s="769"/>
      <c r="H76" s="769"/>
      <c r="I76" s="769"/>
      <c r="J76" s="769"/>
      <c r="K76" s="769"/>
      <c r="L76" s="769"/>
      <c r="M76" s="769"/>
      <c r="N76" s="769"/>
      <c r="O76" s="769"/>
      <c r="P76" s="770"/>
      <c r="Q76" s="771"/>
      <c r="R76" s="768"/>
      <c r="S76" s="772"/>
      <c r="T76" s="772"/>
      <c r="U76" s="772"/>
      <c r="V76" s="772"/>
      <c r="W76" s="773"/>
      <c r="X76" s="773"/>
      <c r="Y76" s="773"/>
      <c r="Z76" s="773"/>
      <c r="AA76" s="773"/>
      <c r="AB76" s="773"/>
      <c r="AC76" s="773"/>
      <c r="AD76" s="774"/>
      <c r="AE76" s="775"/>
      <c r="AF76" s="776"/>
      <c r="AG76" s="776"/>
      <c r="AH76" s="776"/>
      <c r="AI76" s="776"/>
      <c r="AJ76" s="776"/>
      <c r="AK76" s="776"/>
      <c r="AL76" s="776"/>
      <c r="AM76" s="776"/>
      <c r="AN76" s="776"/>
      <c r="AO76" s="776"/>
      <c r="AP76" s="776"/>
      <c r="AQ76" s="776"/>
      <c r="AR76" s="772"/>
      <c r="AS76" s="775"/>
      <c r="AT76" s="776"/>
      <c r="AU76" s="776"/>
      <c r="AV76" s="776"/>
      <c r="AW76" s="776"/>
      <c r="AX76" s="776"/>
      <c r="AY76" s="776"/>
      <c r="AZ76" s="776"/>
      <c r="BA76" s="776"/>
      <c r="BB76" s="776"/>
      <c r="BC76" s="776"/>
      <c r="BD76" s="776"/>
      <c r="BE76" s="776"/>
      <c r="BF76" s="772"/>
      <c r="BG76" s="775"/>
      <c r="BH76" s="776"/>
      <c r="BI76" s="776"/>
      <c r="BJ76" s="776"/>
      <c r="BK76" s="776"/>
      <c r="BL76" s="776"/>
      <c r="BM76" s="776"/>
      <c r="BN76" s="776"/>
      <c r="BO76" s="776"/>
      <c r="BP76" s="776"/>
      <c r="BQ76" s="776"/>
      <c r="BR76" s="776"/>
      <c r="BS76" s="776"/>
      <c r="BT76" s="776"/>
      <c r="BU76" s="777"/>
      <c r="BV76" s="778">
        <v>152642</v>
      </c>
      <c r="BW76" s="778">
        <v>141495</v>
      </c>
      <c r="BX76" s="778">
        <v>158268</v>
      </c>
      <c r="BY76" s="778">
        <v>135742</v>
      </c>
      <c r="BZ76" s="778">
        <v>130614</v>
      </c>
      <c r="CA76" s="778">
        <v>97296</v>
      </c>
      <c r="CB76" s="778">
        <v>180319</v>
      </c>
      <c r="CC76" s="778">
        <v>175137</v>
      </c>
      <c r="CD76" s="778">
        <v>216035</v>
      </c>
      <c r="CE76" s="778">
        <v>188049</v>
      </c>
      <c r="CF76" s="778">
        <v>139782</v>
      </c>
      <c r="CG76" s="778">
        <v>90604</v>
      </c>
      <c r="CH76" s="776">
        <f>SUM(BV76:CG76)</f>
        <v>1805983</v>
      </c>
      <c r="CI76" s="779"/>
      <c r="CJ76" s="778" t="s">
        <v>88</v>
      </c>
      <c r="CK76" s="778">
        <f t="shared" ref="CK76:CV76" si="128">BW76</f>
        <v>141495</v>
      </c>
      <c r="CL76" s="778">
        <f t="shared" si="128"/>
        <v>158268</v>
      </c>
      <c r="CM76" s="778">
        <f t="shared" si="128"/>
        <v>135742</v>
      </c>
      <c r="CN76" s="778">
        <f t="shared" si="128"/>
        <v>130614</v>
      </c>
      <c r="CO76" s="778">
        <f t="shared" si="128"/>
        <v>97296</v>
      </c>
      <c r="CP76" s="778">
        <f t="shared" si="128"/>
        <v>180319</v>
      </c>
      <c r="CQ76" s="778">
        <f t="shared" si="128"/>
        <v>175137</v>
      </c>
      <c r="CR76" s="778">
        <f t="shared" si="128"/>
        <v>216035</v>
      </c>
      <c r="CS76" s="778">
        <f>CS77</f>
        <v>237402.61350210969</v>
      </c>
      <c r="CT76" s="778">
        <f>CT77</f>
        <v>113946.85004219407</v>
      </c>
      <c r="CU76" s="778">
        <f t="shared" ref="CU76:CV76" si="129">CU77</f>
        <v>79742.822784810123</v>
      </c>
      <c r="CV76" s="778">
        <f t="shared" si="128"/>
        <v>1805983</v>
      </c>
      <c r="CW76" s="758"/>
      <c r="CX76" s="897"/>
      <c r="CY76" s="897"/>
      <c r="CZ76" s="897"/>
      <c r="DA76" s="897"/>
      <c r="DB76" s="897"/>
      <c r="DC76" s="897"/>
      <c r="DD76" s="897"/>
      <c r="DE76" s="897"/>
      <c r="DF76" s="897"/>
      <c r="DG76" s="897"/>
      <c r="DH76" s="897"/>
      <c r="DI76" s="897">
        <v>114212.18776329115</v>
      </c>
      <c r="DJ76" s="778"/>
      <c r="DK76" s="948"/>
      <c r="DL76" s="897"/>
      <c r="DM76" s="897"/>
      <c r="DN76" s="897"/>
      <c r="DO76" s="897"/>
      <c r="DP76" s="897"/>
      <c r="DQ76" s="897"/>
      <c r="DR76" s="897"/>
      <c r="DS76" s="897"/>
      <c r="DT76" s="897"/>
      <c r="DU76" s="897"/>
      <c r="DV76" s="897"/>
      <c r="DW76" s="897">
        <v>114212.18776329115</v>
      </c>
      <c r="DX76" s="778"/>
    </row>
    <row r="77" spans="1:129" ht="22.5" hidden="1" customHeight="1">
      <c r="A77" s="765"/>
      <c r="B77" s="766" t="s">
        <v>125</v>
      </c>
      <c r="C77" s="767"/>
      <c r="D77" s="768"/>
      <c r="E77" s="769"/>
      <c r="F77" s="769"/>
      <c r="G77" s="769"/>
      <c r="H77" s="769"/>
      <c r="I77" s="769"/>
      <c r="J77" s="769"/>
      <c r="K77" s="769"/>
      <c r="L77" s="769"/>
      <c r="M77" s="769"/>
      <c r="N77" s="769"/>
      <c r="O77" s="769"/>
      <c r="P77" s="770"/>
      <c r="Q77" s="771"/>
      <c r="R77" s="768"/>
      <c r="S77" s="772"/>
      <c r="T77" s="772"/>
      <c r="U77" s="772"/>
      <c r="V77" s="772"/>
      <c r="W77" s="773"/>
      <c r="X77" s="773"/>
      <c r="Y77" s="773"/>
      <c r="Z77" s="773"/>
      <c r="AA77" s="773"/>
      <c r="AB77" s="773"/>
      <c r="AC77" s="773"/>
      <c r="AD77" s="774"/>
      <c r="AE77" s="775"/>
      <c r="AF77" s="776"/>
      <c r="AG77" s="776"/>
      <c r="AH77" s="776"/>
      <c r="AI77" s="776"/>
      <c r="AJ77" s="776"/>
      <c r="AK77" s="776"/>
      <c r="AL77" s="776"/>
      <c r="AM77" s="776"/>
      <c r="AN77" s="776"/>
      <c r="AO77" s="776"/>
      <c r="AP77" s="776"/>
      <c r="AQ77" s="776"/>
      <c r="AR77" s="772"/>
      <c r="AS77" s="775"/>
      <c r="AT77" s="776"/>
      <c r="AU77" s="776"/>
      <c r="AV77" s="776"/>
      <c r="AW77" s="776"/>
      <c r="AX77" s="776"/>
      <c r="AY77" s="776"/>
      <c r="AZ77" s="776"/>
      <c r="BA77" s="776"/>
      <c r="BB77" s="776"/>
      <c r="BC77" s="776"/>
      <c r="BD77" s="776"/>
      <c r="BE77" s="776"/>
      <c r="BF77" s="772"/>
      <c r="BG77" s="775"/>
      <c r="BH77" s="776"/>
      <c r="BI77" s="776"/>
      <c r="BJ77" s="776"/>
      <c r="BK77" s="776"/>
      <c r="BL77" s="776"/>
      <c r="BM77" s="776"/>
      <c r="BN77" s="776"/>
      <c r="BO77" s="776"/>
      <c r="BP77" s="776"/>
      <c r="BQ77" s="776"/>
      <c r="BR77" s="776"/>
      <c r="BS77" s="776"/>
      <c r="BT77" s="776"/>
      <c r="BU77" s="777"/>
      <c r="BV77" s="778">
        <f>BV34</f>
        <v>161157.867486095</v>
      </c>
      <c r="BW77" s="778">
        <f>BW34</f>
        <v>155966.83045180296</v>
      </c>
      <c r="BX77" s="778">
        <f t="shared" ref="BX77:CH77" si="130">BX34</f>
        <v>196111.53846153844</v>
      </c>
      <c r="BY77" s="778">
        <f t="shared" si="130"/>
        <v>159169.23076923078</v>
      </c>
      <c r="BZ77" s="778">
        <f t="shared" si="130"/>
        <v>151482.39341785663</v>
      </c>
      <c r="CA77" s="778">
        <f t="shared" si="130"/>
        <v>141442.12910096842</v>
      </c>
      <c r="CB77" s="778">
        <f t="shared" si="130"/>
        <v>176986.21444761599</v>
      </c>
      <c r="CC77" s="778">
        <f t="shared" si="130"/>
        <v>201301.08944885107</v>
      </c>
      <c r="CD77" s="778">
        <f t="shared" si="130"/>
        <v>212833.04013559342</v>
      </c>
      <c r="CE77" s="778">
        <f t="shared" si="130"/>
        <v>215922.30386211892</v>
      </c>
      <c r="CF77" s="778">
        <f t="shared" si="130"/>
        <v>171115.84223630186</v>
      </c>
      <c r="CG77" s="778">
        <f t="shared" si="130"/>
        <v>87483.816691710366</v>
      </c>
      <c r="CH77" s="776">
        <f>SUM(BV77:CG77)</f>
        <v>2030972.2965096838</v>
      </c>
      <c r="CI77" s="779"/>
      <c r="CJ77" s="778">
        <f>CJ72+CJ39</f>
        <v>149449.15862840106</v>
      </c>
      <c r="CK77" s="778">
        <f t="shared" ref="CK77:CU77" si="131">CK72+CK39</f>
        <v>165299.98482295938</v>
      </c>
      <c r="CL77" s="778">
        <f t="shared" si="131"/>
        <v>157623.38063361909</v>
      </c>
      <c r="CM77" s="778">
        <f t="shared" si="131"/>
        <v>156795.25083861349</v>
      </c>
      <c r="CN77" s="778">
        <f>CN72+CN39</f>
        <v>159036.51643682446</v>
      </c>
      <c r="CO77" s="778">
        <f t="shared" si="131"/>
        <v>127776.80715616846</v>
      </c>
      <c r="CP77" s="778">
        <f t="shared" si="131"/>
        <v>201036.96194092827</v>
      </c>
      <c r="CQ77" s="778">
        <f t="shared" si="131"/>
        <v>217939.23822784808</v>
      </c>
      <c r="CR77" s="778">
        <f>CR72+CR39</f>
        <v>251919.92080168775</v>
      </c>
      <c r="CS77" s="778">
        <f>CS72+CS39</f>
        <v>237402.61350210969</v>
      </c>
      <c r="CT77" s="778">
        <f>CT72+CT39-CT79-CT78</f>
        <v>113946.85004219407</v>
      </c>
      <c r="CU77" s="778">
        <f>CU72+CU39-CU79-CU78</f>
        <v>79742.822784810123</v>
      </c>
      <c r="CV77" s="778"/>
      <c r="CW77" s="758"/>
      <c r="CX77" s="897">
        <f>CX97-CX100-CX78</f>
        <v>137996.46000000002</v>
      </c>
      <c r="CY77" s="897">
        <f t="shared" ref="CY77:DI77" si="132">CY97-CY100-CY78</f>
        <v>109115.58999999998</v>
      </c>
      <c r="CZ77" s="897">
        <f t="shared" si="132"/>
        <v>159971.47</v>
      </c>
      <c r="DA77" s="897">
        <f t="shared" si="132"/>
        <v>111340.64</v>
      </c>
      <c r="DB77" s="897">
        <f t="shared" si="132"/>
        <v>119915.75999999998</v>
      </c>
      <c r="DC77" s="897">
        <f t="shared" si="132"/>
        <v>92130.62</v>
      </c>
      <c r="DD77" s="897">
        <f t="shared" si="132"/>
        <v>136939.83000000002</v>
      </c>
      <c r="DE77" s="897">
        <f t="shared" si="132"/>
        <v>135607.21</v>
      </c>
      <c r="DF77" s="897">
        <f>DF97-DF100-DF78</f>
        <v>183966.23</v>
      </c>
      <c r="DG77" s="897">
        <f t="shared" si="132"/>
        <v>212260.74085232065</v>
      </c>
      <c r="DH77" s="897">
        <f t="shared" si="132"/>
        <v>147017.18444641351</v>
      </c>
      <c r="DI77" s="897">
        <f t="shared" si="132"/>
        <v>100014.48776329115</v>
      </c>
      <c r="DJ77" s="778">
        <f>SUM(CX77:DI77)</f>
        <v>1646276.2230620254</v>
      </c>
      <c r="DK77" s="948"/>
      <c r="DL77" s="897">
        <f>DL97-DL100-DL78</f>
        <v>157443.40600000005</v>
      </c>
      <c r="DM77" s="897">
        <f t="shared" ref="DM77:DW77" si="133">DM97-DM100-DM78</f>
        <v>125062.27899999999</v>
      </c>
      <c r="DN77" s="897">
        <f t="shared" si="133"/>
        <v>180791.82700000002</v>
      </c>
      <c r="DO77" s="897">
        <f t="shared" si="133"/>
        <v>127193.88400000001</v>
      </c>
      <c r="DP77" s="897">
        <f t="shared" si="133"/>
        <v>138872.236</v>
      </c>
      <c r="DQ77" s="897">
        <f t="shared" si="133"/>
        <v>105431.482</v>
      </c>
      <c r="DR77" s="897">
        <f t="shared" si="133"/>
        <v>164765.40300000005</v>
      </c>
      <c r="DS77" s="897">
        <f t="shared" si="133"/>
        <v>160399.921</v>
      </c>
      <c r="DT77" s="897">
        <f t="shared" si="133"/>
        <v>212905.14300000001</v>
      </c>
      <c r="DU77" s="897">
        <f t="shared" si="133"/>
        <v>238147.62493755276</v>
      </c>
      <c r="DV77" s="897">
        <f t="shared" si="133"/>
        <v>164854.83789105486</v>
      </c>
      <c r="DW77" s="897">
        <f t="shared" si="133"/>
        <v>111435.70653962028</v>
      </c>
      <c r="DX77" s="778">
        <f>SUM(DL77:DW77)</f>
        <v>1887303.7503682277</v>
      </c>
      <c r="DY77" s="598">
        <f>AVERAGE(DL77:DW77)</f>
        <v>157275.31253068565</v>
      </c>
    </row>
    <row r="78" spans="1:129" ht="22.5" hidden="1" customHeight="1">
      <c r="A78" s="765"/>
      <c r="B78" s="766" t="s">
        <v>126</v>
      </c>
      <c r="C78" s="767"/>
      <c r="D78" s="768"/>
      <c r="E78" s="769"/>
      <c r="F78" s="769"/>
      <c r="G78" s="769"/>
      <c r="H78" s="769"/>
      <c r="I78" s="769"/>
      <c r="J78" s="769"/>
      <c r="K78" s="769"/>
      <c r="L78" s="769"/>
      <c r="M78" s="769"/>
      <c r="N78" s="769"/>
      <c r="O78" s="769"/>
      <c r="P78" s="770"/>
      <c r="Q78" s="771"/>
      <c r="R78" s="768"/>
      <c r="S78" s="772"/>
      <c r="T78" s="772"/>
      <c r="U78" s="772"/>
      <c r="V78" s="772"/>
      <c r="W78" s="773"/>
      <c r="X78" s="773"/>
      <c r="Y78" s="773"/>
      <c r="Z78" s="773"/>
      <c r="AA78" s="773"/>
      <c r="AB78" s="773"/>
      <c r="AC78" s="773"/>
      <c r="AD78" s="774"/>
      <c r="AE78" s="775"/>
      <c r="AF78" s="776"/>
      <c r="AG78" s="776"/>
      <c r="AH78" s="776"/>
      <c r="AI78" s="776"/>
      <c r="AJ78" s="776"/>
      <c r="AK78" s="776"/>
      <c r="AL78" s="776"/>
      <c r="AM78" s="776"/>
      <c r="AN78" s="776"/>
      <c r="AO78" s="776"/>
      <c r="AP78" s="776"/>
      <c r="AQ78" s="776"/>
      <c r="AR78" s="772"/>
      <c r="AS78" s="775"/>
      <c r="AT78" s="776"/>
      <c r="AU78" s="776"/>
      <c r="AV78" s="776"/>
      <c r="AW78" s="776"/>
      <c r="AX78" s="776"/>
      <c r="AY78" s="776"/>
      <c r="AZ78" s="776"/>
      <c r="BA78" s="776"/>
      <c r="BB78" s="776"/>
      <c r="BC78" s="776"/>
      <c r="BD78" s="776"/>
      <c r="BE78" s="776"/>
      <c r="BF78" s="772"/>
      <c r="BG78" s="775"/>
      <c r="BH78" s="776"/>
      <c r="BI78" s="776"/>
      <c r="BJ78" s="776"/>
      <c r="BK78" s="776"/>
      <c r="BL78" s="776"/>
      <c r="BM78" s="776"/>
      <c r="BN78" s="776"/>
      <c r="BO78" s="776"/>
      <c r="BP78" s="776"/>
      <c r="BQ78" s="776"/>
      <c r="BR78" s="776"/>
      <c r="BS78" s="776"/>
      <c r="BT78" s="776"/>
      <c r="BU78" s="777"/>
      <c r="BV78" s="778"/>
      <c r="BW78" s="778"/>
      <c r="BX78" s="778"/>
      <c r="BY78" s="778"/>
      <c r="BZ78" s="778"/>
      <c r="CA78" s="778"/>
      <c r="CB78" s="778"/>
      <c r="CC78" s="778"/>
      <c r="CD78" s="778"/>
      <c r="CE78" s="778"/>
      <c r="CF78" s="778"/>
      <c r="CG78" s="778"/>
      <c r="CH78" s="776"/>
      <c r="CI78" s="779"/>
      <c r="CJ78" s="778"/>
      <c r="CK78" s="778"/>
      <c r="CL78" s="778"/>
      <c r="CM78" s="778"/>
      <c r="CN78" s="778"/>
      <c r="CO78" s="778"/>
      <c r="CP78" s="778"/>
      <c r="CQ78" s="778"/>
      <c r="CR78" s="778"/>
      <c r="CS78" s="778"/>
      <c r="CT78" s="778">
        <v>15710</v>
      </c>
      <c r="CU78" s="778">
        <v>9907</v>
      </c>
      <c r="CV78" s="778"/>
      <c r="CW78" s="758">
        <f>CW79/6</f>
        <v>-21441.673333333321</v>
      </c>
      <c r="CX78" s="897">
        <f>CX109*1.1</f>
        <v>16863</v>
      </c>
      <c r="CY78" s="897">
        <f t="shared" ref="CY78:DI78" si="134">CY109*1.1</f>
        <v>13357.300000000001</v>
      </c>
      <c r="CZ78" s="897">
        <f t="shared" si="134"/>
        <v>18888.100000000002</v>
      </c>
      <c r="DA78" s="897">
        <f t="shared" si="134"/>
        <v>13813.800000000001</v>
      </c>
      <c r="DB78" s="897">
        <v>18000</v>
      </c>
      <c r="DC78" s="897">
        <v>12000</v>
      </c>
      <c r="DD78" s="897">
        <v>25000</v>
      </c>
      <c r="DE78" s="897">
        <v>24000</v>
      </c>
      <c r="DF78" s="897">
        <v>30000</v>
      </c>
      <c r="DG78" s="897">
        <f t="shared" si="134"/>
        <v>18451.400000000001</v>
      </c>
      <c r="DH78" s="897">
        <f t="shared" si="134"/>
        <v>17281</v>
      </c>
      <c r="DI78" s="897">
        <f t="shared" si="134"/>
        <v>10897.7</v>
      </c>
      <c r="DJ78" s="778">
        <f>SUM(CX78:DI78)</f>
        <v>218552.30000000002</v>
      </c>
      <c r="DK78" s="948"/>
      <c r="DL78" s="897">
        <f>DL109*1.1</f>
        <v>16863</v>
      </c>
      <c r="DM78" s="897">
        <f t="shared" ref="DM78:DW78" si="135">DM109*1.1</f>
        <v>13357.300000000001</v>
      </c>
      <c r="DN78" s="897">
        <f t="shared" si="135"/>
        <v>18888.100000000002</v>
      </c>
      <c r="DO78" s="897">
        <f t="shared" si="135"/>
        <v>13813.800000000001</v>
      </c>
      <c r="DP78" s="897">
        <f t="shared" si="135"/>
        <v>14784.000000000002</v>
      </c>
      <c r="DQ78" s="897">
        <f t="shared" si="135"/>
        <v>10588.6</v>
      </c>
      <c r="DR78" s="897">
        <f t="shared" si="135"/>
        <v>18337</v>
      </c>
      <c r="DS78" s="897">
        <f t="shared" si="135"/>
        <v>20026.600000000002</v>
      </c>
      <c r="DT78" s="897">
        <f>DT109*1.1</f>
        <v>28050.000000000004</v>
      </c>
      <c r="DU78" s="897">
        <f t="shared" ref="DU78:DY78" si="136">DU109*1.1</f>
        <v>18451.400000000001</v>
      </c>
      <c r="DV78" s="897">
        <f t="shared" si="136"/>
        <v>17281</v>
      </c>
      <c r="DW78" s="897">
        <f t="shared" si="136"/>
        <v>10897.7</v>
      </c>
      <c r="DX78" s="778">
        <f>SUM(DL78:DW78)</f>
        <v>201338.50000000003</v>
      </c>
      <c r="DY78" s="598">
        <f>AVERAGE(DL78:DW78)</f>
        <v>16778.208333333336</v>
      </c>
    </row>
    <row r="79" spans="1:129" ht="18" hidden="1" customHeight="1">
      <c r="A79" s="765"/>
      <c r="B79" s="766" t="s">
        <v>127</v>
      </c>
      <c r="C79" s="767"/>
      <c r="D79" s="768"/>
      <c r="E79" s="769"/>
      <c r="F79" s="769"/>
      <c r="G79" s="769"/>
      <c r="H79" s="769"/>
      <c r="I79" s="769"/>
      <c r="J79" s="769"/>
      <c r="K79" s="769"/>
      <c r="L79" s="769"/>
      <c r="M79" s="769"/>
      <c r="N79" s="769"/>
      <c r="O79" s="769"/>
      <c r="P79" s="770"/>
      <c r="Q79" s="771"/>
      <c r="R79" s="768"/>
      <c r="S79" s="772"/>
      <c r="T79" s="772"/>
      <c r="U79" s="772"/>
      <c r="V79" s="772"/>
      <c r="W79" s="773"/>
      <c r="X79" s="773"/>
      <c r="Y79" s="773"/>
      <c r="Z79" s="773"/>
      <c r="AA79" s="773"/>
      <c r="AB79" s="773"/>
      <c r="AC79" s="773"/>
      <c r="AD79" s="774"/>
      <c r="AE79" s="775"/>
      <c r="AF79" s="776"/>
      <c r="AG79" s="776"/>
      <c r="AH79" s="776"/>
      <c r="AI79" s="776"/>
      <c r="AJ79" s="776"/>
      <c r="AK79" s="776"/>
      <c r="AL79" s="776"/>
      <c r="AM79" s="776"/>
      <c r="AN79" s="776"/>
      <c r="AO79" s="776"/>
      <c r="AP79" s="776"/>
      <c r="AQ79" s="776"/>
      <c r="AR79" s="772"/>
      <c r="AS79" s="775"/>
      <c r="AT79" s="776"/>
      <c r="AU79" s="776"/>
      <c r="AV79" s="776"/>
      <c r="AW79" s="776"/>
      <c r="AX79" s="776"/>
      <c r="AY79" s="776"/>
      <c r="AZ79" s="776"/>
      <c r="BA79" s="776"/>
      <c r="BB79" s="776"/>
      <c r="BC79" s="776"/>
      <c r="BD79" s="776"/>
      <c r="BE79" s="776"/>
      <c r="BF79" s="772"/>
      <c r="BG79" s="775"/>
      <c r="BH79" s="776"/>
      <c r="BI79" s="776"/>
      <c r="BJ79" s="776"/>
      <c r="BK79" s="776"/>
      <c r="BL79" s="776"/>
      <c r="BM79" s="776"/>
      <c r="BN79" s="776"/>
      <c r="BO79" s="776"/>
      <c r="BP79" s="776"/>
      <c r="BQ79" s="776"/>
      <c r="BR79" s="776"/>
      <c r="BS79" s="776"/>
      <c r="BT79" s="776"/>
      <c r="BU79" s="777"/>
      <c r="BV79" s="778"/>
      <c r="BW79" s="778"/>
      <c r="BX79" s="778"/>
      <c r="BY79" s="778"/>
      <c r="BZ79" s="778"/>
      <c r="CA79" s="778"/>
      <c r="CB79" s="778"/>
      <c r="CC79" s="778"/>
      <c r="CD79" s="778"/>
      <c r="CE79" s="778"/>
      <c r="CF79" s="778"/>
      <c r="CG79" s="778"/>
      <c r="CH79" s="776"/>
      <c r="CI79" s="779"/>
      <c r="CJ79" s="778"/>
      <c r="CK79" s="778"/>
      <c r="CL79" s="778"/>
      <c r="CM79" s="778"/>
      <c r="CN79" s="778"/>
      <c r="CO79" s="778"/>
      <c r="CP79" s="778"/>
      <c r="CQ79" s="778"/>
      <c r="CR79" s="778"/>
      <c r="CS79" s="778">
        <v>28812</v>
      </c>
      <c r="CT79" s="778">
        <f>CT100</f>
        <v>35000</v>
      </c>
      <c r="CU79" s="778">
        <f>CU100</f>
        <v>2096</v>
      </c>
      <c r="CV79" s="778"/>
      <c r="CW79" s="869">
        <f>CW80-CW75</f>
        <v>-128650.03999999992</v>
      </c>
      <c r="CX79" s="897">
        <f>CX100</f>
        <v>39610</v>
      </c>
      <c r="CY79" s="897">
        <f t="shared" ref="CY79:DC79" si="137">CY100</f>
        <v>36994</v>
      </c>
      <c r="CZ79" s="897">
        <f t="shared" si="137"/>
        <v>29344</v>
      </c>
      <c r="DA79" s="897">
        <f t="shared" si="137"/>
        <v>33378</v>
      </c>
      <c r="DB79" s="897">
        <f t="shared" si="137"/>
        <v>19489</v>
      </c>
      <c r="DC79" s="897">
        <f t="shared" si="137"/>
        <v>14764</v>
      </c>
      <c r="DD79" s="897">
        <f>DD100</f>
        <v>49685.9</v>
      </c>
      <c r="DE79" s="897">
        <f t="shared" ref="DE79:DJ79" si="138">DE100</f>
        <v>48585.9</v>
      </c>
      <c r="DF79" s="897">
        <f t="shared" si="138"/>
        <v>55922.9</v>
      </c>
      <c r="DG79" s="897">
        <f t="shared" si="138"/>
        <v>28156.7</v>
      </c>
      <c r="DH79" s="897">
        <f t="shared" si="138"/>
        <v>14078.35</v>
      </c>
      <c r="DI79" s="897">
        <f t="shared" si="138"/>
        <v>3300.0000000000005</v>
      </c>
      <c r="DJ79" s="778">
        <f>SUM(CX79:DI79)</f>
        <v>373308.75</v>
      </c>
      <c r="DK79" s="948"/>
      <c r="DL79" s="897">
        <f>DL100</f>
        <v>39610</v>
      </c>
      <c r="DM79" s="897">
        <f t="shared" ref="DM79:DQ79" si="139">DM100</f>
        <v>36994</v>
      </c>
      <c r="DN79" s="897">
        <f t="shared" si="139"/>
        <v>29344</v>
      </c>
      <c r="DO79" s="897">
        <f t="shared" si="139"/>
        <v>33378</v>
      </c>
      <c r="DP79" s="897">
        <f t="shared" si="139"/>
        <v>19489</v>
      </c>
      <c r="DQ79" s="897">
        <f t="shared" si="139"/>
        <v>14764</v>
      </c>
      <c r="DR79" s="897">
        <f>DR100</f>
        <v>49685.9</v>
      </c>
      <c r="DS79" s="897">
        <f t="shared" ref="DS79:DX79" si="140">DS100</f>
        <v>48585.9</v>
      </c>
      <c r="DT79" s="897">
        <f t="shared" si="140"/>
        <v>55922.9</v>
      </c>
      <c r="DU79" s="897">
        <f t="shared" si="140"/>
        <v>28156.7</v>
      </c>
      <c r="DV79" s="897">
        <f t="shared" si="140"/>
        <v>14078.35</v>
      </c>
      <c r="DW79" s="897">
        <f t="shared" si="140"/>
        <v>3300.0000000000005</v>
      </c>
      <c r="DX79" s="778">
        <f>SUM(DL79:DW79)</f>
        <v>373308.75</v>
      </c>
    </row>
    <row r="80" spans="1:129" s="1004" customFormat="1" ht="15" customHeight="1">
      <c r="A80" s="1003"/>
      <c r="B80" s="990" t="s">
        <v>128</v>
      </c>
      <c r="C80" s="991"/>
      <c r="D80" s="992"/>
      <c r="E80" s="993"/>
      <c r="F80" s="993"/>
      <c r="G80" s="993"/>
      <c r="H80" s="993"/>
      <c r="I80" s="993"/>
      <c r="J80" s="993"/>
      <c r="K80" s="993"/>
      <c r="L80" s="993"/>
      <c r="M80" s="993"/>
      <c r="N80" s="993"/>
      <c r="O80" s="993"/>
      <c r="P80" s="994"/>
      <c r="Q80" s="995"/>
      <c r="R80" s="992"/>
      <c r="S80" s="836"/>
      <c r="T80" s="836"/>
      <c r="U80" s="836"/>
      <c r="V80" s="836"/>
      <c r="W80" s="996"/>
      <c r="X80" s="996"/>
      <c r="Y80" s="996"/>
      <c r="Z80" s="996"/>
      <c r="AA80" s="996"/>
      <c r="AB80" s="996"/>
      <c r="AC80" s="996"/>
      <c r="AD80" s="997"/>
      <c r="AE80" s="998"/>
      <c r="AF80" s="999"/>
      <c r="AG80" s="836"/>
      <c r="AH80" s="836"/>
      <c r="AI80" s="836"/>
      <c r="AJ80" s="836"/>
      <c r="AK80" s="836"/>
      <c r="AL80" s="836"/>
      <c r="AM80" s="836"/>
      <c r="AN80" s="836"/>
      <c r="AO80" s="836"/>
      <c r="AP80" s="836"/>
      <c r="AQ80" s="836"/>
      <c r="AR80" s="836"/>
      <c r="AS80" s="998"/>
      <c r="AT80" s="836"/>
      <c r="AU80" s="836"/>
      <c r="AV80" s="836"/>
      <c r="AW80" s="836"/>
      <c r="AX80" s="836"/>
      <c r="AY80" s="836"/>
      <c r="AZ80" s="836"/>
      <c r="BA80" s="836"/>
      <c r="BB80" s="836"/>
      <c r="BC80" s="836"/>
      <c r="BD80" s="836"/>
      <c r="BE80" s="836"/>
      <c r="BF80" s="836"/>
      <c r="BG80" s="998"/>
      <c r="BH80" s="836"/>
      <c r="BI80" s="836"/>
      <c r="BJ80" s="836"/>
      <c r="BK80" s="836"/>
      <c r="BL80" s="836"/>
      <c r="BM80" s="836"/>
      <c r="BN80" s="836"/>
      <c r="BO80" s="836"/>
      <c r="BP80" s="836"/>
      <c r="BQ80" s="836"/>
      <c r="BR80" s="836"/>
      <c r="BS80" s="836"/>
      <c r="BT80" s="836"/>
      <c r="BU80" s="1000"/>
      <c r="BV80" s="836"/>
      <c r="BW80" s="836"/>
      <c r="BX80" s="836"/>
      <c r="BY80" s="836"/>
      <c r="BZ80" s="836"/>
      <c r="CA80" s="836"/>
      <c r="CB80" s="836"/>
      <c r="CC80" s="836"/>
      <c r="CD80" s="836"/>
      <c r="CE80" s="836"/>
      <c r="CF80" s="836"/>
      <c r="CG80" s="836"/>
      <c r="CH80" s="836"/>
      <c r="CI80" s="1001"/>
      <c r="CJ80" s="836"/>
      <c r="CK80" s="836"/>
      <c r="CL80" s="836"/>
      <c r="CM80" s="836"/>
      <c r="CN80" s="836"/>
      <c r="CO80" s="836"/>
      <c r="CP80" s="836"/>
      <c r="CQ80" s="836"/>
      <c r="CR80" s="836"/>
      <c r="CS80" s="836"/>
      <c r="CT80" s="836">
        <f>SUM(CT81:CT83)</f>
        <v>210269</v>
      </c>
      <c r="CU80" s="836">
        <f>SUM(CU81:CU83)</f>
        <v>172780</v>
      </c>
      <c r="CV80" s="836"/>
      <c r="CW80" s="1002">
        <f>SUM(CX80:DC80)</f>
        <v>868321.7</v>
      </c>
      <c r="CX80" s="836">
        <f>SUM(CX81:CX83)</f>
        <v>194767.09999999998</v>
      </c>
      <c r="CY80" s="836">
        <f t="shared" ref="CY80:DE80" si="141">SUM(CY81:CY83)</f>
        <v>161944.6</v>
      </c>
      <c r="CZ80" s="836">
        <f>SUM(CZ81:CZ83)</f>
        <v>53400</v>
      </c>
      <c r="DA80" s="836">
        <f>SUM(DA81:DA83)</f>
        <v>85000</v>
      </c>
      <c r="DB80" s="836">
        <f t="shared" si="141"/>
        <v>194040</v>
      </c>
      <c r="DC80" s="836">
        <f>SUM(DC81:DC83)</f>
        <v>179170</v>
      </c>
      <c r="DD80" s="836">
        <f t="shared" si="141"/>
        <v>227850</v>
      </c>
      <c r="DE80" s="836">
        <f t="shared" si="141"/>
        <v>205390</v>
      </c>
      <c r="DF80" s="836">
        <f>SUM(DF81:DF83)</f>
        <v>211876</v>
      </c>
      <c r="DG80" s="836">
        <f t="shared" ref="DG80:DI80" si="142">SUM(DG81:DG83)</f>
        <v>211876</v>
      </c>
      <c r="DH80" s="836">
        <f t="shared" si="142"/>
        <v>193452</v>
      </c>
      <c r="DI80" s="836">
        <f t="shared" si="142"/>
        <v>147392</v>
      </c>
      <c r="DJ80" s="999">
        <f>SUM(DA80:DI80)</f>
        <v>1656046</v>
      </c>
      <c r="DK80" s="948"/>
      <c r="DL80" s="831">
        <f>SUM(DL81:DL83)</f>
        <v>196460</v>
      </c>
      <c r="DM80" s="831">
        <f t="shared" ref="DM80:DQ80" si="143">SUM(DM81:DM83)</f>
        <v>169670</v>
      </c>
      <c r="DN80" s="831">
        <f>SUM(DN81:DN83)</f>
        <v>206800</v>
      </c>
      <c r="DO80" s="831">
        <f>SUM(DO81:DO83)</f>
        <v>206800</v>
      </c>
      <c r="DP80" s="831">
        <f t="shared" ref="DP80:DW80" si="144">SUM(DP81:DP83)</f>
        <v>184240</v>
      </c>
      <c r="DQ80" s="831">
        <f t="shared" si="144"/>
        <v>187530</v>
      </c>
      <c r="DR80" s="831">
        <f t="shared" si="144"/>
        <v>211876</v>
      </c>
      <c r="DS80" s="831">
        <f t="shared" si="144"/>
        <v>187530</v>
      </c>
      <c r="DT80" s="831">
        <f t="shared" si="144"/>
        <v>211876</v>
      </c>
      <c r="DU80" s="831">
        <f t="shared" si="144"/>
        <v>211876</v>
      </c>
      <c r="DV80" s="831">
        <f t="shared" si="144"/>
        <v>193452</v>
      </c>
      <c r="DW80" s="831">
        <f t="shared" si="144"/>
        <v>147392</v>
      </c>
      <c r="DX80" s="999">
        <f>SUM(DL80:DW80)</f>
        <v>2315502</v>
      </c>
    </row>
    <row r="81" spans="1:129" ht="15.75" hidden="1" customHeight="1" outlineLevel="1">
      <c r="A81" s="719">
        <v>7</v>
      </c>
      <c r="B81" s="936" t="s">
        <v>129</v>
      </c>
      <c r="C81" s="781"/>
      <c r="D81" s="793">
        <v>98048</v>
      </c>
      <c r="E81" s="794">
        <v>128688</v>
      </c>
      <c r="F81" s="794">
        <v>124704</v>
      </c>
      <c r="G81" s="794">
        <v>157500</v>
      </c>
      <c r="H81" s="794">
        <v>182600</v>
      </c>
      <c r="I81" s="794">
        <v>157700</v>
      </c>
      <c r="J81" s="794">
        <v>181700</v>
      </c>
      <c r="K81" s="794">
        <v>165900</v>
      </c>
      <c r="L81" s="794">
        <v>174300</v>
      </c>
      <c r="M81" s="794">
        <v>215800</v>
      </c>
      <c r="N81" s="794">
        <v>180000</v>
      </c>
      <c r="O81" s="794">
        <v>112500</v>
      </c>
      <c r="P81" s="795">
        <f t="shared" ref="P81:P84" si="145">SUM(D81:O81)</f>
        <v>1879440</v>
      </c>
      <c r="Q81" s="796"/>
      <c r="R81" s="793">
        <v>158400</v>
      </c>
      <c r="S81" s="797">
        <v>161000</v>
      </c>
      <c r="T81" s="797">
        <v>117800</v>
      </c>
      <c r="U81" s="797">
        <v>2000</v>
      </c>
      <c r="V81" s="797">
        <v>53800</v>
      </c>
      <c r="W81" s="797">
        <v>190600</v>
      </c>
      <c r="X81" s="797">
        <v>187900</v>
      </c>
      <c r="Y81" s="797">
        <v>196800</v>
      </c>
      <c r="Z81" s="797">
        <v>192300</v>
      </c>
      <c r="AA81" s="797">
        <v>182300</v>
      </c>
      <c r="AB81" s="797">
        <v>175000</v>
      </c>
      <c r="AC81" s="797">
        <v>134100</v>
      </c>
      <c r="AD81" s="798">
        <f>SUM(R81:AC81)</f>
        <v>1752000</v>
      </c>
      <c r="AE81" s="799"/>
      <c r="AF81" s="800">
        <f t="shared" ref="AF81:AL81" si="146">SUM(AF84,AF86)</f>
        <v>161400</v>
      </c>
      <c r="AG81" s="800">
        <f t="shared" si="146"/>
        <v>166000</v>
      </c>
      <c r="AH81" s="800">
        <f t="shared" si="146"/>
        <v>150471</v>
      </c>
      <c r="AI81" s="800">
        <f t="shared" si="146"/>
        <v>149040</v>
      </c>
      <c r="AJ81" s="800">
        <f t="shared" si="146"/>
        <v>196360</v>
      </c>
      <c r="AK81" s="800">
        <f t="shared" si="146"/>
        <v>163300</v>
      </c>
      <c r="AL81" s="800">
        <f t="shared" si="146"/>
        <v>190000</v>
      </c>
      <c r="AM81" s="800">
        <f t="shared" ref="AM81:AQ81" si="147">SUM(AM84,AM86,AM87)</f>
        <v>167000</v>
      </c>
      <c r="AN81" s="800">
        <f t="shared" si="147"/>
        <v>170500</v>
      </c>
      <c r="AO81" s="800">
        <f t="shared" si="147"/>
        <v>140000</v>
      </c>
      <c r="AP81" s="800">
        <f t="shared" si="147"/>
        <v>130000</v>
      </c>
      <c r="AQ81" s="800">
        <f t="shared" si="147"/>
        <v>100000</v>
      </c>
      <c r="AR81" s="786">
        <f t="shared" ref="AR81:AR84" si="148">SUM(AF81:AQ81)</f>
        <v>1884071</v>
      </c>
      <c r="AS81" s="799"/>
      <c r="AT81" s="800">
        <f t="shared" ref="AT81:BC81" si="149">SUM(AT84,AT86,AT87)</f>
        <v>133000</v>
      </c>
      <c r="AU81" s="800">
        <f t="shared" si="149"/>
        <v>125180</v>
      </c>
      <c r="AV81" s="800">
        <f t="shared" si="149"/>
        <v>117228</v>
      </c>
      <c r="AW81" s="800">
        <f t="shared" si="149"/>
        <v>127500</v>
      </c>
      <c r="AX81" s="800">
        <f t="shared" si="149"/>
        <v>140000</v>
      </c>
      <c r="AY81" s="800">
        <f t="shared" si="149"/>
        <v>158342.99999899999</v>
      </c>
      <c r="AZ81" s="800">
        <f t="shared" si="149"/>
        <v>152409</v>
      </c>
      <c r="BA81" s="800">
        <f t="shared" si="149"/>
        <v>173520</v>
      </c>
      <c r="BB81" s="800">
        <f t="shared" si="149"/>
        <v>165000</v>
      </c>
      <c r="BC81" s="800">
        <f t="shared" si="149"/>
        <v>157500</v>
      </c>
      <c r="BD81" s="800">
        <v>129431</v>
      </c>
      <c r="BE81" s="800">
        <v>61700</v>
      </c>
      <c r="BF81" s="797">
        <f t="shared" ref="BF81:BF84" si="150">SUM(AT81:BE81)</f>
        <v>1640810.999999</v>
      </c>
      <c r="BG81" s="799">
        <f>BF81-AR81</f>
        <v>-243260.00000100001</v>
      </c>
      <c r="BH81" s="790">
        <f>SUM(BH84,BH86,BH87)</f>
        <v>139760</v>
      </c>
      <c r="BI81" s="790">
        <f t="shared" ref="BI81:BP81" si="151">SUM(BI84,BI86,BI87)</f>
        <v>116580</v>
      </c>
      <c r="BJ81" s="790">
        <f t="shared" si="151"/>
        <v>148340</v>
      </c>
      <c r="BK81" s="790">
        <f t="shared" si="151"/>
        <v>112360</v>
      </c>
      <c r="BL81" s="790">
        <f t="shared" si="151"/>
        <v>108660</v>
      </c>
      <c r="BM81" s="790">
        <f t="shared" si="151"/>
        <v>153416</v>
      </c>
      <c r="BN81" s="790">
        <f t="shared" si="151"/>
        <v>137676</v>
      </c>
      <c r="BO81" s="790">
        <f t="shared" si="151"/>
        <v>160654</v>
      </c>
      <c r="BP81" s="790">
        <f t="shared" si="151"/>
        <v>157000</v>
      </c>
      <c r="BQ81" s="790">
        <v>156725</v>
      </c>
      <c r="BR81" s="790">
        <v>182069</v>
      </c>
      <c r="BS81" s="790">
        <f>BS84+BS87</f>
        <v>156420</v>
      </c>
      <c r="BT81" s="790">
        <f t="shared" ref="BT81:BT84" si="152">SUM(BH81:BS81)</f>
        <v>1729660</v>
      </c>
      <c r="BU81" s="791"/>
      <c r="BV81" s="801">
        <f>BV7*BV85</f>
        <v>133000</v>
      </c>
      <c r="BW81" s="801">
        <f>BW7*BW85</f>
        <v>133000</v>
      </c>
      <c r="BX81" s="801">
        <f>BX7*BX85</f>
        <v>147000</v>
      </c>
      <c r="BY81" s="801">
        <f>BY7*BY85</f>
        <v>172800</v>
      </c>
      <c r="BZ81" s="801">
        <f>BZ7*BZ85</f>
        <v>165600</v>
      </c>
      <c r="CA81" s="801">
        <f>CA7*CA85</f>
        <v>158400</v>
      </c>
      <c r="CB81" s="801">
        <f>CB7*CB85</f>
        <v>180000</v>
      </c>
      <c r="CC81" s="801">
        <f>CC7*CC85</f>
        <v>172800</v>
      </c>
      <c r="CD81" s="801">
        <f>CD7*CD85</f>
        <v>172800</v>
      </c>
      <c r="CE81" s="801">
        <f>CE7*CE85</f>
        <v>172800</v>
      </c>
      <c r="CF81" s="801">
        <f>CF7*CF85</f>
        <v>167200</v>
      </c>
      <c r="CG81" s="801">
        <f>CG7*CG85</f>
        <v>98800</v>
      </c>
      <c r="CH81" s="801">
        <f t="shared" ref="CH81:CH86" si="153">SUM(BV81:CG81)</f>
        <v>1874200</v>
      </c>
      <c r="CI81" s="801"/>
      <c r="CJ81" s="801">
        <f>CJ7*CJ85</f>
        <v>165000</v>
      </c>
      <c r="CK81" s="801">
        <f>CK7*CK85</f>
        <v>188600</v>
      </c>
      <c r="CL81" s="801">
        <f>CL7*CL85</f>
        <v>171000</v>
      </c>
      <c r="CM81" s="801">
        <f>CM7*CM85</f>
        <v>200000</v>
      </c>
      <c r="CN81" s="801">
        <f>CN7*CN85</f>
        <v>178290</v>
      </c>
      <c r="CO81" s="801">
        <f>CO7*CO85</f>
        <v>198000</v>
      </c>
      <c r="CP81" s="801">
        <f>CP7*CP85</f>
        <v>245000</v>
      </c>
      <c r="CQ81" s="801">
        <f>CQ7*CQ85</f>
        <v>207900</v>
      </c>
      <c r="CR81" s="801">
        <f>CR7*CR85</f>
        <v>217800</v>
      </c>
      <c r="CS81" s="801">
        <v>205579</v>
      </c>
      <c r="CT81" s="801">
        <f>(CT7*CT85)-CT83</f>
        <v>164340</v>
      </c>
      <c r="CU81" s="801">
        <f>(CU7*CU85)-CU83</f>
        <v>118660</v>
      </c>
      <c r="CV81" s="790">
        <f>SUM(CJ81:CU81)</f>
        <v>2260169</v>
      </c>
      <c r="CW81" s="758"/>
      <c r="CX81" s="899">
        <f>(CX7*CX85)*0.95-CX83-CX82</f>
        <v>131887.09999999998</v>
      </c>
      <c r="CY81" s="899">
        <f>(CY7*CY85)*0.95-CY83-CY82</f>
        <v>117864.6</v>
      </c>
      <c r="CZ81" s="899">
        <f>(CZ7*CZ85)*1-CZ83-CZ82</f>
        <v>1380</v>
      </c>
      <c r="DA81" s="899">
        <f>(DA7*DA85)*1-DA83-DA82</f>
        <v>45840</v>
      </c>
      <c r="DB81" s="899">
        <f>(DB7*DB85)*0.98-DB83-DB82</f>
        <v>165040</v>
      </c>
      <c r="DC81" s="899">
        <f>(DC7*DC85)*0.95-DC83-DC82</f>
        <v>115170</v>
      </c>
      <c r="DD81" s="899">
        <f>(DD7*DD85)*0.98-DD83-DD82</f>
        <v>167850</v>
      </c>
      <c r="DE81" s="899">
        <f>(DE7*DE85)*0.95-DE83-DE82</f>
        <v>147390</v>
      </c>
      <c r="DF81" s="899">
        <f>(DF7*DF85)*0.98-DF83-DF82</f>
        <v>152876</v>
      </c>
      <c r="DG81" s="899">
        <f>(DG7*DG85)*0.98-DG83-DG82</f>
        <v>177876</v>
      </c>
      <c r="DH81" s="899">
        <f>(DH7*DH85)*0.98-DH83-DH82</f>
        <v>164452</v>
      </c>
      <c r="DI81" s="899">
        <f>(DI7*DI85)*0.98-DI83-DI82</f>
        <v>87392</v>
      </c>
      <c r="DJ81" s="801">
        <f>SUM(CX81:DI81)</f>
        <v>1475017.7</v>
      </c>
      <c r="DK81" s="948"/>
      <c r="DL81" s="899">
        <f>(DL7*DL85)*0.95-DL83-DL82</f>
        <v>133580</v>
      </c>
      <c r="DM81" s="899">
        <f>(DM7*DM85)*0.95-DM83-DM82</f>
        <v>125590</v>
      </c>
      <c r="DN81" s="899">
        <f>(DN7*DN85)*1-DN83-DN82</f>
        <v>154780</v>
      </c>
      <c r="DO81" s="899">
        <f>(DO7*DO85)*1-DO83-DO82</f>
        <v>167640</v>
      </c>
      <c r="DP81" s="899">
        <f>(DP7*DP85)*0.98-DP83-DP82</f>
        <v>155240</v>
      </c>
      <c r="DQ81" s="899">
        <f>(DQ7*DQ85)*0.95-DQ83-DQ82</f>
        <v>123530</v>
      </c>
      <c r="DR81" s="899">
        <f>(DR7*DR85)*0.98-DR83-DR82</f>
        <v>151876</v>
      </c>
      <c r="DS81" s="899">
        <f>(DS7*DS85)*0.95-DS83-DS82</f>
        <v>129530</v>
      </c>
      <c r="DT81" s="899">
        <f>(DT7*DT85)*0.98-DT83-DT82</f>
        <v>152876</v>
      </c>
      <c r="DU81" s="899">
        <f>(DU7*DU85)*0.98-DU83-DU82</f>
        <v>177876</v>
      </c>
      <c r="DV81" s="899">
        <f>(DV7*DV85)*0.98-DV83-DV82</f>
        <v>164452</v>
      </c>
      <c r="DW81" s="899">
        <f>(DW7*DW85)*0.98-DW83-DW82</f>
        <v>87392</v>
      </c>
      <c r="DX81" s="801">
        <f>SUM(DL81:DW81)</f>
        <v>1724362</v>
      </c>
      <c r="DY81" s="598">
        <f>AVERAGE(DL81:DW81)</f>
        <v>143696.83333333334</v>
      </c>
    </row>
    <row r="82" spans="1:129" ht="15.75" hidden="1" customHeight="1" outlineLevel="1">
      <c r="A82" s="719"/>
      <c r="B82" s="936" t="s">
        <v>130</v>
      </c>
      <c r="C82" s="781"/>
      <c r="D82" s="793"/>
      <c r="E82" s="794"/>
      <c r="F82" s="794"/>
      <c r="G82" s="794"/>
      <c r="H82" s="794"/>
      <c r="I82" s="794"/>
      <c r="J82" s="794"/>
      <c r="K82" s="794"/>
      <c r="L82" s="794"/>
      <c r="M82" s="794"/>
      <c r="N82" s="794"/>
      <c r="O82" s="794"/>
      <c r="P82" s="795"/>
      <c r="Q82" s="796"/>
      <c r="R82" s="793"/>
      <c r="S82" s="797"/>
      <c r="T82" s="797"/>
      <c r="U82" s="797"/>
      <c r="V82" s="797"/>
      <c r="W82" s="797"/>
      <c r="X82" s="797"/>
      <c r="Y82" s="797"/>
      <c r="Z82" s="797"/>
      <c r="AA82" s="797"/>
      <c r="AB82" s="797"/>
      <c r="AC82" s="797"/>
      <c r="AD82" s="798"/>
      <c r="AE82" s="799"/>
      <c r="AF82" s="800"/>
      <c r="AG82" s="800"/>
      <c r="AH82" s="800"/>
      <c r="AI82" s="800"/>
      <c r="AJ82" s="800"/>
      <c r="AK82" s="800"/>
      <c r="AL82" s="800"/>
      <c r="AM82" s="800"/>
      <c r="AN82" s="800"/>
      <c r="AO82" s="800"/>
      <c r="AP82" s="800"/>
      <c r="AQ82" s="800"/>
      <c r="AR82" s="786"/>
      <c r="AS82" s="799"/>
      <c r="AT82" s="800"/>
      <c r="AU82" s="800"/>
      <c r="AV82" s="800"/>
      <c r="AW82" s="800"/>
      <c r="AX82" s="800"/>
      <c r="AY82" s="800"/>
      <c r="AZ82" s="800"/>
      <c r="BA82" s="800"/>
      <c r="BB82" s="800"/>
      <c r="BC82" s="800"/>
      <c r="BD82" s="800"/>
      <c r="BE82" s="800"/>
      <c r="BF82" s="797"/>
      <c r="BG82" s="799"/>
      <c r="BH82" s="790"/>
      <c r="BI82" s="790"/>
      <c r="BJ82" s="790"/>
      <c r="BK82" s="790"/>
      <c r="BL82" s="790"/>
      <c r="BM82" s="790"/>
      <c r="BN82" s="790"/>
      <c r="BO82" s="790"/>
      <c r="BP82" s="790"/>
      <c r="BQ82" s="790"/>
      <c r="BR82" s="790"/>
      <c r="BS82" s="790"/>
      <c r="BT82" s="790"/>
      <c r="BU82" s="791"/>
      <c r="BV82" s="801"/>
      <c r="BW82" s="801"/>
      <c r="BX82" s="801"/>
      <c r="BY82" s="801"/>
      <c r="BZ82" s="801"/>
      <c r="CA82" s="801"/>
      <c r="CB82" s="801"/>
      <c r="CC82" s="801"/>
      <c r="CD82" s="801"/>
      <c r="CE82" s="801"/>
      <c r="CF82" s="801"/>
      <c r="CG82" s="801"/>
      <c r="CH82" s="801"/>
      <c r="CI82" s="802"/>
      <c r="CJ82" s="801"/>
      <c r="CK82" s="801"/>
      <c r="CL82" s="801"/>
      <c r="CM82" s="801"/>
      <c r="CN82" s="801"/>
      <c r="CO82" s="801"/>
      <c r="CP82" s="801"/>
      <c r="CQ82" s="801"/>
      <c r="CR82" s="801"/>
      <c r="CS82" s="801"/>
      <c r="CT82" s="801">
        <v>25469</v>
      </c>
      <c r="CU82" s="801">
        <v>14680</v>
      </c>
      <c r="CV82" s="790"/>
      <c r="CW82" s="758"/>
      <c r="CX82" s="900">
        <v>9000</v>
      </c>
      <c r="CY82" s="900">
        <v>14000</v>
      </c>
      <c r="CZ82" s="900">
        <v>18000</v>
      </c>
      <c r="DA82" s="900">
        <v>18000</v>
      </c>
      <c r="DB82" s="900">
        <v>19000</v>
      </c>
      <c r="DC82" s="900">
        <v>14000</v>
      </c>
      <c r="DD82" s="900">
        <v>20000</v>
      </c>
      <c r="DE82" s="900">
        <v>18000</v>
      </c>
      <c r="DF82" s="900">
        <v>24000</v>
      </c>
      <c r="DG82" s="900">
        <v>14000</v>
      </c>
      <c r="DH82" s="900">
        <v>19000</v>
      </c>
      <c r="DI82" s="900">
        <v>10000</v>
      </c>
      <c r="DJ82" s="801">
        <f t="shared" ref="DJ82:DJ83" si="154">SUM(CX82:DI82)</f>
        <v>197000</v>
      </c>
      <c r="DK82" s="948"/>
      <c r="DL82" s="900">
        <v>9000</v>
      </c>
      <c r="DM82" s="900">
        <v>14000</v>
      </c>
      <c r="DN82" s="900">
        <v>18000</v>
      </c>
      <c r="DO82" s="900">
        <v>18000</v>
      </c>
      <c r="DP82" s="900">
        <v>19000</v>
      </c>
      <c r="DQ82" s="900">
        <v>14000</v>
      </c>
      <c r="DR82" s="900">
        <v>20000</v>
      </c>
      <c r="DS82" s="900">
        <v>18000</v>
      </c>
      <c r="DT82" s="900">
        <v>24000</v>
      </c>
      <c r="DU82" s="900">
        <v>14000</v>
      </c>
      <c r="DV82" s="900">
        <v>19000</v>
      </c>
      <c r="DW82" s="900">
        <v>10000</v>
      </c>
      <c r="DX82" s="801">
        <f t="shared" ref="DX82:DX83" si="155">SUM(DL82:DW82)</f>
        <v>197000</v>
      </c>
      <c r="DY82" s="598">
        <f>AVERAGE(DL82:DW82)</f>
        <v>16416.666666666668</v>
      </c>
    </row>
    <row r="83" spans="1:129" ht="15.75" hidden="1" customHeight="1" outlineLevel="1">
      <c r="A83" s="719"/>
      <c r="B83" s="936" t="s">
        <v>131</v>
      </c>
      <c r="C83" s="781"/>
      <c r="D83" s="793"/>
      <c r="E83" s="794"/>
      <c r="F83" s="794"/>
      <c r="G83" s="794"/>
      <c r="H83" s="794"/>
      <c r="I83" s="794"/>
      <c r="J83" s="794"/>
      <c r="K83" s="794"/>
      <c r="L83" s="794"/>
      <c r="M83" s="794"/>
      <c r="N83" s="794"/>
      <c r="O83" s="794"/>
      <c r="P83" s="795"/>
      <c r="Q83" s="796"/>
      <c r="R83" s="793"/>
      <c r="S83" s="797"/>
      <c r="T83" s="797"/>
      <c r="U83" s="797"/>
      <c r="V83" s="797"/>
      <c r="W83" s="797"/>
      <c r="X83" s="797"/>
      <c r="Y83" s="797"/>
      <c r="Z83" s="797"/>
      <c r="AA83" s="797"/>
      <c r="AB83" s="797"/>
      <c r="AC83" s="797"/>
      <c r="AD83" s="798"/>
      <c r="AE83" s="799"/>
      <c r="AF83" s="800"/>
      <c r="AG83" s="800"/>
      <c r="AH83" s="800"/>
      <c r="AI83" s="800"/>
      <c r="AJ83" s="800"/>
      <c r="AK83" s="800"/>
      <c r="AL83" s="800"/>
      <c r="AM83" s="800"/>
      <c r="AN83" s="800"/>
      <c r="AO83" s="800"/>
      <c r="AP83" s="800"/>
      <c r="AQ83" s="800"/>
      <c r="AR83" s="786"/>
      <c r="AS83" s="799"/>
      <c r="AT83" s="800"/>
      <c r="AU83" s="800"/>
      <c r="AV83" s="800"/>
      <c r="AW83" s="800"/>
      <c r="AX83" s="800"/>
      <c r="AY83" s="800"/>
      <c r="AZ83" s="800"/>
      <c r="BA83" s="800"/>
      <c r="BB83" s="800"/>
      <c r="BC83" s="800"/>
      <c r="BD83" s="800"/>
      <c r="BE83" s="800"/>
      <c r="BF83" s="797"/>
      <c r="BG83" s="799"/>
      <c r="BH83" s="790"/>
      <c r="BI83" s="790"/>
      <c r="BJ83" s="790"/>
      <c r="BK83" s="790"/>
      <c r="BL83" s="790"/>
      <c r="BM83" s="790"/>
      <c r="BN83" s="790"/>
      <c r="BO83" s="790"/>
      <c r="BP83" s="790"/>
      <c r="BQ83" s="790"/>
      <c r="BR83" s="790"/>
      <c r="BS83" s="790"/>
      <c r="BT83" s="790"/>
      <c r="BU83" s="791"/>
      <c r="BV83" s="801"/>
      <c r="BW83" s="801"/>
      <c r="BX83" s="801"/>
      <c r="BY83" s="801"/>
      <c r="BZ83" s="801"/>
      <c r="CA83" s="801"/>
      <c r="CB83" s="801"/>
      <c r="CC83" s="801"/>
      <c r="CD83" s="801"/>
      <c r="CE83" s="801"/>
      <c r="CF83" s="801"/>
      <c r="CG83" s="801"/>
      <c r="CH83" s="801"/>
      <c r="CI83" s="802"/>
      <c r="CJ83" s="801"/>
      <c r="CK83" s="801"/>
      <c r="CL83" s="801"/>
      <c r="CM83" s="801"/>
      <c r="CN83" s="801"/>
      <c r="CO83" s="801"/>
      <c r="CP83" s="801"/>
      <c r="CQ83" s="801"/>
      <c r="CR83" s="801"/>
      <c r="CS83" s="801"/>
      <c r="CT83" s="801">
        <f>CT99</f>
        <v>20460</v>
      </c>
      <c r="CU83" s="801">
        <f>CU99</f>
        <v>39440</v>
      </c>
      <c r="CV83" s="790"/>
      <c r="CW83" s="758"/>
      <c r="CX83" s="900">
        <f>CX99</f>
        <v>53880</v>
      </c>
      <c r="CY83" s="900">
        <f t="shared" ref="CY83:DI83" si="156">CY99</f>
        <v>30080</v>
      </c>
      <c r="CZ83" s="900">
        <f t="shared" si="156"/>
        <v>34020</v>
      </c>
      <c r="DA83" s="900">
        <f t="shared" si="156"/>
        <v>21160</v>
      </c>
      <c r="DB83" s="900">
        <f t="shared" si="156"/>
        <v>10000</v>
      </c>
      <c r="DC83" s="900">
        <f t="shared" si="156"/>
        <v>50000</v>
      </c>
      <c r="DD83" s="900">
        <f t="shared" si="156"/>
        <v>40000</v>
      </c>
      <c r="DE83" s="900">
        <f t="shared" si="156"/>
        <v>40000</v>
      </c>
      <c r="DF83" s="900">
        <f>DF99</f>
        <v>35000</v>
      </c>
      <c r="DG83" s="900">
        <f t="shared" si="156"/>
        <v>20000</v>
      </c>
      <c r="DH83" s="900">
        <f t="shared" si="156"/>
        <v>10000</v>
      </c>
      <c r="DI83" s="900">
        <f t="shared" si="156"/>
        <v>50000</v>
      </c>
      <c r="DJ83" s="801">
        <f t="shared" si="154"/>
        <v>394140</v>
      </c>
      <c r="DK83" s="948"/>
      <c r="DL83" s="900">
        <f>DL99</f>
        <v>53880</v>
      </c>
      <c r="DM83" s="900">
        <f t="shared" ref="DM83:DW83" si="157">DM99</f>
        <v>30080</v>
      </c>
      <c r="DN83" s="900">
        <f t="shared" si="157"/>
        <v>34020</v>
      </c>
      <c r="DO83" s="900">
        <f t="shared" si="157"/>
        <v>21160</v>
      </c>
      <c r="DP83" s="900">
        <f t="shared" si="157"/>
        <v>10000</v>
      </c>
      <c r="DQ83" s="900">
        <f t="shared" si="157"/>
        <v>50000</v>
      </c>
      <c r="DR83" s="900">
        <f t="shared" si="157"/>
        <v>40000</v>
      </c>
      <c r="DS83" s="900">
        <f t="shared" si="157"/>
        <v>40000</v>
      </c>
      <c r="DT83" s="900">
        <f t="shared" si="157"/>
        <v>35000</v>
      </c>
      <c r="DU83" s="900">
        <f t="shared" si="157"/>
        <v>20000</v>
      </c>
      <c r="DV83" s="900">
        <f t="shared" si="157"/>
        <v>10000</v>
      </c>
      <c r="DW83" s="900">
        <f t="shared" si="157"/>
        <v>50000</v>
      </c>
      <c r="DX83" s="801">
        <f t="shared" si="155"/>
        <v>394140</v>
      </c>
    </row>
    <row r="84" spans="1:129" ht="18.75" outlineLevel="1">
      <c r="A84" s="94"/>
      <c r="B84" s="921" t="s">
        <v>91</v>
      </c>
      <c r="C84" s="934"/>
      <c r="D84" s="313">
        <v>98048</v>
      </c>
      <c r="E84" s="89">
        <v>128688</v>
      </c>
      <c r="F84" s="89">
        <v>124704</v>
      </c>
      <c r="G84" s="89">
        <v>157500</v>
      </c>
      <c r="H84" s="89">
        <v>182600</v>
      </c>
      <c r="I84" s="89">
        <v>157700</v>
      </c>
      <c r="J84" s="89">
        <v>181700</v>
      </c>
      <c r="K84" s="89">
        <v>165900</v>
      </c>
      <c r="L84" s="89">
        <v>174300</v>
      </c>
      <c r="M84" s="89">
        <v>215800</v>
      </c>
      <c r="N84" s="89">
        <v>180000</v>
      </c>
      <c r="O84" s="89">
        <v>112500</v>
      </c>
      <c r="P84" s="314">
        <f t="shared" si="145"/>
        <v>1879440</v>
      </c>
      <c r="Q84" s="90"/>
      <c r="R84" s="313">
        <v>158400</v>
      </c>
      <c r="S84" s="91">
        <v>146000</v>
      </c>
      <c r="T84" s="91">
        <v>102200</v>
      </c>
      <c r="U84" s="91">
        <v>0</v>
      </c>
      <c r="V84" s="91">
        <v>43800</v>
      </c>
      <c r="W84" s="91">
        <v>160600</v>
      </c>
      <c r="X84" s="91">
        <v>167900</v>
      </c>
      <c r="Y84" s="91">
        <v>153300</v>
      </c>
      <c r="Z84" s="91">
        <v>153300</v>
      </c>
      <c r="AA84" s="91">
        <v>153300</v>
      </c>
      <c r="AB84" s="91">
        <v>146000</v>
      </c>
      <c r="AC84" s="91">
        <v>124100</v>
      </c>
      <c r="AD84" s="315"/>
      <c r="AE84" s="23"/>
      <c r="AF84" s="316">
        <v>131400</v>
      </c>
      <c r="AG84" s="91">
        <v>146000</v>
      </c>
      <c r="AH84" s="91">
        <v>125511</v>
      </c>
      <c r="AI84" s="91">
        <v>135000</v>
      </c>
      <c r="AJ84" s="91">
        <v>177320</v>
      </c>
      <c r="AK84" s="91">
        <v>151300</v>
      </c>
      <c r="AL84" s="91">
        <v>176000</v>
      </c>
      <c r="AM84" s="91">
        <f>AM85*AM7</f>
        <v>154000</v>
      </c>
      <c r="AN84" s="91">
        <f>AN85*AN7</f>
        <v>157500</v>
      </c>
      <c r="AO84" s="91">
        <f>AO85*AO7</f>
        <v>140000</v>
      </c>
      <c r="AP84" s="91">
        <f>AP85*AP7</f>
        <v>130000</v>
      </c>
      <c r="AQ84" s="91">
        <f>AQ85*AQ7+16000</f>
        <v>100000</v>
      </c>
      <c r="AR84" s="92">
        <f t="shared" si="148"/>
        <v>1724031</v>
      </c>
      <c r="AS84" s="23"/>
      <c r="AT84" s="91">
        <f>AT85*AT7</f>
        <v>133000</v>
      </c>
      <c r="AU84" s="91">
        <f>125180</f>
        <v>125180</v>
      </c>
      <c r="AV84" s="91">
        <f>AV85*AV7+7428</f>
        <v>117228</v>
      </c>
      <c r="AW84" s="91">
        <f>AW85*AW7</f>
        <v>123500</v>
      </c>
      <c r="AX84" s="91">
        <f>AX85*AX7</f>
        <v>132000</v>
      </c>
      <c r="AY84" s="91">
        <f>AY85*AY7</f>
        <v>153342.99999899999</v>
      </c>
      <c r="AZ84" s="91">
        <v>142409</v>
      </c>
      <c r="BA84" s="91">
        <v>163520</v>
      </c>
      <c r="BB84" s="91">
        <f>BB85*BB7</f>
        <v>165000</v>
      </c>
      <c r="BC84" s="91">
        <f>BC85*BC7</f>
        <v>157500</v>
      </c>
      <c r="BD84" s="316">
        <v>129431</v>
      </c>
      <c r="BE84" s="316">
        <v>61700</v>
      </c>
      <c r="BF84" s="91">
        <f t="shared" si="150"/>
        <v>1603810.999999</v>
      </c>
      <c r="BG84" s="27">
        <f>BF84+BF87-AR84-AR87</f>
        <v>-113040.00000100001</v>
      </c>
      <c r="BH84" s="91">
        <v>136760</v>
      </c>
      <c r="BI84" s="91">
        <v>116580</v>
      </c>
      <c r="BJ84" s="91">
        <v>148340</v>
      </c>
      <c r="BK84" s="91">
        <v>112360</v>
      </c>
      <c r="BL84" s="91">
        <v>108660</v>
      </c>
      <c r="BM84" s="91">
        <v>153416</v>
      </c>
      <c r="BN84" s="91">
        <v>137676</v>
      </c>
      <c r="BO84" s="91">
        <v>150654</v>
      </c>
      <c r="BP84" s="91">
        <f>7100*BP7</f>
        <v>142000</v>
      </c>
      <c r="BQ84" s="91">
        <f t="shared" ref="BQ84:BR84" si="158">BQ81-BQ87</f>
        <v>136725</v>
      </c>
      <c r="BR84" s="91">
        <f t="shared" si="158"/>
        <v>167069</v>
      </c>
      <c r="BS84" s="91">
        <v>124020</v>
      </c>
      <c r="BT84" s="91">
        <f t="shared" si="152"/>
        <v>1634260</v>
      </c>
      <c r="BU84" s="28"/>
      <c r="BV84" s="397">
        <f>BV85*BV86-24551</f>
        <v>108449</v>
      </c>
      <c r="BW84" s="397">
        <f>BW85*BW86</f>
        <v>133000</v>
      </c>
      <c r="BX84" s="397">
        <f t="shared" ref="BX84:CG84" si="159">BX85*BX86</f>
        <v>147000</v>
      </c>
      <c r="BY84" s="397">
        <f>BY85*BY86</f>
        <v>172800</v>
      </c>
      <c r="BZ84" s="397">
        <f>BZ85*BZ86</f>
        <v>165600</v>
      </c>
      <c r="CA84" s="397">
        <f>CA85*CA86</f>
        <v>158400</v>
      </c>
      <c r="CB84" s="397">
        <f>CB85*CB86</f>
        <v>180000</v>
      </c>
      <c r="CC84" s="397">
        <f t="shared" si="159"/>
        <v>172800</v>
      </c>
      <c r="CD84" s="397">
        <f t="shared" si="159"/>
        <v>172800</v>
      </c>
      <c r="CE84" s="397">
        <f t="shared" si="159"/>
        <v>172800</v>
      </c>
      <c r="CF84" s="397">
        <f t="shared" si="159"/>
        <v>167200</v>
      </c>
      <c r="CG84" s="397">
        <f t="shared" si="159"/>
        <v>98800</v>
      </c>
      <c r="CH84" s="91">
        <f t="shared" si="153"/>
        <v>1849649</v>
      </c>
      <c r="CI84" s="395">
        <f>(CH84-BT90)/BT90</f>
        <v>0.29391868731173409</v>
      </c>
      <c r="CJ84" s="397">
        <f>CJ81</f>
        <v>165000</v>
      </c>
      <c r="CK84" s="397">
        <f t="shared" ref="CK84:CO84" si="160">CK81</f>
        <v>188600</v>
      </c>
      <c r="CL84" s="397">
        <f t="shared" si="160"/>
        <v>171000</v>
      </c>
      <c r="CM84" s="397">
        <f t="shared" si="160"/>
        <v>200000</v>
      </c>
      <c r="CN84" s="397">
        <f t="shared" si="160"/>
        <v>178290</v>
      </c>
      <c r="CO84" s="397">
        <f t="shared" si="160"/>
        <v>198000</v>
      </c>
      <c r="CP84" s="397">
        <v>168760</v>
      </c>
      <c r="CQ84" s="397">
        <v>194340</v>
      </c>
      <c r="CR84" s="397">
        <v>208000</v>
      </c>
      <c r="CS84" s="397">
        <v>201780</v>
      </c>
      <c r="CT84" s="397">
        <v>154060</v>
      </c>
      <c r="CU84" s="397">
        <v>96720</v>
      </c>
      <c r="CV84" s="91">
        <v>1949109</v>
      </c>
      <c r="CW84" s="758"/>
      <c r="CX84" s="397">
        <f>CX81</f>
        <v>131887.09999999998</v>
      </c>
      <c r="CY84" s="397">
        <f t="shared" ref="CY84:DC84" si="161">CY81</f>
        <v>117864.6</v>
      </c>
      <c r="CZ84" s="397">
        <f t="shared" si="161"/>
        <v>1380</v>
      </c>
      <c r="DA84" s="397">
        <f t="shared" si="161"/>
        <v>45840</v>
      </c>
      <c r="DB84" s="397">
        <f t="shared" si="161"/>
        <v>165040</v>
      </c>
      <c r="DC84" s="397">
        <f t="shared" si="161"/>
        <v>115170</v>
      </c>
      <c r="DD84" s="397">
        <v>168760</v>
      </c>
      <c r="DE84" s="397">
        <v>194340</v>
      </c>
      <c r="DF84" s="397">
        <v>208000</v>
      </c>
      <c r="DG84" s="397">
        <v>201780</v>
      </c>
      <c r="DH84" s="397">
        <v>154060</v>
      </c>
      <c r="DI84" s="397">
        <v>96720</v>
      </c>
      <c r="DJ84" s="91">
        <v>1949109</v>
      </c>
      <c r="DK84" s="948"/>
      <c r="DL84" s="397">
        <f>DL81</f>
        <v>133580</v>
      </c>
      <c r="DM84" s="397">
        <f t="shared" ref="DM84:DQ84" si="162">DM81</f>
        <v>125590</v>
      </c>
      <c r="DN84" s="397">
        <f t="shared" si="162"/>
        <v>154780</v>
      </c>
      <c r="DO84" s="397">
        <f t="shared" si="162"/>
        <v>167640</v>
      </c>
      <c r="DP84" s="397">
        <f t="shared" si="162"/>
        <v>155240</v>
      </c>
      <c r="DQ84" s="397">
        <f t="shared" si="162"/>
        <v>123530</v>
      </c>
      <c r="DR84" s="397">
        <v>168760</v>
      </c>
      <c r="DS84" s="397">
        <v>194340</v>
      </c>
      <c r="DT84" s="397">
        <v>208000</v>
      </c>
      <c r="DU84" s="397">
        <v>201780</v>
      </c>
      <c r="DV84" s="397">
        <v>154060</v>
      </c>
      <c r="DW84" s="397">
        <v>96720</v>
      </c>
      <c r="DX84" s="91">
        <v>1949109</v>
      </c>
    </row>
    <row r="85" spans="1:129" ht="15.75" customHeight="1" outlineLevel="1">
      <c r="A85" s="821"/>
      <c r="B85" s="937" t="s">
        <v>92</v>
      </c>
      <c r="C85" s="902"/>
      <c r="D85" s="804"/>
      <c r="E85" s="805"/>
      <c r="F85" s="805"/>
      <c r="G85" s="805"/>
      <c r="H85" s="805"/>
      <c r="I85" s="805"/>
      <c r="J85" s="805"/>
      <c r="K85" s="805"/>
      <c r="L85" s="805"/>
      <c r="M85" s="805"/>
      <c r="N85" s="805"/>
      <c r="O85" s="805"/>
      <c r="P85" s="806"/>
      <c r="Q85" s="807"/>
      <c r="R85" s="808">
        <f>R84/R7</f>
        <v>7200</v>
      </c>
      <c r="S85" s="808">
        <f>S84/S7</f>
        <v>7300</v>
      </c>
      <c r="T85" s="808">
        <f>T84/T7</f>
        <v>7300</v>
      </c>
      <c r="U85" s="808">
        <f>U84/U7</f>
        <v>0</v>
      </c>
      <c r="V85" s="808">
        <f>V84/V7</f>
        <v>3650</v>
      </c>
      <c r="W85" s="808">
        <f>W84/W7</f>
        <v>7300</v>
      </c>
      <c r="X85" s="808">
        <f>X84/X7</f>
        <v>7300</v>
      </c>
      <c r="Y85" s="808">
        <f>Y84/Y7</f>
        <v>7300</v>
      </c>
      <c r="Z85" s="808">
        <f>Z84/Z7</f>
        <v>7300</v>
      </c>
      <c r="AA85" s="808">
        <f>AA84/AA7</f>
        <v>7300</v>
      </c>
      <c r="AB85" s="808">
        <f>AB84/AB7</f>
        <v>7300</v>
      </c>
      <c r="AC85" s="808">
        <f>AC84/AC7</f>
        <v>7300</v>
      </c>
      <c r="AD85" s="809"/>
      <c r="AE85" s="28"/>
      <c r="AF85" s="808">
        <f>AF84/AF7</f>
        <v>7300</v>
      </c>
      <c r="AG85" s="808">
        <f>AG84/AG7</f>
        <v>7300</v>
      </c>
      <c r="AH85" s="808">
        <f>AH84/AH7</f>
        <v>6275.55</v>
      </c>
      <c r="AI85" s="808">
        <f>AI84/AI7</f>
        <v>6750</v>
      </c>
      <c r="AJ85" s="808">
        <f>AJ84/AJ7</f>
        <v>8060</v>
      </c>
      <c r="AK85" s="808">
        <f>AK84/AK7</f>
        <v>7565</v>
      </c>
      <c r="AL85" s="808">
        <f>AL84/AL7</f>
        <v>8000</v>
      </c>
      <c r="AM85" s="596">
        <v>7000</v>
      </c>
      <c r="AN85" s="596">
        <v>7500</v>
      </c>
      <c r="AO85" s="596">
        <v>7000</v>
      </c>
      <c r="AP85" s="596">
        <v>6500</v>
      </c>
      <c r="AQ85" s="596">
        <v>7000</v>
      </c>
      <c r="AR85" s="810">
        <f>AVERAGE(AF85:AQ85)</f>
        <v>7187.5458333333336</v>
      </c>
      <c r="AS85" s="28"/>
      <c r="AT85" s="596">
        <v>7000</v>
      </c>
      <c r="AU85" s="596">
        <f>AU84/AU7</f>
        <v>6588.4210526315792</v>
      </c>
      <c r="AV85" s="596">
        <v>6100</v>
      </c>
      <c r="AW85" s="596">
        <v>6500</v>
      </c>
      <c r="AX85" s="596">
        <v>6000</v>
      </c>
      <c r="AY85" s="596">
        <v>7302.0476189999999</v>
      </c>
      <c r="AZ85" s="596">
        <v>7000</v>
      </c>
      <c r="BA85" s="596">
        <f>BA84/BA7</f>
        <v>7432.727272727273</v>
      </c>
      <c r="BB85" s="596">
        <v>7500</v>
      </c>
      <c r="BC85" s="596">
        <v>7500</v>
      </c>
      <c r="BD85" s="596">
        <f>BD84/BD7</f>
        <v>6471.55</v>
      </c>
      <c r="BE85" s="596">
        <f>BE84/BE7</f>
        <v>6170</v>
      </c>
      <c r="BF85" s="596">
        <f>AVERAGE(AT85:BE85)</f>
        <v>6797.0621620299053</v>
      </c>
      <c r="BG85" s="28"/>
      <c r="BH85" s="596">
        <f>BH84/BH7</f>
        <v>6838</v>
      </c>
      <c r="BI85" s="596">
        <f>BI84/BI7</f>
        <v>6857.6470588235297</v>
      </c>
      <c r="BJ85" s="596">
        <f>BJ84/BJ7</f>
        <v>6449.565217391304</v>
      </c>
      <c r="BK85" s="596">
        <f>BK84/BK7</f>
        <v>6242.2222222222226</v>
      </c>
      <c r="BL85" s="596">
        <f>BL84/BL7</f>
        <v>4939.090909090909</v>
      </c>
      <c r="BM85" s="596">
        <f>BM84/BM7</f>
        <v>6670.260869565217</v>
      </c>
      <c r="BN85" s="596">
        <f>BN84/BN7</f>
        <v>6556</v>
      </c>
      <c r="BO85" s="596">
        <f>BO84/BO7</f>
        <v>7174</v>
      </c>
      <c r="BP85" s="596">
        <f>BP84/BP7</f>
        <v>7100</v>
      </c>
      <c r="BQ85" s="596">
        <f>BQ84/BQ7</f>
        <v>6510.7142857142853</v>
      </c>
      <c r="BR85" s="596">
        <f>BR84/BR7</f>
        <v>8353.4500000000007</v>
      </c>
      <c r="BS85" s="596">
        <f>BS84/BS7</f>
        <v>8858.5714285714294</v>
      </c>
      <c r="BT85" s="596">
        <f>AVERAGE(BH85:BS85)</f>
        <v>6879.1268326149084</v>
      </c>
      <c r="BU85" s="28"/>
      <c r="BV85" s="596">
        <v>7000</v>
      </c>
      <c r="BW85" s="596">
        <v>7000</v>
      </c>
      <c r="BX85" s="596">
        <v>7000</v>
      </c>
      <c r="BY85" s="596">
        <v>7200</v>
      </c>
      <c r="BZ85" s="596">
        <v>7200</v>
      </c>
      <c r="CA85" s="596">
        <v>7200</v>
      </c>
      <c r="CB85" s="596">
        <v>7200</v>
      </c>
      <c r="CC85" s="596">
        <f t="shared" ref="CC85" si="163">CB85</f>
        <v>7200</v>
      </c>
      <c r="CD85" s="596">
        <v>7200</v>
      </c>
      <c r="CE85" s="596">
        <v>7200</v>
      </c>
      <c r="CF85" s="596">
        <v>7600</v>
      </c>
      <c r="CG85" s="596">
        <v>7600</v>
      </c>
      <c r="CH85" s="596"/>
      <c r="CI85" s="596"/>
      <c r="CJ85" s="596">
        <v>7500</v>
      </c>
      <c r="CK85" s="596">
        <v>8200</v>
      </c>
      <c r="CL85" s="596">
        <v>9000</v>
      </c>
      <c r="CM85" s="596">
        <v>10000</v>
      </c>
      <c r="CN85" s="596">
        <v>8490</v>
      </c>
      <c r="CO85" s="596">
        <v>9000</v>
      </c>
      <c r="CP85" s="596">
        <v>9800</v>
      </c>
      <c r="CQ85" s="596">
        <v>9900</v>
      </c>
      <c r="CR85" s="596">
        <f t="shared" ref="CR85" si="164">CQ85</f>
        <v>9900</v>
      </c>
      <c r="CS85" s="596">
        <v>9300</v>
      </c>
      <c r="CT85" s="596">
        <v>8400</v>
      </c>
      <c r="CU85" s="596">
        <v>9300</v>
      </c>
      <c r="CV85" s="596"/>
      <c r="CW85" s="758"/>
      <c r="CX85" s="596">
        <v>9319</v>
      </c>
      <c r="CY85" s="596">
        <v>8972</v>
      </c>
      <c r="CZ85" s="596">
        <v>8900</v>
      </c>
      <c r="DA85" s="596">
        <v>8500</v>
      </c>
      <c r="DB85" s="596">
        <v>9000</v>
      </c>
      <c r="DC85" s="596">
        <v>8200</v>
      </c>
      <c r="DD85" s="596">
        <v>9300</v>
      </c>
      <c r="DE85" s="596">
        <v>9400</v>
      </c>
      <c r="DF85" s="596">
        <v>9400</v>
      </c>
      <c r="DG85" s="596">
        <f t="shared" ref="DF85:DI85" si="165">DF85</f>
        <v>9400</v>
      </c>
      <c r="DH85" s="596">
        <f t="shared" si="165"/>
        <v>9400</v>
      </c>
      <c r="DI85" s="596">
        <f t="shared" si="165"/>
        <v>9400</v>
      </c>
      <c r="DJ85" s="596"/>
      <c r="DK85" s="948"/>
      <c r="DL85" s="596">
        <f>DI85</f>
        <v>9400</v>
      </c>
      <c r="DM85" s="596">
        <f>DL85</f>
        <v>9400</v>
      </c>
      <c r="DN85" s="596">
        <f t="shared" ref="DN85:DW85" si="166">DM85</f>
        <v>9400</v>
      </c>
      <c r="DO85" s="596">
        <f t="shared" si="166"/>
        <v>9400</v>
      </c>
      <c r="DP85" s="596">
        <f t="shared" si="166"/>
        <v>9400</v>
      </c>
      <c r="DQ85" s="596">
        <f t="shared" si="166"/>
        <v>9400</v>
      </c>
      <c r="DR85" s="596">
        <f t="shared" si="166"/>
        <v>9400</v>
      </c>
      <c r="DS85" s="596">
        <f t="shared" si="166"/>
        <v>9400</v>
      </c>
      <c r="DT85" s="596">
        <f t="shared" si="166"/>
        <v>9400</v>
      </c>
      <c r="DU85" s="596">
        <f t="shared" si="166"/>
        <v>9400</v>
      </c>
      <c r="DV85" s="596">
        <f t="shared" si="166"/>
        <v>9400</v>
      </c>
      <c r="DW85" s="596">
        <f t="shared" si="166"/>
        <v>9400</v>
      </c>
      <c r="DX85" s="596"/>
    </row>
    <row r="86" spans="1:129" ht="15.75" hidden="1" customHeight="1" outlineLevel="1">
      <c r="A86" s="821"/>
      <c r="B86" s="822" t="s">
        <v>93</v>
      </c>
      <c r="C86" s="803"/>
      <c r="D86" s="804"/>
      <c r="E86" s="805"/>
      <c r="F86" s="805"/>
      <c r="G86" s="805"/>
      <c r="H86" s="805"/>
      <c r="I86" s="805"/>
      <c r="J86" s="805"/>
      <c r="K86" s="805"/>
      <c r="L86" s="805"/>
      <c r="M86" s="805"/>
      <c r="N86" s="805"/>
      <c r="O86" s="805"/>
      <c r="P86" s="806"/>
      <c r="Q86" s="807"/>
      <c r="R86" s="804"/>
      <c r="S86" s="596">
        <v>15000</v>
      </c>
      <c r="T86" s="596">
        <v>15600</v>
      </c>
      <c r="U86" s="596">
        <v>2000</v>
      </c>
      <c r="V86" s="596">
        <v>10000</v>
      </c>
      <c r="W86" s="596">
        <v>30000</v>
      </c>
      <c r="X86" s="596">
        <v>20000</v>
      </c>
      <c r="Y86" s="596">
        <v>30000</v>
      </c>
      <c r="Z86" s="596">
        <v>30000</v>
      </c>
      <c r="AA86" s="596">
        <v>20000</v>
      </c>
      <c r="AB86" s="596">
        <v>20000</v>
      </c>
      <c r="AC86" s="596">
        <v>10000</v>
      </c>
      <c r="AD86" s="809"/>
      <c r="AE86" s="28"/>
      <c r="AF86" s="808">
        <v>30000</v>
      </c>
      <c r="AG86" s="596">
        <v>20000</v>
      </c>
      <c r="AH86" s="596">
        <v>24960</v>
      </c>
      <c r="AI86" s="596">
        <v>14040</v>
      </c>
      <c r="AJ86" s="596">
        <v>19040</v>
      </c>
      <c r="AK86" s="596">
        <v>12000</v>
      </c>
      <c r="AL86" s="596">
        <v>14000</v>
      </c>
      <c r="AM86" s="596">
        <v>13000</v>
      </c>
      <c r="AN86" s="596">
        <v>13000</v>
      </c>
      <c r="AO86" s="596">
        <v>0</v>
      </c>
      <c r="AP86" s="596">
        <v>0</v>
      </c>
      <c r="AQ86" s="596">
        <v>0</v>
      </c>
      <c r="AR86" s="810">
        <f t="shared" ref="AR86:AR87" si="167">SUM(AF86:AQ86)</f>
        <v>160040</v>
      </c>
      <c r="AS86" s="28"/>
      <c r="AT86" s="596">
        <v>0</v>
      </c>
      <c r="AU86" s="596">
        <v>0</v>
      </c>
      <c r="AV86" s="596"/>
      <c r="AW86" s="596"/>
      <c r="AX86" s="596"/>
      <c r="AY86" s="596"/>
      <c r="AZ86" s="596"/>
      <c r="BA86" s="596"/>
      <c r="BB86" s="596"/>
      <c r="BC86" s="596"/>
      <c r="BD86" s="596"/>
      <c r="BE86" s="596"/>
      <c r="BF86" s="596">
        <f t="shared" ref="BF86:BF87" si="168">SUM(AT86:BE86)</f>
        <v>0</v>
      </c>
      <c r="BG86" s="28">
        <f>BF86-AR86</f>
        <v>-160040</v>
      </c>
      <c r="BH86" s="596"/>
      <c r="BI86" s="596"/>
      <c r="BJ86" s="596"/>
      <c r="BK86" s="596"/>
      <c r="BL86" s="596"/>
      <c r="BM86" s="596"/>
      <c r="BN86" s="596"/>
      <c r="BO86" s="596"/>
      <c r="BP86" s="596"/>
      <c r="BQ86" s="596"/>
      <c r="BR86" s="596"/>
      <c r="BS86" s="596"/>
      <c r="BT86" s="596">
        <f t="shared" ref="BT86" si="169">SUM(BH86:BS86)</f>
        <v>0</v>
      </c>
      <c r="BU86" s="28"/>
      <c r="BV86" s="811">
        <f t="shared" ref="BV86:BZ86" si="170">BV7</f>
        <v>19</v>
      </c>
      <c r="BW86" s="811">
        <f t="shared" si="170"/>
        <v>19</v>
      </c>
      <c r="BX86" s="811">
        <f t="shared" si="170"/>
        <v>21</v>
      </c>
      <c r="BY86" s="811">
        <f t="shared" si="170"/>
        <v>24</v>
      </c>
      <c r="BZ86" s="811">
        <f t="shared" si="170"/>
        <v>23</v>
      </c>
      <c r="CA86" s="811">
        <f>CA7</f>
        <v>22</v>
      </c>
      <c r="CB86" s="811">
        <f t="shared" ref="CB86:CG86" si="171">CB7</f>
        <v>25</v>
      </c>
      <c r="CC86" s="811">
        <f t="shared" si="171"/>
        <v>24</v>
      </c>
      <c r="CD86" s="811">
        <f t="shared" si="171"/>
        <v>24</v>
      </c>
      <c r="CE86" s="811">
        <f t="shared" si="171"/>
        <v>24</v>
      </c>
      <c r="CF86" s="811">
        <f t="shared" si="171"/>
        <v>22</v>
      </c>
      <c r="CG86" s="811">
        <f t="shared" si="171"/>
        <v>13</v>
      </c>
      <c r="CH86" s="596">
        <f t="shared" ref="CH86" si="172">SUM(BV86:CG86)</f>
        <v>260</v>
      </c>
      <c r="CJ86" s="812">
        <f>CJ7</f>
        <v>22</v>
      </c>
      <c r="CK86" s="812">
        <f t="shared" ref="CK86:CO86" si="173">CK7</f>
        <v>23</v>
      </c>
      <c r="CL86" s="812">
        <f t="shared" si="173"/>
        <v>19</v>
      </c>
      <c r="CM86" s="812">
        <f t="shared" si="173"/>
        <v>20</v>
      </c>
      <c r="CN86" s="812">
        <f t="shared" si="173"/>
        <v>21</v>
      </c>
      <c r="CO86" s="812">
        <f t="shared" si="173"/>
        <v>22</v>
      </c>
      <c r="CP86" s="596"/>
      <c r="CQ86" s="596"/>
      <c r="CR86" s="596"/>
      <c r="CS86" s="596"/>
      <c r="CT86" s="596"/>
      <c r="CU86" s="596"/>
      <c r="CV86" s="596">
        <v>131</v>
      </c>
      <c r="CW86" s="758"/>
      <c r="CX86" s="812">
        <f>CX7</f>
        <v>22</v>
      </c>
      <c r="CY86" s="812">
        <f t="shared" ref="CY86:DC86" si="174">CY7</f>
        <v>19</v>
      </c>
      <c r="CZ86" s="812">
        <f t="shared" si="174"/>
        <v>6</v>
      </c>
      <c r="DA86" s="812">
        <f>21-6</f>
        <v>15</v>
      </c>
      <c r="DB86" s="812">
        <f t="shared" si="174"/>
        <v>22</v>
      </c>
      <c r="DC86" s="812">
        <f>DC7</f>
        <v>23</v>
      </c>
      <c r="DD86" s="812">
        <f t="shared" ref="DD86:DI86" si="175">DD7</f>
        <v>25</v>
      </c>
      <c r="DE86" s="812">
        <f t="shared" si="175"/>
        <v>23</v>
      </c>
      <c r="DF86" s="812">
        <f t="shared" si="175"/>
        <v>23</v>
      </c>
      <c r="DG86" s="812">
        <f t="shared" si="175"/>
        <v>23</v>
      </c>
      <c r="DH86" s="812">
        <f t="shared" si="175"/>
        <v>21</v>
      </c>
      <c r="DI86" s="812">
        <f t="shared" si="175"/>
        <v>16</v>
      </c>
      <c r="DJ86" s="596">
        <v>131</v>
      </c>
      <c r="DK86" s="948"/>
      <c r="DL86" s="812">
        <f>DL7</f>
        <v>22</v>
      </c>
      <c r="DM86" s="812">
        <f t="shared" ref="DM86:DQ86" si="176">DM7</f>
        <v>19</v>
      </c>
      <c r="DN86" s="812">
        <f t="shared" si="176"/>
        <v>22</v>
      </c>
      <c r="DO86" s="812">
        <f t="shared" si="176"/>
        <v>22</v>
      </c>
      <c r="DP86" s="812">
        <f t="shared" si="176"/>
        <v>20</v>
      </c>
      <c r="DQ86" s="812">
        <f>DQ7</f>
        <v>21</v>
      </c>
      <c r="DR86" s="812">
        <f t="shared" ref="DR86:DW86" si="177">DR7</f>
        <v>23</v>
      </c>
      <c r="DS86" s="812">
        <f t="shared" si="177"/>
        <v>21</v>
      </c>
      <c r="DT86" s="812">
        <f t="shared" si="177"/>
        <v>23</v>
      </c>
      <c r="DU86" s="812">
        <f t="shared" si="177"/>
        <v>23</v>
      </c>
      <c r="DV86" s="812">
        <f t="shared" si="177"/>
        <v>21</v>
      </c>
      <c r="DW86" s="812">
        <f t="shared" si="177"/>
        <v>16</v>
      </c>
      <c r="DX86" s="596">
        <v>131</v>
      </c>
    </row>
    <row r="87" spans="1:129" ht="15.75" customHeight="1" outlineLevel="1">
      <c r="A87" s="821"/>
      <c r="B87" s="970" t="s">
        <v>132</v>
      </c>
      <c r="C87" s="955"/>
      <c r="D87" s="971"/>
      <c r="E87" s="972"/>
      <c r="F87" s="972"/>
      <c r="G87" s="972"/>
      <c r="H87" s="972"/>
      <c r="I87" s="972"/>
      <c r="J87" s="972"/>
      <c r="K87" s="972"/>
      <c r="L87" s="972"/>
      <c r="M87" s="972"/>
      <c r="N87" s="972"/>
      <c r="O87" s="972"/>
      <c r="P87" s="973"/>
      <c r="Q87" s="974"/>
      <c r="R87" s="971"/>
      <c r="S87" s="975"/>
      <c r="T87" s="975">
        <v>0</v>
      </c>
      <c r="U87" s="975">
        <v>0</v>
      </c>
      <c r="V87" s="975">
        <v>0</v>
      </c>
      <c r="W87" s="975">
        <v>0</v>
      </c>
      <c r="X87" s="975">
        <v>0</v>
      </c>
      <c r="Y87" s="975">
        <v>13500</v>
      </c>
      <c r="Z87" s="975">
        <v>9000</v>
      </c>
      <c r="AA87" s="975">
        <v>9000</v>
      </c>
      <c r="AB87" s="975">
        <v>9000</v>
      </c>
      <c r="AC87" s="975">
        <v>0</v>
      </c>
      <c r="AD87" s="976"/>
      <c r="AE87" s="977"/>
      <c r="AF87" s="975">
        <v>13500</v>
      </c>
      <c r="AG87" s="975">
        <v>13500</v>
      </c>
      <c r="AH87" s="975">
        <v>2820</v>
      </c>
      <c r="AI87" s="975">
        <v>0</v>
      </c>
      <c r="AJ87" s="975">
        <v>0</v>
      </c>
      <c r="AK87" s="975">
        <v>0</v>
      </c>
      <c r="AL87" s="975">
        <v>0</v>
      </c>
      <c r="AM87" s="975"/>
      <c r="AN87" s="975"/>
      <c r="AO87" s="975"/>
      <c r="AP87" s="975"/>
      <c r="AQ87" s="975"/>
      <c r="AR87" s="957">
        <f t="shared" si="167"/>
        <v>29820</v>
      </c>
      <c r="AS87" s="977"/>
      <c r="AT87" s="975"/>
      <c r="AU87" s="975"/>
      <c r="AV87" s="975"/>
      <c r="AW87" s="975">
        <v>4000</v>
      </c>
      <c r="AX87" s="975">
        <v>8000</v>
      </c>
      <c r="AY87" s="975">
        <v>5000</v>
      </c>
      <c r="AZ87" s="975">
        <v>10000</v>
      </c>
      <c r="BA87" s="975">
        <v>10000</v>
      </c>
      <c r="BB87" s="975">
        <v>0</v>
      </c>
      <c r="BC87" s="975">
        <v>0</v>
      </c>
      <c r="BD87" s="975">
        <v>0</v>
      </c>
      <c r="BE87" s="975"/>
      <c r="BF87" s="975">
        <f t="shared" si="168"/>
        <v>37000</v>
      </c>
      <c r="BG87" s="977"/>
      <c r="BH87" s="975">
        <v>3000</v>
      </c>
      <c r="BI87" s="975"/>
      <c r="BJ87" s="975"/>
      <c r="BK87" s="975"/>
      <c r="BL87" s="975"/>
      <c r="BM87" s="975"/>
      <c r="BN87" s="975"/>
      <c r="BO87" s="975">
        <v>10000</v>
      </c>
      <c r="BP87" s="975">
        <v>15000</v>
      </c>
      <c r="BQ87" s="975">
        <v>20000</v>
      </c>
      <c r="BR87" s="975">
        <v>15000</v>
      </c>
      <c r="BS87" s="975">
        <f>7200*9/2</f>
        <v>32400</v>
      </c>
      <c r="BT87" s="975">
        <f>SUM(BH87:BS87)</f>
        <v>95400</v>
      </c>
      <c r="BU87" s="977"/>
      <c r="BV87" s="975">
        <f>BV90-BV81</f>
        <v>21584</v>
      </c>
      <c r="BW87" s="975">
        <f t="shared" ref="BW87:CG87" si="178">BW90-BW81</f>
        <v>18963</v>
      </c>
      <c r="BX87" s="975">
        <f t="shared" si="178"/>
        <v>-2354</v>
      </c>
      <c r="BY87" s="975">
        <f t="shared" si="178"/>
        <v>5998</v>
      </c>
      <c r="BZ87" s="975">
        <f t="shared" si="178"/>
        <v>-13737</v>
      </c>
      <c r="CA87" s="975">
        <f t="shared" si="178"/>
        <v>-6090</v>
      </c>
      <c r="CB87" s="975">
        <f t="shared" si="178"/>
        <v>-2176</v>
      </c>
      <c r="CC87" s="975">
        <f t="shared" si="178"/>
        <v>-17344</v>
      </c>
      <c r="CD87" s="975">
        <f t="shared" si="178"/>
        <v>-13369</v>
      </c>
      <c r="CE87" s="975">
        <f t="shared" si="178"/>
        <v>793</v>
      </c>
      <c r="CF87" s="975">
        <f t="shared" si="178"/>
        <v>-12350</v>
      </c>
      <c r="CG87" s="975">
        <f t="shared" si="178"/>
        <v>-98800</v>
      </c>
      <c r="CH87" s="957">
        <f>SUM(CD87:CG87)</f>
        <v>-123726</v>
      </c>
      <c r="CI87" s="748"/>
      <c r="CJ87" s="975">
        <f>BV90</f>
        <v>154584</v>
      </c>
      <c r="CK87" s="975">
        <f t="shared" ref="CK87:CS87" si="179">BW90</f>
        <v>151963</v>
      </c>
      <c r="CL87" s="975">
        <f>BX90</f>
        <v>144646</v>
      </c>
      <c r="CM87" s="975">
        <f t="shared" si="179"/>
        <v>178798</v>
      </c>
      <c r="CN87" s="975">
        <f t="shared" si="179"/>
        <v>151863</v>
      </c>
      <c r="CO87" s="975">
        <f t="shared" si="179"/>
        <v>152310</v>
      </c>
      <c r="CP87" s="975">
        <f t="shared" si="179"/>
        <v>177824</v>
      </c>
      <c r="CQ87" s="975">
        <f t="shared" si="179"/>
        <v>155456</v>
      </c>
      <c r="CR87" s="975">
        <f t="shared" si="179"/>
        <v>159431</v>
      </c>
      <c r="CS87" s="975">
        <f t="shared" si="179"/>
        <v>173593</v>
      </c>
      <c r="CT87" s="975">
        <v>146546</v>
      </c>
      <c r="CU87" s="975">
        <v>111901</v>
      </c>
      <c r="CV87" s="975">
        <v>127800</v>
      </c>
      <c r="CW87" s="978"/>
      <c r="CX87" s="975">
        <v>155428</v>
      </c>
      <c r="CY87" s="975">
        <v>182691</v>
      </c>
      <c r="CZ87" s="975">
        <v>176747</v>
      </c>
      <c r="DA87" s="975">
        <v>190424</v>
      </c>
      <c r="DB87" s="975">
        <v>214788</v>
      </c>
      <c r="DC87" s="975">
        <v>150000</v>
      </c>
      <c r="DD87" s="975">
        <v>191217</v>
      </c>
      <c r="DE87" s="975">
        <v>180648</v>
      </c>
      <c r="DF87" s="975">
        <v>180874</v>
      </c>
      <c r="DG87" s="975">
        <v>208228</v>
      </c>
      <c r="DH87" s="975">
        <v>184911</v>
      </c>
      <c r="DI87" s="975">
        <v>135942</v>
      </c>
      <c r="DJ87" s="599">
        <f>SUM(CX87:DI87)</f>
        <v>2151898</v>
      </c>
      <c r="DK87" s="948"/>
      <c r="DL87" s="596">
        <f>CX87</f>
        <v>155428</v>
      </c>
      <c r="DM87" s="596">
        <f t="shared" ref="DM87:DW87" si="180">CY87</f>
        <v>182691</v>
      </c>
      <c r="DN87" s="596">
        <f t="shared" si="180"/>
        <v>176747</v>
      </c>
      <c r="DO87" s="596">
        <f t="shared" si="180"/>
        <v>190424</v>
      </c>
      <c r="DP87" s="596">
        <f t="shared" si="180"/>
        <v>214788</v>
      </c>
      <c r="DQ87" s="596">
        <f t="shared" si="180"/>
        <v>150000</v>
      </c>
      <c r="DR87" s="596">
        <f t="shared" si="180"/>
        <v>191217</v>
      </c>
      <c r="DS87" s="596">
        <f t="shared" si="180"/>
        <v>180648</v>
      </c>
      <c r="DT87" s="596">
        <f t="shared" si="180"/>
        <v>180874</v>
      </c>
      <c r="DU87" s="596">
        <f t="shared" si="180"/>
        <v>208228</v>
      </c>
      <c r="DV87" s="596">
        <f t="shared" si="180"/>
        <v>184911</v>
      </c>
      <c r="DW87" s="596">
        <f t="shared" si="180"/>
        <v>135942</v>
      </c>
      <c r="DX87" s="596">
        <v>127800</v>
      </c>
    </row>
    <row r="88" spans="1:129" ht="15.75" hidden="1" customHeight="1" outlineLevel="1">
      <c r="A88" s="821"/>
      <c r="B88" s="822" t="s">
        <v>105</v>
      </c>
      <c r="C88" s="803"/>
      <c r="D88" s="804"/>
      <c r="E88" s="805"/>
      <c r="F88" s="805"/>
      <c r="G88" s="805"/>
      <c r="H88" s="805"/>
      <c r="I88" s="805"/>
      <c r="J88" s="805"/>
      <c r="K88" s="805"/>
      <c r="L88" s="805"/>
      <c r="M88" s="805"/>
      <c r="N88" s="805"/>
      <c r="O88" s="805"/>
      <c r="P88" s="806"/>
      <c r="Q88" s="807"/>
      <c r="R88" s="804"/>
      <c r="S88" s="596"/>
      <c r="T88" s="596"/>
      <c r="U88" s="596"/>
      <c r="V88" s="596"/>
      <c r="W88" s="596"/>
      <c r="X88" s="596"/>
      <c r="Y88" s="596"/>
      <c r="Z88" s="596"/>
      <c r="AA88" s="596"/>
      <c r="AB88" s="596"/>
      <c r="AC88" s="596"/>
      <c r="AD88" s="809"/>
      <c r="AE88" s="28"/>
      <c r="AF88" s="596"/>
      <c r="AG88" s="596"/>
      <c r="AH88" s="596"/>
      <c r="AI88" s="596"/>
      <c r="AJ88" s="596"/>
      <c r="AK88" s="596"/>
      <c r="AL88" s="596"/>
      <c r="AM88" s="596"/>
      <c r="AN88" s="596"/>
      <c r="AO88" s="596">
        <f t="shared" ref="AO88:AQ88" si="181">AO81*9.68</f>
        <v>1355200</v>
      </c>
      <c r="AP88" s="596">
        <f t="shared" si="181"/>
        <v>1258400</v>
      </c>
      <c r="AQ88" s="596">
        <f t="shared" si="181"/>
        <v>968000</v>
      </c>
      <c r="AR88" s="810"/>
      <c r="AS88" s="28"/>
      <c r="AT88" s="596">
        <f t="shared" ref="AT88:BF88" si="182">AT81*9.68</f>
        <v>1287440</v>
      </c>
      <c r="AU88" s="596">
        <f t="shared" si="182"/>
        <v>1211742.3999999999</v>
      </c>
      <c r="AV88" s="596">
        <f t="shared" si="182"/>
        <v>1134767.04</v>
      </c>
      <c r="AW88" s="596">
        <f t="shared" si="182"/>
        <v>1234200</v>
      </c>
      <c r="AX88" s="596">
        <f t="shared" si="182"/>
        <v>1355200</v>
      </c>
      <c r="AY88" s="596">
        <f t="shared" si="182"/>
        <v>1532760.2399903198</v>
      </c>
      <c r="AZ88" s="596">
        <f t="shared" si="182"/>
        <v>1475319.1199999999</v>
      </c>
      <c r="BA88" s="596">
        <f t="shared" si="182"/>
        <v>1679673.5999999999</v>
      </c>
      <c r="BB88" s="596">
        <f t="shared" si="182"/>
        <v>1597200</v>
      </c>
      <c r="BC88" s="596">
        <f t="shared" si="182"/>
        <v>1524600</v>
      </c>
      <c r="BD88" s="596">
        <f t="shared" si="182"/>
        <v>1252892.08</v>
      </c>
      <c r="BE88" s="596">
        <f t="shared" si="182"/>
        <v>597256</v>
      </c>
      <c r="BF88" s="596">
        <f t="shared" si="182"/>
        <v>15883050.47999032</v>
      </c>
      <c r="BG88" s="28"/>
      <c r="BH88" s="596"/>
      <c r="BI88" s="596"/>
      <c r="BJ88" s="596"/>
      <c r="BK88" s="596"/>
      <c r="BL88" s="596"/>
      <c r="BM88" s="596"/>
      <c r="BN88" s="596"/>
      <c r="BO88" s="596"/>
      <c r="BP88" s="596"/>
      <c r="BQ88" s="596"/>
      <c r="BR88" s="596"/>
      <c r="BS88" s="596"/>
      <c r="BT88" s="596"/>
      <c r="BU88" s="28"/>
      <c r="BV88" s="596"/>
      <c r="BW88" s="596"/>
      <c r="BX88" s="596"/>
      <c r="BY88" s="596"/>
      <c r="BZ88" s="596"/>
      <c r="CA88" s="596"/>
      <c r="CB88" s="596"/>
      <c r="CC88" s="596"/>
      <c r="CD88" s="596" t="s">
        <v>96</v>
      </c>
      <c r="CE88" s="596"/>
      <c r="CF88" s="813" t="s">
        <v>97</v>
      </c>
      <c r="CG88" s="596"/>
      <c r="CH88" s="596"/>
      <c r="CJ88" s="596"/>
      <c r="CK88" s="596"/>
      <c r="CL88" s="596"/>
      <c r="CM88" s="596">
        <v>61884.012959999985</v>
      </c>
      <c r="CN88" s="596">
        <f>CM88</f>
        <v>61884.012959999985</v>
      </c>
      <c r="CO88" s="596">
        <f t="shared" ref="CO88:CU88" si="183">CN88</f>
        <v>61884.012959999985</v>
      </c>
      <c r="CP88" s="596">
        <f t="shared" si="183"/>
        <v>61884.012959999985</v>
      </c>
      <c r="CQ88" s="596">
        <f t="shared" si="183"/>
        <v>61884.012959999985</v>
      </c>
      <c r="CR88" s="596">
        <f t="shared" si="183"/>
        <v>61884.012959999985</v>
      </c>
      <c r="CS88" s="596">
        <f t="shared" si="183"/>
        <v>61884.012959999985</v>
      </c>
      <c r="CT88" s="596">
        <f t="shared" si="183"/>
        <v>61884.012959999985</v>
      </c>
      <c r="CU88" s="596">
        <f t="shared" si="183"/>
        <v>61884.012959999985</v>
      </c>
      <c r="CV88" s="596"/>
      <c r="CW88" s="758"/>
      <c r="CX88" s="596" t="s">
        <v>133</v>
      </c>
      <c r="CY88" s="596"/>
      <c r="CZ88" s="596"/>
      <c r="DA88" s="596"/>
      <c r="DB88" s="596"/>
      <c r="DC88" s="596"/>
      <c r="DD88" s="596"/>
      <c r="DE88" s="596"/>
      <c r="DF88" s="596"/>
      <c r="DG88" s="596"/>
      <c r="DH88" s="596"/>
      <c r="DI88" s="596"/>
      <c r="DJ88" s="596"/>
      <c r="DK88" s="948"/>
      <c r="DL88" s="596" t="s">
        <v>133</v>
      </c>
      <c r="DM88" s="596"/>
      <c r="DN88" s="596"/>
      <c r="DO88" s="596"/>
      <c r="DP88" s="596"/>
      <c r="DQ88" s="596"/>
      <c r="DR88" s="596"/>
      <c r="DS88" s="596"/>
      <c r="DT88" s="596"/>
      <c r="DU88" s="596"/>
      <c r="DV88" s="596"/>
      <c r="DW88" s="596"/>
      <c r="DX88" s="596"/>
    </row>
    <row r="89" spans="1:129" ht="15.75" hidden="1" customHeight="1" outlineLevel="1">
      <c r="A89" s="821"/>
      <c r="B89" s="822" t="s">
        <v>98</v>
      </c>
      <c r="C89" s="803"/>
      <c r="D89" s="804"/>
      <c r="E89" s="805"/>
      <c r="F89" s="805"/>
      <c r="G89" s="805"/>
      <c r="H89" s="805"/>
      <c r="I89" s="805"/>
      <c r="J89" s="805"/>
      <c r="K89" s="805"/>
      <c r="L89" s="805"/>
      <c r="M89" s="805"/>
      <c r="N89" s="805"/>
      <c r="O89" s="805"/>
      <c r="P89" s="806"/>
      <c r="Q89" s="807"/>
      <c r="R89" s="804"/>
      <c r="S89" s="596"/>
      <c r="T89" s="596"/>
      <c r="U89" s="596"/>
      <c r="V89" s="596"/>
      <c r="W89" s="596"/>
      <c r="X89" s="596"/>
      <c r="Y89" s="596"/>
      <c r="Z89" s="596"/>
      <c r="AA89" s="596"/>
      <c r="AB89" s="596"/>
      <c r="AC89" s="596"/>
      <c r="AD89" s="809"/>
      <c r="AE89" s="28"/>
      <c r="AF89" s="808"/>
      <c r="AG89" s="596"/>
      <c r="AH89" s="596"/>
      <c r="AI89" s="596"/>
      <c r="AJ89" s="596"/>
      <c r="AK89" s="596"/>
      <c r="AL89" s="596"/>
      <c r="AM89" s="596"/>
      <c r="AN89" s="596"/>
      <c r="AO89" s="596"/>
      <c r="AP89" s="596"/>
      <c r="AQ89" s="596"/>
      <c r="AR89" s="810"/>
      <c r="AS89" s="28"/>
      <c r="AT89" s="596"/>
      <c r="AU89" s="596"/>
      <c r="AV89" s="596"/>
      <c r="AW89" s="596"/>
      <c r="AX89" s="596"/>
      <c r="AY89" s="596"/>
      <c r="AZ89" s="596"/>
      <c r="BA89" s="596"/>
      <c r="BB89" s="596"/>
      <c r="BC89" s="596"/>
      <c r="BD89" s="596"/>
      <c r="BE89" s="596"/>
      <c r="BF89" s="596"/>
      <c r="BG89" s="28"/>
      <c r="BH89" s="596"/>
      <c r="BI89" s="596"/>
      <c r="BJ89" s="596"/>
      <c r="BK89" s="596"/>
      <c r="BL89" s="596"/>
      <c r="BM89" s="596"/>
      <c r="BN89" s="596"/>
      <c r="BO89" s="596"/>
      <c r="BP89" s="596"/>
      <c r="BQ89" s="596"/>
      <c r="BR89" s="596"/>
      <c r="BS89" s="596"/>
      <c r="BT89" s="596"/>
      <c r="BU89" s="28"/>
      <c r="BV89" s="596"/>
      <c r="BW89" s="596"/>
      <c r="BX89" s="596"/>
      <c r="BY89" s="596"/>
      <c r="BZ89" s="596"/>
      <c r="CA89" s="596"/>
      <c r="CB89" s="596"/>
      <c r="CC89" s="596"/>
      <c r="CD89" s="596"/>
      <c r="CE89" s="596"/>
      <c r="CF89" s="813"/>
      <c r="CG89" s="596"/>
      <c r="CH89" s="596"/>
      <c r="CJ89" s="596"/>
      <c r="CK89" s="596"/>
      <c r="CL89" s="596"/>
      <c r="CM89" s="596">
        <f>CM88*CM7</f>
        <v>1237680.2591999997</v>
      </c>
      <c r="CN89" s="596">
        <f>CN88*CN7</f>
        <v>1299564.2721599997</v>
      </c>
      <c r="CO89" s="596">
        <f>CO88*CO7</f>
        <v>1361448.2851199997</v>
      </c>
      <c r="CP89" s="596">
        <f>CP88*CP7</f>
        <v>1547100.3239999996</v>
      </c>
      <c r="CQ89" s="596">
        <f>CQ88*CQ7</f>
        <v>1299564.2721599997</v>
      </c>
      <c r="CR89" s="596">
        <f>CR88*CR7</f>
        <v>1361448.2851199997</v>
      </c>
      <c r="CS89" s="596">
        <f>CS88*CS7</f>
        <v>1423332.2980799996</v>
      </c>
      <c r="CT89" s="596">
        <f>CT88*CT7</f>
        <v>1361448.2851199997</v>
      </c>
      <c r="CU89" s="596">
        <f>CU88*CU7</f>
        <v>1052028.2203199998</v>
      </c>
      <c r="CV89" s="596"/>
      <c r="CW89" s="758"/>
      <c r="CX89" s="596"/>
      <c r="CY89" s="596"/>
      <c r="CZ89" s="596"/>
      <c r="DA89" s="596"/>
      <c r="DB89" s="596"/>
      <c r="DC89" s="596"/>
      <c r="DD89" s="596"/>
      <c r="DE89" s="596"/>
      <c r="DF89" s="596"/>
      <c r="DG89" s="596"/>
      <c r="DH89" s="596"/>
      <c r="DI89" s="596"/>
      <c r="DJ89" s="596"/>
      <c r="DK89" s="948"/>
      <c r="DL89" s="596"/>
      <c r="DM89" s="596"/>
      <c r="DN89" s="596"/>
      <c r="DO89" s="596"/>
      <c r="DP89" s="596"/>
      <c r="DQ89" s="596"/>
      <c r="DR89" s="596"/>
      <c r="DS89" s="596"/>
      <c r="DT89" s="596"/>
      <c r="DU89" s="596"/>
      <c r="DV89" s="596"/>
      <c r="DW89" s="596"/>
      <c r="DX89" s="596"/>
    </row>
    <row r="90" spans="1:129" ht="18.75" hidden="1">
      <c r="A90" s="821" t="s">
        <v>99</v>
      </c>
      <c r="B90" s="823" t="s">
        <v>100</v>
      </c>
      <c r="C90" s="814"/>
      <c r="D90" s="815">
        <v>95972</v>
      </c>
      <c r="E90" s="816">
        <v>130805</v>
      </c>
      <c r="F90" s="816">
        <v>121914</v>
      </c>
      <c r="G90" s="816">
        <v>165455</v>
      </c>
      <c r="H90" s="816">
        <v>192013</v>
      </c>
      <c r="I90" s="816">
        <v>167281</v>
      </c>
      <c r="J90" s="816">
        <v>181409</v>
      </c>
      <c r="K90" s="816">
        <v>163138</v>
      </c>
      <c r="L90" s="816">
        <v>169051</v>
      </c>
      <c r="M90" s="816">
        <v>183254</v>
      </c>
      <c r="N90" s="816"/>
      <c r="O90" s="816"/>
      <c r="P90" s="817">
        <f>SUM(D90:O90)</f>
        <v>1570292</v>
      </c>
      <c r="Q90" s="818"/>
      <c r="R90" s="815">
        <v>149582</v>
      </c>
      <c r="S90" s="810">
        <v>152735</v>
      </c>
      <c r="T90" s="810">
        <v>107681</v>
      </c>
      <c r="U90" s="810">
        <v>2974</v>
      </c>
      <c r="V90" s="810">
        <v>32639</v>
      </c>
      <c r="W90" s="810">
        <v>153121</v>
      </c>
      <c r="X90" s="810">
        <v>198635</v>
      </c>
      <c r="Y90" s="810">
        <v>160489</v>
      </c>
      <c r="Z90" s="810">
        <v>160893</v>
      </c>
      <c r="AA90" s="810">
        <v>180999</v>
      </c>
      <c r="AB90" s="810">
        <v>167265</v>
      </c>
      <c r="AC90" s="810">
        <v>135424</v>
      </c>
      <c r="AD90" s="819">
        <f>SUM(R90:AC90)</f>
        <v>1602437</v>
      </c>
      <c r="AE90" s="18"/>
      <c r="AF90" s="820">
        <v>145616</v>
      </c>
      <c r="AG90" s="810">
        <v>168450</v>
      </c>
      <c r="AH90" s="810">
        <v>153291</v>
      </c>
      <c r="AI90" s="810">
        <v>149378</v>
      </c>
      <c r="AJ90" s="810">
        <v>196360</v>
      </c>
      <c r="AK90" s="810">
        <v>170558</v>
      </c>
      <c r="AL90" s="810">
        <v>171758</v>
      </c>
      <c r="AM90" s="810">
        <f t="shared" ref="AM90:AQ90" si="184">SUM(AM91:AM92)</f>
        <v>168974</v>
      </c>
      <c r="AN90" s="810">
        <f t="shared" si="184"/>
        <v>144792</v>
      </c>
      <c r="AO90" s="810">
        <f t="shared" si="184"/>
        <v>141375</v>
      </c>
      <c r="AP90" s="810">
        <f t="shared" si="184"/>
        <v>143221</v>
      </c>
      <c r="AQ90" s="810">
        <f t="shared" si="184"/>
        <v>85543</v>
      </c>
      <c r="AR90" s="810">
        <f t="shared" ref="AR90:AR94" si="185">SUM(AF90:AQ90)</f>
        <v>1839316</v>
      </c>
      <c r="AS90" s="28"/>
      <c r="AT90" s="810">
        <f t="shared" ref="AT90:BE90" si="186">SUM(AT91:AT92)</f>
        <v>120211</v>
      </c>
      <c r="AU90" s="810">
        <f t="shared" si="186"/>
        <v>120216</v>
      </c>
      <c r="AV90" s="810">
        <f t="shared" si="186"/>
        <v>101053</v>
      </c>
      <c r="AW90" s="810">
        <f t="shared" si="186"/>
        <v>137388</v>
      </c>
      <c r="AX90" s="810">
        <f t="shared" si="186"/>
        <v>137400</v>
      </c>
      <c r="AY90" s="810">
        <f t="shared" si="186"/>
        <v>135412</v>
      </c>
      <c r="AZ90" s="810">
        <f t="shared" si="186"/>
        <v>157032</v>
      </c>
      <c r="BA90" s="810">
        <f t="shared" si="186"/>
        <v>173287</v>
      </c>
      <c r="BB90" s="596">
        <f t="shared" si="186"/>
        <v>166815</v>
      </c>
      <c r="BC90" s="596">
        <f t="shared" si="186"/>
        <v>153816</v>
      </c>
      <c r="BD90" s="596">
        <f t="shared" si="186"/>
        <v>138051</v>
      </c>
      <c r="BE90" s="596">
        <f t="shared" si="186"/>
        <v>55950</v>
      </c>
      <c r="BF90" s="596">
        <f t="shared" ref="BF90:BF94" si="187">SUM(AT90:BE90)</f>
        <v>1596631</v>
      </c>
      <c r="BG90" s="54">
        <f>BF90/AR90-1</f>
        <v>-0.1319430701412917</v>
      </c>
      <c r="BH90" s="810">
        <f t="shared" ref="BH90:BQ90" si="188">SUM(BH91:BH92)</f>
        <v>138562</v>
      </c>
      <c r="BI90" s="810">
        <f t="shared" si="188"/>
        <v>109391</v>
      </c>
      <c r="BJ90" s="810">
        <f t="shared" si="188"/>
        <v>160056</v>
      </c>
      <c r="BK90" s="810">
        <f t="shared" si="188"/>
        <v>124826</v>
      </c>
      <c r="BL90" s="810">
        <f t="shared" si="188"/>
        <v>151185</v>
      </c>
      <c r="BM90" s="810">
        <f t="shared" si="188"/>
        <v>134688</v>
      </c>
      <c r="BN90" s="810">
        <f t="shared" si="188"/>
        <v>157005</v>
      </c>
      <c r="BO90" s="810">
        <f t="shared" si="188"/>
        <v>151231</v>
      </c>
      <c r="BP90" s="810">
        <f t="shared" si="188"/>
        <v>143335</v>
      </c>
      <c r="BQ90" s="810">
        <f t="shared" si="188"/>
        <v>159215</v>
      </c>
      <c r="BR90" s="810"/>
      <c r="BS90" s="810"/>
      <c r="BT90" s="810">
        <f t="shared" ref="BT90:BT94" si="189">SUM(BH90:BS90)</f>
        <v>1429494</v>
      </c>
      <c r="BU90" s="18"/>
      <c r="BV90" s="810">
        <v>154584</v>
      </c>
      <c r="BW90" s="810">
        <v>151963</v>
      </c>
      <c r="BX90" s="810">
        <v>144646</v>
      </c>
      <c r="BY90" s="810">
        <v>178798</v>
      </c>
      <c r="BZ90" s="810">
        <v>151863</v>
      </c>
      <c r="CA90" s="810">
        <v>152310</v>
      </c>
      <c r="CB90" s="810">
        <f>CB91+CB92</f>
        <v>177824</v>
      </c>
      <c r="CC90" s="810">
        <f t="shared" ref="CC90:CJ90" si="190">CC91+CC92</f>
        <v>155456</v>
      </c>
      <c r="CD90" s="810">
        <f t="shared" si="190"/>
        <v>159431</v>
      </c>
      <c r="CE90" s="810">
        <v>173593</v>
      </c>
      <c r="CF90" s="810">
        <v>154850</v>
      </c>
      <c r="CG90" s="810">
        <f t="shared" si="190"/>
        <v>0</v>
      </c>
      <c r="CH90" s="810">
        <f t="shared" ref="CH90" si="191">SUM(BV90:CG90)</f>
        <v>1755318</v>
      </c>
      <c r="CJ90" s="810">
        <v>155428</v>
      </c>
      <c r="CK90" s="810">
        <f>SUM(CK91:CK92)</f>
        <v>182595</v>
      </c>
      <c r="CL90" s="810">
        <f>SUM(CL91:CL92)</f>
        <v>175111</v>
      </c>
      <c r="CM90" s="810">
        <f>SUM(CM91:CM92)</f>
        <v>192052</v>
      </c>
      <c r="CN90" s="810">
        <v>214788</v>
      </c>
      <c r="CO90" s="810">
        <v>143727</v>
      </c>
      <c r="CP90" s="810">
        <v>191217</v>
      </c>
      <c r="CQ90" s="810">
        <v>180648</v>
      </c>
      <c r="CR90" s="810">
        <v>180874</v>
      </c>
      <c r="CS90" s="810"/>
      <c r="CT90" s="810"/>
      <c r="CU90" s="810"/>
      <c r="CV90" s="810"/>
      <c r="CW90" s="758"/>
      <c r="CX90" s="810">
        <v>191345</v>
      </c>
      <c r="CY90" s="810">
        <v>145396</v>
      </c>
      <c r="CZ90" s="810">
        <f t="shared" ref="CZ90:DI90" si="192">CL90</f>
        <v>175111</v>
      </c>
      <c r="DA90" s="810">
        <f t="shared" si="192"/>
        <v>192052</v>
      </c>
      <c r="DB90" s="810">
        <f t="shared" si="192"/>
        <v>214788</v>
      </c>
      <c r="DC90" s="810">
        <f t="shared" si="192"/>
        <v>143727</v>
      </c>
      <c r="DD90" s="810">
        <f t="shared" si="192"/>
        <v>191217</v>
      </c>
      <c r="DE90" s="810">
        <f t="shared" si="192"/>
        <v>180648</v>
      </c>
      <c r="DF90" s="810">
        <f t="shared" si="192"/>
        <v>180874</v>
      </c>
      <c r="DG90" s="810">
        <f t="shared" si="192"/>
        <v>0</v>
      </c>
      <c r="DH90" s="810">
        <f t="shared" si="192"/>
        <v>0</v>
      </c>
      <c r="DI90" s="810">
        <f t="shared" si="192"/>
        <v>0</v>
      </c>
      <c r="DJ90" s="810"/>
      <c r="DK90" s="948"/>
      <c r="DL90" s="810">
        <f>CX90</f>
        <v>191345</v>
      </c>
      <c r="DM90" s="810">
        <f t="shared" ref="DM90:DW90" si="193">CY90</f>
        <v>145396</v>
      </c>
      <c r="DN90" s="810">
        <f t="shared" si="193"/>
        <v>175111</v>
      </c>
      <c r="DO90" s="810">
        <f t="shared" si="193"/>
        <v>192052</v>
      </c>
      <c r="DP90" s="810">
        <f t="shared" si="193"/>
        <v>214788</v>
      </c>
      <c r="DQ90" s="810">
        <f t="shared" si="193"/>
        <v>143727</v>
      </c>
      <c r="DR90" s="810">
        <f t="shared" si="193"/>
        <v>191217</v>
      </c>
      <c r="DS90" s="810">
        <f t="shared" si="193"/>
        <v>180648</v>
      </c>
      <c r="DT90" s="810">
        <f t="shared" si="193"/>
        <v>180874</v>
      </c>
      <c r="DU90" s="810">
        <f t="shared" si="193"/>
        <v>0</v>
      </c>
      <c r="DV90" s="810">
        <f t="shared" si="193"/>
        <v>0</v>
      </c>
      <c r="DW90" s="810">
        <f t="shared" si="193"/>
        <v>0</v>
      </c>
      <c r="DX90" s="810"/>
    </row>
    <row r="91" spans="1:129" ht="15.75" hidden="1" customHeight="1">
      <c r="A91" s="821"/>
      <c r="B91" s="823" t="s">
        <v>134</v>
      </c>
      <c r="C91" s="814"/>
      <c r="D91" s="804"/>
      <c r="E91" s="805"/>
      <c r="F91" s="805"/>
      <c r="G91" s="805"/>
      <c r="H91" s="805"/>
      <c r="I91" s="805"/>
      <c r="J91" s="805"/>
      <c r="K91" s="805"/>
      <c r="L91" s="805"/>
      <c r="M91" s="805"/>
      <c r="N91" s="805"/>
      <c r="O91" s="805"/>
      <c r="P91" s="806"/>
      <c r="Q91" s="807"/>
      <c r="R91" s="804"/>
      <c r="S91" s="596"/>
      <c r="T91" s="596"/>
      <c r="U91" s="596"/>
      <c r="V91" s="596"/>
      <c r="W91" s="596"/>
      <c r="X91" s="596"/>
      <c r="Y91" s="596"/>
      <c r="Z91" s="596"/>
      <c r="AA91" s="596"/>
      <c r="AB91" s="596"/>
      <c r="AC91" s="596"/>
      <c r="AD91" s="809"/>
      <c r="AE91" s="28"/>
      <c r="AF91" s="808">
        <v>126362</v>
      </c>
      <c r="AG91" s="596">
        <v>153970</v>
      </c>
      <c r="AH91" s="596">
        <v>128331</v>
      </c>
      <c r="AI91" s="596">
        <v>135338</v>
      </c>
      <c r="AJ91" s="596">
        <v>177312</v>
      </c>
      <c r="AK91" s="596">
        <v>150818</v>
      </c>
      <c r="AL91" s="596">
        <v>158858</v>
      </c>
      <c r="AM91" s="596">
        <v>153933</v>
      </c>
      <c r="AN91" s="596">
        <v>134244</v>
      </c>
      <c r="AO91" s="596">
        <v>137435</v>
      </c>
      <c r="AP91" s="596">
        <v>143221</v>
      </c>
      <c r="AQ91" s="596">
        <v>85543</v>
      </c>
      <c r="AR91" s="810">
        <f t="shared" si="185"/>
        <v>1685365</v>
      </c>
      <c r="AS91" s="28"/>
      <c r="AT91" s="596">
        <v>120211</v>
      </c>
      <c r="AU91" s="596">
        <v>120216</v>
      </c>
      <c r="AV91" s="596">
        <v>101053</v>
      </c>
      <c r="AW91" s="596">
        <v>137388</v>
      </c>
      <c r="AX91" s="596">
        <v>137400</v>
      </c>
      <c r="AY91" s="596">
        <v>135412</v>
      </c>
      <c r="AZ91" s="596">
        <v>157032</v>
      </c>
      <c r="BA91" s="596">
        <v>172227</v>
      </c>
      <c r="BB91" s="596">
        <f>157995+8500</f>
        <v>166495</v>
      </c>
      <c r="BC91" s="596">
        <v>153816</v>
      </c>
      <c r="BD91" s="596">
        <v>138051</v>
      </c>
      <c r="BE91" s="596">
        <v>55950</v>
      </c>
      <c r="BF91" s="596">
        <f t="shared" si="187"/>
        <v>1595251</v>
      </c>
      <c r="BG91" s="28"/>
      <c r="BH91" s="596">
        <v>138562</v>
      </c>
      <c r="BI91" s="596">
        <v>109391</v>
      </c>
      <c r="BJ91" s="596">
        <v>160056</v>
      </c>
      <c r="BK91" s="596">
        <v>124826</v>
      </c>
      <c r="BL91" s="596">
        <v>151185</v>
      </c>
      <c r="BM91" s="596">
        <v>134688</v>
      </c>
      <c r="BN91" s="596">
        <v>157005</v>
      </c>
      <c r="BO91" s="596">
        <v>151231</v>
      </c>
      <c r="BP91" s="596">
        <v>143335</v>
      </c>
      <c r="BQ91" s="596">
        <v>159215</v>
      </c>
      <c r="BR91" s="596"/>
      <c r="BS91" s="596"/>
      <c r="BT91" s="596">
        <f t="shared" si="189"/>
        <v>1429494</v>
      </c>
      <c r="BU91" s="28"/>
      <c r="BV91" s="596">
        <v>154584</v>
      </c>
      <c r="BW91" s="596">
        <v>151963</v>
      </c>
      <c r="BX91" s="596">
        <v>144646</v>
      </c>
      <c r="BY91" s="596">
        <v>178798</v>
      </c>
      <c r="BZ91" s="596">
        <v>151863</v>
      </c>
      <c r="CA91" s="596">
        <v>152310</v>
      </c>
      <c r="CB91" s="596">
        <v>177824</v>
      </c>
      <c r="CC91" s="596">
        <v>155456</v>
      </c>
      <c r="CD91" s="596">
        <v>159431</v>
      </c>
      <c r="CE91" s="596"/>
      <c r="CF91" s="596"/>
      <c r="CG91" s="596"/>
      <c r="CH91" s="596"/>
      <c r="CJ91" s="596">
        <v>145276</v>
      </c>
      <c r="CK91" s="596">
        <v>157921</v>
      </c>
      <c r="CL91" s="596">
        <v>147905</v>
      </c>
      <c r="CM91" s="596">
        <v>157807</v>
      </c>
      <c r="CN91" s="596"/>
      <c r="CO91" s="596"/>
      <c r="CP91" s="596"/>
      <c r="CQ91" s="596"/>
      <c r="CR91" s="596"/>
      <c r="CS91" s="596"/>
      <c r="CT91" s="596"/>
      <c r="CU91" s="596"/>
      <c r="CV91" s="596"/>
      <c r="CW91" s="758"/>
      <c r="CX91" s="940"/>
      <c r="CY91" s="940"/>
      <c r="CZ91" s="596">
        <v>6339</v>
      </c>
      <c r="DA91" s="940"/>
      <c r="DB91" s="940"/>
      <c r="DC91" s="940"/>
      <c r="DD91" s="940"/>
      <c r="DE91" s="940"/>
      <c r="DF91" s="940"/>
      <c r="DG91" s="940"/>
      <c r="DH91" s="940"/>
      <c r="DI91" s="940"/>
      <c r="DJ91" s="596"/>
      <c r="DK91" s="948"/>
      <c r="DL91" s="940" t="e">
        <f>DL18-DL17</f>
        <v>#DIV/0!</v>
      </c>
      <c r="DM91" s="940" t="e">
        <f t="shared" ref="DM91:DW91" si="194">DM18-DM17</f>
        <v>#DIV/0!</v>
      </c>
      <c r="DN91" s="940" t="e">
        <f t="shared" si="194"/>
        <v>#DIV/0!</v>
      </c>
      <c r="DO91" s="940" t="e">
        <f t="shared" si="194"/>
        <v>#DIV/0!</v>
      </c>
      <c r="DP91" s="940" t="e">
        <f t="shared" si="194"/>
        <v>#DIV/0!</v>
      </c>
      <c r="DQ91" s="940" t="e">
        <f t="shared" si="194"/>
        <v>#DIV/0!</v>
      </c>
      <c r="DR91" s="940" t="e">
        <f t="shared" si="194"/>
        <v>#DIV/0!</v>
      </c>
      <c r="DS91" s="940" t="e">
        <f t="shared" si="194"/>
        <v>#DIV/0!</v>
      </c>
      <c r="DT91" s="940" t="e">
        <f t="shared" si="194"/>
        <v>#DIV/0!</v>
      </c>
      <c r="DU91" s="940" t="e">
        <f t="shared" si="194"/>
        <v>#DIV/0!</v>
      </c>
      <c r="DV91" s="940" t="e">
        <f t="shared" si="194"/>
        <v>#DIV/0!</v>
      </c>
      <c r="DW91" s="940">
        <f t="shared" si="194"/>
        <v>1.0392645209087532</v>
      </c>
      <c r="DX91" s="596"/>
    </row>
    <row r="92" spans="1:129" ht="15.75" hidden="1" customHeight="1">
      <c r="A92" s="821"/>
      <c r="B92" s="823" t="s">
        <v>135</v>
      </c>
      <c r="C92" s="814"/>
      <c r="D92" s="804"/>
      <c r="E92" s="805"/>
      <c r="F92" s="805"/>
      <c r="G92" s="805"/>
      <c r="H92" s="805"/>
      <c r="I92" s="805"/>
      <c r="J92" s="805"/>
      <c r="K92" s="805"/>
      <c r="L92" s="805"/>
      <c r="M92" s="805"/>
      <c r="N92" s="805"/>
      <c r="O92" s="805"/>
      <c r="P92" s="806"/>
      <c r="Q92" s="807"/>
      <c r="R92" s="804"/>
      <c r="S92" s="596"/>
      <c r="T92" s="596"/>
      <c r="U92" s="596"/>
      <c r="V92" s="596"/>
      <c r="W92" s="596"/>
      <c r="X92" s="596"/>
      <c r="Y92" s="596"/>
      <c r="Z92" s="596"/>
      <c r="AA92" s="596"/>
      <c r="AB92" s="596"/>
      <c r="AC92" s="596"/>
      <c r="AD92" s="809"/>
      <c r="AE92" s="28"/>
      <c r="AF92" s="596">
        <f t="shared" ref="AF92:AL92" si="195">AF90-AF91</f>
        <v>19254</v>
      </c>
      <c r="AG92" s="596">
        <f t="shared" si="195"/>
        <v>14480</v>
      </c>
      <c r="AH92" s="596">
        <f t="shared" si="195"/>
        <v>24960</v>
      </c>
      <c r="AI92" s="596">
        <f t="shared" si="195"/>
        <v>14040</v>
      </c>
      <c r="AJ92" s="596">
        <f t="shared" si="195"/>
        <v>19048</v>
      </c>
      <c r="AK92" s="596">
        <f t="shared" si="195"/>
        <v>19740</v>
      </c>
      <c r="AL92" s="596">
        <f t="shared" si="195"/>
        <v>12900</v>
      </c>
      <c r="AM92" s="596">
        <v>15041</v>
      </c>
      <c r="AN92" s="596">
        <v>10548</v>
      </c>
      <c r="AO92" s="596">
        <v>3940</v>
      </c>
      <c r="AP92" s="596">
        <v>0</v>
      </c>
      <c r="AQ92" s="596">
        <v>0</v>
      </c>
      <c r="AR92" s="810">
        <f t="shared" si="185"/>
        <v>153951</v>
      </c>
      <c r="AS92" s="28"/>
      <c r="AT92" s="596">
        <v>0</v>
      </c>
      <c r="AU92" s="596">
        <v>0</v>
      </c>
      <c r="AV92" s="596">
        <v>0</v>
      </c>
      <c r="AW92" s="596">
        <v>0</v>
      </c>
      <c r="AX92" s="596">
        <v>0</v>
      </c>
      <c r="AY92" s="596">
        <v>0</v>
      </c>
      <c r="AZ92" s="596">
        <v>0</v>
      </c>
      <c r="BA92" s="596">
        <v>1060</v>
      </c>
      <c r="BB92" s="596">
        <v>320</v>
      </c>
      <c r="BC92" s="596">
        <v>0</v>
      </c>
      <c r="BD92" s="596">
        <v>0</v>
      </c>
      <c r="BE92" s="596"/>
      <c r="BF92" s="596">
        <f t="shared" si="187"/>
        <v>1380</v>
      </c>
      <c r="BG92" s="28"/>
      <c r="BH92" s="596"/>
      <c r="BI92" s="596"/>
      <c r="BJ92" s="596"/>
      <c r="BK92" s="596"/>
      <c r="BL92" s="596"/>
      <c r="BM92" s="596"/>
      <c r="BN92" s="596"/>
      <c r="BO92" s="596"/>
      <c r="BP92" s="596"/>
      <c r="BQ92" s="596"/>
      <c r="BR92" s="596"/>
      <c r="BS92" s="596"/>
      <c r="BT92" s="596">
        <f t="shared" si="189"/>
        <v>0</v>
      </c>
      <c r="BU92" s="28"/>
      <c r="BV92" s="596"/>
      <c r="BW92" s="596"/>
      <c r="BX92" s="596"/>
      <c r="BY92" s="596"/>
      <c r="BZ92" s="596"/>
      <c r="CA92" s="596"/>
      <c r="CB92" s="596"/>
      <c r="CC92" s="596"/>
      <c r="CD92" s="596"/>
      <c r="CE92" s="596"/>
      <c r="CF92" s="596"/>
      <c r="CG92" s="596"/>
      <c r="CH92" s="596"/>
      <c r="CJ92" s="596">
        <v>14444</v>
      </c>
      <c r="CK92" s="596">
        <v>24674</v>
      </c>
      <c r="CL92" s="596">
        <v>27206</v>
      </c>
      <c r="CM92" s="596">
        <v>34245</v>
      </c>
      <c r="CN92" s="596"/>
      <c r="CO92" s="596"/>
      <c r="CP92" s="596"/>
      <c r="CQ92" s="596"/>
      <c r="CR92" s="596"/>
      <c r="CS92" s="596"/>
      <c r="CT92" s="596"/>
      <c r="CU92" s="596"/>
      <c r="CV92" s="596"/>
      <c r="CW92" s="758"/>
      <c r="CX92" s="596">
        <v>2341</v>
      </c>
      <c r="CY92" s="596">
        <v>2341</v>
      </c>
      <c r="CZ92" s="596">
        <v>2469</v>
      </c>
      <c r="DA92" s="596"/>
      <c r="DB92" s="596"/>
      <c r="DC92" s="596"/>
      <c r="DD92" s="596"/>
      <c r="DE92" s="596"/>
      <c r="DF92" s="596"/>
      <c r="DG92" s="596"/>
      <c r="DH92" s="596"/>
      <c r="DI92" s="596"/>
      <c r="DJ92" s="596"/>
      <c r="DK92" s="948"/>
      <c r="DL92" s="596"/>
      <c r="DM92" s="596"/>
      <c r="DN92" s="596"/>
      <c r="DO92" s="596"/>
      <c r="DP92" s="596"/>
      <c r="DQ92" s="596"/>
      <c r="DR92" s="596"/>
      <c r="DS92" s="596"/>
      <c r="DT92" s="596"/>
      <c r="DU92" s="596"/>
      <c r="DV92" s="596"/>
      <c r="DW92" s="596"/>
      <c r="DX92" s="596"/>
    </row>
    <row r="93" spans="1:129" ht="18.75" hidden="1">
      <c r="A93" s="103" t="s">
        <v>103</v>
      </c>
      <c r="B93" s="337"/>
      <c r="C93" s="330"/>
      <c r="D93" s="331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332"/>
      <c r="Q93" s="105"/>
      <c r="R93" s="333"/>
      <c r="S93" s="333"/>
      <c r="T93" s="333"/>
      <c r="U93" s="333"/>
      <c r="V93" s="333"/>
      <c r="W93" s="333"/>
      <c r="X93" s="333"/>
      <c r="Y93" s="333"/>
      <c r="Z93" s="333"/>
      <c r="AA93" s="333"/>
      <c r="AB93" s="333"/>
      <c r="AC93" s="333"/>
      <c r="AD93" s="334"/>
      <c r="AE93" s="106"/>
      <c r="AF93" s="333">
        <f t="shared" ref="AF93:AQ93" si="196">AF90-AF81</f>
        <v>-15784</v>
      </c>
      <c r="AG93" s="333">
        <f t="shared" si="196"/>
        <v>2450</v>
      </c>
      <c r="AH93" s="333">
        <f t="shared" si="196"/>
        <v>2820</v>
      </c>
      <c r="AI93" s="333">
        <f t="shared" si="196"/>
        <v>338</v>
      </c>
      <c r="AJ93" s="333">
        <f t="shared" si="196"/>
        <v>0</v>
      </c>
      <c r="AK93" s="333">
        <f t="shared" si="196"/>
        <v>7258</v>
      </c>
      <c r="AL93" s="333">
        <f t="shared" si="196"/>
        <v>-18242</v>
      </c>
      <c r="AM93" s="333">
        <f t="shared" si="196"/>
        <v>1974</v>
      </c>
      <c r="AN93" s="333">
        <f t="shared" si="196"/>
        <v>-25708</v>
      </c>
      <c r="AO93" s="333">
        <f t="shared" si="196"/>
        <v>1375</v>
      </c>
      <c r="AP93" s="333">
        <f t="shared" si="196"/>
        <v>13221</v>
      </c>
      <c r="AQ93" s="333">
        <f t="shared" si="196"/>
        <v>-14457</v>
      </c>
      <c r="AR93" s="107">
        <f t="shared" si="185"/>
        <v>-44755</v>
      </c>
      <c r="AS93" s="106"/>
      <c r="AT93" s="333">
        <f t="shared" ref="AT93:BE93" si="197">AT90-AT81</f>
        <v>-12789</v>
      </c>
      <c r="AU93" s="333">
        <f t="shared" si="197"/>
        <v>-4964</v>
      </c>
      <c r="AV93" s="333">
        <f t="shared" si="197"/>
        <v>-16175</v>
      </c>
      <c r="AW93" s="333">
        <f t="shared" si="197"/>
        <v>9888</v>
      </c>
      <c r="AX93" s="333">
        <f t="shared" si="197"/>
        <v>-2600</v>
      </c>
      <c r="AY93" s="333">
        <f t="shared" si="197"/>
        <v>-22930.999998999992</v>
      </c>
      <c r="AZ93" s="333">
        <f t="shared" si="197"/>
        <v>4623</v>
      </c>
      <c r="BA93" s="333">
        <f t="shared" si="197"/>
        <v>-233</v>
      </c>
      <c r="BB93" s="333">
        <f t="shared" si="197"/>
        <v>1815</v>
      </c>
      <c r="BC93" s="333">
        <f t="shared" si="197"/>
        <v>-3684</v>
      </c>
      <c r="BD93" s="333">
        <f t="shared" si="197"/>
        <v>8620</v>
      </c>
      <c r="BE93" s="333">
        <f t="shared" si="197"/>
        <v>-5750</v>
      </c>
      <c r="BF93" s="108">
        <f t="shared" si="187"/>
        <v>-44179.999998999992</v>
      </c>
      <c r="BG93" s="106"/>
      <c r="BH93" s="333">
        <f t="shared" ref="BH93:BQ93" si="198">BH90-BH81</f>
        <v>-1198</v>
      </c>
      <c r="BI93" s="333">
        <f t="shared" si="198"/>
        <v>-7189</v>
      </c>
      <c r="BJ93" s="333">
        <f t="shared" si="198"/>
        <v>11716</v>
      </c>
      <c r="BK93" s="333">
        <f t="shared" si="198"/>
        <v>12466</v>
      </c>
      <c r="BL93" s="333">
        <f t="shared" si="198"/>
        <v>42525</v>
      </c>
      <c r="BM93" s="333">
        <f t="shared" si="198"/>
        <v>-18728</v>
      </c>
      <c r="BN93" s="333">
        <f t="shared" si="198"/>
        <v>19329</v>
      </c>
      <c r="BO93" s="333">
        <f t="shared" si="198"/>
        <v>-9423</v>
      </c>
      <c r="BP93" s="333">
        <f t="shared" si="198"/>
        <v>-13665</v>
      </c>
      <c r="BQ93" s="333">
        <f t="shared" si="198"/>
        <v>2490</v>
      </c>
      <c r="BR93" s="108"/>
      <c r="BS93" s="108"/>
      <c r="BT93" s="108">
        <f t="shared" si="189"/>
        <v>38323</v>
      </c>
      <c r="BU93" s="28"/>
      <c r="BV93" s="333"/>
      <c r="BW93" s="333"/>
      <c r="BX93" s="333"/>
      <c r="BY93" s="333">
        <f>BY90-BY81</f>
        <v>5998</v>
      </c>
      <c r="BZ93" s="333">
        <f t="shared" ref="BZ93:CG93" si="199">BZ90-BZ81</f>
        <v>-13737</v>
      </c>
      <c r="CA93" s="333">
        <f t="shared" si="199"/>
        <v>-6090</v>
      </c>
      <c r="CB93" s="333">
        <f t="shared" si="199"/>
        <v>-2176</v>
      </c>
      <c r="CC93" s="333">
        <f t="shared" si="199"/>
        <v>-17344</v>
      </c>
      <c r="CD93" s="333">
        <f t="shared" si="199"/>
        <v>-13369</v>
      </c>
      <c r="CE93" s="333">
        <f t="shared" si="199"/>
        <v>793</v>
      </c>
      <c r="CF93" s="333">
        <f t="shared" si="199"/>
        <v>-12350</v>
      </c>
      <c r="CG93" s="333">
        <f t="shared" si="199"/>
        <v>-98800</v>
      </c>
      <c r="CH93" s="333">
        <f>CH90-CH81</f>
        <v>-118882</v>
      </c>
      <c r="CJ93" s="333">
        <f t="shared" ref="CJ93:CV93" si="200">CJ90-CJ81</f>
        <v>-9572</v>
      </c>
      <c r="CK93" s="333">
        <f>CK90-CK81</f>
        <v>-6005</v>
      </c>
      <c r="CL93" s="333">
        <f t="shared" si="200"/>
        <v>4111</v>
      </c>
      <c r="CM93" s="333">
        <f t="shared" si="200"/>
        <v>-7948</v>
      </c>
      <c r="CN93" s="333">
        <f t="shared" si="200"/>
        <v>36498</v>
      </c>
      <c r="CO93" s="333">
        <f t="shared" si="200"/>
        <v>-54273</v>
      </c>
      <c r="CP93" s="333">
        <f t="shared" si="200"/>
        <v>-53783</v>
      </c>
      <c r="CQ93" s="333">
        <f t="shared" si="200"/>
        <v>-27252</v>
      </c>
      <c r="CR93" s="333">
        <f t="shared" si="200"/>
        <v>-36926</v>
      </c>
      <c r="CS93" s="333">
        <f t="shared" si="200"/>
        <v>-205579</v>
      </c>
      <c r="CT93" s="333">
        <f t="shared" si="200"/>
        <v>-164340</v>
      </c>
      <c r="CU93" s="333">
        <f t="shared" si="200"/>
        <v>-118660</v>
      </c>
      <c r="CV93" s="333">
        <f t="shared" si="200"/>
        <v>-2260169</v>
      </c>
      <c r="CW93" s="758"/>
      <c r="CX93" s="333">
        <f>CX90-CX80</f>
        <v>-3422.0999999999767</v>
      </c>
      <c r="CY93" s="333">
        <f t="shared" ref="CY93:DK93" si="201">CY90-CY81</f>
        <v>27531.399999999994</v>
      </c>
      <c r="CZ93" s="333">
        <f t="shared" si="201"/>
        <v>173731</v>
      </c>
      <c r="DA93" s="333">
        <f t="shared" si="201"/>
        <v>146212</v>
      </c>
      <c r="DB93" s="333">
        <f t="shared" si="201"/>
        <v>49748</v>
      </c>
      <c r="DC93" s="333">
        <f t="shared" si="201"/>
        <v>28557</v>
      </c>
      <c r="DD93" s="333">
        <f t="shared" si="201"/>
        <v>23367</v>
      </c>
      <c r="DE93" s="333">
        <f t="shared" si="201"/>
        <v>33258</v>
      </c>
      <c r="DF93" s="333">
        <f t="shared" si="201"/>
        <v>27998</v>
      </c>
      <c r="DG93" s="333">
        <f t="shared" si="201"/>
        <v>-177876</v>
      </c>
      <c r="DH93" s="333">
        <f t="shared" si="201"/>
        <v>-164452</v>
      </c>
      <c r="DI93" s="333">
        <f t="shared" si="201"/>
        <v>-87392</v>
      </c>
      <c r="DJ93" s="333">
        <f t="shared" si="201"/>
        <v>-1475017.7</v>
      </c>
      <c r="DK93" s="948"/>
      <c r="DL93" s="333">
        <f t="shared" ref="DL93:DX93" si="202">DL90-DL81</f>
        <v>57765</v>
      </c>
      <c r="DM93" s="333">
        <f t="shared" si="202"/>
        <v>19806</v>
      </c>
      <c r="DN93" s="333">
        <f t="shared" si="202"/>
        <v>20331</v>
      </c>
      <c r="DO93" s="333">
        <f t="shared" si="202"/>
        <v>24412</v>
      </c>
      <c r="DP93" s="333">
        <f t="shared" si="202"/>
        <v>59548</v>
      </c>
      <c r="DQ93" s="333">
        <f t="shared" si="202"/>
        <v>20197</v>
      </c>
      <c r="DR93" s="333">
        <f t="shared" si="202"/>
        <v>39341</v>
      </c>
      <c r="DS93" s="333">
        <f t="shared" si="202"/>
        <v>51118</v>
      </c>
      <c r="DT93" s="333">
        <f t="shared" si="202"/>
        <v>27998</v>
      </c>
      <c r="DU93" s="333">
        <f t="shared" si="202"/>
        <v>-177876</v>
      </c>
      <c r="DV93" s="333">
        <f t="shared" si="202"/>
        <v>-164452</v>
      </c>
      <c r="DW93" s="333">
        <f t="shared" si="202"/>
        <v>-87392</v>
      </c>
      <c r="DX93" s="333">
        <f t="shared" si="202"/>
        <v>-1724362</v>
      </c>
    </row>
    <row r="94" spans="1:129" ht="14.25" hidden="1" customHeight="1">
      <c r="A94" s="55" t="s">
        <v>104</v>
      </c>
      <c r="B94" s="56"/>
      <c r="C94" s="280"/>
      <c r="D94" s="288" t="e">
        <f t="shared" ref="D94:F94" si="203">#REF!-#REF!</f>
        <v>#REF!</v>
      </c>
      <c r="E94" s="57" t="e">
        <f t="shared" si="203"/>
        <v>#REF!</v>
      </c>
      <c r="F94" s="57" t="e">
        <f t="shared" si="203"/>
        <v>#REF!</v>
      </c>
      <c r="G94" s="57" t="e">
        <f t="shared" ref="G94:I94" si="204">G81-#REF!</f>
        <v>#REF!</v>
      </c>
      <c r="H94" s="57" t="e">
        <f t="shared" si="204"/>
        <v>#REF!</v>
      </c>
      <c r="I94" s="57" t="e">
        <f t="shared" si="204"/>
        <v>#REF!</v>
      </c>
      <c r="J94" s="57" t="e">
        <f t="shared" ref="J94:K94" si="205">#REF!-#REF!</f>
        <v>#REF!</v>
      </c>
      <c r="K94" s="57" t="e">
        <f t="shared" si="205"/>
        <v>#REF!</v>
      </c>
      <c r="L94" s="57">
        <f>L81-L34</f>
        <v>-24911</v>
      </c>
      <c r="M94" s="57">
        <f>M81-M34</f>
        <v>-13674</v>
      </c>
      <c r="N94" s="57">
        <f>N81-N34</f>
        <v>57632</v>
      </c>
      <c r="O94" s="57">
        <f>O81-O34</f>
        <v>74079</v>
      </c>
      <c r="P94" s="289" t="e">
        <f>SUM(D94:O94)</f>
        <v>#REF!</v>
      </c>
      <c r="Q94" s="39"/>
      <c r="R94" s="288">
        <f t="shared" ref="R94:AD94" si="206">R81-R34</f>
        <v>22222.660017050745</v>
      </c>
      <c r="S94" s="58">
        <f t="shared" si="206"/>
        <v>17159.673608830723</v>
      </c>
      <c r="T94" s="58">
        <f t="shared" si="206"/>
        <v>-24753.77192982455</v>
      </c>
      <c r="U94" s="58">
        <f t="shared" si="206"/>
        <v>-17814.899999999998</v>
      </c>
      <c r="V94" s="58">
        <f t="shared" si="206"/>
        <v>1715</v>
      </c>
      <c r="W94" s="290">
        <f t="shared" si="206"/>
        <v>120430.6180497602</v>
      </c>
      <c r="X94" s="290">
        <f t="shared" si="206"/>
        <v>43436.666666667006</v>
      </c>
      <c r="Y94" s="290">
        <f t="shared" si="206"/>
        <v>-29747.083333333314</v>
      </c>
      <c r="Z94" s="290">
        <f t="shared" si="206"/>
        <v>-80887.5</v>
      </c>
      <c r="AA94" s="290">
        <f t="shared" si="206"/>
        <v>10200</v>
      </c>
      <c r="AB94" s="290">
        <f t="shared" si="206"/>
        <v>137500</v>
      </c>
      <c r="AC94" s="290">
        <f t="shared" si="206"/>
        <v>134100</v>
      </c>
      <c r="AD94" s="291">
        <f t="shared" si="206"/>
        <v>333561.36307915067</v>
      </c>
      <c r="AE94" s="59"/>
      <c r="AF94" s="292">
        <f t="shared" ref="AF94:AQ94" si="207">AF81-AF34</f>
        <v>32754</v>
      </c>
      <c r="AG94" s="58">
        <f t="shared" si="207"/>
        <v>-11977</v>
      </c>
      <c r="AH94" s="58">
        <f t="shared" si="207"/>
        <v>76847</v>
      </c>
      <c r="AI94" s="58">
        <f t="shared" si="207"/>
        <v>59682</v>
      </c>
      <c r="AJ94" s="58">
        <f t="shared" si="207"/>
        <v>74226</v>
      </c>
      <c r="AK94" s="58">
        <f t="shared" si="207"/>
        <v>14740</v>
      </c>
      <c r="AL94" s="58">
        <f t="shared" si="207"/>
        <v>38005</v>
      </c>
      <c r="AM94" s="58">
        <f t="shared" si="207"/>
        <v>-71903</v>
      </c>
      <c r="AN94" s="58">
        <f t="shared" si="207"/>
        <v>-90633.333333333343</v>
      </c>
      <c r="AO94" s="58">
        <f t="shared" si="207"/>
        <v>-115900</v>
      </c>
      <c r="AP94" s="58">
        <f t="shared" si="207"/>
        <v>1360</v>
      </c>
      <c r="AQ94" s="58">
        <f t="shared" si="207"/>
        <v>2160</v>
      </c>
      <c r="AR94" s="58">
        <f t="shared" si="185"/>
        <v>9360.666666666657</v>
      </c>
      <c r="AS94" s="59"/>
      <c r="AT94" s="58">
        <f t="shared" ref="AT94:BE94" si="208">AT81-AT34</f>
        <v>-19749.25</v>
      </c>
      <c r="AU94" s="58">
        <f t="shared" si="208"/>
        <v>-43342.103448275855</v>
      </c>
      <c r="AV94" s="58">
        <f t="shared" si="208"/>
        <v>-36893.137931034493</v>
      </c>
      <c r="AW94" s="58">
        <f t="shared" si="208"/>
        <v>-32095.137931034493</v>
      </c>
      <c r="AX94" s="58">
        <f t="shared" si="208"/>
        <v>19900.034482758623</v>
      </c>
      <c r="AY94" s="58">
        <f t="shared" si="208"/>
        <v>19999.222221222211</v>
      </c>
      <c r="AZ94" s="58">
        <f t="shared" si="208"/>
        <v>-14264.777777777781</v>
      </c>
      <c r="BA94" s="58">
        <f t="shared" si="208"/>
        <v>-68922.296296296292</v>
      </c>
      <c r="BB94" s="58">
        <f t="shared" si="208"/>
        <v>-78407.777777777781</v>
      </c>
      <c r="BC94" s="58">
        <f t="shared" si="208"/>
        <v>-95868.290755657828</v>
      </c>
      <c r="BD94" s="58">
        <f t="shared" si="208"/>
        <v>-5124.586881472962</v>
      </c>
      <c r="BE94" s="58">
        <f t="shared" si="208"/>
        <v>-10986.612965093984</v>
      </c>
      <c r="BF94" s="58">
        <f t="shared" si="187"/>
        <v>-365754.71506044065</v>
      </c>
      <c r="BG94" s="59"/>
      <c r="BH94" s="58">
        <f t="shared" ref="BH94:BQ94" si="209">BH81-BH34</f>
        <v>-12993</v>
      </c>
      <c r="BI94" s="58">
        <f t="shared" si="209"/>
        <v>-30242.333333333314</v>
      </c>
      <c r="BJ94" s="58">
        <f t="shared" si="209"/>
        <v>-23206.074074074073</v>
      </c>
      <c r="BK94" s="58">
        <f t="shared" si="209"/>
        <v>-47411.74074074073</v>
      </c>
      <c r="BL94" s="58">
        <f t="shared" si="209"/>
        <v>-23836.851851851854</v>
      </c>
      <c r="BM94" s="58">
        <f t="shared" si="209"/>
        <v>23509.740740740745</v>
      </c>
      <c r="BN94" s="58">
        <f t="shared" si="209"/>
        <v>-33707.555555555562</v>
      </c>
      <c r="BO94" s="58">
        <f t="shared" si="209"/>
        <v>-18896.378111111087</v>
      </c>
      <c r="BP94" s="58">
        <f t="shared" si="209"/>
        <v>-45053.749537037045</v>
      </c>
      <c r="BQ94" s="58">
        <f t="shared" si="209"/>
        <v>-7140</v>
      </c>
      <c r="BR94" s="58"/>
      <c r="BS94" s="58"/>
      <c r="BT94" s="58">
        <f t="shared" si="189"/>
        <v>-218977.94246296291</v>
      </c>
      <c r="BU94" s="60"/>
      <c r="BV94" s="58"/>
      <c r="BW94" s="58"/>
      <c r="BX94" s="58"/>
      <c r="BY94" s="58">
        <f>BY81-BY34</f>
        <v>13630.76923076922</v>
      </c>
      <c r="BZ94" s="58">
        <f t="shared" ref="BZ94:CG94" si="210">BZ81-BZ34</f>
        <v>14117.606582143373</v>
      </c>
      <c r="CA94" s="58">
        <f t="shared" si="210"/>
        <v>16957.870899031579</v>
      </c>
      <c r="CB94" s="58">
        <f t="shared" si="210"/>
        <v>3013.7855523840117</v>
      </c>
      <c r="CC94" s="58">
        <f t="shared" si="210"/>
        <v>-28501.089448851068</v>
      </c>
      <c r="CD94" s="58">
        <f t="shared" si="210"/>
        <v>-40033.040135593415</v>
      </c>
      <c r="CE94" s="58">
        <f t="shared" si="210"/>
        <v>-43122.303862118919</v>
      </c>
      <c r="CF94" s="58">
        <f t="shared" si="210"/>
        <v>-3915.8422363018617</v>
      </c>
      <c r="CG94" s="58">
        <f t="shared" si="210"/>
        <v>11316.183308289634</v>
      </c>
      <c r="CH94" s="58">
        <f>CH90-CH76</f>
        <v>-50665</v>
      </c>
      <c r="CJ94" s="58">
        <f t="shared" ref="CJ94:CV94" si="211">CJ81-CJ34</f>
        <v>7083.6330227357394</v>
      </c>
      <c r="CK94" s="58">
        <f t="shared" si="211"/>
        <v>13756.340186358546</v>
      </c>
      <c r="CL94" s="58">
        <f t="shared" si="211"/>
        <v>4307.6667014535924</v>
      </c>
      <c r="CM94" s="58">
        <f t="shared" si="211"/>
        <v>34375.841222512099</v>
      </c>
      <c r="CN94" s="58">
        <f t="shared" si="211"/>
        <v>10438.8879612374</v>
      </c>
      <c r="CO94" s="58">
        <f t="shared" si="211"/>
        <v>63053.84509877002</v>
      </c>
      <c r="CP94" s="58">
        <f t="shared" si="211"/>
        <v>32882.489535864966</v>
      </c>
      <c r="CQ94" s="58">
        <f t="shared" si="211"/>
        <v>-22005.693924050604</v>
      </c>
      <c r="CR94" s="58">
        <f t="shared" si="211"/>
        <v>-47858.190843881865</v>
      </c>
      <c r="CS94" s="58">
        <f t="shared" si="211"/>
        <v>-44713.95105485231</v>
      </c>
      <c r="CT94" s="58">
        <f t="shared" si="211"/>
        <v>-9023.6010970463976</v>
      </c>
      <c r="CU94" s="58">
        <f t="shared" si="211"/>
        <v>22348.607594936708</v>
      </c>
      <c r="CV94" s="58">
        <f t="shared" si="211"/>
        <v>64645.874404037837</v>
      </c>
      <c r="CW94" s="758"/>
      <c r="CX94" s="58">
        <f>CX81-CX34</f>
        <v>-58112.900000000023</v>
      </c>
      <c r="CY94" s="58">
        <f t="shared" ref="CY94:DK94" si="212">CY81-CY34</f>
        <v>-27135.399999999994</v>
      </c>
      <c r="CZ94" s="58">
        <f t="shared" si="212"/>
        <v>-178620</v>
      </c>
      <c r="DA94" s="58">
        <f t="shared" si="212"/>
        <v>-70160</v>
      </c>
      <c r="DB94" s="58">
        <f t="shared" si="212"/>
        <v>-9910.2500000000291</v>
      </c>
      <c r="DC94" s="58">
        <f t="shared" si="212"/>
        <v>-15667.280000000013</v>
      </c>
      <c r="DD94" s="58">
        <f t="shared" si="212"/>
        <v>-45601.280000000057</v>
      </c>
      <c r="DE94" s="58">
        <f t="shared" si="212"/>
        <v>-78574.960000000021</v>
      </c>
      <c r="DF94" s="58">
        <f t="shared" si="212"/>
        <v>-142807.14000000001</v>
      </c>
      <c r="DG94" s="58">
        <f t="shared" si="212"/>
        <v>-102559.06033755274</v>
      </c>
      <c r="DH94" s="58">
        <f t="shared" si="212"/>
        <v>-26544.786751054868</v>
      </c>
      <c r="DI94" s="58">
        <f t="shared" si="212"/>
        <v>-20220.445569620264</v>
      </c>
      <c r="DJ94" s="58">
        <f t="shared" si="212"/>
        <v>-260913.50265822816</v>
      </c>
      <c r="DK94" s="948"/>
      <c r="DL94" s="58">
        <f>DL81-DL34</f>
        <v>-82540.000000000029</v>
      </c>
      <c r="DM94" s="58">
        <f t="shared" ref="DM94:DY94" si="213">DM81-DM34</f>
        <v>-35740</v>
      </c>
      <c r="DN94" s="58">
        <f t="shared" si="213"/>
        <v>-41540</v>
      </c>
      <c r="DO94" s="58">
        <f t="shared" si="213"/>
        <v>-25422.043000000063</v>
      </c>
      <c r="DP94" s="58">
        <f t="shared" si="213"/>
        <v>-34996.131000000023</v>
      </c>
      <c r="DQ94" s="58">
        <f t="shared" si="213"/>
        <v>-18181.864000000031</v>
      </c>
      <c r="DR94" s="58">
        <f t="shared" si="213"/>
        <v>-80784.950200000079</v>
      </c>
      <c r="DS94" s="58">
        <f t="shared" si="213"/>
        <v>-116891.09540000002</v>
      </c>
      <c r="DT94" s="58">
        <f t="shared" si="213"/>
        <v>-170212.95870000008</v>
      </c>
      <c r="DU94" s="58">
        <f t="shared" si="213"/>
        <v>-128328.53237130807</v>
      </c>
      <c r="DV94" s="58">
        <f t="shared" si="213"/>
        <v>-42898.464826160372</v>
      </c>
      <c r="DW94" s="58">
        <f t="shared" si="213"/>
        <v>-27831.690126582282</v>
      </c>
      <c r="DX94" s="58">
        <f t="shared" si="213"/>
        <v>-805367.7296240516</v>
      </c>
    </row>
    <row r="95" spans="1:129" ht="15" hidden="1" customHeight="1">
      <c r="B95" t="s">
        <v>106</v>
      </c>
      <c r="BZ95" s="598"/>
      <c r="CA95" s="598">
        <f>BZ95+CA94</f>
        <v>16957.870899031579</v>
      </c>
      <c r="CB95" s="598">
        <f t="shared" ref="CB95:CG95" si="214">CA95+CB94</f>
        <v>19971.656451415591</v>
      </c>
      <c r="CC95" s="598">
        <f t="shared" si="214"/>
        <v>-8529.4329974354769</v>
      </c>
      <c r="CD95" s="598">
        <f t="shared" si="214"/>
        <v>-48562.473133028892</v>
      </c>
      <c r="CE95" s="598">
        <f t="shared" si="214"/>
        <v>-91684.776995147811</v>
      </c>
      <c r="CF95" s="598">
        <f t="shared" si="214"/>
        <v>-95600.619231449673</v>
      </c>
      <c r="CG95" s="598">
        <f t="shared" si="214"/>
        <v>-84284.435923160039</v>
      </c>
      <c r="CN95">
        <v>147</v>
      </c>
      <c r="CO95">
        <v>147</v>
      </c>
      <c r="CP95">
        <v>147</v>
      </c>
      <c r="CQ95">
        <v>147</v>
      </c>
      <c r="CR95">
        <v>147</v>
      </c>
      <c r="CS95">
        <v>147</v>
      </c>
      <c r="CT95">
        <v>147</v>
      </c>
      <c r="CU95">
        <v>147</v>
      </c>
      <c r="CW95" s="758"/>
      <c r="CX95">
        <f>CX78/(CX77+CX78)</f>
        <v>0.10889228207304867</v>
      </c>
      <c r="CY95">
        <f t="shared" ref="CY95:DI95" si="215">CY78/(CY77+CY78)</f>
        <v>0.10906332005393196</v>
      </c>
      <c r="CZ95">
        <f t="shared" si="215"/>
        <v>0.10560295990871499</v>
      </c>
      <c r="DA95">
        <f t="shared" si="215"/>
        <v>0.1103740306776172</v>
      </c>
      <c r="DB95">
        <f t="shared" si="215"/>
        <v>0.13051445317054414</v>
      </c>
      <c r="DC95">
        <f t="shared" si="215"/>
        <v>0.11523987852948538</v>
      </c>
      <c r="DD95">
        <f t="shared" si="215"/>
        <v>0.15437832681434827</v>
      </c>
      <c r="DE95">
        <f t="shared" si="215"/>
        <v>0.15036914685746341</v>
      </c>
      <c r="DF95">
        <f t="shared" si="215"/>
        <v>0.14020904139872914</v>
      </c>
      <c r="DG95">
        <f t="shared" si="215"/>
        <v>7.9975851863863481E-2</v>
      </c>
      <c r="DH95">
        <f t="shared" si="215"/>
        <v>0.10518071187595056</v>
      </c>
      <c r="DI95">
        <f t="shared" si="215"/>
        <v>9.825520729297918E-2</v>
      </c>
      <c r="DK95" s="948"/>
      <c r="DL95">
        <f>DL78/(DL77+DL78)</f>
        <v>9.6743432367023818E-2</v>
      </c>
      <c r="DM95">
        <f t="shared" ref="DM95:DW95" si="216">DM78/(DM77+DM78)</f>
        <v>9.6498631887906555E-2</v>
      </c>
      <c r="DN95">
        <f t="shared" si="216"/>
        <v>9.4591881536495157E-2</v>
      </c>
      <c r="DO95">
        <f t="shared" si="216"/>
        <v>9.7964874027716115E-2</v>
      </c>
      <c r="DP95">
        <f t="shared" si="216"/>
        <v>9.6214773867036557E-2</v>
      </c>
      <c r="DQ95">
        <f t="shared" si="216"/>
        <v>9.1265234582406166E-2</v>
      </c>
      <c r="DR95">
        <f t="shared" si="216"/>
        <v>0.10014614608853602</v>
      </c>
      <c r="DS95">
        <f t="shared" si="216"/>
        <v>0.11099587737436893</v>
      </c>
      <c r="DT95">
        <f t="shared" si="216"/>
        <v>0.1164117090457787</v>
      </c>
      <c r="DU95">
        <f t="shared" si="216"/>
        <v>7.1907521879673655E-2</v>
      </c>
      <c r="DV95">
        <f t="shared" si="216"/>
        <v>9.4879734818233225E-2</v>
      </c>
      <c r="DW95">
        <f t="shared" si="216"/>
        <v>8.908196304065602E-2</v>
      </c>
    </row>
    <row r="96" spans="1:129" ht="15" hidden="1" customHeight="1">
      <c r="B96" t="s">
        <v>107</v>
      </c>
      <c r="CN96" s="735">
        <f>CN89/CN95</f>
        <v>8840.5732799999987</v>
      </c>
      <c r="CO96" s="735">
        <f t="shared" ref="CO96:CU96" si="217">CO89/CO95</f>
        <v>9261.5529599999973</v>
      </c>
      <c r="CP96" s="735">
        <f t="shared" si="217"/>
        <v>10524.491999999997</v>
      </c>
      <c r="CQ96" s="735">
        <f t="shared" si="217"/>
        <v>8840.5732799999987</v>
      </c>
      <c r="CR96" s="735">
        <f t="shared" si="217"/>
        <v>9261.5529599999973</v>
      </c>
      <c r="CS96" s="735">
        <f t="shared" si="217"/>
        <v>9682.5326399999976</v>
      </c>
      <c r="CT96" s="735">
        <f t="shared" si="217"/>
        <v>9261.5529599999973</v>
      </c>
      <c r="CU96" s="735">
        <f t="shared" si="217"/>
        <v>7156.654559999999</v>
      </c>
      <c r="CW96" s="758"/>
      <c r="CX96">
        <f>ROUND(CX95*CX81,0)</f>
        <v>14361</v>
      </c>
      <c r="CY96">
        <f t="shared" ref="CY96:DI96" si="218">ROUND(CY95*CY81,0)</f>
        <v>12855</v>
      </c>
      <c r="CZ96">
        <f t="shared" si="218"/>
        <v>146</v>
      </c>
      <c r="DA96">
        <f t="shared" si="218"/>
        <v>5060</v>
      </c>
      <c r="DB96">
        <f t="shared" si="218"/>
        <v>21540</v>
      </c>
      <c r="DC96">
        <f t="shared" si="218"/>
        <v>13272</v>
      </c>
      <c r="DD96">
        <f t="shared" si="218"/>
        <v>25912</v>
      </c>
      <c r="DE96">
        <f t="shared" si="218"/>
        <v>22163</v>
      </c>
      <c r="DF96">
        <f t="shared" si="218"/>
        <v>21435</v>
      </c>
      <c r="DG96">
        <f t="shared" si="218"/>
        <v>14226</v>
      </c>
      <c r="DH96">
        <f t="shared" si="218"/>
        <v>17297</v>
      </c>
      <c r="DI96">
        <f t="shared" si="218"/>
        <v>8587</v>
      </c>
      <c r="DK96" s="948"/>
      <c r="DL96">
        <f>ROUND(DL95*DL81,0)</f>
        <v>12923</v>
      </c>
      <c r="DM96">
        <f t="shared" ref="DM96:DW96" si="219">ROUND(DM95*DM81,0)</f>
        <v>12119</v>
      </c>
      <c r="DN96">
        <f t="shared" si="219"/>
        <v>14641</v>
      </c>
      <c r="DO96">
        <f t="shared" si="219"/>
        <v>16423</v>
      </c>
      <c r="DP96">
        <f t="shared" si="219"/>
        <v>14936</v>
      </c>
      <c r="DQ96">
        <f t="shared" si="219"/>
        <v>11274</v>
      </c>
      <c r="DR96">
        <f t="shared" si="219"/>
        <v>15210</v>
      </c>
      <c r="DS96">
        <f t="shared" si="219"/>
        <v>14377</v>
      </c>
      <c r="DT96">
        <f t="shared" si="219"/>
        <v>17797</v>
      </c>
      <c r="DU96">
        <f t="shared" si="219"/>
        <v>12791</v>
      </c>
      <c r="DV96">
        <f t="shared" si="219"/>
        <v>15603</v>
      </c>
      <c r="DW96">
        <f t="shared" si="219"/>
        <v>7785</v>
      </c>
    </row>
    <row r="97" spans="1:128" ht="15" hidden="1" customHeight="1">
      <c r="CO97" s="598">
        <f>CO85</f>
        <v>9000</v>
      </c>
      <c r="CP97" s="598">
        <f t="shared" ref="CP97:CU97" si="220">CP85</f>
        <v>9800</v>
      </c>
      <c r="CQ97" s="598">
        <f t="shared" si="220"/>
        <v>9900</v>
      </c>
      <c r="CR97" s="598">
        <f t="shared" si="220"/>
        <v>9900</v>
      </c>
      <c r="CS97" s="598">
        <f t="shared" si="220"/>
        <v>9300</v>
      </c>
      <c r="CT97" s="598">
        <f t="shared" si="220"/>
        <v>8400</v>
      </c>
      <c r="CU97" s="598">
        <f t="shared" si="220"/>
        <v>9300</v>
      </c>
      <c r="CW97" s="758"/>
      <c r="CX97" s="413">
        <v>194469.46000000002</v>
      </c>
      <c r="CY97" s="413">
        <v>159466.88999999998</v>
      </c>
      <c r="CZ97" s="413">
        <v>208203.57</v>
      </c>
      <c r="DA97" s="413">
        <v>158532.44</v>
      </c>
      <c r="DB97" s="413">
        <v>157404.75999999998</v>
      </c>
      <c r="DC97" s="413">
        <v>118894.62</v>
      </c>
      <c r="DD97" s="413">
        <v>211625.73</v>
      </c>
      <c r="DE97" s="413">
        <v>208193.11</v>
      </c>
      <c r="DF97" s="413">
        <v>269889.13</v>
      </c>
      <c r="DG97" s="413">
        <v>258868.84085232066</v>
      </c>
      <c r="DH97" s="413">
        <v>178376.53444641351</v>
      </c>
      <c r="DI97" s="413">
        <v>114212.18776329115</v>
      </c>
      <c r="DK97" s="948"/>
      <c r="DL97" s="413">
        <f>DL98*1.1</f>
        <v>213916.40600000005</v>
      </c>
      <c r="DM97" s="413">
        <f t="shared" ref="DM97:DW97" si="221">DM98*1.1</f>
        <v>175413.579</v>
      </c>
      <c r="DN97" s="413">
        <f t="shared" si="221"/>
        <v>229023.92700000003</v>
      </c>
      <c r="DO97" s="413">
        <f t="shared" si="221"/>
        <v>174385.68400000001</v>
      </c>
      <c r="DP97" s="413">
        <f t="shared" si="221"/>
        <v>173145.236</v>
      </c>
      <c r="DQ97" s="413">
        <f t="shared" si="221"/>
        <v>130784.08200000001</v>
      </c>
      <c r="DR97" s="413">
        <f t="shared" si="221"/>
        <v>232788.30300000004</v>
      </c>
      <c r="DS97" s="413">
        <f t="shared" si="221"/>
        <v>229012.421</v>
      </c>
      <c r="DT97" s="413">
        <f t="shared" si="221"/>
        <v>296878.04300000001</v>
      </c>
      <c r="DU97" s="413">
        <f t="shared" si="221"/>
        <v>284755.72493755276</v>
      </c>
      <c r="DV97" s="413">
        <f t="shared" si="221"/>
        <v>196214.18789105487</v>
      </c>
      <c r="DW97" s="413">
        <f t="shared" si="221"/>
        <v>125633.40653962028</v>
      </c>
    </row>
    <row r="98" spans="1:128" ht="15" hidden="1" customHeight="1">
      <c r="B98" s="576"/>
      <c r="C98" s="576"/>
      <c r="D98" s="576"/>
      <c r="E98" s="576"/>
      <c r="F98" s="576"/>
      <c r="G98" s="576"/>
      <c r="H98" s="576"/>
      <c r="I98" s="576"/>
      <c r="J98" s="576"/>
      <c r="K98" s="576"/>
      <c r="L98" s="576"/>
      <c r="M98" s="576"/>
      <c r="N98" s="576"/>
      <c r="O98" s="576"/>
      <c r="P98" s="576"/>
      <c r="Q98" s="576"/>
      <c r="R98" s="576"/>
      <c r="S98" s="576"/>
      <c r="T98" s="576"/>
      <c r="U98" s="576"/>
      <c r="V98" s="576"/>
      <c r="W98" s="576"/>
      <c r="X98" s="576"/>
      <c r="Y98" s="576"/>
      <c r="Z98" s="576"/>
      <c r="AA98" s="576"/>
      <c r="AB98" s="576"/>
      <c r="AC98" s="576"/>
      <c r="AD98" s="576"/>
      <c r="AE98" s="576"/>
      <c r="AF98" s="576"/>
      <c r="AG98" s="576"/>
      <c r="AH98" s="576"/>
      <c r="AI98" s="576"/>
      <c r="AJ98" s="576"/>
      <c r="AK98" s="576"/>
      <c r="AL98" s="576"/>
      <c r="AM98" s="576"/>
      <c r="AN98" s="576"/>
      <c r="AO98" s="576"/>
      <c r="AP98" s="576"/>
      <c r="AQ98" s="576"/>
      <c r="AR98" s="576"/>
      <c r="AS98" s="576"/>
      <c r="AT98" s="576"/>
      <c r="AU98" s="576"/>
      <c r="AV98" s="576"/>
      <c r="AW98" s="576"/>
      <c r="AX98" s="576"/>
      <c r="AY98" s="576"/>
      <c r="AZ98" s="576"/>
      <c r="BA98" s="576"/>
      <c r="BB98" s="576"/>
      <c r="BC98" s="576"/>
      <c r="BD98" s="576"/>
      <c r="BE98" s="576"/>
      <c r="BF98" s="576"/>
      <c r="BG98" s="576"/>
      <c r="BH98" s="576"/>
      <c r="BI98" s="576"/>
      <c r="BJ98" s="576"/>
      <c r="BK98" s="576"/>
      <c r="BL98" s="576"/>
      <c r="BM98" s="576"/>
      <c r="BN98" s="576"/>
      <c r="BO98" s="576"/>
      <c r="BP98" s="576"/>
      <c r="BQ98" s="576"/>
      <c r="BR98" s="576"/>
      <c r="BS98" s="576"/>
      <c r="BT98" s="576"/>
      <c r="BU98" s="576"/>
      <c r="BV98" s="576"/>
      <c r="BW98" s="576"/>
      <c r="BX98" s="576"/>
      <c r="BY98" s="576"/>
      <c r="BZ98" s="576"/>
      <c r="CA98" s="576"/>
      <c r="CB98" s="576"/>
      <c r="CC98" s="576"/>
      <c r="CD98" s="576"/>
      <c r="CE98" s="576"/>
      <c r="CF98" s="576"/>
      <c r="CG98" s="576"/>
      <c r="CH98" s="576"/>
      <c r="CI98" s="576"/>
      <c r="CJ98" s="576"/>
      <c r="CK98" s="576"/>
      <c r="CL98" s="576"/>
      <c r="CM98" s="576"/>
      <c r="CN98" s="576"/>
      <c r="CO98" s="576">
        <f>CO81*0.95</f>
        <v>188100</v>
      </c>
      <c r="CP98" s="576">
        <f t="shared" ref="CP98:CU98" si="222">CP81*0.95</f>
        <v>232750</v>
      </c>
      <c r="CQ98" s="576">
        <f t="shared" si="222"/>
        <v>197505</v>
      </c>
      <c r="CR98" s="576">
        <f t="shared" si="222"/>
        <v>206910</v>
      </c>
      <c r="CS98" s="576">
        <f t="shared" si="222"/>
        <v>195300.05</v>
      </c>
      <c r="CT98" s="576">
        <f t="shared" si="222"/>
        <v>156123</v>
      </c>
      <c r="CU98" s="576">
        <f t="shared" si="222"/>
        <v>112727</v>
      </c>
      <c r="CV98" s="576"/>
      <c r="CW98" s="758"/>
      <c r="CX98" s="576"/>
      <c r="CY98" s="576"/>
      <c r="CZ98" s="576"/>
      <c r="DA98" s="576"/>
      <c r="DB98" s="576"/>
      <c r="DC98" s="576"/>
      <c r="DD98" s="576"/>
      <c r="DE98" s="576"/>
      <c r="DF98" s="576"/>
      <c r="DG98" s="576"/>
      <c r="DH98" s="576"/>
      <c r="DI98" s="576"/>
      <c r="DK98" s="948"/>
      <c r="DL98" s="413">
        <v>194469.46000000002</v>
      </c>
      <c r="DM98" s="413">
        <v>159466.88999999998</v>
      </c>
      <c r="DN98" s="413">
        <v>208203.57</v>
      </c>
      <c r="DO98" s="413">
        <v>158532.44</v>
      </c>
      <c r="DP98" s="413">
        <v>157404.75999999998</v>
      </c>
      <c r="DQ98" s="413">
        <v>118894.62</v>
      </c>
      <c r="DR98" s="413">
        <v>211625.73</v>
      </c>
      <c r="DS98" s="413">
        <v>208193.11</v>
      </c>
      <c r="DT98" s="413">
        <v>269889.13</v>
      </c>
      <c r="DU98" s="413">
        <v>258868.84085232066</v>
      </c>
      <c r="DV98" s="413">
        <v>178376.53444641351</v>
      </c>
      <c r="DW98" s="413">
        <v>114212.18776329115</v>
      </c>
    </row>
    <row r="99" spans="1:128" ht="15" hidden="1" customHeight="1">
      <c r="A99" s="576"/>
      <c r="B99" s="760" t="s">
        <v>136</v>
      </c>
      <c r="C99" s="761"/>
      <c r="D99" s="761"/>
      <c r="E99" s="761"/>
      <c r="F99" s="761"/>
      <c r="G99" s="761"/>
      <c r="H99" s="761"/>
      <c r="I99" s="761"/>
      <c r="J99" s="761"/>
      <c r="K99" s="761"/>
      <c r="L99" s="761"/>
      <c r="M99" s="761"/>
      <c r="N99" s="761"/>
      <c r="O99" s="761"/>
      <c r="P99" s="761"/>
      <c r="Q99" s="761"/>
      <c r="R99" s="761"/>
      <c r="S99" s="761"/>
      <c r="T99" s="761"/>
      <c r="U99" s="761"/>
      <c r="V99" s="761"/>
      <c r="W99" s="761"/>
      <c r="X99" s="761"/>
      <c r="Y99" s="761"/>
      <c r="Z99" s="761"/>
      <c r="AA99" s="761"/>
      <c r="AB99" s="761"/>
      <c r="AC99" s="761"/>
      <c r="AD99" s="761"/>
      <c r="AE99" s="761"/>
      <c r="AF99" s="761"/>
      <c r="AG99" s="761"/>
      <c r="AH99" s="761"/>
      <c r="AI99" s="761"/>
      <c r="AJ99" s="761"/>
      <c r="AK99" s="761"/>
      <c r="AL99" s="761"/>
      <c r="AM99" s="761"/>
      <c r="AN99" s="761"/>
      <c r="AO99" s="761"/>
      <c r="AP99" s="761"/>
      <c r="AQ99" s="761"/>
      <c r="AR99" s="761"/>
      <c r="AS99" s="761"/>
      <c r="AT99" s="761"/>
      <c r="AU99" s="761"/>
      <c r="AV99" s="761"/>
      <c r="AW99" s="761"/>
      <c r="AX99" s="761"/>
      <c r="AY99" s="761"/>
      <c r="AZ99" s="761"/>
      <c r="BA99" s="761"/>
      <c r="BB99" s="761"/>
      <c r="BC99" s="761"/>
      <c r="BD99" s="761"/>
      <c r="BE99" s="761"/>
      <c r="BF99" s="761"/>
      <c r="BG99" s="761"/>
      <c r="BH99" s="761"/>
      <c r="BI99" s="761"/>
      <c r="BJ99" s="761"/>
      <c r="BK99" s="761"/>
      <c r="BL99" s="761"/>
      <c r="BM99" s="761"/>
      <c r="BN99" s="761"/>
      <c r="BO99" s="761"/>
      <c r="BP99" s="761"/>
      <c r="BQ99" s="761"/>
      <c r="BR99" s="761"/>
      <c r="BS99" s="761"/>
      <c r="BT99" s="761"/>
      <c r="BU99" s="761"/>
      <c r="BV99" s="761"/>
      <c r="BW99" s="761"/>
      <c r="BX99" s="761"/>
      <c r="BY99" s="761"/>
      <c r="BZ99" s="761"/>
      <c r="CA99" s="761"/>
      <c r="CB99" s="761"/>
      <c r="CC99" s="761"/>
      <c r="CD99" s="761"/>
      <c r="CE99" s="761"/>
      <c r="CF99" s="761"/>
      <c r="CG99" s="761"/>
      <c r="CH99" s="761"/>
      <c r="CI99" s="761"/>
      <c r="CJ99" s="761"/>
      <c r="CK99" s="761"/>
      <c r="CL99" s="761"/>
      <c r="CM99" s="761"/>
      <c r="CN99" s="761"/>
      <c r="CO99" s="761"/>
      <c r="CP99" s="761"/>
      <c r="CQ99" s="761"/>
      <c r="CR99" s="761"/>
      <c r="CS99" s="761">
        <v>0</v>
      </c>
      <c r="CT99" s="761">
        <v>20460</v>
      </c>
      <c r="CU99" s="761">
        <f>CU105-CU104</f>
        <v>39440</v>
      </c>
      <c r="CV99" s="761"/>
      <c r="CW99" s="758"/>
      <c r="CX99" s="761">
        <f>CX105-CX104</f>
        <v>53880</v>
      </c>
      <c r="CY99" s="761">
        <f t="shared" ref="CY99:DB99" si="223">CY105-CY104</f>
        <v>30080</v>
      </c>
      <c r="CZ99" s="761">
        <f t="shared" si="223"/>
        <v>34020</v>
      </c>
      <c r="DA99" s="761">
        <f t="shared" si="223"/>
        <v>21160</v>
      </c>
      <c r="DB99" s="761">
        <v>10000</v>
      </c>
      <c r="DC99" s="761">
        <v>50000</v>
      </c>
      <c r="DD99" s="761">
        <v>40000</v>
      </c>
      <c r="DE99" s="761">
        <v>40000</v>
      </c>
      <c r="DF99" s="761">
        <v>35000</v>
      </c>
      <c r="DG99" s="761">
        <v>20000</v>
      </c>
      <c r="DH99" s="761">
        <v>10000</v>
      </c>
      <c r="DI99" s="761">
        <f>DC99</f>
        <v>50000</v>
      </c>
      <c r="DJ99" s="576"/>
      <c r="DK99" s="948"/>
      <c r="DL99" s="761">
        <f>DL105-DL104</f>
        <v>53880</v>
      </c>
      <c r="DM99" s="761">
        <f t="shared" ref="DM99:DP99" si="224">DM105-DM104</f>
        <v>30080</v>
      </c>
      <c r="DN99" s="761">
        <f t="shared" si="224"/>
        <v>34020</v>
      </c>
      <c r="DO99" s="761">
        <f t="shared" si="224"/>
        <v>21160</v>
      </c>
      <c r="DP99" s="761">
        <v>10000</v>
      </c>
      <c r="DQ99" s="761">
        <v>50000</v>
      </c>
      <c r="DR99" s="761">
        <v>40000</v>
      </c>
      <c r="DS99" s="761">
        <v>40000</v>
      </c>
      <c r="DT99" s="761">
        <v>35000</v>
      </c>
      <c r="DU99" s="761">
        <v>20000</v>
      </c>
      <c r="DV99" s="761">
        <v>10000</v>
      </c>
      <c r="DW99" s="761">
        <f>DQ99</f>
        <v>50000</v>
      </c>
      <c r="DX99" s="576"/>
    </row>
    <row r="100" spans="1:128" ht="15" hidden="1" customHeight="1">
      <c r="A100" s="576"/>
      <c r="B100" s="762" t="s">
        <v>137</v>
      </c>
      <c r="C100" s="763"/>
      <c r="D100" s="763"/>
      <c r="E100" s="763"/>
      <c r="F100" s="763"/>
      <c r="G100" s="763"/>
      <c r="H100" s="763"/>
      <c r="I100" s="763"/>
      <c r="J100" s="763"/>
      <c r="K100" s="763"/>
      <c r="L100" s="763"/>
      <c r="M100" s="763"/>
      <c r="N100" s="763"/>
      <c r="O100" s="763"/>
      <c r="P100" s="763"/>
      <c r="Q100" s="763"/>
      <c r="R100" s="763"/>
      <c r="S100" s="763"/>
      <c r="T100" s="763"/>
      <c r="U100" s="763"/>
      <c r="V100" s="763"/>
      <c r="W100" s="763"/>
      <c r="X100" s="763"/>
      <c r="Y100" s="763"/>
      <c r="Z100" s="763"/>
      <c r="AA100" s="763"/>
      <c r="AB100" s="763"/>
      <c r="AC100" s="763"/>
      <c r="AD100" s="763"/>
      <c r="AE100" s="763"/>
      <c r="AF100" s="763"/>
      <c r="AG100" s="763"/>
      <c r="AH100" s="763"/>
      <c r="AI100" s="763"/>
      <c r="AJ100" s="763"/>
      <c r="AK100" s="763"/>
      <c r="AL100" s="763"/>
      <c r="AM100" s="763"/>
      <c r="AN100" s="763"/>
      <c r="AO100" s="763"/>
      <c r="AP100" s="763"/>
      <c r="AQ100" s="763"/>
      <c r="AR100" s="763"/>
      <c r="AS100" s="763"/>
      <c r="AT100" s="763"/>
      <c r="AU100" s="763"/>
      <c r="AV100" s="763"/>
      <c r="AW100" s="763"/>
      <c r="AX100" s="763"/>
      <c r="AY100" s="763"/>
      <c r="AZ100" s="763"/>
      <c r="BA100" s="763"/>
      <c r="BB100" s="763"/>
      <c r="BC100" s="763"/>
      <c r="BD100" s="763"/>
      <c r="BE100" s="763"/>
      <c r="BF100" s="763"/>
      <c r="BG100" s="763"/>
      <c r="BH100" s="763"/>
      <c r="BI100" s="763"/>
      <c r="BJ100" s="763"/>
      <c r="BK100" s="763"/>
      <c r="BL100" s="763"/>
      <c r="BM100" s="763"/>
      <c r="BN100" s="763"/>
      <c r="BO100" s="763"/>
      <c r="BP100" s="763"/>
      <c r="BQ100" s="763"/>
      <c r="BR100" s="763"/>
      <c r="BS100" s="763"/>
      <c r="BT100" s="763"/>
      <c r="BU100" s="763"/>
      <c r="BV100" s="763"/>
      <c r="BW100" s="763"/>
      <c r="BX100" s="763"/>
      <c r="BY100" s="763"/>
      <c r="BZ100" s="763"/>
      <c r="CA100" s="763"/>
      <c r="CB100" s="763"/>
      <c r="CC100" s="763"/>
      <c r="CD100" s="763"/>
      <c r="CE100" s="763"/>
      <c r="CF100" s="763"/>
      <c r="CG100" s="763"/>
      <c r="CH100" s="763"/>
      <c r="CI100" s="763"/>
      <c r="CJ100" s="763"/>
      <c r="CK100" s="763"/>
      <c r="CL100" s="763"/>
      <c r="CM100" s="763"/>
      <c r="CN100" s="763"/>
      <c r="CO100" s="763"/>
      <c r="CP100" s="763"/>
      <c r="CQ100" s="763"/>
      <c r="CR100" s="763"/>
      <c r="CS100" s="763"/>
      <c r="CT100" s="763">
        <v>35000</v>
      </c>
      <c r="CU100" s="763">
        <v>2096</v>
      </c>
      <c r="CV100" s="763"/>
      <c r="CW100" s="758"/>
      <c r="CX100" s="764">
        <f>CX107-CX106</f>
        <v>39610</v>
      </c>
      <c r="CY100" s="764">
        <f t="shared" ref="CY100:DC100" si="225">CY107-CY106</f>
        <v>36994</v>
      </c>
      <c r="CZ100" s="764">
        <f t="shared" si="225"/>
        <v>29344</v>
      </c>
      <c r="DA100" s="764">
        <f t="shared" si="225"/>
        <v>33378</v>
      </c>
      <c r="DB100" s="764">
        <f t="shared" si="225"/>
        <v>19489</v>
      </c>
      <c r="DC100" s="764">
        <f t="shared" si="225"/>
        <v>14764</v>
      </c>
      <c r="DD100" s="763">
        <f>DD101*1.1</f>
        <v>49685.9</v>
      </c>
      <c r="DE100" s="763">
        <f t="shared" ref="DE100:DI100" si="226">DE101*1.1</f>
        <v>48585.9</v>
      </c>
      <c r="DF100" s="763">
        <f t="shared" si="226"/>
        <v>55922.9</v>
      </c>
      <c r="DG100" s="763">
        <f t="shared" si="226"/>
        <v>28156.7</v>
      </c>
      <c r="DH100" s="763">
        <f t="shared" si="226"/>
        <v>14078.35</v>
      </c>
      <c r="DI100" s="763">
        <f t="shared" si="226"/>
        <v>3300.0000000000005</v>
      </c>
      <c r="DJ100" s="576"/>
      <c r="DK100" s="948"/>
      <c r="DL100" s="764">
        <f>DL107-DL106</f>
        <v>39610</v>
      </c>
      <c r="DM100" s="764">
        <f t="shared" ref="DM100:DQ100" si="227">DM107-DM106</f>
        <v>36994</v>
      </c>
      <c r="DN100" s="764">
        <f t="shared" si="227"/>
        <v>29344</v>
      </c>
      <c r="DO100" s="764">
        <f t="shared" si="227"/>
        <v>33378</v>
      </c>
      <c r="DP100" s="764">
        <f t="shared" si="227"/>
        <v>19489</v>
      </c>
      <c r="DQ100" s="764">
        <f t="shared" si="227"/>
        <v>14764</v>
      </c>
      <c r="DR100" s="763">
        <f>DR101*1.1</f>
        <v>49685.9</v>
      </c>
      <c r="DS100" s="763">
        <f t="shared" ref="DS100:DW100" si="228">DS101*1.1</f>
        <v>48585.9</v>
      </c>
      <c r="DT100" s="763">
        <f t="shared" si="228"/>
        <v>55922.9</v>
      </c>
      <c r="DU100" s="763">
        <f t="shared" si="228"/>
        <v>28156.7</v>
      </c>
      <c r="DV100" s="763">
        <f t="shared" si="228"/>
        <v>14078.35</v>
      </c>
      <c r="DW100" s="763">
        <f t="shared" si="228"/>
        <v>3300.0000000000005</v>
      </c>
      <c r="DX100" s="576"/>
    </row>
    <row r="101" spans="1:128" ht="15" hidden="1" customHeight="1">
      <c r="B101" s="576"/>
      <c r="C101" s="576"/>
      <c r="D101" s="576"/>
      <c r="E101" s="576"/>
      <c r="F101" s="576"/>
      <c r="G101" s="576"/>
      <c r="H101" s="576"/>
      <c r="I101" s="576"/>
      <c r="J101" s="576"/>
      <c r="K101" s="576"/>
      <c r="L101" s="576"/>
      <c r="M101" s="576"/>
      <c r="N101" s="576"/>
      <c r="O101" s="576"/>
      <c r="P101" s="576"/>
      <c r="Q101" s="576"/>
      <c r="R101" s="576"/>
      <c r="S101" s="576"/>
      <c r="T101" s="576"/>
      <c r="U101" s="576"/>
      <c r="V101" s="576"/>
      <c r="W101" s="576"/>
      <c r="X101" s="576"/>
      <c r="Y101" s="576"/>
      <c r="Z101" s="576"/>
      <c r="AA101" s="576"/>
      <c r="AB101" s="576"/>
      <c r="AC101" s="576"/>
      <c r="AD101" s="576"/>
      <c r="AE101" s="576"/>
      <c r="AF101" s="576"/>
      <c r="AG101" s="576"/>
      <c r="AH101" s="576"/>
      <c r="AI101" s="576"/>
      <c r="AJ101" s="576"/>
      <c r="AK101" s="576"/>
      <c r="AL101" s="576"/>
      <c r="AM101" s="576"/>
      <c r="AN101" s="576"/>
      <c r="AO101" s="576"/>
      <c r="AP101" s="576"/>
      <c r="AQ101" s="576"/>
      <c r="AR101" s="576"/>
      <c r="AS101" s="576"/>
      <c r="AT101" s="576"/>
      <c r="AU101" s="576"/>
      <c r="AV101" s="576"/>
      <c r="AW101" s="576"/>
      <c r="AX101" s="576"/>
      <c r="AY101" s="576"/>
      <c r="AZ101" s="576"/>
      <c r="BA101" s="576"/>
      <c r="BB101" s="576"/>
      <c r="BC101" s="576"/>
      <c r="BD101" s="576"/>
      <c r="BE101" s="576"/>
      <c r="BF101" s="576"/>
      <c r="BG101" s="576"/>
      <c r="BH101" s="576"/>
      <c r="BI101" s="576"/>
      <c r="BJ101" s="576"/>
      <c r="BK101" s="576"/>
      <c r="BL101" s="576"/>
      <c r="BM101" s="576"/>
      <c r="BN101" s="576"/>
      <c r="BO101" s="576"/>
      <c r="BP101" s="576"/>
      <c r="BQ101" s="576"/>
      <c r="BR101" s="576"/>
      <c r="BS101" s="576"/>
      <c r="BT101" s="576"/>
      <c r="BU101" s="576"/>
      <c r="BV101" s="576"/>
      <c r="BW101" s="576"/>
      <c r="BX101" s="576"/>
      <c r="BY101" s="576"/>
      <c r="BZ101" s="576"/>
      <c r="CA101" s="576"/>
      <c r="CB101" s="576"/>
      <c r="CC101" s="576"/>
      <c r="CD101" s="576"/>
      <c r="CE101" s="576"/>
      <c r="CF101" s="576"/>
      <c r="CG101" s="576"/>
      <c r="CH101" s="576"/>
      <c r="CI101" s="576"/>
      <c r="CJ101" s="576"/>
      <c r="CK101" s="576"/>
      <c r="CL101" s="576"/>
      <c r="CM101" s="576"/>
      <c r="CN101" s="576"/>
      <c r="CO101" s="576"/>
      <c r="CP101" s="576"/>
      <c r="CQ101" s="576"/>
      <c r="CR101" s="576"/>
      <c r="CS101" s="576"/>
      <c r="CT101" s="576"/>
      <c r="CU101" s="576"/>
      <c r="CV101" s="576"/>
      <c r="CW101" s="758"/>
      <c r="CX101" s="576"/>
      <c r="CY101" s="576"/>
      <c r="CZ101" s="576"/>
      <c r="DA101" s="576"/>
      <c r="DB101" s="576"/>
      <c r="DC101" s="576"/>
      <c r="DD101" s="576">
        <v>45169</v>
      </c>
      <c r="DE101" s="576">
        <v>44169</v>
      </c>
      <c r="DF101" s="576">
        <v>50839</v>
      </c>
      <c r="DG101" s="576">
        <v>25597</v>
      </c>
      <c r="DH101" s="763">
        <f>DG101/2</f>
        <v>12798.5</v>
      </c>
      <c r="DI101" s="763">
        <v>3000</v>
      </c>
      <c r="DK101" s="948"/>
      <c r="DL101" s="576"/>
      <c r="DM101" s="576"/>
      <c r="DN101" s="576"/>
      <c r="DO101" s="576"/>
      <c r="DP101" s="576"/>
      <c r="DQ101" s="576"/>
      <c r="DR101" s="576">
        <v>45169</v>
      </c>
      <c r="DS101" s="576">
        <v>44169</v>
      </c>
      <c r="DT101" s="576">
        <v>50839</v>
      </c>
      <c r="DU101" s="576">
        <v>25597</v>
      </c>
      <c r="DV101" s="763">
        <f>DU101/2</f>
        <v>12798.5</v>
      </c>
      <c r="DW101" s="763">
        <v>3000</v>
      </c>
    </row>
    <row r="102" spans="1:128" ht="15" hidden="1" customHeight="1">
      <c r="CU102">
        <v>50000</v>
      </c>
      <c r="CX102">
        <v>40000</v>
      </c>
      <c r="CY102">
        <v>40000</v>
      </c>
      <c r="CZ102">
        <v>35000</v>
      </c>
      <c r="DA102">
        <v>20000</v>
      </c>
      <c r="DL102">
        <v>40000</v>
      </c>
      <c r="DM102">
        <v>40000</v>
      </c>
      <c r="DN102">
        <v>35000</v>
      </c>
      <c r="DO102">
        <v>20000</v>
      </c>
    </row>
    <row r="103" spans="1:128" ht="15" hidden="1" customHeight="1"/>
    <row r="104" spans="1:128" ht="15" hidden="1" customHeight="1">
      <c r="CT104" s="682" t="s">
        <v>138</v>
      </c>
      <c r="CU104">
        <v>31560</v>
      </c>
      <c r="CX104">
        <v>26320</v>
      </c>
      <c r="CY104">
        <v>21280</v>
      </c>
      <c r="CZ104">
        <v>19180</v>
      </c>
      <c r="DA104">
        <v>14700</v>
      </c>
      <c r="DL104">
        <v>26320</v>
      </c>
      <c r="DM104">
        <v>21280</v>
      </c>
      <c r="DN104">
        <v>19180</v>
      </c>
      <c r="DO104">
        <v>14700</v>
      </c>
    </row>
    <row r="105" spans="1:128" ht="15" hidden="1" customHeight="1">
      <c r="CU105" s="761">
        <v>71000</v>
      </c>
      <c r="CV105" s="761"/>
      <c r="CW105" s="761"/>
      <c r="CX105" s="761">
        <v>80200</v>
      </c>
      <c r="CY105" s="761">
        <v>51360</v>
      </c>
      <c r="CZ105" s="761">
        <v>53200</v>
      </c>
      <c r="DA105" s="761">
        <v>35860</v>
      </c>
      <c r="DL105" s="761">
        <v>80200</v>
      </c>
      <c r="DM105" s="761">
        <v>51360</v>
      </c>
      <c r="DN105" s="761">
        <v>53200</v>
      </c>
      <c r="DO105" s="761">
        <v>35860</v>
      </c>
    </row>
    <row r="106" spans="1:128" ht="15" hidden="1" customHeight="1">
      <c r="B106" s="576"/>
      <c r="C106" s="576"/>
      <c r="CT106" t="s">
        <v>139</v>
      </c>
      <c r="CX106" s="764">
        <v>24332</v>
      </c>
      <c r="CY106" s="764">
        <v>18419</v>
      </c>
      <c r="CZ106" s="764">
        <v>19179</v>
      </c>
      <c r="DA106" s="764">
        <v>17338</v>
      </c>
      <c r="DB106" s="764">
        <v>12064</v>
      </c>
      <c r="DC106" s="764">
        <v>9136</v>
      </c>
      <c r="DL106" s="764">
        <v>24332</v>
      </c>
      <c r="DM106" s="764">
        <v>18419</v>
      </c>
      <c r="DN106" s="764">
        <v>19179</v>
      </c>
      <c r="DO106" s="764">
        <v>17338</v>
      </c>
      <c r="DP106" s="764">
        <v>12064</v>
      </c>
      <c r="DQ106" s="764">
        <v>9136</v>
      </c>
    </row>
    <row r="107" spans="1:128" ht="15" hidden="1" customHeight="1">
      <c r="A107" s="576"/>
      <c r="B107" s="946" t="s">
        <v>140</v>
      </c>
      <c r="C107" s="947" t="s">
        <v>141</v>
      </c>
      <c r="D107" s="576"/>
      <c r="CX107" s="764">
        <v>63942</v>
      </c>
      <c r="CY107" s="764">
        <v>55413</v>
      </c>
      <c r="CZ107" s="764">
        <v>48523</v>
      </c>
      <c r="DA107" s="764">
        <v>50716</v>
      </c>
      <c r="DB107" s="764">
        <v>31553</v>
      </c>
      <c r="DC107" s="764">
        <v>23900</v>
      </c>
      <c r="DL107" s="764">
        <v>63942</v>
      </c>
      <c r="DM107" s="764">
        <v>55413</v>
      </c>
      <c r="DN107" s="764">
        <v>48523</v>
      </c>
      <c r="DO107" s="764">
        <v>50716</v>
      </c>
      <c r="DP107" s="764">
        <v>31553</v>
      </c>
      <c r="DQ107" s="764">
        <v>23900</v>
      </c>
    </row>
    <row r="108" spans="1:128" ht="15" hidden="1" customHeight="1">
      <c r="A108" s="576"/>
      <c r="B108" s="944" t="s">
        <v>142</v>
      </c>
      <c r="C108" s="945">
        <f>COUNTIFS(grupos!C:C,B108)</f>
        <v>1</v>
      </c>
      <c r="D108" s="576"/>
    </row>
    <row r="109" spans="1:128" ht="15" hidden="1" customHeight="1">
      <c r="A109" s="576"/>
      <c r="B109" s="941" t="s">
        <v>143</v>
      </c>
      <c r="C109" s="942">
        <v>12</v>
      </c>
      <c r="D109" s="576"/>
      <c r="CV109" t="s">
        <v>144</v>
      </c>
      <c r="CX109">
        <v>15330</v>
      </c>
      <c r="CY109">
        <v>12143</v>
      </c>
      <c r="CZ109">
        <v>17171</v>
      </c>
      <c r="DA109">
        <v>12558</v>
      </c>
      <c r="DB109">
        <v>13440</v>
      </c>
      <c r="DC109">
        <v>9626</v>
      </c>
      <c r="DD109">
        <v>16670</v>
      </c>
      <c r="DE109">
        <v>18206</v>
      </c>
      <c r="DF109">
        <v>25500</v>
      </c>
      <c r="DG109">
        <v>16774</v>
      </c>
      <c r="DH109">
        <v>15710</v>
      </c>
      <c r="DI109">
        <v>9907</v>
      </c>
      <c r="DL109">
        <v>15330</v>
      </c>
      <c r="DM109">
        <v>12143</v>
      </c>
      <c r="DN109">
        <v>17171</v>
      </c>
      <c r="DO109">
        <v>12558</v>
      </c>
      <c r="DP109">
        <v>13440</v>
      </c>
      <c r="DQ109">
        <v>9626</v>
      </c>
      <c r="DR109">
        <v>16670</v>
      </c>
      <c r="DS109">
        <v>18206</v>
      </c>
      <c r="DT109">
        <v>25500</v>
      </c>
      <c r="DU109">
        <v>16774</v>
      </c>
      <c r="DV109">
        <v>15710</v>
      </c>
      <c r="DW109">
        <v>9907</v>
      </c>
    </row>
    <row r="110" spans="1:128" ht="15" hidden="1" customHeight="1">
      <c r="A110" s="576"/>
      <c r="B110" s="941" t="s">
        <v>145</v>
      </c>
      <c r="C110" s="942">
        <f>COUNTIFS(grupos!C:C,B110)</f>
        <v>1</v>
      </c>
      <c r="D110" s="576"/>
      <c r="DL110" s="881">
        <v>166555.77995873816</v>
      </c>
      <c r="DM110" s="881">
        <v>152835.36924465047</v>
      </c>
      <c r="DN110" s="881">
        <v>195319.2072937729</v>
      </c>
      <c r="DO110" s="881">
        <v>158396.18906207831</v>
      </c>
      <c r="DP110" s="881">
        <v>152371.51475009107</v>
      </c>
      <c r="DQ110" s="881">
        <v>147696.01107361159</v>
      </c>
      <c r="DR110" s="881">
        <v>189465.0513586243</v>
      </c>
      <c r="DS110" s="881">
        <v>202914.10079748323</v>
      </c>
      <c r="DT110" s="881">
        <v>214499.61628422557</v>
      </c>
      <c r="DU110" s="881">
        <v>217682.99793575107</v>
      </c>
      <c r="DV110" s="881">
        <v>179284.72030485788</v>
      </c>
      <c r="DW110" s="881">
        <v>88389.319383536102</v>
      </c>
      <c r="DX110" s="69">
        <v>2065409.8774474205</v>
      </c>
    </row>
    <row r="111" spans="1:128" ht="15" hidden="1" customHeight="1">
      <c r="A111" s="576"/>
      <c r="B111" s="941" t="s">
        <v>146</v>
      </c>
      <c r="C111" s="942">
        <v>3</v>
      </c>
      <c r="D111" s="576"/>
    </row>
    <row r="112" spans="1:128" ht="15" hidden="1" customHeight="1">
      <c r="A112" s="576"/>
      <c r="B112" s="762" t="s">
        <v>147</v>
      </c>
      <c r="C112" s="943">
        <v>5</v>
      </c>
      <c r="D112" s="576"/>
    </row>
    <row r="113" spans="2:103" ht="15" hidden="1" customHeight="1">
      <c r="B113" s="576"/>
      <c r="C113" s="602">
        <f>SUM(C108:C112)</f>
        <v>22</v>
      </c>
    </row>
    <row r="114" spans="2:103" s="594" customFormat="1" ht="15" hidden="1" customHeight="1">
      <c r="B114" s="594" t="s">
        <v>148</v>
      </c>
      <c r="CX114" s="953">
        <v>191345</v>
      </c>
      <c r="CY114" s="953">
        <v>145396</v>
      </c>
    </row>
    <row r="115" spans="2:103" ht="15" hidden="1" customHeight="1">
      <c r="B115" t="s">
        <v>149</v>
      </c>
      <c r="CX115" s="862">
        <v>27823</v>
      </c>
      <c r="CY115" s="862">
        <v>27550</v>
      </c>
    </row>
    <row r="116" spans="2:103" ht="15" hidden="1" customHeight="1">
      <c r="B116" t="s">
        <v>150</v>
      </c>
      <c r="CX116" s="862">
        <v>14235</v>
      </c>
      <c r="CY116" s="862">
        <v>15739</v>
      </c>
    </row>
    <row r="117" spans="2:103" ht="15" hidden="1" customHeight="1"/>
  </sheetData>
  <mergeCells count="28">
    <mergeCell ref="CX1:DI1"/>
    <mergeCell ref="DL1:DW1"/>
    <mergeCell ref="D2:P2"/>
    <mergeCell ref="R2:AD2"/>
    <mergeCell ref="AF2:AR2"/>
    <mergeCell ref="AT2:BF2"/>
    <mergeCell ref="BH2:BS2"/>
    <mergeCell ref="BV2:CG2"/>
    <mergeCell ref="CJ2:CU2"/>
    <mergeCell ref="CX2:DI2"/>
    <mergeCell ref="R1:AD1"/>
    <mergeCell ref="AF1:AR1"/>
    <mergeCell ref="AT1:BF1"/>
    <mergeCell ref="BH1:BS1"/>
    <mergeCell ref="BV1:CG1"/>
    <mergeCell ref="CJ1:CU1"/>
    <mergeCell ref="B59:C59"/>
    <mergeCell ref="DL2:DW2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</mergeCells>
  <pageMargins left="0.25" right="0.25" top="0.75" bottom="0.75" header="0" footer="0"/>
  <pageSetup paperSize="9" scale="55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64BE-9A8D-4614-AB30-316632FAC584}">
  <sheetPr>
    <tabColor rgb="FFFFC000"/>
  </sheetPr>
  <dimension ref="A1:DY117"/>
  <sheetViews>
    <sheetView showGridLines="0" zoomScale="80" zoomScaleNormal="80" workbookViewId="0">
      <pane xSplit="3" ySplit="9" topLeftCell="DA11" activePane="bottomRight" state="frozen"/>
      <selection pane="bottomRight" activeCell="DJ5" sqref="DJ5"/>
      <selection pane="bottomLeft"/>
      <selection pane="topRight"/>
    </sheetView>
  </sheetViews>
  <sheetFormatPr defaultColWidth="14.42578125" defaultRowHeight="15" customHeight="1" outlineLevelRow="1" outlineLevelCol="1"/>
  <cols>
    <col min="1" max="1" width="3" customWidth="1"/>
    <col min="2" max="2" width="17.85546875" customWidth="1"/>
    <col min="3" max="3" width="14.710937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3.140625" hidden="1" customWidth="1" collapsed="1"/>
    <col min="74" max="87" width="12.28515625" hidden="1" customWidth="1"/>
    <col min="88" max="88" width="12.28515625" hidden="1" customWidth="1" collapsed="1"/>
    <col min="89" max="99" width="12.28515625" hidden="1" customWidth="1"/>
    <col min="100" max="100" width="16.85546875" hidden="1" customWidth="1"/>
    <col min="101" max="101" width="12" hidden="1" customWidth="1"/>
    <col min="102" max="103" width="13" hidden="1" customWidth="1"/>
    <col min="104" max="104" width="12.140625" hidden="1" customWidth="1"/>
    <col min="105" max="105" width="13.5703125" customWidth="1"/>
    <col min="106" max="106" width="12.28515625" customWidth="1"/>
    <col min="107" max="107" width="12.85546875" customWidth="1"/>
    <col min="108" max="108" width="13.5703125" customWidth="1"/>
    <col min="109" max="109" width="12.42578125" customWidth="1"/>
    <col min="110" max="110" width="13.28515625" customWidth="1"/>
    <col min="111" max="111" width="13.140625" customWidth="1"/>
    <col min="112" max="112" width="13.85546875" customWidth="1"/>
    <col min="113" max="113" width="12.28515625" customWidth="1"/>
    <col min="114" max="114" width="12.5703125" customWidth="1"/>
    <col min="115" max="115" width="2.7109375" customWidth="1"/>
    <col min="116" max="128" width="10.5703125" customWidth="1"/>
  </cols>
  <sheetData>
    <row r="1" spans="1:128" ht="2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s="699" t="s">
        <v>1</v>
      </c>
      <c r="CJ1" s="1089" t="s">
        <v>2</v>
      </c>
      <c r="CK1" s="1090"/>
      <c r="CL1" s="1090"/>
      <c r="CM1" s="1090"/>
      <c r="CN1" s="1090"/>
      <c r="CO1" s="1090"/>
      <c r="CP1" s="1090"/>
      <c r="CQ1" s="1090"/>
      <c r="CR1" s="1090"/>
      <c r="CS1" s="1090"/>
      <c r="CT1" s="1090"/>
      <c r="CU1" s="1091"/>
      <c r="CX1" s="1080" t="s">
        <v>158</v>
      </c>
      <c r="CY1" s="1121"/>
      <c r="CZ1" s="1121"/>
      <c r="DA1" s="1121"/>
      <c r="DB1" s="1121"/>
      <c r="DC1" s="1121"/>
      <c r="DD1" s="1121"/>
      <c r="DE1" s="1121"/>
      <c r="DF1" s="1121"/>
      <c r="DG1" s="1121"/>
      <c r="DH1" s="1121"/>
      <c r="DI1" s="1122"/>
      <c r="DK1" s="948"/>
      <c r="DL1" s="1081" t="s">
        <v>0</v>
      </c>
      <c r="DM1" s="1113"/>
      <c r="DN1" s="1113"/>
      <c r="DO1" s="1113"/>
      <c r="DP1" s="1113"/>
      <c r="DQ1" s="1113"/>
      <c r="DR1" s="1113"/>
      <c r="DS1" s="1113"/>
      <c r="DT1" s="1113"/>
      <c r="DU1" s="1113"/>
      <c r="DV1" s="1113"/>
      <c r="DW1" s="1114"/>
    </row>
    <row r="2" spans="1:128" ht="15" customHeight="1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H2" s="700" t="s">
        <v>3</v>
      </c>
      <c r="CJ2" s="1085" t="s">
        <v>4</v>
      </c>
      <c r="CK2" s="1086"/>
      <c r="CL2" s="1086"/>
      <c r="CM2" s="1086"/>
      <c r="CN2" s="1086"/>
      <c r="CO2" s="1086"/>
      <c r="CP2" s="1086"/>
      <c r="CQ2" s="1086"/>
      <c r="CR2" s="1086"/>
      <c r="CS2" s="1086"/>
      <c r="CT2" s="1086"/>
      <c r="CU2" s="1087"/>
      <c r="CX2" s="1077">
        <v>2026</v>
      </c>
      <c r="CY2" s="1115"/>
      <c r="CZ2" s="1115"/>
      <c r="DA2" s="1115"/>
      <c r="DB2" s="1115"/>
      <c r="DC2" s="1115"/>
      <c r="DD2" s="1115"/>
      <c r="DE2" s="1115"/>
      <c r="DF2" s="1115"/>
      <c r="DG2" s="1115"/>
      <c r="DH2" s="1115"/>
      <c r="DI2" s="1116"/>
      <c r="DK2" s="948"/>
      <c r="DL2" s="1077" t="s">
        <v>154</v>
      </c>
      <c r="DM2" s="1115"/>
      <c r="DN2" s="1115"/>
      <c r="DO2" s="1115"/>
      <c r="DP2" s="1115"/>
      <c r="DQ2" s="1115"/>
      <c r="DR2" s="1115"/>
      <c r="DS2" s="1115"/>
      <c r="DT2" s="1115"/>
      <c r="DU2" s="1115"/>
      <c r="DV2" s="1115"/>
      <c r="DW2" s="1116"/>
    </row>
    <row r="3" spans="1:128" ht="15.75">
      <c r="A3" s="703" t="s">
        <v>5</v>
      </c>
      <c r="B3" s="4"/>
      <c r="C3" s="4" t="str">
        <f>A3</f>
        <v>Dias Uteis Produção</v>
      </c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H3" t="s">
        <v>6</v>
      </c>
      <c r="CJ3" s="253">
        <v>23</v>
      </c>
      <c r="CK3" s="566">
        <v>20</v>
      </c>
      <c r="CL3" s="566">
        <v>21</v>
      </c>
      <c r="CM3" s="252">
        <v>22</v>
      </c>
      <c r="CN3" s="248">
        <v>22</v>
      </c>
      <c r="CO3" s="248">
        <v>21</v>
      </c>
      <c r="CP3" s="248">
        <v>23</v>
      </c>
      <c r="CQ3" s="248">
        <v>21</v>
      </c>
      <c r="CR3" s="248">
        <v>22</v>
      </c>
      <c r="CS3" s="248">
        <v>23</v>
      </c>
      <c r="CT3" s="248">
        <v>20</v>
      </c>
      <c r="CU3" s="248">
        <v>13</v>
      </c>
      <c r="CX3" s="253">
        <v>22</v>
      </c>
      <c r="CY3" s="252">
        <v>20</v>
      </c>
      <c r="CZ3" s="252">
        <v>22</v>
      </c>
      <c r="DA3" s="252">
        <v>21</v>
      </c>
      <c r="DB3" s="248">
        <v>21</v>
      </c>
      <c r="DC3" s="248">
        <v>22</v>
      </c>
      <c r="DD3" s="248">
        <v>23</v>
      </c>
      <c r="DE3" s="248">
        <v>21</v>
      </c>
      <c r="DF3" s="248">
        <v>22</v>
      </c>
      <c r="DG3" s="248">
        <v>22</v>
      </c>
      <c r="DH3" s="248">
        <v>21</v>
      </c>
      <c r="DI3" s="248">
        <v>21</v>
      </c>
      <c r="DK3" s="948"/>
      <c r="DL3" s="253">
        <v>22</v>
      </c>
      <c r="DM3" s="252">
        <v>20</v>
      </c>
      <c r="DN3" s="252">
        <v>22</v>
      </c>
      <c r="DO3" s="252">
        <v>22</v>
      </c>
      <c r="DP3" s="248">
        <v>21</v>
      </c>
      <c r="DQ3" s="248">
        <v>22</v>
      </c>
      <c r="DR3" s="248">
        <v>23</v>
      </c>
      <c r="DS3" s="248">
        <v>21</v>
      </c>
      <c r="DT3" s="248">
        <v>22</v>
      </c>
      <c r="DU3" s="248">
        <v>22</v>
      </c>
      <c r="DV3" s="248">
        <v>21</v>
      </c>
      <c r="DW3" s="248">
        <v>21</v>
      </c>
    </row>
    <row r="4" spans="1:128" ht="11.25" customHeight="1">
      <c r="A4" s="703" t="s">
        <v>7</v>
      </c>
      <c r="B4" s="4"/>
      <c r="C4" s="4" t="str">
        <f t="shared" ref="C4:C7" si="0">A4</f>
        <v>(-) FÉRIAS</v>
      </c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H4" t="s">
        <v>8</v>
      </c>
      <c r="CJ4" s="253">
        <v>3</v>
      </c>
      <c r="CK4" s="566"/>
      <c r="CL4" s="566">
        <v>1.5</v>
      </c>
      <c r="CM4" s="252"/>
      <c r="CN4" s="248"/>
      <c r="CO4" s="248"/>
      <c r="CP4" s="248" t="s">
        <v>109</v>
      </c>
      <c r="CQ4" s="248"/>
      <c r="CR4" s="248"/>
      <c r="CS4" s="248"/>
      <c r="CT4" s="248" t="s">
        <v>110</v>
      </c>
      <c r="CU4" s="248"/>
      <c r="CX4" s="253">
        <v>2</v>
      </c>
      <c r="CY4" s="252">
        <v>0</v>
      </c>
      <c r="CZ4" s="252"/>
      <c r="DA4" s="252"/>
      <c r="DB4" s="248"/>
      <c r="DC4" s="248"/>
      <c r="DD4" s="248"/>
      <c r="DE4" s="248"/>
      <c r="DF4" s="248"/>
      <c r="DG4" s="248"/>
      <c r="DH4" s="248"/>
      <c r="DI4" s="248">
        <v>5</v>
      </c>
      <c r="DK4" s="948"/>
      <c r="DL4" s="253">
        <v>2</v>
      </c>
      <c r="DM4" s="252">
        <v>0</v>
      </c>
      <c r="DN4" s="252"/>
      <c r="DO4" s="252"/>
      <c r="DP4" s="248"/>
      <c r="DQ4" s="248"/>
      <c r="DR4" s="248"/>
      <c r="DS4" s="248"/>
      <c r="DT4" s="248"/>
      <c r="DU4" s="248"/>
      <c r="DV4" s="248"/>
      <c r="DW4" s="248">
        <v>5</v>
      </c>
    </row>
    <row r="5" spans="1:128" ht="15.75" customHeight="1">
      <c r="A5" s="703" t="s">
        <v>9</v>
      </c>
      <c r="B5" s="4"/>
      <c r="C5" s="4" t="str">
        <f t="shared" si="0"/>
        <v>(+) SABADO</v>
      </c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H5" t="s">
        <v>10</v>
      </c>
      <c r="CJ5" s="701">
        <v>2</v>
      </c>
      <c r="CK5" s="701">
        <v>3</v>
      </c>
      <c r="CL5" s="701">
        <v>1.5</v>
      </c>
      <c r="CM5" s="733">
        <v>0</v>
      </c>
      <c r="CN5" s="733">
        <v>0</v>
      </c>
      <c r="CO5" s="733">
        <v>2</v>
      </c>
      <c r="CP5" s="750">
        <v>2</v>
      </c>
      <c r="CQ5" s="679">
        <v>0</v>
      </c>
      <c r="CR5" s="679">
        <v>0</v>
      </c>
      <c r="CS5" s="679">
        <v>0</v>
      </c>
      <c r="CT5" s="679">
        <v>3</v>
      </c>
      <c r="CU5" s="643"/>
      <c r="CV5" s="682" t="s">
        <v>111</v>
      </c>
      <c r="CX5" s="701">
        <v>2</v>
      </c>
      <c r="CY5" s="733">
        <v>2</v>
      </c>
      <c r="CZ5" s="733">
        <v>2</v>
      </c>
      <c r="DA5" s="938">
        <v>2</v>
      </c>
      <c r="DB5" s="938">
        <v>2</v>
      </c>
      <c r="DC5" s="938">
        <v>2</v>
      </c>
      <c r="DD5" s="938">
        <v>2</v>
      </c>
      <c r="DE5" s="938">
        <v>2</v>
      </c>
      <c r="DF5" s="938">
        <v>2</v>
      </c>
      <c r="DG5" s="938">
        <v>2</v>
      </c>
      <c r="DH5" s="938">
        <v>2</v>
      </c>
      <c r="DI5" s="939"/>
      <c r="DK5" s="948"/>
      <c r="DL5" s="701">
        <v>2</v>
      </c>
      <c r="DM5" s="733">
        <v>2</v>
      </c>
      <c r="DN5" s="733">
        <v>2</v>
      </c>
      <c r="DO5" s="938">
        <v>2</v>
      </c>
      <c r="DP5" s="938"/>
      <c r="DQ5" s="938"/>
      <c r="DR5" s="938"/>
      <c r="DS5" s="938"/>
      <c r="DT5" s="938">
        <v>2</v>
      </c>
      <c r="DU5" s="938">
        <v>2</v>
      </c>
      <c r="DV5" s="938">
        <v>2</v>
      </c>
      <c r="DW5" s="939"/>
    </row>
    <row r="6" spans="1:128" ht="9.75" customHeight="1">
      <c r="A6" s="703" t="s">
        <v>11</v>
      </c>
      <c r="B6" s="4"/>
      <c r="C6" s="4" t="str">
        <f t="shared" si="0"/>
        <v>(-)FERIADO</v>
      </c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 t="s">
        <v>12</v>
      </c>
      <c r="CJ6" s="644"/>
      <c r="CK6" s="679"/>
      <c r="CL6" s="679">
        <v>2</v>
      </c>
      <c r="CM6" s="679">
        <v>2</v>
      </c>
      <c r="CN6" s="679">
        <v>1</v>
      </c>
      <c r="CO6" s="679">
        <v>1</v>
      </c>
      <c r="CP6" s="679"/>
      <c r="CQ6" s="679"/>
      <c r="CR6" s="679">
        <v>0</v>
      </c>
      <c r="CS6" s="643">
        <v>0</v>
      </c>
      <c r="CT6" s="643">
        <v>1</v>
      </c>
      <c r="CU6" s="643"/>
      <c r="CX6" s="644"/>
      <c r="CY6" s="938">
        <v>3</v>
      </c>
      <c r="CZ6" s="938">
        <v>2</v>
      </c>
      <c r="DA6" s="938">
        <v>3</v>
      </c>
      <c r="DB6" s="938">
        <v>1</v>
      </c>
      <c r="DC6" s="938">
        <v>1</v>
      </c>
      <c r="DD6" s="938"/>
      <c r="DE6" s="938">
        <v>0</v>
      </c>
      <c r="DF6" s="938">
        <v>1</v>
      </c>
      <c r="DG6" s="938">
        <v>1</v>
      </c>
      <c r="DH6" s="938">
        <v>2</v>
      </c>
      <c r="DI6" s="939">
        <v>5</v>
      </c>
      <c r="DK6" s="948"/>
      <c r="DL6" s="644"/>
      <c r="DM6" s="938">
        <v>3</v>
      </c>
      <c r="DN6" s="938">
        <v>2</v>
      </c>
      <c r="DO6" s="938">
        <v>2</v>
      </c>
      <c r="DP6" s="938">
        <v>1</v>
      </c>
      <c r="DQ6" s="938">
        <v>1</v>
      </c>
      <c r="DR6" s="938"/>
      <c r="DS6" s="938">
        <v>0</v>
      </c>
      <c r="DT6" s="938">
        <v>1</v>
      </c>
      <c r="DU6" s="938">
        <v>1</v>
      </c>
      <c r="DV6" s="938">
        <v>2</v>
      </c>
      <c r="DW6" s="939">
        <v>5</v>
      </c>
    </row>
    <row r="7" spans="1:128">
      <c r="A7" s="704" t="s">
        <v>13</v>
      </c>
      <c r="B7" s="3"/>
      <c r="C7" s="3" t="str">
        <f t="shared" si="0"/>
        <v>Dias Trabalhados</v>
      </c>
      <c r="D7" s="252">
        <v>16</v>
      </c>
      <c r="E7" s="252">
        <v>21</v>
      </c>
      <c r="F7" s="252">
        <v>18</v>
      </c>
      <c r="G7" s="252">
        <v>21</v>
      </c>
      <c r="H7" s="252">
        <v>22</v>
      </c>
      <c r="I7" s="252">
        <v>19</v>
      </c>
      <c r="J7" s="252">
        <v>23</v>
      </c>
      <c r="K7" s="252">
        <v>21</v>
      </c>
      <c r="L7" s="252">
        <v>21</v>
      </c>
      <c r="M7" s="252">
        <v>26</v>
      </c>
      <c r="N7" s="252">
        <v>24</v>
      </c>
      <c r="O7" s="252">
        <v>15</v>
      </c>
      <c r="P7" s="4"/>
      <c r="Q7" s="247"/>
      <c r="R7" s="252">
        <v>22</v>
      </c>
      <c r="S7" s="252">
        <v>20</v>
      </c>
      <c r="T7" s="252">
        <v>14</v>
      </c>
      <c r="U7" s="252">
        <v>1</v>
      </c>
      <c r="V7" s="252">
        <v>12</v>
      </c>
      <c r="W7" s="252">
        <v>22</v>
      </c>
      <c r="X7" s="252">
        <v>23</v>
      </c>
      <c r="Y7" s="252">
        <v>21</v>
      </c>
      <c r="Z7" s="252">
        <v>21</v>
      </c>
      <c r="AA7" s="252">
        <v>21</v>
      </c>
      <c r="AB7" s="252">
        <v>20</v>
      </c>
      <c r="AC7" s="252">
        <v>17</v>
      </c>
      <c r="AD7" s="2"/>
      <c r="AE7" s="253"/>
      <c r="AF7" s="254">
        <v>18</v>
      </c>
      <c r="AG7" s="252">
        <v>20</v>
      </c>
      <c r="AH7" s="248">
        <v>20</v>
      </c>
      <c r="AI7" s="248">
        <v>20</v>
      </c>
      <c r="AJ7" s="252">
        <v>22</v>
      </c>
      <c r="AK7" s="252">
        <v>20</v>
      </c>
      <c r="AL7" s="252">
        <v>22</v>
      </c>
      <c r="AM7" s="252">
        <v>22</v>
      </c>
      <c r="AN7" s="252">
        <v>21</v>
      </c>
      <c r="AO7" s="252">
        <v>20</v>
      </c>
      <c r="AP7" s="252">
        <v>20</v>
      </c>
      <c r="AQ7" s="248">
        <v>12</v>
      </c>
      <c r="AR7" s="2"/>
      <c r="AS7" s="124"/>
      <c r="AT7" s="253">
        <v>19</v>
      </c>
      <c r="AU7" s="248">
        <v>19</v>
      </c>
      <c r="AV7" s="248">
        <v>18</v>
      </c>
      <c r="AW7" s="248">
        <v>19</v>
      </c>
      <c r="AX7" s="248">
        <v>22</v>
      </c>
      <c r="AY7" s="248">
        <v>21</v>
      </c>
      <c r="AZ7" s="248">
        <v>21</v>
      </c>
      <c r="BA7" s="248">
        <v>22</v>
      </c>
      <c r="BB7" s="248">
        <v>22</v>
      </c>
      <c r="BC7" s="248">
        <v>21</v>
      </c>
      <c r="BD7" s="248">
        <v>20</v>
      </c>
      <c r="BE7" s="248">
        <v>10</v>
      </c>
      <c r="BF7" s="2"/>
      <c r="BG7" s="125"/>
      <c r="BH7" s="253">
        <v>20</v>
      </c>
      <c r="BI7" s="248">
        <v>17</v>
      </c>
      <c r="BJ7" s="248">
        <v>23</v>
      </c>
      <c r="BK7" s="248">
        <v>18</v>
      </c>
      <c r="BL7" s="248">
        <v>22</v>
      </c>
      <c r="BM7" s="248">
        <v>23</v>
      </c>
      <c r="BN7" s="248">
        <v>21</v>
      </c>
      <c r="BO7" s="248">
        <v>21</v>
      </c>
      <c r="BP7" s="248">
        <v>20</v>
      </c>
      <c r="BQ7" s="248">
        <v>21</v>
      </c>
      <c r="BR7" s="248">
        <v>20</v>
      </c>
      <c r="BS7" s="248">
        <v>14</v>
      </c>
      <c r="BT7" s="253">
        <v>20</v>
      </c>
      <c r="BU7" s="252"/>
      <c r="BV7" s="253">
        <v>19</v>
      </c>
      <c r="BW7" s="248">
        <v>19</v>
      </c>
      <c r="BX7" s="566">
        <v>21</v>
      </c>
      <c r="BY7" s="566">
        <f>22+2</f>
        <v>24</v>
      </c>
      <c r="BZ7" s="248">
        <f>21+2</f>
        <v>23</v>
      </c>
      <c r="CA7" s="567">
        <f>20+2</f>
        <v>22</v>
      </c>
      <c r="CB7" s="567">
        <f>23+2</f>
        <v>25</v>
      </c>
      <c r="CC7" s="252">
        <f>21+3</f>
        <v>24</v>
      </c>
      <c r="CD7" s="252">
        <f>21+3</f>
        <v>24</v>
      </c>
      <c r="CE7" s="248">
        <f>23+1</f>
        <v>24</v>
      </c>
      <c r="CF7" s="248">
        <f>19+3</f>
        <v>22</v>
      </c>
      <c r="CG7" s="248">
        <f>12+1</f>
        <v>13</v>
      </c>
      <c r="CH7" s="248"/>
      <c r="CJ7" s="253">
        <f>CJ3+CJ5-CJ6-CJ4</f>
        <v>22</v>
      </c>
      <c r="CK7" s="253">
        <f>CK3+CK5-CK6-CK4</f>
        <v>23</v>
      </c>
      <c r="CL7" s="253">
        <v>19</v>
      </c>
      <c r="CM7" s="734">
        <f t="shared" ref="CM7:CQ7" si="1">CM3+CM5-CM6-CM4</f>
        <v>20</v>
      </c>
      <c r="CN7" s="734">
        <f>CN3+CN5-CN6-CN4</f>
        <v>21</v>
      </c>
      <c r="CO7" s="734">
        <f>CO3+CO5-CO6-CO4</f>
        <v>22</v>
      </c>
      <c r="CP7" s="734">
        <f t="shared" ref="CP7:CU7" si="2">CP3+CP5-CP6</f>
        <v>25</v>
      </c>
      <c r="CQ7" s="734">
        <f>CQ3+CQ5-CQ6</f>
        <v>21</v>
      </c>
      <c r="CR7" s="734">
        <f t="shared" si="2"/>
        <v>22</v>
      </c>
      <c r="CS7" s="734">
        <f>CS3+CS5-CS6</f>
        <v>23</v>
      </c>
      <c r="CT7" s="734">
        <f>CT3+CT5-CT6</f>
        <v>22</v>
      </c>
      <c r="CU7" s="734">
        <v>17</v>
      </c>
      <c r="CV7" s="248"/>
      <c r="CX7" s="253">
        <f>CX3+CX5-CX6-CX4</f>
        <v>22</v>
      </c>
      <c r="CY7" s="253">
        <f t="shared" ref="CY7:DC7" si="3">CY3+CY5-CY6-CY4</f>
        <v>19</v>
      </c>
      <c r="CZ7" s="253">
        <v>6</v>
      </c>
      <c r="DA7" s="253">
        <v>10</v>
      </c>
      <c r="DB7" s="253">
        <f t="shared" si="3"/>
        <v>22</v>
      </c>
      <c r="DC7" s="253">
        <f>DC3+DC5-DC6-DC4</f>
        <v>23</v>
      </c>
      <c r="DD7" s="253">
        <f t="shared" ref="DD7:DI7" si="4">DD3+DD5-DD6</f>
        <v>25</v>
      </c>
      <c r="DE7" s="253">
        <f>DE3+DE5-DE6</f>
        <v>23</v>
      </c>
      <c r="DF7" s="253">
        <f>DF3+DF5-DF6</f>
        <v>23</v>
      </c>
      <c r="DG7" s="253">
        <f>DG3+DG5-DG6</f>
        <v>23</v>
      </c>
      <c r="DH7" s="253">
        <f>DH3+DH5-DH6</f>
        <v>21</v>
      </c>
      <c r="DI7" s="253">
        <f>DI3+DI5-DI6</f>
        <v>16</v>
      </c>
      <c r="DJ7" s="248"/>
      <c r="DK7" s="948"/>
      <c r="DL7" s="253">
        <f>DL3+DL5-DL6-DL4</f>
        <v>22</v>
      </c>
      <c r="DM7" s="253">
        <f t="shared" ref="DM7:DQ7" si="5">DM3+DM5-DM6-DM4</f>
        <v>19</v>
      </c>
      <c r="DN7" s="253">
        <f>DN3+DN5-DN6-DN4</f>
        <v>22</v>
      </c>
      <c r="DO7" s="253">
        <f>DO3+DO5-DO6-DO4</f>
        <v>22</v>
      </c>
      <c r="DP7" s="253">
        <f t="shared" ref="DP7:DT7" si="6">DP3+DP5-DP6-DP4</f>
        <v>20</v>
      </c>
      <c r="DQ7" s="253">
        <f t="shared" si="6"/>
        <v>21</v>
      </c>
      <c r="DR7" s="253">
        <f t="shared" ref="DR7:DW7" si="7">DR3+DR5-DR6</f>
        <v>23</v>
      </c>
      <c r="DS7" s="253">
        <f>DS3+DS5-DS6</f>
        <v>21</v>
      </c>
      <c r="DT7" s="253">
        <f>DT3+DT5-DT6</f>
        <v>23</v>
      </c>
      <c r="DU7" s="253">
        <f>DU3+DU5-DU6</f>
        <v>23</v>
      </c>
      <c r="DV7" s="253">
        <f>DV3+DV5-DV6</f>
        <v>21</v>
      </c>
      <c r="DW7" s="253">
        <f>DW3+DW5-DW6</f>
        <v>16</v>
      </c>
      <c r="DX7" s="248"/>
    </row>
    <row r="8" spans="1:128">
      <c r="A8" s="8"/>
      <c r="B8" s="255"/>
      <c r="C8" s="256"/>
      <c r="D8" s="257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258" t="s">
        <v>26</v>
      </c>
      <c r="Q8" s="10"/>
      <c r="R8" s="257" t="s">
        <v>14</v>
      </c>
      <c r="S8" s="9" t="s">
        <v>15</v>
      </c>
      <c r="T8" s="9" t="s">
        <v>16</v>
      </c>
      <c r="U8" s="9" t="s">
        <v>17</v>
      </c>
      <c r="V8" s="9" t="s">
        <v>18</v>
      </c>
      <c r="W8" s="9" t="s">
        <v>19</v>
      </c>
      <c r="X8" s="9" t="s">
        <v>20</v>
      </c>
      <c r="Y8" s="9" t="s">
        <v>21</v>
      </c>
      <c r="Z8" s="9" t="s">
        <v>22</v>
      </c>
      <c r="AA8" s="9" t="s">
        <v>23</v>
      </c>
      <c r="AB8" s="9" t="s">
        <v>24</v>
      </c>
      <c r="AC8" s="9" t="s">
        <v>25</v>
      </c>
      <c r="AD8" s="258" t="s">
        <v>26</v>
      </c>
      <c r="AE8" s="11"/>
      <c r="AF8" s="257" t="s">
        <v>14</v>
      </c>
      <c r="AG8" s="9" t="s">
        <v>15</v>
      </c>
      <c r="AH8" s="9" t="s">
        <v>16</v>
      </c>
      <c r="AI8" s="9" t="s">
        <v>17</v>
      </c>
      <c r="AJ8" s="9" t="s">
        <v>18</v>
      </c>
      <c r="AK8" s="9" t="s">
        <v>19</v>
      </c>
      <c r="AL8" s="9" t="s">
        <v>20</v>
      </c>
      <c r="AM8" s="9" t="s">
        <v>21</v>
      </c>
      <c r="AN8" s="9" t="s">
        <v>22</v>
      </c>
      <c r="AO8" s="9" t="s">
        <v>23</v>
      </c>
      <c r="AP8" s="9" t="s">
        <v>24</v>
      </c>
      <c r="AQ8" s="9" t="s">
        <v>25</v>
      </c>
      <c r="AR8" s="9" t="s">
        <v>26</v>
      </c>
      <c r="AS8" s="11"/>
      <c r="AT8" s="9" t="s">
        <v>14</v>
      </c>
      <c r="AU8" s="9" t="s">
        <v>15</v>
      </c>
      <c r="AV8" s="9" t="s">
        <v>16</v>
      </c>
      <c r="AW8" s="9" t="s">
        <v>17</v>
      </c>
      <c r="AX8" s="9" t="s">
        <v>18</v>
      </c>
      <c r="AY8" s="9" t="s">
        <v>19</v>
      </c>
      <c r="AZ8" s="9" t="s">
        <v>20</v>
      </c>
      <c r="BA8" s="9" t="s">
        <v>21</v>
      </c>
      <c r="BB8" s="9" t="s">
        <v>22</v>
      </c>
      <c r="BC8" s="9" t="s">
        <v>23</v>
      </c>
      <c r="BD8" s="9" t="s">
        <v>24</v>
      </c>
      <c r="BE8" s="9" t="s">
        <v>25</v>
      </c>
      <c r="BF8" s="9" t="s">
        <v>26</v>
      </c>
      <c r="BG8" s="10"/>
      <c r="BH8" s="9" t="s">
        <v>14</v>
      </c>
      <c r="BI8" s="9" t="s">
        <v>15</v>
      </c>
      <c r="BJ8" s="9" t="s">
        <v>16</v>
      </c>
      <c r="BK8" s="9" t="s">
        <v>17</v>
      </c>
      <c r="BL8" s="9" t="s">
        <v>18</v>
      </c>
      <c r="BM8" s="9" t="s">
        <v>19</v>
      </c>
      <c r="BN8" s="9" t="s">
        <v>20</v>
      </c>
      <c r="BO8" s="9" t="s">
        <v>21</v>
      </c>
      <c r="BP8" s="9" t="s">
        <v>22</v>
      </c>
      <c r="BQ8" s="9" t="s">
        <v>23</v>
      </c>
      <c r="BR8" s="9" t="s">
        <v>24</v>
      </c>
      <c r="BS8" s="9" t="s">
        <v>25</v>
      </c>
      <c r="BT8" s="9" t="s">
        <v>26</v>
      </c>
      <c r="BU8" s="12"/>
      <c r="BV8" s="9" t="s">
        <v>14</v>
      </c>
      <c r="BW8" s="9" t="s">
        <v>15</v>
      </c>
      <c r="BX8" s="9" t="s">
        <v>16</v>
      </c>
      <c r="BY8" s="9" t="s">
        <v>17</v>
      </c>
      <c r="BZ8" s="9" t="s">
        <v>18</v>
      </c>
      <c r="CA8" s="9" t="s">
        <v>19</v>
      </c>
      <c r="CB8" s="9" t="s">
        <v>20</v>
      </c>
      <c r="CC8" s="9" t="s">
        <v>21</v>
      </c>
      <c r="CD8" s="9" t="s">
        <v>22</v>
      </c>
      <c r="CE8" s="9" t="s">
        <v>23</v>
      </c>
      <c r="CF8" s="9" t="s">
        <v>24</v>
      </c>
      <c r="CG8" s="9" t="s">
        <v>25</v>
      </c>
      <c r="CH8" s="9" t="s">
        <v>26</v>
      </c>
      <c r="CJ8" s="9" t="s">
        <v>14</v>
      </c>
      <c r="CK8" s="9" t="s">
        <v>15</v>
      </c>
      <c r="CL8" s="9" t="s">
        <v>16</v>
      </c>
      <c r="CM8" s="9" t="s">
        <v>17</v>
      </c>
      <c r="CN8" s="9" t="s">
        <v>18</v>
      </c>
      <c r="CO8" s="9" t="s">
        <v>19</v>
      </c>
      <c r="CP8" s="9" t="s">
        <v>20</v>
      </c>
      <c r="CQ8" s="9" t="s">
        <v>21</v>
      </c>
      <c r="CR8" s="9" t="s">
        <v>22</v>
      </c>
      <c r="CS8" s="9" t="s">
        <v>23</v>
      </c>
      <c r="CT8" s="9" t="s">
        <v>24</v>
      </c>
      <c r="CU8" s="9" t="s">
        <v>25</v>
      </c>
      <c r="CV8" s="9" t="s">
        <v>26</v>
      </c>
      <c r="CX8" s="9" t="s">
        <v>14</v>
      </c>
      <c r="CY8" s="9" t="s">
        <v>15</v>
      </c>
      <c r="CZ8" s="9" t="s">
        <v>16</v>
      </c>
      <c r="DA8" s="9" t="s">
        <v>17</v>
      </c>
      <c r="DB8" s="9" t="s">
        <v>18</v>
      </c>
      <c r="DC8" s="9" t="s">
        <v>19</v>
      </c>
      <c r="DD8" s="9" t="s">
        <v>20</v>
      </c>
      <c r="DE8" s="980" t="s">
        <v>21</v>
      </c>
      <c r="DF8" s="980" t="s">
        <v>22</v>
      </c>
      <c r="DG8" s="980" t="s">
        <v>23</v>
      </c>
      <c r="DH8" s="9" t="s">
        <v>24</v>
      </c>
      <c r="DI8" s="9" t="s">
        <v>25</v>
      </c>
      <c r="DJ8" s="9" t="s">
        <v>26</v>
      </c>
      <c r="DK8" s="948"/>
      <c r="DL8" s="9" t="s">
        <v>14</v>
      </c>
      <c r="DM8" s="9" t="s">
        <v>15</v>
      </c>
      <c r="DN8" s="9" t="s">
        <v>16</v>
      </c>
      <c r="DO8" s="9" t="s">
        <v>17</v>
      </c>
      <c r="DP8" s="9" t="s">
        <v>18</v>
      </c>
      <c r="DQ8" s="9" t="s">
        <v>19</v>
      </c>
      <c r="DR8" s="9" t="s">
        <v>20</v>
      </c>
      <c r="DS8" s="9" t="s">
        <v>21</v>
      </c>
      <c r="DT8" s="9" t="s">
        <v>22</v>
      </c>
      <c r="DU8" s="9" t="s">
        <v>23</v>
      </c>
      <c r="DV8" s="9" t="s">
        <v>24</v>
      </c>
      <c r="DW8" s="9" t="s">
        <v>25</v>
      </c>
      <c r="DX8" s="9" t="s">
        <v>26</v>
      </c>
    </row>
    <row r="9" spans="1:128" ht="18.75" customHeight="1">
      <c r="A9" s="13"/>
      <c r="B9" s="1024" t="s">
        <v>159</v>
      </c>
      <c r="C9" s="260"/>
      <c r="D9" s="26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62"/>
      <c r="Q9" s="15"/>
      <c r="R9" s="261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263"/>
      <c r="AE9" s="16"/>
      <c r="AF9" s="261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7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7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8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682" t="s">
        <v>27</v>
      </c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682" t="s">
        <v>27</v>
      </c>
      <c r="CX9" s="14"/>
      <c r="CY9" s="14"/>
      <c r="CZ9" s="14">
        <v>0</v>
      </c>
      <c r="DA9" s="14">
        <v>22</v>
      </c>
      <c r="DB9" s="14">
        <v>22</v>
      </c>
      <c r="DC9" s="14">
        <v>22</v>
      </c>
      <c r="DD9" s="14">
        <v>23</v>
      </c>
      <c r="DE9" s="14">
        <v>23</v>
      </c>
      <c r="DF9" s="14">
        <v>23</v>
      </c>
      <c r="DG9" s="14">
        <v>23</v>
      </c>
      <c r="DH9" s="14">
        <v>23</v>
      </c>
      <c r="DI9" s="14">
        <v>23</v>
      </c>
      <c r="DJ9" s="14"/>
      <c r="DK9" s="948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</row>
    <row r="10" spans="1:128" ht="30.75" hidden="1">
      <c r="A10" s="13" t="s">
        <v>28</v>
      </c>
      <c r="B10" s="706" t="s">
        <v>29</v>
      </c>
      <c r="C10" s="260"/>
      <c r="D10" s="261">
        <f t="shared" ref="D10:O10" si="8">SUM(D20:D24)</f>
        <v>304786</v>
      </c>
      <c r="E10" s="14">
        <f t="shared" si="8"/>
        <v>311986</v>
      </c>
      <c r="F10" s="14">
        <f t="shared" si="8"/>
        <v>328231</v>
      </c>
      <c r="G10" s="14">
        <f t="shared" si="8"/>
        <v>317873</v>
      </c>
      <c r="H10" s="14">
        <f t="shared" si="8"/>
        <v>347196</v>
      </c>
      <c r="I10" s="14">
        <f t="shared" si="8"/>
        <v>402253</v>
      </c>
      <c r="J10" s="14">
        <f t="shared" si="8"/>
        <v>454488</v>
      </c>
      <c r="K10" s="14">
        <f t="shared" si="8"/>
        <v>447182</v>
      </c>
      <c r="L10" s="14">
        <f t="shared" si="8"/>
        <v>416931</v>
      </c>
      <c r="M10" s="14">
        <f t="shared" si="8"/>
        <v>304402</v>
      </c>
      <c r="N10" s="14">
        <f t="shared" si="8"/>
        <v>0</v>
      </c>
      <c r="O10" s="14">
        <f t="shared" si="8"/>
        <v>188264</v>
      </c>
      <c r="P10" s="262"/>
      <c r="Q10" s="15"/>
      <c r="R10" s="14">
        <f t="shared" ref="R10:AC10" si="9">SUM(R20:R24)</f>
        <v>283359</v>
      </c>
      <c r="S10" s="14">
        <f t="shared" si="9"/>
        <v>342718</v>
      </c>
      <c r="T10" s="14">
        <f t="shared" si="9"/>
        <v>313212</v>
      </c>
      <c r="U10" s="14">
        <f t="shared" si="9"/>
        <v>298093</v>
      </c>
      <c r="V10" s="14">
        <f t="shared" si="9"/>
        <v>206617</v>
      </c>
      <c r="W10" s="14">
        <f t="shared" si="9"/>
        <v>235875</v>
      </c>
      <c r="X10" s="14">
        <f t="shared" si="9"/>
        <v>360135</v>
      </c>
      <c r="Y10" s="14">
        <f t="shared" si="9"/>
        <v>361665</v>
      </c>
      <c r="Z10" s="14">
        <f t="shared" si="9"/>
        <v>353400</v>
      </c>
      <c r="AA10" s="14">
        <f t="shared" si="9"/>
        <v>272097</v>
      </c>
      <c r="AB10" s="14">
        <f t="shared" si="9"/>
        <v>170626</v>
      </c>
      <c r="AC10" s="14">
        <f t="shared" si="9"/>
        <v>197551</v>
      </c>
      <c r="AD10" s="263"/>
      <c r="AE10" s="16"/>
      <c r="AF10" s="14">
        <f t="shared" ref="AF10:AQ10" si="10">SUM(AF20:AF26)</f>
        <v>255339</v>
      </c>
      <c r="AG10" s="14">
        <f t="shared" si="10"/>
        <v>292621</v>
      </c>
      <c r="AH10" s="14">
        <f t="shared" si="10"/>
        <v>397976</v>
      </c>
      <c r="AI10" s="14">
        <f t="shared" si="10"/>
        <v>388165</v>
      </c>
      <c r="AJ10" s="14">
        <f t="shared" si="10"/>
        <v>409301</v>
      </c>
      <c r="AK10" s="14">
        <f t="shared" si="10"/>
        <v>490913</v>
      </c>
      <c r="AL10" s="14">
        <f t="shared" si="10"/>
        <v>563229</v>
      </c>
      <c r="AM10" s="14">
        <f t="shared" si="10"/>
        <v>559169</v>
      </c>
      <c r="AN10" s="14">
        <f t="shared" si="10"/>
        <v>487294</v>
      </c>
      <c r="AO10" s="14">
        <f t="shared" si="10"/>
        <v>407614</v>
      </c>
      <c r="AP10" s="14">
        <f t="shared" si="10"/>
        <v>503756</v>
      </c>
      <c r="AQ10" s="14">
        <f t="shared" si="10"/>
        <v>531679</v>
      </c>
      <c r="AR10" s="14">
        <f t="shared" ref="AR10:AR31" si="11">AQ10</f>
        <v>531679</v>
      </c>
      <c r="AS10" s="17"/>
      <c r="AT10" s="14">
        <f t="shared" ref="AT10:BE10" si="12">SUM(AT20:AT26)</f>
        <v>471378</v>
      </c>
      <c r="AU10" s="14">
        <f t="shared" si="12"/>
        <v>473307</v>
      </c>
      <c r="AV10" s="14">
        <f t="shared" si="12"/>
        <v>412518</v>
      </c>
      <c r="AW10" s="14">
        <f t="shared" si="12"/>
        <v>398039</v>
      </c>
      <c r="AX10" s="14">
        <f t="shared" si="12"/>
        <v>417827</v>
      </c>
      <c r="AY10" s="14">
        <f t="shared" si="12"/>
        <v>507968</v>
      </c>
      <c r="AZ10" s="14">
        <f t="shared" si="12"/>
        <v>477530</v>
      </c>
      <c r="BA10" s="14">
        <f t="shared" si="12"/>
        <v>520708</v>
      </c>
      <c r="BB10" s="14">
        <f t="shared" si="12"/>
        <v>505851</v>
      </c>
      <c r="BC10" s="14">
        <f t="shared" si="12"/>
        <v>454245</v>
      </c>
      <c r="BD10" s="14">
        <f t="shared" si="12"/>
        <v>405700</v>
      </c>
      <c r="BE10" s="14">
        <f t="shared" si="12"/>
        <v>356505</v>
      </c>
      <c r="BF10" s="14">
        <f t="shared" ref="BF10:BF26" si="13">BE10</f>
        <v>356505</v>
      </c>
      <c r="BG10" s="17"/>
      <c r="BH10" s="14">
        <f t="shared" ref="BH10:BQ10" si="14">SUM(BH20:BH26)</f>
        <v>357143</v>
      </c>
      <c r="BI10" s="14">
        <f t="shared" si="14"/>
        <v>355011</v>
      </c>
      <c r="BJ10" s="14">
        <f t="shared" si="14"/>
        <v>344281</v>
      </c>
      <c r="BK10" s="14">
        <f t="shared" si="14"/>
        <v>389628</v>
      </c>
      <c r="BL10" s="14">
        <f t="shared" si="14"/>
        <v>324889</v>
      </c>
      <c r="BM10" s="14">
        <f t="shared" si="14"/>
        <v>352666</v>
      </c>
      <c r="BN10" s="14">
        <f t="shared" si="14"/>
        <v>418721</v>
      </c>
      <c r="BO10" s="14">
        <f t="shared" si="14"/>
        <v>356602</v>
      </c>
      <c r="BP10" s="14">
        <f t="shared" si="14"/>
        <v>326706</v>
      </c>
      <c r="BQ10" s="14">
        <f t="shared" si="14"/>
        <v>304987</v>
      </c>
      <c r="BR10" s="14">
        <f>SUM(BR20:BR26)</f>
        <v>228035</v>
      </c>
      <c r="BS10" s="14">
        <f>BS20+BS23+BS26</f>
        <v>201165</v>
      </c>
      <c r="BT10" s="14">
        <f>BS10</f>
        <v>201165</v>
      </c>
      <c r="BU10" s="18"/>
      <c r="BV10" s="14">
        <f>BV11+BV23+BV26</f>
        <v>247713</v>
      </c>
      <c r="BW10" s="14">
        <f t="shared" ref="BW10:CF10" si="15">BW11+BW23+BW26</f>
        <v>278707</v>
      </c>
      <c r="BX10" s="14">
        <f t="shared" si="15"/>
        <v>281829</v>
      </c>
      <c r="BY10" s="14">
        <f t="shared" si="15"/>
        <v>317753</v>
      </c>
      <c r="BZ10" s="14">
        <f t="shared" si="15"/>
        <v>270339</v>
      </c>
      <c r="CA10" s="14">
        <f t="shared" si="15"/>
        <v>310383</v>
      </c>
      <c r="CB10" s="14">
        <f t="shared" si="15"/>
        <v>328365</v>
      </c>
      <c r="CC10" s="14">
        <f t="shared" si="15"/>
        <v>333476</v>
      </c>
      <c r="CD10" s="14">
        <f>CD11+CD23+CD26</f>
        <v>306264</v>
      </c>
      <c r="CE10" s="14">
        <f t="shared" si="15"/>
        <v>270370</v>
      </c>
      <c r="CF10" s="14">
        <f t="shared" si="15"/>
        <v>194014</v>
      </c>
      <c r="CG10" s="14">
        <f>CG11+CG23+CG26</f>
        <v>182266</v>
      </c>
      <c r="CH10" s="14">
        <f t="shared" ref="CH10" si="16">CH20+CH23+CH26</f>
        <v>161447</v>
      </c>
      <c r="CJ10" s="14">
        <f>CH10+CJ81-CJ34</f>
        <v>168530.63302273574</v>
      </c>
      <c r="CK10" s="14">
        <f>CJ10+CK81-CK34</f>
        <v>182286.97320909426</v>
      </c>
      <c r="CL10" s="14">
        <f>CL20+CL23</f>
        <v>127909</v>
      </c>
      <c r="CM10" s="14">
        <f>CM20+CM23</f>
        <v>174007</v>
      </c>
      <c r="CN10" s="14">
        <f>CM10+CN81-CN34</f>
        <v>184445.8879612374</v>
      </c>
      <c r="CO10" s="14">
        <f>CN10+CO81-CO34</f>
        <v>247499.73306000742</v>
      </c>
      <c r="CP10" s="14">
        <f>CO10+CP81-CP34</f>
        <v>280382.22259587242</v>
      </c>
      <c r="CQ10" s="14">
        <f>CP10+CQ81-CQ34</f>
        <v>258376.52867182181</v>
      </c>
      <c r="CR10" s="14">
        <f>CQ10+CR81-CR34</f>
        <v>210518.33782793995</v>
      </c>
      <c r="CS10" s="14">
        <f>CR10+CS81-CS34</f>
        <v>165804.38677308764</v>
      </c>
      <c r="CT10" s="14">
        <f>CS10+CT81-CT34</f>
        <v>156780.78567604127</v>
      </c>
      <c r="CU10" s="14">
        <f>CT10+CU81-CU34</f>
        <v>179129.39327097798</v>
      </c>
      <c r="CV10" s="14">
        <v>116080.10690622788</v>
      </c>
      <c r="CX10" s="14">
        <f>CU10+CX81-CX34</f>
        <v>121016.49327097798</v>
      </c>
      <c r="CY10" s="14">
        <f>CX10+CY81-CY34</f>
        <v>93881.093270977988</v>
      </c>
      <c r="CZ10" s="14">
        <f>CY10+CZ81-CZ34</f>
        <v>-84738.906729022012</v>
      </c>
      <c r="DA10" s="14">
        <f>CZ10+DA81-DA34</f>
        <v>-168898.90672902201</v>
      </c>
      <c r="DB10" s="14">
        <f>DA10+DB81-DB34</f>
        <v>-183121.15672902204</v>
      </c>
      <c r="DC10" s="14">
        <f>DB10+DC81-DC34</f>
        <v>-203158.43672902207</v>
      </c>
      <c r="DD10" s="14">
        <f>DC10+DD81-DD34</f>
        <v>-256209.71672902213</v>
      </c>
      <c r="DE10" s="14">
        <f>DD10+DE81-DE34</f>
        <v>-346154.67672902218</v>
      </c>
      <c r="DF10" s="14">
        <f>DE10+DF81-DF34</f>
        <v>-499469.81672902219</v>
      </c>
      <c r="DG10" s="14">
        <f>DF10+DG81-DG34</f>
        <v>-612536.87706657499</v>
      </c>
      <c r="DH10" s="14">
        <f>DG10+DH81-DH34</f>
        <v>-643197.66381762992</v>
      </c>
      <c r="DI10" s="14">
        <f>DH10+DI81-DI34</f>
        <v>-666554.10938725015</v>
      </c>
      <c r="DJ10" s="14">
        <v>116080.10690622788</v>
      </c>
      <c r="DK10" s="948"/>
      <c r="DL10" s="14">
        <f>DI10+DL81-DL34</f>
        <v>-753274.10938725015</v>
      </c>
      <c r="DM10" s="14">
        <f>DL10+DM81-DM34</f>
        <v>-792624.10938725015</v>
      </c>
      <c r="DN10" s="14">
        <f>DM10+DN81-DN34</f>
        <v>-838564.10938725015</v>
      </c>
      <c r="DO10" s="14">
        <f>DN10+DO81-DO34</f>
        <v>-868386.15238725021</v>
      </c>
      <c r="DP10" s="14">
        <f>DO10+DP81-DP34</f>
        <v>-907302.28338725027</v>
      </c>
      <c r="DQ10" s="14">
        <f>DP10+DQ81-DQ34</f>
        <v>-929474.14738725033</v>
      </c>
      <c r="DR10" s="14">
        <f>DQ10+DR81-DR34</f>
        <v>-1014767.0975872504</v>
      </c>
      <c r="DS10" s="14">
        <f>DR10+DS81-DS34</f>
        <v>-1135648.1929872504</v>
      </c>
      <c r="DT10" s="14">
        <f>DS10+DT81-DT34</f>
        <v>-1310369.1516872505</v>
      </c>
      <c r="DU10" s="14">
        <f>DT10+DU81-DU34</f>
        <v>-1443205.6840585587</v>
      </c>
      <c r="DV10" s="14">
        <f>DU10+DV81-DV34</f>
        <v>-1490220.148884719</v>
      </c>
      <c r="DW10" s="14">
        <f>DV10+DW81-DW34</f>
        <v>-1521187.8390113013</v>
      </c>
      <c r="DX10" s="14">
        <v>116080.10690622788</v>
      </c>
    </row>
    <row r="11" spans="1:128">
      <c r="A11" s="19">
        <v>0</v>
      </c>
      <c r="B11" s="158" t="s">
        <v>30</v>
      </c>
      <c r="C11" s="264"/>
      <c r="D11" s="265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66"/>
      <c r="Q11" s="21"/>
      <c r="R11" s="265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67"/>
      <c r="AE11" s="23"/>
      <c r="AF11" s="22"/>
      <c r="AG11" s="22"/>
      <c r="AH11" s="22"/>
      <c r="AI11" s="22"/>
      <c r="AJ11" s="24"/>
      <c r="AK11" s="22"/>
      <c r="AL11" s="22"/>
      <c r="AM11" s="22"/>
      <c r="AN11" s="22"/>
      <c r="AO11" s="22"/>
      <c r="AP11" s="25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6"/>
      <c r="BC11" s="22"/>
      <c r="BD11" s="22"/>
      <c r="BE11" s="22"/>
      <c r="BF11" s="22"/>
      <c r="BG11" s="27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8"/>
      <c r="BV11" s="22">
        <v>204006</v>
      </c>
      <c r="BW11" s="22">
        <v>241182</v>
      </c>
      <c r="BX11" s="22">
        <v>245950</v>
      </c>
      <c r="BY11" s="22">
        <v>281974</v>
      </c>
      <c r="BZ11" s="22">
        <v>202865</v>
      </c>
      <c r="CA11" s="22">
        <v>240895</v>
      </c>
      <c r="CB11" s="22">
        <v>273565</v>
      </c>
      <c r="CC11" s="22">
        <v>288981</v>
      </c>
      <c r="CD11" s="22">
        <v>273990</v>
      </c>
      <c r="CE11" s="22">
        <v>237556</v>
      </c>
      <c r="CF11" s="22">
        <v>168313</v>
      </c>
      <c r="CG11" s="22">
        <v>150819</v>
      </c>
      <c r="CH11" s="22">
        <f>CG11</f>
        <v>150819</v>
      </c>
      <c r="CJ11" s="22">
        <v>205037</v>
      </c>
      <c r="CK11" s="22">
        <v>230430</v>
      </c>
      <c r="CL11" s="22">
        <v>234343</v>
      </c>
      <c r="CM11" s="22">
        <v>266388</v>
      </c>
      <c r="CN11" s="22"/>
      <c r="CO11" s="22"/>
      <c r="CP11" s="22"/>
      <c r="CQ11" s="22"/>
      <c r="CR11" s="22"/>
      <c r="CS11" s="22">
        <v>278269</v>
      </c>
      <c r="CT11" s="22"/>
      <c r="CU11" s="22"/>
      <c r="CV11" s="22"/>
      <c r="CX11" s="22">
        <v>315473</v>
      </c>
      <c r="CY11" s="22">
        <v>340292</v>
      </c>
      <c r="CZ11" s="22">
        <v>246000</v>
      </c>
      <c r="DA11" s="22">
        <v>258432</v>
      </c>
      <c r="DB11" s="22">
        <f>DA11-DB34+DB80</f>
        <v>273209.75</v>
      </c>
      <c r="DC11" s="22">
        <f>DB11-DC34+DC80</f>
        <v>317172.46999999997</v>
      </c>
      <c r="DD11" s="22">
        <f>DC11-DD34+DD80</f>
        <v>329121.18999999994</v>
      </c>
      <c r="DE11" s="22">
        <f>DD11-DE34+DE80</f>
        <v>304176.22999999992</v>
      </c>
      <c r="DF11" s="22">
        <f>DE11-DF75+DF80</f>
        <v>241655.09999999992</v>
      </c>
      <c r="DG11" s="22">
        <f>DF11-DG75+DG80</f>
        <v>190154.25914767926</v>
      </c>
      <c r="DH11" s="22">
        <f>DG11-DH75+DH80</f>
        <v>201113.72470126575</v>
      </c>
      <c r="DI11" s="22">
        <f>DH11-DI75+DI80</f>
        <v>231157.5369379746</v>
      </c>
      <c r="DJ11" s="22"/>
      <c r="DK11" s="948"/>
      <c r="DL11" s="22">
        <f>DI11-DL75+DL80</f>
        <v>209521.13093797455</v>
      </c>
      <c r="DM11" s="22">
        <f>DL11-DM75+DM80</f>
        <v>200167.55193797455</v>
      </c>
      <c r="DN11" s="22">
        <f t="shared" ref="DN11:DW11" si="17">DM11-DN75+DN80</f>
        <v>173543.62493797453</v>
      </c>
      <c r="DO11" s="22">
        <f t="shared" si="17"/>
        <v>201557.94093797452</v>
      </c>
      <c r="DP11" s="22">
        <f t="shared" si="17"/>
        <v>208732.70493797451</v>
      </c>
      <c r="DQ11" s="22">
        <f t="shared" si="17"/>
        <v>261488.62293797452</v>
      </c>
      <c r="DR11" s="22">
        <f t="shared" si="17"/>
        <v>236068.31993797448</v>
      </c>
      <c r="DS11" s="22">
        <f t="shared" si="17"/>
        <v>190595.89893797447</v>
      </c>
      <c r="DT11" s="22">
        <f t="shared" si="17"/>
        <v>101085.85593797447</v>
      </c>
      <c r="DU11" s="22">
        <f t="shared" si="17"/>
        <v>23698.131000421708</v>
      </c>
      <c r="DV11" s="22">
        <f t="shared" si="17"/>
        <v>16819.943109366839</v>
      </c>
      <c r="DW11" s="22">
        <f t="shared" si="17"/>
        <v>35442.53656974656</v>
      </c>
      <c r="DX11" s="22"/>
    </row>
    <row r="12" spans="1:128">
      <c r="A12" s="19"/>
      <c r="B12" s="158" t="s">
        <v>112</v>
      </c>
      <c r="C12" s="264"/>
      <c r="D12" s="265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66"/>
      <c r="Q12" s="21"/>
      <c r="R12" s="265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67"/>
      <c r="AE12" s="23"/>
      <c r="AF12" s="22"/>
      <c r="AG12" s="22"/>
      <c r="AH12" s="22"/>
      <c r="AI12" s="22"/>
      <c r="AJ12" s="24"/>
      <c r="AK12" s="22"/>
      <c r="AL12" s="22"/>
      <c r="AM12" s="22"/>
      <c r="AN12" s="22"/>
      <c r="AO12" s="22"/>
      <c r="AP12" s="25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6"/>
      <c r="BC12" s="22"/>
      <c r="BD12" s="22"/>
      <c r="BE12" s="22"/>
      <c r="BF12" s="22"/>
      <c r="BG12" s="27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8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>
        <v>40000</v>
      </c>
      <c r="CT12" s="22"/>
      <c r="CU12" s="22"/>
      <c r="CV12" s="22"/>
      <c r="CX12" s="22">
        <v>27585</v>
      </c>
      <c r="CY12" s="22">
        <v>35241</v>
      </c>
      <c r="CZ12" s="22">
        <v>33500</v>
      </c>
      <c r="DA12" s="22">
        <v>46702</v>
      </c>
      <c r="DB12" s="22"/>
      <c r="DC12" s="22"/>
      <c r="DD12" s="22"/>
      <c r="DE12" s="22"/>
      <c r="DF12" s="22"/>
      <c r="DG12" s="22"/>
      <c r="DH12" s="22"/>
      <c r="DI12" s="22"/>
      <c r="DJ12" s="22"/>
      <c r="DK12" s="948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</row>
    <row r="13" spans="1:128">
      <c r="A13" s="19"/>
      <c r="B13" s="158" t="s">
        <v>113</v>
      </c>
      <c r="C13" s="264"/>
      <c r="D13" s="26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66"/>
      <c r="Q13" s="21"/>
      <c r="R13" s="265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67"/>
      <c r="AE13" s="23"/>
      <c r="AF13" s="22"/>
      <c r="AG13" s="22"/>
      <c r="AH13" s="22"/>
      <c r="AI13" s="22"/>
      <c r="AJ13" s="24"/>
      <c r="AK13" s="22"/>
      <c r="AL13" s="22"/>
      <c r="AM13" s="22"/>
      <c r="AN13" s="22"/>
      <c r="AO13" s="22"/>
      <c r="AP13" s="25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6"/>
      <c r="BC13" s="22"/>
      <c r="BD13" s="22"/>
      <c r="BE13" s="22"/>
      <c r="BF13" s="22"/>
      <c r="BG13" s="27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8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>
        <v>25428</v>
      </c>
      <c r="CT13" s="22"/>
      <c r="CU13" s="22"/>
      <c r="CV13" s="22"/>
      <c r="CX13" s="22">
        <v>47014</v>
      </c>
      <c r="CY13" s="22">
        <v>54401</v>
      </c>
      <c r="CZ13" s="22">
        <v>68100</v>
      </c>
      <c r="DA13" s="22">
        <v>64687</v>
      </c>
      <c r="DB13" s="22"/>
      <c r="DC13" s="22"/>
      <c r="DD13" s="22"/>
      <c r="DE13" s="22"/>
      <c r="DF13" s="22"/>
      <c r="DG13" s="22"/>
      <c r="DH13" s="22"/>
      <c r="DI13" s="22"/>
      <c r="DJ13" s="22"/>
      <c r="DK13" s="948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</row>
    <row r="14" spans="1:128">
      <c r="A14" s="19">
        <v>0</v>
      </c>
      <c r="B14" s="158" t="s">
        <v>114</v>
      </c>
      <c r="C14" s="264"/>
      <c r="D14" s="26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66"/>
      <c r="Q14" s="21"/>
      <c r="R14" s="265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67"/>
      <c r="AE14" s="23"/>
      <c r="AF14" s="22"/>
      <c r="AG14" s="22"/>
      <c r="AH14" s="22"/>
      <c r="AI14" s="22"/>
      <c r="AJ14" s="24"/>
      <c r="AK14" s="22"/>
      <c r="AL14" s="22"/>
      <c r="AM14" s="22"/>
      <c r="AN14" s="22"/>
      <c r="AO14" s="22"/>
      <c r="AP14" s="25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6"/>
      <c r="BC14" s="22"/>
      <c r="BD14" s="22"/>
      <c r="BE14" s="22"/>
      <c r="BF14" s="22"/>
      <c r="BG14" s="27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8"/>
      <c r="BV14" s="22">
        <v>80956</v>
      </c>
      <c r="BW14" s="22">
        <v>110544</v>
      </c>
      <c r="BX14" s="22">
        <v>134506</v>
      </c>
      <c r="BY14" s="22">
        <v>127959</v>
      </c>
      <c r="BZ14" s="22">
        <v>66136</v>
      </c>
      <c r="CA14" s="22">
        <v>72582</v>
      </c>
      <c r="CB14" s="22">
        <v>94286</v>
      </c>
      <c r="CC14" s="22">
        <v>133081</v>
      </c>
      <c r="CD14" s="22">
        <v>148174</v>
      </c>
      <c r="CE14" s="22">
        <v>154201</v>
      </c>
      <c r="CF14" s="22">
        <v>97365</v>
      </c>
      <c r="CG14" s="22">
        <v>30184</v>
      </c>
      <c r="CH14" s="22"/>
      <c r="CJ14" s="22">
        <v>132209</v>
      </c>
      <c r="CK14" s="22">
        <v>180000</v>
      </c>
      <c r="CL14" s="22">
        <v>177643</v>
      </c>
      <c r="CM14" s="22">
        <v>153210</v>
      </c>
      <c r="CN14" s="22"/>
      <c r="CO14" s="22"/>
      <c r="CP14" s="22"/>
      <c r="CQ14" s="22"/>
      <c r="CR14" s="22"/>
      <c r="CS14" s="22">
        <v>189875</v>
      </c>
      <c r="CT14" s="22"/>
      <c r="CU14" s="22"/>
      <c r="CV14" s="22"/>
      <c r="CX14" s="22">
        <v>101210</v>
      </c>
      <c r="CY14" s="22">
        <v>105819</v>
      </c>
      <c r="CZ14" s="22">
        <v>120500</v>
      </c>
      <c r="DA14" s="22">
        <v>110395</v>
      </c>
      <c r="DB14" s="22"/>
      <c r="DC14" s="22"/>
      <c r="DD14" s="22"/>
      <c r="DE14" s="22"/>
      <c r="DF14" s="22"/>
      <c r="DG14" s="22"/>
      <c r="DH14" s="22"/>
      <c r="DI14" s="22"/>
      <c r="DJ14" s="22"/>
      <c r="DK14" s="948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</row>
    <row r="15" spans="1:128">
      <c r="A15" s="19">
        <v>0</v>
      </c>
      <c r="B15" s="158" t="s">
        <v>32</v>
      </c>
      <c r="C15" s="264"/>
      <c r="D15" s="26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66"/>
      <c r="Q15" s="21"/>
      <c r="R15" s="265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67"/>
      <c r="AE15" s="23"/>
      <c r="AF15" s="22"/>
      <c r="AG15" s="22"/>
      <c r="AH15" s="22"/>
      <c r="AI15" s="22"/>
      <c r="AJ15" s="24"/>
      <c r="AK15" s="22"/>
      <c r="AL15" s="22"/>
      <c r="AM15" s="22"/>
      <c r="AN15" s="22"/>
      <c r="AO15" s="22"/>
      <c r="AP15" s="25"/>
      <c r="AQ15" s="22"/>
      <c r="AR15" s="22"/>
      <c r="AS15" s="23"/>
      <c r="AT15" s="22"/>
      <c r="AU15" s="22"/>
      <c r="AV15" s="22"/>
      <c r="AW15" s="22"/>
      <c r="AX15" s="22"/>
      <c r="AY15" s="22"/>
      <c r="AZ15" s="22"/>
      <c r="BA15" s="22"/>
      <c r="BB15" s="26"/>
      <c r="BC15" s="22"/>
      <c r="BD15" s="22"/>
      <c r="BE15" s="22"/>
      <c r="BF15" s="22"/>
      <c r="BG15" s="27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8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J15" s="22">
        <v>150321</v>
      </c>
      <c r="CK15" s="22">
        <v>133602</v>
      </c>
      <c r="CL15" s="22">
        <v>135672</v>
      </c>
      <c r="CM15" s="22">
        <v>133268</v>
      </c>
      <c r="CN15" s="22"/>
      <c r="CO15" s="22"/>
      <c r="CP15" s="22"/>
      <c r="CQ15" s="22"/>
      <c r="CR15" s="22"/>
      <c r="CS15" s="22">
        <v>113875</v>
      </c>
      <c r="CT15" s="22"/>
      <c r="CU15" s="22"/>
      <c r="CV15" s="22"/>
      <c r="CX15" s="726">
        <v>109268</v>
      </c>
      <c r="CY15" s="726">
        <v>114943</v>
      </c>
      <c r="CZ15" s="22">
        <v>133000</v>
      </c>
      <c r="DA15" s="22">
        <v>136960</v>
      </c>
      <c r="DB15" s="22"/>
      <c r="DC15" s="22"/>
      <c r="DD15" s="22"/>
      <c r="DE15" s="22"/>
      <c r="DF15" s="22"/>
      <c r="DG15" s="22"/>
      <c r="DH15" s="22"/>
      <c r="DI15" s="22">
        <f t="shared" ref="DI15" si="18">DH15</f>
        <v>0</v>
      </c>
      <c r="DJ15" s="22"/>
      <c r="DK15" s="948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>
        <f t="shared" ref="DW15" si="19">DV15</f>
        <v>0</v>
      </c>
      <c r="DX15" s="22"/>
    </row>
    <row r="16" spans="1:128">
      <c r="A16" s="19">
        <v>0</v>
      </c>
      <c r="B16" s="717" t="s">
        <v>33</v>
      </c>
      <c r="C16" s="264"/>
      <c r="D16" s="265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66"/>
      <c r="Q16" s="21"/>
      <c r="R16" s="265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67"/>
      <c r="AE16" s="23"/>
      <c r="AF16" s="22"/>
      <c r="AG16" s="22"/>
      <c r="AH16" s="22"/>
      <c r="AI16" s="22"/>
      <c r="AJ16" s="24"/>
      <c r="AK16" s="22"/>
      <c r="AL16" s="22"/>
      <c r="AM16" s="22"/>
      <c r="AN16" s="22"/>
      <c r="AO16" s="22"/>
      <c r="AP16" s="25"/>
      <c r="AQ16" s="22"/>
      <c r="AR16" s="22"/>
      <c r="AS16" s="23"/>
      <c r="AT16" s="22"/>
      <c r="AU16" s="22"/>
      <c r="AV16" s="22"/>
      <c r="AW16" s="22"/>
      <c r="AX16" s="22"/>
      <c r="AY16" s="22"/>
      <c r="AZ16" s="22"/>
      <c r="BA16" s="22"/>
      <c r="BB16" s="26"/>
      <c r="BC16" s="22"/>
      <c r="BD16" s="22"/>
      <c r="BE16" s="22"/>
      <c r="BF16" s="22"/>
      <c r="BG16" s="27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8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J16" s="718">
        <v>36757</v>
      </c>
      <c r="CK16" s="718">
        <v>55826</v>
      </c>
      <c r="CL16" s="718">
        <v>60438</v>
      </c>
      <c r="CM16" s="718">
        <v>52291</v>
      </c>
      <c r="CN16" s="22"/>
      <c r="CO16" s="22"/>
      <c r="CP16" s="22"/>
      <c r="CQ16" s="22"/>
      <c r="CR16" s="22"/>
      <c r="CS16" s="718">
        <v>35740</v>
      </c>
      <c r="CT16" s="22"/>
      <c r="CU16" s="22"/>
      <c r="CV16" s="22"/>
      <c r="CX16" s="22">
        <v>-44963</v>
      </c>
      <c r="CY16" s="22">
        <v>-45395</v>
      </c>
      <c r="CZ16" s="22">
        <v>89000</v>
      </c>
      <c r="DA16" s="22">
        <v>59000</v>
      </c>
      <c r="DB16" s="22"/>
      <c r="DC16" s="22"/>
      <c r="DD16" s="22"/>
      <c r="DE16" s="22"/>
      <c r="DF16" s="22"/>
      <c r="DG16" s="22">
        <v>50000</v>
      </c>
      <c r="DH16" s="22"/>
      <c r="DI16" s="22"/>
      <c r="DJ16" s="22"/>
      <c r="DK16" s="948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</row>
    <row r="17" spans="1:128" s="758" customFormat="1" ht="18.75" hidden="1">
      <c r="A17" s="839"/>
      <c r="B17" s="901" t="s">
        <v>115</v>
      </c>
      <c r="C17" s="902"/>
      <c r="D17" s="840"/>
      <c r="E17" s="841"/>
      <c r="F17" s="841"/>
      <c r="G17" s="841"/>
      <c r="H17" s="841"/>
      <c r="I17" s="841"/>
      <c r="J17" s="841"/>
      <c r="K17" s="841"/>
      <c r="L17" s="841"/>
      <c r="M17" s="841"/>
      <c r="N17" s="841"/>
      <c r="O17" s="841"/>
      <c r="P17" s="842"/>
      <c r="Q17" s="843"/>
      <c r="R17" s="840"/>
      <c r="S17" s="844"/>
      <c r="T17" s="844"/>
      <c r="U17" s="844"/>
      <c r="V17" s="844"/>
      <c r="W17" s="844"/>
      <c r="X17" s="844"/>
      <c r="Y17" s="844"/>
      <c r="Z17" s="844"/>
      <c r="AA17" s="844"/>
      <c r="AB17" s="844"/>
      <c r="AC17" s="844"/>
      <c r="AD17" s="845"/>
      <c r="AE17" s="846"/>
      <c r="AF17" s="844"/>
      <c r="AG17" s="844"/>
      <c r="AH17" s="844"/>
      <c r="AI17" s="844"/>
      <c r="AJ17" s="846"/>
      <c r="AK17" s="844"/>
      <c r="AL17" s="844"/>
      <c r="AM17" s="844"/>
      <c r="AN17" s="844"/>
      <c r="AO17" s="844"/>
      <c r="AP17" s="844"/>
      <c r="AQ17" s="844"/>
      <c r="AR17" s="844"/>
      <c r="AS17" s="846"/>
      <c r="AT17" s="844"/>
      <c r="AU17" s="844"/>
      <c r="AV17" s="844"/>
      <c r="AW17" s="844"/>
      <c r="AX17" s="844"/>
      <c r="AY17" s="844"/>
      <c r="AZ17" s="844"/>
      <c r="BA17" s="844"/>
      <c r="BB17" s="847"/>
      <c r="BC17" s="844"/>
      <c r="BD17" s="844"/>
      <c r="BE17" s="844"/>
      <c r="BF17" s="844"/>
      <c r="BG17" s="846"/>
      <c r="BH17" s="844"/>
      <c r="BI17" s="844"/>
      <c r="BJ17" s="844"/>
      <c r="BK17" s="844"/>
      <c r="BL17" s="844"/>
      <c r="BM17" s="844"/>
      <c r="BN17" s="844"/>
      <c r="BO17" s="844"/>
      <c r="BP17" s="844"/>
      <c r="BQ17" s="844"/>
      <c r="BR17" s="844"/>
      <c r="BS17" s="844"/>
      <c r="BT17" s="844"/>
      <c r="BU17" s="846"/>
      <c r="BV17" s="844"/>
      <c r="BW17" s="844"/>
      <c r="BX17" s="844"/>
      <c r="BY17" s="844"/>
      <c r="BZ17" s="844"/>
      <c r="CA17" s="844"/>
      <c r="CB17" s="844"/>
      <c r="CC17" s="844"/>
      <c r="CD17" s="844"/>
      <c r="CE17" s="844"/>
      <c r="CF17" s="844"/>
      <c r="CG17" s="844"/>
      <c r="CH17" s="844"/>
      <c r="CJ17" s="848"/>
      <c r="CK17" s="848"/>
      <c r="CL17" s="848"/>
      <c r="CM17" s="848"/>
      <c r="CN17" s="844"/>
      <c r="CO17" s="844"/>
      <c r="CP17" s="844"/>
      <c r="CQ17" s="844"/>
      <c r="CR17" s="844"/>
      <c r="CS17" s="849" t="e">
        <f>CS20/$DK$77</f>
        <v>#DIV/0!</v>
      </c>
      <c r="CT17" s="849" t="e">
        <f>CT20/$DK$77</f>
        <v>#DIV/0!</v>
      </c>
      <c r="CU17" s="849" t="e">
        <f>CU20/$DK$77</f>
        <v>#DIV/0!</v>
      </c>
      <c r="CV17" s="844"/>
      <c r="CX17" s="849" t="e">
        <f>CX20/$DK$77</f>
        <v>#DIV/0!</v>
      </c>
      <c r="CY17" s="849" t="e">
        <f t="shared" ref="CY17:DH17" si="20">CY20/$DK$77</f>
        <v>#DIV/0!</v>
      </c>
      <c r="CZ17" s="849" t="e">
        <f t="shared" si="20"/>
        <v>#DIV/0!</v>
      </c>
      <c r="DA17" s="849" t="e">
        <f t="shared" si="20"/>
        <v>#DIV/0!</v>
      </c>
      <c r="DB17" s="849" t="e">
        <f t="shared" si="20"/>
        <v>#DIV/0!</v>
      </c>
      <c r="DC17" s="849" t="e">
        <f t="shared" si="20"/>
        <v>#DIV/0!</v>
      </c>
      <c r="DD17" s="849" t="e">
        <f t="shared" si="20"/>
        <v>#DIV/0!</v>
      </c>
      <c r="DE17" s="849" t="e">
        <f t="shared" si="20"/>
        <v>#DIV/0!</v>
      </c>
      <c r="DF17" s="849" t="e">
        <f t="shared" si="20"/>
        <v>#DIV/0!</v>
      </c>
      <c r="DG17" s="849" t="e">
        <f t="shared" si="20"/>
        <v>#DIV/0!</v>
      </c>
      <c r="DH17" s="849" t="e">
        <f t="shared" si="20"/>
        <v>#DIV/0!</v>
      </c>
      <c r="DI17" s="849">
        <f t="shared" ref="DI17:DS17" si="21">DI20/138624</f>
        <v>0.51597080547361684</v>
      </c>
      <c r="DJ17" s="844"/>
      <c r="DK17" s="948"/>
      <c r="DL17" s="849" t="e">
        <f>DL20/$DK$77</f>
        <v>#DIV/0!</v>
      </c>
      <c r="DM17" s="849" t="e">
        <f t="shared" ref="DM17:DV17" si="22">DM20/$DK$77</f>
        <v>#DIV/0!</v>
      </c>
      <c r="DN17" s="849" t="e">
        <f t="shared" si="22"/>
        <v>#DIV/0!</v>
      </c>
      <c r="DO17" s="849" t="e">
        <f t="shared" si="22"/>
        <v>#DIV/0!</v>
      </c>
      <c r="DP17" s="849" t="e">
        <f t="shared" si="22"/>
        <v>#DIV/0!</v>
      </c>
      <c r="DQ17" s="849" t="e">
        <f t="shared" si="22"/>
        <v>#DIV/0!</v>
      </c>
      <c r="DR17" s="849" t="e">
        <f t="shared" si="22"/>
        <v>#DIV/0!</v>
      </c>
      <c r="DS17" s="849" t="e">
        <f t="shared" si="22"/>
        <v>#DIV/0!</v>
      </c>
      <c r="DT17" s="849" t="e">
        <f t="shared" si="22"/>
        <v>#DIV/0!</v>
      </c>
      <c r="DU17" s="849" t="e">
        <f t="shared" si="22"/>
        <v>#DIV/0!</v>
      </c>
      <c r="DV17" s="849" t="e">
        <f t="shared" si="22"/>
        <v>#DIV/0!</v>
      </c>
      <c r="DW17" s="849">
        <f t="shared" ref="DW17:DY17" si="23">DW20/138624</f>
        <v>-1.0148445682584066</v>
      </c>
      <c r="DX17" s="844"/>
    </row>
    <row r="18" spans="1:128" s="758" customFormat="1" ht="18.75" hidden="1">
      <c r="A18" s="839"/>
      <c r="B18" s="901" t="s">
        <v>116</v>
      </c>
      <c r="C18" s="902"/>
      <c r="D18" s="840"/>
      <c r="E18" s="841"/>
      <c r="F18" s="841"/>
      <c r="G18" s="841"/>
      <c r="H18" s="841"/>
      <c r="I18" s="841"/>
      <c r="J18" s="841"/>
      <c r="K18" s="841"/>
      <c r="L18" s="841"/>
      <c r="M18" s="841"/>
      <c r="N18" s="841"/>
      <c r="O18" s="841"/>
      <c r="P18" s="842"/>
      <c r="Q18" s="843"/>
      <c r="R18" s="840"/>
      <c r="S18" s="844"/>
      <c r="T18" s="844"/>
      <c r="U18" s="844"/>
      <c r="V18" s="844"/>
      <c r="W18" s="844"/>
      <c r="X18" s="844"/>
      <c r="Y18" s="844"/>
      <c r="Z18" s="844"/>
      <c r="AA18" s="844"/>
      <c r="AB18" s="844"/>
      <c r="AC18" s="844"/>
      <c r="AD18" s="845"/>
      <c r="AE18" s="846"/>
      <c r="AF18" s="844"/>
      <c r="AG18" s="844"/>
      <c r="AH18" s="844"/>
      <c r="AI18" s="844"/>
      <c r="AJ18" s="846"/>
      <c r="AK18" s="844"/>
      <c r="AL18" s="844"/>
      <c r="AM18" s="844"/>
      <c r="AN18" s="844"/>
      <c r="AO18" s="844"/>
      <c r="AP18" s="844"/>
      <c r="AQ18" s="844"/>
      <c r="AR18" s="844"/>
      <c r="AS18" s="846"/>
      <c r="AT18" s="844"/>
      <c r="AU18" s="844"/>
      <c r="AV18" s="844"/>
      <c r="AW18" s="844"/>
      <c r="AX18" s="844"/>
      <c r="AY18" s="844"/>
      <c r="AZ18" s="844"/>
      <c r="BA18" s="844"/>
      <c r="BB18" s="847"/>
      <c r="BC18" s="844"/>
      <c r="BD18" s="844"/>
      <c r="BE18" s="844"/>
      <c r="BF18" s="844"/>
      <c r="BG18" s="846"/>
      <c r="BH18" s="844"/>
      <c r="BI18" s="844"/>
      <c r="BJ18" s="844"/>
      <c r="BK18" s="844"/>
      <c r="BL18" s="844"/>
      <c r="BM18" s="844"/>
      <c r="BN18" s="844"/>
      <c r="BO18" s="844"/>
      <c r="BP18" s="844"/>
      <c r="BQ18" s="844"/>
      <c r="BR18" s="844"/>
      <c r="BS18" s="844"/>
      <c r="BT18" s="844"/>
      <c r="BU18" s="846"/>
      <c r="BV18" s="844"/>
      <c r="BW18" s="844"/>
      <c r="BX18" s="844"/>
      <c r="BY18" s="844"/>
      <c r="BZ18" s="844"/>
      <c r="CA18" s="844"/>
      <c r="CB18" s="844"/>
      <c r="CC18" s="844"/>
      <c r="CD18" s="844"/>
      <c r="CE18" s="844"/>
      <c r="CF18" s="844"/>
      <c r="CG18" s="844"/>
      <c r="CH18" s="844"/>
      <c r="CJ18" s="848"/>
      <c r="CK18" s="848"/>
      <c r="CL18" s="848"/>
      <c r="CM18" s="848"/>
      <c r="CN18" s="844"/>
      <c r="CO18" s="844"/>
      <c r="CP18" s="844"/>
      <c r="CQ18" s="844"/>
      <c r="CR18" s="844"/>
      <c r="CS18" s="849" t="e">
        <f>CS21/$DK$78</f>
        <v>#DIV/0!</v>
      </c>
      <c r="CT18" s="849" t="e">
        <f>CT21/$DK$78</f>
        <v>#DIV/0!</v>
      </c>
      <c r="CU18" s="849" t="e">
        <f>CU21/$DK$78</f>
        <v>#DIV/0!</v>
      </c>
      <c r="CV18" s="844"/>
      <c r="CX18" s="849" t="e">
        <f>CX21/$DK$78</f>
        <v>#DIV/0!</v>
      </c>
      <c r="CY18" s="849" t="e">
        <f t="shared" ref="CY18:DH18" si="24">CY21/$DK$78</f>
        <v>#DIV/0!</v>
      </c>
      <c r="CZ18" s="849" t="e">
        <f t="shared" si="24"/>
        <v>#DIV/0!</v>
      </c>
      <c r="DA18" s="849" t="e">
        <f t="shared" si="24"/>
        <v>#DIV/0!</v>
      </c>
      <c r="DB18" s="849" t="e">
        <f t="shared" si="24"/>
        <v>#DIV/0!</v>
      </c>
      <c r="DC18" s="849" t="e">
        <f t="shared" si="24"/>
        <v>#DIV/0!</v>
      </c>
      <c r="DD18" s="849" t="e">
        <f t="shared" si="24"/>
        <v>#DIV/0!</v>
      </c>
      <c r="DE18" s="849" t="e">
        <f t="shared" si="24"/>
        <v>#DIV/0!</v>
      </c>
      <c r="DF18" s="849" t="e">
        <f>DF21/$DK$78</f>
        <v>#DIV/0!</v>
      </c>
      <c r="DG18" s="849" t="e">
        <f t="shared" si="24"/>
        <v>#DIV/0!</v>
      </c>
      <c r="DH18" s="849" t="e">
        <f t="shared" si="24"/>
        <v>#DIV/0!</v>
      </c>
      <c r="DI18" s="849">
        <f t="shared" ref="DI18:DS18" si="25">DI21/17313</f>
        <v>1.2558713105758676</v>
      </c>
      <c r="DJ18" s="844"/>
      <c r="DK18" s="948"/>
      <c r="DL18" s="849" t="e">
        <f>DL21/$DK$78</f>
        <v>#DIV/0!</v>
      </c>
      <c r="DM18" s="849" t="e">
        <f t="shared" ref="DM18:DV18" si="26">DM21/$DK$78</f>
        <v>#DIV/0!</v>
      </c>
      <c r="DN18" s="849" t="e">
        <f t="shared" si="26"/>
        <v>#DIV/0!</v>
      </c>
      <c r="DO18" s="849" t="e">
        <f t="shared" si="26"/>
        <v>#DIV/0!</v>
      </c>
      <c r="DP18" s="849" t="e">
        <f t="shared" si="26"/>
        <v>#DIV/0!</v>
      </c>
      <c r="DQ18" s="849" t="e">
        <f t="shared" si="26"/>
        <v>#DIV/0!</v>
      </c>
      <c r="DR18" s="849" t="e">
        <f t="shared" si="26"/>
        <v>#DIV/0!</v>
      </c>
      <c r="DS18" s="849" t="e">
        <f t="shared" si="26"/>
        <v>#DIV/0!</v>
      </c>
      <c r="DT18" s="849" t="e">
        <f>DT21/$DK$78</f>
        <v>#DIV/0!</v>
      </c>
      <c r="DU18" s="849" t="e">
        <f t="shared" ref="DU18:DY18" si="27">DU21/$DK$78</f>
        <v>#DIV/0!</v>
      </c>
      <c r="DV18" s="849" t="e">
        <f t="shared" si="27"/>
        <v>#DIV/0!</v>
      </c>
      <c r="DW18" s="849">
        <f t="shared" ref="DW18:DY18" si="28">DW21/17313</f>
        <v>1.0052792699127822</v>
      </c>
      <c r="DX18" s="844"/>
    </row>
    <row r="19" spans="1:128" s="758" customFormat="1" ht="18.75">
      <c r="A19" s="839"/>
      <c r="B19" s="1022" t="s">
        <v>155</v>
      </c>
      <c r="C19" s="1023"/>
      <c r="D19" s="840"/>
      <c r="E19" s="841"/>
      <c r="F19" s="841"/>
      <c r="G19" s="841"/>
      <c r="H19" s="841"/>
      <c r="I19" s="841"/>
      <c r="J19" s="841"/>
      <c r="K19" s="841"/>
      <c r="L19" s="841"/>
      <c r="M19" s="841"/>
      <c r="N19" s="841"/>
      <c r="O19" s="841"/>
      <c r="P19" s="842"/>
      <c r="Q19" s="843"/>
      <c r="R19" s="840"/>
      <c r="S19" s="844"/>
      <c r="T19" s="844"/>
      <c r="U19" s="844"/>
      <c r="V19" s="844"/>
      <c r="W19" s="844"/>
      <c r="X19" s="844"/>
      <c r="Y19" s="844"/>
      <c r="Z19" s="844"/>
      <c r="AA19" s="844"/>
      <c r="AB19" s="844"/>
      <c r="AC19" s="844"/>
      <c r="AD19" s="845"/>
      <c r="AE19" s="846"/>
      <c r="AF19" s="844"/>
      <c r="AG19" s="844"/>
      <c r="AH19" s="844"/>
      <c r="AI19" s="844"/>
      <c r="AJ19" s="846"/>
      <c r="AK19" s="844"/>
      <c r="AL19" s="844"/>
      <c r="AM19" s="844"/>
      <c r="AN19" s="844"/>
      <c r="AO19" s="844"/>
      <c r="AP19" s="844"/>
      <c r="AQ19" s="844"/>
      <c r="AR19" s="844"/>
      <c r="AS19" s="846"/>
      <c r="AT19" s="844"/>
      <c r="AU19" s="844"/>
      <c r="AV19" s="844"/>
      <c r="AW19" s="844"/>
      <c r="AX19" s="844"/>
      <c r="AY19" s="844"/>
      <c r="AZ19" s="844"/>
      <c r="BA19" s="844"/>
      <c r="BB19" s="847"/>
      <c r="BC19" s="844"/>
      <c r="BD19" s="844"/>
      <c r="BE19" s="844"/>
      <c r="BF19" s="844"/>
      <c r="BG19" s="846"/>
      <c r="BH19" s="844"/>
      <c r="BI19" s="844"/>
      <c r="BJ19" s="844"/>
      <c r="BK19" s="844"/>
      <c r="BL19" s="844"/>
      <c r="BM19" s="844"/>
      <c r="BN19" s="844"/>
      <c r="BO19" s="844"/>
      <c r="BP19" s="844"/>
      <c r="BQ19" s="844"/>
      <c r="BR19" s="844"/>
      <c r="BS19" s="844"/>
      <c r="BT19" s="844"/>
      <c r="BU19" s="846"/>
      <c r="BV19" s="844"/>
      <c r="BW19" s="844"/>
      <c r="BX19" s="844"/>
      <c r="BY19" s="844"/>
      <c r="BZ19" s="844"/>
      <c r="CA19" s="844"/>
      <c r="CB19" s="844"/>
      <c r="CC19" s="844"/>
      <c r="CD19" s="844"/>
      <c r="CE19" s="844"/>
      <c r="CF19" s="844"/>
      <c r="CG19" s="844"/>
      <c r="CH19" s="844"/>
      <c r="CJ19" s="848"/>
      <c r="CK19" s="848"/>
      <c r="CL19" s="848"/>
      <c r="CM19" s="848"/>
      <c r="CN19" s="844"/>
      <c r="CO19" s="844"/>
      <c r="CP19" s="844"/>
      <c r="CQ19" s="844"/>
      <c r="CR19" s="844"/>
      <c r="CS19" s="849"/>
      <c r="CT19" s="849"/>
      <c r="CU19" s="849"/>
      <c r="CV19" s="844"/>
      <c r="CX19" s="849"/>
      <c r="CY19" s="849"/>
      <c r="CZ19" s="844">
        <f>CZ20+CZ21</f>
        <v>203000</v>
      </c>
      <c r="DA19" s="844">
        <v>142475</v>
      </c>
      <c r="DB19" s="844">
        <f>DB20+DB21</f>
        <v>184287.24000000002</v>
      </c>
      <c r="DC19" s="844">
        <f t="shared" ref="DA19:DH19" si="29">DC20+DC21</f>
        <v>204956.62</v>
      </c>
      <c r="DD19" s="844">
        <f t="shared" si="29"/>
        <v>228416.78999999998</v>
      </c>
      <c r="DE19" s="844">
        <f t="shared" si="29"/>
        <v>229829.58</v>
      </c>
      <c r="DF19" s="844">
        <f t="shared" si="29"/>
        <v>188231.34999999995</v>
      </c>
      <c r="DG19" s="844">
        <f t="shared" si="29"/>
        <v>94887.209147679328</v>
      </c>
      <c r="DH19" s="844">
        <f t="shared" si="29"/>
        <v>109925.02470126582</v>
      </c>
      <c r="DI19" s="844">
        <f>DI20+DI21</f>
        <v>93268.836937974658</v>
      </c>
      <c r="DJ19" s="844"/>
      <c r="DK19" s="948"/>
      <c r="DL19" s="844">
        <f>DL20+DL21</f>
        <v>57362.430937974597</v>
      </c>
      <c r="DM19" s="844">
        <f t="shared" ref="DM19:DW19" si="30">DM20+DM21</f>
        <v>54922.851937974607</v>
      </c>
      <c r="DN19" s="844">
        <f t="shared" si="30"/>
        <v>23622.924937974571</v>
      </c>
      <c r="DO19" s="844">
        <f t="shared" si="30"/>
        <v>63855.240937974566</v>
      </c>
      <c r="DP19" s="844">
        <f t="shared" si="30"/>
        <v>80519.004937974576</v>
      </c>
      <c r="DQ19" s="844">
        <f t="shared" si="30"/>
        <v>98038.922937974567</v>
      </c>
      <c r="DR19" s="844">
        <f t="shared" si="30"/>
        <v>82304.519937974546</v>
      </c>
      <c r="DS19" s="844">
        <f t="shared" si="30"/>
        <v>45417.998937974538</v>
      </c>
      <c r="DT19" s="844">
        <f t="shared" si="30"/>
        <v>-23169.144062025476</v>
      </c>
      <c r="DU19" s="844">
        <f t="shared" si="30"/>
        <v>-92400.168999578222</v>
      </c>
      <c r="DV19" s="844">
        <f t="shared" si="30"/>
        <v>-95200.006890633085</v>
      </c>
      <c r="DW19" s="844">
        <f t="shared" si="30"/>
        <v>-123277.41343025336</v>
      </c>
      <c r="DX19" s="844"/>
    </row>
    <row r="20" spans="1:128" s="1008" customFormat="1" ht="18.75">
      <c r="A20" s="1007">
        <v>1</v>
      </c>
      <c r="B20" s="1009" t="s">
        <v>117</v>
      </c>
      <c r="C20" s="1010"/>
      <c r="D20" s="1011">
        <v>197000</v>
      </c>
      <c r="E20" s="1012">
        <v>223027</v>
      </c>
      <c r="F20" s="1012">
        <v>230513</v>
      </c>
      <c r="G20" s="1012">
        <v>231174</v>
      </c>
      <c r="H20" s="1012">
        <v>255028</v>
      </c>
      <c r="I20" s="1012">
        <f>316386+3241</f>
        <v>319627</v>
      </c>
      <c r="J20" s="1012">
        <v>377712</v>
      </c>
      <c r="K20" s="1012">
        <v>382411</v>
      </c>
      <c r="L20" s="1012">
        <v>394107</v>
      </c>
      <c r="M20" s="1012">
        <v>267954</v>
      </c>
      <c r="N20" s="1012"/>
      <c r="O20" s="1012">
        <v>143875</v>
      </c>
      <c r="P20" s="1013"/>
      <c r="Q20" s="1014"/>
      <c r="R20" s="1011">
        <v>208084</v>
      </c>
      <c r="S20" s="1015">
        <v>268431</v>
      </c>
      <c r="T20" s="1015">
        <v>250616</v>
      </c>
      <c r="U20" s="1015">
        <v>237088</v>
      </c>
      <c r="V20" s="1015">
        <v>147777</v>
      </c>
      <c r="W20" s="1015">
        <v>215818</v>
      </c>
      <c r="X20" s="1015">
        <v>273510</v>
      </c>
      <c r="Y20" s="1015">
        <v>299059</v>
      </c>
      <c r="Z20" s="1015">
        <v>304980</v>
      </c>
      <c r="AA20" s="1015">
        <v>231197</v>
      </c>
      <c r="AB20" s="1015">
        <v>143086</v>
      </c>
      <c r="AC20" s="1015">
        <v>172491</v>
      </c>
      <c r="AD20" s="1016"/>
      <c r="AE20" s="1017"/>
      <c r="AF20" s="1015">
        <v>198695</v>
      </c>
      <c r="AG20" s="1015">
        <v>234210</v>
      </c>
      <c r="AH20" s="1015">
        <v>327560</v>
      </c>
      <c r="AI20" s="1015">
        <v>332523</v>
      </c>
      <c r="AJ20" s="1017">
        <v>356667</v>
      </c>
      <c r="AK20" s="1015">
        <v>384165</v>
      </c>
      <c r="AL20" s="1015">
        <v>317268</v>
      </c>
      <c r="AM20" s="1015">
        <v>370708</v>
      </c>
      <c r="AN20" s="1015">
        <v>354503</v>
      </c>
      <c r="AO20" s="1015">
        <v>314605</v>
      </c>
      <c r="AP20" s="1015">
        <v>90490</v>
      </c>
      <c r="AQ20" s="1015">
        <v>58348</v>
      </c>
      <c r="AR20" s="1015">
        <f t="shared" si="11"/>
        <v>58348</v>
      </c>
      <c r="AS20" s="1017"/>
      <c r="AT20" s="1015">
        <v>158701</v>
      </c>
      <c r="AU20" s="1015">
        <v>115369</v>
      </c>
      <c r="AV20" s="1015">
        <v>142379</v>
      </c>
      <c r="AW20" s="1015">
        <v>118765</v>
      </c>
      <c r="AX20" s="1015">
        <v>113246</v>
      </c>
      <c r="AY20" s="1015">
        <v>106776</v>
      </c>
      <c r="AZ20" s="1015">
        <v>175234</v>
      </c>
      <c r="BA20" s="1015">
        <v>151553</v>
      </c>
      <c r="BB20" s="1018">
        <v>167082</v>
      </c>
      <c r="BC20" s="1015">
        <v>150959</v>
      </c>
      <c r="BD20" s="1015">
        <v>119787</v>
      </c>
      <c r="BE20" s="1015">
        <v>65426</v>
      </c>
      <c r="BF20" s="1015">
        <f t="shared" si="13"/>
        <v>65426</v>
      </c>
      <c r="BG20" s="1017"/>
      <c r="BH20" s="1015">
        <v>166918</v>
      </c>
      <c r="BI20" s="1015">
        <v>167160</v>
      </c>
      <c r="BJ20" s="1015">
        <v>204571</v>
      </c>
      <c r="BK20" s="1015">
        <v>153197</v>
      </c>
      <c r="BL20" s="1015">
        <v>196798</v>
      </c>
      <c r="BM20" s="1015">
        <v>145596</v>
      </c>
      <c r="BN20" s="1015">
        <v>166021</v>
      </c>
      <c r="BO20" s="1015">
        <v>211305</v>
      </c>
      <c r="BP20" s="1015">
        <v>201071</v>
      </c>
      <c r="BQ20" s="1015">
        <v>177743</v>
      </c>
      <c r="BR20" s="1015">
        <v>144020</v>
      </c>
      <c r="BS20" s="1015">
        <v>154347</v>
      </c>
      <c r="BT20" s="1015">
        <f>BS20</f>
        <v>154347</v>
      </c>
      <c r="BU20" s="1017"/>
      <c r="BV20" s="1015">
        <v>151471</v>
      </c>
      <c r="BW20" s="1015">
        <v>155653</v>
      </c>
      <c r="BX20" s="1015">
        <v>151611</v>
      </c>
      <c r="BY20" s="1015">
        <v>177044</v>
      </c>
      <c r="BZ20" s="1015">
        <v>170481</v>
      </c>
      <c r="CA20" s="1015">
        <v>221665</v>
      </c>
      <c r="CB20" s="1015">
        <v>218105</v>
      </c>
      <c r="CC20" s="1015">
        <v>188153</v>
      </c>
      <c r="CD20" s="1015">
        <v>147751</v>
      </c>
      <c r="CE20" s="1015">
        <v>112996</v>
      </c>
      <c r="CF20" s="1015">
        <v>135968</v>
      </c>
      <c r="CG20" s="1015">
        <v>130000</v>
      </c>
      <c r="CH20" s="1015">
        <f t="shared" ref="CH20:CH31" si="31">CG20</f>
        <v>130000</v>
      </c>
      <c r="CI20" s="988">
        <v>114000</v>
      </c>
      <c r="CJ20" s="1015">
        <v>109585</v>
      </c>
      <c r="CK20" s="1015">
        <v>103815</v>
      </c>
      <c r="CL20" s="1015">
        <v>117138</v>
      </c>
      <c r="CM20" s="1015">
        <v>165469</v>
      </c>
      <c r="CN20" s="1015">
        <f>CM20+CN81-CN34</f>
        <v>175907.8879612374</v>
      </c>
      <c r="CO20" s="1015">
        <f>CN20+CO81-CO34</f>
        <v>238961.73306000742</v>
      </c>
      <c r="CP20" s="1015">
        <f>CO20+CP81-CP34</f>
        <v>271844.22259587242</v>
      </c>
      <c r="CQ20" s="1015">
        <f>CP20+CQ81-CQ34</f>
        <v>249838.52867182181</v>
      </c>
      <c r="CR20" s="1015">
        <f>CQ20+CR81-CR34</f>
        <v>201980.33782793995</v>
      </c>
      <c r="CS20" s="1019">
        <f>91286-CS21</f>
        <v>76250</v>
      </c>
      <c r="CT20" s="1019">
        <f>CS20+CT81-CT77-CT21</f>
        <v>101848.14995780593</v>
      </c>
      <c r="CU20" s="1019">
        <f>CT20+CU81-CU77-CU21</f>
        <v>111197.32717299581</v>
      </c>
      <c r="CV20" s="1020"/>
      <c r="CW20" s="1021"/>
      <c r="CX20" s="1015">
        <v>205563</v>
      </c>
      <c r="CY20" s="1015">
        <v>222075</v>
      </c>
      <c r="CZ20" s="1015">
        <v>174000</v>
      </c>
      <c r="DA20" s="1015">
        <v>127102</v>
      </c>
      <c r="DB20" s="1015">
        <f>DA20+DB81-DB77+DB15-DB16</f>
        <v>167914.24000000002</v>
      </c>
      <c r="DC20" s="1015">
        <f>DB20+DC81-DC77+DC15-DC16</f>
        <v>186583.62</v>
      </c>
      <c r="DD20" s="1015">
        <f>DC20+DD81-DD77+DD15-DD16</f>
        <v>210043.78999999998</v>
      </c>
      <c r="DE20" s="1015">
        <f>DD20+DE81-DE77+DE15-DE16</f>
        <v>210456.58</v>
      </c>
      <c r="DF20" s="1015">
        <f>DE20+DF81-DF77+DF15-DF16</f>
        <v>168858.34999999995</v>
      </c>
      <c r="DG20" s="1015">
        <f>DF20+DG81-DG77+DG15-DG16</f>
        <v>73965.609147679323</v>
      </c>
      <c r="DH20" s="1015">
        <f>DG20+DH81-DH77+DH15-DH16</f>
        <v>87284.424701265816</v>
      </c>
      <c r="DI20" s="1015">
        <f>DH20+DI81-DI77+DI15-DI16</f>
        <v>71525.936937974664</v>
      </c>
      <c r="DJ20" s="989"/>
      <c r="DK20" s="948"/>
      <c r="DL20" s="898">
        <f>DI20+DL81-DL77</f>
        <v>43482.530937974603</v>
      </c>
      <c r="DM20" s="898">
        <f>DL20+DM81-DM77+DM15-DM16</f>
        <v>40400.251937974608</v>
      </c>
      <c r="DN20" s="898">
        <f>DM20+DN81-DN77+DN15-DN16</f>
        <v>9988.4249379745743</v>
      </c>
      <c r="DO20" s="898">
        <f>DN20+DO81-DO77+DO15-DO16</f>
        <v>46034.540937974569</v>
      </c>
      <c r="DP20" s="898">
        <f>DO20+DP81-DP77+DP15-DP16</f>
        <v>58482.304937974579</v>
      </c>
      <c r="DQ20" s="898">
        <f>DP20+DQ81-DQ77+DQ15-DQ16</f>
        <v>72590.822937974575</v>
      </c>
      <c r="DR20" s="898">
        <f>DQ20+DR81-DR77+DR15</f>
        <v>55193.419937974541</v>
      </c>
      <c r="DS20" s="898">
        <f>DR20+DS81-DS77+DS15</f>
        <v>20333.498937974538</v>
      </c>
      <c r="DT20" s="898">
        <f>DS20+DT81-DT77+DT15</f>
        <v>-44203.644062025473</v>
      </c>
      <c r="DU20" s="898">
        <f>DT20+DU81-DU77+DU15</f>
        <v>-108983.26899957823</v>
      </c>
      <c r="DV20" s="898">
        <f>DU20+DV81-DV77+DV15</f>
        <v>-113502.10689063309</v>
      </c>
      <c r="DW20" s="898">
        <f>DV20+DW81-DW77+DW15</f>
        <v>-140681.81343025336</v>
      </c>
      <c r="DX20" s="989"/>
    </row>
    <row r="21" spans="1:128" s="1008" customFormat="1" ht="18.75">
      <c r="A21" s="1007"/>
      <c r="B21" s="1009" t="s">
        <v>118</v>
      </c>
      <c r="C21" s="1010"/>
      <c r="D21" s="1011"/>
      <c r="E21" s="1012"/>
      <c r="F21" s="1012"/>
      <c r="G21" s="1012"/>
      <c r="H21" s="1012"/>
      <c r="I21" s="1012"/>
      <c r="J21" s="1012"/>
      <c r="K21" s="1012"/>
      <c r="L21" s="1012"/>
      <c r="M21" s="1012"/>
      <c r="N21" s="1012"/>
      <c r="O21" s="1012"/>
      <c r="P21" s="1013"/>
      <c r="Q21" s="1014"/>
      <c r="R21" s="1011"/>
      <c r="S21" s="1015"/>
      <c r="T21" s="1015"/>
      <c r="U21" s="1015"/>
      <c r="V21" s="1015"/>
      <c r="W21" s="1015"/>
      <c r="X21" s="1015"/>
      <c r="Y21" s="1015"/>
      <c r="Z21" s="1015"/>
      <c r="AA21" s="1015"/>
      <c r="AB21" s="1015"/>
      <c r="AC21" s="1015"/>
      <c r="AD21" s="1016"/>
      <c r="AE21" s="1017"/>
      <c r="AF21" s="1015"/>
      <c r="AG21" s="1015"/>
      <c r="AH21" s="1015"/>
      <c r="AI21" s="1015"/>
      <c r="AJ21" s="1017"/>
      <c r="AK21" s="1015"/>
      <c r="AL21" s="1015"/>
      <c r="AM21" s="1015"/>
      <c r="AN21" s="1015"/>
      <c r="AO21" s="1015"/>
      <c r="AP21" s="1015"/>
      <c r="AQ21" s="1015"/>
      <c r="AR21" s="1015"/>
      <c r="AS21" s="1017"/>
      <c r="AT21" s="1015"/>
      <c r="AU21" s="1015"/>
      <c r="AV21" s="1015"/>
      <c r="AW21" s="1015"/>
      <c r="AX21" s="1015"/>
      <c r="AY21" s="1015"/>
      <c r="AZ21" s="1015"/>
      <c r="BA21" s="1015"/>
      <c r="BB21" s="1018"/>
      <c r="BC21" s="1015"/>
      <c r="BD21" s="1015"/>
      <c r="BE21" s="1015"/>
      <c r="BF21" s="1015"/>
      <c r="BG21" s="1017"/>
      <c r="BH21" s="1015"/>
      <c r="BI21" s="1015"/>
      <c r="BJ21" s="1015"/>
      <c r="BK21" s="1015"/>
      <c r="BL21" s="1015"/>
      <c r="BM21" s="1015"/>
      <c r="BN21" s="1015"/>
      <c r="BO21" s="1015"/>
      <c r="BP21" s="1015"/>
      <c r="BQ21" s="1015"/>
      <c r="BR21" s="1015"/>
      <c r="BS21" s="1015"/>
      <c r="BT21" s="1015"/>
      <c r="BU21" s="1017"/>
      <c r="BV21" s="1015"/>
      <c r="BW21" s="1015"/>
      <c r="BX21" s="1015"/>
      <c r="BY21" s="1015"/>
      <c r="BZ21" s="1015"/>
      <c r="CA21" s="1015"/>
      <c r="CB21" s="1015"/>
      <c r="CC21" s="1015"/>
      <c r="CD21" s="1015"/>
      <c r="CE21" s="1015"/>
      <c r="CF21" s="1015"/>
      <c r="CG21" s="1015"/>
      <c r="CH21" s="1015"/>
      <c r="CI21" s="988"/>
      <c r="CJ21" s="1015"/>
      <c r="CK21" s="1015"/>
      <c r="CL21" s="1015"/>
      <c r="CM21" s="1015"/>
      <c r="CN21" s="1015"/>
      <c r="CO21" s="1015"/>
      <c r="CP21" s="1015"/>
      <c r="CQ21" s="1015"/>
      <c r="CR21" s="1015"/>
      <c r="CS21" s="1019">
        <v>15036</v>
      </c>
      <c r="CT21" s="1019">
        <f>CS21+CT82-CT78</f>
        <v>24795</v>
      </c>
      <c r="CU21" s="1019">
        <f>CT21+CU82-CU78</f>
        <v>29568</v>
      </c>
      <c r="CV21" s="1020"/>
      <c r="CW21" s="1021"/>
      <c r="CX21" s="1015">
        <v>25049</v>
      </c>
      <c r="CY21" s="1015">
        <v>24195</v>
      </c>
      <c r="CZ21" s="1015">
        <v>29000</v>
      </c>
      <c r="DA21" s="1015">
        <v>15373</v>
      </c>
      <c r="DB21" s="1015">
        <f>DA21+DB82-DB78</f>
        <v>16373</v>
      </c>
      <c r="DC21" s="1015">
        <f>DB21+DC82-DC78</f>
        <v>18373</v>
      </c>
      <c r="DD21" s="1015">
        <f>DC21+DD82-DD78</f>
        <v>18373</v>
      </c>
      <c r="DE21" s="1015">
        <f>DD21+DE82-DE78</f>
        <v>19373</v>
      </c>
      <c r="DF21" s="1015">
        <f>DE21+DF82-DF78</f>
        <v>19373</v>
      </c>
      <c r="DG21" s="1015">
        <f>DF21+DG82-DG78</f>
        <v>20921.599999999999</v>
      </c>
      <c r="DH21" s="1015">
        <f>DG21+DH82-DH78</f>
        <v>22640.6</v>
      </c>
      <c r="DI21" s="1015">
        <f>DH21+DI82-DI78</f>
        <v>21742.899999999998</v>
      </c>
      <c r="DJ21" s="989"/>
      <c r="DK21" s="948"/>
      <c r="DL21" s="898">
        <f>DI21+DL82-DL78</f>
        <v>13879.899999999998</v>
      </c>
      <c r="DM21" s="898">
        <f>DL21+DM82-DM78</f>
        <v>14522.599999999997</v>
      </c>
      <c r="DN21" s="898">
        <f>DM21+DN82-DN78</f>
        <v>13634.499999999996</v>
      </c>
      <c r="DO21" s="898">
        <f>DN21+DO82-DO78</f>
        <v>17820.699999999997</v>
      </c>
      <c r="DP21" s="898">
        <f>DO21+DP82-DP78</f>
        <v>22036.699999999997</v>
      </c>
      <c r="DQ21" s="898">
        <f>DP21+DQ82-DQ78</f>
        <v>25448.1</v>
      </c>
      <c r="DR21" s="898">
        <f>DQ21+DR82-DR78</f>
        <v>27111.1</v>
      </c>
      <c r="DS21" s="898">
        <f>DR21+DS82-DS78</f>
        <v>25084.499999999996</v>
      </c>
      <c r="DT21" s="898">
        <f>DS21+DT82-DT78</f>
        <v>21034.499999999996</v>
      </c>
      <c r="DU21" s="898">
        <f>DT21+DU82-DU78</f>
        <v>16583.099999999999</v>
      </c>
      <c r="DV21" s="898">
        <f>DU21+DV82-DV78</f>
        <v>18302.099999999999</v>
      </c>
      <c r="DW21" s="898">
        <f>DV21+DW82-DW78</f>
        <v>17404.399999999998</v>
      </c>
      <c r="DX21" s="989"/>
    </row>
    <row r="22" spans="1:128" s="698" customFormat="1" ht="18.75" hidden="1">
      <c r="A22" s="683"/>
      <c r="B22" s="684" t="s">
        <v>119</v>
      </c>
      <c r="C22" s="685"/>
      <c r="D22" s="686"/>
      <c r="E22" s="687"/>
      <c r="F22" s="687"/>
      <c r="G22" s="687"/>
      <c r="H22" s="687"/>
      <c r="I22" s="687"/>
      <c r="J22" s="687"/>
      <c r="K22" s="687"/>
      <c r="L22" s="687"/>
      <c r="M22" s="687"/>
      <c r="N22" s="687"/>
      <c r="O22" s="687"/>
      <c r="P22" s="688"/>
      <c r="Q22" s="689"/>
      <c r="R22" s="686"/>
      <c r="S22" s="690"/>
      <c r="T22" s="690"/>
      <c r="U22" s="690"/>
      <c r="V22" s="690"/>
      <c r="W22" s="690"/>
      <c r="X22" s="690"/>
      <c r="Y22" s="690"/>
      <c r="Z22" s="690"/>
      <c r="AA22" s="690"/>
      <c r="AB22" s="690"/>
      <c r="AC22" s="690"/>
      <c r="AD22" s="691"/>
      <c r="AE22" s="692"/>
      <c r="AF22" s="690"/>
      <c r="AG22" s="690"/>
      <c r="AH22" s="690"/>
      <c r="AI22" s="690"/>
      <c r="AJ22" s="693"/>
      <c r="AK22" s="690"/>
      <c r="AL22" s="690"/>
      <c r="AM22" s="690"/>
      <c r="AN22" s="690"/>
      <c r="AO22" s="690"/>
      <c r="AP22" s="694"/>
      <c r="AQ22" s="690"/>
      <c r="AR22" s="690"/>
      <c r="AS22" s="692"/>
      <c r="AT22" s="690"/>
      <c r="AU22" s="690"/>
      <c r="AV22" s="690"/>
      <c r="AW22" s="690"/>
      <c r="AX22" s="690"/>
      <c r="AY22" s="690"/>
      <c r="AZ22" s="690"/>
      <c r="BA22" s="690"/>
      <c r="BB22" s="695"/>
      <c r="BC22" s="690"/>
      <c r="BD22" s="690"/>
      <c r="BE22" s="690"/>
      <c r="BF22" s="690"/>
      <c r="BG22" s="696"/>
      <c r="BH22" s="690"/>
      <c r="BI22" s="690"/>
      <c r="BJ22" s="690"/>
      <c r="BK22" s="690"/>
      <c r="BL22" s="690"/>
      <c r="BM22" s="690"/>
      <c r="BN22" s="690"/>
      <c r="BO22" s="690"/>
      <c r="BP22" s="690"/>
      <c r="BQ22" s="690"/>
      <c r="BR22" s="690"/>
      <c r="BS22" s="690"/>
      <c r="BT22" s="690"/>
      <c r="BU22" s="697"/>
      <c r="BV22" s="690"/>
      <c r="BW22" s="690"/>
      <c r="BX22" s="690"/>
      <c r="BY22" s="690"/>
      <c r="BZ22" s="690"/>
      <c r="CA22" s="690"/>
      <c r="CB22" s="690"/>
      <c r="CC22" s="690"/>
      <c r="CD22" s="690"/>
      <c r="CE22" s="690"/>
      <c r="CF22" s="690"/>
      <c r="CG22" s="690"/>
      <c r="CH22" s="690"/>
      <c r="CI22" s="707"/>
      <c r="CJ22" s="690"/>
      <c r="CK22" s="690"/>
      <c r="CL22" s="690"/>
      <c r="CM22" s="690"/>
      <c r="CN22" s="690"/>
      <c r="CO22" s="690"/>
      <c r="CP22" s="690"/>
      <c r="CQ22" s="690"/>
      <c r="CR22" s="690"/>
      <c r="CS22" s="756">
        <v>28927</v>
      </c>
      <c r="CT22" s="756">
        <f>CS22+CT83-CT79</f>
        <v>14387</v>
      </c>
      <c r="CU22" s="756">
        <f>CT22+CU83-CU79</f>
        <v>51731</v>
      </c>
      <c r="CV22" s="757"/>
      <c r="CW22" s="758"/>
      <c r="CX22" s="690">
        <v>6272</v>
      </c>
      <c r="CY22" s="690">
        <v>6499</v>
      </c>
      <c r="CZ22" s="690">
        <f>CY22+CZ83-CZ79+CZ16</f>
        <v>100175</v>
      </c>
      <c r="DA22" s="690">
        <f>CZ22+DA83-DA79+DA16</f>
        <v>146957</v>
      </c>
      <c r="DB22" s="690">
        <f>DA22+DB83-DB79+DB16</f>
        <v>137468</v>
      </c>
      <c r="DC22" s="690">
        <f>DB22+DC83-DC79+DC16</f>
        <v>172704</v>
      </c>
      <c r="DD22" s="690">
        <f>DC22+DD83-DD79+DD16</f>
        <v>163018.1</v>
      </c>
      <c r="DE22" s="690">
        <f>DD22+DE83-DE79+DE16</f>
        <v>154432.20000000001</v>
      </c>
      <c r="DF22" s="690">
        <f>DE22+DF83-DF79+DF16</f>
        <v>133509.30000000002</v>
      </c>
      <c r="DG22" s="690">
        <f>DF22+DG83-DG79+DG16</f>
        <v>175352.60000000003</v>
      </c>
      <c r="DH22" s="690">
        <f>DG22+DH83-DH79+DH16</f>
        <v>171274.25000000003</v>
      </c>
      <c r="DI22" s="690">
        <f>DH22+DI83-DI79+DI16</f>
        <v>217974.25000000003</v>
      </c>
      <c r="DJ22" s="756"/>
      <c r="DK22" s="948"/>
      <c r="DL22" s="690">
        <f>DI22+DL83-DL79+DL16</f>
        <v>232244.25</v>
      </c>
      <c r="DM22" s="690">
        <f>DL22+DM83-DM79+DM16</f>
        <v>225330.25</v>
      </c>
      <c r="DN22" s="690">
        <f>DM22+DN83-DN79+DN16</f>
        <v>230006.25</v>
      </c>
      <c r="DO22" s="690">
        <f>DN22+DO83-DO79+DO16</f>
        <v>217788.25</v>
      </c>
      <c r="DP22" s="690">
        <f>DO22+DP83-DP79+DP16</f>
        <v>208299.25</v>
      </c>
      <c r="DQ22" s="690">
        <f>DP22+DQ83-DQ79+DQ16</f>
        <v>243535.25</v>
      </c>
      <c r="DR22" s="690">
        <f>DQ22+DR83-DR79+DR16</f>
        <v>233849.35</v>
      </c>
      <c r="DS22" s="690">
        <f>DR22+DS83-DS79+DS16</f>
        <v>225263.44999999998</v>
      </c>
      <c r="DT22" s="690">
        <f>DS22+DT83-DT79+DT16</f>
        <v>204340.55</v>
      </c>
      <c r="DU22" s="690">
        <f>DT22+DU83-DU79+DU16</f>
        <v>196183.84999999998</v>
      </c>
      <c r="DV22" s="690">
        <f>DU22+DV83-DV79+DV16</f>
        <v>192105.49999999997</v>
      </c>
      <c r="DW22" s="690">
        <f>DV22+DW83-DW79+DW16</f>
        <v>238805.49999999997</v>
      </c>
      <c r="DX22" s="756"/>
    </row>
    <row r="23" spans="1:128" ht="18.75" hidden="1">
      <c r="A23" s="19">
        <v>2</v>
      </c>
      <c r="B23" s="684" t="s">
        <v>35</v>
      </c>
      <c r="C23" s="903"/>
      <c r="D23" s="265">
        <v>73670</v>
      </c>
      <c r="E23" s="20">
        <v>59682</v>
      </c>
      <c r="F23" s="20">
        <v>54710</v>
      </c>
      <c r="G23" s="20">
        <v>56175</v>
      </c>
      <c r="H23" s="20">
        <v>58933</v>
      </c>
      <c r="I23" s="20">
        <v>42784</v>
      </c>
      <c r="J23" s="20">
        <v>35755</v>
      </c>
      <c r="K23" s="20">
        <v>33547</v>
      </c>
      <c r="L23" s="20">
        <v>22824</v>
      </c>
      <c r="M23" s="20">
        <v>26162</v>
      </c>
      <c r="N23" s="20"/>
      <c r="O23" s="20">
        <v>44389</v>
      </c>
      <c r="P23" s="266"/>
      <c r="Q23" s="21"/>
      <c r="R23" s="265">
        <v>39759</v>
      </c>
      <c r="S23" s="22">
        <v>38325</v>
      </c>
      <c r="T23" s="22">
        <v>26634</v>
      </c>
      <c r="U23" s="22">
        <f>14430+2754+7859</f>
        <v>25043</v>
      </c>
      <c r="V23" s="22">
        <v>23840</v>
      </c>
      <c r="W23" s="22">
        <v>20057</v>
      </c>
      <c r="X23" s="22">
        <v>80502</v>
      </c>
      <c r="Y23" s="22">
        <v>56483</v>
      </c>
      <c r="Z23" s="22">
        <v>44233</v>
      </c>
      <c r="AA23" s="22">
        <v>38155</v>
      </c>
      <c r="AB23" s="22">
        <v>27540</v>
      </c>
      <c r="AC23" s="22">
        <v>25060</v>
      </c>
      <c r="AD23" s="267"/>
      <c r="AE23" s="23"/>
      <c r="AF23" s="22">
        <v>21326</v>
      </c>
      <c r="AG23" s="22">
        <v>17804</v>
      </c>
      <c r="AH23" s="22">
        <v>27157</v>
      </c>
      <c r="AI23" s="22">
        <v>19677</v>
      </c>
      <c r="AJ23" s="22">
        <v>18817</v>
      </c>
      <c r="AK23" s="22">
        <v>25034</v>
      </c>
      <c r="AL23" s="22">
        <v>28090</v>
      </c>
      <c r="AM23" s="22">
        <v>25660</v>
      </c>
      <c r="AN23" s="22">
        <v>33752</v>
      </c>
      <c r="AO23" s="22">
        <v>24699</v>
      </c>
      <c r="AP23" s="25">
        <v>19340</v>
      </c>
      <c r="AQ23" s="22">
        <v>29842</v>
      </c>
      <c r="AR23" s="22">
        <f t="shared" si="11"/>
        <v>29842</v>
      </c>
      <c r="AS23" s="23"/>
      <c r="AT23" s="22">
        <v>46493</v>
      </c>
      <c r="AU23" s="22">
        <v>37125</v>
      </c>
      <c r="AV23" s="22">
        <v>38574</v>
      </c>
      <c r="AW23" s="22">
        <v>43626</v>
      </c>
      <c r="AX23" s="22">
        <v>39641</v>
      </c>
      <c r="AY23" s="22">
        <v>55553</v>
      </c>
      <c r="AZ23" s="22">
        <v>48023</v>
      </c>
      <c r="BA23" s="22">
        <v>55043</v>
      </c>
      <c r="BB23" s="26">
        <v>50383</v>
      </c>
      <c r="BC23" s="22">
        <v>54355</v>
      </c>
      <c r="BD23" s="22">
        <v>82473</v>
      </c>
      <c r="BE23" s="22">
        <v>65398</v>
      </c>
      <c r="BF23" s="22">
        <f t="shared" si="13"/>
        <v>65398</v>
      </c>
      <c r="BG23" s="27"/>
      <c r="BH23" s="22">
        <v>68747</v>
      </c>
      <c r="BI23" s="22">
        <v>62843</v>
      </c>
      <c r="BJ23" s="22">
        <v>62154</v>
      </c>
      <c r="BK23" s="22">
        <v>49337</v>
      </c>
      <c r="BL23" s="22">
        <v>27730</v>
      </c>
      <c r="BM23" s="22">
        <v>42459</v>
      </c>
      <c r="BN23" s="22">
        <v>44049</v>
      </c>
      <c r="BO23" s="22">
        <v>29196</v>
      </c>
      <c r="BP23" s="22">
        <v>36882</v>
      </c>
      <c r="BQ23" s="22">
        <v>35965</v>
      </c>
      <c r="BR23" s="22">
        <v>31343</v>
      </c>
      <c r="BS23" s="22">
        <v>23087</v>
      </c>
      <c r="BT23" s="22">
        <f t="shared" ref="BT23:BT31" si="32">BS23</f>
        <v>23087</v>
      </c>
      <c r="BU23" s="28"/>
      <c r="BV23" s="22">
        <v>15202</v>
      </c>
      <c r="BW23" s="22">
        <v>12471</v>
      </c>
      <c r="BX23" s="22">
        <v>11483</v>
      </c>
      <c r="BY23" s="22">
        <v>14071</v>
      </c>
      <c r="BZ23" s="22">
        <v>49617</v>
      </c>
      <c r="CA23" s="22">
        <v>36385</v>
      </c>
      <c r="CB23" s="22">
        <v>25473</v>
      </c>
      <c r="CC23" s="22">
        <v>16933</v>
      </c>
      <c r="CD23" s="22">
        <v>12684</v>
      </c>
      <c r="CE23" s="22">
        <v>21084</v>
      </c>
      <c r="CF23" s="22">
        <v>15172</v>
      </c>
      <c r="CG23" s="22">
        <v>11469</v>
      </c>
      <c r="CH23" s="22">
        <f>CG23</f>
        <v>11469</v>
      </c>
      <c r="CI23">
        <f>7500*5</f>
        <v>37500</v>
      </c>
      <c r="CJ23" s="22">
        <v>9465</v>
      </c>
      <c r="CK23" s="22">
        <v>13722</v>
      </c>
      <c r="CL23" s="22">
        <v>10771</v>
      </c>
      <c r="CM23" s="22">
        <v>8538</v>
      </c>
      <c r="CN23" s="22"/>
      <c r="CO23" s="22"/>
      <c r="CP23" s="22"/>
      <c r="CQ23" s="22"/>
      <c r="CR23" s="22"/>
      <c r="CS23" s="22">
        <v>4128</v>
      </c>
      <c r="CT23" s="22"/>
      <c r="CU23" s="22"/>
      <c r="CV23" s="22">
        <v>0</v>
      </c>
      <c r="CW23" s="758"/>
      <c r="CX23" s="870"/>
      <c r="CY23" s="870"/>
      <c r="CZ23" s="870"/>
      <c r="DA23" s="870"/>
      <c r="DB23" s="870"/>
      <c r="DC23" s="870"/>
      <c r="DD23" s="870"/>
      <c r="DE23" s="870"/>
      <c r="DF23" s="870"/>
      <c r="DG23" s="870"/>
      <c r="DH23" s="870"/>
      <c r="DI23" s="870"/>
      <c r="DJ23" s="22">
        <v>0</v>
      </c>
      <c r="DK23" s="948"/>
      <c r="DL23" s="870"/>
      <c r="DM23" s="870"/>
      <c r="DN23" s="870"/>
      <c r="DO23" s="870"/>
      <c r="DP23" s="870"/>
      <c r="DQ23" s="870"/>
      <c r="DR23" s="870"/>
      <c r="DS23" s="870"/>
      <c r="DT23" s="870"/>
      <c r="DU23" s="870"/>
      <c r="DV23" s="870"/>
      <c r="DW23" s="870"/>
      <c r="DX23" s="22">
        <v>0</v>
      </c>
    </row>
    <row r="24" spans="1:128" ht="18.75" hidden="1">
      <c r="A24" s="19">
        <v>3</v>
      </c>
      <c r="B24" s="684" t="s">
        <v>36</v>
      </c>
      <c r="C24" s="903"/>
      <c r="D24" s="268">
        <v>34116</v>
      </c>
      <c r="E24" s="269">
        <v>29277</v>
      </c>
      <c r="F24" s="269">
        <v>43008</v>
      </c>
      <c r="G24" s="269">
        <v>30524</v>
      </c>
      <c r="H24" s="269">
        <v>33235</v>
      </c>
      <c r="I24" s="269">
        <v>39842</v>
      </c>
      <c r="J24" s="269">
        <v>41021</v>
      </c>
      <c r="K24" s="269">
        <v>31224</v>
      </c>
      <c r="L24" s="269"/>
      <c r="M24" s="269">
        <v>10286</v>
      </c>
      <c r="N24" s="269"/>
      <c r="O24" s="269"/>
      <c r="P24" s="266"/>
      <c r="Q24" s="21"/>
      <c r="R24" s="268">
        <v>35516</v>
      </c>
      <c r="S24" s="270">
        <v>35962</v>
      </c>
      <c r="T24" s="270">
        <v>35962</v>
      </c>
      <c r="U24" s="270">
        <v>35962</v>
      </c>
      <c r="V24" s="270">
        <v>35000</v>
      </c>
      <c r="W24" s="270"/>
      <c r="X24" s="270">
        <v>6123</v>
      </c>
      <c r="Y24" s="270">
        <v>6123</v>
      </c>
      <c r="Z24" s="270">
        <v>4187</v>
      </c>
      <c r="AA24" s="270">
        <v>2745</v>
      </c>
      <c r="AB24" s="270"/>
      <c r="AC24" s="270"/>
      <c r="AD24" s="267"/>
      <c r="AE24" s="23"/>
      <c r="AF24" s="270">
        <v>8366</v>
      </c>
      <c r="AG24" s="270">
        <v>11534</v>
      </c>
      <c r="AH24" s="270">
        <v>11507</v>
      </c>
      <c r="AI24" s="270">
        <v>9148</v>
      </c>
      <c r="AJ24" s="22">
        <v>8524</v>
      </c>
      <c r="AK24" s="270">
        <v>25290</v>
      </c>
      <c r="AL24" s="270">
        <v>91080</v>
      </c>
      <c r="AM24" s="270">
        <v>66830</v>
      </c>
      <c r="AN24" s="270">
        <v>36866</v>
      </c>
      <c r="AO24" s="270">
        <v>16173</v>
      </c>
      <c r="AP24" s="271">
        <v>178274</v>
      </c>
      <c r="AQ24" s="270">
        <v>210665</v>
      </c>
      <c r="AR24" s="22">
        <f t="shared" si="11"/>
        <v>210665</v>
      </c>
      <c r="AS24" s="23"/>
      <c r="AT24" s="270">
        <v>121075</v>
      </c>
      <c r="AU24" s="270">
        <v>149376</v>
      </c>
      <c r="AV24" s="270">
        <v>104538</v>
      </c>
      <c r="AW24" s="270">
        <v>105262</v>
      </c>
      <c r="AX24" s="270">
        <v>121073</v>
      </c>
      <c r="AY24" s="270">
        <v>163931</v>
      </c>
      <c r="AZ24" s="270">
        <v>109964</v>
      </c>
      <c r="BA24" s="270">
        <v>148266</v>
      </c>
      <c r="BB24" s="26">
        <v>130697</v>
      </c>
      <c r="BC24" s="270">
        <v>113779</v>
      </c>
      <c r="BD24" s="270">
        <v>91119</v>
      </c>
      <c r="BE24" s="270">
        <v>103286</v>
      </c>
      <c r="BF24" s="22">
        <f t="shared" si="13"/>
        <v>103286</v>
      </c>
      <c r="BG24" s="27"/>
      <c r="BH24" s="270">
        <v>49631</v>
      </c>
      <c r="BI24" s="270">
        <v>52953</v>
      </c>
      <c r="BJ24" s="270">
        <v>28440</v>
      </c>
      <c r="BK24" s="270">
        <v>83601</v>
      </c>
      <c r="BL24" s="22">
        <v>25812</v>
      </c>
      <c r="BM24" s="22">
        <v>59545</v>
      </c>
      <c r="BN24" s="22">
        <v>83435</v>
      </c>
      <c r="BO24" s="22">
        <v>34041</v>
      </c>
      <c r="BP24" s="22">
        <v>22399</v>
      </c>
      <c r="BQ24" s="22">
        <v>24887</v>
      </c>
      <c r="BR24" s="22">
        <v>12183</v>
      </c>
      <c r="BS24" s="22">
        <v>12183</v>
      </c>
      <c r="BT24" s="22">
        <f t="shared" si="32"/>
        <v>12183</v>
      </c>
      <c r="BU24" s="28"/>
      <c r="BV24" s="270">
        <v>5216</v>
      </c>
      <c r="BW24" s="270"/>
      <c r="BX24" s="270">
        <v>65273</v>
      </c>
      <c r="BY24" s="270">
        <v>70182</v>
      </c>
      <c r="BZ24" s="22">
        <v>57659</v>
      </c>
      <c r="CA24" s="22">
        <v>71669</v>
      </c>
      <c r="CB24" s="22">
        <v>73078</v>
      </c>
      <c r="CC24" s="22">
        <v>85302</v>
      </c>
      <c r="CD24" s="22">
        <v>25343</v>
      </c>
      <c r="CE24" s="22">
        <v>19030</v>
      </c>
      <c r="CF24" s="22">
        <v>19422</v>
      </c>
      <c r="CG24" s="22">
        <v>25927</v>
      </c>
      <c r="CH24" s="22">
        <f>CG24</f>
        <v>25927</v>
      </c>
      <c r="CI24">
        <v>29000</v>
      </c>
      <c r="CJ24" s="270">
        <v>21580</v>
      </c>
      <c r="CK24" s="270">
        <v>18052</v>
      </c>
      <c r="CL24" s="270">
        <v>30722</v>
      </c>
      <c r="CM24" s="270">
        <v>33641</v>
      </c>
      <c r="CN24" s="22"/>
      <c r="CO24" s="22"/>
      <c r="CP24" s="22"/>
      <c r="CQ24" s="22"/>
      <c r="CR24" s="22"/>
      <c r="CS24" s="22">
        <v>10634</v>
      </c>
      <c r="CT24" s="22"/>
      <c r="CU24" s="22"/>
      <c r="CV24" s="22">
        <v>0</v>
      </c>
      <c r="CW24" s="758"/>
      <c r="CX24" s="871">
        <v>29749</v>
      </c>
      <c r="CY24" s="871">
        <v>27364</v>
      </c>
      <c r="CZ24" s="871"/>
      <c r="DA24" s="871"/>
      <c r="DB24" s="870"/>
      <c r="DC24" s="870"/>
      <c r="DD24" s="870"/>
      <c r="DE24" s="870"/>
      <c r="DF24" s="870"/>
      <c r="DG24" s="870"/>
      <c r="DH24" s="870"/>
      <c r="DI24" s="870"/>
      <c r="DJ24" s="22">
        <v>0</v>
      </c>
      <c r="DK24" s="948"/>
      <c r="DL24" s="871"/>
      <c r="DM24" s="871"/>
      <c r="DN24" s="871"/>
      <c r="DO24" s="871"/>
      <c r="DP24" s="870"/>
      <c r="DQ24" s="870"/>
      <c r="DR24" s="870"/>
      <c r="DS24" s="870"/>
      <c r="DT24" s="870"/>
      <c r="DU24" s="870"/>
      <c r="DV24" s="870"/>
      <c r="DW24" s="870"/>
      <c r="DX24" s="22">
        <v>0</v>
      </c>
    </row>
    <row r="25" spans="1:128" ht="18.75" hidden="1">
      <c r="A25" s="19">
        <v>4</v>
      </c>
      <c r="B25" s="684" t="s">
        <v>37</v>
      </c>
      <c r="C25" s="903"/>
      <c r="D25" s="268">
        <v>34116</v>
      </c>
      <c r="E25" s="269">
        <v>29277</v>
      </c>
      <c r="F25" s="269">
        <v>43008</v>
      </c>
      <c r="G25" s="269">
        <v>30524</v>
      </c>
      <c r="H25" s="269">
        <v>33235</v>
      </c>
      <c r="I25" s="269">
        <v>39842</v>
      </c>
      <c r="J25" s="269">
        <v>41021</v>
      </c>
      <c r="K25" s="269">
        <v>31224</v>
      </c>
      <c r="L25" s="269"/>
      <c r="M25" s="269">
        <v>10286</v>
      </c>
      <c r="N25" s="269"/>
      <c r="O25" s="269"/>
      <c r="P25" s="266"/>
      <c r="Q25" s="21"/>
      <c r="R25" s="268">
        <v>35516</v>
      </c>
      <c r="S25" s="270">
        <v>35962</v>
      </c>
      <c r="T25" s="270">
        <v>35962</v>
      </c>
      <c r="U25" s="270">
        <v>35962</v>
      </c>
      <c r="V25" s="270">
        <v>35000</v>
      </c>
      <c r="W25" s="270"/>
      <c r="X25" s="270">
        <v>6123</v>
      </c>
      <c r="Y25" s="270">
        <v>6123</v>
      </c>
      <c r="Z25" s="270">
        <v>4187</v>
      </c>
      <c r="AA25" s="270">
        <v>2745</v>
      </c>
      <c r="AB25" s="270"/>
      <c r="AC25" s="270"/>
      <c r="AD25" s="267"/>
      <c r="AE25" s="23"/>
      <c r="AF25" s="270">
        <v>8366</v>
      </c>
      <c r="AG25" s="270">
        <v>11534</v>
      </c>
      <c r="AH25" s="270">
        <v>11507</v>
      </c>
      <c r="AI25" s="270">
        <v>9148</v>
      </c>
      <c r="AJ25" s="22">
        <v>8524</v>
      </c>
      <c r="AK25" s="270">
        <v>25290</v>
      </c>
      <c r="AL25" s="270">
        <v>91080</v>
      </c>
      <c r="AM25" s="270">
        <v>66830</v>
      </c>
      <c r="AN25" s="270">
        <v>36866</v>
      </c>
      <c r="AO25" s="270">
        <v>16173</v>
      </c>
      <c r="AP25" s="271">
        <v>178274</v>
      </c>
      <c r="AQ25" s="270">
        <v>210665</v>
      </c>
      <c r="AR25" s="22">
        <f t="shared" si="11"/>
        <v>210665</v>
      </c>
      <c r="AS25" s="23"/>
      <c r="AT25" s="270">
        <v>121075</v>
      </c>
      <c r="AU25" s="270">
        <v>149376</v>
      </c>
      <c r="AV25" s="270">
        <v>104538</v>
      </c>
      <c r="AW25" s="270">
        <v>105262</v>
      </c>
      <c r="AX25" s="270">
        <v>121073</v>
      </c>
      <c r="AY25" s="270">
        <v>163931</v>
      </c>
      <c r="AZ25" s="270">
        <v>109964</v>
      </c>
      <c r="BA25" s="270">
        <v>148266</v>
      </c>
      <c r="BB25" s="26">
        <v>130697</v>
      </c>
      <c r="BC25" s="270">
        <v>113779</v>
      </c>
      <c r="BD25" s="270">
        <v>91119</v>
      </c>
      <c r="BE25" s="270">
        <v>103286</v>
      </c>
      <c r="BF25" s="22">
        <f t="shared" si="13"/>
        <v>103286</v>
      </c>
      <c r="BG25" s="27"/>
      <c r="BH25" s="270">
        <v>49631</v>
      </c>
      <c r="BI25" s="270">
        <v>52953</v>
      </c>
      <c r="BJ25" s="270">
        <v>28440</v>
      </c>
      <c r="BK25" s="270">
        <v>83601</v>
      </c>
      <c r="BL25" s="22">
        <v>25812</v>
      </c>
      <c r="BM25" s="22">
        <v>59545</v>
      </c>
      <c r="BN25" s="22">
        <v>83435</v>
      </c>
      <c r="BO25" s="22">
        <v>34041</v>
      </c>
      <c r="BP25" s="22">
        <v>22399</v>
      </c>
      <c r="BQ25" s="22">
        <v>24887</v>
      </c>
      <c r="BR25" s="22">
        <v>12183</v>
      </c>
      <c r="BS25" s="22">
        <v>12183</v>
      </c>
      <c r="BT25" s="22">
        <f t="shared" si="32"/>
        <v>12183</v>
      </c>
      <c r="BU25" s="28"/>
      <c r="BV25" s="270"/>
      <c r="BW25" s="270"/>
      <c r="BX25" s="270"/>
      <c r="BY25" s="270"/>
      <c r="BZ25" s="22"/>
      <c r="CA25" s="22"/>
      <c r="CB25" s="22"/>
      <c r="CC25" s="22"/>
      <c r="CD25" s="22">
        <v>6361</v>
      </c>
      <c r="CE25" s="22">
        <v>7759</v>
      </c>
      <c r="CF25" s="22">
        <v>6573</v>
      </c>
      <c r="CG25" s="22">
        <v>9541</v>
      </c>
      <c r="CH25" s="22">
        <f t="shared" si="31"/>
        <v>9541</v>
      </c>
      <c r="CI25">
        <f>CI20+CI23-CI24</f>
        <v>122500</v>
      </c>
      <c r="CJ25" s="270">
        <v>9582</v>
      </c>
      <c r="CK25" s="270">
        <v>7266</v>
      </c>
      <c r="CL25" s="270">
        <v>11364</v>
      </c>
      <c r="CM25" s="270">
        <v>10698</v>
      </c>
      <c r="CN25" s="22"/>
      <c r="CO25" s="22"/>
      <c r="CP25" s="22"/>
      <c r="CQ25" s="22"/>
      <c r="CR25" s="22"/>
      <c r="CS25" s="22">
        <v>2650</v>
      </c>
      <c r="CT25" s="22"/>
      <c r="CU25" s="22"/>
      <c r="CV25" s="22">
        <v>0</v>
      </c>
      <c r="CW25" s="758"/>
      <c r="CX25" s="871">
        <v>13676</v>
      </c>
      <c r="CY25" s="871">
        <v>12313</v>
      </c>
      <c r="CZ25" s="871"/>
      <c r="DA25" s="871"/>
      <c r="DB25" s="870"/>
      <c r="DC25" s="870"/>
      <c r="DD25" s="870"/>
      <c r="DE25" s="870"/>
      <c r="DF25" s="870"/>
      <c r="DG25" s="870"/>
      <c r="DH25" s="870"/>
      <c r="DI25" s="870"/>
      <c r="DJ25" s="22">
        <v>0</v>
      </c>
      <c r="DK25" s="948"/>
      <c r="DL25" s="871"/>
      <c r="DM25" s="871"/>
      <c r="DN25" s="871"/>
      <c r="DO25" s="871"/>
      <c r="DP25" s="870"/>
      <c r="DQ25" s="870"/>
      <c r="DR25" s="870"/>
      <c r="DS25" s="870"/>
      <c r="DT25" s="870"/>
      <c r="DU25" s="870"/>
      <c r="DV25" s="870"/>
      <c r="DW25" s="870"/>
      <c r="DX25" s="22">
        <v>0</v>
      </c>
    </row>
    <row r="26" spans="1:128" ht="18.75" hidden="1">
      <c r="A26" s="19">
        <v>1</v>
      </c>
      <c r="B26" s="904" t="s">
        <v>38</v>
      </c>
      <c r="C26" s="905"/>
      <c r="D26" s="265">
        <v>6409</v>
      </c>
      <c r="E26" s="20">
        <v>6860</v>
      </c>
      <c r="F26" s="20">
        <v>4970</v>
      </c>
      <c r="G26" s="20">
        <v>31203</v>
      </c>
      <c r="H26" s="20">
        <v>31499</v>
      </c>
      <c r="I26" s="20">
        <v>25903</v>
      </c>
      <c r="J26" s="20">
        <v>18606</v>
      </c>
      <c r="K26" s="20">
        <v>16014</v>
      </c>
      <c r="L26" s="20">
        <v>13416</v>
      </c>
      <c r="M26" s="20">
        <v>40079</v>
      </c>
      <c r="N26" s="20"/>
      <c r="O26" s="20">
        <v>0</v>
      </c>
      <c r="P26" s="266"/>
      <c r="Q26" s="21"/>
      <c r="R26" s="265">
        <v>3376</v>
      </c>
      <c r="S26" s="22">
        <v>11736</v>
      </c>
      <c r="T26" s="22">
        <v>22454</v>
      </c>
      <c r="U26" s="22">
        <v>21384</v>
      </c>
      <c r="V26" s="22">
        <v>66870</v>
      </c>
      <c r="W26" s="22">
        <v>73769</v>
      </c>
      <c r="X26" s="22">
        <v>13944</v>
      </c>
      <c r="Y26" s="22">
        <v>32750</v>
      </c>
      <c r="Z26" s="22">
        <v>18536</v>
      </c>
      <c r="AA26" s="22">
        <v>40211</v>
      </c>
      <c r="AB26" s="22">
        <v>44457</v>
      </c>
      <c r="AC26" s="22">
        <v>24504</v>
      </c>
      <c r="AD26" s="267"/>
      <c r="AE26" s="23"/>
      <c r="AF26" s="22">
        <v>18586</v>
      </c>
      <c r="AG26" s="22">
        <v>17539</v>
      </c>
      <c r="AH26" s="22">
        <v>20245</v>
      </c>
      <c r="AI26" s="22">
        <v>17669</v>
      </c>
      <c r="AJ26" s="22">
        <v>16769</v>
      </c>
      <c r="AK26" s="22">
        <v>31134</v>
      </c>
      <c r="AL26" s="22">
        <v>35711</v>
      </c>
      <c r="AM26" s="22">
        <v>29141</v>
      </c>
      <c r="AN26" s="22">
        <v>25307</v>
      </c>
      <c r="AO26" s="22">
        <v>35964</v>
      </c>
      <c r="AP26" s="25">
        <v>37378</v>
      </c>
      <c r="AQ26" s="22">
        <v>22159</v>
      </c>
      <c r="AR26" s="22">
        <f t="shared" si="11"/>
        <v>22159</v>
      </c>
      <c r="AS26" s="23"/>
      <c r="AT26" s="22">
        <v>24034</v>
      </c>
      <c r="AU26" s="270">
        <v>22061</v>
      </c>
      <c r="AV26" s="22">
        <v>22489</v>
      </c>
      <c r="AW26" s="22">
        <v>25124</v>
      </c>
      <c r="AX26" s="22">
        <v>22794</v>
      </c>
      <c r="AY26" s="22">
        <v>17777</v>
      </c>
      <c r="AZ26" s="22">
        <v>34345</v>
      </c>
      <c r="BA26" s="22">
        <v>17580</v>
      </c>
      <c r="BB26" s="26">
        <v>26992</v>
      </c>
      <c r="BC26" s="22">
        <v>21373</v>
      </c>
      <c r="BD26" s="22">
        <v>21202</v>
      </c>
      <c r="BE26" s="22">
        <v>19109</v>
      </c>
      <c r="BF26" s="22">
        <f t="shared" si="13"/>
        <v>19109</v>
      </c>
      <c r="BG26" s="27"/>
      <c r="BH26" s="22">
        <v>22216</v>
      </c>
      <c r="BI26" s="270">
        <v>19102</v>
      </c>
      <c r="BJ26" s="22">
        <v>20676</v>
      </c>
      <c r="BK26" s="22">
        <v>19892</v>
      </c>
      <c r="BL26" s="22">
        <v>48737</v>
      </c>
      <c r="BM26" s="22">
        <v>45521</v>
      </c>
      <c r="BN26" s="22">
        <v>41781</v>
      </c>
      <c r="BO26" s="22">
        <v>48019</v>
      </c>
      <c r="BP26" s="22">
        <v>43955</v>
      </c>
      <c r="BQ26" s="22">
        <v>41505</v>
      </c>
      <c r="BR26" s="22">
        <v>28306</v>
      </c>
      <c r="BS26" s="22">
        <v>23731</v>
      </c>
      <c r="BT26" s="22">
        <f t="shared" si="32"/>
        <v>23731</v>
      </c>
      <c r="BU26" s="28"/>
      <c r="BV26" s="22">
        <v>28505</v>
      </c>
      <c r="BW26" s="270">
        <v>25054</v>
      </c>
      <c r="BX26" s="22">
        <v>24396</v>
      </c>
      <c r="BY26" s="22">
        <v>21708</v>
      </c>
      <c r="BZ26" s="22">
        <v>17857</v>
      </c>
      <c r="CA26" s="22">
        <v>33103</v>
      </c>
      <c r="CB26" s="22">
        <v>29327</v>
      </c>
      <c r="CC26" s="22">
        <v>27562</v>
      </c>
      <c r="CD26" s="22">
        <v>19590</v>
      </c>
      <c r="CE26" s="22">
        <v>11730</v>
      </c>
      <c r="CF26" s="22">
        <v>10529</v>
      </c>
      <c r="CG26" s="22">
        <v>19978</v>
      </c>
      <c r="CH26" s="22">
        <f t="shared" si="31"/>
        <v>19978</v>
      </c>
      <c r="CJ26" s="22">
        <v>18456</v>
      </c>
      <c r="CK26" s="270">
        <v>15409</v>
      </c>
      <c r="CL26" s="22">
        <v>18755</v>
      </c>
      <c r="CM26" s="22">
        <v>15399</v>
      </c>
      <c r="CN26" s="22"/>
      <c r="CO26" s="22"/>
      <c r="CP26" s="22"/>
      <c r="CQ26" s="22"/>
      <c r="CR26" s="22"/>
      <c r="CS26" s="22">
        <v>14419</v>
      </c>
      <c r="CT26" s="22"/>
      <c r="CU26" s="22"/>
      <c r="CV26" s="22">
        <v>0</v>
      </c>
      <c r="CW26" s="758"/>
      <c r="CX26" s="870"/>
      <c r="CY26" s="871"/>
      <c r="CZ26" s="870"/>
      <c r="DA26" s="870"/>
      <c r="DB26" s="870"/>
      <c r="DC26" s="870"/>
      <c r="DD26" s="870"/>
      <c r="DE26" s="870"/>
      <c r="DF26" s="870"/>
      <c r="DG26" s="870"/>
      <c r="DH26" s="870"/>
      <c r="DI26" s="870"/>
      <c r="DJ26" s="22">
        <v>0</v>
      </c>
      <c r="DK26" s="948"/>
      <c r="DL26" s="870"/>
      <c r="DM26" s="871"/>
      <c r="DN26" s="870"/>
      <c r="DO26" s="870"/>
      <c r="DP26" s="870"/>
      <c r="DQ26" s="870"/>
      <c r="DR26" s="870"/>
      <c r="DS26" s="870"/>
      <c r="DT26" s="870"/>
      <c r="DU26" s="870"/>
      <c r="DV26" s="870"/>
      <c r="DW26" s="870"/>
      <c r="DX26" s="22">
        <v>0</v>
      </c>
    </row>
    <row r="27" spans="1:128" ht="18.75" hidden="1">
      <c r="A27" s="19">
        <v>0</v>
      </c>
      <c r="B27" s="904" t="s">
        <v>39</v>
      </c>
      <c r="C27" s="905"/>
      <c r="D27" s="265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66"/>
      <c r="Q27" s="21"/>
      <c r="R27" s="265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67"/>
      <c r="AE27" s="23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5"/>
      <c r="AQ27" s="22"/>
      <c r="AR27" s="22"/>
      <c r="AS27" s="23"/>
      <c r="AT27" s="22"/>
      <c r="AU27" s="270"/>
      <c r="AV27" s="22"/>
      <c r="AW27" s="22"/>
      <c r="AX27" s="22"/>
      <c r="AY27" s="22"/>
      <c r="AZ27" s="22"/>
      <c r="BA27" s="22"/>
      <c r="BB27" s="26"/>
      <c r="BC27" s="22"/>
      <c r="BD27" s="22"/>
      <c r="BE27" s="22"/>
      <c r="BF27" s="22"/>
      <c r="BG27" s="27"/>
      <c r="BH27" s="22"/>
      <c r="BI27" s="270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8"/>
      <c r="BV27" s="22"/>
      <c r="BW27" s="270"/>
      <c r="BX27" s="22"/>
      <c r="BY27" s="22"/>
      <c r="BZ27" s="22"/>
      <c r="CA27" s="22"/>
      <c r="CB27" s="22"/>
      <c r="CC27" s="22"/>
      <c r="CD27" s="22"/>
      <c r="CE27" s="22">
        <v>34501</v>
      </c>
      <c r="CF27" s="22">
        <v>18809</v>
      </c>
      <c r="CG27" s="22">
        <v>12618</v>
      </c>
      <c r="CH27" s="22"/>
      <c r="CJ27" s="22">
        <v>11940</v>
      </c>
      <c r="CK27" s="270">
        <v>19956</v>
      </c>
      <c r="CL27" s="22">
        <v>15650</v>
      </c>
      <c r="CM27" s="22">
        <v>12005</v>
      </c>
      <c r="CN27" s="22"/>
      <c r="CO27" s="22"/>
      <c r="CP27" s="22"/>
      <c r="CQ27" s="22"/>
      <c r="CR27" s="22"/>
      <c r="CS27" s="22">
        <v>6064</v>
      </c>
      <c r="CT27" s="22"/>
      <c r="CU27" s="22"/>
      <c r="CV27" s="22"/>
      <c r="CW27" s="758"/>
      <c r="CX27" s="870"/>
      <c r="CY27" s="871"/>
      <c r="CZ27" s="870"/>
      <c r="DA27" s="870"/>
      <c r="DB27" s="870"/>
      <c r="DC27" s="870"/>
      <c r="DD27" s="870"/>
      <c r="DE27" s="870"/>
      <c r="DF27" s="870"/>
      <c r="DG27" s="870"/>
      <c r="DH27" s="870"/>
      <c r="DI27" s="870"/>
      <c r="DJ27" s="22"/>
      <c r="DK27" s="948"/>
      <c r="DL27" s="870"/>
      <c r="DM27" s="871"/>
      <c r="DN27" s="870"/>
      <c r="DO27" s="870"/>
      <c r="DP27" s="870"/>
      <c r="DQ27" s="870"/>
      <c r="DR27" s="870"/>
      <c r="DS27" s="870"/>
      <c r="DT27" s="870"/>
      <c r="DU27" s="870"/>
      <c r="DV27" s="870"/>
      <c r="DW27" s="870"/>
      <c r="DX27" s="22"/>
    </row>
    <row r="28" spans="1:128" ht="18.75" hidden="1">
      <c r="A28" s="19">
        <v>0</v>
      </c>
      <c r="B28" s="904" t="s">
        <v>40</v>
      </c>
      <c r="C28" s="905"/>
      <c r="D28" s="265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66"/>
      <c r="Q28" s="21"/>
      <c r="R28" s="265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67"/>
      <c r="AE28" s="23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5"/>
      <c r="AQ28" s="22"/>
      <c r="AR28" s="22"/>
      <c r="AS28" s="23"/>
      <c r="AT28" s="22"/>
      <c r="AU28" s="270"/>
      <c r="AV28" s="22"/>
      <c r="AW28" s="22"/>
      <c r="AX28" s="22"/>
      <c r="AY28" s="22"/>
      <c r="AZ28" s="22"/>
      <c r="BA28" s="22"/>
      <c r="BB28" s="26"/>
      <c r="BC28" s="22"/>
      <c r="BD28" s="22"/>
      <c r="BE28" s="22"/>
      <c r="BF28" s="22"/>
      <c r="BG28" s="27"/>
      <c r="BH28" s="22"/>
      <c r="BI28" s="270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8"/>
      <c r="BV28" s="22"/>
      <c r="BW28" s="270"/>
      <c r="BX28" s="22"/>
      <c r="BY28" s="22"/>
      <c r="BZ28" s="22"/>
      <c r="CA28" s="22"/>
      <c r="CB28" s="22"/>
      <c r="CC28" s="22"/>
      <c r="CD28" s="22"/>
      <c r="CE28" s="22">
        <v>12837</v>
      </c>
      <c r="CF28" s="22">
        <v>11839</v>
      </c>
      <c r="CG28" s="22">
        <v>20519</v>
      </c>
      <c r="CH28" s="22"/>
      <c r="CJ28" s="22">
        <v>17816</v>
      </c>
      <c r="CK28" s="270">
        <v>17432</v>
      </c>
      <c r="CL28" s="22">
        <v>21670</v>
      </c>
      <c r="CM28" s="22">
        <v>19092</v>
      </c>
      <c r="CN28" s="22"/>
      <c r="CO28" s="22"/>
      <c r="CP28" s="22"/>
      <c r="CQ28" s="22"/>
      <c r="CR28" s="22"/>
      <c r="CS28" s="22">
        <v>20858</v>
      </c>
      <c r="CT28" s="22"/>
      <c r="CU28" s="22"/>
      <c r="CV28" s="22"/>
      <c r="CW28" s="758"/>
      <c r="CX28" s="870"/>
      <c r="CY28" s="871"/>
      <c r="CZ28" s="870"/>
      <c r="DA28" s="870"/>
      <c r="DB28" s="870"/>
      <c r="DC28" s="870"/>
      <c r="DD28" s="870"/>
      <c r="DE28" s="870"/>
      <c r="DF28" s="870"/>
      <c r="DG28" s="870"/>
      <c r="DH28" s="870"/>
      <c r="DI28" s="870"/>
      <c r="DJ28" s="22"/>
      <c r="DK28" s="948"/>
      <c r="DL28" s="870"/>
      <c r="DM28" s="871"/>
      <c r="DN28" s="870"/>
      <c r="DO28" s="870"/>
      <c r="DP28" s="870"/>
      <c r="DQ28" s="870"/>
      <c r="DR28" s="870"/>
      <c r="DS28" s="870"/>
      <c r="DT28" s="870"/>
      <c r="DU28" s="870"/>
      <c r="DV28" s="870"/>
      <c r="DW28" s="870"/>
      <c r="DX28" s="22"/>
    </row>
    <row r="29" spans="1:128" ht="18.75" hidden="1">
      <c r="A29" s="13" t="s">
        <v>42</v>
      </c>
      <c r="B29" s="908"/>
      <c r="C29" s="909" t="s">
        <v>43</v>
      </c>
      <c r="D29" s="277">
        <f>D20-D24</f>
        <v>162884</v>
      </c>
      <c r="E29" s="33">
        <f>E20+E26-E24-E67</f>
        <v>200610</v>
      </c>
      <c r="F29" s="33">
        <f>F20+F26-F24-F67</f>
        <v>192475</v>
      </c>
      <c r="G29" s="33">
        <f>G20+G26-G24-G67</f>
        <v>231853</v>
      </c>
      <c r="H29" s="33">
        <f>H20+H26-H24-H67</f>
        <v>253292</v>
      </c>
      <c r="I29" s="33">
        <f>I20+I26-I24-I67</f>
        <v>305688</v>
      </c>
      <c r="J29" s="33">
        <f>J20+J26-J24-J67</f>
        <v>355297</v>
      </c>
      <c r="K29" s="33">
        <f>K20+K26-K24-K67</f>
        <v>367201</v>
      </c>
      <c r="L29" s="33">
        <f>L20+L26-L24-L67</f>
        <v>407523</v>
      </c>
      <c r="M29" s="33">
        <f>M20+M26-M24-M67</f>
        <v>297747</v>
      </c>
      <c r="N29" s="33">
        <f>N20+N26-N24-N67</f>
        <v>0</v>
      </c>
      <c r="O29" s="33">
        <f>O20+O26-O24-O67</f>
        <v>143875</v>
      </c>
      <c r="P29" s="262">
        <f>J29</f>
        <v>355297</v>
      </c>
      <c r="Q29" s="15"/>
      <c r="R29" s="277">
        <f>R20-R24</f>
        <v>172568</v>
      </c>
      <c r="S29" s="14">
        <f>S20+S26-S24-S67</f>
        <v>244205</v>
      </c>
      <c r="T29" s="14">
        <f>T20+T26-T24-T67</f>
        <v>237108</v>
      </c>
      <c r="U29" s="14">
        <f>U20+U26-U24-U67</f>
        <v>222510</v>
      </c>
      <c r="V29" s="14">
        <f>V20+V26-V24-V67</f>
        <v>179647</v>
      </c>
      <c r="W29" s="14">
        <f>W20+W26-W24-W67</f>
        <v>289587</v>
      </c>
      <c r="X29" s="14">
        <f>X20+X26-X24-X67</f>
        <v>281331</v>
      </c>
      <c r="Y29" s="14">
        <f>Y20+Y26-Y24-Y67</f>
        <v>325686</v>
      </c>
      <c r="Z29" s="14">
        <f>Z20+Z26-Z24-Z67</f>
        <v>319329</v>
      </c>
      <c r="AA29" s="14">
        <f>AA20+AA26-AA24-AA67</f>
        <v>268663</v>
      </c>
      <c r="AB29" s="14">
        <f>AB20+AB26-AB24-AB67</f>
        <v>187543</v>
      </c>
      <c r="AC29" s="14">
        <f>AC20+AC26-AC24-AC67</f>
        <v>196995</v>
      </c>
      <c r="AD29" s="263">
        <f>X29</f>
        <v>281331</v>
      </c>
      <c r="AE29" s="16"/>
      <c r="AF29" s="14">
        <f t="shared" ref="AF29:AQ29" si="33">AF20+AF24+AF23</f>
        <v>228387</v>
      </c>
      <c r="AG29" s="14">
        <f t="shared" si="33"/>
        <v>263548</v>
      </c>
      <c r="AH29" s="14">
        <f t="shared" si="33"/>
        <v>366224</v>
      </c>
      <c r="AI29" s="14">
        <f t="shared" si="33"/>
        <v>361348</v>
      </c>
      <c r="AJ29" s="14">
        <f t="shared" si="33"/>
        <v>384008</v>
      </c>
      <c r="AK29" s="14">
        <f t="shared" si="33"/>
        <v>434489</v>
      </c>
      <c r="AL29" s="14">
        <f t="shared" si="33"/>
        <v>436438</v>
      </c>
      <c r="AM29" s="14">
        <f t="shared" si="33"/>
        <v>463198</v>
      </c>
      <c r="AN29" s="14">
        <f t="shared" si="33"/>
        <v>425121</v>
      </c>
      <c r="AO29" s="14">
        <f t="shared" si="33"/>
        <v>355477</v>
      </c>
      <c r="AP29" s="14">
        <f t="shared" si="33"/>
        <v>288104</v>
      </c>
      <c r="AQ29" s="14">
        <f t="shared" si="33"/>
        <v>298855</v>
      </c>
      <c r="AR29" s="14">
        <f t="shared" si="11"/>
        <v>298855</v>
      </c>
      <c r="AS29" s="17"/>
      <c r="AT29" s="14">
        <f t="shared" ref="AT29:BE29" si="34">AT20+AT24+AT23</f>
        <v>326269</v>
      </c>
      <c r="AU29" s="14">
        <f t="shared" si="34"/>
        <v>301870</v>
      </c>
      <c r="AV29" s="14">
        <f t="shared" si="34"/>
        <v>285491</v>
      </c>
      <c r="AW29" s="14">
        <f t="shared" si="34"/>
        <v>267653</v>
      </c>
      <c r="AX29" s="14">
        <f t="shared" si="34"/>
        <v>273960</v>
      </c>
      <c r="AY29" s="14">
        <f t="shared" si="34"/>
        <v>326260</v>
      </c>
      <c r="AZ29" s="14">
        <f t="shared" si="34"/>
        <v>333221</v>
      </c>
      <c r="BA29" s="14">
        <f t="shared" si="34"/>
        <v>354862</v>
      </c>
      <c r="BB29" s="14">
        <f t="shared" si="34"/>
        <v>348162</v>
      </c>
      <c r="BC29" s="14">
        <f t="shared" si="34"/>
        <v>319093</v>
      </c>
      <c r="BD29" s="14">
        <f t="shared" si="34"/>
        <v>293379</v>
      </c>
      <c r="BE29" s="14">
        <f t="shared" si="34"/>
        <v>234110</v>
      </c>
      <c r="BF29" s="32">
        <f t="shared" ref="BF29:BF30" si="35">SUM(AT29:BE29)</f>
        <v>3664330</v>
      </c>
      <c r="BG29" s="17"/>
      <c r="BH29" s="14">
        <f t="shared" ref="BH29:BS29" si="36">BH20+BH24+BH23</f>
        <v>285296</v>
      </c>
      <c r="BI29" s="14">
        <f t="shared" si="36"/>
        <v>282956</v>
      </c>
      <c r="BJ29" s="14">
        <f t="shared" si="36"/>
        <v>295165</v>
      </c>
      <c r="BK29" s="14">
        <f t="shared" si="36"/>
        <v>286135</v>
      </c>
      <c r="BL29" s="14">
        <f t="shared" si="36"/>
        <v>250340</v>
      </c>
      <c r="BM29" s="14">
        <f t="shared" si="36"/>
        <v>247600</v>
      </c>
      <c r="BN29" s="14">
        <f t="shared" si="36"/>
        <v>293505</v>
      </c>
      <c r="BO29" s="14">
        <f t="shared" si="36"/>
        <v>274542</v>
      </c>
      <c r="BP29" s="14">
        <f t="shared" si="36"/>
        <v>260352</v>
      </c>
      <c r="BQ29" s="14">
        <f>BQ20+BQ24+BQ23</f>
        <v>238595</v>
      </c>
      <c r="BR29" s="14">
        <f t="shared" si="36"/>
        <v>187546</v>
      </c>
      <c r="BS29" s="14">
        <f t="shared" si="36"/>
        <v>189617</v>
      </c>
      <c r="BT29" s="14">
        <f t="shared" si="32"/>
        <v>189617</v>
      </c>
      <c r="BU29" s="18"/>
      <c r="BV29" s="14">
        <f>BV20+BV24+BV23</f>
        <v>171889</v>
      </c>
      <c r="BW29" s="14">
        <f>BW20+BW26+BW23</f>
        <v>193178</v>
      </c>
      <c r="BX29" s="14">
        <f>BX20+BX24+BX23</f>
        <v>228367</v>
      </c>
      <c r="BY29" s="14">
        <f>BY20+BY24+BY23</f>
        <v>261297</v>
      </c>
      <c r="BZ29" s="14">
        <f>BZ20+BZ24+BZ23</f>
        <v>277757</v>
      </c>
      <c r="CA29" s="14">
        <f>CA20+CA24+CA23</f>
        <v>329719</v>
      </c>
      <c r="CB29" s="14">
        <f>CB20+CB24+CB23</f>
        <v>316656</v>
      </c>
      <c r="CC29" s="14">
        <f>CC20+CC24+CC23</f>
        <v>290388</v>
      </c>
      <c r="CD29" s="14">
        <f>CD20+CD24+CD23</f>
        <v>185778</v>
      </c>
      <c r="CE29" s="14">
        <f>CE20+CE24+CE23</f>
        <v>153110</v>
      </c>
      <c r="CF29" s="14">
        <f>CF20+CF24+CF23</f>
        <v>170562</v>
      </c>
      <c r="CG29" s="14">
        <f>CG20+CG24+CG23</f>
        <v>167396</v>
      </c>
      <c r="CH29" s="14">
        <f t="shared" si="31"/>
        <v>167396</v>
      </c>
      <c r="CJ29" s="14">
        <v>224424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758"/>
      <c r="CX29" s="873">
        <v>224424</v>
      </c>
      <c r="CY29" s="873">
        <v>0</v>
      </c>
      <c r="CZ29" s="873">
        <v>0</v>
      </c>
      <c r="DA29" s="873">
        <v>0</v>
      </c>
      <c r="DB29" s="873">
        <v>0</v>
      </c>
      <c r="DC29" s="873">
        <v>0</v>
      </c>
      <c r="DD29" s="873">
        <v>0</v>
      </c>
      <c r="DE29" s="873">
        <v>0</v>
      </c>
      <c r="DF29" s="873">
        <v>0</v>
      </c>
      <c r="DG29" s="873">
        <v>0</v>
      </c>
      <c r="DH29" s="873">
        <v>0</v>
      </c>
      <c r="DI29" s="873">
        <v>0</v>
      </c>
      <c r="DJ29" s="14">
        <v>0</v>
      </c>
      <c r="DK29" s="948"/>
      <c r="DL29" s="873">
        <v>224424</v>
      </c>
      <c r="DM29" s="873">
        <v>0</v>
      </c>
      <c r="DN29" s="873">
        <v>0</v>
      </c>
      <c r="DO29" s="873">
        <v>0</v>
      </c>
      <c r="DP29" s="873">
        <v>0</v>
      </c>
      <c r="DQ29" s="873">
        <v>0</v>
      </c>
      <c r="DR29" s="873">
        <v>0</v>
      </c>
      <c r="DS29" s="873">
        <v>0</v>
      </c>
      <c r="DT29" s="873">
        <v>0</v>
      </c>
      <c r="DU29" s="873">
        <v>0</v>
      </c>
      <c r="DV29" s="873">
        <v>0</v>
      </c>
      <c r="DW29" s="873">
        <v>0</v>
      </c>
      <c r="DX29" s="14">
        <v>0</v>
      </c>
    </row>
    <row r="30" spans="1:128" ht="18.75" hidden="1">
      <c r="A30" s="34" t="s">
        <v>44</v>
      </c>
      <c r="B30" s="910"/>
      <c r="C30" s="911" t="s">
        <v>45</v>
      </c>
      <c r="D30" s="277">
        <f t="shared" ref="D30:O30" si="37">D10-D26-D24</f>
        <v>264261</v>
      </c>
      <c r="E30" s="33">
        <f t="shared" si="37"/>
        <v>275849</v>
      </c>
      <c r="F30" s="33">
        <f t="shared" si="37"/>
        <v>280253</v>
      </c>
      <c r="G30" s="33">
        <f t="shared" si="37"/>
        <v>256146</v>
      </c>
      <c r="H30" s="33">
        <f t="shared" si="37"/>
        <v>282462</v>
      </c>
      <c r="I30" s="33">
        <f t="shared" si="37"/>
        <v>336508</v>
      </c>
      <c r="J30" s="33">
        <f t="shared" si="37"/>
        <v>394861</v>
      </c>
      <c r="K30" s="33">
        <f t="shared" si="37"/>
        <v>399944</v>
      </c>
      <c r="L30" s="33">
        <f t="shared" si="37"/>
        <v>403515</v>
      </c>
      <c r="M30" s="33">
        <f t="shared" si="37"/>
        <v>254037</v>
      </c>
      <c r="N30" s="33">
        <f t="shared" si="37"/>
        <v>0</v>
      </c>
      <c r="O30" s="33">
        <f t="shared" si="37"/>
        <v>188264</v>
      </c>
      <c r="P30" s="262">
        <f t="shared" ref="P30:P31" si="38">O30</f>
        <v>188264</v>
      </c>
      <c r="Q30" s="15"/>
      <c r="R30" s="277">
        <f t="shared" ref="R30:AC30" si="39">R10-R26-R24</f>
        <v>244467</v>
      </c>
      <c r="S30" s="14">
        <f t="shared" si="39"/>
        <v>295020</v>
      </c>
      <c r="T30" s="14">
        <f t="shared" si="39"/>
        <v>254796</v>
      </c>
      <c r="U30" s="14">
        <f t="shared" si="39"/>
        <v>240747</v>
      </c>
      <c r="V30" s="14">
        <f t="shared" si="39"/>
        <v>104747</v>
      </c>
      <c r="W30" s="14">
        <f t="shared" si="39"/>
        <v>162106</v>
      </c>
      <c r="X30" s="14">
        <f t="shared" si="39"/>
        <v>340068</v>
      </c>
      <c r="Y30" s="14">
        <f t="shared" si="39"/>
        <v>322792</v>
      </c>
      <c r="Z30" s="14">
        <f t="shared" si="39"/>
        <v>330677</v>
      </c>
      <c r="AA30" s="14">
        <f t="shared" si="39"/>
        <v>229141</v>
      </c>
      <c r="AB30" s="14">
        <f t="shared" si="39"/>
        <v>126169</v>
      </c>
      <c r="AC30" s="14">
        <f t="shared" si="39"/>
        <v>173047</v>
      </c>
      <c r="AD30" s="263">
        <f t="shared" ref="AD30:AD31" si="40">AC30</f>
        <v>173047</v>
      </c>
      <c r="AE30" s="16"/>
      <c r="AF30" s="261">
        <f>AF29-AF24</f>
        <v>220021</v>
      </c>
      <c r="AG30" s="261">
        <f>AG29-AG24</f>
        <v>252014</v>
      </c>
      <c r="AH30" s="261">
        <f>AH29-AH24</f>
        <v>354717</v>
      </c>
      <c r="AI30" s="261">
        <f>AI29-AI24</f>
        <v>352200</v>
      </c>
      <c r="AJ30" s="261">
        <f>AJ29-AJ24</f>
        <v>375484</v>
      </c>
      <c r="AK30" s="261">
        <f>AK29-AK24</f>
        <v>409199</v>
      </c>
      <c r="AL30" s="261">
        <f>AL29-AL24</f>
        <v>345358</v>
      </c>
      <c r="AM30" s="261">
        <f>AM29-AM24</f>
        <v>396368</v>
      </c>
      <c r="AN30" s="261">
        <f>AN29-AN24</f>
        <v>388255</v>
      </c>
      <c r="AO30" s="261">
        <f>AO29-AO24</f>
        <v>339304</v>
      </c>
      <c r="AP30" s="261">
        <f>AP29-AP24</f>
        <v>109830</v>
      </c>
      <c r="AQ30" s="261">
        <f>AQ29-AQ24</f>
        <v>88190</v>
      </c>
      <c r="AR30" s="14">
        <f t="shared" si="11"/>
        <v>88190</v>
      </c>
      <c r="AS30" s="17"/>
      <c r="AT30" s="261">
        <f>AT29-AT24</f>
        <v>205194</v>
      </c>
      <c r="AU30" s="261">
        <f>AU29-AU24</f>
        <v>152494</v>
      </c>
      <c r="AV30" s="261">
        <f>AV29-AV24</f>
        <v>180953</v>
      </c>
      <c r="AW30" s="261">
        <f>AW29-AW24</f>
        <v>162391</v>
      </c>
      <c r="AX30" s="261">
        <f>AX29-AX24</f>
        <v>152887</v>
      </c>
      <c r="AY30" s="261">
        <f>AY29-AY24</f>
        <v>162329</v>
      </c>
      <c r="AZ30" s="261">
        <f>AZ29-AZ24</f>
        <v>223257</v>
      </c>
      <c r="BA30" s="261">
        <f>BA29-BA24</f>
        <v>206596</v>
      </c>
      <c r="BB30" s="261">
        <f>BB29-BB24</f>
        <v>217465</v>
      </c>
      <c r="BC30" s="261">
        <f>BC29-BC24</f>
        <v>205314</v>
      </c>
      <c r="BD30" s="261">
        <f>BD29-BD24</f>
        <v>202260</v>
      </c>
      <c r="BE30" s="261">
        <f>BE29-BE24</f>
        <v>130824</v>
      </c>
      <c r="BF30" s="32">
        <f t="shared" si="35"/>
        <v>2201964</v>
      </c>
      <c r="BG30" s="35">
        <f>SUM(AT34:AY34)/SUM(AF68:AK68)-1</f>
        <v>0.2283258050797119</v>
      </c>
      <c r="BH30" s="416">
        <f>BH29-BH24</f>
        <v>235665</v>
      </c>
      <c r="BI30" s="416">
        <f>BI29-BI24</f>
        <v>230003</v>
      </c>
      <c r="BJ30" s="416">
        <f>BJ29-BJ24</f>
        <v>266725</v>
      </c>
      <c r="BK30" s="416">
        <f>BK29-BK24</f>
        <v>202534</v>
      </c>
      <c r="BL30" s="417">
        <f>BL29-BL24</f>
        <v>224528</v>
      </c>
      <c r="BM30" s="417">
        <f>BM29-BM24</f>
        <v>188055</v>
      </c>
      <c r="BN30" s="417">
        <f>BN29-BN24</f>
        <v>210070</v>
      </c>
      <c r="BO30" s="417">
        <f>BO29-BO24</f>
        <v>240501</v>
      </c>
      <c r="BP30" s="417">
        <f>BP29-BP24</f>
        <v>237953</v>
      </c>
      <c r="BQ30" s="417">
        <f>BQ29-BQ24</f>
        <v>213708</v>
      </c>
      <c r="BR30" s="417">
        <f>BR29-BR24</f>
        <v>175363</v>
      </c>
      <c r="BS30" s="417">
        <f>BS29-BS24</f>
        <v>177434</v>
      </c>
      <c r="BT30" s="417">
        <f t="shared" si="32"/>
        <v>177434</v>
      </c>
      <c r="BU30" s="18"/>
      <c r="BV30" s="261">
        <f>BV29-BV24</f>
        <v>166673</v>
      </c>
      <c r="BW30" s="261">
        <f>BW29-BW24</f>
        <v>193178</v>
      </c>
      <c r="BX30" s="261">
        <f>BX29-BX24</f>
        <v>163094</v>
      </c>
      <c r="BY30" s="416">
        <f>BY29-BY24</f>
        <v>191115</v>
      </c>
      <c r="BZ30" s="417">
        <f>BZ29-BZ24</f>
        <v>220098</v>
      </c>
      <c r="CA30" s="417">
        <f>CA29-CA24</f>
        <v>258050</v>
      </c>
      <c r="CB30" s="417">
        <f>CB29-CB24</f>
        <v>243578</v>
      </c>
      <c r="CC30" s="417">
        <f>CC29-CC24</f>
        <v>205086</v>
      </c>
      <c r="CD30" s="417">
        <f>CD29-CD24</f>
        <v>160435</v>
      </c>
      <c r="CE30" s="417">
        <f>CE29-CE24</f>
        <v>134080</v>
      </c>
      <c r="CF30" s="417">
        <f>CF29-CF24</f>
        <v>151140</v>
      </c>
      <c r="CG30" s="417">
        <f>CG29-CG24</f>
        <v>141469</v>
      </c>
      <c r="CH30" s="417">
        <f t="shared" si="31"/>
        <v>141469</v>
      </c>
      <c r="CJ30" s="261">
        <v>219208</v>
      </c>
      <c r="CK30" s="261">
        <v>0</v>
      </c>
      <c r="CL30" s="261">
        <v>0</v>
      </c>
      <c r="CM30" s="416">
        <v>0</v>
      </c>
      <c r="CN30" s="417">
        <v>0</v>
      </c>
      <c r="CO30" s="417">
        <v>0</v>
      </c>
      <c r="CP30" s="417">
        <v>0</v>
      </c>
      <c r="CQ30" s="417">
        <v>0</v>
      </c>
      <c r="CR30" s="417">
        <v>0</v>
      </c>
      <c r="CS30" s="417">
        <v>0</v>
      </c>
      <c r="CT30" s="417">
        <v>0</v>
      </c>
      <c r="CU30" s="417">
        <v>0</v>
      </c>
      <c r="CV30" s="417">
        <v>0</v>
      </c>
      <c r="CW30" s="758"/>
      <c r="CX30" s="874">
        <v>219208</v>
      </c>
      <c r="CY30" s="874">
        <v>0</v>
      </c>
      <c r="CZ30" s="874">
        <v>0</v>
      </c>
      <c r="DA30" s="875">
        <v>0</v>
      </c>
      <c r="DB30" s="876">
        <v>0</v>
      </c>
      <c r="DC30" s="876">
        <v>0</v>
      </c>
      <c r="DD30" s="876">
        <v>0</v>
      </c>
      <c r="DE30" s="876">
        <v>0</v>
      </c>
      <c r="DF30" s="876">
        <v>0</v>
      </c>
      <c r="DG30" s="876">
        <v>0</v>
      </c>
      <c r="DH30" s="876">
        <v>0</v>
      </c>
      <c r="DI30" s="876">
        <v>0</v>
      </c>
      <c r="DJ30" s="417">
        <v>0</v>
      </c>
      <c r="DK30" s="948"/>
      <c r="DL30" s="874">
        <v>219208</v>
      </c>
      <c r="DM30" s="874">
        <v>0</v>
      </c>
      <c r="DN30" s="874">
        <v>0</v>
      </c>
      <c r="DO30" s="875">
        <v>0</v>
      </c>
      <c r="DP30" s="876">
        <v>0</v>
      </c>
      <c r="DQ30" s="876">
        <v>0</v>
      </c>
      <c r="DR30" s="876">
        <v>0</v>
      </c>
      <c r="DS30" s="876">
        <v>0</v>
      </c>
      <c r="DT30" s="876">
        <v>0</v>
      </c>
      <c r="DU30" s="876">
        <v>0</v>
      </c>
      <c r="DV30" s="876">
        <v>0</v>
      </c>
      <c r="DW30" s="876">
        <v>0</v>
      </c>
      <c r="DX30" s="417">
        <v>0</v>
      </c>
    </row>
    <row r="31" spans="1:128" s="748" customFormat="1" ht="18.75" hidden="1">
      <c r="A31" s="739" t="s">
        <v>120</v>
      </c>
      <c r="B31" s="736"/>
      <c r="C31" s="737" t="s">
        <v>47</v>
      </c>
      <c r="D31" s="738">
        <f t="shared" ref="D31:O31" si="41">D10</f>
        <v>304786</v>
      </c>
      <c r="E31" s="740">
        <f t="shared" si="41"/>
        <v>311986</v>
      </c>
      <c r="F31" s="740">
        <f t="shared" si="41"/>
        <v>328231</v>
      </c>
      <c r="G31" s="740">
        <f t="shared" si="41"/>
        <v>317873</v>
      </c>
      <c r="H31" s="740">
        <f t="shared" si="41"/>
        <v>347196</v>
      </c>
      <c r="I31" s="740">
        <f t="shared" si="41"/>
        <v>402253</v>
      </c>
      <c r="J31" s="740">
        <f t="shared" si="41"/>
        <v>454488</v>
      </c>
      <c r="K31" s="740">
        <f t="shared" si="41"/>
        <v>447182</v>
      </c>
      <c r="L31" s="740">
        <f t="shared" si="41"/>
        <v>416931</v>
      </c>
      <c r="M31" s="740">
        <f t="shared" si="41"/>
        <v>304402</v>
      </c>
      <c r="N31" s="740">
        <f t="shared" si="41"/>
        <v>0</v>
      </c>
      <c r="O31" s="740">
        <f t="shared" si="41"/>
        <v>188264</v>
      </c>
      <c r="P31" s="741">
        <f t="shared" si="38"/>
        <v>188264</v>
      </c>
      <c r="Q31" s="742"/>
      <c r="R31" s="743">
        <f t="shared" ref="R31:AC31" si="42">R10</f>
        <v>283359</v>
      </c>
      <c r="S31" s="744">
        <f t="shared" si="42"/>
        <v>342718</v>
      </c>
      <c r="T31" s="744">
        <f t="shared" si="42"/>
        <v>313212</v>
      </c>
      <c r="U31" s="744">
        <f t="shared" si="42"/>
        <v>298093</v>
      </c>
      <c r="V31" s="744">
        <f t="shared" si="42"/>
        <v>206617</v>
      </c>
      <c r="W31" s="744">
        <f t="shared" si="42"/>
        <v>235875</v>
      </c>
      <c r="X31" s="744">
        <f t="shared" si="42"/>
        <v>360135</v>
      </c>
      <c r="Y31" s="744">
        <f t="shared" si="42"/>
        <v>361665</v>
      </c>
      <c r="Z31" s="744">
        <f t="shared" si="42"/>
        <v>353400</v>
      </c>
      <c r="AA31" s="744">
        <f t="shared" si="42"/>
        <v>272097</v>
      </c>
      <c r="AB31" s="744">
        <f t="shared" si="42"/>
        <v>170626</v>
      </c>
      <c r="AC31" s="744">
        <f t="shared" si="42"/>
        <v>197551</v>
      </c>
      <c r="AD31" s="745">
        <f t="shared" si="40"/>
        <v>197551</v>
      </c>
      <c r="AE31" s="746"/>
      <c r="AF31" s="744">
        <f>AF10-AF67</f>
        <v>255339</v>
      </c>
      <c r="AG31" s="744">
        <f>AG10-AG67</f>
        <v>292621</v>
      </c>
      <c r="AH31" s="744">
        <f>AH10-AH67</f>
        <v>397976</v>
      </c>
      <c r="AI31" s="744">
        <f>AI10-AI67</f>
        <v>388165</v>
      </c>
      <c r="AJ31" s="744">
        <f>AJ10-AJ67</f>
        <v>409301</v>
      </c>
      <c r="AK31" s="744">
        <f>AK10-AK67</f>
        <v>490913</v>
      </c>
      <c r="AL31" s="744">
        <f>AL10-AL67</f>
        <v>563229</v>
      </c>
      <c r="AM31" s="744">
        <f>AM10-AM67</f>
        <v>559169</v>
      </c>
      <c r="AN31" s="744">
        <f>AN10-AN67</f>
        <v>487294</v>
      </c>
      <c r="AO31" s="744">
        <f>AO10-AO67</f>
        <v>407614</v>
      </c>
      <c r="AP31" s="744">
        <f>AP10-AP67</f>
        <v>503756</v>
      </c>
      <c r="AQ31" s="744">
        <f>AQ10-AQ67</f>
        <v>522741</v>
      </c>
      <c r="AR31" s="744">
        <f t="shared" si="11"/>
        <v>522741</v>
      </c>
      <c r="AS31" s="746"/>
      <c r="AT31" s="744">
        <f>AT10-AT67</f>
        <v>364736</v>
      </c>
      <c r="AU31" s="744">
        <f>AU10-AU67</f>
        <v>382608</v>
      </c>
      <c r="AV31" s="744">
        <f>AV10-AV67</f>
        <v>322837</v>
      </c>
      <c r="AW31" s="744">
        <f>AW10-AW67</f>
        <v>339249</v>
      </c>
      <c r="AX31" s="744">
        <f>AX10-AX67</f>
        <v>382307</v>
      </c>
      <c r="AY31" s="744">
        <f>AY10-AY67</f>
        <v>446417</v>
      </c>
      <c r="AZ31" s="744">
        <f>AZ10-AZ67</f>
        <v>406019</v>
      </c>
      <c r="BA31" s="744">
        <f>BA10-BA67</f>
        <v>457091</v>
      </c>
      <c r="BB31" s="744">
        <f>BB10-BB67</f>
        <v>439103</v>
      </c>
      <c r="BC31" s="744">
        <f>BB31-BC34+BC81-BC67</f>
        <v>267702.70924434217</v>
      </c>
      <c r="BD31" s="744">
        <f>BC31-BD34+BD81-BD67</f>
        <v>224792.12236286921</v>
      </c>
      <c r="BE31" s="744">
        <f>BD31-BE34+BE81-BE67</f>
        <v>209302.50939777523</v>
      </c>
      <c r="BF31" s="744">
        <f>BE31</f>
        <v>209302.50939777523</v>
      </c>
      <c r="BG31" s="747">
        <f>BG34/AR34</f>
        <v>7.0333736034655189E-2</v>
      </c>
      <c r="BH31" s="744">
        <f>BH10-BH67</f>
        <v>287739</v>
      </c>
      <c r="BI31" s="744">
        <f>BI10-BI67</f>
        <v>274599</v>
      </c>
      <c r="BJ31" s="744">
        <f>BJ10-BJ67</f>
        <v>249895</v>
      </c>
      <c r="BK31" s="744">
        <f>BK10-BK67</f>
        <v>311315</v>
      </c>
      <c r="BL31" s="744">
        <f>BL10-BL67</f>
        <v>277855</v>
      </c>
      <c r="BM31" s="744">
        <f>BM10-BM67</f>
        <v>301815</v>
      </c>
      <c r="BN31" s="744">
        <f>BN10-BN67</f>
        <v>325519</v>
      </c>
      <c r="BO31" s="744">
        <f>BO10-BO67</f>
        <v>255915</v>
      </c>
      <c r="BP31" s="744">
        <f>BP10-BP67</f>
        <v>198711</v>
      </c>
      <c r="BQ31" s="744">
        <f>BQ10-BQ67</f>
        <v>182301</v>
      </c>
      <c r="BR31" s="744">
        <f>BR10-BR67</f>
        <v>228035</v>
      </c>
      <c r="BS31" s="744">
        <f>BS10-BS67</f>
        <v>201165</v>
      </c>
      <c r="BT31" s="744">
        <f t="shared" si="32"/>
        <v>201165</v>
      </c>
      <c r="BU31" s="746"/>
      <c r="BV31" s="744">
        <f>BV10-BV67</f>
        <v>247713</v>
      </c>
      <c r="BW31" s="744">
        <f>BW10-BW67</f>
        <v>278707</v>
      </c>
      <c r="BX31" s="744">
        <f>BX10-BX67</f>
        <v>281829</v>
      </c>
      <c r="BY31" s="744">
        <f>BY10-BY67</f>
        <v>317753</v>
      </c>
      <c r="BZ31" s="744">
        <f>BZ10-BZ67</f>
        <v>270339</v>
      </c>
      <c r="CA31" s="744">
        <f>CA10-CA67</f>
        <v>310383</v>
      </c>
      <c r="CB31" s="744">
        <f>CB10-CB67</f>
        <v>328365</v>
      </c>
      <c r="CC31" s="744">
        <f>CC10-CC67</f>
        <v>333476</v>
      </c>
      <c r="CD31" s="744">
        <f>CD10-CD67</f>
        <v>306264</v>
      </c>
      <c r="CE31" s="744">
        <f>CE10-CE67</f>
        <v>270370</v>
      </c>
      <c r="CF31" s="744">
        <f>CF10-CF67</f>
        <v>194014</v>
      </c>
      <c r="CG31" s="744">
        <f>CG10-CG67</f>
        <v>182266</v>
      </c>
      <c r="CH31" s="744">
        <f t="shared" si="31"/>
        <v>182266</v>
      </c>
      <c r="CJ31" s="744">
        <f t="shared" ref="CJ31:CL31" si="43">CJ28+CJ27+CJ11</f>
        <v>234793</v>
      </c>
      <c r="CK31" s="744">
        <f t="shared" si="43"/>
        <v>267818</v>
      </c>
      <c r="CL31" s="744">
        <f t="shared" si="43"/>
        <v>271663</v>
      </c>
      <c r="CM31" s="744">
        <f>CM28+CM27+CM11</f>
        <v>297485</v>
      </c>
      <c r="CN31" s="744">
        <f>CM31-CN34+CN81</f>
        <v>307923.8879612374</v>
      </c>
      <c r="CO31" s="744">
        <f>CN31-CO34+CO81</f>
        <v>370977.73306000745</v>
      </c>
      <c r="CP31" s="744">
        <f>CO31-CP34+CP81</f>
        <v>403860.22259587242</v>
      </c>
      <c r="CQ31" s="744">
        <f>CP31-CQ34+CQ81</f>
        <v>381854.52867182181</v>
      </c>
      <c r="CR31" s="744">
        <f>CQ31-CR34+CR81</f>
        <v>333996.33782793995</v>
      </c>
      <c r="CS31" s="744">
        <f>CR31-CS34+CS81</f>
        <v>289282.38677308767</v>
      </c>
      <c r="CT31" s="744">
        <f>CS31-CT34+CT81</f>
        <v>280258.78567604127</v>
      </c>
      <c r="CU31" s="744">
        <f>CT31-CU34+CU81</f>
        <v>302607.39327097801</v>
      </c>
      <c r="CV31" s="744">
        <v>116080.10690622788</v>
      </c>
      <c r="CW31" s="758"/>
      <c r="CX31" s="744">
        <f>CU31-CX34+CX81</f>
        <v>244494.49327097798</v>
      </c>
      <c r="CY31" s="744">
        <f>CX31-CY34+CY81</f>
        <v>217359.09327097799</v>
      </c>
      <c r="CZ31" s="744">
        <f t="shared" ref="CZ31:DI31" si="44">CY31-CZ34+CZ81</f>
        <v>38739.093270977988</v>
      </c>
      <c r="DA31" s="744">
        <f t="shared" si="44"/>
        <v>-45420.906729022012</v>
      </c>
      <c r="DB31" s="744">
        <f t="shared" si="44"/>
        <v>-59643.156729022041</v>
      </c>
      <c r="DC31" s="744">
        <f t="shared" si="44"/>
        <v>-79680.436729022069</v>
      </c>
      <c r="DD31" s="744">
        <f t="shared" si="44"/>
        <v>-132731.7167290221</v>
      </c>
      <c r="DE31" s="744">
        <f t="shared" si="44"/>
        <v>-222676.67672902212</v>
      </c>
      <c r="DF31" s="744">
        <f t="shared" si="44"/>
        <v>-375991.81672902213</v>
      </c>
      <c r="DG31" s="744">
        <f t="shared" si="44"/>
        <v>-489058.87706657487</v>
      </c>
      <c r="DH31" s="744">
        <f t="shared" si="44"/>
        <v>-519719.66381762968</v>
      </c>
      <c r="DI31" s="744">
        <f t="shared" si="44"/>
        <v>-543076.10938724992</v>
      </c>
      <c r="DJ31" s="744">
        <v>116080.10690622788</v>
      </c>
      <c r="DK31" s="948"/>
      <c r="DL31" s="744"/>
      <c r="DM31" s="744"/>
      <c r="DN31" s="744"/>
      <c r="DO31" s="744"/>
      <c r="DP31" s="744"/>
      <c r="DQ31" s="744"/>
      <c r="DR31" s="744"/>
      <c r="DS31" s="744"/>
      <c r="DT31" s="744"/>
      <c r="DU31" s="744"/>
      <c r="DV31" s="744"/>
      <c r="DW31" s="744"/>
      <c r="DX31" s="744"/>
    </row>
    <row r="32" spans="1:128" ht="18.75" hidden="1">
      <c r="A32" s="46"/>
      <c r="B32" s="912" t="s">
        <v>48</v>
      </c>
      <c r="C32" s="913"/>
      <c r="D32" s="283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284"/>
      <c r="Q32" s="49"/>
      <c r="R32" s="283"/>
      <c r="S32" s="50"/>
      <c r="T32" s="50"/>
      <c r="U32" s="50"/>
      <c r="V32" s="51"/>
      <c r="W32" s="51"/>
      <c r="X32" s="51"/>
      <c r="Y32" s="51"/>
      <c r="Z32" s="51"/>
      <c r="AA32" s="51"/>
      <c r="AB32" s="51"/>
      <c r="AC32" s="50"/>
      <c r="AD32" s="285"/>
      <c r="AE32" s="23"/>
      <c r="AF32" s="286">
        <f>AF10/AG34</f>
        <v>1.4346741432881778</v>
      </c>
      <c r="AG32" s="286">
        <f>AG10/AH34</f>
        <v>3.9745327610561771</v>
      </c>
      <c r="AH32" s="286">
        <f>AH10/AI34</f>
        <v>4.4537254638644557</v>
      </c>
      <c r="AI32" s="286">
        <f>AI10/AJ34</f>
        <v>3.1781895295331357</v>
      </c>
      <c r="AJ32" s="286">
        <f>AJ10/AK34</f>
        <v>2.7551225094238019</v>
      </c>
      <c r="AK32" s="286">
        <f>AK10/AL34</f>
        <v>3.2297970327971317</v>
      </c>
      <c r="AL32" s="286">
        <f>AL10/AM34</f>
        <v>2.3575635299682296</v>
      </c>
      <c r="AM32" s="286">
        <f>AM10/AN34</f>
        <v>2.1413160582078121</v>
      </c>
      <c r="AN32" s="286">
        <f>AN10/AO34</f>
        <v>1.9042360296991012</v>
      </c>
      <c r="AO32" s="286">
        <f>AO10/AP34</f>
        <v>3.1686411691542289</v>
      </c>
      <c r="AP32" s="286">
        <f>AP10/AQ34</f>
        <v>5.1487735077677845</v>
      </c>
      <c r="AQ32" s="286">
        <f>AQ10/AT34</f>
        <v>3.4807306746186968</v>
      </c>
      <c r="AR32" s="287">
        <f>AQ32</f>
        <v>3.4807306746186968</v>
      </c>
      <c r="AS32" s="23"/>
      <c r="AT32" s="286">
        <f>AT10/AU34</f>
        <v>2.7971286279646934</v>
      </c>
      <c r="AU32" s="286">
        <f>AU10/AV34</f>
        <v>3.0710063937614676</v>
      </c>
      <c r="AV32" s="286">
        <f>AV10/AW34</f>
        <v>2.5847779910329129</v>
      </c>
      <c r="AW32" s="286">
        <f>AW10/AX34</f>
        <v>3.3142307600651066</v>
      </c>
      <c r="AX32" s="286">
        <f>AX10/AY34</f>
        <v>3.0202081128011216</v>
      </c>
      <c r="AY32" s="286">
        <f>AY10/(AZ64+AZ63)</f>
        <v>3.0375411110446691</v>
      </c>
      <c r="AZ32" s="286">
        <f>AZ10/(BA64+BA63)</f>
        <v>1.7862994390436959</v>
      </c>
      <c r="BA32" s="286">
        <f>BA10/(BB64+BB63)</f>
        <v>2.3917338115287117</v>
      </c>
      <c r="BB32" s="286">
        <f>BB10/(BC64+BC63)</f>
        <v>2.0297186803388318</v>
      </c>
      <c r="BC32" s="286">
        <f>BC10/(BD64+BD63)</f>
        <v>2.9418601583113455</v>
      </c>
      <c r="BD32" s="286">
        <f>BD10/(BE64+BE63)</f>
        <v>5.3595753009100697</v>
      </c>
      <c r="BE32" s="286">
        <f>BE10/BH34</f>
        <v>2.3338657833234047</v>
      </c>
      <c r="BF32" s="52"/>
      <c r="BG32" s="27"/>
      <c r="BH32" s="418">
        <f>BH10/BI34</f>
        <v>2.4324841588586663</v>
      </c>
      <c r="BI32" s="418">
        <f>BI10/BJ34</f>
        <v>2.0694790126570033</v>
      </c>
      <c r="BJ32" s="418">
        <f>BJ10/BK34</f>
        <v>2.1548303749075362</v>
      </c>
      <c r="BK32" s="418">
        <f>BK10/BL34</f>
        <v>2.940658548141605</v>
      </c>
      <c r="BL32" s="418">
        <f>BL10/BM34</f>
        <v>2.5009495450993295</v>
      </c>
      <c r="BM32" s="418">
        <f>BM10/BN34</f>
        <v>2.0577586855214944</v>
      </c>
      <c r="BN32" s="418">
        <f>BN10/BO34</f>
        <v>2.3320530115558045</v>
      </c>
      <c r="BO32" s="419"/>
      <c r="BP32" s="419"/>
      <c r="BQ32" s="419"/>
      <c r="BR32" s="419"/>
      <c r="BS32" s="419"/>
      <c r="BT32" s="419"/>
      <c r="BU32" s="54"/>
      <c r="BV32" s="286">
        <v>0</v>
      </c>
      <c r="BW32" s="286">
        <v>0</v>
      </c>
      <c r="BX32" s="286">
        <v>0</v>
      </c>
      <c r="BY32" s="418">
        <v>0</v>
      </c>
      <c r="BZ32" s="418">
        <v>0</v>
      </c>
      <c r="CA32" s="418">
        <v>0</v>
      </c>
      <c r="CB32" s="418">
        <v>0</v>
      </c>
      <c r="CC32" s="418">
        <v>0</v>
      </c>
      <c r="CD32" s="418">
        <v>0</v>
      </c>
      <c r="CE32" s="418">
        <v>0</v>
      </c>
      <c r="CF32" s="418">
        <v>0</v>
      </c>
      <c r="CG32" s="419"/>
      <c r="CH32" s="419"/>
      <c r="CJ32" s="286">
        <v>0</v>
      </c>
      <c r="CK32" s="286">
        <v>0</v>
      </c>
      <c r="CL32" s="286">
        <v>0</v>
      </c>
      <c r="CM32" s="418">
        <v>0</v>
      </c>
      <c r="CN32" s="418">
        <v>0</v>
      </c>
      <c r="CO32" s="418">
        <v>0</v>
      </c>
      <c r="CP32" s="418">
        <v>0</v>
      </c>
      <c r="CQ32" s="418">
        <v>0</v>
      </c>
      <c r="CR32" s="418">
        <v>0</v>
      </c>
      <c r="CS32" s="418">
        <v>0</v>
      </c>
      <c r="CT32" s="418">
        <v>0</v>
      </c>
      <c r="CU32" s="419"/>
      <c r="CV32" s="419"/>
      <c r="CW32" s="758"/>
      <c r="CX32" s="877">
        <v>0</v>
      </c>
      <c r="CY32" s="877">
        <v>0</v>
      </c>
      <c r="CZ32" s="877">
        <v>0</v>
      </c>
      <c r="DA32" s="878">
        <v>0</v>
      </c>
      <c r="DB32" s="878">
        <v>0</v>
      </c>
      <c r="DC32" s="878">
        <v>0</v>
      </c>
      <c r="DD32" s="878">
        <v>0</v>
      </c>
      <c r="DE32" s="878">
        <v>0</v>
      </c>
      <c r="DF32" s="878">
        <v>0</v>
      </c>
      <c r="DG32" s="878">
        <v>0</v>
      </c>
      <c r="DH32" s="878">
        <v>0</v>
      </c>
      <c r="DI32" s="879"/>
      <c r="DJ32" s="419"/>
      <c r="DK32" s="948"/>
      <c r="DL32" s="877">
        <v>0</v>
      </c>
      <c r="DM32" s="877">
        <v>0</v>
      </c>
      <c r="DN32" s="877">
        <v>0</v>
      </c>
      <c r="DO32" s="878">
        <v>0</v>
      </c>
      <c r="DP32" s="878">
        <v>0</v>
      </c>
      <c r="DQ32" s="878">
        <v>0</v>
      </c>
      <c r="DR32" s="878">
        <v>0</v>
      </c>
      <c r="DS32" s="878">
        <v>0</v>
      </c>
      <c r="DT32" s="878">
        <v>0</v>
      </c>
      <c r="DU32" s="878">
        <v>0</v>
      </c>
      <c r="DV32" s="878">
        <v>0</v>
      </c>
      <c r="DW32" s="879"/>
      <c r="DX32" s="419"/>
    </row>
    <row r="33" spans="1:129" ht="18.75" hidden="1">
      <c r="A33" s="29"/>
      <c r="B33" s="906" t="s">
        <v>41</v>
      </c>
      <c r="C33" s="907"/>
      <c r="D33" s="274">
        <f>D10-D24</f>
        <v>270670</v>
      </c>
      <c r="E33" s="30">
        <f>E10-E24</f>
        <v>282709</v>
      </c>
      <c r="F33" s="30">
        <f>F10-F24</f>
        <v>285223</v>
      </c>
      <c r="G33" s="30">
        <f>G10-G24</f>
        <v>287349</v>
      </c>
      <c r="H33" s="30">
        <f>H10-H24</f>
        <v>313961</v>
      </c>
      <c r="I33" s="30">
        <f>I10-I24</f>
        <v>362411</v>
      </c>
      <c r="J33" s="30">
        <f>J10-J24</f>
        <v>413467</v>
      </c>
      <c r="K33" s="30">
        <f>K10-K24</f>
        <v>415958</v>
      </c>
      <c r="L33" s="30">
        <f>L10-L24</f>
        <v>416931</v>
      </c>
      <c r="M33" s="30">
        <f>M10-M24</f>
        <v>294116</v>
      </c>
      <c r="N33" s="30">
        <f>N10-N24</f>
        <v>0</v>
      </c>
      <c r="O33" s="30">
        <f>O10-O24</f>
        <v>188264</v>
      </c>
      <c r="P33" s="275"/>
      <c r="Q33" s="31"/>
      <c r="R33" s="274">
        <f>R10-R24</f>
        <v>247843</v>
      </c>
      <c r="S33" s="32">
        <f>S10-S24</f>
        <v>306756</v>
      </c>
      <c r="T33" s="32">
        <f>T10-T24</f>
        <v>277250</v>
      </c>
      <c r="U33" s="32">
        <f>U10-U24</f>
        <v>262131</v>
      </c>
      <c r="V33" s="32">
        <f>V10-V24</f>
        <v>171617</v>
      </c>
      <c r="W33" s="32">
        <f>W10-W24</f>
        <v>235875</v>
      </c>
      <c r="X33" s="32">
        <f>X10-X24</f>
        <v>354012</v>
      </c>
      <c r="Y33" s="32">
        <f>Y10-Y24</f>
        <v>355542</v>
      </c>
      <c r="Z33" s="32">
        <f>Z10-Z24</f>
        <v>349213</v>
      </c>
      <c r="AA33" s="32">
        <f>AA10-AA24</f>
        <v>269352</v>
      </c>
      <c r="AB33" s="32">
        <f>AB10-AB24</f>
        <v>170626</v>
      </c>
      <c r="AC33" s="32"/>
      <c r="AD33" s="276"/>
      <c r="AE33" s="17"/>
      <c r="AF33" s="32">
        <f>AF10-AF24</f>
        <v>246973</v>
      </c>
      <c r="AG33" s="32">
        <f>AG10-AG24</f>
        <v>281087</v>
      </c>
      <c r="AH33" s="32">
        <f>AH10-AH24</f>
        <v>386469</v>
      </c>
      <c r="AI33" s="32">
        <f>AI10-AI24</f>
        <v>379017</v>
      </c>
      <c r="AJ33" s="32">
        <f>AJ10-AJ24</f>
        <v>400777</v>
      </c>
      <c r="AK33" s="32">
        <f>AK10-AK24</f>
        <v>465623</v>
      </c>
      <c r="AL33" s="32">
        <f>AL10-AL24</f>
        <v>472149</v>
      </c>
      <c r="AM33" s="32">
        <f>AM10-AM24</f>
        <v>492339</v>
      </c>
      <c r="AN33" s="32">
        <f>AN10-AN24</f>
        <v>450428</v>
      </c>
      <c r="AO33" s="32">
        <f>AO10-AO24</f>
        <v>391441</v>
      </c>
      <c r="AP33" s="32">
        <f>AP10-AP24</f>
        <v>325482</v>
      </c>
      <c r="AQ33" s="32">
        <f>AQ10-AQ24</f>
        <v>321014</v>
      </c>
      <c r="AR33" s="32">
        <f>AQ33</f>
        <v>321014</v>
      </c>
      <c r="AS33" s="17"/>
      <c r="AT33" s="32">
        <f>AT10-AT24</f>
        <v>350303</v>
      </c>
      <c r="AU33" s="32">
        <f>AU10-AU24</f>
        <v>323931</v>
      </c>
      <c r="AV33" s="32">
        <f>AV10-AV24</f>
        <v>307980</v>
      </c>
      <c r="AW33" s="32">
        <f>AW10-AW24</f>
        <v>292777</v>
      </c>
      <c r="AX33" s="32">
        <f>AX10-AX24</f>
        <v>296754</v>
      </c>
      <c r="AY33" s="32">
        <f>AY10-AY24</f>
        <v>344037</v>
      </c>
      <c r="AZ33" s="32">
        <f>AZ10-AZ24</f>
        <v>367566</v>
      </c>
      <c r="BA33" s="32">
        <f>BA10-BA24</f>
        <v>372442</v>
      </c>
      <c r="BB33" s="32">
        <f>BB10-BB24</f>
        <v>375154</v>
      </c>
      <c r="BC33" s="32">
        <f>BC10-BC24</f>
        <v>340466</v>
      </c>
      <c r="BD33" s="32">
        <f>BD10-BD24</f>
        <v>314581</v>
      </c>
      <c r="BE33" s="32">
        <f>BE10-BE24</f>
        <v>253219</v>
      </c>
      <c r="BF33" s="32">
        <f>BE33</f>
        <v>253219</v>
      </c>
      <c r="BG33" s="17"/>
      <c r="BH33" s="32">
        <f>BH10-BH24</f>
        <v>307512</v>
      </c>
      <c r="BI33" s="32">
        <f>BI10-BI24</f>
        <v>302058</v>
      </c>
      <c r="BJ33" s="32">
        <f>BJ10-BJ24</f>
        <v>315841</v>
      </c>
      <c r="BK33" s="32">
        <f>BK10-BK24</f>
        <v>306027</v>
      </c>
      <c r="BL33" s="32">
        <f>BL10-BL24</f>
        <v>299077</v>
      </c>
      <c r="BM33" s="32">
        <f>BM10-BM24</f>
        <v>293121</v>
      </c>
      <c r="BN33" s="32">
        <f>BN10-BN24</f>
        <v>335286</v>
      </c>
      <c r="BO33" s="32">
        <f>BO10-BO24</f>
        <v>322561</v>
      </c>
      <c r="BP33" s="32">
        <f>BP10-BP24</f>
        <v>304307</v>
      </c>
      <c r="BQ33" s="32">
        <f>BQ10-BQ24</f>
        <v>280100</v>
      </c>
      <c r="BR33" s="32">
        <f>BR10-BR24</f>
        <v>215852</v>
      </c>
      <c r="BS33" s="32">
        <f>BS10-BS24</f>
        <v>188982</v>
      </c>
      <c r="BT33" s="32">
        <f>BS33</f>
        <v>188982</v>
      </c>
      <c r="BU33" s="28"/>
      <c r="BV33" s="32">
        <f>BV20-BV24-BV25</f>
        <v>146255</v>
      </c>
      <c r="BW33" s="32">
        <f>BW20-BW24-BW25</f>
        <v>155653</v>
      </c>
      <c r="BX33" s="32">
        <f>BX20-BX24-BX25</f>
        <v>86338</v>
      </c>
      <c r="BY33" s="32">
        <f>BY20-BY24-BY25</f>
        <v>106862</v>
      </c>
      <c r="BZ33" s="32">
        <f>BZ20-BZ24-BZ25</f>
        <v>112822</v>
      </c>
      <c r="CA33" s="32">
        <f>CA20-CA24-CA25</f>
        <v>149996</v>
      </c>
      <c r="CB33" s="32">
        <f>CB20-CB24-CB25</f>
        <v>145027</v>
      </c>
      <c r="CC33" s="32">
        <f>CC20-CC24-CC25</f>
        <v>102851</v>
      </c>
      <c r="CD33" s="32">
        <f>CD20-CD24-CD25</f>
        <v>116047</v>
      </c>
      <c r="CE33" s="32">
        <f>CE20-CE24-CE25</f>
        <v>86207</v>
      </c>
      <c r="CF33" s="32">
        <f>CF20-CF24-CF25</f>
        <v>109973</v>
      </c>
      <c r="CG33" s="32">
        <f>CG20-CG24-CG25</f>
        <v>94532</v>
      </c>
      <c r="CH33" s="32">
        <f>CH20-CH24-CH25</f>
        <v>94532</v>
      </c>
      <c r="CJ33" s="32">
        <f>CJ20-CJ24-CJ25</f>
        <v>78423</v>
      </c>
      <c r="CK33" s="32">
        <f>CK20-CK24-CK25</f>
        <v>78497</v>
      </c>
      <c r="CL33" s="32">
        <f>CL20-CL24-CL25</f>
        <v>75052</v>
      </c>
      <c r="CM33" s="32">
        <f>CM20-CM24-CM25</f>
        <v>121130</v>
      </c>
      <c r="CN33" s="32">
        <f>CN20-CN24-CN25</f>
        <v>175907.8879612374</v>
      </c>
      <c r="CO33" s="32">
        <f>CO20-CO24-CO25</f>
        <v>238961.73306000742</v>
      </c>
      <c r="CP33" s="32">
        <f>CP20-CP24-CP25</f>
        <v>271844.22259587242</v>
      </c>
      <c r="CQ33" s="32">
        <f>CQ20-CQ24-CQ25</f>
        <v>249838.52867182181</v>
      </c>
      <c r="CR33" s="32">
        <f>CR20-CR24-CR25</f>
        <v>201980.33782793995</v>
      </c>
      <c r="CS33" s="32">
        <f>CS20-CS24-CS25</f>
        <v>62966</v>
      </c>
      <c r="CT33" s="32">
        <f>CT20-CT24-CT25</f>
        <v>101848.14995780593</v>
      </c>
      <c r="CU33" s="32">
        <f>CU20-CU24-CU25</f>
        <v>111197.32717299581</v>
      </c>
      <c r="CV33" s="32">
        <v>116080.10690622788</v>
      </c>
      <c r="CW33" s="758"/>
      <c r="CX33" s="872">
        <v>242497</v>
      </c>
      <c r="CY33" s="872">
        <v>234422.08006563294</v>
      </c>
      <c r="CZ33" s="872">
        <v>194348.7132915963</v>
      </c>
      <c r="DA33" s="872">
        <v>223062.99421980139</v>
      </c>
      <c r="DB33" s="872">
        <v>228884.86858944659</v>
      </c>
      <c r="DC33" s="872">
        <v>240669.78918926936</v>
      </c>
      <c r="DD33" s="872">
        <v>234679.65868928705</v>
      </c>
      <c r="DE33" s="872">
        <v>197008.01236523816</v>
      </c>
      <c r="DF33" s="872">
        <v>148007.96159444697</v>
      </c>
      <c r="DG33" s="872">
        <v>111276.29521213027</v>
      </c>
      <c r="DH33" s="872">
        <v>93072.105643725808</v>
      </c>
      <c r="DI33" s="872">
        <v>116080.10690622788</v>
      </c>
      <c r="DJ33" s="32">
        <v>116080.10690622788</v>
      </c>
      <c r="DK33" s="948"/>
      <c r="DL33" s="872">
        <v>242497</v>
      </c>
      <c r="DM33" s="872">
        <v>234422.08006563294</v>
      </c>
      <c r="DN33" s="872">
        <v>194348.7132915963</v>
      </c>
      <c r="DO33" s="872">
        <v>223062.99421980139</v>
      </c>
      <c r="DP33" s="872">
        <v>228884.86858944659</v>
      </c>
      <c r="DQ33" s="872">
        <v>240669.78918926936</v>
      </c>
      <c r="DR33" s="872">
        <v>234679.65868928705</v>
      </c>
      <c r="DS33" s="872">
        <v>197008.01236523816</v>
      </c>
      <c r="DT33" s="872">
        <v>148007.96159444697</v>
      </c>
      <c r="DU33" s="872">
        <v>111276.29521213027</v>
      </c>
      <c r="DV33" s="872">
        <v>93072.105643725808</v>
      </c>
      <c r="DW33" s="872">
        <v>116080.10690622788</v>
      </c>
      <c r="DX33" s="32">
        <v>116080.10690622788</v>
      </c>
    </row>
    <row r="34" spans="1:129" s="594" customFormat="1" ht="18.75">
      <c r="A34" s="1005">
        <v>6</v>
      </c>
      <c r="B34" s="958" t="s">
        <v>49</v>
      </c>
      <c r="C34" s="959"/>
      <c r="D34" s="960">
        <f t="shared" ref="D34:P34" si="45">SUM(D38:D61)</f>
        <v>82250</v>
      </c>
      <c r="E34" s="961">
        <f t="shared" si="45"/>
        <v>117000</v>
      </c>
      <c r="F34" s="961">
        <f t="shared" si="45"/>
        <v>121750</v>
      </c>
      <c r="G34" s="961">
        <f t="shared" si="45"/>
        <v>150000</v>
      </c>
      <c r="H34" s="961">
        <f t="shared" si="45"/>
        <v>99500</v>
      </c>
      <c r="I34" s="961">
        <f t="shared" si="45"/>
        <v>102000</v>
      </c>
      <c r="J34" s="961">
        <f t="shared" si="45"/>
        <v>177632</v>
      </c>
      <c r="K34" s="961">
        <f t="shared" si="45"/>
        <v>178158</v>
      </c>
      <c r="L34" s="961">
        <f t="shared" si="45"/>
        <v>199211</v>
      </c>
      <c r="M34" s="961">
        <f t="shared" si="45"/>
        <v>229474</v>
      </c>
      <c r="N34" s="961">
        <f t="shared" si="45"/>
        <v>122368</v>
      </c>
      <c r="O34" s="961">
        <f t="shared" si="45"/>
        <v>38421</v>
      </c>
      <c r="P34" s="962">
        <f t="shared" si="45"/>
        <v>1617764</v>
      </c>
      <c r="Q34" s="963"/>
      <c r="R34" s="960">
        <f t="shared" ref="R34:AC34" si="46">R38+R62</f>
        <v>136177.33998294926</v>
      </c>
      <c r="S34" s="964">
        <f t="shared" si="46"/>
        <v>143840.32639116928</v>
      </c>
      <c r="T34" s="964">
        <f t="shared" si="46"/>
        <v>142553.77192982455</v>
      </c>
      <c r="U34" s="964">
        <f t="shared" si="46"/>
        <v>19814.899999999998</v>
      </c>
      <c r="V34" s="964">
        <f t="shared" si="46"/>
        <v>52085</v>
      </c>
      <c r="W34" s="965">
        <f t="shared" si="46"/>
        <v>70169.381950239796</v>
      </c>
      <c r="X34" s="965">
        <f t="shared" si="46"/>
        <v>144463.33333333299</v>
      </c>
      <c r="Y34" s="965">
        <f t="shared" si="46"/>
        <v>226547.08333333331</v>
      </c>
      <c r="Z34" s="965">
        <f t="shared" si="46"/>
        <v>273187.5</v>
      </c>
      <c r="AA34" s="965">
        <f t="shared" si="46"/>
        <v>172100</v>
      </c>
      <c r="AB34" s="965">
        <f t="shared" si="46"/>
        <v>37500</v>
      </c>
      <c r="AC34" s="965">
        <f t="shared" si="46"/>
        <v>0</v>
      </c>
      <c r="AD34" s="966">
        <f>SUM(R34:AC34)</f>
        <v>1418438.6369208493</v>
      </c>
      <c r="AE34" s="967"/>
      <c r="AF34" s="599">
        <f>AF38+AF62</f>
        <v>128646</v>
      </c>
      <c r="AG34" s="964">
        <f t="shared" ref="AG34:AQ34" si="47">AG38+AG62</f>
        <v>177977</v>
      </c>
      <c r="AH34" s="964">
        <f t="shared" si="47"/>
        <v>73624</v>
      </c>
      <c r="AI34" s="964">
        <f t="shared" si="47"/>
        <v>89358</v>
      </c>
      <c r="AJ34" s="964">
        <f t="shared" si="47"/>
        <v>122134</v>
      </c>
      <c r="AK34" s="964">
        <f t="shared" si="47"/>
        <v>148560</v>
      </c>
      <c r="AL34" s="964">
        <f t="shared" si="47"/>
        <v>151995</v>
      </c>
      <c r="AM34" s="964">
        <f t="shared" si="47"/>
        <v>238903</v>
      </c>
      <c r="AN34" s="964">
        <f t="shared" si="47"/>
        <v>261133.33333333334</v>
      </c>
      <c r="AO34" s="964">
        <f t="shared" si="47"/>
        <v>255900</v>
      </c>
      <c r="AP34" s="964">
        <f t="shared" si="47"/>
        <v>128640</v>
      </c>
      <c r="AQ34" s="964">
        <f t="shared" si="47"/>
        <v>97840</v>
      </c>
      <c r="AR34" s="964">
        <f>SUM(AF34:AQ34)</f>
        <v>1874710.3333333333</v>
      </c>
      <c r="AS34" s="967"/>
      <c r="AT34" s="964">
        <f t="shared" ref="AT34:BD34" si="48">AT38+AT62</f>
        <v>152749.25</v>
      </c>
      <c r="AU34" s="964">
        <f t="shared" si="48"/>
        <v>168522.10344827586</v>
      </c>
      <c r="AV34" s="964">
        <f t="shared" si="48"/>
        <v>154121.13793103449</v>
      </c>
      <c r="AW34" s="964">
        <f t="shared" si="48"/>
        <v>159595.13793103449</v>
      </c>
      <c r="AX34" s="964">
        <f t="shared" si="48"/>
        <v>120099.96551724138</v>
      </c>
      <c r="AY34" s="964">
        <f t="shared" si="48"/>
        <v>138343.77777777778</v>
      </c>
      <c r="AZ34" s="964">
        <f t="shared" si="48"/>
        <v>166673.77777777778</v>
      </c>
      <c r="BA34" s="964">
        <f t="shared" si="48"/>
        <v>242442.29629629629</v>
      </c>
      <c r="BB34" s="964">
        <f t="shared" si="48"/>
        <v>243407.77777777778</v>
      </c>
      <c r="BC34" s="964">
        <f t="shared" si="48"/>
        <v>253368.29075565783</v>
      </c>
      <c r="BD34" s="964">
        <f t="shared" si="48"/>
        <v>134555.58688147296</v>
      </c>
      <c r="BE34" s="964">
        <f>BE38+BE63</f>
        <v>72686.612965093984</v>
      </c>
      <c r="BF34" s="964">
        <f t="shared" ref="BF34:BF36" si="49">SUM(AT34:BE34)</f>
        <v>2006565.7150594404</v>
      </c>
      <c r="BG34" s="967">
        <f>BF34-AR34</f>
        <v>131855.38172610709</v>
      </c>
      <c r="BH34" s="964">
        <f>BH35+BH62</f>
        <v>152753</v>
      </c>
      <c r="BI34" s="964">
        <f t="shared" ref="BI34:BN34" si="50">BI35+BI62</f>
        <v>146822.33333333331</v>
      </c>
      <c r="BJ34" s="964">
        <f t="shared" si="50"/>
        <v>171546.07407407407</v>
      </c>
      <c r="BK34" s="964">
        <f t="shared" si="50"/>
        <v>159771.74074074073</v>
      </c>
      <c r="BL34" s="964">
        <f t="shared" si="50"/>
        <v>132496.85185185185</v>
      </c>
      <c r="BM34" s="964">
        <f t="shared" si="50"/>
        <v>129906.25925925926</v>
      </c>
      <c r="BN34" s="964">
        <f t="shared" si="50"/>
        <v>171383.55555555556</v>
      </c>
      <c r="BO34" s="964">
        <f>BO35+BO63</f>
        <v>179550.37811111109</v>
      </c>
      <c r="BP34" s="964">
        <f>BP35+BP63</f>
        <v>202053.74953703705</v>
      </c>
      <c r="BQ34" s="964">
        <f>BQ35+BQ63</f>
        <v>163865</v>
      </c>
      <c r="BR34" s="964">
        <f>BR35+BR63</f>
        <v>175620.6</v>
      </c>
      <c r="BS34" s="964">
        <v>92285.6</v>
      </c>
      <c r="BT34" s="964">
        <f t="shared" ref="BT34:BT36" si="51">SUM(BH34:BS34)</f>
        <v>1878055.142462963</v>
      </c>
      <c r="BU34" s="968"/>
      <c r="BV34" s="964">
        <f>BV38+(BV63)*$CI$34</f>
        <v>161157.867486095</v>
      </c>
      <c r="BW34" s="964">
        <f t="shared" ref="BW34:CG34" si="52">BW38+(BW63)*$CI$34</f>
        <v>155966.83045180296</v>
      </c>
      <c r="BX34" s="964">
        <f>BX38+(BX63)*$CI$34</f>
        <v>196111.53846153844</v>
      </c>
      <c r="BY34" s="964">
        <f t="shared" si="52"/>
        <v>159169.23076923078</v>
      </c>
      <c r="BZ34" s="964">
        <f>BZ38+(BZ63)*$CI$34</f>
        <v>151482.39341785663</v>
      </c>
      <c r="CA34" s="964">
        <f t="shared" si="52"/>
        <v>141442.12910096842</v>
      </c>
      <c r="CB34" s="964">
        <f>CB38+(CB63)*$CI$34</f>
        <v>176986.21444761599</v>
      </c>
      <c r="CC34" s="964">
        <f t="shared" si="52"/>
        <v>201301.08944885107</v>
      </c>
      <c r="CD34" s="964">
        <f t="shared" si="52"/>
        <v>212833.04013559342</v>
      </c>
      <c r="CE34" s="964">
        <f t="shared" si="52"/>
        <v>215922.30386211892</v>
      </c>
      <c r="CF34" s="964">
        <f>CF38+(CF63)*$CI$34</f>
        <v>171115.84223630186</v>
      </c>
      <c r="CG34" s="964">
        <f t="shared" si="52"/>
        <v>87483.816691710366</v>
      </c>
      <c r="CH34" s="964">
        <f t="shared" ref="CH34:CH35" si="53">SUM(BV34:CG34)</f>
        <v>2030972.2965096838</v>
      </c>
      <c r="CI34" s="969">
        <v>0.95</v>
      </c>
      <c r="CJ34" s="964">
        <f>CJ38+CJ72</f>
        <v>157916.36697726426</v>
      </c>
      <c r="CK34" s="964">
        <f t="shared" ref="CK34:CU34" si="54">CK38+CK72</f>
        <v>174843.65981364145</v>
      </c>
      <c r="CL34" s="964">
        <f t="shared" si="54"/>
        <v>166692.33329854641</v>
      </c>
      <c r="CM34" s="964">
        <f t="shared" si="54"/>
        <v>165624.1587774879</v>
      </c>
      <c r="CN34" s="964">
        <f>CN38+CN72</f>
        <v>167851.1120387626</v>
      </c>
      <c r="CO34" s="964">
        <f>CO38+CO72</f>
        <v>134946.15490122998</v>
      </c>
      <c r="CP34" s="964">
        <f t="shared" si="54"/>
        <v>212117.51046413503</v>
      </c>
      <c r="CQ34" s="964">
        <f t="shared" si="54"/>
        <v>229905.6939240506</v>
      </c>
      <c r="CR34" s="964">
        <f t="shared" si="54"/>
        <v>265658.19084388186</v>
      </c>
      <c r="CS34" s="964">
        <f>CS38+CS72</f>
        <v>250292.95105485231</v>
      </c>
      <c r="CT34" s="964">
        <f>CT38+CT72</f>
        <v>173363.6010970464</v>
      </c>
      <c r="CU34" s="964">
        <f>CU38+CU72</f>
        <v>96311.392405063292</v>
      </c>
      <c r="CV34" s="964">
        <f>SUM(CJ34:CU34)</f>
        <v>2195523.1255959622</v>
      </c>
      <c r="CW34" s="954"/>
      <c r="CX34" s="964">
        <v>190000</v>
      </c>
      <c r="CY34" s="964">
        <v>145000</v>
      </c>
      <c r="CZ34" s="964">
        <f>CZ38+CZ72</f>
        <v>180000</v>
      </c>
      <c r="DA34" s="964">
        <v>130000</v>
      </c>
      <c r="DB34" s="964">
        <f t="shared" ref="DB34:DK34" si="55">DB38+DB72</f>
        <v>174950.25000000003</v>
      </c>
      <c r="DC34" s="964">
        <f t="shared" si="55"/>
        <v>130837.28000000001</v>
      </c>
      <c r="DD34" s="964">
        <f t="shared" si="55"/>
        <v>213451.28000000006</v>
      </c>
      <c r="DE34" s="964">
        <f>DE38+DE72</f>
        <v>225964.96000000002</v>
      </c>
      <c r="DF34" s="964">
        <f t="shared" si="55"/>
        <v>295683.14</v>
      </c>
      <c r="DG34" s="964">
        <f>DG38+DG72</f>
        <v>280435.06033755274</v>
      </c>
      <c r="DH34" s="964">
        <f t="shared" si="55"/>
        <v>190996.78675105487</v>
      </c>
      <c r="DI34" s="964">
        <f t="shared" si="55"/>
        <v>107612.44556962026</v>
      </c>
      <c r="DJ34" s="964">
        <f>SUM(DA34:DI34)</f>
        <v>1749931.2026582281</v>
      </c>
      <c r="DK34" s="948"/>
      <c r="DL34" s="957">
        <f>DL38+DL72</f>
        <v>216120.00000000003</v>
      </c>
      <c r="DM34" s="957">
        <f>DM38+DM72</f>
        <v>161330</v>
      </c>
      <c r="DN34" s="957">
        <f t="shared" ref="DN34:DW34" si="56">DN38+DN72</f>
        <v>196320</v>
      </c>
      <c r="DO34" s="957">
        <f t="shared" si="56"/>
        <v>193062.04300000006</v>
      </c>
      <c r="DP34" s="957">
        <f t="shared" si="56"/>
        <v>190236.13100000002</v>
      </c>
      <c r="DQ34" s="957">
        <f t="shared" si="56"/>
        <v>141711.86400000003</v>
      </c>
      <c r="DR34" s="957">
        <f t="shared" si="56"/>
        <v>232660.95020000008</v>
      </c>
      <c r="DS34" s="957">
        <f t="shared" si="56"/>
        <v>246421.09540000002</v>
      </c>
      <c r="DT34" s="957">
        <f t="shared" si="56"/>
        <v>323088.95870000008</v>
      </c>
      <c r="DU34" s="957">
        <f t="shared" si="56"/>
        <v>306204.53237130807</v>
      </c>
      <c r="DV34" s="957">
        <f t="shared" si="56"/>
        <v>207350.46482616037</v>
      </c>
      <c r="DW34" s="957">
        <f t="shared" si="56"/>
        <v>115223.69012658228</v>
      </c>
      <c r="DX34" s="730">
        <f>SUM(DL34:DW34)</f>
        <v>2529729.7296240516</v>
      </c>
      <c r="DY34" s="1006">
        <f>DX34-DJ34</f>
        <v>779798.52696582349</v>
      </c>
    </row>
    <row r="35" spans="1:129" ht="18.75" hidden="1">
      <c r="A35" s="61"/>
      <c r="B35" s="914" t="s">
        <v>51</v>
      </c>
      <c r="C35" s="915"/>
      <c r="D35" s="294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295"/>
      <c r="Q35" s="64"/>
      <c r="R35" s="294"/>
      <c r="S35" s="65"/>
      <c r="T35" s="65"/>
      <c r="U35" s="65"/>
      <c r="V35" s="296"/>
      <c r="W35" s="297"/>
      <c r="X35" s="297"/>
      <c r="Y35" s="297"/>
      <c r="Z35" s="297"/>
      <c r="AA35" s="297"/>
      <c r="AB35" s="297"/>
      <c r="AC35" s="66"/>
      <c r="AD35" s="67"/>
      <c r="AE35" s="68"/>
      <c r="AF35" s="298"/>
      <c r="AG35" s="65"/>
      <c r="AH35" s="65"/>
      <c r="AI35" s="65"/>
      <c r="AJ35" s="296"/>
      <c r="AK35" s="296"/>
      <c r="AL35" s="296"/>
      <c r="AM35" s="296"/>
      <c r="AN35" s="65"/>
      <c r="AO35" s="65"/>
      <c r="AP35" s="65"/>
      <c r="AQ35" s="65"/>
      <c r="AR35" s="299"/>
      <c r="AS35" s="68"/>
      <c r="AT35" s="65"/>
      <c r="AU35" s="65"/>
      <c r="AV35" s="65"/>
      <c r="AW35" s="65"/>
      <c r="AX35" s="65"/>
      <c r="AY35" s="69">
        <f t="shared" ref="AY35:BA35" si="57">AY38+AY63</f>
        <v>119777.77777777778</v>
      </c>
      <c r="AZ35" s="69">
        <f t="shared" si="57"/>
        <v>150777.77777777778</v>
      </c>
      <c r="BA35" s="69">
        <f t="shared" si="57"/>
        <v>233098.4962962963</v>
      </c>
      <c r="BB35" s="69">
        <f>BB36/BB37</f>
        <v>210777.77777777778</v>
      </c>
      <c r="BC35" s="69">
        <f>BC38+BC63</f>
        <v>249806.29075565783</v>
      </c>
      <c r="BD35" s="69">
        <f t="shared" ref="BD35:BE35" si="58">BD38+BD63*0.85</f>
        <v>122960.58688147296</v>
      </c>
      <c r="BE35" s="69">
        <f t="shared" si="58"/>
        <v>66386.612965093984</v>
      </c>
      <c r="BF35" s="69">
        <f t="shared" si="49"/>
        <v>1153585.3202318544</v>
      </c>
      <c r="BG35" s="68"/>
      <c r="BH35" s="69">
        <f>BH36/BH37-0.1*BH36/BH37</f>
        <v>116600</v>
      </c>
      <c r="BI35" s="69">
        <f t="shared" ref="BI35" si="59">BI36/BI37-0.1*BI36/BI37</f>
        <v>111533.33333333333</v>
      </c>
      <c r="BJ35" s="69">
        <f t="shared" ref="BJ35:BP35" si="60">BJ36/BJ37-0.05*BJ36/BJ37</f>
        <v>135674.07407407407</v>
      </c>
      <c r="BK35" s="69">
        <f t="shared" si="60"/>
        <v>121740.74074074074</v>
      </c>
      <c r="BL35" s="69">
        <f t="shared" si="60"/>
        <v>93926.851851851854</v>
      </c>
      <c r="BM35" s="69">
        <f t="shared" si="60"/>
        <v>90679.259259259255</v>
      </c>
      <c r="BN35" s="69">
        <f t="shared" si="60"/>
        <v>130255.55555555556</v>
      </c>
      <c r="BO35" s="69">
        <f t="shared" si="60"/>
        <v>150550.37811111109</v>
      </c>
      <c r="BP35" s="69">
        <f t="shared" si="60"/>
        <v>161830.74953703705</v>
      </c>
      <c r="BQ35" s="69">
        <v>127130</v>
      </c>
      <c r="BR35" s="69">
        <v>138687.6</v>
      </c>
      <c r="BS35" s="69">
        <v>43639.199999999997</v>
      </c>
      <c r="BT35" s="69">
        <f t="shared" si="51"/>
        <v>1422247.7424629631</v>
      </c>
      <c r="BU35" s="54"/>
      <c r="BV35" s="69">
        <f>BV38+BV62</f>
        <v>166555.77995873816</v>
      </c>
      <c r="BW35" s="69">
        <f>BW38+BW62</f>
        <v>152835.36924465047</v>
      </c>
      <c r="BX35" s="69">
        <f t="shared" ref="BX35:CG35" si="61">BX38+BX62</f>
        <v>195319.2072937729</v>
      </c>
      <c r="BY35" s="69">
        <f t="shared" si="61"/>
        <v>158396.18906207831</v>
      </c>
      <c r="BZ35" s="69">
        <f t="shared" si="61"/>
        <v>152371.51475009107</v>
      </c>
      <c r="CA35" s="69">
        <f t="shared" si="61"/>
        <v>147696.01107361159</v>
      </c>
      <c r="CB35" s="69">
        <f t="shared" si="61"/>
        <v>189465.0513586243</v>
      </c>
      <c r="CC35" s="69">
        <f t="shared" si="61"/>
        <v>202914.10079748323</v>
      </c>
      <c r="CD35" s="69">
        <f t="shared" si="61"/>
        <v>214499.61628422557</v>
      </c>
      <c r="CE35" s="69">
        <f t="shared" si="61"/>
        <v>217682.99793575107</v>
      </c>
      <c r="CF35" s="69">
        <f t="shared" si="61"/>
        <v>179284.72030485788</v>
      </c>
      <c r="CG35" s="69">
        <f t="shared" si="61"/>
        <v>88389.319383536102</v>
      </c>
      <c r="CH35" s="69">
        <f t="shared" si="53"/>
        <v>2065409.8774474205</v>
      </c>
      <c r="CI35" s="395">
        <f>(CH35-BT69)/BT69</f>
        <v>0.48621753003500767</v>
      </c>
      <c r="CJ35" s="69"/>
      <c r="CK35" s="69"/>
      <c r="CL35" s="69"/>
      <c r="CM35" s="69"/>
      <c r="CN35" s="69"/>
      <c r="CO35" s="69"/>
      <c r="CP35" s="69"/>
      <c r="CQ35" s="69"/>
      <c r="CR35" s="69"/>
      <c r="CS35" s="69"/>
      <c r="CT35" s="69"/>
      <c r="CU35" s="69"/>
      <c r="CV35" s="69"/>
      <c r="CW35" s="758"/>
      <c r="CX35" s="881">
        <v>166555.77995873816</v>
      </c>
      <c r="CY35" s="881">
        <v>152835.36924465047</v>
      </c>
      <c r="CZ35" s="881">
        <v>195319.2072937729</v>
      </c>
      <c r="DA35" s="881">
        <v>158396.18906207831</v>
      </c>
      <c r="DB35" s="881">
        <v>152371.51475009107</v>
      </c>
      <c r="DC35" s="881">
        <v>147696.01107361159</v>
      </c>
      <c r="DD35" s="881">
        <v>189465.0513586243</v>
      </c>
      <c r="DE35" s="881">
        <v>202914.10079748323</v>
      </c>
      <c r="DF35" s="881">
        <v>214499.61628422557</v>
      </c>
      <c r="DG35" s="881">
        <v>217682.99793575107</v>
      </c>
      <c r="DH35" s="881">
        <v>179284.72030485788</v>
      </c>
      <c r="DI35" s="881">
        <v>88389.319383536102</v>
      </c>
      <c r="DJ35" s="69">
        <v>2065409.8774474205</v>
      </c>
      <c r="DK35" s="948"/>
      <c r="DL35" s="881">
        <f>DL110*1.1</f>
        <v>183211.357954612</v>
      </c>
      <c r="DM35" s="881">
        <f t="shared" ref="DM35:DX35" si="62">DM110*1.1</f>
        <v>168118.90616911554</v>
      </c>
      <c r="DN35" s="881">
        <f t="shared" si="62"/>
        <v>214851.1280231502</v>
      </c>
      <c r="DO35" s="881">
        <f t="shared" si="62"/>
        <v>174235.80796828616</v>
      </c>
      <c r="DP35" s="881">
        <f t="shared" si="62"/>
        <v>167608.6662251002</v>
      </c>
      <c r="DQ35" s="881">
        <f t="shared" si="62"/>
        <v>162465.61218097276</v>
      </c>
      <c r="DR35" s="881">
        <f t="shared" si="62"/>
        <v>208411.55649448675</v>
      </c>
      <c r="DS35" s="881">
        <f t="shared" si="62"/>
        <v>223205.51087723157</v>
      </c>
      <c r="DT35" s="881">
        <f t="shared" si="62"/>
        <v>235949.57791264815</v>
      </c>
      <c r="DU35" s="881">
        <f t="shared" si="62"/>
        <v>239451.29772932621</v>
      </c>
      <c r="DV35" s="881">
        <f t="shared" si="62"/>
        <v>197213.19233534369</v>
      </c>
      <c r="DW35" s="881">
        <f t="shared" si="62"/>
        <v>97228.251321889722</v>
      </c>
      <c r="DX35" s="881">
        <f t="shared" si="62"/>
        <v>2271950.8651921628</v>
      </c>
    </row>
    <row r="36" spans="1:129" ht="18.75" hidden="1">
      <c r="A36" s="61"/>
      <c r="B36" s="914" t="s">
        <v>52</v>
      </c>
      <c r="C36" s="915"/>
      <c r="D36" s="294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295"/>
      <c r="Q36" s="64"/>
      <c r="R36" s="294"/>
      <c r="S36" s="65"/>
      <c r="T36" s="65"/>
      <c r="U36" s="65"/>
      <c r="V36" s="296"/>
      <c r="W36" s="297"/>
      <c r="X36" s="297"/>
      <c r="Y36" s="297"/>
      <c r="Z36" s="297"/>
      <c r="AA36" s="297"/>
      <c r="AB36" s="297"/>
      <c r="AC36" s="66"/>
      <c r="AD36" s="67"/>
      <c r="AE36" s="68"/>
      <c r="AF36" s="298"/>
      <c r="AG36" s="65"/>
      <c r="AH36" s="65" t="s">
        <v>53</v>
      </c>
      <c r="AI36" s="65"/>
      <c r="AJ36" s="296"/>
      <c r="AK36" s="296"/>
      <c r="AL36" s="296"/>
      <c r="AM36" s="296"/>
      <c r="AN36" s="65">
        <v>6715000</v>
      </c>
      <c r="AO36" s="65">
        <v>6555000</v>
      </c>
      <c r="AP36" s="65">
        <v>2640000</v>
      </c>
      <c r="AQ36" s="65">
        <v>1302000</v>
      </c>
      <c r="AR36" s="299"/>
      <c r="AS36" s="68"/>
      <c r="AT36" s="65">
        <v>3264695</v>
      </c>
      <c r="AU36" s="65">
        <v>3863760</v>
      </c>
      <c r="AV36" s="65">
        <v>3429225</v>
      </c>
      <c r="AW36" s="65">
        <v>3525360</v>
      </c>
      <c r="AX36" s="65">
        <v>2509485</v>
      </c>
      <c r="AY36" s="65">
        <v>2829000</v>
      </c>
      <c r="AZ36" s="65">
        <v>3666000</v>
      </c>
      <c r="BA36" s="65">
        <v>5705000</v>
      </c>
      <c r="BB36" s="65">
        <v>5691000</v>
      </c>
      <c r="BC36" s="65">
        <v>5600000</v>
      </c>
      <c r="BD36" s="65">
        <v>2430000</v>
      </c>
      <c r="BE36" s="65">
        <v>800000</v>
      </c>
      <c r="BF36" s="69">
        <f t="shared" si="49"/>
        <v>43313525</v>
      </c>
      <c r="BG36" s="68"/>
      <c r="BH36" s="70">
        <v>3498000</v>
      </c>
      <c r="BI36" s="70">
        <v>3346000</v>
      </c>
      <c r="BJ36" s="70">
        <v>3856000</v>
      </c>
      <c r="BK36" s="70">
        <v>3460000</v>
      </c>
      <c r="BL36" s="70">
        <v>2669500</v>
      </c>
      <c r="BM36" s="70">
        <v>2577200</v>
      </c>
      <c r="BN36" s="70">
        <v>3702000</v>
      </c>
      <c r="BO36" s="70">
        <v>4278800.22</v>
      </c>
      <c r="BP36" s="70">
        <v>4599400.25</v>
      </c>
      <c r="BQ36" s="70">
        <f>BQ35*BQ37</f>
        <v>3432510</v>
      </c>
      <c r="BR36" s="70">
        <v>2954493.21</v>
      </c>
      <c r="BS36" s="70">
        <v>984831.07</v>
      </c>
      <c r="BT36" s="65">
        <f t="shared" si="51"/>
        <v>39358734.75</v>
      </c>
      <c r="BU36" s="54"/>
      <c r="BV36" s="70">
        <f>BV37*BV38</f>
        <v>3399704.5546384701</v>
      </c>
      <c r="BW36" s="70">
        <f t="shared" ref="BW36:CG36" si="63">BW37*BW38</f>
        <v>3264737.5917468769</v>
      </c>
      <c r="BX36" s="70">
        <f t="shared" si="63"/>
        <v>4184999.9999999995</v>
      </c>
      <c r="BY36" s="70">
        <f t="shared" si="63"/>
        <v>3348000.0000000005</v>
      </c>
      <c r="BZ36" s="70">
        <f t="shared" si="63"/>
        <v>3074042.2288642721</v>
      </c>
      <c r="CA36" s="70">
        <f t="shared" si="63"/>
        <v>2812995.3566251793</v>
      </c>
      <c r="CB36" s="70">
        <f t="shared" si="63"/>
        <v>3737141.5756380158</v>
      </c>
      <c r="CC36" s="70">
        <f t="shared" si="63"/>
        <v>4437000.7194458414</v>
      </c>
      <c r="CD36" s="70">
        <f t="shared" si="63"/>
        <v>4710370.4261011425</v>
      </c>
      <c r="CE36" s="70">
        <f t="shared" si="63"/>
        <v>4744197.0280408058</v>
      </c>
      <c r="CF36" s="70">
        <f t="shared" si="63"/>
        <v>3461011.8981438484</v>
      </c>
      <c r="CG36" s="70">
        <f t="shared" si="63"/>
        <v>792579.23398446955</v>
      </c>
      <c r="CH36" s="65">
        <f>SUM(BV36:CG36)</f>
        <v>41966780.613228925</v>
      </c>
      <c r="CJ36" s="70">
        <v>3470304</v>
      </c>
      <c r="CK36" s="70">
        <v>4047936</v>
      </c>
      <c r="CL36" s="70">
        <v>3793200</v>
      </c>
      <c r="CM36" s="70">
        <v>3664392</v>
      </c>
      <c r="CN36" s="70">
        <v>3656712</v>
      </c>
      <c r="CO36" s="70">
        <v>2773872</v>
      </c>
      <c r="CP36" s="70">
        <v>5165016</v>
      </c>
      <c r="CQ36" s="70">
        <v>5668920</v>
      </c>
      <c r="CR36" s="70">
        <v>6676728</v>
      </c>
      <c r="CS36" s="70">
        <v>6194424</v>
      </c>
      <c r="CT36" s="70">
        <v>3814800</v>
      </c>
      <c r="CU36" s="70">
        <v>1459296</v>
      </c>
      <c r="CV36" s="70">
        <f>SUM(CJ36:CU36)</f>
        <v>50385600</v>
      </c>
      <c r="CW36" s="758"/>
      <c r="CX36" s="882">
        <v>3399704.5546384701</v>
      </c>
      <c r="CY36" s="882">
        <v>3264737.5917468769</v>
      </c>
      <c r="CZ36" s="882">
        <v>4184999.9999999995</v>
      </c>
      <c r="DA36" s="882">
        <v>3348000.0000000005</v>
      </c>
      <c r="DB36" s="882">
        <v>3074042.2288642721</v>
      </c>
      <c r="DC36" s="882">
        <v>2812995.3566251793</v>
      </c>
      <c r="DD36" s="882">
        <v>3737141.5756380158</v>
      </c>
      <c r="DE36" s="882">
        <v>4437000.7194458414</v>
      </c>
      <c r="DF36" s="882">
        <v>4710370.4261011425</v>
      </c>
      <c r="DG36" s="882">
        <v>4744197.0280408058</v>
      </c>
      <c r="DH36" s="882">
        <v>3461011.8981438484</v>
      </c>
      <c r="DI36" s="882">
        <v>792579.23398446955</v>
      </c>
      <c r="DJ36" s="70">
        <v>41966780.613228925</v>
      </c>
      <c r="DK36" s="948"/>
      <c r="DL36" s="882">
        <v>3399704.5546384701</v>
      </c>
      <c r="DM36" s="882">
        <v>3264737.5917468769</v>
      </c>
      <c r="DN36" s="882">
        <v>4184999.9999999995</v>
      </c>
      <c r="DO36" s="882">
        <v>3348000.0000000005</v>
      </c>
      <c r="DP36" s="882">
        <v>3074042.2288642721</v>
      </c>
      <c r="DQ36" s="882">
        <v>2812995.3566251793</v>
      </c>
      <c r="DR36" s="882">
        <v>3737141.5756380158</v>
      </c>
      <c r="DS36" s="882">
        <v>4437000.7194458414</v>
      </c>
      <c r="DT36" s="882">
        <v>4710370.4261011425</v>
      </c>
      <c r="DU36" s="882">
        <v>4744197.0280408058</v>
      </c>
      <c r="DV36" s="882">
        <v>3461011.8981438484</v>
      </c>
      <c r="DW36" s="882">
        <v>792579.23398446955</v>
      </c>
      <c r="DX36" s="65">
        <v>41966780.613228925</v>
      </c>
    </row>
    <row r="37" spans="1:129" ht="18.75" hidden="1">
      <c r="A37" s="71"/>
      <c r="B37" s="916" t="s">
        <v>54</v>
      </c>
      <c r="C37" s="917"/>
      <c r="D37" s="301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302"/>
      <c r="Q37" s="74"/>
      <c r="R37" s="301"/>
      <c r="S37" s="69"/>
      <c r="T37" s="69"/>
      <c r="U37" s="69"/>
      <c r="V37" s="303"/>
      <c r="W37" s="304"/>
      <c r="X37" s="304"/>
      <c r="Y37" s="304"/>
      <c r="Z37" s="304"/>
      <c r="AA37" s="304"/>
      <c r="AB37" s="304"/>
      <c r="AC37" s="75"/>
      <c r="AD37" s="76"/>
      <c r="AE37" s="77"/>
      <c r="AF37" s="305"/>
      <c r="AG37" s="69"/>
      <c r="AH37" s="69"/>
      <c r="AI37" s="69"/>
      <c r="AJ37" s="303"/>
      <c r="AK37" s="303"/>
      <c r="AL37" s="303"/>
      <c r="AM37" s="303"/>
      <c r="AN37" s="69">
        <f t="shared" ref="AN37:AQ37" si="64">30</f>
        <v>30</v>
      </c>
      <c r="AO37" s="69">
        <f t="shared" si="64"/>
        <v>30</v>
      </c>
      <c r="AP37" s="69">
        <f t="shared" si="64"/>
        <v>30</v>
      </c>
      <c r="AQ37" s="69">
        <f t="shared" si="64"/>
        <v>30</v>
      </c>
      <c r="AR37" s="306"/>
      <c r="AS37" s="77"/>
      <c r="AT37" s="69">
        <v>28</v>
      </c>
      <c r="AU37" s="69">
        <v>29</v>
      </c>
      <c r="AV37" s="69">
        <v>29</v>
      </c>
      <c r="AW37" s="69">
        <v>29</v>
      </c>
      <c r="AX37" s="69">
        <v>29</v>
      </c>
      <c r="AY37" s="69">
        <v>27</v>
      </c>
      <c r="AZ37" s="69">
        <v>27</v>
      </c>
      <c r="BA37" s="69">
        <v>27</v>
      </c>
      <c r="BB37" s="69">
        <v>27</v>
      </c>
      <c r="BC37" s="69">
        <v>26.07</v>
      </c>
      <c r="BD37" s="69">
        <v>26.07</v>
      </c>
      <c r="BE37" s="69">
        <v>26.07</v>
      </c>
      <c r="BF37" s="305"/>
      <c r="BG37" s="78"/>
      <c r="BH37" s="69">
        <v>27</v>
      </c>
      <c r="BI37" s="69">
        <v>27</v>
      </c>
      <c r="BJ37" s="69">
        <v>27</v>
      </c>
      <c r="BK37" s="69">
        <v>27</v>
      </c>
      <c r="BL37" s="69">
        <v>27</v>
      </c>
      <c r="BM37" s="69">
        <v>27</v>
      </c>
      <c r="BN37" s="69">
        <v>27</v>
      </c>
      <c r="BO37" s="69">
        <v>27</v>
      </c>
      <c r="BP37" s="69">
        <v>27</v>
      </c>
      <c r="BQ37" s="69">
        <v>27</v>
      </c>
      <c r="BR37" s="69">
        <v>27</v>
      </c>
      <c r="BS37" s="69">
        <v>27</v>
      </c>
      <c r="BT37" s="69"/>
      <c r="BU37" s="54"/>
      <c r="BV37" s="69">
        <v>26</v>
      </c>
      <c r="BW37" s="69">
        <v>26</v>
      </c>
      <c r="BX37" s="69">
        <v>26</v>
      </c>
      <c r="BY37" s="69">
        <v>26</v>
      </c>
      <c r="BZ37" s="69">
        <v>26</v>
      </c>
      <c r="CA37" s="69">
        <v>26</v>
      </c>
      <c r="CB37" s="69">
        <v>26</v>
      </c>
      <c r="CC37" s="69">
        <v>26</v>
      </c>
      <c r="CD37" s="69">
        <v>26</v>
      </c>
      <c r="CE37" s="69">
        <v>26</v>
      </c>
      <c r="CF37" s="69">
        <v>26</v>
      </c>
      <c r="CG37" s="69">
        <v>26</v>
      </c>
      <c r="CH37" s="69"/>
      <c r="CJ37" s="751">
        <v>26.83</v>
      </c>
      <c r="CK37" s="751">
        <f>CJ37</f>
        <v>26.83</v>
      </c>
      <c r="CL37" s="751">
        <f t="shared" ref="CL37:CV37" si="65">CK37</f>
        <v>26.83</v>
      </c>
      <c r="CM37" s="751">
        <f t="shared" si="65"/>
        <v>26.83</v>
      </c>
      <c r="CN37" s="751">
        <f t="shared" si="65"/>
        <v>26.83</v>
      </c>
      <c r="CO37" s="751">
        <f t="shared" si="65"/>
        <v>26.83</v>
      </c>
      <c r="CP37" s="751">
        <v>28.44</v>
      </c>
      <c r="CQ37" s="751">
        <f t="shared" si="65"/>
        <v>28.44</v>
      </c>
      <c r="CR37" s="751">
        <f t="shared" si="65"/>
        <v>28.44</v>
      </c>
      <c r="CS37" s="751">
        <f t="shared" si="65"/>
        <v>28.44</v>
      </c>
      <c r="CT37" s="751">
        <f t="shared" si="65"/>
        <v>28.44</v>
      </c>
      <c r="CU37" s="751">
        <f t="shared" si="65"/>
        <v>28.44</v>
      </c>
      <c r="CV37" s="69">
        <f t="shared" si="65"/>
        <v>28.44</v>
      </c>
      <c r="CW37" s="758"/>
      <c r="CX37" s="881">
        <v>26</v>
      </c>
      <c r="CY37" s="881">
        <v>26</v>
      </c>
      <c r="CZ37" s="881">
        <v>26</v>
      </c>
      <c r="DA37" s="881">
        <v>26</v>
      </c>
      <c r="DB37" s="881">
        <v>26</v>
      </c>
      <c r="DC37" s="881">
        <v>26</v>
      </c>
      <c r="DD37" s="881">
        <v>26</v>
      </c>
      <c r="DE37" s="881">
        <v>26</v>
      </c>
      <c r="DF37" s="881">
        <v>26</v>
      </c>
      <c r="DG37" s="881">
        <v>26</v>
      </c>
      <c r="DH37" s="881">
        <v>26</v>
      </c>
      <c r="DI37" s="881">
        <v>26</v>
      </c>
      <c r="DJ37" s="69"/>
      <c r="DK37" s="948"/>
      <c r="DL37" s="881">
        <v>26</v>
      </c>
      <c r="DM37" s="881">
        <v>26</v>
      </c>
      <c r="DN37" s="881">
        <v>26</v>
      </c>
      <c r="DO37" s="881">
        <v>26</v>
      </c>
      <c r="DP37" s="881">
        <v>26</v>
      </c>
      <c r="DQ37" s="881">
        <v>26</v>
      </c>
      <c r="DR37" s="881">
        <v>26</v>
      </c>
      <c r="DS37" s="881">
        <v>26</v>
      </c>
      <c r="DT37" s="881">
        <v>26</v>
      </c>
      <c r="DU37" s="881">
        <v>26</v>
      </c>
      <c r="DV37" s="881">
        <v>26</v>
      </c>
      <c r="DW37" s="881">
        <v>26</v>
      </c>
      <c r="DX37" s="69"/>
    </row>
    <row r="38" spans="1:129" ht="18.75" hidden="1">
      <c r="A38" s="79"/>
      <c r="B38" s="80" t="s">
        <v>121</v>
      </c>
      <c r="C38" s="81"/>
      <c r="D38" s="288">
        <v>82250</v>
      </c>
      <c r="E38" s="57">
        <v>117000</v>
      </c>
      <c r="F38" s="57">
        <v>121750</v>
      </c>
      <c r="G38" s="57">
        <v>150000</v>
      </c>
      <c r="H38" s="57">
        <v>99500</v>
      </c>
      <c r="I38" s="57">
        <v>102000</v>
      </c>
      <c r="J38" s="57">
        <v>177632</v>
      </c>
      <c r="K38" s="57">
        <v>178158</v>
      </c>
      <c r="L38" s="57">
        <v>199211</v>
      </c>
      <c r="M38" s="57">
        <v>229474</v>
      </c>
      <c r="N38" s="57">
        <v>122368</v>
      </c>
      <c r="O38" s="57">
        <v>38421</v>
      </c>
      <c r="P38" s="289">
        <f>SUM(D38:O38)</f>
        <v>1617764</v>
      </c>
      <c r="Q38" s="39"/>
      <c r="R38" s="288">
        <v>115619.79612330014</v>
      </c>
      <c r="S38" s="58">
        <v>123327.78253152016</v>
      </c>
      <c r="T38" s="58">
        <v>128854</v>
      </c>
      <c r="U38" s="58">
        <f>126016*0.15</f>
        <v>18902.399999999998</v>
      </c>
      <c r="V38" s="58">
        <v>35234</v>
      </c>
      <c r="W38" s="290">
        <v>56469.381950239796</v>
      </c>
      <c r="X38" s="290">
        <v>118413.33333333299</v>
      </c>
      <c r="Y38" s="290">
        <v>198797.08333333331</v>
      </c>
      <c r="Z38" s="290">
        <v>242087.5</v>
      </c>
      <c r="AA38" s="290">
        <v>140000</v>
      </c>
      <c r="AB38" s="290">
        <v>0</v>
      </c>
      <c r="AC38" s="290">
        <v>-45300</v>
      </c>
      <c r="AD38" s="291">
        <f>SUM(R38:AC38)</f>
        <v>1132405.2772717264</v>
      </c>
      <c r="AE38" s="59"/>
      <c r="AF38" s="292">
        <v>90146</v>
      </c>
      <c r="AG38" s="58">
        <v>155577</v>
      </c>
      <c r="AH38" s="58">
        <v>62953</v>
      </c>
      <c r="AI38" s="58">
        <v>73261</v>
      </c>
      <c r="AJ38" s="58">
        <v>91856</v>
      </c>
      <c r="AK38" s="58">
        <v>120000</v>
      </c>
      <c r="AL38" s="58">
        <v>110295</v>
      </c>
      <c r="AM38" s="58">
        <v>200203</v>
      </c>
      <c r="AN38" s="58">
        <f t="shared" ref="AN38:AQ38" si="66">AN36/AN37</f>
        <v>223833.33333333334</v>
      </c>
      <c r="AO38" s="58">
        <f t="shared" si="66"/>
        <v>218500</v>
      </c>
      <c r="AP38" s="58">
        <f t="shared" si="66"/>
        <v>88000</v>
      </c>
      <c r="AQ38" s="58">
        <f t="shared" si="66"/>
        <v>43400</v>
      </c>
      <c r="AR38" s="58">
        <f>SUM(AF38:AQ38)</f>
        <v>1478024.3333333333</v>
      </c>
      <c r="AS38" s="59"/>
      <c r="AT38" s="58">
        <f t="shared" ref="AT38:BE38" si="67">AT36/AT37</f>
        <v>116596.25</v>
      </c>
      <c r="AU38" s="58">
        <f t="shared" si="67"/>
        <v>133233.10344827586</v>
      </c>
      <c r="AV38" s="58">
        <f t="shared" si="67"/>
        <v>118249.13793103448</v>
      </c>
      <c r="AW38" s="58">
        <f t="shared" si="67"/>
        <v>121564.13793103448</v>
      </c>
      <c r="AX38" s="58">
        <f t="shared" si="67"/>
        <v>86533.965517241377</v>
      </c>
      <c r="AY38" s="58">
        <f t="shared" si="67"/>
        <v>104777.77777777778</v>
      </c>
      <c r="AZ38" s="58">
        <f t="shared" si="67"/>
        <v>135777.77777777778</v>
      </c>
      <c r="BA38" s="58">
        <f t="shared" si="67"/>
        <v>211296.29629629629</v>
      </c>
      <c r="BB38" s="58">
        <f t="shared" si="67"/>
        <v>210777.77777777778</v>
      </c>
      <c r="BC38" s="58">
        <f t="shared" si="67"/>
        <v>214806.29075565783</v>
      </c>
      <c r="BD38" s="58">
        <f t="shared" si="67"/>
        <v>93210.586881472962</v>
      </c>
      <c r="BE38" s="58">
        <f t="shared" si="67"/>
        <v>30686.612965093977</v>
      </c>
      <c r="BF38" s="58">
        <f>SUM(AT38:BE38)</f>
        <v>1577509.7150594404</v>
      </c>
      <c r="BG38" s="59">
        <f>BF38-AR38</f>
        <v>99485.381726107094</v>
      </c>
      <c r="BH38" s="58">
        <f>BH35</f>
        <v>116600</v>
      </c>
      <c r="BI38" s="58">
        <f t="shared" ref="BI38:BT38" si="68">BI35</f>
        <v>111533.33333333333</v>
      </c>
      <c r="BJ38" s="58">
        <f t="shared" si="68"/>
        <v>135674.07407407407</v>
      </c>
      <c r="BK38" s="58">
        <f t="shared" si="68"/>
        <v>121740.74074074074</v>
      </c>
      <c r="BL38" s="58">
        <f t="shared" si="68"/>
        <v>93926.851851851854</v>
      </c>
      <c r="BM38" s="58">
        <f t="shared" si="68"/>
        <v>90679.259259259255</v>
      </c>
      <c r="BN38" s="58">
        <f t="shared" si="68"/>
        <v>130255.55555555556</v>
      </c>
      <c r="BO38" s="58">
        <f t="shared" si="68"/>
        <v>150550.37811111109</v>
      </c>
      <c r="BP38" s="58">
        <f t="shared" si="68"/>
        <v>161830.74953703705</v>
      </c>
      <c r="BQ38" s="58">
        <f t="shared" si="68"/>
        <v>127130</v>
      </c>
      <c r="BR38" s="58">
        <f>BR35</f>
        <v>138687.6</v>
      </c>
      <c r="BS38" s="58">
        <f t="shared" si="68"/>
        <v>43639.199999999997</v>
      </c>
      <c r="BT38" s="58">
        <f t="shared" si="68"/>
        <v>1422247.7424629631</v>
      </c>
      <c r="BU38" s="60"/>
      <c r="BV38" s="58">
        <f>'META  EM PEÇAS'!S73</f>
        <v>130757.867486095</v>
      </c>
      <c r="BW38" s="58">
        <f>'META  EM PEÇAS'!T73</f>
        <v>125566.83045180296</v>
      </c>
      <c r="BX38" s="58">
        <f>'META  EM PEÇAS'!U73</f>
        <v>160961.53846153844</v>
      </c>
      <c r="BY38" s="58">
        <f>'META  EM PEÇAS'!V73</f>
        <v>128769.23076923078</v>
      </c>
      <c r="BZ38" s="58">
        <f>'META  EM PEÇAS'!W73</f>
        <v>118232.39341785663</v>
      </c>
      <c r="CA38" s="58">
        <f>'META  EM PEÇAS'!X73</f>
        <v>108192.12910096844</v>
      </c>
      <c r="CB38" s="58">
        <f>'META  EM PEÇAS'!Y73</f>
        <v>143736.21444761599</v>
      </c>
      <c r="CC38" s="58">
        <f>'META  EM PEÇAS'!Z73</f>
        <v>170653.87382484006</v>
      </c>
      <c r="CD38" s="58">
        <f>'META  EM PEÇAS'!AA73</f>
        <v>181168.0933115824</v>
      </c>
      <c r="CE38" s="58">
        <f>'META  EM PEÇAS'!AB73</f>
        <v>182469.1164631079</v>
      </c>
      <c r="CF38" s="58">
        <f>'META  EM PEÇAS'!AC73</f>
        <v>133115.84223630186</v>
      </c>
      <c r="CG38" s="58">
        <f>'META  EM PEÇAS'!AD73</f>
        <v>30483.816691710366</v>
      </c>
      <c r="CH38" s="58">
        <v>45</v>
      </c>
      <c r="CI38">
        <f>CH38*26</f>
        <v>1170</v>
      </c>
      <c r="CJ38" s="58">
        <f>CJ36/CJ37</f>
        <v>129344.16697726426</v>
      </c>
      <c r="CK38" s="58">
        <f t="shared" ref="CK38:CU38" si="69">CK36/CK37</f>
        <v>150873.49981364145</v>
      </c>
      <c r="CL38" s="58">
        <f t="shared" si="69"/>
        <v>141379.05329854641</v>
      </c>
      <c r="CM38" s="58">
        <f t="shared" si="69"/>
        <v>136578.1587774879</v>
      </c>
      <c r="CN38" s="58">
        <f>CN36/CN37</f>
        <v>136291.91203876259</v>
      </c>
      <c r="CO38" s="58">
        <f t="shared" si="69"/>
        <v>103386.95490122997</v>
      </c>
      <c r="CP38" s="58">
        <f>CP36/CP37</f>
        <v>181610.97046413503</v>
      </c>
      <c r="CQ38" s="58">
        <f t="shared" si="69"/>
        <v>199329.11392405062</v>
      </c>
      <c r="CR38" s="58">
        <f t="shared" si="69"/>
        <v>234765.40084388186</v>
      </c>
      <c r="CS38" s="58">
        <f>CS36/CS37</f>
        <v>217806.7510548523</v>
      </c>
      <c r="CT38" s="58">
        <f t="shared" si="69"/>
        <v>134135.02109704641</v>
      </c>
      <c r="CU38" s="58">
        <f t="shared" si="69"/>
        <v>51311.392405063292</v>
      </c>
      <c r="CV38" s="58">
        <f>SUM(CJ38:CU38)</f>
        <v>1816812.3955959619</v>
      </c>
      <c r="CW38" s="758"/>
      <c r="CX38" s="880">
        <v>174000</v>
      </c>
      <c r="CY38" s="880">
        <v>127000</v>
      </c>
      <c r="CZ38" s="880">
        <v>156000</v>
      </c>
      <c r="DA38" s="880">
        <f t="shared" ref="DA38:DK38" si="70">DA39*1.1</f>
        <v>148313.33000000005</v>
      </c>
      <c r="DB38" s="880">
        <f t="shared" si="70"/>
        <v>143391.05000000002</v>
      </c>
      <c r="DC38" s="880">
        <f t="shared" si="70"/>
        <v>99278.080000000016</v>
      </c>
      <c r="DD38" s="880">
        <f t="shared" si="70"/>
        <v>182944.74000000005</v>
      </c>
      <c r="DE38" s="880">
        <f t="shared" si="70"/>
        <v>195388.38</v>
      </c>
      <c r="DF38" s="880">
        <f>DF39*1.1</f>
        <v>264790.35000000003</v>
      </c>
      <c r="DG38" s="880">
        <f>DG39*1.1</f>
        <v>247948.86033755276</v>
      </c>
      <c r="DH38" s="880">
        <f t="shared" si="70"/>
        <v>151768.20675105488</v>
      </c>
      <c r="DI38" s="880">
        <f t="shared" si="70"/>
        <v>62612.445569620257</v>
      </c>
      <c r="DJ38" s="58">
        <f>SUM(CX38:DI38)</f>
        <v>1953435.4426582281</v>
      </c>
      <c r="DK38" s="948"/>
      <c r="DL38" s="880">
        <f>CX38*1.1</f>
        <v>191400.00000000003</v>
      </c>
      <c r="DM38" s="880">
        <f t="shared" ref="DM38:DW38" si="71">CY38*1.1</f>
        <v>139700</v>
      </c>
      <c r="DN38" s="880">
        <f t="shared" si="71"/>
        <v>171600</v>
      </c>
      <c r="DO38" s="880">
        <f t="shared" si="71"/>
        <v>163144.66300000006</v>
      </c>
      <c r="DP38" s="880">
        <f t="shared" si="71"/>
        <v>157730.15500000003</v>
      </c>
      <c r="DQ38" s="880">
        <f t="shared" si="71"/>
        <v>109205.88800000002</v>
      </c>
      <c r="DR38" s="880">
        <f t="shared" si="71"/>
        <v>201239.21400000007</v>
      </c>
      <c r="DS38" s="880">
        <f t="shared" si="71"/>
        <v>214927.21800000002</v>
      </c>
      <c r="DT38" s="880">
        <f t="shared" si="71"/>
        <v>291269.38500000007</v>
      </c>
      <c r="DU38" s="880">
        <f t="shared" si="71"/>
        <v>272743.74637130805</v>
      </c>
      <c r="DV38" s="880">
        <f t="shared" si="71"/>
        <v>166945.02742616038</v>
      </c>
      <c r="DW38" s="880">
        <f t="shared" si="71"/>
        <v>68873.690126582282</v>
      </c>
      <c r="DX38" s="58">
        <f>SUM(DL38:DW38)</f>
        <v>2148778.9869240513</v>
      </c>
      <c r="DY38" s="598">
        <f>DX38-DJ38</f>
        <v>195343.54426582321</v>
      </c>
    </row>
    <row r="39" spans="1:129" ht="18.75" hidden="1">
      <c r="A39" s="307"/>
      <c r="B39" s="918"/>
      <c r="C39" s="919" t="s">
        <v>122</v>
      </c>
      <c r="D39" s="309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310"/>
      <c r="Q39" s="84"/>
      <c r="R39" s="309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311"/>
      <c r="AE39" s="23"/>
      <c r="AF39" s="312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6"/>
      <c r="AS39" s="23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2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54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J39" s="87">
        <f t="shared" ref="CJ39:CT39" si="72">(CJ38*0.95)-2000</f>
        <v>120876.95862840104</v>
      </c>
      <c r="CK39" s="87">
        <f t="shared" si="72"/>
        <v>141329.82482295937</v>
      </c>
      <c r="CL39" s="87">
        <f t="shared" si="72"/>
        <v>132310.10063361909</v>
      </c>
      <c r="CM39" s="87">
        <f t="shared" si="72"/>
        <v>127749.2508386135</v>
      </c>
      <c r="CN39" s="87">
        <f t="shared" si="72"/>
        <v>127477.31643682445</v>
      </c>
      <c r="CO39" s="87">
        <f t="shared" si="72"/>
        <v>96217.607156168466</v>
      </c>
      <c r="CP39" s="87">
        <f>(CP38*0.95)-2000</f>
        <v>170530.42194092827</v>
      </c>
      <c r="CQ39" s="87">
        <f t="shared" si="72"/>
        <v>187362.65822784806</v>
      </c>
      <c r="CR39" s="87">
        <f t="shared" si="72"/>
        <v>221027.13080168774</v>
      </c>
      <c r="CS39" s="87">
        <f t="shared" si="72"/>
        <v>204916.41350210967</v>
      </c>
      <c r="CT39" s="87">
        <f t="shared" si="72"/>
        <v>125428.27004219408</v>
      </c>
      <c r="CU39" s="87">
        <f>(CU38*0.95)-2000</f>
        <v>46745.822784810123</v>
      </c>
      <c r="CV39" s="87">
        <f>SUM(CJ39:CU39)</f>
        <v>1701971.775816164</v>
      </c>
      <c r="CW39" s="758"/>
      <c r="CX39" s="883">
        <v>169016.1</v>
      </c>
      <c r="CY39" s="883">
        <v>192696.9</v>
      </c>
      <c r="CZ39" s="883">
        <v>138243.6</v>
      </c>
      <c r="DA39" s="883">
        <v>134830.30000000002</v>
      </c>
      <c r="DB39" s="883">
        <v>130355.5</v>
      </c>
      <c r="DC39" s="883">
        <v>90252.800000000003</v>
      </c>
      <c r="DD39" s="883">
        <v>166313.40000000002</v>
      </c>
      <c r="DE39" s="883">
        <v>177625.8</v>
      </c>
      <c r="DF39" s="883">
        <v>240718.5</v>
      </c>
      <c r="DG39" s="883">
        <v>225408.05485232067</v>
      </c>
      <c r="DH39" s="883">
        <v>137971.09704641352</v>
      </c>
      <c r="DI39" s="883">
        <v>56920.405063291139</v>
      </c>
      <c r="DJ39" s="87">
        <f>SUM(CX39:DI39)</f>
        <v>1860352.4569620253</v>
      </c>
      <c r="DK39" s="948"/>
      <c r="DL39" s="883">
        <v>169016.1</v>
      </c>
      <c r="DM39" s="883">
        <v>192696.9</v>
      </c>
      <c r="DN39" s="883">
        <v>138243.6</v>
      </c>
      <c r="DO39" s="883">
        <v>134830.30000000002</v>
      </c>
      <c r="DP39" s="883">
        <v>130355.5</v>
      </c>
      <c r="DQ39" s="883">
        <v>90252.800000000003</v>
      </c>
      <c r="DR39" s="883">
        <v>166313.40000000002</v>
      </c>
      <c r="DS39" s="883">
        <v>177625.8</v>
      </c>
      <c r="DT39" s="883">
        <v>240718.5</v>
      </c>
      <c r="DU39" s="883">
        <v>225408.05485232067</v>
      </c>
      <c r="DV39" s="883">
        <v>137971.09704641352</v>
      </c>
      <c r="DW39" s="883">
        <v>56920.405063291139</v>
      </c>
      <c r="DX39" s="87">
        <f>SUM(DL39:DW39)</f>
        <v>1860352.4569620253</v>
      </c>
    </row>
    <row r="40" spans="1:129" ht="18.75" hidden="1">
      <c r="A40" s="709"/>
      <c r="B40" s="920"/>
      <c r="C40" s="920"/>
      <c r="D40" s="309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310"/>
      <c r="Q40" s="84"/>
      <c r="R40" s="309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311"/>
      <c r="AE40" s="23"/>
      <c r="AF40" s="312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6"/>
      <c r="AS40" s="23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2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54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J40" s="711">
        <f>(CJ38-CJ39)/CJ39</f>
        <v>7.0048158432683957E-2</v>
      </c>
      <c r="CK40" s="711">
        <f t="shared" ref="CK40:CU40" si="73">(CK38-CK39)/CK39</f>
        <v>6.7527678624361279E-2</v>
      </c>
      <c r="CL40" s="711">
        <f t="shared" si="73"/>
        <v>6.8543162022378201E-2</v>
      </c>
      <c r="CM40" s="711">
        <f t="shared" si="73"/>
        <v>6.911123064062441E-2</v>
      </c>
      <c r="CN40" s="711">
        <f t="shared" si="73"/>
        <v>6.9146385006516056E-2</v>
      </c>
      <c r="CO40" s="711">
        <f t="shared" si="73"/>
        <v>7.4511806694850649E-2</v>
      </c>
      <c r="CP40" s="711">
        <f t="shared" si="73"/>
        <v>6.4976960691770641E-2</v>
      </c>
      <c r="CQ40" s="711">
        <f t="shared" si="73"/>
        <v>6.3867879594504795E-2</v>
      </c>
      <c r="CR40" s="711">
        <f t="shared" si="73"/>
        <v>6.2156487270879454E-2</v>
      </c>
      <c r="CS40" s="711">
        <f t="shared" si="73"/>
        <v>6.2905344342316025E-2</v>
      </c>
      <c r="CT40" s="711">
        <f t="shared" si="73"/>
        <v>6.94161774847359E-2</v>
      </c>
      <c r="CU40" s="711">
        <f t="shared" si="73"/>
        <v>9.7667970061631554E-2</v>
      </c>
      <c r="CV40" s="87"/>
      <c r="CW40" s="758"/>
      <c r="CX40" s="883"/>
      <c r="CY40" s="883"/>
      <c r="CZ40" s="883"/>
      <c r="DA40" s="883"/>
      <c r="DB40" s="883"/>
      <c r="DC40" s="883"/>
      <c r="DD40" s="883"/>
      <c r="DE40" s="883"/>
      <c r="DF40" s="883"/>
      <c r="DG40" s="883"/>
      <c r="DH40" s="883"/>
      <c r="DI40" s="883"/>
      <c r="DJ40" s="87"/>
      <c r="DK40" s="948"/>
      <c r="DL40" s="883"/>
      <c r="DM40" s="883"/>
      <c r="DN40" s="883"/>
      <c r="DO40" s="883"/>
      <c r="DP40" s="883"/>
      <c r="DQ40" s="883"/>
      <c r="DR40" s="883"/>
      <c r="DS40" s="883"/>
      <c r="DT40" s="883"/>
      <c r="DU40" s="883"/>
      <c r="DV40" s="883"/>
      <c r="DW40" s="883"/>
      <c r="DX40" s="87"/>
    </row>
    <row r="41" spans="1:129" ht="15" hidden="1" customHeight="1" outlineLevel="1">
      <c r="A41" s="88">
        <v>1</v>
      </c>
      <c r="B41" s="1078" t="s">
        <v>56</v>
      </c>
      <c r="C41" s="1119"/>
      <c r="D41" s="313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314">
        <f t="shared" ref="P41:P53" si="74">SUM(D41:O41)</f>
        <v>0</v>
      </c>
      <c r="Q41" s="90"/>
      <c r="R41" s="313">
        <v>7017.5438596491231</v>
      </c>
      <c r="S41" s="91">
        <v>7017.5438596491231</v>
      </c>
      <c r="T41" s="91">
        <f>7017.54385964912/2</f>
        <v>3508.7719298245602</v>
      </c>
      <c r="U41" s="91">
        <f>96*U7</f>
        <v>96</v>
      </c>
      <c r="V41" s="91">
        <v>3000</v>
      </c>
      <c r="W41" s="91">
        <v>7200</v>
      </c>
      <c r="X41" s="91">
        <v>8500</v>
      </c>
      <c r="Y41" s="91">
        <v>8500</v>
      </c>
      <c r="Z41" s="91">
        <v>8500</v>
      </c>
      <c r="AA41" s="91">
        <v>9000</v>
      </c>
      <c r="AB41" s="91">
        <v>9500</v>
      </c>
      <c r="AC41" s="91">
        <v>8500</v>
      </c>
      <c r="AD41" s="315">
        <f t="shared" ref="AD41:AD55" si="75">SUM(R41:AC41)</f>
        <v>80339.859649122809</v>
      </c>
      <c r="AE41" s="23"/>
      <c r="AF41" s="316">
        <v>8000</v>
      </c>
      <c r="AG41" s="91">
        <v>4000</v>
      </c>
      <c r="AH41" s="91">
        <v>5673</v>
      </c>
      <c r="AI41" s="91">
        <v>4500</v>
      </c>
      <c r="AJ41" s="91">
        <v>7892</v>
      </c>
      <c r="AK41" s="91">
        <v>6400</v>
      </c>
      <c r="AL41" s="91">
        <v>8000</v>
      </c>
      <c r="AM41" s="91">
        <v>8000</v>
      </c>
      <c r="AN41" s="91">
        <v>8000</v>
      </c>
      <c r="AO41" s="91">
        <v>8000</v>
      </c>
      <c r="AP41" s="91">
        <v>8800</v>
      </c>
      <c r="AQ41" s="91">
        <v>6400</v>
      </c>
      <c r="AR41" s="92">
        <f t="shared" ref="AR41:AR59" si="76">SUM(AF41:AQ41)</f>
        <v>83665</v>
      </c>
      <c r="AS41" s="23"/>
      <c r="AT41" s="91">
        <v>4861</v>
      </c>
      <c r="AU41" s="91">
        <v>5809</v>
      </c>
      <c r="AV41" s="91">
        <v>5072</v>
      </c>
      <c r="AW41" s="91">
        <v>4725</v>
      </c>
      <c r="AX41" s="317">
        <v>5832</v>
      </c>
      <c r="AY41" s="317">
        <v>5832</v>
      </c>
      <c r="AZ41" s="317">
        <v>5567</v>
      </c>
      <c r="BA41" s="317">
        <v>5567</v>
      </c>
      <c r="BB41" s="317">
        <v>5832</v>
      </c>
      <c r="BC41" s="317">
        <v>6892</v>
      </c>
      <c r="BD41" s="317">
        <v>7422</v>
      </c>
      <c r="BE41" s="317">
        <v>4241</v>
      </c>
      <c r="BF41" s="91">
        <f t="shared" ref="BF41:BF73" si="77">SUM(AT41:BE41)</f>
        <v>67652</v>
      </c>
      <c r="BG41" s="93">
        <f t="shared" ref="BG41:BG59" si="78">BF41/AR41-1</f>
        <v>-0.19139425088149165</v>
      </c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>
        <v>36051</v>
      </c>
      <c r="BU41" s="54"/>
      <c r="BV41" s="91">
        <v>4782.99</v>
      </c>
      <c r="BW41" s="91">
        <v>2945.31</v>
      </c>
      <c r="BX41" s="91">
        <f>'META  EM PEÇAS'!U26-('META  EM PEÇAS'!U26*0.05)</f>
        <v>7080.3689999999997</v>
      </c>
      <c r="BY41" s="91">
        <f>'META  EM PEÇAS'!V26-('META  EM PEÇAS'!V26*0.05)</f>
        <v>4355.6549999999997</v>
      </c>
      <c r="BZ41" s="91">
        <f>'META  EM PEÇAS'!W26-('META  EM PEÇAS'!W26*0.05)</f>
        <v>5839.9349999999995</v>
      </c>
      <c r="CA41" s="91">
        <f>'META  EM PEÇAS'!X26-('META  EM PEÇAS'!X26*0.05)</f>
        <v>5900.8964999999989</v>
      </c>
      <c r="CB41" s="91">
        <f>'META  EM PEÇAS'!Y26-('META  EM PEÇAS'!Y26*0.05)</f>
        <v>5279.7959999999994</v>
      </c>
      <c r="CC41" s="91">
        <f>'META  EM PEÇAS'!Z26-('META  EM PEÇAS'!Z26*0.05)</f>
        <v>4897.2404999999999</v>
      </c>
      <c r="CD41" s="91">
        <f>'META  EM PEÇAS'!AA26-('META  EM PEÇAS'!AA26*0.05)</f>
        <v>5018.28</v>
      </c>
      <c r="CE41" s="91">
        <f>'META  EM PEÇAS'!AB26-('META  EM PEÇAS'!AB26*0.05)</f>
        <v>4641.0254999999997</v>
      </c>
      <c r="CF41" s="91">
        <f>'META  EM PEÇAS'!AC26-('META  EM PEÇAS'!AC26*0.05)</f>
        <v>6521.1134999999995</v>
      </c>
      <c r="CG41" s="91">
        <f>'META  EM PEÇAS'!AD26-('META  EM PEÇAS'!AD26*0.05)</f>
        <v>3929.8079999999995</v>
      </c>
      <c r="CH41" s="91">
        <v>4136.6400000000003</v>
      </c>
      <c r="CJ41" s="91">
        <v>4782.99</v>
      </c>
      <c r="CK41" s="91">
        <v>2945.31</v>
      </c>
      <c r="CL41" s="91">
        <v>7080.3689999999997</v>
      </c>
      <c r="CM41" s="91">
        <v>4355.6549999999997</v>
      </c>
      <c r="CN41" s="91">
        <v>5839.9349999999995</v>
      </c>
      <c r="CO41" s="91">
        <v>5900.8964999999989</v>
      </c>
      <c r="CP41" s="91">
        <v>5279.7959999999994</v>
      </c>
      <c r="CQ41" s="91">
        <v>4897.2404999999999</v>
      </c>
      <c r="CR41" s="91">
        <v>5018.28</v>
      </c>
      <c r="CS41" s="91">
        <v>4641.0254999999997</v>
      </c>
      <c r="CT41" s="91">
        <v>6521.1134999999995</v>
      </c>
      <c r="CU41" s="91">
        <v>3929.8079999999995</v>
      </c>
      <c r="CV41" s="91">
        <v>4136.6400000000003</v>
      </c>
      <c r="CW41" s="758"/>
      <c r="CX41" s="884">
        <v>4782.99</v>
      </c>
      <c r="CY41" s="884">
        <v>2945.31</v>
      </c>
      <c r="CZ41" s="884">
        <v>7080.3689999999997</v>
      </c>
      <c r="DA41" s="884">
        <v>4355.6549999999997</v>
      </c>
      <c r="DB41" s="884">
        <v>5839.9349999999995</v>
      </c>
      <c r="DC41" s="884">
        <v>5900.8964999999989</v>
      </c>
      <c r="DD41" s="884">
        <v>5279.7959999999994</v>
      </c>
      <c r="DE41" s="884">
        <v>4897.2404999999999</v>
      </c>
      <c r="DF41" s="884">
        <v>5018.28</v>
      </c>
      <c r="DG41" s="884">
        <v>4641.0254999999997</v>
      </c>
      <c r="DH41" s="884">
        <v>6521.1134999999995</v>
      </c>
      <c r="DI41" s="884">
        <v>3929.8079999999995</v>
      </c>
      <c r="DJ41" s="91">
        <v>4136.6400000000003</v>
      </c>
      <c r="DK41" s="948"/>
      <c r="DL41" s="884">
        <v>4782.99</v>
      </c>
      <c r="DM41" s="884">
        <v>2945.31</v>
      </c>
      <c r="DN41" s="884">
        <v>7080.3689999999997</v>
      </c>
      <c r="DO41" s="884">
        <v>4355.6549999999997</v>
      </c>
      <c r="DP41" s="884">
        <v>5839.9349999999995</v>
      </c>
      <c r="DQ41" s="884">
        <v>5900.8964999999989</v>
      </c>
      <c r="DR41" s="884">
        <v>5279.7959999999994</v>
      </c>
      <c r="DS41" s="884">
        <v>4897.2404999999999</v>
      </c>
      <c r="DT41" s="884">
        <v>5018.28</v>
      </c>
      <c r="DU41" s="884">
        <v>4641.0254999999997</v>
      </c>
      <c r="DV41" s="884">
        <v>6521.1134999999995</v>
      </c>
      <c r="DW41" s="884">
        <v>3929.8079999999995</v>
      </c>
      <c r="DX41" s="91">
        <v>4136.6400000000003</v>
      </c>
    </row>
    <row r="42" spans="1:129" ht="15" hidden="1" customHeight="1" outlineLevel="1">
      <c r="A42" s="94">
        <v>2</v>
      </c>
      <c r="B42" s="1079" t="s">
        <v>57</v>
      </c>
      <c r="C42" s="1120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si="74"/>
        <v>0</v>
      </c>
      <c r="Q42" s="90"/>
      <c r="R42" s="313">
        <v>2909</v>
      </c>
      <c r="S42" s="91">
        <v>2545</v>
      </c>
      <c r="T42" s="91">
        <f>2727/1.2</f>
        <v>2272.5</v>
      </c>
      <c r="U42" s="91">
        <f>2*U7</f>
        <v>2</v>
      </c>
      <c r="V42" s="91">
        <v>500</v>
      </c>
      <c r="W42" s="91">
        <v>1300</v>
      </c>
      <c r="X42" s="91">
        <v>3200</v>
      </c>
      <c r="Y42" s="91">
        <v>3200</v>
      </c>
      <c r="Z42" s="91">
        <v>3600</v>
      </c>
      <c r="AA42" s="91">
        <v>3600</v>
      </c>
      <c r="AB42" s="91">
        <v>3600</v>
      </c>
      <c r="AC42" s="91">
        <v>4500</v>
      </c>
      <c r="AD42" s="315">
        <f t="shared" si="75"/>
        <v>31228.5</v>
      </c>
      <c r="AE42" s="23"/>
      <c r="AF42" s="316">
        <v>4000</v>
      </c>
      <c r="AG42" s="91">
        <v>1500</v>
      </c>
      <c r="AH42" s="91">
        <v>189</v>
      </c>
      <c r="AI42" s="91">
        <v>1842</v>
      </c>
      <c r="AJ42" s="91">
        <v>3764</v>
      </c>
      <c r="AK42" s="91">
        <v>3200</v>
      </c>
      <c r="AL42" s="91">
        <v>6000</v>
      </c>
      <c r="AM42" s="91">
        <v>5000</v>
      </c>
      <c r="AN42" s="91">
        <v>5000</v>
      </c>
      <c r="AO42" s="91">
        <v>5000</v>
      </c>
      <c r="AP42" s="91">
        <v>5000</v>
      </c>
      <c r="AQ42" s="91">
        <v>9000</v>
      </c>
      <c r="AR42" s="92">
        <f t="shared" si="76"/>
        <v>49495</v>
      </c>
      <c r="AS42" s="23"/>
      <c r="AT42" s="91">
        <v>5468</v>
      </c>
      <c r="AU42" s="91">
        <v>5468</v>
      </c>
      <c r="AV42" s="91">
        <v>6249</v>
      </c>
      <c r="AW42" s="91">
        <v>6249</v>
      </c>
      <c r="AX42" s="317">
        <v>3923</v>
      </c>
      <c r="AY42" s="317">
        <v>3923</v>
      </c>
      <c r="AZ42" s="317">
        <v>3745</v>
      </c>
      <c r="BA42" s="317">
        <v>3745</v>
      </c>
      <c r="BB42" s="317">
        <v>3923</v>
      </c>
      <c r="BC42" s="317">
        <v>4636</v>
      </c>
      <c r="BD42" s="317">
        <v>4993</v>
      </c>
      <c r="BE42" s="317">
        <v>7133</v>
      </c>
      <c r="BF42" s="91">
        <f t="shared" si="77"/>
        <v>59455</v>
      </c>
      <c r="BG42" s="93">
        <f t="shared" si="78"/>
        <v>0.20123244772199222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40562</v>
      </c>
      <c r="BU42" s="54"/>
      <c r="BV42" s="91">
        <v>4442.6099999999997</v>
      </c>
      <c r="BW42" s="91">
        <v>3433.56</v>
      </c>
      <c r="BX42" s="91">
        <f>'META  EM PEÇAS'!U27-('META  EM PEÇAS'!U27*0.05)</f>
        <v>3860.0114999999996</v>
      </c>
      <c r="BY42" s="91">
        <f>'META  EM PEÇAS'!V27-('META  EM PEÇAS'!V27*0.05)</f>
        <v>3578.1749999999997</v>
      </c>
      <c r="BZ42" s="91">
        <f>'META  EM PEÇAS'!W27-('META  EM PEÇAS'!W27*0.05)</f>
        <v>4015.5074999999997</v>
      </c>
      <c r="CA42" s="91">
        <f>'META  EM PEÇAS'!X27-('META  EM PEÇAS'!X27*0.05)</f>
        <v>4835.3954999999996</v>
      </c>
      <c r="CB42" s="91">
        <f>'META  EM PEÇAS'!Y27-('META  EM PEÇAS'!Y27*0.05)</f>
        <v>5815.1969999999992</v>
      </c>
      <c r="CC42" s="91">
        <f>'META  EM PEÇAS'!Z27-('META  EM PEÇAS'!Z27*0.05)</f>
        <v>3888.2835</v>
      </c>
      <c r="CD42" s="91">
        <f>'META  EM PEÇAS'!AA27-('META  EM PEÇAS'!AA27*0.05)</f>
        <v>4032.2939999999994</v>
      </c>
      <c r="CE42" s="91">
        <f>'META  EM PEÇAS'!AB27-('META  EM PEÇAS'!AB27*0.05)</f>
        <v>4375.0919999999996</v>
      </c>
      <c r="CF42" s="91">
        <f>'META  EM PEÇAS'!AC27-('META  EM PEÇAS'!AC27*0.05)</f>
        <v>5604.9239999999991</v>
      </c>
      <c r="CG42" s="91">
        <f>'META  EM PEÇAS'!AD27-('META  EM PEÇAS'!AD27*0.05)</f>
        <v>7897.606499999999</v>
      </c>
      <c r="CH42" s="91">
        <f>SUM(BV42:CG42)</f>
        <v>55778.656499999997</v>
      </c>
      <c r="CJ42" s="91">
        <v>4442.6099999999997</v>
      </c>
      <c r="CK42" s="91">
        <v>3433.56</v>
      </c>
      <c r="CL42" s="91">
        <v>3860.0114999999996</v>
      </c>
      <c r="CM42" s="91">
        <v>3578.1749999999997</v>
      </c>
      <c r="CN42" s="91">
        <v>4015.5074999999997</v>
      </c>
      <c r="CO42" s="91">
        <v>4835.3954999999996</v>
      </c>
      <c r="CP42" s="91">
        <v>5815.1969999999992</v>
      </c>
      <c r="CQ42" s="91">
        <v>3888.2835</v>
      </c>
      <c r="CR42" s="91">
        <v>4032.2939999999994</v>
      </c>
      <c r="CS42" s="91">
        <v>4375.0919999999996</v>
      </c>
      <c r="CT42" s="91">
        <v>5604.9239999999991</v>
      </c>
      <c r="CU42" s="91">
        <v>7897.606499999999</v>
      </c>
      <c r="CV42" s="91">
        <v>55778.656499999997</v>
      </c>
      <c r="CW42" s="758"/>
      <c r="CX42" s="884">
        <v>4442.6099999999997</v>
      </c>
      <c r="CY42" s="884">
        <v>3433.56</v>
      </c>
      <c r="CZ42" s="884">
        <v>3860.0114999999996</v>
      </c>
      <c r="DA42" s="884">
        <v>3578.1749999999997</v>
      </c>
      <c r="DB42" s="884">
        <v>4015.5074999999997</v>
      </c>
      <c r="DC42" s="884">
        <v>4835.3954999999996</v>
      </c>
      <c r="DD42" s="884">
        <v>5815.1969999999992</v>
      </c>
      <c r="DE42" s="884">
        <v>3888.2835</v>
      </c>
      <c r="DF42" s="884">
        <v>4032.2939999999994</v>
      </c>
      <c r="DG42" s="884">
        <v>4375.0919999999996</v>
      </c>
      <c r="DH42" s="884">
        <v>5604.9239999999991</v>
      </c>
      <c r="DI42" s="884">
        <v>7897.606499999999</v>
      </c>
      <c r="DJ42" s="91">
        <v>55778.656499999997</v>
      </c>
      <c r="DK42" s="948"/>
      <c r="DL42" s="884">
        <v>4442.6099999999997</v>
      </c>
      <c r="DM42" s="884">
        <v>3433.56</v>
      </c>
      <c r="DN42" s="884">
        <v>3860.0114999999996</v>
      </c>
      <c r="DO42" s="884">
        <v>3578.1749999999997</v>
      </c>
      <c r="DP42" s="884">
        <v>4015.5074999999997</v>
      </c>
      <c r="DQ42" s="884">
        <v>4835.3954999999996</v>
      </c>
      <c r="DR42" s="884">
        <v>5815.1969999999992</v>
      </c>
      <c r="DS42" s="884">
        <v>3888.2835</v>
      </c>
      <c r="DT42" s="884">
        <v>4032.2939999999994</v>
      </c>
      <c r="DU42" s="884">
        <v>4375.0919999999996</v>
      </c>
      <c r="DV42" s="884">
        <v>5604.9239999999991</v>
      </c>
      <c r="DW42" s="884">
        <v>7897.606499999999</v>
      </c>
      <c r="DX42" s="91">
        <v>55778.656499999997</v>
      </c>
    </row>
    <row r="43" spans="1:129" ht="15" hidden="1" customHeight="1" outlineLevel="1">
      <c r="A43" s="94">
        <v>3</v>
      </c>
      <c r="B43" s="1079" t="s">
        <v>58</v>
      </c>
      <c r="C43" s="1120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>
        <f t="shared" si="74"/>
        <v>0</v>
      </c>
      <c r="Q43" s="90"/>
      <c r="R43" s="313">
        <v>746</v>
      </c>
      <c r="S43" s="91">
        <v>653</v>
      </c>
      <c r="T43" s="91">
        <v>700</v>
      </c>
      <c r="U43" s="91">
        <v>0</v>
      </c>
      <c r="V43" s="91">
        <v>200</v>
      </c>
      <c r="W43" s="91">
        <v>400</v>
      </c>
      <c r="X43" s="91">
        <v>900</v>
      </c>
      <c r="Y43" s="91">
        <v>900</v>
      </c>
      <c r="Z43" s="91">
        <v>900</v>
      </c>
      <c r="AA43" s="91">
        <v>900</v>
      </c>
      <c r="AB43" s="91">
        <v>900</v>
      </c>
      <c r="AC43" s="91">
        <v>1200</v>
      </c>
      <c r="AD43" s="315">
        <f t="shared" si="75"/>
        <v>8399</v>
      </c>
      <c r="AE43" s="23"/>
      <c r="AF43" s="316">
        <v>1800</v>
      </c>
      <c r="AG43" s="91">
        <v>1200</v>
      </c>
      <c r="AH43" s="91">
        <v>230</v>
      </c>
      <c r="AI43" s="91">
        <v>472</v>
      </c>
      <c r="AJ43" s="91">
        <v>1495</v>
      </c>
      <c r="AK43" s="91">
        <v>1200</v>
      </c>
      <c r="AL43" s="91">
        <v>1500</v>
      </c>
      <c r="AM43" s="91">
        <v>1500</v>
      </c>
      <c r="AN43" s="91">
        <v>1500</v>
      </c>
      <c r="AO43" s="91">
        <v>1500</v>
      </c>
      <c r="AP43" s="91">
        <v>1650</v>
      </c>
      <c r="AQ43" s="91">
        <v>2400</v>
      </c>
      <c r="AR43" s="92">
        <f t="shared" si="76"/>
        <v>16447</v>
      </c>
      <c r="AS43" s="23"/>
      <c r="AT43" s="91">
        <v>2438</v>
      </c>
      <c r="AU43" s="91">
        <v>1501</v>
      </c>
      <c r="AV43" s="91">
        <v>1566</v>
      </c>
      <c r="AW43" s="91">
        <v>2127</v>
      </c>
      <c r="AX43" s="317">
        <v>1928</v>
      </c>
      <c r="AY43" s="317">
        <v>1928</v>
      </c>
      <c r="AZ43" s="317">
        <v>1840</v>
      </c>
      <c r="BA43" s="317">
        <v>1840</v>
      </c>
      <c r="BB43" s="317">
        <v>1928</v>
      </c>
      <c r="BC43" s="317">
        <v>2278</v>
      </c>
      <c r="BD43" s="317">
        <v>2454</v>
      </c>
      <c r="BE43" s="317">
        <v>3505</v>
      </c>
      <c r="BF43" s="91">
        <f t="shared" si="77"/>
        <v>25333</v>
      </c>
      <c r="BG43" s="93">
        <f t="shared" si="78"/>
        <v>0.54028090229221126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7784</v>
      </c>
      <c r="BU43" s="54"/>
      <c r="BV43" s="91">
        <v>450.99999999999989</v>
      </c>
      <c r="BW43" s="91">
        <v>348.59999999999991</v>
      </c>
      <c r="BX43" s="91">
        <f>'META  EM PEÇAS'!U28-('META  EM PEÇAS'!U28*0.05)</f>
        <v>391.96999999999991</v>
      </c>
      <c r="BY43" s="91">
        <f>'META  EM PEÇAS'!V28-('META  EM PEÇAS'!V28*0.05)</f>
        <v>363.27999999999992</v>
      </c>
      <c r="BZ43" s="91">
        <f>'META  EM PEÇAS'!W28-('META  EM PEÇAS'!W28*0.05)</f>
        <v>407.5499999999999</v>
      </c>
      <c r="CA43" s="91">
        <f>'META  EM PEÇAS'!X28-('META  EM PEÇAS'!X28*0.05)</f>
        <v>490.76999999999992</v>
      </c>
      <c r="CB43" s="91">
        <f>'META  EM PEÇAS'!Y28-('META  EM PEÇAS'!Y28*0.05)</f>
        <v>590.32999999999993</v>
      </c>
      <c r="CC43" s="91">
        <f>'META  EM PEÇAS'!Z28-('META  EM PEÇAS'!Z28*0.05)</f>
        <v>394.62999999999994</v>
      </c>
      <c r="CD43" s="91">
        <f>'META  EM PEÇAS'!AA28-('META  EM PEÇAS'!AA28*0.05)</f>
        <v>409.25999999999988</v>
      </c>
      <c r="CE43" s="91">
        <f>'META  EM PEÇAS'!AB28-('META  EM PEÇAS'!AB28*0.05)</f>
        <v>444.21999999999991</v>
      </c>
      <c r="CF43" s="91">
        <f>'META  EM PEÇAS'!AC28-('META  EM PEÇAS'!AC28*0.05)</f>
        <v>569.04999999999984</v>
      </c>
      <c r="CG43" s="91">
        <f>'META  EM PEÇAS'!AD28-('META  EM PEÇAS'!AD28*0.05)</f>
        <v>801.79999999999973</v>
      </c>
      <c r="CH43" s="91">
        <f t="shared" ref="CH43:CH56" si="79">SUM(BV43:CG43)</f>
        <v>5662.4599999999991</v>
      </c>
      <c r="CJ43" s="91">
        <v>450.99999999999989</v>
      </c>
      <c r="CK43" s="91">
        <v>348.59999999999991</v>
      </c>
      <c r="CL43" s="91">
        <v>391.96999999999991</v>
      </c>
      <c r="CM43" s="91">
        <v>363.27999999999992</v>
      </c>
      <c r="CN43" s="91">
        <v>407.5499999999999</v>
      </c>
      <c r="CO43" s="91">
        <v>490.76999999999992</v>
      </c>
      <c r="CP43" s="91">
        <v>590.32999999999993</v>
      </c>
      <c r="CQ43" s="91">
        <v>394.62999999999994</v>
      </c>
      <c r="CR43" s="91">
        <v>409.25999999999988</v>
      </c>
      <c r="CS43" s="91">
        <v>444.21999999999991</v>
      </c>
      <c r="CT43" s="91">
        <v>569.04999999999984</v>
      </c>
      <c r="CU43" s="91">
        <v>801.79999999999973</v>
      </c>
      <c r="CV43" s="91">
        <v>5662.4599999999991</v>
      </c>
      <c r="CW43" s="758"/>
      <c r="CX43" s="884">
        <v>450.99999999999989</v>
      </c>
      <c r="CY43" s="884">
        <v>348.59999999999991</v>
      </c>
      <c r="CZ43" s="884">
        <v>391.96999999999991</v>
      </c>
      <c r="DA43" s="884">
        <v>363.27999999999992</v>
      </c>
      <c r="DB43" s="884">
        <v>407.5499999999999</v>
      </c>
      <c r="DC43" s="884">
        <v>490.76999999999992</v>
      </c>
      <c r="DD43" s="884">
        <v>590.32999999999993</v>
      </c>
      <c r="DE43" s="884">
        <v>394.62999999999994</v>
      </c>
      <c r="DF43" s="884">
        <v>409.25999999999988</v>
      </c>
      <c r="DG43" s="884">
        <v>444.21999999999991</v>
      </c>
      <c r="DH43" s="884">
        <v>569.04999999999984</v>
      </c>
      <c r="DI43" s="884">
        <v>801.79999999999973</v>
      </c>
      <c r="DJ43" s="91">
        <v>5662.4599999999991</v>
      </c>
      <c r="DK43" s="948"/>
      <c r="DL43" s="884">
        <v>450.99999999999989</v>
      </c>
      <c r="DM43" s="884">
        <v>348.59999999999991</v>
      </c>
      <c r="DN43" s="884">
        <v>391.96999999999991</v>
      </c>
      <c r="DO43" s="884">
        <v>363.27999999999992</v>
      </c>
      <c r="DP43" s="884">
        <v>407.5499999999999</v>
      </c>
      <c r="DQ43" s="884">
        <v>490.76999999999992</v>
      </c>
      <c r="DR43" s="884">
        <v>590.32999999999993</v>
      </c>
      <c r="DS43" s="884">
        <v>394.62999999999994</v>
      </c>
      <c r="DT43" s="884">
        <v>409.25999999999988</v>
      </c>
      <c r="DU43" s="884">
        <v>444.21999999999991</v>
      </c>
      <c r="DV43" s="884">
        <v>569.04999999999984</v>
      </c>
      <c r="DW43" s="884">
        <v>801.79999999999973</v>
      </c>
      <c r="DX43" s="91">
        <v>5662.4599999999991</v>
      </c>
    </row>
    <row r="44" spans="1:129" ht="15" hidden="1" customHeight="1" outlineLevel="1">
      <c r="A44" s="94">
        <v>4</v>
      </c>
      <c r="B44" s="1079" t="s">
        <v>59</v>
      </c>
      <c r="C44" s="1120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>
        <f t="shared" si="74"/>
        <v>0</v>
      </c>
      <c r="Q44" s="90"/>
      <c r="R44" s="313">
        <v>1455</v>
      </c>
      <c r="S44" s="91">
        <f>2036</f>
        <v>2036</v>
      </c>
      <c r="T44" s="91">
        <f>2182/2</f>
        <v>1091</v>
      </c>
      <c r="U44" s="91">
        <v>0</v>
      </c>
      <c r="V44" s="91">
        <v>200</v>
      </c>
      <c r="W44" s="91">
        <v>900</v>
      </c>
      <c r="X44" s="91">
        <v>1600</v>
      </c>
      <c r="Y44" s="91">
        <v>1600</v>
      </c>
      <c r="Z44" s="91">
        <v>1600</v>
      </c>
      <c r="AA44" s="91">
        <v>1600</v>
      </c>
      <c r="AB44" s="91">
        <v>2200</v>
      </c>
      <c r="AC44" s="91">
        <v>2500</v>
      </c>
      <c r="AD44" s="315">
        <f t="shared" si="75"/>
        <v>16782</v>
      </c>
      <c r="AE44" s="23"/>
      <c r="AF44" s="316">
        <v>2200</v>
      </c>
      <c r="AG44" s="91">
        <v>1500</v>
      </c>
      <c r="AH44" s="91">
        <v>121</v>
      </c>
      <c r="AI44" s="91">
        <v>565</v>
      </c>
      <c r="AJ44" s="91">
        <v>1514</v>
      </c>
      <c r="AK44" s="91">
        <v>1760</v>
      </c>
      <c r="AL44" s="91">
        <v>1800</v>
      </c>
      <c r="AM44" s="91">
        <v>2200</v>
      </c>
      <c r="AN44" s="91">
        <v>2200</v>
      </c>
      <c r="AO44" s="91">
        <v>2200</v>
      </c>
      <c r="AP44" s="91">
        <v>2420</v>
      </c>
      <c r="AQ44" s="91">
        <v>3520</v>
      </c>
      <c r="AR44" s="92">
        <f t="shared" si="76"/>
        <v>22000</v>
      </c>
      <c r="AS44" s="23"/>
      <c r="AT44" s="91">
        <v>1529</v>
      </c>
      <c r="AU44" s="91">
        <v>1516</v>
      </c>
      <c r="AV44" s="91">
        <v>1586</v>
      </c>
      <c r="AW44" s="91">
        <v>1979</v>
      </c>
      <c r="AX44" s="317">
        <v>1283</v>
      </c>
      <c r="AY44" s="317">
        <v>1283</v>
      </c>
      <c r="AZ44" s="317">
        <v>1224</v>
      </c>
      <c r="BA44" s="317">
        <v>1224</v>
      </c>
      <c r="BB44" s="317">
        <v>1283</v>
      </c>
      <c r="BC44" s="317">
        <v>1516</v>
      </c>
      <c r="BD44" s="317">
        <v>1632</v>
      </c>
      <c r="BE44" s="317">
        <v>2332</v>
      </c>
      <c r="BF44" s="91">
        <f t="shared" si="77"/>
        <v>18387</v>
      </c>
      <c r="BG44" s="93">
        <f t="shared" si="78"/>
        <v>-0.16422727272727278</v>
      </c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>
        <v>9018</v>
      </c>
      <c r="BU44" s="54"/>
      <c r="BV44" s="91">
        <v>1143.8999999999999</v>
      </c>
      <c r="BW44" s="91">
        <v>884.43</v>
      </c>
      <c r="BX44" s="91">
        <f>'META  EM PEÇAS'!U29-('META  EM PEÇAS'!U29*0.05)</f>
        <v>993.9375</v>
      </c>
      <c r="BY44" s="91">
        <f>'META  EM PEÇAS'!V29-('META  EM PEÇAS'!V29*0.05)</f>
        <v>921.49049999999988</v>
      </c>
      <c r="BZ44" s="91">
        <f>'META  EM PEÇAS'!W29-('META  EM PEÇAS'!W29*0.05)</f>
        <v>1033.6949999999999</v>
      </c>
      <c r="CA44" s="91">
        <f>'META  EM PEÇAS'!X29-('META  EM PEÇAS'!X29*0.05)</f>
        <v>1244.8515</v>
      </c>
      <c r="CB44" s="91">
        <f>'META  EM PEÇAS'!Y29-('META  EM PEÇAS'!Y29*0.05)</f>
        <v>1497.5324999999998</v>
      </c>
      <c r="CC44" s="91">
        <f>'META  EM PEÇAS'!Z29-('META  EM PEÇAS'!Z29*0.05)</f>
        <v>1001.0054999999999</v>
      </c>
      <c r="CD44" s="91">
        <f>'META  EM PEÇAS'!AA29-('META  EM PEÇAS'!AA29*0.05)</f>
        <v>1038.1125</v>
      </c>
      <c r="CE44" s="91">
        <f>'META  EM PEÇAS'!AB29-('META  EM PEÇAS'!AB29*0.05)</f>
        <v>1126.4625000000001</v>
      </c>
      <c r="CF44" s="91">
        <f>'META  EM PEÇAS'!AC29-('META  EM PEÇAS'!AC29*0.05)</f>
        <v>1443.6389999999999</v>
      </c>
      <c r="CG44" s="91">
        <f>'META  EM PEÇAS'!AD29-('META  EM PEÇAS'!AD29*0.05)</f>
        <v>2033.8169999999998</v>
      </c>
      <c r="CH44" s="91">
        <f t="shared" si="79"/>
        <v>14362.873499999996</v>
      </c>
      <c r="CJ44" s="91">
        <v>1143.8999999999999</v>
      </c>
      <c r="CK44" s="91">
        <v>884.43</v>
      </c>
      <c r="CL44" s="91">
        <v>993.9375</v>
      </c>
      <c r="CM44" s="91">
        <v>921.49049999999988</v>
      </c>
      <c r="CN44" s="91">
        <v>1033.6949999999999</v>
      </c>
      <c r="CO44" s="91">
        <v>1244.8515</v>
      </c>
      <c r="CP44" s="91">
        <v>1497.5324999999998</v>
      </c>
      <c r="CQ44" s="91">
        <v>1001.0054999999999</v>
      </c>
      <c r="CR44" s="91">
        <v>1038.1125</v>
      </c>
      <c r="CS44" s="91">
        <v>1126.4625000000001</v>
      </c>
      <c r="CT44" s="91">
        <v>1443.6389999999999</v>
      </c>
      <c r="CU44" s="91">
        <v>2033.8169999999998</v>
      </c>
      <c r="CV44" s="91">
        <v>14362.873499999996</v>
      </c>
      <c r="CW44" s="758"/>
      <c r="CX44" s="884">
        <v>1143.8999999999999</v>
      </c>
      <c r="CY44" s="884">
        <v>884.43</v>
      </c>
      <c r="CZ44" s="884">
        <v>993.9375</v>
      </c>
      <c r="DA44" s="884">
        <v>921.49049999999988</v>
      </c>
      <c r="DB44" s="884">
        <v>1033.6949999999999</v>
      </c>
      <c r="DC44" s="884">
        <v>1244.8515</v>
      </c>
      <c r="DD44" s="884">
        <v>1497.5324999999998</v>
      </c>
      <c r="DE44" s="884">
        <v>1001.0054999999999</v>
      </c>
      <c r="DF44" s="884">
        <v>1038.1125</v>
      </c>
      <c r="DG44" s="884">
        <v>1126.4625000000001</v>
      </c>
      <c r="DH44" s="884">
        <v>1443.6389999999999</v>
      </c>
      <c r="DI44" s="884">
        <v>2033.8169999999998</v>
      </c>
      <c r="DJ44" s="91">
        <v>14362.873499999996</v>
      </c>
      <c r="DK44" s="948"/>
      <c r="DL44" s="884">
        <v>1143.8999999999999</v>
      </c>
      <c r="DM44" s="884">
        <v>884.43</v>
      </c>
      <c r="DN44" s="884">
        <v>993.9375</v>
      </c>
      <c r="DO44" s="884">
        <v>921.49049999999988</v>
      </c>
      <c r="DP44" s="884">
        <v>1033.6949999999999</v>
      </c>
      <c r="DQ44" s="884">
        <v>1244.8515</v>
      </c>
      <c r="DR44" s="884">
        <v>1497.5324999999998</v>
      </c>
      <c r="DS44" s="884">
        <v>1001.0054999999999</v>
      </c>
      <c r="DT44" s="884">
        <v>1038.1125</v>
      </c>
      <c r="DU44" s="884">
        <v>1126.4625000000001</v>
      </c>
      <c r="DV44" s="884">
        <v>1443.6389999999999</v>
      </c>
      <c r="DW44" s="884">
        <v>2033.8169999999998</v>
      </c>
      <c r="DX44" s="91">
        <v>14362.873499999996</v>
      </c>
    </row>
    <row r="45" spans="1:129" ht="15" hidden="1" customHeight="1" outlineLevel="1">
      <c r="A45" s="94">
        <v>5</v>
      </c>
      <c r="B45" s="1079" t="s">
        <v>60</v>
      </c>
      <c r="C45" s="1120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>
        <f t="shared" si="74"/>
        <v>0</v>
      </c>
      <c r="Q45" s="90"/>
      <c r="R45" s="313">
        <v>1353</v>
      </c>
      <c r="S45" s="91">
        <v>1184</v>
      </c>
      <c r="T45" s="91">
        <v>1268</v>
      </c>
      <c r="U45" s="91">
        <f t="shared" ref="U45:V45" si="80">10*U7</f>
        <v>10</v>
      </c>
      <c r="V45" s="91">
        <f t="shared" si="80"/>
        <v>120</v>
      </c>
      <c r="W45" s="91">
        <v>600</v>
      </c>
      <c r="X45" s="91">
        <v>1600</v>
      </c>
      <c r="Y45" s="91">
        <v>1600</v>
      </c>
      <c r="Z45" s="91">
        <v>1600</v>
      </c>
      <c r="AA45" s="91">
        <v>1600</v>
      </c>
      <c r="AB45" s="91">
        <v>1600</v>
      </c>
      <c r="AC45" s="91">
        <v>2200</v>
      </c>
      <c r="AD45" s="315">
        <f t="shared" si="75"/>
        <v>14735</v>
      </c>
      <c r="AE45" s="23"/>
      <c r="AF45" s="316">
        <v>1800</v>
      </c>
      <c r="AG45" s="91">
        <v>1200</v>
      </c>
      <c r="AH45" s="91">
        <v>181</v>
      </c>
      <c r="AI45" s="91">
        <v>628</v>
      </c>
      <c r="AJ45" s="91">
        <v>1169</v>
      </c>
      <c r="AK45" s="91">
        <v>960</v>
      </c>
      <c r="AL45" s="91">
        <v>1500</v>
      </c>
      <c r="AM45" s="91">
        <v>1200</v>
      </c>
      <c r="AN45" s="91">
        <v>1200</v>
      </c>
      <c r="AO45" s="91">
        <v>1200</v>
      </c>
      <c r="AP45" s="91">
        <v>1320</v>
      </c>
      <c r="AQ45" s="91">
        <v>1920</v>
      </c>
      <c r="AR45" s="92">
        <f t="shared" si="76"/>
        <v>14278</v>
      </c>
      <c r="AS45" s="23"/>
      <c r="AT45" s="91">
        <v>1496</v>
      </c>
      <c r="AU45" s="91">
        <v>1200</v>
      </c>
      <c r="AV45" s="91">
        <v>1227</v>
      </c>
      <c r="AW45" s="91">
        <v>1655</v>
      </c>
      <c r="AX45" s="317">
        <v>1141</v>
      </c>
      <c r="AY45" s="317">
        <v>1141</v>
      </c>
      <c r="AZ45" s="317">
        <v>1089</v>
      </c>
      <c r="BA45" s="317">
        <v>1089</v>
      </c>
      <c r="BB45" s="317">
        <v>1141</v>
      </c>
      <c r="BC45" s="317">
        <v>1349</v>
      </c>
      <c r="BD45" s="317">
        <v>1453</v>
      </c>
      <c r="BE45" s="317">
        <v>2075</v>
      </c>
      <c r="BF45" s="91">
        <f t="shared" si="77"/>
        <v>16056</v>
      </c>
      <c r="BG45" s="93">
        <f t="shared" si="78"/>
        <v>0.1245272447121446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>
        <v>10591</v>
      </c>
      <c r="BU45" s="54"/>
      <c r="BV45" s="91">
        <v>1474.9799999999998</v>
      </c>
      <c r="BW45" s="91">
        <v>1140.1799999999998</v>
      </c>
      <c r="BX45" s="91">
        <f>'META  EM PEÇAS'!U30-('META  EM PEÇAS'!U30*0.05)</f>
        <v>1281.9584999999997</v>
      </c>
      <c r="BY45" s="91">
        <f>'META  EM PEÇAS'!V30-('META  EM PEÇAS'!V30*0.05)</f>
        <v>1188.3074999999999</v>
      </c>
      <c r="BZ45" s="91">
        <f>'META  EM PEÇAS'!W30-('META  EM PEÇAS'!W30*0.05)</f>
        <v>1333.2014999999999</v>
      </c>
      <c r="CA45" s="91">
        <f>'META  EM PEÇAS'!X30-('META  EM PEÇAS'!X30*0.05)</f>
        <v>1606.2029999999997</v>
      </c>
      <c r="CB45" s="91">
        <f>'META  EM PEÇAS'!Y30-('META  EM PEÇAS'!Y30*0.05)</f>
        <v>1931.3309999999997</v>
      </c>
      <c r="CC45" s="91">
        <f>'META  EM PEÇAS'!Z30-('META  EM PEÇAS'!Z30*0.05)</f>
        <v>1291.6769999999999</v>
      </c>
      <c r="CD45" s="91">
        <f>'META  EM PEÇAS'!AA30-('META  EM PEÇAS'!AA30*0.05)</f>
        <v>1339.386</v>
      </c>
      <c r="CE45" s="91">
        <f>'META  EM PEÇAS'!AB30-('META  EM PEÇAS'!AB30*0.05)</f>
        <v>1453.3574999999998</v>
      </c>
      <c r="CF45" s="91">
        <f>'META  EM PEÇAS'!AC30-('META  EM PEÇAS'!AC30*0.05)</f>
        <v>1861.5344999999998</v>
      </c>
      <c r="CG45" s="91">
        <f>'META  EM PEÇAS'!AD30-('META  EM PEÇAS'!AD30*0.05)</f>
        <v>2623.1114999999995</v>
      </c>
      <c r="CH45" s="91">
        <f t="shared" si="79"/>
        <v>18525.227999999999</v>
      </c>
      <c r="CI45" s="450"/>
      <c r="CJ45" s="91">
        <v>1474.9799999999998</v>
      </c>
      <c r="CK45" s="91">
        <v>1140.1799999999998</v>
      </c>
      <c r="CL45" s="91">
        <v>1281.9584999999997</v>
      </c>
      <c r="CM45" s="91">
        <v>1188.3074999999999</v>
      </c>
      <c r="CN45" s="91">
        <v>1333.2014999999999</v>
      </c>
      <c r="CO45" s="91">
        <v>1606.2029999999997</v>
      </c>
      <c r="CP45" s="91">
        <v>1931.3309999999997</v>
      </c>
      <c r="CQ45" s="91">
        <v>1291.6769999999999</v>
      </c>
      <c r="CR45" s="91">
        <v>1339.386</v>
      </c>
      <c r="CS45" s="91">
        <v>1453.3574999999998</v>
      </c>
      <c r="CT45" s="91">
        <v>1861.5344999999998</v>
      </c>
      <c r="CU45" s="91">
        <v>2623.1114999999995</v>
      </c>
      <c r="CV45" s="91">
        <v>18525.227999999999</v>
      </c>
      <c r="CW45" s="758"/>
      <c r="CX45" s="884">
        <v>1474.9799999999998</v>
      </c>
      <c r="CY45" s="884">
        <v>1140.1799999999998</v>
      </c>
      <c r="CZ45" s="884">
        <v>1281.9584999999997</v>
      </c>
      <c r="DA45" s="884">
        <v>1188.3074999999999</v>
      </c>
      <c r="DB45" s="884">
        <v>1333.2014999999999</v>
      </c>
      <c r="DC45" s="884">
        <v>1606.2029999999997</v>
      </c>
      <c r="DD45" s="884">
        <v>1931.3309999999997</v>
      </c>
      <c r="DE45" s="884">
        <v>1291.6769999999999</v>
      </c>
      <c r="DF45" s="884">
        <v>1339.386</v>
      </c>
      <c r="DG45" s="884">
        <v>1453.3574999999998</v>
      </c>
      <c r="DH45" s="884">
        <v>1861.5344999999998</v>
      </c>
      <c r="DI45" s="884">
        <v>2623.1114999999995</v>
      </c>
      <c r="DJ45" s="91">
        <v>18525.227999999999</v>
      </c>
      <c r="DK45" s="948"/>
      <c r="DL45" s="884">
        <v>1474.9799999999998</v>
      </c>
      <c r="DM45" s="884">
        <v>1140.1799999999998</v>
      </c>
      <c r="DN45" s="884">
        <v>1281.9584999999997</v>
      </c>
      <c r="DO45" s="884">
        <v>1188.3074999999999</v>
      </c>
      <c r="DP45" s="884">
        <v>1333.2014999999999</v>
      </c>
      <c r="DQ45" s="884">
        <v>1606.2029999999997</v>
      </c>
      <c r="DR45" s="884">
        <v>1931.3309999999997</v>
      </c>
      <c r="DS45" s="884">
        <v>1291.6769999999999</v>
      </c>
      <c r="DT45" s="884">
        <v>1339.386</v>
      </c>
      <c r="DU45" s="884">
        <v>1453.3574999999998</v>
      </c>
      <c r="DV45" s="884">
        <v>1861.5344999999998</v>
      </c>
      <c r="DW45" s="884">
        <v>2623.1114999999995</v>
      </c>
      <c r="DX45" s="91">
        <v>18525.227999999999</v>
      </c>
    </row>
    <row r="46" spans="1:129" ht="15" hidden="1" customHeight="1" outlineLevel="1">
      <c r="A46" s="94">
        <v>6</v>
      </c>
      <c r="B46" s="1079" t="s">
        <v>61</v>
      </c>
      <c r="C46" s="1120"/>
      <c r="D46" s="313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314">
        <f t="shared" si="74"/>
        <v>0</v>
      </c>
      <c r="Q46" s="90"/>
      <c r="R46" s="313">
        <v>1455</v>
      </c>
      <c r="S46" s="91">
        <v>1273</v>
      </c>
      <c r="T46" s="91">
        <v>1364</v>
      </c>
      <c r="U46" s="91">
        <v>0</v>
      </c>
      <c r="V46" s="91">
        <v>200</v>
      </c>
      <c r="W46" s="91">
        <v>800</v>
      </c>
      <c r="X46" s="91">
        <v>1600</v>
      </c>
      <c r="Y46" s="91">
        <v>1600</v>
      </c>
      <c r="Z46" s="91">
        <v>1600</v>
      </c>
      <c r="AA46" s="91">
        <v>1600</v>
      </c>
      <c r="AB46" s="91">
        <v>1800</v>
      </c>
      <c r="AC46" s="91">
        <v>2400</v>
      </c>
      <c r="AD46" s="315">
        <f t="shared" si="75"/>
        <v>15692</v>
      </c>
      <c r="AE46" s="23"/>
      <c r="AF46" s="316">
        <v>1500</v>
      </c>
      <c r="AG46" s="91">
        <v>1200</v>
      </c>
      <c r="AH46" s="91">
        <v>127</v>
      </c>
      <c r="AI46" s="91">
        <v>426</v>
      </c>
      <c r="AJ46" s="91">
        <v>1063</v>
      </c>
      <c r="AK46" s="91">
        <v>960</v>
      </c>
      <c r="AL46" s="91">
        <v>1500</v>
      </c>
      <c r="AM46" s="91">
        <v>1200</v>
      </c>
      <c r="AN46" s="91">
        <v>1200</v>
      </c>
      <c r="AO46" s="91">
        <v>1200</v>
      </c>
      <c r="AP46" s="91">
        <v>1320</v>
      </c>
      <c r="AQ46" s="91">
        <v>1920</v>
      </c>
      <c r="AR46" s="92">
        <f t="shared" si="76"/>
        <v>13616</v>
      </c>
      <c r="AS46" s="23"/>
      <c r="AT46" s="91">
        <v>1222</v>
      </c>
      <c r="AU46" s="91">
        <v>1200</v>
      </c>
      <c r="AV46" s="91">
        <v>1117</v>
      </c>
      <c r="AW46" s="91">
        <v>1463</v>
      </c>
      <c r="AX46" s="317">
        <v>1087</v>
      </c>
      <c r="AY46" s="317">
        <v>1087</v>
      </c>
      <c r="AZ46" s="317">
        <v>1038</v>
      </c>
      <c r="BA46" s="317">
        <v>1038</v>
      </c>
      <c r="BB46" s="317">
        <v>1087</v>
      </c>
      <c r="BC46" s="317">
        <v>1285</v>
      </c>
      <c r="BD46" s="317">
        <v>1384</v>
      </c>
      <c r="BE46" s="317">
        <v>1977</v>
      </c>
      <c r="BF46" s="91">
        <f t="shared" si="77"/>
        <v>14985</v>
      </c>
      <c r="BG46" s="93">
        <f t="shared" si="78"/>
        <v>0.10054347826086962</v>
      </c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>
        <v>10087</v>
      </c>
      <c r="BU46" s="54"/>
      <c r="BV46" s="91">
        <v>1214.58</v>
      </c>
      <c r="BW46" s="91">
        <v>939.3</v>
      </c>
      <c r="BX46" s="91">
        <f>'META  EM PEÇAS'!U31-('META  EM PEÇAS'!U31*0.05)</f>
        <v>1055.7824999999998</v>
      </c>
      <c r="BY46" s="91">
        <f>'META  EM PEÇAS'!V31-('META  EM PEÇAS'!V31*0.05)</f>
        <v>978.03449999999998</v>
      </c>
      <c r="BZ46" s="91">
        <f>'META  EM PEÇAS'!W31-('META  EM PEÇAS'!W31*0.05)</f>
        <v>1098.1904999999999</v>
      </c>
      <c r="CA46" s="91">
        <f>'META  EM PEÇAS'!X31-('META  EM PEÇAS'!X31*0.05)</f>
        <v>1322.5994999999998</v>
      </c>
      <c r="CB46" s="91">
        <f>'META  EM PEÇAS'!Y31-('META  EM PEÇAS'!Y31*0.05)</f>
        <v>1590.3</v>
      </c>
      <c r="CC46" s="91">
        <f>'META  EM PEÇAS'!Z31-('META  EM PEÇAS'!Z31*0.05)</f>
        <v>1062.8505</v>
      </c>
      <c r="CD46" s="91">
        <f>'META  EM PEÇAS'!AA31-('META  EM PEÇAS'!AA31*0.05)</f>
        <v>1102.6079999999999</v>
      </c>
      <c r="CE46" s="91">
        <f>'META  EM PEÇAS'!AB31-('META  EM PEÇAS'!AB31*0.05)</f>
        <v>1196.259</v>
      </c>
      <c r="CF46" s="91">
        <f>'META  EM PEÇAS'!AC31-('META  EM PEÇAS'!AC31*0.05)</f>
        <v>1532.8724999999999</v>
      </c>
      <c r="CG46" s="91">
        <f>'META  EM PEÇAS'!AD31-('META  EM PEÇAS'!AD31*0.05)</f>
        <v>2160.1574999999998</v>
      </c>
      <c r="CH46" s="91">
        <f t="shared" si="79"/>
        <v>15253.534499999998</v>
      </c>
      <c r="CJ46" s="91">
        <v>1214.58</v>
      </c>
      <c r="CK46" s="91">
        <v>939.3</v>
      </c>
      <c r="CL46" s="91">
        <v>1055.7824999999998</v>
      </c>
      <c r="CM46" s="91">
        <v>978.03449999999998</v>
      </c>
      <c r="CN46" s="91">
        <v>1098.1904999999999</v>
      </c>
      <c r="CO46" s="91">
        <v>1322.5994999999998</v>
      </c>
      <c r="CP46" s="91">
        <v>1590.3</v>
      </c>
      <c r="CQ46" s="91">
        <v>1062.8505</v>
      </c>
      <c r="CR46" s="91">
        <v>1102.6079999999999</v>
      </c>
      <c r="CS46" s="91">
        <v>1196.259</v>
      </c>
      <c r="CT46" s="91">
        <v>1532.8724999999999</v>
      </c>
      <c r="CU46" s="91">
        <v>2160.1574999999998</v>
      </c>
      <c r="CV46" s="91">
        <v>15253.534499999998</v>
      </c>
      <c r="CW46" s="758"/>
      <c r="CX46" s="884">
        <v>1214.58</v>
      </c>
      <c r="CY46" s="884">
        <v>939.3</v>
      </c>
      <c r="CZ46" s="884">
        <v>1055.7824999999998</v>
      </c>
      <c r="DA46" s="884">
        <v>978.03449999999998</v>
      </c>
      <c r="DB46" s="884">
        <v>1098.1904999999999</v>
      </c>
      <c r="DC46" s="884">
        <v>1322.5994999999998</v>
      </c>
      <c r="DD46" s="884">
        <v>1590.3</v>
      </c>
      <c r="DE46" s="884">
        <v>1062.8505</v>
      </c>
      <c r="DF46" s="884">
        <v>1102.6079999999999</v>
      </c>
      <c r="DG46" s="884">
        <v>1196.259</v>
      </c>
      <c r="DH46" s="884">
        <v>1532.8724999999999</v>
      </c>
      <c r="DI46" s="884">
        <v>2160.1574999999998</v>
      </c>
      <c r="DJ46" s="91">
        <v>15253.534499999998</v>
      </c>
      <c r="DK46" s="948"/>
      <c r="DL46" s="884">
        <v>1214.58</v>
      </c>
      <c r="DM46" s="884">
        <v>939.3</v>
      </c>
      <c r="DN46" s="884">
        <v>1055.7824999999998</v>
      </c>
      <c r="DO46" s="884">
        <v>978.03449999999998</v>
      </c>
      <c r="DP46" s="884">
        <v>1098.1904999999999</v>
      </c>
      <c r="DQ46" s="884">
        <v>1322.5994999999998</v>
      </c>
      <c r="DR46" s="884">
        <v>1590.3</v>
      </c>
      <c r="DS46" s="884">
        <v>1062.8505</v>
      </c>
      <c r="DT46" s="884">
        <v>1102.6079999999999</v>
      </c>
      <c r="DU46" s="884">
        <v>1196.259</v>
      </c>
      <c r="DV46" s="884">
        <v>1532.8724999999999</v>
      </c>
      <c r="DW46" s="884">
        <v>2160.1574999999998</v>
      </c>
      <c r="DX46" s="91">
        <v>15253.534499999998</v>
      </c>
    </row>
    <row r="47" spans="1:129" ht="15" hidden="1" customHeight="1" outlineLevel="1">
      <c r="A47" s="94">
        <v>7</v>
      </c>
      <c r="B47" s="1079" t="s">
        <v>62</v>
      </c>
      <c r="C47" s="1120"/>
      <c r="D47" s="313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314">
        <f t="shared" si="74"/>
        <v>0</v>
      </c>
      <c r="Q47" s="90"/>
      <c r="R47" s="313">
        <v>2000</v>
      </c>
      <c r="S47" s="91">
        <f>2182</f>
        <v>2182</v>
      </c>
      <c r="T47" s="91">
        <f>2455/2</f>
        <v>1227.5</v>
      </c>
      <c r="U47" s="91">
        <f>4*U7</f>
        <v>4</v>
      </c>
      <c r="V47" s="91">
        <v>200</v>
      </c>
      <c r="W47" s="91">
        <v>700</v>
      </c>
      <c r="X47" s="91">
        <v>1600</v>
      </c>
      <c r="Y47" s="91">
        <v>1600</v>
      </c>
      <c r="Z47" s="91">
        <v>1600</v>
      </c>
      <c r="AA47" s="91">
        <v>1600</v>
      </c>
      <c r="AB47" s="91">
        <v>2500</v>
      </c>
      <c r="AC47" s="91">
        <v>3200</v>
      </c>
      <c r="AD47" s="315">
        <f t="shared" si="75"/>
        <v>18413.5</v>
      </c>
      <c r="AE47" s="23"/>
      <c r="AF47" s="316">
        <v>2600</v>
      </c>
      <c r="AG47" s="91">
        <v>1000</v>
      </c>
      <c r="AH47" s="91">
        <v>195</v>
      </c>
      <c r="AI47" s="91">
        <v>844</v>
      </c>
      <c r="AJ47" s="91">
        <v>1973</v>
      </c>
      <c r="AK47" s="91">
        <v>1840</v>
      </c>
      <c r="AL47" s="91">
        <v>2000</v>
      </c>
      <c r="AM47" s="91">
        <v>2300</v>
      </c>
      <c r="AN47" s="91">
        <v>2300</v>
      </c>
      <c r="AO47" s="91">
        <v>2300</v>
      </c>
      <c r="AP47" s="91">
        <v>2530</v>
      </c>
      <c r="AQ47" s="91">
        <v>3680</v>
      </c>
      <c r="AR47" s="92">
        <f t="shared" si="76"/>
        <v>23562</v>
      </c>
      <c r="AS47" s="23"/>
      <c r="AT47" s="91">
        <v>1888</v>
      </c>
      <c r="AU47" s="91">
        <v>1414</v>
      </c>
      <c r="AV47" s="91">
        <v>2073</v>
      </c>
      <c r="AW47" s="91">
        <v>2338</v>
      </c>
      <c r="AX47" s="317">
        <v>1857</v>
      </c>
      <c r="AY47" s="317">
        <v>1857</v>
      </c>
      <c r="AZ47" s="317">
        <v>1772</v>
      </c>
      <c r="BA47" s="317">
        <v>1772</v>
      </c>
      <c r="BB47" s="317">
        <v>1857</v>
      </c>
      <c r="BC47" s="317">
        <v>2194</v>
      </c>
      <c r="BD47" s="317">
        <v>2363</v>
      </c>
      <c r="BE47" s="317">
        <v>3376</v>
      </c>
      <c r="BF47" s="91">
        <f t="shared" si="77"/>
        <v>24761</v>
      </c>
      <c r="BG47" s="93">
        <f t="shared" si="78"/>
        <v>5.0887021475256811E-2</v>
      </c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>
        <v>22941</v>
      </c>
      <c r="BU47" s="54"/>
      <c r="BV47" s="91">
        <v>3211.29</v>
      </c>
      <c r="BW47" s="91">
        <v>2482.1699999999996</v>
      </c>
      <c r="BX47" s="91">
        <f>'META  EM PEÇAS'!U32-('META  EM PEÇAS'!U32*0.05)</f>
        <v>2790.0929999999998</v>
      </c>
      <c r="BY47" s="91">
        <f>'META  EM PEÇAS'!V32-('META  EM PEÇAS'!V32*0.05)</f>
        <v>2586.0044999999996</v>
      </c>
      <c r="BZ47" s="91">
        <f>'META  EM PEÇAS'!W32-('META  EM PEÇAS'!W32*0.05)</f>
        <v>2902.2974999999997</v>
      </c>
      <c r="CA47" s="91">
        <f>'META  EM PEÇAS'!X32-('META  EM PEÇAS'!X32*0.05)</f>
        <v>3495.1259999999997</v>
      </c>
      <c r="CB47" s="91">
        <f>'META  EM PEÇAS'!Y32-('META  EM PEÇAS'!Y32*0.05)</f>
        <v>4203.6929999999993</v>
      </c>
      <c r="CC47" s="91">
        <f>'META  EM PEÇAS'!Z32-('META  EM PEÇAS'!Z32*0.05)</f>
        <v>2810.4135000000001</v>
      </c>
      <c r="CD47" s="91">
        <f>'META  EM PEÇAS'!AA32-('META  EM PEÇAS'!AA32*0.05)</f>
        <v>2914.6664999999998</v>
      </c>
      <c r="CE47" s="91">
        <f>'META  EM PEÇAS'!AB32-('META  EM PEÇAS'!AB32*0.05)</f>
        <v>3162.93</v>
      </c>
      <c r="CF47" s="91">
        <f>'META  EM PEÇAS'!AC32-('META  EM PEÇAS'!AC32*0.05)</f>
        <v>4051.7309999999998</v>
      </c>
      <c r="CG47" s="91">
        <f>'META  EM PEÇAS'!AD32-('META  EM PEÇAS'!AD32*0.05)</f>
        <v>5709.1769999999997</v>
      </c>
      <c r="CH47" s="91">
        <f t="shared" si="79"/>
        <v>40319.59199999999</v>
      </c>
      <c r="CJ47" s="91">
        <v>3211.29</v>
      </c>
      <c r="CK47" s="91">
        <v>2482.1699999999996</v>
      </c>
      <c r="CL47" s="91">
        <v>2790.0929999999998</v>
      </c>
      <c r="CM47" s="91">
        <v>2586.0044999999996</v>
      </c>
      <c r="CN47" s="91">
        <v>2902.2974999999997</v>
      </c>
      <c r="CO47" s="91">
        <v>3495.1259999999997</v>
      </c>
      <c r="CP47" s="91">
        <v>4203.6929999999993</v>
      </c>
      <c r="CQ47" s="91">
        <v>2810.4135000000001</v>
      </c>
      <c r="CR47" s="91">
        <v>2914.6664999999998</v>
      </c>
      <c r="CS47" s="91">
        <v>3162.93</v>
      </c>
      <c r="CT47" s="91">
        <v>4051.7309999999998</v>
      </c>
      <c r="CU47" s="91">
        <v>5709.1769999999997</v>
      </c>
      <c r="CV47" s="91">
        <v>40319.59199999999</v>
      </c>
      <c r="CW47" s="758"/>
      <c r="CX47" s="884">
        <v>3211.29</v>
      </c>
      <c r="CY47" s="884">
        <v>2482.1699999999996</v>
      </c>
      <c r="CZ47" s="884">
        <v>2790.0929999999998</v>
      </c>
      <c r="DA47" s="884">
        <v>2586.0044999999996</v>
      </c>
      <c r="DB47" s="884">
        <v>2902.2974999999997</v>
      </c>
      <c r="DC47" s="884">
        <v>3495.1259999999997</v>
      </c>
      <c r="DD47" s="884">
        <v>4203.6929999999993</v>
      </c>
      <c r="DE47" s="884">
        <v>2810.4135000000001</v>
      </c>
      <c r="DF47" s="884">
        <v>2914.6664999999998</v>
      </c>
      <c r="DG47" s="884">
        <v>3162.93</v>
      </c>
      <c r="DH47" s="884">
        <v>4051.7309999999998</v>
      </c>
      <c r="DI47" s="884">
        <v>5709.1769999999997</v>
      </c>
      <c r="DJ47" s="91">
        <v>40319.59199999999</v>
      </c>
      <c r="DK47" s="948"/>
      <c r="DL47" s="884">
        <v>3211.29</v>
      </c>
      <c r="DM47" s="884">
        <v>2482.1699999999996</v>
      </c>
      <c r="DN47" s="884">
        <v>2790.0929999999998</v>
      </c>
      <c r="DO47" s="884">
        <v>2586.0044999999996</v>
      </c>
      <c r="DP47" s="884">
        <v>2902.2974999999997</v>
      </c>
      <c r="DQ47" s="884">
        <v>3495.1259999999997</v>
      </c>
      <c r="DR47" s="884">
        <v>4203.6929999999993</v>
      </c>
      <c r="DS47" s="884">
        <v>2810.4135000000001</v>
      </c>
      <c r="DT47" s="884">
        <v>2914.6664999999998</v>
      </c>
      <c r="DU47" s="884">
        <v>3162.93</v>
      </c>
      <c r="DV47" s="884">
        <v>4051.7309999999998</v>
      </c>
      <c r="DW47" s="884">
        <v>5709.1769999999997</v>
      </c>
      <c r="DX47" s="91">
        <v>40319.59199999999</v>
      </c>
    </row>
    <row r="48" spans="1:129" ht="15" hidden="1" customHeight="1" outlineLevel="1">
      <c r="A48" s="94">
        <v>9</v>
      </c>
      <c r="B48" s="1079" t="s">
        <v>63</v>
      </c>
      <c r="C48" s="1120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314">
        <f t="shared" si="74"/>
        <v>0</v>
      </c>
      <c r="Q48" s="90"/>
      <c r="R48" s="313">
        <v>1636</v>
      </c>
      <c r="S48" s="91">
        <v>1636</v>
      </c>
      <c r="T48" s="91">
        <f t="shared" ref="T48:T49" si="81">1818/2</f>
        <v>909</v>
      </c>
      <c r="U48" s="91">
        <v>0</v>
      </c>
      <c r="V48" s="91">
        <v>200</v>
      </c>
      <c r="W48" s="91">
        <v>300</v>
      </c>
      <c r="X48" s="91">
        <v>1000</v>
      </c>
      <c r="Y48" s="91">
        <v>1200</v>
      </c>
      <c r="Z48" s="91">
        <v>1600</v>
      </c>
      <c r="AA48" s="91">
        <v>1600</v>
      </c>
      <c r="AB48" s="91">
        <v>1800</v>
      </c>
      <c r="AC48" s="91">
        <v>2300</v>
      </c>
      <c r="AD48" s="315">
        <f t="shared" si="75"/>
        <v>14181</v>
      </c>
      <c r="AE48" s="23"/>
      <c r="AF48" s="316">
        <v>1500</v>
      </c>
      <c r="AG48" s="91">
        <v>1000</v>
      </c>
      <c r="AH48" s="91">
        <v>126</v>
      </c>
      <c r="AI48" s="91">
        <v>387</v>
      </c>
      <c r="AJ48" s="91">
        <v>895</v>
      </c>
      <c r="AK48" s="91">
        <v>800</v>
      </c>
      <c r="AL48" s="91">
        <v>1500</v>
      </c>
      <c r="AM48" s="91">
        <v>1000</v>
      </c>
      <c r="AN48" s="91">
        <v>1000</v>
      </c>
      <c r="AO48" s="91">
        <v>1000</v>
      </c>
      <c r="AP48" s="91">
        <v>1100</v>
      </c>
      <c r="AQ48" s="91">
        <v>1600</v>
      </c>
      <c r="AR48" s="92">
        <f t="shared" si="76"/>
        <v>11908</v>
      </c>
      <c r="AS48" s="23"/>
      <c r="AT48" s="91">
        <v>1182</v>
      </c>
      <c r="AU48" s="91">
        <v>1200</v>
      </c>
      <c r="AV48" s="91">
        <v>932</v>
      </c>
      <c r="AW48" s="91">
        <v>1020</v>
      </c>
      <c r="AX48" s="317">
        <v>0</v>
      </c>
      <c r="AY48" s="317">
        <v>0</v>
      </c>
      <c r="AZ48" s="317">
        <v>0</v>
      </c>
      <c r="BA48" s="317">
        <v>0</v>
      </c>
      <c r="BB48" s="317">
        <v>0</v>
      </c>
      <c r="BC48" s="317">
        <v>0</v>
      </c>
      <c r="BD48" s="317">
        <v>0</v>
      </c>
      <c r="BE48" s="317">
        <v>0</v>
      </c>
      <c r="BF48" s="91">
        <f t="shared" si="77"/>
        <v>4334</v>
      </c>
      <c r="BG48" s="93">
        <f t="shared" si="78"/>
        <v>-0.63604299630500505</v>
      </c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>
        <v>7070</v>
      </c>
      <c r="BU48" s="54"/>
      <c r="BV48" s="91">
        <v>928.14</v>
      </c>
      <c r="BW48" s="91">
        <v>717.95999999999992</v>
      </c>
      <c r="BX48" s="91">
        <f>'META  EM PEÇAS'!U37-('META  EM PEÇAS'!U37*0.05)</f>
        <v>806.63549999999987</v>
      </c>
      <c r="BY48" s="91">
        <f>'META  EM PEÇAS'!V37-('META  EM PEÇAS'!V37*0.05)</f>
        <v>747.44100000000003</v>
      </c>
      <c r="BZ48" s="91">
        <f>'META  EM PEÇAS'!W37-('META  EM PEÇAS'!W37*0.05)</f>
        <v>839.32499999999993</v>
      </c>
      <c r="CA48" s="91">
        <f>'META  EM PEÇAS'!X37-('META  EM PEÇAS'!X37*0.05)</f>
        <v>1010.7239999999998</v>
      </c>
      <c r="CB48" s="91">
        <f>'META  EM PEÇAS'!Y37-('META  EM PEÇAS'!Y37*0.05)</f>
        <v>1214.8125</v>
      </c>
      <c r="CC48" s="91">
        <f>'META  EM PEÇAS'!Z37-('META  EM PEÇAS'!Z37*0.05)</f>
        <v>812.81999999999994</v>
      </c>
      <c r="CD48" s="91">
        <f>'META  EM PEÇAS'!AA37-('META  EM PEÇAS'!AA37*0.05)</f>
        <v>842.85899999999992</v>
      </c>
      <c r="CE48" s="91">
        <f>'META  EM PEÇAS'!AB37-('META  EM PEÇAS'!AB37*0.05)</f>
        <v>914.4224999999999</v>
      </c>
      <c r="CF48" s="91">
        <f>'META  EM PEÇAS'!AC37-('META  EM PEÇAS'!AC37*0.05)</f>
        <v>1171.5209999999997</v>
      </c>
      <c r="CG48" s="91">
        <f>'META  EM PEÇAS'!AD37-('META  EM PEÇAS'!AD37*0.05)</f>
        <v>1650.3779999999997</v>
      </c>
      <c r="CH48" s="91">
        <f t="shared" si="79"/>
        <v>11657.038499999999</v>
      </c>
      <c r="CJ48" s="91">
        <v>928.14</v>
      </c>
      <c r="CK48" s="91">
        <v>717.95999999999992</v>
      </c>
      <c r="CL48" s="91">
        <v>806.63549999999987</v>
      </c>
      <c r="CM48" s="91">
        <v>747.44100000000003</v>
      </c>
      <c r="CN48" s="91">
        <v>839.32499999999993</v>
      </c>
      <c r="CO48" s="91">
        <v>1010.7239999999998</v>
      </c>
      <c r="CP48" s="91">
        <v>1214.8125</v>
      </c>
      <c r="CQ48" s="91">
        <v>812.81999999999994</v>
      </c>
      <c r="CR48" s="91">
        <v>842.85899999999992</v>
      </c>
      <c r="CS48" s="91">
        <v>914.4224999999999</v>
      </c>
      <c r="CT48" s="91">
        <v>1171.5209999999997</v>
      </c>
      <c r="CU48" s="91">
        <v>1650.3779999999997</v>
      </c>
      <c r="CV48" s="91">
        <v>11657.038499999999</v>
      </c>
      <c r="CW48" s="758"/>
      <c r="CX48" s="884">
        <v>928.14</v>
      </c>
      <c r="CY48" s="884">
        <v>717.95999999999992</v>
      </c>
      <c r="CZ48" s="884">
        <v>806.63549999999987</v>
      </c>
      <c r="DA48" s="884">
        <v>747.44100000000003</v>
      </c>
      <c r="DB48" s="884">
        <v>839.32499999999993</v>
      </c>
      <c r="DC48" s="884">
        <v>1010.7239999999998</v>
      </c>
      <c r="DD48" s="884">
        <v>1214.8125</v>
      </c>
      <c r="DE48" s="884">
        <v>812.81999999999994</v>
      </c>
      <c r="DF48" s="884">
        <v>842.85899999999992</v>
      </c>
      <c r="DG48" s="884">
        <v>914.4224999999999</v>
      </c>
      <c r="DH48" s="884">
        <v>1171.5209999999997</v>
      </c>
      <c r="DI48" s="884">
        <v>1650.3779999999997</v>
      </c>
      <c r="DJ48" s="91">
        <v>11657.038499999999</v>
      </c>
      <c r="DK48" s="948"/>
      <c r="DL48" s="884">
        <v>928.14</v>
      </c>
      <c r="DM48" s="884">
        <v>717.95999999999992</v>
      </c>
      <c r="DN48" s="884">
        <v>806.63549999999987</v>
      </c>
      <c r="DO48" s="884">
        <v>747.44100000000003</v>
      </c>
      <c r="DP48" s="884">
        <v>839.32499999999993</v>
      </c>
      <c r="DQ48" s="884">
        <v>1010.7239999999998</v>
      </c>
      <c r="DR48" s="884">
        <v>1214.8125</v>
      </c>
      <c r="DS48" s="884">
        <v>812.81999999999994</v>
      </c>
      <c r="DT48" s="884">
        <v>842.85899999999992</v>
      </c>
      <c r="DU48" s="884">
        <v>914.4224999999999</v>
      </c>
      <c r="DV48" s="884">
        <v>1171.5209999999997</v>
      </c>
      <c r="DW48" s="884">
        <v>1650.3779999999997</v>
      </c>
      <c r="DX48" s="91">
        <v>11657.038499999999</v>
      </c>
    </row>
    <row r="49" spans="1:128" ht="15" hidden="1" customHeight="1" outlineLevel="1">
      <c r="A49" s="94">
        <v>10</v>
      </c>
      <c r="B49" s="1079" t="s">
        <v>64</v>
      </c>
      <c r="C49" s="1120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>
        <f t="shared" si="74"/>
        <v>0</v>
      </c>
      <c r="Q49" s="90"/>
      <c r="R49" s="313">
        <v>1636</v>
      </c>
      <c r="S49" s="91">
        <v>1636</v>
      </c>
      <c r="T49" s="91">
        <f t="shared" si="81"/>
        <v>909</v>
      </c>
      <c r="U49" s="91">
        <f>0.5*U7</f>
        <v>0.5</v>
      </c>
      <c r="V49" s="91">
        <v>200</v>
      </c>
      <c r="W49" s="91">
        <v>300</v>
      </c>
      <c r="X49" s="91">
        <v>1000</v>
      </c>
      <c r="Y49" s="91">
        <v>1200</v>
      </c>
      <c r="Z49" s="91">
        <v>1600</v>
      </c>
      <c r="AA49" s="91">
        <v>1600</v>
      </c>
      <c r="AB49" s="91">
        <v>1800</v>
      </c>
      <c r="AC49" s="91">
        <v>2300</v>
      </c>
      <c r="AD49" s="315">
        <f t="shared" si="75"/>
        <v>14181.5</v>
      </c>
      <c r="AE49" s="23"/>
      <c r="AF49" s="316">
        <v>1500</v>
      </c>
      <c r="AG49" s="91">
        <v>1000</v>
      </c>
      <c r="AH49" s="91">
        <v>764</v>
      </c>
      <c r="AI49" s="91">
        <v>561</v>
      </c>
      <c r="AJ49" s="91">
        <v>1353</v>
      </c>
      <c r="AK49" s="91">
        <v>960</v>
      </c>
      <c r="AL49" s="91">
        <v>1500</v>
      </c>
      <c r="AM49" s="91">
        <v>1200</v>
      </c>
      <c r="AN49" s="91">
        <v>1200</v>
      </c>
      <c r="AO49" s="91">
        <v>1200</v>
      </c>
      <c r="AP49" s="91">
        <v>1320</v>
      </c>
      <c r="AQ49" s="91">
        <v>1920</v>
      </c>
      <c r="AR49" s="92">
        <f t="shared" si="76"/>
        <v>14478</v>
      </c>
      <c r="AS49" s="23"/>
      <c r="AT49" s="91">
        <v>1285</v>
      </c>
      <c r="AU49" s="91">
        <v>957</v>
      </c>
      <c r="AV49" s="91">
        <v>1426</v>
      </c>
      <c r="AW49" s="91">
        <v>1595</v>
      </c>
      <c r="AX49" s="317">
        <v>1767</v>
      </c>
      <c r="AY49" s="317">
        <v>1767</v>
      </c>
      <c r="AZ49" s="317">
        <v>1686</v>
      </c>
      <c r="BA49" s="317">
        <v>1686</v>
      </c>
      <c r="BB49" s="317">
        <v>1767</v>
      </c>
      <c r="BC49" s="317">
        <v>2088</v>
      </c>
      <c r="BD49" s="317">
        <v>2248</v>
      </c>
      <c r="BE49" s="317">
        <v>3212</v>
      </c>
      <c r="BF49" s="91">
        <f t="shared" si="77"/>
        <v>21484</v>
      </c>
      <c r="BG49" s="93">
        <f t="shared" si="78"/>
        <v>0.48390661693604087</v>
      </c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>
        <v>16952</v>
      </c>
      <c r="BU49" s="54"/>
      <c r="BV49" s="91">
        <v>2631.8999999999996</v>
      </c>
      <c r="BW49" s="91">
        <v>2034.84</v>
      </c>
      <c r="BX49" s="91">
        <f>'META  EM PEÇAS'!U33-('META  EM PEÇAS'!U33*0.05)</f>
        <v>2287.3815</v>
      </c>
      <c r="BY49" s="91">
        <f>'META  EM PEÇAS'!V33-('META  EM PEÇAS'!V33*0.05)</f>
        <v>2119.5164999999997</v>
      </c>
      <c r="BZ49" s="91">
        <f>'META  EM PEÇAS'!W33-('META  EM PEÇAS'!W33*0.05)</f>
        <v>2379.2655</v>
      </c>
      <c r="CA49" s="91">
        <f>'META  EM PEÇAS'!X33-('META  EM PEÇAS'!X33*0.05)</f>
        <v>2865.1904999999997</v>
      </c>
      <c r="CB49" s="91">
        <f>'META  EM PEÇAS'!Y33-('META  EM PEÇAS'!Y33*0.05)</f>
        <v>3445.6499999999996</v>
      </c>
      <c r="CC49" s="91">
        <f>'META  EM PEÇAS'!Z33-('META  EM PEÇAS'!Z33*0.05)</f>
        <v>2303.2844999999998</v>
      </c>
      <c r="CD49" s="91">
        <f>'META  EM PEÇAS'!AA33-('META  EM PEÇAS'!AA33*0.05)</f>
        <v>2388.9839999999999</v>
      </c>
      <c r="CE49" s="91">
        <f>'META  EM PEÇAS'!AB33-('META  EM PEÇAS'!AB33*0.05)</f>
        <v>2592.1889999999999</v>
      </c>
      <c r="CF49" s="91">
        <f>'META  EM PEÇAS'!AC33-('META  EM PEÇAS'!AC33*0.05)</f>
        <v>3321.0765000000001</v>
      </c>
      <c r="CG49" s="91">
        <f>'META  EM PEÇAS'!AD33-('META  EM PEÇAS'!AD33*0.05)</f>
        <v>4679.8995000000004</v>
      </c>
      <c r="CH49" s="91">
        <f t="shared" si="79"/>
        <v>33049.177499999998</v>
      </c>
      <c r="CJ49" s="91">
        <v>2631.8999999999996</v>
      </c>
      <c r="CK49" s="91">
        <v>2034.84</v>
      </c>
      <c r="CL49" s="91">
        <v>2287.3815</v>
      </c>
      <c r="CM49" s="91">
        <v>2119.5164999999997</v>
      </c>
      <c r="CN49" s="91">
        <v>2379.2655</v>
      </c>
      <c r="CO49" s="91">
        <v>2865.1904999999997</v>
      </c>
      <c r="CP49" s="91">
        <v>3445.6499999999996</v>
      </c>
      <c r="CQ49" s="91">
        <v>2303.2844999999998</v>
      </c>
      <c r="CR49" s="91">
        <v>2388.9839999999999</v>
      </c>
      <c r="CS49" s="91">
        <v>2592.1889999999999</v>
      </c>
      <c r="CT49" s="91">
        <v>3321.0765000000001</v>
      </c>
      <c r="CU49" s="91">
        <v>4679.8995000000004</v>
      </c>
      <c r="CV49" s="91">
        <v>33049.177499999998</v>
      </c>
      <c r="CW49" s="758"/>
      <c r="CX49" s="884">
        <v>2631.8999999999996</v>
      </c>
      <c r="CY49" s="884">
        <v>2034.84</v>
      </c>
      <c r="CZ49" s="884">
        <v>2287.3815</v>
      </c>
      <c r="DA49" s="884">
        <v>2119.5164999999997</v>
      </c>
      <c r="DB49" s="884">
        <v>2379.2655</v>
      </c>
      <c r="DC49" s="884">
        <v>2865.1904999999997</v>
      </c>
      <c r="DD49" s="884">
        <v>3445.6499999999996</v>
      </c>
      <c r="DE49" s="884">
        <v>2303.2844999999998</v>
      </c>
      <c r="DF49" s="884">
        <v>2388.9839999999999</v>
      </c>
      <c r="DG49" s="884">
        <v>2592.1889999999999</v>
      </c>
      <c r="DH49" s="884">
        <v>3321.0765000000001</v>
      </c>
      <c r="DI49" s="884">
        <v>4679.8995000000004</v>
      </c>
      <c r="DJ49" s="91">
        <v>33049.177499999998</v>
      </c>
      <c r="DK49" s="948"/>
      <c r="DL49" s="884">
        <v>2631.8999999999996</v>
      </c>
      <c r="DM49" s="884">
        <v>2034.84</v>
      </c>
      <c r="DN49" s="884">
        <v>2287.3815</v>
      </c>
      <c r="DO49" s="884">
        <v>2119.5164999999997</v>
      </c>
      <c r="DP49" s="884">
        <v>2379.2655</v>
      </c>
      <c r="DQ49" s="884">
        <v>2865.1904999999997</v>
      </c>
      <c r="DR49" s="884">
        <v>3445.6499999999996</v>
      </c>
      <c r="DS49" s="884">
        <v>2303.2844999999998</v>
      </c>
      <c r="DT49" s="884">
        <v>2388.9839999999999</v>
      </c>
      <c r="DU49" s="884">
        <v>2592.1889999999999</v>
      </c>
      <c r="DV49" s="884">
        <v>3321.0765000000001</v>
      </c>
      <c r="DW49" s="884">
        <v>4679.8995000000004</v>
      </c>
      <c r="DX49" s="91">
        <v>33049.177499999998</v>
      </c>
    </row>
    <row r="50" spans="1:128" ht="15" hidden="1" customHeight="1" outlineLevel="1">
      <c r="A50" s="94">
        <v>10</v>
      </c>
      <c r="B50" s="1079" t="s">
        <v>65</v>
      </c>
      <c r="C50" s="1120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>
        <f t="shared" si="74"/>
        <v>0</v>
      </c>
      <c r="Q50" s="90"/>
      <c r="R50" s="313">
        <v>0</v>
      </c>
      <c r="S50" s="91">
        <v>0</v>
      </c>
      <c r="T50" s="91">
        <v>0</v>
      </c>
      <c r="U50" s="91">
        <v>0</v>
      </c>
      <c r="V50" s="91">
        <v>3500</v>
      </c>
      <c r="W50" s="91">
        <v>350</v>
      </c>
      <c r="X50" s="91">
        <v>800</v>
      </c>
      <c r="Y50" s="91">
        <v>1000</v>
      </c>
      <c r="Z50" s="91">
        <v>1600</v>
      </c>
      <c r="AA50" s="91">
        <v>2000</v>
      </c>
      <c r="AB50" s="91">
        <v>2400</v>
      </c>
      <c r="AC50" s="91">
        <v>3000</v>
      </c>
      <c r="AD50" s="315">
        <f t="shared" si="75"/>
        <v>14650</v>
      </c>
      <c r="AE50" s="23"/>
      <c r="AF50" s="316">
        <v>2500</v>
      </c>
      <c r="AG50" s="91">
        <v>1000</v>
      </c>
      <c r="AH50" s="91">
        <f>2500*0.15</f>
        <v>375</v>
      </c>
      <c r="AI50" s="91">
        <v>787</v>
      </c>
      <c r="AJ50" s="91">
        <v>1569</v>
      </c>
      <c r="AK50" s="91">
        <v>2000</v>
      </c>
      <c r="AL50" s="91">
        <v>2500</v>
      </c>
      <c r="AM50" s="91">
        <v>2500</v>
      </c>
      <c r="AN50" s="91">
        <v>2500</v>
      </c>
      <c r="AO50" s="91">
        <v>2500</v>
      </c>
      <c r="AP50" s="91">
        <v>2750</v>
      </c>
      <c r="AQ50" s="91">
        <v>4000</v>
      </c>
      <c r="AR50" s="92">
        <f t="shared" si="76"/>
        <v>24981</v>
      </c>
      <c r="AS50" s="23"/>
      <c r="AT50" s="91">
        <v>1806</v>
      </c>
      <c r="AU50" s="91">
        <v>2046</v>
      </c>
      <c r="AV50" s="91">
        <v>1646</v>
      </c>
      <c r="AW50" s="91">
        <v>1902</v>
      </c>
      <c r="AX50" s="317">
        <v>1545</v>
      </c>
      <c r="AY50" s="317">
        <v>1545</v>
      </c>
      <c r="AZ50" s="317">
        <v>1475</v>
      </c>
      <c r="BA50" s="317">
        <v>1475</v>
      </c>
      <c r="BB50" s="317">
        <v>1545</v>
      </c>
      <c r="BC50" s="317">
        <v>1826</v>
      </c>
      <c r="BD50" s="317">
        <v>0</v>
      </c>
      <c r="BE50" s="317">
        <v>0</v>
      </c>
      <c r="BF50" s="91">
        <f t="shared" si="77"/>
        <v>16811</v>
      </c>
      <c r="BG50" s="93">
        <f t="shared" si="78"/>
        <v>-0.32704855690324641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>
        <v>10230</v>
      </c>
      <c r="BU50" s="54"/>
      <c r="BV50" s="91">
        <v>1335.48</v>
      </c>
      <c r="BW50" s="91">
        <v>1032.3</v>
      </c>
      <c r="BX50" s="91">
        <f>'META  EM PEÇAS'!U39-('META  EM PEÇAS'!U39*0.05)</f>
        <v>1160.0355</v>
      </c>
      <c r="BY50" s="91">
        <f>'META  EM PEÇAS'!V39-('META  EM PEÇAS'!V39*0.05)</f>
        <v>1075.2194999999999</v>
      </c>
      <c r="BZ50" s="91">
        <f>'META  EM PEÇAS'!W39-('META  EM PEÇAS'!W39*0.05)</f>
        <v>1206.8609999999999</v>
      </c>
      <c r="CA50" s="91">
        <f>'META  EM PEÇAS'!X39-('META  EM PEÇAS'!X39*0.05)</f>
        <v>1453.3574999999998</v>
      </c>
      <c r="CB50" s="91">
        <f>'META  EM PEÇAS'!Y39-('META  EM PEÇAS'!Y39*0.05)</f>
        <v>1747.5629999999999</v>
      </c>
      <c r="CC50" s="91">
        <f>'META  EM PEÇAS'!Z39-('META  EM PEÇAS'!Z39*0.05)</f>
        <v>1168.8705</v>
      </c>
      <c r="CD50" s="91">
        <f>'META  EM PEÇAS'!AA39-('META  EM PEÇAS'!AA39*0.05)</f>
        <v>1212.1619999999998</v>
      </c>
      <c r="CE50" s="91">
        <f>'META  EM PEÇAS'!AB39-('META  EM PEÇAS'!AB39*0.05)</f>
        <v>1314.6479999999999</v>
      </c>
      <c r="CF50" s="91">
        <f>'META  EM PEÇAS'!AC39-('META  EM PEÇAS'!AC39*0.05)</f>
        <v>1684.8344999999999</v>
      </c>
      <c r="CG50" s="91">
        <f>'META  EM PEÇAS'!AD39-('META  EM PEÇAS'!AD39*0.05)</f>
        <v>2373.9645</v>
      </c>
      <c r="CH50" s="91">
        <f t="shared" si="79"/>
        <v>16765.295999999995</v>
      </c>
      <c r="CJ50" s="91">
        <v>1335.48</v>
      </c>
      <c r="CK50" s="91">
        <v>1032.3</v>
      </c>
      <c r="CL50" s="91">
        <v>1160.0355</v>
      </c>
      <c r="CM50" s="91">
        <v>1075.2194999999999</v>
      </c>
      <c r="CN50" s="91">
        <v>1206.8609999999999</v>
      </c>
      <c r="CO50" s="91">
        <v>1453.3574999999998</v>
      </c>
      <c r="CP50" s="91">
        <v>1747.5629999999999</v>
      </c>
      <c r="CQ50" s="91">
        <v>1168.8705</v>
      </c>
      <c r="CR50" s="91">
        <v>1212.1619999999998</v>
      </c>
      <c r="CS50" s="91">
        <v>1314.6479999999999</v>
      </c>
      <c r="CT50" s="91">
        <v>1684.8344999999999</v>
      </c>
      <c r="CU50" s="91">
        <v>2373.9645</v>
      </c>
      <c r="CV50" s="91">
        <v>16765.295999999995</v>
      </c>
      <c r="CW50" s="758"/>
      <c r="CX50" s="884">
        <v>1335.48</v>
      </c>
      <c r="CY50" s="884">
        <v>1032.3</v>
      </c>
      <c r="CZ50" s="884">
        <v>1160.0355</v>
      </c>
      <c r="DA50" s="884">
        <v>1075.2194999999999</v>
      </c>
      <c r="DB50" s="884">
        <v>1206.8609999999999</v>
      </c>
      <c r="DC50" s="884">
        <v>1453.3574999999998</v>
      </c>
      <c r="DD50" s="884">
        <v>1747.5629999999999</v>
      </c>
      <c r="DE50" s="884">
        <v>1168.8705</v>
      </c>
      <c r="DF50" s="884">
        <v>1212.1619999999998</v>
      </c>
      <c r="DG50" s="884">
        <v>1314.6479999999999</v>
      </c>
      <c r="DH50" s="884">
        <v>1684.8344999999999</v>
      </c>
      <c r="DI50" s="884">
        <v>2373.9645</v>
      </c>
      <c r="DJ50" s="91">
        <v>16765.295999999995</v>
      </c>
      <c r="DK50" s="948"/>
      <c r="DL50" s="884">
        <v>1335.48</v>
      </c>
      <c r="DM50" s="884">
        <v>1032.3</v>
      </c>
      <c r="DN50" s="884">
        <v>1160.0355</v>
      </c>
      <c r="DO50" s="884">
        <v>1075.2194999999999</v>
      </c>
      <c r="DP50" s="884">
        <v>1206.8609999999999</v>
      </c>
      <c r="DQ50" s="884">
        <v>1453.3574999999998</v>
      </c>
      <c r="DR50" s="884">
        <v>1747.5629999999999</v>
      </c>
      <c r="DS50" s="884">
        <v>1168.8705</v>
      </c>
      <c r="DT50" s="884">
        <v>1212.1619999999998</v>
      </c>
      <c r="DU50" s="884">
        <v>1314.6479999999999</v>
      </c>
      <c r="DV50" s="884">
        <v>1684.8344999999999</v>
      </c>
      <c r="DW50" s="884">
        <v>2373.9645</v>
      </c>
      <c r="DX50" s="91">
        <v>16765.295999999995</v>
      </c>
    </row>
    <row r="51" spans="1:128" ht="15" hidden="1" customHeight="1" outlineLevel="1">
      <c r="A51" s="94">
        <v>11</v>
      </c>
      <c r="B51" s="921" t="s">
        <v>66</v>
      </c>
      <c r="C51" s="922"/>
      <c r="D51" s="313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314">
        <f t="shared" si="74"/>
        <v>0</v>
      </c>
      <c r="Q51" s="90"/>
      <c r="R51" s="313">
        <v>0</v>
      </c>
      <c r="S51" s="91">
        <v>0</v>
      </c>
      <c r="T51" s="91">
        <v>0</v>
      </c>
      <c r="U51" s="91">
        <v>0</v>
      </c>
      <c r="V51" s="91">
        <v>4000</v>
      </c>
      <c r="W51" s="91">
        <v>100</v>
      </c>
      <c r="X51" s="91">
        <v>800</v>
      </c>
      <c r="Y51" s="91">
        <v>800</v>
      </c>
      <c r="Z51" s="91">
        <v>1200</v>
      </c>
      <c r="AA51" s="91">
        <v>1200</v>
      </c>
      <c r="AB51" s="91">
        <v>1800</v>
      </c>
      <c r="AC51" s="91">
        <v>2300</v>
      </c>
      <c r="AD51" s="315">
        <f t="shared" si="75"/>
        <v>12200</v>
      </c>
      <c r="AE51" s="23"/>
      <c r="AF51" s="316">
        <v>1500</v>
      </c>
      <c r="AG51" s="91">
        <v>1000</v>
      </c>
      <c r="AH51" s="91">
        <f t="shared" ref="AH51:AH52" si="82">1500*0.15</f>
        <v>225</v>
      </c>
      <c r="AI51" s="91">
        <v>324</v>
      </c>
      <c r="AJ51" s="91">
        <v>869</v>
      </c>
      <c r="AK51" s="91">
        <v>800</v>
      </c>
      <c r="AL51" s="91">
        <v>1500</v>
      </c>
      <c r="AM51" s="91">
        <v>1000</v>
      </c>
      <c r="AN51" s="91">
        <v>1000</v>
      </c>
      <c r="AO51" s="91">
        <v>1000</v>
      </c>
      <c r="AP51" s="91">
        <v>1100</v>
      </c>
      <c r="AQ51" s="91">
        <v>1600</v>
      </c>
      <c r="AR51" s="92">
        <f t="shared" si="76"/>
        <v>11918</v>
      </c>
      <c r="AS51" s="23"/>
      <c r="AT51" s="91">
        <v>1191</v>
      </c>
      <c r="AU51" s="91">
        <v>1191</v>
      </c>
      <c r="AV51" s="91">
        <v>1191</v>
      </c>
      <c r="AW51" s="91">
        <v>1191</v>
      </c>
      <c r="AX51" s="317">
        <v>876</v>
      </c>
      <c r="AY51" s="317">
        <v>876</v>
      </c>
      <c r="AZ51" s="317">
        <v>836</v>
      </c>
      <c r="BA51" s="317">
        <v>836</v>
      </c>
      <c r="BB51" s="317">
        <v>876</v>
      </c>
      <c r="BC51" s="317">
        <v>1035</v>
      </c>
      <c r="BD51" s="317">
        <v>0</v>
      </c>
      <c r="BE51" s="317">
        <v>0</v>
      </c>
      <c r="BF51" s="91">
        <f t="shared" si="77"/>
        <v>10099</v>
      </c>
      <c r="BG51" s="93">
        <f t="shared" si="78"/>
        <v>-0.15262627957711028</v>
      </c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>
        <v>7342</v>
      </c>
      <c r="BU51" s="54"/>
      <c r="BV51" s="91">
        <v>1643.31</v>
      </c>
      <c r="BW51" s="91">
        <v>1270.3799999999999</v>
      </c>
      <c r="BX51" s="91">
        <f>'META  EM PEÇAS'!U40-('META  EM PEÇAS'!U40*0.05)</f>
        <v>1427.7359999999999</v>
      </c>
      <c r="BY51" s="91">
        <f>'META  EM PEÇAS'!V40-('META  EM PEÇAS'!V40*0.05)</f>
        <v>1323.4829999999999</v>
      </c>
      <c r="BZ51" s="91">
        <f>'META  EM PEÇAS'!W40-('META  EM PEÇAS'!W40*0.05)</f>
        <v>1485.1634999999999</v>
      </c>
      <c r="CA51" s="91">
        <f>'META  EM PEÇAS'!X40-('META  EM PEÇAS'!X40*0.05)</f>
        <v>1788.204</v>
      </c>
      <c r="CB51" s="91">
        <f>'META  EM PEÇAS'!Y40-('META  EM PEÇAS'!Y40*0.05)</f>
        <v>2151.3224999999998</v>
      </c>
      <c r="CC51" s="91">
        <f>'META  EM PEÇAS'!Z40-('META  EM PEÇAS'!Z40*0.05)</f>
        <v>1438.338</v>
      </c>
      <c r="CD51" s="91">
        <f>'META  EM PEÇAS'!AA40-('META  EM PEÇAS'!AA40*0.05)</f>
        <v>1491.348</v>
      </c>
      <c r="CE51" s="91">
        <f>'META  EM PEÇAS'!AB40-('META  EM PEÇAS'!AB40*0.05)</f>
        <v>1618.5719999999999</v>
      </c>
      <c r="CF51" s="91">
        <f>'META  EM PEÇAS'!AC40-('META  EM PEÇAS'!AC40*0.05)</f>
        <v>2073.5745000000002</v>
      </c>
      <c r="CG51" s="91">
        <f>'META  EM PEÇAS'!AD40-('META  EM PEÇAS'!AD40*0.05)</f>
        <v>2921.7344999999996</v>
      </c>
      <c r="CH51" s="91">
        <f t="shared" si="79"/>
        <v>20633.165999999997</v>
      </c>
      <c r="CJ51" s="91">
        <v>1643.31</v>
      </c>
      <c r="CK51" s="91">
        <v>1270.3799999999999</v>
      </c>
      <c r="CL51" s="91">
        <v>1427.7359999999999</v>
      </c>
      <c r="CM51" s="91">
        <v>1323.4829999999999</v>
      </c>
      <c r="CN51" s="91">
        <v>1485.1634999999999</v>
      </c>
      <c r="CO51" s="91">
        <v>1788.204</v>
      </c>
      <c r="CP51" s="91">
        <v>2151.3224999999998</v>
      </c>
      <c r="CQ51" s="91">
        <v>1438.338</v>
      </c>
      <c r="CR51" s="91">
        <v>1491.348</v>
      </c>
      <c r="CS51" s="91">
        <v>1618.5719999999999</v>
      </c>
      <c r="CT51" s="91">
        <v>2073.5745000000002</v>
      </c>
      <c r="CU51" s="91">
        <v>2921.7344999999996</v>
      </c>
      <c r="CV51" s="91">
        <v>20633.165999999997</v>
      </c>
      <c r="CW51" s="758"/>
      <c r="CX51" s="884">
        <v>1643.31</v>
      </c>
      <c r="CY51" s="884">
        <v>1270.3799999999999</v>
      </c>
      <c r="CZ51" s="884">
        <v>1427.7359999999999</v>
      </c>
      <c r="DA51" s="884">
        <v>1323.4829999999999</v>
      </c>
      <c r="DB51" s="884">
        <v>1485.1634999999999</v>
      </c>
      <c r="DC51" s="884">
        <v>1788.204</v>
      </c>
      <c r="DD51" s="884">
        <v>2151.3224999999998</v>
      </c>
      <c r="DE51" s="884">
        <v>1438.338</v>
      </c>
      <c r="DF51" s="884">
        <v>1491.348</v>
      </c>
      <c r="DG51" s="884">
        <v>1618.5719999999999</v>
      </c>
      <c r="DH51" s="884">
        <v>2073.5745000000002</v>
      </c>
      <c r="DI51" s="884">
        <v>2921.7344999999996</v>
      </c>
      <c r="DJ51" s="91">
        <v>20633.165999999997</v>
      </c>
      <c r="DK51" s="948"/>
      <c r="DL51" s="884">
        <v>1643.31</v>
      </c>
      <c r="DM51" s="884">
        <v>1270.3799999999999</v>
      </c>
      <c r="DN51" s="884">
        <v>1427.7359999999999</v>
      </c>
      <c r="DO51" s="884">
        <v>1323.4829999999999</v>
      </c>
      <c r="DP51" s="884">
        <v>1485.1634999999999</v>
      </c>
      <c r="DQ51" s="884">
        <v>1788.204</v>
      </c>
      <c r="DR51" s="884">
        <v>2151.3224999999998</v>
      </c>
      <c r="DS51" s="884">
        <v>1438.338</v>
      </c>
      <c r="DT51" s="884">
        <v>1491.348</v>
      </c>
      <c r="DU51" s="884">
        <v>1618.5719999999999</v>
      </c>
      <c r="DV51" s="884">
        <v>2073.5745000000002</v>
      </c>
      <c r="DW51" s="884">
        <v>2921.7344999999996</v>
      </c>
      <c r="DX51" s="91">
        <v>20633.165999999997</v>
      </c>
    </row>
    <row r="52" spans="1:128" ht="15" hidden="1" customHeight="1" outlineLevel="1">
      <c r="A52" s="94">
        <v>12</v>
      </c>
      <c r="B52" s="921" t="s">
        <v>67</v>
      </c>
      <c r="C52" s="922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>
        <f t="shared" si="74"/>
        <v>0</v>
      </c>
      <c r="Q52" s="90"/>
      <c r="R52" s="313">
        <v>0</v>
      </c>
      <c r="S52" s="91">
        <v>0</v>
      </c>
      <c r="T52" s="91">
        <v>0</v>
      </c>
      <c r="U52" s="91">
        <v>0</v>
      </c>
      <c r="V52" s="91">
        <v>4000</v>
      </c>
      <c r="W52" s="91">
        <v>0</v>
      </c>
      <c r="X52" s="91">
        <v>800</v>
      </c>
      <c r="Y52" s="91">
        <v>1000</v>
      </c>
      <c r="Z52" s="91">
        <v>1200</v>
      </c>
      <c r="AA52" s="91">
        <v>1200</v>
      </c>
      <c r="AB52" s="91">
        <v>1800</v>
      </c>
      <c r="AC52" s="91">
        <v>2300</v>
      </c>
      <c r="AD52" s="315">
        <f t="shared" si="75"/>
        <v>12300</v>
      </c>
      <c r="AE52" s="23"/>
      <c r="AF52" s="316">
        <v>1500</v>
      </c>
      <c r="AG52" s="91">
        <v>1200</v>
      </c>
      <c r="AH52" s="91">
        <f t="shared" si="82"/>
        <v>225</v>
      </c>
      <c r="AI52" s="91">
        <v>332</v>
      </c>
      <c r="AJ52" s="91">
        <v>945</v>
      </c>
      <c r="AK52" s="91">
        <v>960</v>
      </c>
      <c r="AL52" s="91">
        <v>1500</v>
      </c>
      <c r="AM52" s="91">
        <v>1200</v>
      </c>
      <c r="AN52" s="91">
        <v>1200</v>
      </c>
      <c r="AO52" s="91">
        <v>1200</v>
      </c>
      <c r="AP52" s="91">
        <v>1320</v>
      </c>
      <c r="AQ52" s="91">
        <v>1920</v>
      </c>
      <c r="AR52" s="92">
        <f t="shared" si="76"/>
        <v>13502</v>
      </c>
      <c r="AS52" s="23"/>
      <c r="AT52" s="91">
        <v>1254</v>
      </c>
      <c r="AU52" s="91">
        <v>1254</v>
      </c>
      <c r="AV52" s="91">
        <v>1254</v>
      </c>
      <c r="AW52" s="91">
        <v>1254</v>
      </c>
      <c r="AX52" s="317">
        <v>1236</v>
      </c>
      <c r="AY52" s="317">
        <v>1236</v>
      </c>
      <c r="AZ52" s="317">
        <v>0</v>
      </c>
      <c r="BA52" s="317">
        <v>0</v>
      </c>
      <c r="BB52" s="317">
        <v>0</v>
      </c>
      <c r="BC52" s="317">
        <v>0</v>
      </c>
      <c r="BD52" s="317">
        <v>0</v>
      </c>
      <c r="BE52" s="317">
        <v>0</v>
      </c>
      <c r="BF52" s="91">
        <f t="shared" si="77"/>
        <v>7488</v>
      </c>
      <c r="BG52" s="93">
        <f t="shared" si="78"/>
        <v>-0.44541549400088876</v>
      </c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>
        <v>16899</v>
      </c>
      <c r="BU52" s="54"/>
      <c r="BV52" s="91">
        <v>2552.85</v>
      </c>
      <c r="BW52" s="91">
        <v>1973.4599999999998</v>
      </c>
      <c r="BX52" s="91">
        <f>'META  EM PEÇAS'!U34-('META  EM PEÇAS'!U34*0.05)</f>
        <v>2218.4684999999999</v>
      </c>
      <c r="BY52" s="91">
        <f>'META  EM PEÇAS'!V34-('META  EM PEÇAS'!V34*0.05)</f>
        <v>2056.788</v>
      </c>
      <c r="BZ52" s="91">
        <f>'META  EM PEÇAS'!W34-('META  EM PEÇAS'!W34*0.05)</f>
        <v>2307.7019999999998</v>
      </c>
      <c r="CA52" s="91">
        <f>'META  EM PEÇAS'!X34-('META  EM PEÇAS'!X34*0.05)</f>
        <v>2778.6075000000001</v>
      </c>
      <c r="CB52" s="91">
        <f>'META  EM PEÇAS'!Y34-('META  EM PEÇAS'!Y34*0.05)</f>
        <v>3342.2804999999998</v>
      </c>
      <c r="CC52" s="91">
        <f>'META  EM PEÇAS'!Z34-('META  EM PEÇAS'!Z34*0.05)</f>
        <v>2234.3714999999997</v>
      </c>
      <c r="CD52" s="91">
        <f>'META  EM PEÇAS'!AA34-('META  EM PEÇAS'!AA34*0.05)</f>
        <v>2317.4204999999997</v>
      </c>
      <c r="CE52" s="91">
        <f>'META  EM PEÇAS'!AB34-('META  EM PEÇAS'!AB34*0.05)</f>
        <v>2514.4409999999998</v>
      </c>
      <c r="CF52" s="91">
        <f>'META  EM PEÇAS'!AC34-('META  EM PEÇAS'!AC34*0.05)</f>
        <v>3221.241</v>
      </c>
      <c r="CG52" s="91">
        <f>'META  EM PEÇAS'!AD34-('META  EM PEÇAS'!AD34*0.05)</f>
        <v>4539.4229999999989</v>
      </c>
      <c r="CH52" s="91">
        <f t="shared" si="79"/>
        <v>32057.053499999998</v>
      </c>
      <c r="CJ52" s="91">
        <v>2552.85</v>
      </c>
      <c r="CK52" s="91">
        <v>1973.4599999999998</v>
      </c>
      <c r="CL52" s="91">
        <v>2218.4684999999999</v>
      </c>
      <c r="CM52" s="91">
        <v>2056.788</v>
      </c>
      <c r="CN52" s="91">
        <v>2307.7019999999998</v>
      </c>
      <c r="CO52" s="91">
        <v>2778.6075000000001</v>
      </c>
      <c r="CP52" s="91">
        <v>3342.2804999999998</v>
      </c>
      <c r="CQ52" s="91">
        <v>2234.3714999999997</v>
      </c>
      <c r="CR52" s="91">
        <v>2317.4204999999997</v>
      </c>
      <c r="CS52" s="91">
        <v>2514.4409999999998</v>
      </c>
      <c r="CT52" s="91">
        <v>3221.241</v>
      </c>
      <c r="CU52" s="91">
        <v>4539.4229999999989</v>
      </c>
      <c r="CV52" s="91">
        <v>32057.053499999998</v>
      </c>
      <c r="CW52" s="758"/>
      <c r="CX52" s="884">
        <v>2552.85</v>
      </c>
      <c r="CY52" s="884">
        <v>1973.4599999999998</v>
      </c>
      <c r="CZ52" s="884">
        <v>2218.4684999999999</v>
      </c>
      <c r="DA52" s="884">
        <v>2056.788</v>
      </c>
      <c r="DB52" s="884">
        <v>2307.7019999999998</v>
      </c>
      <c r="DC52" s="884">
        <v>2778.6075000000001</v>
      </c>
      <c r="DD52" s="884">
        <v>3342.2804999999998</v>
      </c>
      <c r="DE52" s="884">
        <v>2234.3714999999997</v>
      </c>
      <c r="DF52" s="884">
        <v>2317.4204999999997</v>
      </c>
      <c r="DG52" s="884">
        <v>2514.4409999999998</v>
      </c>
      <c r="DH52" s="884">
        <v>3221.241</v>
      </c>
      <c r="DI52" s="884">
        <v>4539.4229999999989</v>
      </c>
      <c r="DJ52" s="91">
        <v>32057.053499999998</v>
      </c>
      <c r="DK52" s="948"/>
      <c r="DL52" s="884">
        <v>2552.85</v>
      </c>
      <c r="DM52" s="884">
        <v>1973.4599999999998</v>
      </c>
      <c r="DN52" s="884">
        <v>2218.4684999999999</v>
      </c>
      <c r="DO52" s="884">
        <v>2056.788</v>
      </c>
      <c r="DP52" s="884">
        <v>2307.7019999999998</v>
      </c>
      <c r="DQ52" s="884">
        <v>2778.6075000000001</v>
      </c>
      <c r="DR52" s="884">
        <v>3342.2804999999998</v>
      </c>
      <c r="DS52" s="884">
        <v>2234.3714999999997</v>
      </c>
      <c r="DT52" s="884">
        <v>2317.4204999999997</v>
      </c>
      <c r="DU52" s="884">
        <v>2514.4409999999998</v>
      </c>
      <c r="DV52" s="884">
        <v>3221.241</v>
      </c>
      <c r="DW52" s="884">
        <v>4539.4229999999989</v>
      </c>
      <c r="DX52" s="91">
        <v>32057.053499999998</v>
      </c>
    </row>
    <row r="53" spans="1:128" ht="15" hidden="1" customHeight="1" outlineLevel="1">
      <c r="A53" s="94">
        <v>13</v>
      </c>
      <c r="B53" s="921" t="s">
        <v>68</v>
      </c>
      <c r="C53" s="923"/>
      <c r="D53" s="313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314">
        <f t="shared" si="74"/>
        <v>0</v>
      </c>
      <c r="Q53" s="90"/>
      <c r="R53" s="313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2000</v>
      </c>
      <c r="Y53" s="91">
        <v>800</v>
      </c>
      <c r="Z53" s="91">
        <v>800</v>
      </c>
      <c r="AA53" s="91">
        <v>1200</v>
      </c>
      <c r="AB53" s="91">
        <v>1800</v>
      </c>
      <c r="AC53" s="91">
        <v>2300</v>
      </c>
      <c r="AD53" s="315">
        <f t="shared" si="75"/>
        <v>8900</v>
      </c>
      <c r="AE53" s="23"/>
      <c r="AF53" s="316">
        <v>1800</v>
      </c>
      <c r="AG53" s="91">
        <v>1200</v>
      </c>
      <c r="AH53" s="91">
        <f>1800*0.15</f>
        <v>270</v>
      </c>
      <c r="AI53" s="91">
        <v>896</v>
      </c>
      <c r="AJ53" s="91">
        <v>1339</v>
      </c>
      <c r="AK53" s="91">
        <v>1600</v>
      </c>
      <c r="AL53" s="91">
        <v>1800</v>
      </c>
      <c r="AM53" s="91">
        <v>2000</v>
      </c>
      <c r="AN53" s="91">
        <v>2000</v>
      </c>
      <c r="AO53" s="91">
        <v>2000</v>
      </c>
      <c r="AP53" s="91">
        <v>2200</v>
      </c>
      <c r="AQ53" s="91">
        <v>3200</v>
      </c>
      <c r="AR53" s="92">
        <f t="shared" si="76"/>
        <v>20305</v>
      </c>
      <c r="AS53" s="23"/>
      <c r="AT53" s="91">
        <v>1980</v>
      </c>
      <c r="AU53" s="91">
        <v>1980</v>
      </c>
      <c r="AV53" s="91">
        <v>1980</v>
      </c>
      <c r="AW53" s="91">
        <v>1980</v>
      </c>
      <c r="AX53" s="317">
        <v>1409</v>
      </c>
      <c r="AY53" s="317">
        <v>1409</v>
      </c>
      <c r="AZ53" s="317">
        <v>1345</v>
      </c>
      <c r="BA53" s="317">
        <v>1345</v>
      </c>
      <c r="BB53" s="317">
        <v>1409</v>
      </c>
      <c r="BC53" s="317">
        <v>1665</v>
      </c>
      <c r="BD53" s="317">
        <v>1793</v>
      </c>
      <c r="BE53" s="317">
        <v>2562</v>
      </c>
      <c r="BF53" s="91">
        <f t="shared" si="77"/>
        <v>20857</v>
      </c>
      <c r="BG53" s="93">
        <f t="shared" si="78"/>
        <v>2.7185422309775831E-2</v>
      </c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>
        <v>11555</v>
      </c>
      <c r="BU53" s="54"/>
      <c r="BV53" s="91">
        <v>1903.7099999999998</v>
      </c>
      <c r="BW53" s="91">
        <v>1471.26</v>
      </c>
      <c r="BX53" s="91">
        <f>'META  EM PEÇAS'!U35-('META  EM PEÇAS'!U35*0.05)</f>
        <v>1654.7954999999999</v>
      </c>
      <c r="BY53" s="91">
        <f>'META  EM PEÇAS'!V35-('META  EM PEÇAS'!V35*0.05)</f>
        <v>1533.7559999999999</v>
      </c>
      <c r="BZ53" s="91">
        <f>'META  EM PEÇAS'!W35-('META  EM PEÇAS'!W35*0.05)</f>
        <v>1721.058</v>
      </c>
      <c r="CA53" s="91">
        <f>'META  EM PEÇAS'!X35-('META  EM PEÇAS'!X35*0.05)</f>
        <v>2071.8074999999999</v>
      </c>
      <c r="CB53" s="91">
        <f>'META  EM PEÇAS'!Y35-('META  EM PEÇAS'!Y35*0.05)</f>
        <v>2492.3534999999997</v>
      </c>
      <c r="CC53" s="91">
        <f>'META  EM PEÇAS'!Z35-('META  EM PEÇAS'!Z35*0.05)</f>
        <v>1666.2809999999997</v>
      </c>
      <c r="CD53" s="91">
        <f>'META  EM PEÇAS'!AA35-('META  EM PEÇAS'!AA35*0.05)</f>
        <v>1728.126</v>
      </c>
      <c r="CE53" s="91">
        <f>'META  EM PEÇAS'!AB35-('META  EM PEÇAS'!AB35*0.05)</f>
        <v>1874.7869999999998</v>
      </c>
      <c r="CF53" s="91">
        <f>'META  EM PEÇAS'!AC35-('META  EM PEÇAS'!AC35*0.05)</f>
        <v>2402.2364999999995</v>
      </c>
      <c r="CG53" s="91">
        <f>'META  EM PEÇAS'!AD35-('META  EM PEÇAS'!AD35*0.05)</f>
        <v>3384.6884999999997</v>
      </c>
      <c r="CH53" s="91">
        <f t="shared" si="79"/>
        <v>23904.859499999995</v>
      </c>
      <c r="CJ53" s="91">
        <v>1903.7099999999998</v>
      </c>
      <c r="CK53" s="91">
        <v>1471.26</v>
      </c>
      <c r="CL53" s="91">
        <v>1654.7954999999999</v>
      </c>
      <c r="CM53" s="91">
        <v>1533.7559999999999</v>
      </c>
      <c r="CN53" s="91">
        <v>1721.058</v>
      </c>
      <c r="CO53" s="91">
        <v>2071.8074999999999</v>
      </c>
      <c r="CP53" s="91">
        <v>2492.3534999999997</v>
      </c>
      <c r="CQ53" s="91">
        <v>1666.2809999999997</v>
      </c>
      <c r="CR53" s="91">
        <v>1728.126</v>
      </c>
      <c r="CS53" s="91">
        <v>1874.7869999999998</v>
      </c>
      <c r="CT53" s="91">
        <v>2402.2364999999995</v>
      </c>
      <c r="CU53" s="91">
        <v>3384.6884999999997</v>
      </c>
      <c r="CV53" s="91">
        <v>23904.859499999995</v>
      </c>
      <c r="CW53" s="758"/>
      <c r="CX53" s="884">
        <v>1903.7099999999998</v>
      </c>
      <c r="CY53" s="884">
        <v>1471.26</v>
      </c>
      <c r="CZ53" s="884">
        <v>1654.7954999999999</v>
      </c>
      <c r="DA53" s="884">
        <v>1533.7559999999999</v>
      </c>
      <c r="DB53" s="884">
        <v>1721.058</v>
      </c>
      <c r="DC53" s="884">
        <v>2071.8074999999999</v>
      </c>
      <c r="DD53" s="884">
        <v>2492.3534999999997</v>
      </c>
      <c r="DE53" s="884">
        <v>1666.2809999999997</v>
      </c>
      <c r="DF53" s="884">
        <v>1728.126</v>
      </c>
      <c r="DG53" s="884">
        <v>1874.7869999999998</v>
      </c>
      <c r="DH53" s="884">
        <v>2402.2364999999995</v>
      </c>
      <c r="DI53" s="884">
        <v>3384.6884999999997</v>
      </c>
      <c r="DJ53" s="91">
        <v>23904.859499999995</v>
      </c>
      <c r="DK53" s="948"/>
      <c r="DL53" s="884">
        <v>1903.7099999999998</v>
      </c>
      <c r="DM53" s="884">
        <v>1471.26</v>
      </c>
      <c r="DN53" s="884">
        <v>1654.7954999999999</v>
      </c>
      <c r="DO53" s="884">
        <v>1533.7559999999999</v>
      </c>
      <c r="DP53" s="884">
        <v>1721.058</v>
      </c>
      <c r="DQ53" s="884">
        <v>2071.8074999999999</v>
      </c>
      <c r="DR53" s="884">
        <v>2492.3534999999997</v>
      </c>
      <c r="DS53" s="884">
        <v>1666.2809999999997</v>
      </c>
      <c r="DT53" s="884">
        <v>1728.126</v>
      </c>
      <c r="DU53" s="884">
        <v>1874.7869999999998</v>
      </c>
      <c r="DV53" s="884">
        <v>2402.2364999999995</v>
      </c>
      <c r="DW53" s="884">
        <v>3384.6884999999997</v>
      </c>
      <c r="DX53" s="91">
        <v>23904.859499999995</v>
      </c>
    </row>
    <row r="54" spans="1:128" ht="15" hidden="1" customHeight="1" outlineLevel="1">
      <c r="A54" s="94">
        <v>14</v>
      </c>
      <c r="B54" s="921" t="s">
        <v>69</v>
      </c>
      <c r="C54" s="923"/>
      <c r="D54" s="313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314"/>
      <c r="Q54" s="90"/>
      <c r="R54" s="313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2000</v>
      </c>
      <c r="Z54" s="91">
        <v>800</v>
      </c>
      <c r="AA54" s="91">
        <v>800</v>
      </c>
      <c r="AB54" s="91">
        <v>1200</v>
      </c>
      <c r="AC54" s="91">
        <v>1800</v>
      </c>
      <c r="AD54" s="315">
        <f t="shared" si="75"/>
        <v>6600</v>
      </c>
      <c r="AE54" s="23"/>
      <c r="AF54" s="316">
        <v>1500</v>
      </c>
      <c r="AG54" s="91">
        <v>1200</v>
      </c>
      <c r="AH54" s="91">
        <f>1500*0.15</f>
        <v>225</v>
      </c>
      <c r="AI54" s="91">
        <v>374</v>
      </c>
      <c r="AJ54" s="91">
        <v>990</v>
      </c>
      <c r="AK54" s="91">
        <v>960</v>
      </c>
      <c r="AL54" s="91">
        <v>1800</v>
      </c>
      <c r="AM54" s="91">
        <v>1200</v>
      </c>
      <c r="AN54" s="91">
        <v>1200</v>
      </c>
      <c r="AO54" s="91">
        <v>1200</v>
      </c>
      <c r="AP54" s="91">
        <v>1320</v>
      </c>
      <c r="AQ54" s="91">
        <v>1920</v>
      </c>
      <c r="AR54" s="92">
        <f t="shared" si="76"/>
        <v>13889</v>
      </c>
      <c r="AS54" s="23"/>
      <c r="AT54" s="91">
        <v>1518</v>
      </c>
      <c r="AU54" s="91">
        <v>1518</v>
      </c>
      <c r="AV54" s="91">
        <v>1518</v>
      </c>
      <c r="AW54" s="91">
        <v>1518</v>
      </c>
      <c r="AX54" s="317">
        <v>1276</v>
      </c>
      <c r="AY54" s="317">
        <v>1276</v>
      </c>
      <c r="AZ54" s="317">
        <v>1218</v>
      </c>
      <c r="BA54" s="317">
        <v>1218</v>
      </c>
      <c r="BB54" s="317">
        <v>1276</v>
      </c>
      <c r="BC54" s="317">
        <v>1508</v>
      </c>
      <c r="BD54" s="317">
        <v>1624</v>
      </c>
      <c r="BE54" s="317">
        <v>2320</v>
      </c>
      <c r="BF54" s="91">
        <f t="shared" si="77"/>
        <v>17788</v>
      </c>
      <c r="BG54" s="93">
        <f t="shared" si="78"/>
        <v>0.2807257541939665</v>
      </c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>
        <v>19018</v>
      </c>
      <c r="BU54" s="54"/>
      <c r="BV54" s="91">
        <v>2737.9199999999996</v>
      </c>
      <c r="BW54" s="91">
        <v>2116.6799999999998</v>
      </c>
      <c r="BX54" s="91">
        <f>'META  EM PEÇAS'!U36-('META  EM PEÇAS'!U36*0.05)</f>
        <v>2379.2655</v>
      </c>
      <c r="BY54" s="91">
        <f>'META  EM PEÇAS'!V36-('META  EM PEÇAS'!V36*0.05)</f>
        <v>2205.2159999999999</v>
      </c>
      <c r="BZ54" s="91">
        <f>'META  EM PEÇAS'!W36-('META  EM PEÇAS'!W36*0.05)</f>
        <v>2474.6834999999996</v>
      </c>
      <c r="CA54" s="91">
        <f>'META  EM PEÇAS'!X36-('META  EM PEÇAS'!X36*0.05)</f>
        <v>2980.0454999999997</v>
      </c>
      <c r="CB54" s="91">
        <f>'META  EM PEÇAS'!Y36-('META  EM PEÇAS'!Y36*0.05)</f>
        <v>3584.3594999999996</v>
      </c>
      <c r="CC54" s="91">
        <f>'META  EM PEÇAS'!Z36-('META  EM PEÇAS'!Z36*0.05)</f>
        <v>2396.0519999999997</v>
      </c>
      <c r="CD54" s="91">
        <f>'META  EM PEÇAS'!AA36-('META  EM PEÇAS'!AA36*0.05)</f>
        <v>2485.2854999999995</v>
      </c>
      <c r="CE54" s="91">
        <f>'META  EM PEÇAS'!AB36-('META  EM PEÇAS'!AB36*0.05)</f>
        <v>2696.4419999999996</v>
      </c>
      <c r="CF54" s="91">
        <f>'META  EM PEÇAS'!AC36-('META  EM PEÇAS'!AC36*0.05)</f>
        <v>3454.4849999999997</v>
      </c>
      <c r="CG54" s="91">
        <f>'META  EM PEÇAS'!AD36-('META  EM PEÇAS'!AD36*0.05)</f>
        <v>4868.0849999999991</v>
      </c>
      <c r="CH54" s="91">
        <f t="shared" si="79"/>
        <v>34378.519499999995</v>
      </c>
      <c r="CJ54" s="91">
        <v>2737.9199999999996</v>
      </c>
      <c r="CK54" s="91">
        <v>2116.6799999999998</v>
      </c>
      <c r="CL54" s="91">
        <v>2379.2655</v>
      </c>
      <c r="CM54" s="91">
        <v>2205.2159999999999</v>
      </c>
      <c r="CN54" s="91">
        <v>2474.6834999999996</v>
      </c>
      <c r="CO54" s="91">
        <v>2980.0454999999997</v>
      </c>
      <c r="CP54" s="91">
        <v>3584.3594999999996</v>
      </c>
      <c r="CQ54" s="91">
        <v>2396.0519999999997</v>
      </c>
      <c r="CR54" s="91">
        <v>2485.2854999999995</v>
      </c>
      <c r="CS54" s="91">
        <v>2696.4419999999996</v>
      </c>
      <c r="CT54" s="91">
        <v>3454.4849999999997</v>
      </c>
      <c r="CU54" s="91">
        <v>4868.0849999999991</v>
      </c>
      <c r="CV54" s="91">
        <v>34378.519499999995</v>
      </c>
      <c r="CW54" s="758"/>
      <c r="CX54" s="884">
        <v>2737.9199999999996</v>
      </c>
      <c r="CY54" s="884">
        <v>2116.6799999999998</v>
      </c>
      <c r="CZ54" s="884">
        <v>2379.2655</v>
      </c>
      <c r="DA54" s="884">
        <v>2205.2159999999999</v>
      </c>
      <c r="DB54" s="884">
        <v>2474.6834999999996</v>
      </c>
      <c r="DC54" s="884">
        <v>2980.0454999999997</v>
      </c>
      <c r="DD54" s="884">
        <v>3584.3594999999996</v>
      </c>
      <c r="DE54" s="884">
        <v>2396.0519999999997</v>
      </c>
      <c r="DF54" s="884">
        <v>2485.2854999999995</v>
      </c>
      <c r="DG54" s="884">
        <v>2696.4419999999996</v>
      </c>
      <c r="DH54" s="884">
        <v>3454.4849999999997</v>
      </c>
      <c r="DI54" s="884">
        <v>4868.0849999999991</v>
      </c>
      <c r="DJ54" s="91">
        <v>34378.519499999995</v>
      </c>
      <c r="DK54" s="948"/>
      <c r="DL54" s="884">
        <v>2737.9199999999996</v>
      </c>
      <c r="DM54" s="884">
        <v>2116.6799999999998</v>
      </c>
      <c r="DN54" s="884">
        <v>2379.2655</v>
      </c>
      <c r="DO54" s="884">
        <v>2205.2159999999999</v>
      </c>
      <c r="DP54" s="884">
        <v>2474.6834999999996</v>
      </c>
      <c r="DQ54" s="884">
        <v>2980.0454999999997</v>
      </c>
      <c r="DR54" s="884">
        <v>3584.3594999999996</v>
      </c>
      <c r="DS54" s="884">
        <v>2396.0519999999997</v>
      </c>
      <c r="DT54" s="884">
        <v>2485.2854999999995</v>
      </c>
      <c r="DU54" s="884">
        <v>2696.4419999999996</v>
      </c>
      <c r="DV54" s="884">
        <v>3454.4849999999997</v>
      </c>
      <c r="DW54" s="884">
        <v>4868.0849999999991</v>
      </c>
      <c r="DX54" s="91">
        <v>34378.519499999995</v>
      </c>
    </row>
    <row r="55" spans="1:128" ht="15" hidden="1" customHeight="1" outlineLevel="1">
      <c r="A55" s="94">
        <v>15</v>
      </c>
      <c r="B55" s="921" t="s">
        <v>70</v>
      </c>
      <c r="C55" s="923"/>
      <c r="D55" s="313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314"/>
      <c r="Q55" s="90"/>
      <c r="R55" s="313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  <c r="Z55" s="91">
        <v>2000</v>
      </c>
      <c r="AA55" s="91">
        <v>800</v>
      </c>
      <c r="AB55" s="91">
        <v>800</v>
      </c>
      <c r="AC55" s="91">
        <v>1500</v>
      </c>
      <c r="AD55" s="315">
        <f t="shared" si="75"/>
        <v>5100</v>
      </c>
      <c r="AE55" s="23"/>
      <c r="AF55" s="316">
        <v>1800</v>
      </c>
      <c r="AG55" s="91">
        <v>1200</v>
      </c>
      <c r="AH55" s="91">
        <f>1800*0.4</f>
        <v>720</v>
      </c>
      <c r="AI55" s="91">
        <v>1147</v>
      </c>
      <c r="AJ55" s="91">
        <v>1155</v>
      </c>
      <c r="AK55" s="91">
        <v>1600</v>
      </c>
      <c r="AL55" s="91">
        <v>1800</v>
      </c>
      <c r="AM55" s="91">
        <v>2000</v>
      </c>
      <c r="AN55" s="91">
        <v>2000</v>
      </c>
      <c r="AO55" s="91">
        <v>2000</v>
      </c>
      <c r="AP55" s="91">
        <v>2200</v>
      </c>
      <c r="AQ55" s="91">
        <v>3200</v>
      </c>
      <c r="AR55" s="92">
        <f t="shared" si="76"/>
        <v>20822</v>
      </c>
      <c r="AS55" s="23"/>
      <c r="AT55" s="91">
        <v>1544</v>
      </c>
      <c r="AU55" s="91">
        <v>1544</v>
      </c>
      <c r="AV55" s="91">
        <v>1544</v>
      </c>
      <c r="AW55" s="91">
        <v>1544</v>
      </c>
      <c r="AX55" s="317">
        <v>862</v>
      </c>
      <c r="AY55" s="317">
        <v>862</v>
      </c>
      <c r="AZ55" s="317">
        <v>823</v>
      </c>
      <c r="BA55" s="317">
        <v>823</v>
      </c>
      <c r="BB55" s="317">
        <v>862</v>
      </c>
      <c r="BC55" s="317">
        <v>1019</v>
      </c>
      <c r="BD55" s="317">
        <v>1098</v>
      </c>
      <c r="BE55" s="317">
        <v>1568</v>
      </c>
      <c r="BF55" s="91">
        <f t="shared" si="77"/>
        <v>14093</v>
      </c>
      <c r="BG55" s="93">
        <f t="shared" si="78"/>
        <v>-0.32316780328498707</v>
      </c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>
        <v>21133</v>
      </c>
      <c r="BU55" s="54"/>
      <c r="BV55" s="91">
        <v>3593.52</v>
      </c>
      <c r="BW55" s="91">
        <v>2776.98</v>
      </c>
      <c r="BX55" s="91">
        <f>'META  EM PEÇAS'!U38-('META  EM PEÇAS'!U38*0.05)</f>
        <v>3122.2889999999998</v>
      </c>
      <c r="BY55" s="91">
        <f>'META  EM PEÇAS'!V38-('META  EM PEÇAS'!V38*0.05)</f>
        <v>2893.4625000000001</v>
      </c>
      <c r="BZ55" s="91">
        <f>'META  EM PEÇAS'!W38-('META  EM PEÇAS'!W38*0.05)</f>
        <v>3247.7459999999996</v>
      </c>
      <c r="CA55" s="91">
        <f>'META  EM PEÇAS'!X38-('META  EM PEÇAS'!X38*0.05)</f>
        <v>3910.3709999999992</v>
      </c>
      <c r="CB55" s="91">
        <f>'META  EM PEÇAS'!Y38-('META  EM PEÇAS'!Y38*0.05)</f>
        <v>4703.7539999999999</v>
      </c>
      <c r="CC55" s="91">
        <f>'META  EM PEÇAS'!Z38-('META  EM PEÇAS'!Z38*0.05)</f>
        <v>3144.3764999999999</v>
      </c>
      <c r="CD55" s="91">
        <f>'META  EM PEÇAS'!AA38-('META  EM PEÇAS'!AA38*0.05)</f>
        <v>3260.9984999999997</v>
      </c>
      <c r="CE55" s="91">
        <f>'META  EM PEÇAS'!AB38-('META  EM PEÇAS'!AB38*0.05)</f>
        <v>3539.3009999999999</v>
      </c>
      <c r="CF55" s="91">
        <f>'META  EM PEÇAS'!AC38-('META  EM PEÇAS'!AC38*0.05)</f>
        <v>4533.2384999999995</v>
      </c>
      <c r="CG55" s="91">
        <f>'META  EM PEÇAS'!AD38-('META  EM PEÇAS'!AD38*0.05)</f>
        <v>6387.7049999999999</v>
      </c>
      <c r="CH55" s="91">
        <f t="shared" si="79"/>
        <v>45113.741999999998</v>
      </c>
      <c r="CJ55" s="91">
        <v>3593.52</v>
      </c>
      <c r="CK55" s="91">
        <v>2776.98</v>
      </c>
      <c r="CL55" s="91">
        <v>3122.2889999999998</v>
      </c>
      <c r="CM55" s="91">
        <v>2893.4625000000001</v>
      </c>
      <c r="CN55" s="91">
        <v>3247.7459999999996</v>
      </c>
      <c r="CO55" s="91">
        <v>3910.3709999999992</v>
      </c>
      <c r="CP55" s="91">
        <v>4703.7539999999999</v>
      </c>
      <c r="CQ55" s="91">
        <v>3144.3764999999999</v>
      </c>
      <c r="CR55" s="91">
        <v>3260.9984999999997</v>
      </c>
      <c r="CS55" s="91">
        <v>3539.3009999999999</v>
      </c>
      <c r="CT55" s="91">
        <v>4533.2384999999995</v>
      </c>
      <c r="CU55" s="91">
        <v>6387.7049999999999</v>
      </c>
      <c r="CV55" s="91">
        <v>45113.741999999998</v>
      </c>
      <c r="CW55" s="758"/>
      <c r="CX55" s="884">
        <v>3593.52</v>
      </c>
      <c r="CY55" s="884">
        <v>2776.98</v>
      </c>
      <c r="CZ55" s="884">
        <v>3122.2889999999998</v>
      </c>
      <c r="DA55" s="884">
        <v>2893.4625000000001</v>
      </c>
      <c r="DB55" s="884">
        <v>3247.7459999999996</v>
      </c>
      <c r="DC55" s="884">
        <v>3910.3709999999992</v>
      </c>
      <c r="DD55" s="884">
        <v>4703.7539999999999</v>
      </c>
      <c r="DE55" s="884">
        <v>3144.3764999999999</v>
      </c>
      <c r="DF55" s="884">
        <v>3260.9984999999997</v>
      </c>
      <c r="DG55" s="884">
        <v>3539.3009999999999</v>
      </c>
      <c r="DH55" s="884">
        <v>4533.2384999999995</v>
      </c>
      <c r="DI55" s="884">
        <v>6387.7049999999999</v>
      </c>
      <c r="DJ55" s="91">
        <v>45113.741999999998</v>
      </c>
      <c r="DK55" s="948"/>
      <c r="DL55" s="884">
        <v>3593.52</v>
      </c>
      <c r="DM55" s="884">
        <v>2776.98</v>
      </c>
      <c r="DN55" s="884">
        <v>3122.2889999999998</v>
      </c>
      <c r="DO55" s="884">
        <v>2893.4625000000001</v>
      </c>
      <c r="DP55" s="884">
        <v>3247.7459999999996</v>
      </c>
      <c r="DQ55" s="884">
        <v>3910.3709999999992</v>
      </c>
      <c r="DR55" s="884">
        <v>4703.7539999999999</v>
      </c>
      <c r="DS55" s="884">
        <v>3144.3764999999999</v>
      </c>
      <c r="DT55" s="884">
        <v>3260.9984999999997</v>
      </c>
      <c r="DU55" s="884">
        <v>3539.3009999999999</v>
      </c>
      <c r="DV55" s="884">
        <v>4533.2384999999995</v>
      </c>
      <c r="DW55" s="884">
        <v>6387.7049999999999</v>
      </c>
      <c r="DX55" s="91">
        <v>45113.741999999998</v>
      </c>
    </row>
    <row r="56" spans="1:128" ht="15" hidden="1" customHeight="1" outlineLevel="1">
      <c r="A56" s="94">
        <v>16</v>
      </c>
      <c r="B56" s="924" t="s">
        <v>71</v>
      </c>
      <c r="C56" s="923"/>
      <c r="D56" s="313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314"/>
      <c r="Q56" s="90"/>
      <c r="R56" s="313"/>
      <c r="S56" s="91"/>
      <c r="T56" s="91"/>
      <c r="U56" s="91"/>
      <c r="V56" s="91"/>
      <c r="W56" s="91"/>
      <c r="X56" s="91"/>
      <c r="Y56" s="91"/>
      <c r="Z56" s="91"/>
      <c r="AA56" s="91">
        <v>800</v>
      </c>
      <c r="AB56" s="91">
        <v>800</v>
      </c>
      <c r="AC56" s="91">
        <v>1500</v>
      </c>
      <c r="AD56" s="315"/>
      <c r="AE56" s="23"/>
      <c r="AF56" s="316">
        <v>1500</v>
      </c>
      <c r="AG56" s="91">
        <v>1200</v>
      </c>
      <c r="AH56" s="91">
        <f>1500*0.15</f>
        <v>225</v>
      </c>
      <c r="AI56" s="91">
        <v>192</v>
      </c>
      <c r="AJ56" s="91">
        <v>663</v>
      </c>
      <c r="AK56" s="91">
        <v>800</v>
      </c>
      <c r="AL56" s="91">
        <v>1500</v>
      </c>
      <c r="AM56" s="91">
        <v>1000</v>
      </c>
      <c r="AN56" s="91">
        <v>1000</v>
      </c>
      <c r="AO56" s="91">
        <v>1000</v>
      </c>
      <c r="AP56" s="91">
        <v>1100</v>
      </c>
      <c r="AQ56" s="91">
        <v>1600</v>
      </c>
      <c r="AR56" s="92">
        <f t="shared" si="76"/>
        <v>11780</v>
      </c>
      <c r="AS56" s="23"/>
      <c r="AT56" s="91">
        <v>960</v>
      </c>
      <c r="AU56" s="91">
        <v>960</v>
      </c>
      <c r="AV56" s="91">
        <v>960</v>
      </c>
      <c r="AW56" s="91">
        <v>960</v>
      </c>
      <c r="AX56" s="317">
        <v>1414</v>
      </c>
      <c r="AY56" s="317">
        <v>1414</v>
      </c>
      <c r="AZ56" s="317">
        <v>1350</v>
      </c>
      <c r="BA56" s="317">
        <v>1350</v>
      </c>
      <c r="BB56" s="317">
        <v>1414</v>
      </c>
      <c r="BC56" s="317">
        <v>1671</v>
      </c>
      <c r="BD56" s="317">
        <v>1800</v>
      </c>
      <c r="BE56" s="317">
        <v>2571</v>
      </c>
      <c r="BF56" s="91">
        <f t="shared" si="77"/>
        <v>16824</v>
      </c>
      <c r="BG56" s="93">
        <f t="shared" si="78"/>
        <v>0.42818336162988113</v>
      </c>
      <c r="BH56" s="91">
        <v>900</v>
      </c>
      <c r="BI56" s="91">
        <v>643</v>
      </c>
      <c r="BJ56" s="91">
        <v>891</v>
      </c>
      <c r="BK56" s="91">
        <v>679</v>
      </c>
      <c r="BL56" s="91">
        <v>940</v>
      </c>
      <c r="BM56" s="91">
        <v>948</v>
      </c>
      <c r="BN56" s="91">
        <v>1124</v>
      </c>
      <c r="BO56" s="91">
        <v>913</v>
      </c>
      <c r="BP56" s="91">
        <v>911</v>
      </c>
      <c r="BQ56" s="91">
        <v>898</v>
      </c>
      <c r="BR56" s="91">
        <v>1465</v>
      </c>
      <c r="BS56" s="91">
        <v>1278</v>
      </c>
      <c r="BT56" s="91">
        <f>SUM(BH56:BS56)</f>
        <v>11590</v>
      </c>
      <c r="BU56" s="54"/>
      <c r="BV56" s="91">
        <f>'META  EM PEÇAS'!T47</f>
        <v>1749.7324726431702</v>
      </c>
      <c r="BW56" s="91">
        <f>'META  EM PEÇAS'!T48</f>
        <v>1701.1287928475265</v>
      </c>
      <c r="BX56" s="91">
        <f>'META  EM PEÇAS'!T49</f>
        <v>1846.9398322344578</v>
      </c>
      <c r="BY56" s="91">
        <f>'META  EM PEÇAS'!T50</f>
        <v>1701.1287928475265</v>
      </c>
      <c r="BZ56" s="91">
        <f>'META  EM PEÇAS'!T51</f>
        <v>1846.9398322344578</v>
      </c>
      <c r="CA56" s="91">
        <f>'META  EM PEÇAS'!T52</f>
        <v>1749.7324726431702</v>
      </c>
      <c r="CB56" s="91">
        <f>'META  EM PEÇAS'!T53</f>
        <v>2138.5619110083194</v>
      </c>
      <c r="CC56" s="91">
        <f>'META  EM PEÇAS'!T54</f>
        <v>1749.7324726431702</v>
      </c>
      <c r="CD56" s="91">
        <f>'META  EM PEÇAS'!T55</f>
        <v>1749.7324726431702</v>
      </c>
      <c r="CE56" s="91">
        <f>'META  EM PEÇAS'!T56</f>
        <v>1749.7324726431702</v>
      </c>
      <c r="CF56" s="91">
        <f>'META  EM PEÇAS'!T57</f>
        <v>2721.8060685560426</v>
      </c>
      <c r="CG56" s="91">
        <f>'META  EM PEÇAS'!T58</f>
        <v>1944.1471918257448</v>
      </c>
      <c r="CH56" s="91">
        <f t="shared" si="79"/>
        <v>22649.314784769926</v>
      </c>
      <c r="CJ56" s="91">
        <v>1749.7324726431702</v>
      </c>
      <c r="CK56" s="91">
        <v>1701.1287928475265</v>
      </c>
      <c r="CL56" s="91">
        <v>1846.9398322344578</v>
      </c>
      <c r="CM56" s="91">
        <v>1701.1287928475265</v>
      </c>
      <c r="CN56" s="91">
        <v>1846.9398322344578</v>
      </c>
      <c r="CO56" s="91">
        <v>1749.7324726431702</v>
      </c>
      <c r="CP56" s="91">
        <v>2138.5619110083194</v>
      </c>
      <c r="CQ56" s="91">
        <v>1749.7324726431702</v>
      </c>
      <c r="CR56" s="91">
        <v>1749.7324726431702</v>
      </c>
      <c r="CS56" s="91">
        <v>1749.7324726431702</v>
      </c>
      <c r="CT56" s="91">
        <v>2721.8060685560426</v>
      </c>
      <c r="CU56" s="91">
        <v>1944.1471918257448</v>
      </c>
      <c r="CV56" s="91">
        <v>22649.314784769926</v>
      </c>
      <c r="CW56" s="758"/>
      <c r="CX56" s="884">
        <v>1749.7324726431702</v>
      </c>
      <c r="CY56" s="884">
        <v>1701.1287928475265</v>
      </c>
      <c r="CZ56" s="884">
        <v>1846.9398322344578</v>
      </c>
      <c r="DA56" s="884">
        <v>1701.1287928475265</v>
      </c>
      <c r="DB56" s="884">
        <v>1846.9398322344578</v>
      </c>
      <c r="DC56" s="884">
        <v>1749.7324726431702</v>
      </c>
      <c r="DD56" s="884">
        <v>2138.5619110083194</v>
      </c>
      <c r="DE56" s="884">
        <v>1749.7324726431702</v>
      </c>
      <c r="DF56" s="884">
        <v>1749.7324726431702</v>
      </c>
      <c r="DG56" s="884">
        <v>1749.7324726431702</v>
      </c>
      <c r="DH56" s="884">
        <v>2721.8060685560426</v>
      </c>
      <c r="DI56" s="884">
        <v>1944.1471918257448</v>
      </c>
      <c r="DJ56" s="91">
        <v>22649.314784769926</v>
      </c>
      <c r="DK56" s="948"/>
      <c r="DL56" s="884">
        <v>1749.7324726431702</v>
      </c>
      <c r="DM56" s="884">
        <v>1701.1287928475265</v>
      </c>
      <c r="DN56" s="884">
        <v>1846.9398322344578</v>
      </c>
      <c r="DO56" s="884">
        <v>1701.1287928475265</v>
      </c>
      <c r="DP56" s="884">
        <v>1846.9398322344578</v>
      </c>
      <c r="DQ56" s="884">
        <v>1749.7324726431702</v>
      </c>
      <c r="DR56" s="884">
        <v>2138.5619110083194</v>
      </c>
      <c r="DS56" s="884">
        <v>1749.7324726431702</v>
      </c>
      <c r="DT56" s="884">
        <v>1749.7324726431702</v>
      </c>
      <c r="DU56" s="884">
        <v>1749.7324726431702</v>
      </c>
      <c r="DV56" s="884">
        <v>2721.8060685560426</v>
      </c>
      <c r="DW56" s="884">
        <v>1944.1471918257448</v>
      </c>
      <c r="DX56" s="91">
        <v>22649.314784769926</v>
      </c>
    </row>
    <row r="57" spans="1:128" ht="15" hidden="1" customHeight="1" outlineLevel="1">
      <c r="A57" s="94"/>
      <c r="B57" s="921"/>
      <c r="C57" s="925"/>
      <c r="D57" s="313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314"/>
      <c r="Q57" s="90"/>
      <c r="R57" s="313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315"/>
      <c r="AE57" s="23"/>
      <c r="AF57" s="316">
        <v>0</v>
      </c>
      <c r="AG57" s="91">
        <v>0</v>
      </c>
      <c r="AH57" s="91">
        <v>0</v>
      </c>
      <c r="AI57" s="91">
        <v>0</v>
      </c>
      <c r="AJ57" s="91">
        <v>0</v>
      </c>
      <c r="AK57" s="91">
        <v>400</v>
      </c>
      <c r="AL57" s="91">
        <v>500</v>
      </c>
      <c r="AM57" s="91">
        <v>500</v>
      </c>
      <c r="AN57" s="91">
        <v>600</v>
      </c>
      <c r="AO57" s="91">
        <v>600</v>
      </c>
      <c r="AP57" s="91">
        <v>660</v>
      </c>
      <c r="AQ57" s="91">
        <v>960</v>
      </c>
      <c r="AR57" s="92">
        <f t="shared" si="76"/>
        <v>4220</v>
      </c>
      <c r="AS57" s="23"/>
      <c r="AT57" s="91">
        <v>960</v>
      </c>
      <c r="AU57" s="91">
        <v>960</v>
      </c>
      <c r="AV57" s="91">
        <v>960</v>
      </c>
      <c r="AW57" s="91">
        <v>960</v>
      </c>
      <c r="AX57" s="317">
        <v>580</v>
      </c>
      <c r="AY57" s="317">
        <v>580</v>
      </c>
      <c r="AZ57" s="317">
        <v>554</v>
      </c>
      <c r="BA57" s="317">
        <v>554</v>
      </c>
      <c r="BB57" s="317">
        <v>580</v>
      </c>
      <c r="BC57" s="317">
        <v>686</v>
      </c>
      <c r="BD57" s="317">
        <v>739</v>
      </c>
      <c r="BE57" s="317">
        <v>1055</v>
      </c>
      <c r="BF57" s="91">
        <f t="shared" si="77"/>
        <v>9168</v>
      </c>
      <c r="BG57" s="93">
        <f t="shared" si="78"/>
        <v>1.172511848341232</v>
      </c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54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758"/>
      <c r="CX57" s="884"/>
      <c r="CY57" s="884"/>
      <c r="CZ57" s="884"/>
      <c r="DA57" s="884"/>
      <c r="DB57" s="884"/>
      <c r="DC57" s="884"/>
      <c r="DD57" s="884"/>
      <c r="DE57" s="884"/>
      <c r="DF57" s="884"/>
      <c r="DG57" s="884"/>
      <c r="DH57" s="884"/>
      <c r="DI57" s="884"/>
      <c r="DJ57" s="91"/>
      <c r="DK57" s="948"/>
      <c r="DL57" s="884"/>
      <c r="DM57" s="884"/>
      <c r="DN57" s="884"/>
      <c r="DO57" s="884"/>
      <c r="DP57" s="884"/>
      <c r="DQ57" s="884"/>
      <c r="DR57" s="884"/>
      <c r="DS57" s="884"/>
      <c r="DT57" s="884"/>
      <c r="DU57" s="884"/>
      <c r="DV57" s="884"/>
      <c r="DW57" s="884"/>
      <c r="DX57" s="91"/>
    </row>
    <row r="58" spans="1:128" ht="15" hidden="1" customHeight="1" outlineLevel="1">
      <c r="A58" s="95"/>
      <c r="B58" s="924"/>
      <c r="C58" s="926"/>
      <c r="D58" s="421"/>
      <c r="E58" s="422"/>
      <c r="F58" s="422"/>
      <c r="G58" s="422"/>
      <c r="H58" s="422"/>
      <c r="I58" s="422"/>
      <c r="J58" s="422"/>
      <c r="K58" s="422"/>
      <c r="L58" s="422"/>
      <c r="M58" s="422"/>
      <c r="N58" s="422"/>
      <c r="O58" s="422"/>
      <c r="P58" s="423"/>
      <c r="Q58" s="424"/>
      <c r="R58" s="421"/>
      <c r="S58" s="425"/>
      <c r="T58" s="425"/>
      <c r="U58" s="425"/>
      <c r="V58" s="425"/>
      <c r="W58" s="425"/>
      <c r="X58" s="425"/>
      <c r="Y58" s="425"/>
      <c r="Z58" s="425"/>
      <c r="AA58" s="425"/>
      <c r="AB58" s="425"/>
      <c r="AC58" s="425"/>
      <c r="AD58" s="426"/>
      <c r="AE58" s="427"/>
      <c r="AF58" s="428">
        <v>0</v>
      </c>
      <c r="AG58" s="425">
        <v>0</v>
      </c>
      <c r="AH58" s="425">
        <v>0</v>
      </c>
      <c r="AI58" s="425">
        <v>0</v>
      </c>
      <c r="AJ58" s="425">
        <v>0</v>
      </c>
      <c r="AK58" s="425">
        <v>0</v>
      </c>
      <c r="AL58" s="425">
        <v>2500</v>
      </c>
      <c r="AM58" s="425">
        <v>2000</v>
      </c>
      <c r="AN58" s="425">
        <v>500</v>
      </c>
      <c r="AO58" s="425">
        <v>600</v>
      </c>
      <c r="AP58" s="425">
        <v>660</v>
      </c>
      <c r="AQ58" s="425">
        <v>960</v>
      </c>
      <c r="AR58" s="429">
        <f t="shared" si="76"/>
        <v>7220</v>
      </c>
      <c r="AS58" s="23"/>
      <c r="AT58" s="425">
        <v>1518</v>
      </c>
      <c r="AU58" s="425">
        <v>1518</v>
      </c>
      <c r="AV58" s="425">
        <v>1518</v>
      </c>
      <c r="AW58" s="425">
        <v>1518</v>
      </c>
      <c r="AX58" s="317">
        <v>1943</v>
      </c>
      <c r="AY58" s="317">
        <v>1943</v>
      </c>
      <c r="AZ58" s="317">
        <v>1854</v>
      </c>
      <c r="BA58" s="317">
        <v>1854</v>
      </c>
      <c r="BB58" s="317">
        <v>1943</v>
      </c>
      <c r="BC58" s="317">
        <v>2296</v>
      </c>
      <c r="BD58" s="317">
        <v>2472</v>
      </c>
      <c r="BE58" s="317">
        <v>3532</v>
      </c>
      <c r="BF58" s="425">
        <f t="shared" si="77"/>
        <v>23909</v>
      </c>
      <c r="BG58" s="93">
        <f t="shared" si="78"/>
        <v>2.3114958448753464</v>
      </c>
      <c r="BH58" s="425"/>
      <c r="BI58" s="425"/>
      <c r="BJ58" s="425"/>
      <c r="BK58" s="425"/>
      <c r="BL58" s="91"/>
      <c r="BM58" s="91"/>
      <c r="BN58" s="91"/>
      <c r="BO58" s="91"/>
      <c r="BP58" s="91"/>
      <c r="BQ58" s="91"/>
      <c r="BR58" s="91"/>
      <c r="BS58" s="91"/>
      <c r="BT58" s="91"/>
      <c r="BU58" s="54"/>
      <c r="BV58" s="425"/>
      <c r="BW58" s="425"/>
      <c r="BX58" s="425"/>
      <c r="BY58" s="425"/>
      <c r="BZ58" s="91"/>
      <c r="CA58" s="91"/>
      <c r="CB58" s="91"/>
      <c r="CC58" s="91"/>
      <c r="CD58" s="91"/>
      <c r="CE58" s="91"/>
      <c r="CF58" s="91"/>
      <c r="CG58" s="91"/>
      <c r="CH58" s="91"/>
      <c r="CJ58" s="425"/>
      <c r="CK58" s="425"/>
      <c r="CL58" s="425"/>
      <c r="CM58" s="425"/>
      <c r="CN58" s="91"/>
      <c r="CO58" s="91"/>
      <c r="CP58" s="91"/>
      <c r="CQ58" s="91"/>
      <c r="CR58" s="91"/>
      <c r="CS58" s="91"/>
      <c r="CT58" s="91"/>
      <c r="CU58" s="91"/>
      <c r="CV58" s="91"/>
      <c r="CW58" s="758"/>
      <c r="CX58" s="885"/>
      <c r="CY58" s="885"/>
      <c r="CZ58" s="885"/>
      <c r="DA58" s="885"/>
      <c r="DB58" s="884"/>
      <c r="DC58" s="884"/>
      <c r="DD58" s="884"/>
      <c r="DE58" s="884"/>
      <c r="DF58" s="884"/>
      <c r="DG58" s="884"/>
      <c r="DH58" s="884"/>
      <c r="DI58" s="884"/>
      <c r="DJ58" s="91"/>
      <c r="DK58" s="948"/>
      <c r="DL58" s="885"/>
      <c r="DM58" s="885"/>
      <c r="DN58" s="885"/>
      <c r="DO58" s="885"/>
      <c r="DP58" s="884"/>
      <c r="DQ58" s="884"/>
      <c r="DR58" s="884"/>
      <c r="DS58" s="884"/>
      <c r="DT58" s="884"/>
      <c r="DU58" s="884"/>
      <c r="DV58" s="884"/>
      <c r="DW58" s="884"/>
      <c r="DX58" s="91"/>
    </row>
    <row r="59" spans="1:128" ht="15" hidden="1" customHeight="1" outlineLevel="1">
      <c r="A59" s="434"/>
      <c r="B59" s="1075"/>
      <c r="C59" s="1076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6"/>
      <c r="AF59" s="437">
        <v>0</v>
      </c>
      <c r="AG59" s="437">
        <v>0</v>
      </c>
      <c r="AH59" s="437">
        <v>0</v>
      </c>
      <c r="AI59" s="437">
        <v>0</v>
      </c>
      <c r="AJ59" s="437">
        <v>0</v>
      </c>
      <c r="AK59" s="437">
        <v>0</v>
      </c>
      <c r="AL59" s="437">
        <v>0</v>
      </c>
      <c r="AM59" s="437">
        <v>0</v>
      </c>
      <c r="AN59" s="437">
        <v>0</v>
      </c>
      <c r="AO59" s="437">
        <v>0</v>
      </c>
      <c r="AP59" s="437">
        <v>0</v>
      </c>
      <c r="AQ59" s="437">
        <v>0</v>
      </c>
      <c r="AR59" s="438">
        <f t="shared" si="76"/>
        <v>0</v>
      </c>
      <c r="AS59" s="322"/>
      <c r="AT59" s="437">
        <v>0</v>
      </c>
      <c r="AU59" s="437">
        <v>0</v>
      </c>
      <c r="AV59" s="437">
        <v>0</v>
      </c>
      <c r="AW59" s="437">
        <v>0</v>
      </c>
      <c r="AX59" s="439">
        <v>800</v>
      </c>
      <c r="AY59" s="317">
        <v>800</v>
      </c>
      <c r="AZ59" s="317">
        <v>800</v>
      </c>
      <c r="BA59" s="317">
        <v>1050</v>
      </c>
      <c r="BB59" s="317">
        <v>1100</v>
      </c>
      <c r="BC59" s="317">
        <v>1300</v>
      </c>
      <c r="BD59" s="317">
        <v>1400</v>
      </c>
      <c r="BE59" s="440">
        <v>2000</v>
      </c>
      <c r="BF59" s="437">
        <f t="shared" si="77"/>
        <v>9250</v>
      </c>
      <c r="BG59" s="325" t="e">
        <f t="shared" si="78"/>
        <v>#DIV/0!</v>
      </c>
      <c r="BH59" s="437"/>
      <c r="BI59" s="437"/>
      <c r="BJ59" s="437"/>
      <c r="BK59" s="437"/>
      <c r="BL59" s="439"/>
      <c r="BM59" s="317"/>
      <c r="BN59" s="317"/>
      <c r="BO59" s="317"/>
      <c r="BP59" s="317"/>
      <c r="BQ59" s="317"/>
      <c r="BR59" s="317"/>
      <c r="BS59" s="317"/>
      <c r="BT59" s="317"/>
      <c r="BU59" s="326"/>
      <c r="BV59" s="443"/>
      <c r="BW59" s="443"/>
      <c r="BX59" s="443"/>
      <c r="BY59" s="443"/>
      <c r="BZ59" s="444"/>
      <c r="CA59" s="317"/>
      <c r="CB59" s="317"/>
      <c r="CC59" s="317"/>
      <c r="CD59" s="317"/>
      <c r="CE59" s="317"/>
      <c r="CF59" s="317"/>
      <c r="CG59" s="317"/>
      <c r="CH59" s="317"/>
      <c r="CJ59" s="443"/>
      <c r="CK59" s="443"/>
      <c r="CL59" s="443"/>
      <c r="CM59" s="443"/>
      <c r="CN59" s="444"/>
      <c r="CO59" s="317"/>
      <c r="CP59" s="317"/>
      <c r="CQ59" s="317"/>
      <c r="CR59" s="317"/>
      <c r="CS59" s="317"/>
      <c r="CT59" s="317"/>
      <c r="CU59" s="317"/>
      <c r="CV59" s="317"/>
      <c r="CW59" s="758"/>
      <c r="CX59" s="886"/>
      <c r="CY59" s="886"/>
      <c r="CZ59" s="886"/>
      <c r="DA59" s="886"/>
      <c r="DB59" s="887"/>
      <c r="DC59" s="888"/>
      <c r="DD59" s="888"/>
      <c r="DE59" s="888"/>
      <c r="DF59" s="888"/>
      <c r="DG59" s="888"/>
      <c r="DH59" s="888"/>
      <c r="DI59" s="888"/>
      <c r="DJ59" s="317"/>
      <c r="DK59" s="948"/>
      <c r="DL59" s="886"/>
      <c r="DM59" s="886"/>
      <c r="DN59" s="886"/>
      <c r="DO59" s="886"/>
      <c r="DP59" s="887"/>
      <c r="DQ59" s="888"/>
      <c r="DR59" s="888"/>
      <c r="DS59" s="888"/>
      <c r="DT59" s="888"/>
      <c r="DU59" s="888"/>
      <c r="DV59" s="888"/>
      <c r="DW59" s="888"/>
      <c r="DX59" s="317"/>
    </row>
    <row r="60" spans="1:128" ht="15" hidden="1" customHeight="1" outlineLevel="1">
      <c r="A60" s="430"/>
      <c r="B60" s="927"/>
      <c r="C60" s="928"/>
      <c r="D60" s="424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32"/>
      <c r="T60" s="432"/>
      <c r="U60" s="432"/>
      <c r="V60" s="432"/>
      <c r="W60" s="432"/>
      <c r="X60" s="432"/>
      <c r="Y60" s="432"/>
      <c r="Z60" s="432"/>
      <c r="AA60" s="432"/>
      <c r="AB60" s="432"/>
      <c r="AC60" s="432"/>
      <c r="AD60" s="432"/>
      <c r="AE60" s="427"/>
      <c r="AF60" s="432"/>
      <c r="AG60" s="432"/>
      <c r="AH60" s="432"/>
      <c r="AI60" s="432"/>
      <c r="AJ60" s="432"/>
      <c r="AK60" s="432"/>
      <c r="AL60" s="432"/>
      <c r="AM60" s="432"/>
      <c r="AN60" s="432"/>
      <c r="AO60" s="432"/>
      <c r="AP60" s="432"/>
      <c r="AQ60" s="432"/>
      <c r="AR60" s="433"/>
      <c r="AS60" s="23"/>
      <c r="AT60" s="97"/>
      <c r="AU60" s="97"/>
      <c r="AV60" s="97"/>
      <c r="AW60" s="97"/>
      <c r="AX60" s="91"/>
      <c r="AY60" s="91"/>
      <c r="AZ60" s="91"/>
      <c r="BA60" s="91"/>
      <c r="BB60" s="91"/>
      <c r="BC60" s="91"/>
      <c r="BD60" s="91">
        <v>600</v>
      </c>
      <c r="BE60" s="315">
        <v>700</v>
      </c>
      <c r="BF60" s="437">
        <f t="shared" si="77"/>
        <v>1300</v>
      </c>
      <c r="BG60" s="93"/>
      <c r="BH60" s="442"/>
      <c r="BI60" s="442"/>
      <c r="BJ60" s="442"/>
      <c r="BK60" s="442"/>
      <c r="BL60" s="316"/>
      <c r="BM60" s="91"/>
      <c r="BN60" s="91"/>
      <c r="BO60" s="91"/>
      <c r="BP60" s="91"/>
      <c r="BQ60" s="91"/>
      <c r="BR60" s="91"/>
      <c r="BS60" s="91"/>
      <c r="BT60" s="91"/>
      <c r="BU60" s="54"/>
      <c r="BV60" s="442"/>
      <c r="BW60" s="442"/>
      <c r="BX60" s="442"/>
      <c r="BY60" s="442"/>
      <c r="BZ60" s="442"/>
      <c r="CA60" s="316"/>
      <c r="CB60" s="91">
        <v>60</v>
      </c>
      <c r="CC60" s="91"/>
      <c r="CD60" s="91"/>
      <c r="CE60" s="91"/>
      <c r="CF60" s="91"/>
      <c r="CG60" s="91"/>
      <c r="CH60" s="91"/>
      <c r="CJ60" s="708">
        <f>(CJ62-CJ61)/CJ61</f>
        <v>0.03</v>
      </c>
      <c r="CK60" s="708">
        <f t="shared" ref="CK60:CU60" si="83">(CK62-CK61)/CK61</f>
        <v>3.0000000000000079E-2</v>
      </c>
      <c r="CL60" s="708">
        <f t="shared" si="83"/>
        <v>3.0000000000000058E-2</v>
      </c>
      <c r="CM60" s="708">
        <f t="shared" si="83"/>
        <v>3.0000000000000034E-2</v>
      </c>
      <c r="CN60" s="708">
        <f t="shared" si="83"/>
        <v>3.000000000000011E-2</v>
      </c>
      <c r="CO60" s="708">
        <f t="shared" si="83"/>
        <v>3.000000000000012E-2</v>
      </c>
      <c r="CP60" s="708">
        <f t="shared" si="83"/>
        <v>3.0000000000000113E-2</v>
      </c>
      <c r="CQ60" s="708">
        <f t="shared" si="83"/>
        <v>3.0000000000000127E-2</v>
      </c>
      <c r="CR60" s="708">
        <f t="shared" si="83"/>
        <v>3.0000000000000068E-2</v>
      </c>
      <c r="CS60" s="708">
        <f t="shared" si="83"/>
        <v>2.9999999999999982E-2</v>
      </c>
      <c r="CT60" s="708">
        <f t="shared" si="83"/>
        <v>2.9999999999999961E-2</v>
      </c>
      <c r="CU60" s="708">
        <f t="shared" si="83"/>
        <v>0.03</v>
      </c>
      <c r="CV60" s="91"/>
      <c r="CW60" s="758"/>
      <c r="CX60" s="889"/>
      <c r="CY60" s="889"/>
      <c r="CZ60" s="889"/>
      <c r="DA60" s="889"/>
      <c r="DB60" s="889"/>
      <c r="DC60" s="890"/>
      <c r="DD60" s="884"/>
      <c r="DE60" s="884"/>
      <c r="DF60" s="884"/>
      <c r="DG60" s="884"/>
      <c r="DH60" s="884"/>
      <c r="DI60" s="884"/>
      <c r="DJ60" s="91"/>
      <c r="DK60" s="948"/>
      <c r="DL60" s="889"/>
      <c r="DM60" s="889"/>
      <c r="DN60" s="889"/>
      <c r="DO60" s="889"/>
      <c r="DP60" s="889"/>
      <c r="DQ60" s="890"/>
      <c r="DR60" s="884"/>
      <c r="DS60" s="884"/>
      <c r="DT60" s="884"/>
      <c r="DU60" s="884"/>
      <c r="DV60" s="884"/>
      <c r="DW60" s="884"/>
      <c r="DX60" s="91"/>
    </row>
    <row r="61" spans="1:128" ht="15" hidden="1" customHeight="1" outlineLevel="1">
      <c r="A61" s="95"/>
      <c r="B61" s="924" t="s">
        <v>71</v>
      </c>
      <c r="C61" s="922"/>
      <c r="D61" s="313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>
        <f t="shared" ref="P61:P62" si="84">SUM(D61:O61)</f>
        <v>0</v>
      </c>
      <c r="Q61" s="90"/>
      <c r="R61" s="313">
        <v>350</v>
      </c>
      <c r="S61" s="91">
        <v>350</v>
      </c>
      <c r="T61" s="91">
        <v>450</v>
      </c>
      <c r="U61" s="91">
        <v>800</v>
      </c>
      <c r="V61" s="91">
        <v>531</v>
      </c>
      <c r="W61" s="91">
        <v>750</v>
      </c>
      <c r="X61" s="91">
        <v>650</v>
      </c>
      <c r="Y61" s="91">
        <v>750</v>
      </c>
      <c r="Z61" s="91">
        <v>900</v>
      </c>
      <c r="AA61" s="91">
        <v>1000</v>
      </c>
      <c r="AB61" s="91">
        <v>1200</v>
      </c>
      <c r="AC61" s="91">
        <v>1500</v>
      </c>
      <c r="AD61" s="315">
        <f t="shared" ref="AD61:AD62" si="85">SUM(R61:AC61)</f>
        <v>9231</v>
      </c>
      <c r="AE61" s="23"/>
      <c r="AF61" s="316">
        <v>1500</v>
      </c>
      <c r="AG61" s="91">
        <v>800</v>
      </c>
      <c r="AH61" s="91">
        <v>800</v>
      </c>
      <c r="AI61" s="91">
        <v>1820</v>
      </c>
      <c r="AJ61" s="91">
        <v>1630</v>
      </c>
      <c r="AK61" s="91">
        <v>1360</v>
      </c>
      <c r="AL61" s="91">
        <v>1000</v>
      </c>
      <c r="AM61" s="91">
        <v>1700</v>
      </c>
      <c r="AN61" s="91">
        <v>1700</v>
      </c>
      <c r="AO61" s="91">
        <v>1700</v>
      </c>
      <c r="AP61" s="91">
        <v>1870</v>
      </c>
      <c r="AQ61" s="91">
        <v>2720</v>
      </c>
      <c r="AR61" s="92">
        <f t="shared" ref="AR61:AR62" si="86">SUM(AF61:AQ61)</f>
        <v>18600</v>
      </c>
      <c r="AS61" s="23"/>
      <c r="AT61" s="91">
        <v>2053</v>
      </c>
      <c r="AU61" s="91">
        <v>2053</v>
      </c>
      <c r="AV61" s="91">
        <v>2053</v>
      </c>
      <c r="AW61" s="91">
        <v>2053</v>
      </c>
      <c r="AX61" s="91">
        <v>2807</v>
      </c>
      <c r="AY61" s="91">
        <v>2807</v>
      </c>
      <c r="AZ61" s="91">
        <v>2680</v>
      </c>
      <c r="BA61" s="91">
        <v>2680</v>
      </c>
      <c r="BB61" s="91">
        <v>2807</v>
      </c>
      <c r="BC61" s="91">
        <v>3318</v>
      </c>
      <c r="BD61" s="91">
        <v>5870</v>
      </c>
      <c r="BE61" s="91">
        <v>5104</v>
      </c>
      <c r="BF61" s="441">
        <f t="shared" si="77"/>
        <v>36285</v>
      </c>
      <c r="BG61" s="93">
        <f>BF61/AR61-1</f>
        <v>0.95080645161290334</v>
      </c>
      <c r="BH61" s="441"/>
      <c r="BI61" s="441"/>
      <c r="BJ61" s="441"/>
      <c r="BK61" s="441"/>
      <c r="BL61" s="91"/>
      <c r="BM61" s="91"/>
      <c r="BN61" s="91"/>
      <c r="BO61" s="91"/>
      <c r="BP61" s="91"/>
      <c r="BQ61" s="91"/>
      <c r="BR61" s="91"/>
      <c r="BS61" s="91"/>
      <c r="BT61" s="91">
        <f>SUM(BH61:BS61)</f>
        <v>0</v>
      </c>
      <c r="BU61" s="54"/>
      <c r="BV61" s="441"/>
      <c r="BW61" s="441"/>
      <c r="BX61" s="441"/>
      <c r="BY61" s="441"/>
      <c r="BZ61" s="441"/>
      <c r="CA61" s="91"/>
      <c r="CB61" s="91"/>
      <c r="CC61" s="91"/>
      <c r="CD61" s="91"/>
      <c r="CE61" s="91"/>
      <c r="CF61" s="91"/>
      <c r="CG61" s="91"/>
      <c r="CH61" s="91"/>
      <c r="CJ61" s="441">
        <f>BV71</f>
        <v>38900</v>
      </c>
      <c r="CK61" s="441">
        <f t="shared" ref="CK61:CU61" si="87">BW71</f>
        <v>31376</v>
      </c>
      <c r="CL61" s="441">
        <f t="shared" si="87"/>
        <v>29886</v>
      </c>
      <c r="CM61" s="441">
        <f t="shared" si="87"/>
        <v>30671</v>
      </c>
      <c r="CN61" s="441">
        <f t="shared" si="87"/>
        <v>34553</v>
      </c>
      <c r="CO61" s="441">
        <f t="shared" si="87"/>
        <v>36515</v>
      </c>
      <c r="CP61" s="441">
        <f t="shared" si="87"/>
        <v>38915</v>
      </c>
      <c r="CQ61" s="441">
        <f t="shared" si="87"/>
        <v>34615</v>
      </c>
      <c r="CR61" s="441">
        <f t="shared" si="87"/>
        <v>29617</v>
      </c>
      <c r="CS61" s="441">
        <f t="shared" si="87"/>
        <v>34538</v>
      </c>
      <c r="CT61" s="441">
        <f t="shared" si="87"/>
        <v>45914</v>
      </c>
      <c r="CU61" s="441">
        <f t="shared" si="87"/>
        <v>60875</v>
      </c>
      <c r="CV61" s="91"/>
      <c r="CW61" s="758"/>
      <c r="CX61" s="891"/>
      <c r="CY61" s="891"/>
      <c r="CZ61" s="891"/>
      <c r="DA61" s="891"/>
      <c r="DB61" s="891"/>
      <c r="DC61" s="884"/>
      <c r="DD61" s="884"/>
      <c r="DE61" s="884"/>
      <c r="DF61" s="884"/>
      <c r="DG61" s="884"/>
      <c r="DH61" s="884"/>
      <c r="DI61" s="884"/>
      <c r="DJ61" s="91"/>
      <c r="DK61" s="948"/>
      <c r="DL61" s="891"/>
      <c r="DM61" s="891"/>
      <c r="DN61" s="891"/>
      <c r="DO61" s="891"/>
      <c r="DP61" s="891"/>
      <c r="DQ61" s="884"/>
      <c r="DR61" s="884"/>
      <c r="DS61" s="884"/>
      <c r="DT61" s="884"/>
      <c r="DU61" s="884"/>
      <c r="DV61" s="884"/>
      <c r="DW61" s="884"/>
      <c r="DX61" s="91"/>
    </row>
    <row r="62" spans="1:128" ht="18.75" hidden="1" collapsed="1">
      <c r="A62" s="55"/>
      <c r="B62" s="56" t="s">
        <v>123</v>
      </c>
      <c r="C62" s="753"/>
      <c r="D62" s="288">
        <f t="shared" ref="D62:O62" si="88">SUM(D41:D61)</f>
        <v>0</v>
      </c>
      <c r="E62" s="57">
        <f t="shared" si="88"/>
        <v>0</v>
      </c>
      <c r="F62" s="57">
        <f t="shared" si="88"/>
        <v>0</v>
      </c>
      <c r="G62" s="57">
        <f t="shared" si="88"/>
        <v>0</v>
      </c>
      <c r="H62" s="57">
        <f t="shared" si="88"/>
        <v>0</v>
      </c>
      <c r="I62" s="57">
        <f t="shared" si="88"/>
        <v>0</v>
      </c>
      <c r="J62" s="57">
        <f t="shared" si="88"/>
        <v>0</v>
      </c>
      <c r="K62" s="57">
        <f t="shared" si="88"/>
        <v>0</v>
      </c>
      <c r="L62" s="57">
        <f t="shared" si="88"/>
        <v>0</v>
      </c>
      <c r="M62" s="57">
        <f t="shared" si="88"/>
        <v>0</v>
      </c>
      <c r="N62" s="57">
        <f t="shared" si="88"/>
        <v>0</v>
      </c>
      <c r="O62" s="57">
        <f t="shared" si="88"/>
        <v>0</v>
      </c>
      <c r="P62" s="289">
        <f t="shared" si="84"/>
        <v>0</v>
      </c>
      <c r="Q62" s="39"/>
      <c r="R62" s="288">
        <f t="shared" ref="R62:AC62" si="89">SUM(R41:R61)</f>
        <v>20557.543859649122</v>
      </c>
      <c r="S62" s="58">
        <f t="shared" si="89"/>
        <v>20512.543859649122</v>
      </c>
      <c r="T62" s="58">
        <f t="shared" si="89"/>
        <v>13699.771929824561</v>
      </c>
      <c r="U62" s="58">
        <f t="shared" si="89"/>
        <v>912.5</v>
      </c>
      <c r="V62" s="58">
        <f t="shared" si="89"/>
        <v>16851</v>
      </c>
      <c r="W62" s="290">
        <f t="shared" si="89"/>
        <v>13700</v>
      </c>
      <c r="X62" s="290">
        <f t="shared" si="89"/>
        <v>26050</v>
      </c>
      <c r="Y62" s="290">
        <f t="shared" si="89"/>
        <v>27750</v>
      </c>
      <c r="Z62" s="290">
        <f t="shared" si="89"/>
        <v>31100</v>
      </c>
      <c r="AA62" s="290">
        <f t="shared" si="89"/>
        <v>32100</v>
      </c>
      <c r="AB62" s="290">
        <f t="shared" si="89"/>
        <v>37500</v>
      </c>
      <c r="AC62" s="290">
        <f t="shared" si="89"/>
        <v>45300</v>
      </c>
      <c r="AD62" s="291">
        <f t="shared" si="85"/>
        <v>286033.35964912281</v>
      </c>
      <c r="AE62" s="59"/>
      <c r="AF62" s="292">
        <f>SUM(AF41:AF61)</f>
        <v>38500</v>
      </c>
      <c r="AG62" s="58">
        <f t="shared" ref="AG62:AQ62" si="90">SUM(AG41:AG61)</f>
        <v>22400</v>
      </c>
      <c r="AH62" s="58">
        <f t="shared" si="90"/>
        <v>10671</v>
      </c>
      <c r="AI62" s="58">
        <f t="shared" si="90"/>
        <v>16097</v>
      </c>
      <c r="AJ62" s="58">
        <f t="shared" si="90"/>
        <v>30278</v>
      </c>
      <c r="AK62" s="58">
        <f t="shared" si="90"/>
        <v>28560</v>
      </c>
      <c r="AL62" s="58">
        <f t="shared" si="90"/>
        <v>41700</v>
      </c>
      <c r="AM62" s="58">
        <f t="shared" si="90"/>
        <v>38700</v>
      </c>
      <c r="AN62" s="58">
        <f t="shared" si="90"/>
        <v>37300</v>
      </c>
      <c r="AO62" s="58">
        <f t="shared" si="90"/>
        <v>37400</v>
      </c>
      <c r="AP62" s="58">
        <f t="shared" si="90"/>
        <v>40640</v>
      </c>
      <c r="AQ62" s="58">
        <f t="shared" si="90"/>
        <v>54440</v>
      </c>
      <c r="AR62" s="58">
        <f t="shared" si="86"/>
        <v>396686</v>
      </c>
      <c r="AS62" s="59"/>
      <c r="AT62" s="58">
        <f t="shared" ref="AT62:BE62" si="91">SUM(AT41:AT61)</f>
        <v>36153</v>
      </c>
      <c r="AU62" s="58">
        <f>SUM(AU41:AU61)</f>
        <v>35289</v>
      </c>
      <c r="AV62" s="58">
        <f t="shared" si="91"/>
        <v>35872</v>
      </c>
      <c r="AW62" s="58">
        <f t="shared" si="91"/>
        <v>38031</v>
      </c>
      <c r="AX62" s="58">
        <f t="shared" si="91"/>
        <v>33566</v>
      </c>
      <c r="AY62" s="58">
        <f t="shared" si="91"/>
        <v>33566</v>
      </c>
      <c r="AZ62" s="58">
        <f t="shared" si="91"/>
        <v>30896</v>
      </c>
      <c r="BA62" s="58">
        <f t="shared" si="91"/>
        <v>31146</v>
      </c>
      <c r="BB62" s="58">
        <f t="shared" si="91"/>
        <v>32630</v>
      </c>
      <c r="BC62" s="58">
        <f t="shared" si="91"/>
        <v>38562</v>
      </c>
      <c r="BD62" s="58">
        <f t="shared" si="91"/>
        <v>41345</v>
      </c>
      <c r="BE62" s="58">
        <f t="shared" si="91"/>
        <v>49263</v>
      </c>
      <c r="BF62" s="58">
        <f>SUM(AT62:BE62)</f>
        <v>436319</v>
      </c>
      <c r="BG62" s="59">
        <f>BF62-AR62</f>
        <v>39633</v>
      </c>
      <c r="BH62" s="58">
        <v>36153</v>
      </c>
      <c r="BI62" s="58">
        <v>35289</v>
      </c>
      <c r="BJ62" s="58">
        <v>35872</v>
      </c>
      <c r="BK62" s="58">
        <v>38031</v>
      </c>
      <c r="BL62" s="58">
        <v>38570</v>
      </c>
      <c r="BM62" s="58">
        <v>39227</v>
      </c>
      <c r="BN62" s="58">
        <v>41128</v>
      </c>
      <c r="BO62" s="58">
        <v>38191</v>
      </c>
      <c r="BP62" s="58">
        <v>38191</v>
      </c>
      <c r="BQ62" s="58">
        <v>40225</v>
      </c>
      <c r="BR62" s="58">
        <v>43272</v>
      </c>
      <c r="BS62" s="58">
        <v>60327</v>
      </c>
      <c r="BT62" s="58">
        <f t="shared" ref="BT62:BT66" si="92">SUM(BH62:BS62)</f>
        <v>484476</v>
      </c>
      <c r="BU62" s="60"/>
      <c r="BV62" s="58">
        <f>SUM(BV41:BV58)</f>
        <v>35797.912472643162</v>
      </c>
      <c r="BW62" s="58">
        <f t="shared" ref="BW62:CG62" si="93">SUM(BW41:BW58)</f>
        <v>27268.538792847521</v>
      </c>
      <c r="BX62" s="58">
        <f t="shared" si="93"/>
        <v>34357.668832234456</v>
      </c>
      <c r="BY62" s="58">
        <f t="shared" si="93"/>
        <v>29626.958292847525</v>
      </c>
      <c r="BZ62" s="58">
        <f t="shared" si="93"/>
        <v>34139.121332234456</v>
      </c>
      <c r="CA62" s="58">
        <f t="shared" si="93"/>
        <v>39503.881972643161</v>
      </c>
      <c r="CB62" s="58">
        <f t="shared" si="93"/>
        <v>45728.836911008315</v>
      </c>
      <c r="CC62" s="58">
        <f t="shared" si="93"/>
        <v>32260.226972643166</v>
      </c>
      <c r="CD62" s="58">
        <f t="shared" si="93"/>
        <v>33331.522972643164</v>
      </c>
      <c r="CE62" s="58">
        <f t="shared" si="93"/>
        <v>35213.881472643166</v>
      </c>
      <c r="CF62" s="58">
        <f t="shared" si="93"/>
        <v>46168.878068556034</v>
      </c>
      <c r="CG62" s="58">
        <f t="shared" si="93"/>
        <v>57905.502691825735</v>
      </c>
      <c r="CH62" s="58">
        <f>SUM(BV62:CG62)</f>
        <v>451302.93078476982</v>
      </c>
      <c r="CI62" s="395">
        <f>(CH62-BT71)/BT71</f>
        <v>5.1833718555945915E-2</v>
      </c>
      <c r="CJ62" s="58">
        <f>BV71*1.03</f>
        <v>40067</v>
      </c>
      <c r="CK62" s="58">
        <f t="shared" ref="CK62:CU62" si="94">BW71*1.03</f>
        <v>32317.280000000002</v>
      </c>
      <c r="CL62" s="58">
        <f t="shared" si="94"/>
        <v>30782.58</v>
      </c>
      <c r="CM62" s="58">
        <f>BY71*1.03</f>
        <v>31591.13</v>
      </c>
      <c r="CN62" s="58">
        <f t="shared" si="94"/>
        <v>35589.590000000004</v>
      </c>
      <c r="CO62" s="58">
        <f t="shared" si="94"/>
        <v>37610.450000000004</v>
      </c>
      <c r="CP62" s="58">
        <f t="shared" si="94"/>
        <v>40082.450000000004</v>
      </c>
      <c r="CQ62" s="58">
        <f t="shared" si="94"/>
        <v>35653.450000000004</v>
      </c>
      <c r="CR62" s="58">
        <f t="shared" si="94"/>
        <v>30505.510000000002</v>
      </c>
      <c r="CS62" s="58">
        <f>CE71*1.03</f>
        <v>35574.14</v>
      </c>
      <c r="CT62" s="58">
        <f t="shared" si="94"/>
        <v>47291.42</v>
      </c>
      <c r="CU62" s="58">
        <f t="shared" si="94"/>
        <v>62701.25</v>
      </c>
      <c r="CV62" s="58">
        <f>SUM(CJ62:CU62)</f>
        <v>459766.25</v>
      </c>
      <c r="CW62" s="758"/>
      <c r="CX62" s="880">
        <v>25453.360000000001</v>
      </c>
      <c r="CY62" s="880">
        <v>21658.84</v>
      </c>
      <c r="CZ62" s="880">
        <v>25209.25</v>
      </c>
      <c r="DA62" s="880">
        <v>27828.54</v>
      </c>
      <c r="DB62" s="880">
        <v>32049.480000000003</v>
      </c>
      <c r="DC62" s="880">
        <v>32772.54</v>
      </c>
      <c r="DD62" s="880">
        <v>34046.649999999994</v>
      </c>
      <c r="DE62" s="880">
        <v>30567.31</v>
      </c>
      <c r="DF62" s="880">
        <v>29170.629999999997</v>
      </c>
      <c r="DG62" s="880">
        <v>33460.786</v>
      </c>
      <c r="DH62" s="880">
        <v>40405.437400000003</v>
      </c>
      <c r="DI62" s="880">
        <v>57291.782700000003</v>
      </c>
      <c r="DJ62" s="58">
        <f>SUM(CX62:DI62)</f>
        <v>389914.60609999998</v>
      </c>
      <c r="DK62" s="948"/>
      <c r="DL62" s="880">
        <v>25453.360000000001</v>
      </c>
      <c r="DM62" s="880">
        <v>21658.84</v>
      </c>
      <c r="DN62" s="880">
        <v>25209.25</v>
      </c>
      <c r="DO62" s="880">
        <v>27828.54</v>
      </c>
      <c r="DP62" s="880">
        <v>32049.480000000003</v>
      </c>
      <c r="DQ62" s="880">
        <v>32772.54</v>
      </c>
      <c r="DR62" s="880">
        <v>34046.649999999994</v>
      </c>
      <c r="DS62" s="880">
        <v>30567.31</v>
      </c>
      <c r="DT62" s="880">
        <v>29170.629999999997</v>
      </c>
      <c r="DU62" s="880">
        <v>33460.786</v>
      </c>
      <c r="DV62" s="880">
        <v>40405.437400000003</v>
      </c>
      <c r="DW62" s="880">
        <v>57291.782700000003</v>
      </c>
      <c r="DX62" s="58">
        <f>SUM(DL62:DW62)</f>
        <v>389914.60609999998</v>
      </c>
    </row>
    <row r="63" spans="1:128" ht="18.75" hidden="1">
      <c r="A63" s="99"/>
      <c r="B63" s="929" t="s">
        <v>73</v>
      </c>
      <c r="C63" s="930"/>
      <c r="D63" s="301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302"/>
      <c r="Q63" s="74"/>
      <c r="R63" s="301"/>
      <c r="S63" s="69"/>
      <c r="T63" s="69"/>
      <c r="U63" s="69"/>
      <c r="V63" s="303"/>
      <c r="W63" s="304"/>
      <c r="X63" s="304"/>
      <c r="Y63" s="304"/>
      <c r="Z63" s="304"/>
      <c r="AA63" s="304"/>
      <c r="AB63" s="304"/>
      <c r="AC63" s="75"/>
      <c r="AD63" s="76"/>
      <c r="AE63" s="77"/>
      <c r="AF63" s="305"/>
      <c r="AG63" s="69"/>
      <c r="AH63" s="69"/>
      <c r="AI63" s="69"/>
      <c r="AJ63" s="303"/>
      <c r="AK63" s="303"/>
      <c r="AL63" s="303"/>
      <c r="AM63" s="303"/>
      <c r="AN63" s="69"/>
      <c r="AO63" s="69"/>
      <c r="AP63" s="69"/>
      <c r="AQ63" s="69"/>
      <c r="AR63" s="306"/>
      <c r="AS63" s="77"/>
      <c r="AT63" s="69"/>
      <c r="AU63" s="69"/>
      <c r="AV63" s="69"/>
      <c r="AW63" s="69"/>
      <c r="AX63" s="69"/>
      <c r="AY63" s="69">
        <v>15000</v>
      </c>
      <c r="AZ63" s="69">
        <v>15000</v>
      </c>
      <c r="BA63" s="69">
        <f t="shared" ref="BA63:BB63" si="95">BA62*70%</f>
        <v>21802.199999999997</v>
      </c>
      <c r="BB63" s="69">
        <f t="shared" si="95"/>
        <v>22841</v>
      </c>
      <c r="BC63" s="69">
        <v>35000</v>
      </c>
      <c r="BD63" s="69">
        <v>35000</v>
      </c>
      <c r="BE63" s="69">
        <v>42000</v>
      </c>
      <c r="BF63" s="69">
        <f t="shared" si="77"/>
        <v>186643.20000000001</v>
      </c>
      <c r="BG63" s="77"/>
      <c r="BH63" s="69">
        <f t="shared" ref="BH63:BM63" si="96">BH62*0.8</f>
        <v>28922.400000000001</v>
      </c>
      <c r="BI63" s="69">
        <f t="shared" si="96"/>
        <v>28231.200000000001</v>
      </c>
      <c r="BJ63" s="69">
        <f t="shared" si="96"/>
        <v>28697.600000000002</v>
      </c>
      <c r="BK63" s="69">
        <f t="shared" si="96"/>
        <v>30424.800000000003</v>
      </c>
      <c r="BL63" s="69">
        <f t="shared" si="96"/>
        <v>30856</v>
      </c>
      <c r="BM63" s="69">
        <f t="shared" si="96"/>
        <v>31381.600000000002</v>
      </c>
      <c r="BN63" s="69">
        <f>BN62*0.85</f>
        <v>34958.799999999996</v>
      </c>
      <c r="BO63" s="69">
        <v>29000</v>
      </c>
      <c r="BP63" s="69">
        <v>40223</v>
      </c>
      <c r="BQ63" s="69">
        <v>36735</v>
      </c>
      <c r="BR63" s="69">
        <v>36933</v>
      </c>
      <c r="BS63" s="69">
        <v>52283</v>
      </c>
      <c r="BT63" s="69">
        <f t="shared" si="92"/>
        <v>408646.40000000002</v>
      </c>
      <c r="BU63" s="28"/>
      <c r="BV63" s="69">
        <v>32000</v>
      </c>
      <c r="BW63" s="69">
        <v>32000</v>
      </c>
      <c r="BX63" s="69">
        <v>37000</v>
      </c>
      <c r="BY63" s="69">
        <v>32000</v>
      </c>
      <c r="BZ63" s="69">
        <v>35000</v>
      </c>
      <c r="CA63" s="69">
        <v>35000</v>
      </c>
      <c r="CB63" s="69">
        <v>35000</v>
      </c>
      <c r="CC63" s="69">
        <f>CC62*1</f>
        <v>32260.226972643166</v>
      </c>
      <c r="CD63" s="69">
        <f>CD62*1</f>
        <v>33331.522972643164</v>
      </c>
      <c r="CE63" s="69">
        <f>CE62</f>
        <v>35213.881472643166</v>
      </c>
      <c r="CF63" s="69">
        <v>40000</v>
      </c>
      <c r="CG63" s="69">
        <v>60000</v>
      </c>
      <c r="CH63" s="69"/>
      <c r="CI63" s="395"/>
      <c r="CJ63" s="69">
        <v>32000</v>
      </c>
      <c r="CK63" s="69">
        <v>30000</v>
      </c>
      <c r="CL63" s="69">
        <v>31500</v>
      </c>
      <c r="CM63" s="69">
        <v>32000</v>
      </c>
      <c r="CN63" s="69">
        <v>45000</v>
      </c>
      <c r="CO63" s="69">
        <v>35000</v>
      </c>
      <c r="CP63" s="69">
        <v>36000</v>
      </c>
      <c r="CQ63" s="69">
        <v>35000</v>
      </c>
      <c r="CR63" s="69">
        <v>35000</v>
      </c>
      <c r="CS63" s="69">
        <v>40000</v>
      </c>
      <c r="CT63" s="69">
        <v>51000</v>
      </c>
      <c r="CU63" s="69">
        <v>60000</v>
      </c>
      <c r="CV63" s="69">
        <f>SUM(CJ63:CU63)</f>
        <v>462500</v>
      </c>
      <c r="CW63" s="758"/>
      <c r="CX63" s="881">
        <v>28638.329978114532</v>
      </c>
      <c r="CY63" s="881">
        <v>21814.831034278017</v>
      </c>
      <c r="CZ63" s="881">
        <v>27486.135065787566</v>
      </c>
      <c r="DA63" s="881">
        <v>23701.566634278021</v>
      </c>
      <c r="DB63" s="881">
        <v>27311.297065787567</v>
      </c>
      <c r="DC63" s="881">
        <v>31603.10557811453</v>
      </c>
      <c r="DD63" s="881">
        <v>36583.069528806656</v>
      </c>
      <c r="DE63" s="881">
        <v>25808.181578114534</v>
      </c>
      <c r="DF63" s="881">
        <v>26665.218378114532</v>
      </c>
      <c r="DG63" s="881">
        <v>28171.105178114536</v>
      </c>
      <c r="DH63" s="881">
        <v>36935.102454844826</v>
      </c>
      <c r="DI63" s="881">
        <v>46324.402153460593</v>
      </c>
      <c r="DJ63" s="69"/>
      <c r="DK63" s="948"/>
      <c r="DL63" s="881">
        <v>28638.329978114532</v>
      </c>
      <c r="DM63" s="881">
        <v>21814.831034278017</v>
      </c>
      <c r="DN63" s="881">
        <v>27486.135065787566</v>
      </c>
      <c r="DO63" s="881">
        <v>23701.566634278021</v>
      </c>
      <c r="DP63" s="881">
        <v>27311.297065787567</v>
      </c>
      <c r="DQ63" s="881">
        <v>31603.10557811453</v>
      </c>
      <c r="DR63" s="881">
        <v>36583.069528806656</v>
      </c>
      <c r="DS63" s="881">
        <v>25808.181578114534</v>
      </c>
      <c r="DT63" s="881">
        <v>26665.218378114532</v>
      </c>
      <c r="DU63" s="881">
        <v>28171.105178114536</v>
      </c>
      <c r="DV63" s="881">
        <v>36935.102454844826</v>
      </c>
      <c r="DW63" s="881">
        <v>46324.402153460593</v>
      </c>
      <c r="DX63" s="69"/>
    </row>
    <row r="64" spans="1:128" ht="14.25" hidden="1" customHeight="1">
      <c r="A64" s="55" t="s">
        <v>74</v>
      </c>
      <c r="B64" s="56"/>
      <c r="C64" s="280"/>
      <c r="D64" s="288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289"/>
      <c r="Q64" s="39"/>
      <c r="R64" s="288"/>
      <c r="S64" s="58"/>
      <c r="T64" s="58"/>
      <c r="U64" s="58"/>
      <c r="V64" s="58"/>
      <c r="W64" s="290"/>
      <c r="X64" s="290"/>
      <c r="Y64" s="290"/>
      <c r="Z64" s="290"/>
      <c r="AA64" s="290"/>
      <c r="AB64" s="290"/>
      <c r="AC64" s="290"/>
      <c r="AD64" s="291"/>
      <c r="AE64" s="59"/>
      <c r="AF64" s="292"/>
      <c r="AG64" s="58"/>
      <c r="AH64" s="58"/>
      <c r="AI64" s="58"/>
      <c r="AJ64" s="58"/>
      <c r="AK64" s="58"/>
      <c r="AL64" s="58">
        <f>AL62/AVERAGE($AF$62:$AQ$62)</f>
        <v>1.2614511225503295</v>
      </c>
      <c r="AM64" s="58"/>
      <c r="AN64" s="58"/>
      <c r="AO64" s="58"/>
      <c r="AP64" s="58">
        <f t="shared" ref="AP64:AQ64" si="97">AP62/AVERAGE($AF$62:$AQ$62)</f>
        <v>1.2293854585238704</v>
      </c>
      <c r="AQ64" s="58">
        <f t="shared" si="97"/>
        <v>1.6468441033966412</v>
      </c>
      <c r="AR64" s="58"/>
      <c r="AS64" s="59"/>
      <c r="AT64" s="58">
        <v>109190</v>
      </c>
      <c r="AU64" s="58">
        <v>153667</v>
      </c>
      <c r="AV64" s="58">
        <v>178778</v>
      </c>
      <c r="AW64" s="58">
        <v>151970</v>
      </c>
      <c r="AX64" s="58">
        <v>142416</v>
      </c>
      <c r="AY64" s="58">
        <v>177335</v>
      </c>
      <c r="AZ64" s="58">
        <v>152230</v>
      </c>
      <c r="BA64" s="58">
        <v>245527</v>
      </c>
      <c r="BB64" s="58">
        <f>5261504/27</f>
        <v>194870.51851851851</v>
      </c>
      <c r="BC64" s="58">
        <f>5784000/27</f>
        <v>214222.22222222222</v>
      </c>
      <c r="BD64" s="58">
        <f>3224000/27</f>
        <v>119407.4074074074</v>
      </c>
      <c r="BE64" s="58">
        <f>909800/27</f>
        <v>33696.296296296299</v>
      </c>
      <c r="BF64" s="58">
        <f t="shared" si="77"/>
        <v>1873309.4444444445</v>
      </c>
      <c r="BG64" s="59"/>
      <c r="BH64" s="58">
        <v>156208</v>
      </c>
      <c r="BI64" s="58">
        <v>147340</v>
      </c>
      <c r="BJ64" s="58">
        <v>166759</v>
      </c>
      <c r="BK64" s="58">
        <v>152352</v>
      </c>
      <c r="BL64" s="58">
        <v>128446</v>
      </c>
      <c r="BM64" s="58">
        <v>126790</v>
      </c>
      <c r="BN64" s="58">
        <v>173761</v>
      </c>
      <c r="BO64" s="58">
        <f>144510.599073001+BO63</f>
        <v>173510.59907300101</v>
      </c>
      <c r="BP64" s="58">
        <f>162574.422556972+BP63</f>
        <v>202797.42255697199</v>
      </c>
      <c r="BQ64" s="58">
        <f>166187.186558517+BQ63</f>
        <v>202922.18655851699</v>
      </c>
      <c r="BR64" s="58">
        <f>BQ38+BR34*0.6</f>
        <v>232502.36</v>
      </c>
      <c r="BS64" s="58">
        <f>BR34*0.4+BS34*0.5</f>
        <v>116391.04000000001</v>
      </c>
      <c r="BT64" s="58">
        <f t="shared" si="92"/>
        <v>1979779.6081884899</v>
      </c>
      <c r="BU64" s="60"/>
      <c r="BV64" s="58">
        <f t="shared" ref="BV64:CC64" si="98">BV38+BV63</f>
        <v>162757.867486095</v>
      </c>
      <c r="BW64" s="58">
        <f t="shared" si="98"/>
        <v>157566.83045180296</v>
      </c>
      <c r="BX64" s="58">
        <f t="shared" si="98"/>
        <v>197961.53846153844</v>
      </c>
      <c r="BY64" s="58">
        <f t="shared" si="98"/>
        <v>160769.23076923078</v>
      </c>
      <c r="BZ64" s="58">
        <f t="shared" si="98"/>
        <v>153232.39341785663</v>
      </c>
      <c r="CA64" s="58">
        <f t="shared" si="98"/>
        <v>143192.12910096842</v>
      </c>
      <c r="CB64" s="58">
        <f t="shared" si="98"/>
        <v>178736.21444761599</v>
      </c>
      <c r="CC64" s="58">
        <f t="shared" si="98"/>
        <v>202914.10079748323</v>
      </c>
      <c r="CD64" s="58">
        <f>CD38+CD63</f>
        <v>214499.61628422557</v>
      </c>
      <c r="CE64" s="58">
        <f>CE38+CE63</f>
        <v>217682.99793575107</v>
      </c>
      <c r="CF64" s="58">
        <f>CF38+CF63</f>
        <v>173115.84223630186</v>
      </c>
      <c r="CG64" s="58">
        <f t="shared" ref="CG64" si="99">BS64</f>
        <v>116391.04000000001</v>
      </c>
      <c r="CH64" s="58"/>
      <c r="CJ64" s="58">
        <f>CJ38+CJ63</f>
        <v>161344.16697726428</v>
      </c>
      <c r="CK64" s="58">
        <f t="shared" ref="CK64:CU64" si="100">CK38+CK63</f>
        <v>180873.49981364145</v>
      </c>
      <c r="CL64" s="58">
        <f t="shared" si="100"/>
        <v>172879.05329854641</v>
      </c>
      <c r="CM64" s="58">
        <f t="shared" si="100"/>
        <v>168578.1587774879</v>
      </c>
      <c r="CN64" s="58">
        <f t="shared" si="100"/>
        <v>181291.91203876259</v>
      </c>
      <c r="CO64" s="58">
        <f t="shared" si="100"/>
        <v>138386.95490122997</v>
      </c>
      <c r="CP64" s="58">
        <f t="shared" si="100"/>
        <v>217610.97046413503</v>
      </c>
      <c r="CQ64" s="58">
        <f>CQ38+CQ63</f>
        <v>234329.11392405062</v>
      </c>
      <c r="CR64" s="58">
        <f t="shared" si="100"/>
        <v>269765.40084388189</v>
      </c>
      <c r="CS64" s="58">
        <f t="shared" si="100"/>
        <v>257806.7510548523</v>
      </c>
      <c r="CT64" s="58">
        <f>CT38+CT63</f>
        <v>185135.02109704641</v>
      </c>
      <c r="CU64" s="58">
        <f t="shared" si="100"/>
        <v>111311.39240506329</v>
      </c>
      <c r="CV64" s="58">
        <f>SUM(CJ64:CU64)</f>
        <v>2279312.3955959622</v>
      </c>
      <c r="CW64" s="758"/>
      <c r="CX64" s="880">
        <v>98000</v>
      </c>
      <c r="CY64" s="880">
        <v>147381.66148608096</v>
      </c>
      <c r="CZ64" s="880">
        <v>188447.673527326</v>
      </c>
      <c r="DA64" s="880">
        <v>152352</v>
      </c>
      <c r="DB64" s="880">
        <v>128446</v>
      </c>
      <c r="DC64" s="880">
        <v>126790</v>
      </c>
      <c r="DD64" s="880">
        <v>173761</v>
      </c>
      <c r="DE64" s="880">
        <v>173510.59907300101</v>
      </c>
      <c r="DF64" s="880">
        <v>202797.42255697199</v>
      </c>
      <c r="DG64" s="880">
        <v>202922.18655851699</v>
      </c>
      <c r="DH64" s="880">
        <v>232502.36</v>
      </c>
      <c r="DI64" s="880">
        <v>116391.04000000001</v>
      </c>
      <c r="DJ64" s="58"/>
      <c r="DK64" s="948"/>
      <c r="DL64" s="880">
        <v>98000</v>
      </c>
      <c r="DM64" s="880">
        <v>147381.66148608096</v>
      </c>
      <c r="DN64" s="880">
        <v>188447.673527326</v>
      </c>
      <c r="DO64" s="880">
        <v>152352</v>
      </c>
      <c r="DP64" s="880">
        <v>128446</v>
      </c>
      <c r="DQ64" s="880">
        <v>126790</v>
      </c>
      <c r="DR64" s="880">
        <v>173761</v>
      </c>
      <c r="DS64" s="880">
        <v>173510.59907300101</v>
      </c>
      <c r="DT64" s="880">
        <v>202797.42255697199</v>
      </c>
      <c r="DU64" s="880">
        <v>202922.18655851699</v>
      </c>
      <c r="DV64" s="880">
        <v>232502.36</v>
      </c>
      <c r="DW64" s="880">
        <v>116391.04000000001</v>
      </c>
      <c r="DX64" s="58"/>
    </row>
    <row r="65" spans="1:129" ht="18.75" hidden="1">
      <c r="A65" s="101" t="s">
        <v>75</v>
      </c>
      <c r="B65" s="931"/>
      <c r="C65" s="909"/>
      <c r="D65" s="277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262"/>
      <c r="Q65" s="15"/>
      <c r="R65" s="277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263"/>
      <c r="AE65" s="16"/>
      <c r="AF65" s="261">
        <v>133791</v>
      </c>
      <c r="AG65" s="14">
        <v>166459</v>
      </c>
      <c r="AH65" s="14">
        <v>149450</v>
      </c>
      <c r="AI65" s="14">
        <v>151073</v>
      </c>
      <c r="AJ65" s="14">
        <v>192944</v>
      </c>
      <c r="AK65" s="14">
        <v>166139</v>
      </c>
      <c r="AL65" s="14">
        <v>151874</v>
      </c>
      <c r="AM65" s="14">
        <v>157771</v>
      </c>
      <c r="AN65" s="14">
        <v>200312</v>
      </c>
      <c r="AO65" s="14">
        <v>202691</v>
      </c>
      <c r="AP65" s="14">
        <v>207768</v>
      </c>
      <c r="AQ65" s="14">
        <v>113286</v>
      </c>
      <c r="AR65" s="14">
        <f>SUM(AF65:AK65)</f>
        <v>959856</v>
      </c>
      <c r="AS65" s="17"/>
      <c r="AT65" s="14">
        <v>89680</v>
      </c>
      <c r="AU65" s="14">
        <v>128308</v>
      </c>
      <c r="AV65" s="14">
        <v>144871</v>
      </c>
      <c r="AW65" s="32">
        <v>161772</v>
      </c>
      <c r="AX65" s="32">
        <v>144516</v>
      </c>
      <c r="AY65" s="32">
        <v>103667</v>
      </c>
      <c r="AZ65" s="32">
        <v>141023</v>
      </c>
      <c r="BA65" s="32">
        <v>172093</v>
      </c>
      <c r="BB65" s="32">
        <f>166606+10000</f>
        <v>176606</v>
      </c>
      <c r="BC65" s="32">
        <v>181091</v>
      </c>
      <c r="BD65" s="32">
        <v>169802</v>
      </c>
      <c r="BE65" s="32">
        <v>120406</v>
      </c>
      <c r="BF65" s="32">
        <f t="shared" si="77"/>
        <v>1733835</v>
      </c>
      <c r="BG65" s="17">
        <f>BG62/AR62</f>
        <v>9.9910256474894502E-2</v>
      </c>
      <c r="BH65" s="14">
        <v>78906</v>
      </c>
      <c r="BI65" s="14">
        <v>119296</v>
      </c>
      <c r="BJ65" s="14">
        <v>165286</v>
      </c>
      <c r="BK65" s="14">
        <v>144532</v>
      </c>
      <c r="BL65" s="32">
        <v>157691</v>
      </c>
      <c r="BM65" s="32">
        <v>129096</v>
      </c>
      <c r="BN65" s="32">
        <v>125800</v>
      </c>
      <c r="BO65" s="32">
        <v>176354</v>
      </c>
      <c r="BP65" s="32">
        <v>173554</v>
      </c>
      <c r="BQ65" s="32">
        <v>185766</v>
      </c>
      <c r="BR65" s="32"/>
      <c r="BS65" s="32"/>
      <c r="BT65" s="32">
        <f t="shared" si="92"/>
        <v>1456281</v>
      </c>
      <c r="BU65" s="28"/>
      <c r="BV65" s="14"/>
      <c r="BW65" s="14"/>
      <c r="BX65" s="14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J65" s="14"/>
      <c r="CK65" s="14"/>
      <c r="CL65" s="14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758"/>
      <c r="CX65" s="873"/>
      <c r="CY65" s="873"/>
      <c r="CZ65" s="873"/>
      <c r="DA65" s="872"/>
      <c r="DB65" s="872"/>
      <c r="DC65" s="872"/>
      <c r="DD65" s="872"/>
      <c r="DE65" s="872"/>
      <c r="DF65" s="872"/>
      <c r="DG65" s="872"/>
      <c r="DH65" s="872"/>
      <c r="DI65" s="872"/>
      <c r="DJ65" s="32"/>
      <c r="DK65" s="948"/>
      <c r="DL65" s="873"/>
      <c r="DM65" s="873"/>
      <c r="DN65" s="873"/>
      <c r="DO65" s="872"/>
      <c r="DP65" s="872"/>
      <c r="DQ65" s="872"/>
      <c r="DR65" s="872"/>
      <c r="DS65" s="872"/>
      <c r="DT65" s="872"/>
      <c r="DU65" s="872"/>
      <c r="DV65" s="872"/>
      <c r="DW65" s="872"/>
      <c r="DX65" s="32"/>
    </row>
    <row r="66" spans="1:129" ht="18.75" hidden="1">
      <c r="A66" s="103"/>
      <c r="B66" s="932" t="s">
        <v>76</v>
      </c>
      <c r="C66" s="933"/>
      <c r="D66" s="331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332"/>
      <c r="Q66" s="105"/>
      <c r="R66" s="333"/>
      <c r="S66" s="333"/>
      <c r="T66" s="333"/>
      <c r="U66" s="333"/>
      <c r="V66" s="333"/>
      <c r="W66" s="333"/>
      <c r="X66" s="333"/>
      <c r="Y66" s="333"/>
      <c r="Z66" s="333"/>
      <c r="AA66" s="333"/>
      <c r="AB66" s="333"/>
      <c r="AC66" s="333"/>
      <c r="AD66" s="334"/>
      <c r="AE66" s="106"/>
      <c r="AF66" s="333">
        <f t="shared" ref="AF66:AQ66" si="101">AF65-AF32</f>
        <v>133789.5653258567</v>
      </c>
      <c r="AG66" s="333">
        <f t="shared" si="101"/>
        <v>166455.02546723894</v>
      </c>
      <c r="AH66" s="333">
        <f t="shared" si="101"/>
        <v>149445.54627453614</v>
      </c>
      <c r="AI66" s="333">
        <f t="shared" si="101"/>
        <v>151069.82181047046</v>
      </c>
      <c r="AJ66" s="333">
        <f t="shared" si="101"/>
        <v>192941.24487749056</v>
      </c>
      <c r="AK66" s="333">
        <f t="shared" si="101"/>
        <v>166135.77020296719</v>
      </c>
      <c r="AL66" s="333">
        <f t="shared" si="101"/>
        <v>151871.64243647002</v>
      </c>
      <c r="AM66" s="333">
        <f t="shared" si="101"/>
        <v>157768.8586839418</v>
      </c>
      <c r="AN66" s="333">
        <f t="shared" si="101"/>
        <v>200310.09576397031</v>
      </c>
      <c r="AO66" s="333">
        <f t="shared" si="101"/>
        <v>202687.83135883085</v>
      </c>
      <c r="AP66" s="333">
        <f t="shared" si="101"/>
        <v>207762.85122649223</v>
      </c>
      <c r="AQ66" s="333">
        <f t="shared" si="101"/>
        <v>113282.51926932538</v>
      </c>
      <c r="AR66" s="107">
        <f t="shared" ref="AR66:AR74" si="102">SUM(AF66:AQ66)</f>
        <v>1993520.772697591</v>
      </c>
      <c r="AS66" s="106"/>
      <c r="AT66" s="333">
        <f t="shared" ref="AT66:BE66" si="103">AT65-AT64</f>
        <v>-19510</v>
      </c>
      <c r="AU66" s="333">
        <f t="shared" si="103"/>
        <v>-25359</v>
      </c>
      <c r="AV66" s="333">
        <f t="shared" si="103"/>
        <v>-33907</v>
      </c>
      <c r="AW66" s="333">
        <f t="shared" si="103"/>
        <v>9802</v>
      </c>
      <c r="AX66" s="333">
        <f t="shared" si="103"/>
        <v>2100</v>
      </c>
      <c r="AY66" s="333">
        <f t="shared" si="103"/>
        <v>-73668</v>
      </c>
      <c r="AZ66" s="333">
        <f t="shared" si="103"/>
        <v>-11207</v>
      </c>
      <c r="BA66" s="333">
        <f t="shared" si="103"/>
        <v>-73434</v>
      </c>
      <c r="BB66" s="333">
        <f t="shared" si="103"/>
        <v>-18264.518518518511</v>
      </c>
      <c r="BC66" s="333">
        <f t="shared" si="103"/>
        <v>-33131.222222222219</v>
      </c>
      <c r="BD66" s="333">
        <f t="shared" si="103"/>
        <v>50394.592592592599</v>
      </c>
      <c r="BE66" s="333">
        <f t="shared" si="103"/>
        <v>86709.703703703708</v>
      </c>
      <c r="BF66" s="108">
        <f t="shared" si="77"/>
        <v>-139474.44444444444</v>
      </c>
      <c r="BG66" s="106"/>
      <c r="BH66" s="333">
        <f t="shared" ref="BH66:BQ66" si="104">BH65-BH64</f>
        <v>-77302</v>
      </c>
      <c r="BI66" s="333">
        <f t="shared" si="104"/>
        <v>-28044</v>
      </c>
      <c r="BJ66" s="333">
        <f t="shared" si="104"/>
        <v>-1473</v>
      </c>
      <c r="BK66" s="333">
        <f t="shared" si="104"/>
        <v>-7820</v>
      </c>
      <c r="BL66" s="333">
        <f t="shared" si="104"/>
        <v>29245</v>
      </c>
      <c r="BM66" s="333">
        <f t="shared" si="104"/>
        <v>2306</v>
      </c>
      <c r="BN66" s="333">
        <f t="shared" si="104"/>
        <v>-47961</v>
      </c>
      <c r="BO66" s="333">
        <f t="shared" si="104"/>
        <v>2843.4009269989911</v>
      </c>
      <c r="BP66" s="333">
        <f t="shared" si="104"/>
        <v>-29243.422556971986</v>
      </c>
      <c r="BQ66" s="333">
        <f t="shared" si="104"/>
        <v>-17156.186558516987</v>
      </c>
      <c r="BR66" s="108"/>
      <c r="BS66" s="108"/>
      <c r="BT66" s="108">
        <f t="shared" si="92"/>
        <v>-174605.20818848998</v>
      </c>
      <c r="BU66" s="28"/>
      <c r="BV66" s="333"/>
      <c r="BW66" s="333"/>
      <c r="BX66" s="333"/>
      <c r="BY66" s="333"/>
      <c r="BZ66" s="108"/>
      <c r="CA66" s="108"/>
      <c r="CB66" s="108"/>
      <c r="CC66" s="108"/>
      <c r="CD66" s="108"/>
      <c r="CE66" s="108"/>
      <c r="CF66" s="108"/>
      <c r="CG66" s="108"/>
      <c r="CH66" s="108"/>
      <c r="CJ66" s="333"/>
      <c r="CK66" s="333"/>
      <c r="CL66" s="333"/>
      <c r="CM66" s="333"/>
      <c r="CN66" s="108"/>
      <c r="CO66" s="108"/>
      <c r="CP66" s="108"/>
      <c r="CQ66" s="108"/>
      <c r="CR66" s="108"/>
      <c r="CS66" s="108"/>
      <c r="CT66" s="108"/>
      <c r="CU66" s="108"/>
      <c r="CV66" s="108"/>
      <c r="CW66" s="758"/>
      <c r="CX66" s="892"/>
      <c r="CY66" s="892"/>
      <c r="CZ66" s="892"/>
      <c r="DA66" s="892"/>
      <c r="DB66" s="893"/>
      <c r="DC66" s="893"/>
      <c r="DD66" s="893"/>
      <c r="DE66" s="893"/>
      <c r="DF66" s="893"/>
      <c r="DG66" s="893"/>
      <c r="DH66" s="893"/>
      <c r="DI66" s="893"/>
      <c r="DJ66" s="108"/>
      <c r="DK66" s="948"/>
      <c r="DL66" s="892"/>
      <c r="DM66" s="892"/>
      <c r="DN66" s="892"/>
      <c r="DO66" s="892"/>
      <c r="DP66" s="893"/>
      <c r="DQ66" s="893"/>
      <c r="DR66" s="893"/>
      <c r="DS66" s="893"/>
      <c r="DT66" s="893"/>
      <c r="DU66" s="893"/>
      <c r="DV66" s="893"/>
      <c r="DW66" s="893"/>
      <c r="DX66" s="108"/>
    </row>
    <row r="67" spans="1:129" ht="15.75" hidden="1" customHeight="1">
      <c r="A67" s="94">
        <v>5</v>
      </c>
      <c r="B67" s="921" t="s">
        <v>77</v>
      </c>
      <c r="C67" s="934"/>
      <c r="D67" s="313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>
        <v>0</v>
      </c>
      <c r="P67" s="314">
        <f>SUM(D67:O67)</f>
        <v>0</v>
      </c>
      <c r="Q67" s="90"/>
      <c r="R67" s="313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315">
        <f>SUM(R67:AC67)</f>
        <v>0</v>
      </c>
      <c r="AE67" s="23"/>
      <c r="AF67" s="316">
        <v>0</v>
      </c>
      <c r="AG67" s="91">
        <v>0</v>
      </c>
      <c r="AH67" s="91">
        <v>0</v>
      </c>
      <c r="AI67" s="91">
        <v>0</v>
      </c>
      <c r="AJ67" s="91">
        <v>0</v>
      </c>
      <c r="AK67" s="91">
        <v>0</v>
      </c>
      <c r="AL67" s="91">
        <v>0</v>
      </c>
      <c r="AM67" s="91">
        <v>0</v>
      </c>
      <c r="AN67" s="91">
        <v>0</v>
      </c>
      <c r="AO67" s="91">
        <v>0</v>
      </c>
      <c r="AP67" s="91"/>
      <c r="AQ67" s="91">
        <v>8938</v>
      </c>
      <c r="AR67" s="92">
        <f t="shared" si="102"/>
        <v>8938</v>
      </c>
      <c r="AS67" s="23"/>
      <c r="AT67" s="91">
        <v>106642</v>
      </c>
      <c r="AU67" s="91">
        <v>90699</v>
      </c>
      <c r="AV67" s="91">
        <v>89681</v>
      </c>
      <c r="AW67" s="91">
        <v>58790</v>
      </c>
      <c r="AX67" s="91">
        <v>35520</v>
      </c>
      <c r="AY67" s="91">
        <v>61551</v>
      </c>
      <c r="AZ67" s="91">
        <v>71511</v>
      </c>
      <c r="BA67" s="91">
        <v>63617</v>
      </c>
      <c r="BB67" s="91">
        <v>66748</v>
      </c>
      <c r="BC67" s="91">
        <v>75532</v>
      </c>
      <c r="BD67" s="91">
        <v>37786</v>
      </c>
      <c r="BE67" s="91">
        <v>4503</v>
      </c>
      <c r="BF67" s="91">
        <f t="shared" si="77"/>
        <v>762580</v>
      </c>
      <c r="BG67" s="27"/>
      <c r="BH67" s="91">
        <v>69404</v>
      </c>
      <c r="BI67" s="91">
        <v>80412</v>
      </c>
      <c r="BJ67" s="91">
        <v>94386</v>
      </c>
      <c r="BK67" s="91">
        <v>78313</v>
      </c>
      <c r="BL67" s="91">
        <v>47034</v>
      </c>
      <c r="BM67" s="91">
        <v>50851</v>
      </c>
      <c r="BN67" s="91">
        <v>93202</v>
      </c>
      <c r="BO67" s="91">
        <v>100687</v>
      </c>
      <c r="BP67" s="91">
        <v>127995</v>
      </c>
      <c r="BQ67" s="91">
        <v>122686</v>
      </c>
      <c r="BR67" s="91"/>
      <c r="BS67" s="91"/>
      <c r="BT67" s="91"/>
      <c r="BU67" s="28"/>
      <c r="BV67" s="91"/>
      <c r="BW67" s="91"/>
      <c r="BX67" s="91"/>
      <c r="BY67" s="91"/>
      <c r="BZ67" s="91"/>
      <c r="CA67" s="91"/>
      <c r="CB67" s="91"/>
      <c r="CC67" s="91"/>
      <c r="CD67" s="91"/>
      <c r="CE67" s="91"/>
      <c r="CF67" s="91"/>
      <c r="CG67" s="91"/>
      <c r="CH67" s="91"/>
      <c r="CJ67" s="91"/>
      <c r="CK67" s="91"/>
      <c r="CL67" s="91"/>
      <c r="CM67" s="91"/>
      <c r="CN67" s="91"/>
      <c r="CO67" s="91"/>
      <c r="CP67" s="91"/>
      <c r="CQ67" s="91"/>
      <c r="CR67" s="91"/>
      <c r="CS67" s="91"/>
      <c r="CT67" s="91"/>
      <c r="CU67" s="91"/>
      <c r="CV67" s="91"/>
      <c r="CW67" s="758"/>
      <c r="CX67" s="884"/>
      <c r="CY67" s="884"/>
      <c r="CZ67" s="884"/>
      <c r="DA67" s="884"/>
      <c r="DB67" s="884"/>
      <c r="DC67" s="884"/>
      <c r="DD67" s="884"/>
      <c r="DE67" s="884"/>
      <c r="DF67" s="884"/>
      <c r="DG67" s="884"/>
      <c r="DH67" s="884"/>
      <c r="DI67" s="884"/>
      <c r="DJ67" s="91"/>
      <c r="DK67" s="948"/>
      <c r="DL67" s="884"/>
      <c r="DM67" s="884"/>
      <c r="DN67" s="884"/>
      <c r="DO67" s="884"/>
      <c r="DP67" s="884"/>
      <c r="DQ67" s="884"/>
      <c r="DR67" s="884"/>
      <c r="DS67" s="884"/>
      <c r="DT67" s="884"/>
      <c r="DU67" s="884"/>
      <c r="DV67" s="884"/>
      <c r="DW67" s="884"/>
      <c r="DX67" s="91"/>
    </row>
    <row r="68" spans="1:129" ht="18.75" hidden="1">
      <c r="A68" s="13" t="s">
        <v>78</v>
      </c>
      <c r="B68" s="908"/>
      <c r="C68" s="909"/>
      <c r="D68" s="277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262"/>
      <c r="Q68" s="15"/>
      <c r="R68" s="277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263"/>
      <c r="AE68" s="16"/>
      <c r="AF68" s="261">
        <f t="shared" ref="AF68:AQ68" si="105">AF69+AF71</f>
        <v>118364</v>
      </c>
      <c r="AG68" s="261">
        <f t="shared" si="105"/>
        <v>173742</v>
      </c>
      <c r="AH68" s="261">
        <f t="shared" si="105"/>
        <v>73470</v>
      </c>
      <c r="AI68" s="261">
        <f t="shared" si="105"/>
        <v>87377</v>
      </c>
      <c r="AJ68" s="261">
        <f t="shared" si="105"/>
        <v>119657</v>
      </c>
      <c r="AK68" s="261">
        <f t="shared" si="105"/>
        <v>154747</v>
      </c>
      <c r="AL68" s="261">
        <f t="shared" si="105"/>
        <v>138073</v>
      </c>
      <c r="AM68" s="261">
        <f t="shared" si="105"/>
        <v>180773</v>
      </c>
      <c r="AN68" s="261">
        <f t="shared" si="105"/>
        <v>194598</v>
      </c>
      <c r="AO68" s="261">
        <f t="shared" si="105"/>
        <v>242931</v>
      </c>
      <c r="AP68" s="261">
        <f t="shared" si="105"/>
        <v>107346</v>
      </c>
      <c r="AQ68" s="261">
        <f t="shared" si="105"/>
        <v>87384</v>
      </c>
      <c r="AR68" s="14">
        <f t="shared" si="102"/>
        <v>1678462</v>
      </c>
      <c r="AS68" s="17"/>
      <c r="AT68" s="261">
        <f t="shared" ref="AT68:BE68" si="106">AT69+AT71</f>
        <v>155346</v>
      </c>
      <c r="AU68" s="261">
        <f t="shared" si="106"/>
        <v>123370</v>
      </c>
      <c r="AV68" s="261">
        <f t="shared" si="106"/>
        <v>144065</v>
      </c>
      <c r="AW68" s="261">
        <f t="shared" si="106"/>
        <v>127865</v>
      </c>
      <c r="AX68" s="261">
        <f t="shared" si="106"/>
        <v>123461</v>
      </c>
      <c r="AY68" s="261">
        <f t="shared" si="106"/>
        <v>121196</v>
      </c>
      <c r="AZ68" s="261">
        <f t="shared" si="106"/>
        <v>168029</v>
      </c>
      <c r="BA68" s="261">
        <f t="shared" si="106"/>
        <v>164268</v>
      </c>
      <c r="BB68" s="261">
        <f t="shared" si="106"/>
        <v>185112</v>
      </c>
      <c r="BC68" s="261">
        <f t="shared" si="106"/>
        <v>147235</v>
      </c>
      <c r="BD68" s="261">
        <f t="shared" si="106"/>
        <v>135608</v>
      </c>
      <c r="BE68" s="261">
        <f t="shared" si="106"/>
        <v>90194</v>
      </c>
      <c r="BF68" s="32">
        <f t="shared" si="77"/>
        <v>1685749</v>
      </c>
      <c r="BG68" s="35">
        <f t="shared" ref="BG68:BG69" si="107">BF68/AR68-1</f>
        <v>4.3414745165515356E-3</v>
      </c>
      <c r="BH68" s="261">
        <f>BH69+BH71</f>
        <v>144332</v>
      </c>
      <c r="BI68" s="261">
        <f t="shared" ref="BI68:BQ68" si="108">BI69+BI71</f>
        <v>128781</v>
      </c>
      <c r="BJ68" s="261">
        <f t="shared" si="108"/>
        <v>193129</v>
      </c>
      <c r="BK68" s="261">
        <f t="shared" si="108"/>
        <v>106092</v>
      </c>
      <c r="BL68" s="261">
        <f t="shared" si="108"/>
        <v>132638</v>
      </c>
      <c r="BM68" s="261">
        <f t="shared" si="108"/>
        <v>139193</v>
      </c>
      <c r="BN68" s="261">
        <f t="shared" si="108"/>
        <v>173703</v>
      </c>
      <c r="BO68" s="261">
        <f t="shared" si="108"/>
        <v>186902</v>
      </c>
      <c r="BP68" s="261">
        <f t="shared" si="108"/>
        <v>200686</v>
      </c>
      <c r="BQ68" s="261">
        <f t="shared" si="108"/>
        <v>191324</v>
      </c>
      <c r="BR68" s="14"/>
      <c r="BS68" s="14"/>
      <c r="BT68" s="14">
        <f t="shared" ref="BT68:BT73" si="109">SUM(BH68:BS68)</f>
        <v>1596780</v>
      </c>
      <c r="BU68" s="18"/>
      <c r="BV68" s="261"/>
      <c r="BW68" s="261"/>
      <c r="BX68" s="261"/>
      <c r="BY68" s="261"/>
      <c r="BZ68" s="14"/>
      <c r="CA68" s="14"/>
      <c r="CB68" s="14"/>
      <c r="CC68" s="14"/>
      <c r="CD68" s="14"/>
      <c r="CE68" s="14"/>
      <c r="CF68" s="14"/>
      <c r="CG68" s="14"/>
      <c r="CH68" s="14"/>
      <c r="CJ68" s="261">
        <f>CJ69+CJ71</f>
        <v>204853</v>
      </c>
      <c r="CK68" s="261">
        <f t="shared" ref="CK68:CM68" si="110">CK69+CK71</f>
        <v>0</v>
      </c>
      <c r="CL68" s="261">
        <f t="shared" si="110"/>
        <v>0</v>
      </c>
      <c r="CM68" s="261">
        <f t="shared" si="110"/>
        <v>0</v>
      </c>
      <c r="CN68" s="14"/>
      <c r="CO68" s="14"/>
      <c r="CP68" s="14"/>
      <c r="CQ68" s="14"/>
      <c r="CR68" s="14"/>
      <c r="CS68" s="14"/>
      <c r="CT68" s="14"/>
      <c r="CU68" s="14"/>
      <c r="CV68" s="14"/>
      <c r="CW68" s="758"/>
      <c r="CX68" s="874"/>
      <c r="CY68" s="874"/>
      <c r="CZ68" s="874"/>
      <c r="DA68" s="874"/>
      <c r="DB68" s="873"/>
      <c r="DC68" s="873"/>
      <c r="DD68" s="873"/>
      <c r="DE68" s="873"/>
      <c r="DF68" s="873"/>
      <c r="DG68" s="873"/>
      <c r="DH68" s="873"/>
      <c r="DI68" s="873"/>
      <c r="DJ68" s="14"/>
      <c r="DK68" s="948"/>
      <c r="DL68" s="874"/>
      <c r="DM68" s="874"/>
      <c r="DN68" s="874"/>
      <c r="DO68" s="874"/>
      <c r="DP68" s="873"/>
      <c r="DQ68" s="873"/>
      <c r="DR68" s="873"/>
      <c r="DS68" s="873"/>
      <c r="DT68" s="873"/>
      <c r="DU68" s="873"/>
      <c r="DV68" s="873"/>
      <c r="DW68" s="873"/>
      <c r="DX68" s="14"/>
    </row>
    <row r="69" spans="1:129" ht="15.75" hidden="1" customHeight="1">
      <c r="A69" s="210"/>
      <c r="B69" s="921" t="s">
        <v>79</v>
      </c>
      <c r="C69" s="890"/>
      <c r="D69" s="313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314"/>
      <c r="Q69" s="90"/>
      <c r="R69" s="313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315"/>
      <c r="AE69" s="23"/>
      <c r="AF69" s="316">
        <v>92193</v>
      </c>
      <c r="AG69" s="91">
        <v>152006</v>
      </c>
      <c r="AH69" s="91">
        <v>62734</v>
      </c>
      <c r="AI69" s="91">
        <v>71526</v>
      </c>
      <c r="AJ69" s="91">
        <v>89409</v>
      </c>
      <c r="AK69" s="91">
        <v>120675</v>
      </c>
      <c r="AL69" s="91">
        <v>100592</v>
      </c>
      <c r="AM69" s="91">
        <v>148128</v>
      </c>
      <c r="AN69" s="91">
        <v>164346</v>
      </c>
      <c r="AO69" s="91">
        <v>203437</v>
      </c>
      <c r="AP69" s="91">
        <v>64957</v>
      </c>
      <c r="AQ69" s="91">
        <v>31837</v>
      </c>
      <c r="AR69" s="92">
        <f t="shared" si="102"/>
        <v>1301840</v>
      </c>
      <c r="AS69" s="23"/>
      <c r="AT69" s="91">
        <v>125048</v>
      </c>
      <c r="AU69" s="91">
        <v>96006</v>
      </c>
      <c r="AV69" s="91">
        <v>111470</v>
      </c>
      <c r="AW69" s="91">
        <v>99222</v>
      </c>
      <c r="AX69" s="91">
        <v>91253</v>
      </c>
      <c r="AY69" s="91">
        <v>90595</v>
      </c>
      <c r="AZ69" s="91">
        <v>129147</v>
      </c>
      <c r="BA69" s="91">
        <v>133525</v>
      </c>
      <c r="BB69" s="91">
        <v>159291</v>
      </c>
      <c r="BC69" s="91">
        <v>115573</v>
      </c>
      <c r="BD69" s="91">
        <v>98386</v>
      </c>
      <c r="BE69" s="91">
        <v>36527</v>
      </c>
      <c r="BF69" s="91">
        <f t="shared" si="77"/>
        <v>1286043</v>
      </c>
      <c r="BG69" s="93">
        <f t="shared" si="107"/>
        <v>-1.2134363669882631E-2</v>
      </c>
      <c r="BH69" s="91">
        <v>110235</v>
      </c>
      <c r="BI69" s="91">
        <v>103047</v>
      </c>
      <c r="BJ69" s="91">
        <v>158855</v>
      </c>
      <c r="BK69" s="91">
        <v>77254</v>
      </c>
      <c r="BL69" s="91">
        <v>99853</v>
      </c>
      <c r="BM69" s="91">
        <v>100723</v>
      </c>
      <c r="BN69" s="91">
        <v>125338</v>
      </c>
      <c r="BO69" s="91">
        <v>153622</v>
      </c>
      <c r="BP69" s="91">
        <v>166483</v>
      </c>
      <c r="BQ69" s="91">
        <v>156140</v>
      </c>
      <c r="BR69" s="91">
        <v>111391</v>
      </c>
      <c r="BS69" s="91">
        <v>26768</v>
      </c>
      <c r="BT69" s="91">
        <f t="shared" si="109"/>
        <v>1389709</v>
      </c>
      <c r="BU69" s="28"/>
      <c r="BV69" s="91">
        <v>128446</v>
      </c>
      <c r="BW69" s="91">
        <v>119229</v>
      </c>
      <c r="BX69" s="91">
        <v>134860</v>
      </c>
      <c r="BY69" s="91">
        <v>111992</v>
      </c>
      <c r="BZ69" s="91">
        <v>102725</v>
      </c>
      <c r="CA69" s="91">
        <v>74472</v>
      </c>
      <c r="CB69" s="91">
        <v>164045</v>
      </c>
      <c r="CC69" s="91">
        <v>148167</v>
      </c>
      <c r="CD69" s="91">
        <v>189715</v>
      </c>
      <c r="CE69" s="91">
        <v>165488</v>
      </c>
      <c r="CF69" s="91">
        <v>103829</v>
      </c>
      <c r="CG69" s="91">
        <v>39967</v>
      </c>
      <c r="CH69" s="91">
        <f t="shared" ref="CH69:CH72" si="111">SUM(BV69:CG69)</f>
        <v>1482935</v>
      </c>
      <c r="CJ69" s="91">
        <v>167136</v>
      </c>
      <c r="CK69" s="91"/>
      <c r="CL69" s="91"/>
      <c r="CM69" s="91"/>
      <c r="CN69" s="91"/>
      <c r="CO69" s="91"/>
      <c r="CP69" s="91"/>
      <c r="CQ69" s="91"/>
      <c r="CR69" s="91"/>
      <c r="CS69" s="91"/>
      <c r="CT69" s="91"/>
      <c r="CU69" s="91"/>
      <c r="CV69" s="91"/>
      <c r="CW69" s="758"/>
      <c r="CX69" s="884">
        <v>54245</v>
      </c>
      <c r="CY69" s="884"/>
      <c r="CZ69" s="884"/>
      <c r="DA69" s="884"/>
      <c r="DB69" s="884"/>
      <c r="DC69" s="884"/>
      <c r="DD69" s="884"/>
      <c r="DE69" s="884"/>
      <c r="DF69" s="884"/>
      <c r="DG69" s="884"/>
      <c r="DH69" s="884"/>
      <c r="DI69" s="884"/>
      <c r="DJ69" s="91"/>
      <c r="DK69" s="948"/>
      <c r="DL69" s="884">
        <v>54245</v>
      </c>
      <c r="DM69" s="884"/>
      <c r="DN69" s="884"/>
      <c r="DO69" s="884"/>
      <c r="DP69" s="884"/>
      <c r="DQ69" s="884"/>
      <c r="DR69" s="884"/>
      <c r="DS69" s="884"/>
      <c r="DT69" s="884"/>
      <c r="DU69" s="884"/>
      <c r="DV69" s="884"/>
      <c r="DW69" s="884"/>
      <c r="DX69" s="91"/>
    </row>
    <row r="70" spans="1:129" ht="18.75" hidden="1">
      <c r="A70" s="103"/>
      <c r="B70" s="932" t="s">
        <v>80</v>
      </c>
      <c r="C70" s="933"/>
      <c r="D70" s="331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332"/>
      <c r="Q70" s="105"/>
      <c r="R70" s="333"/>
      <c r="S70" s="333"/>
      <c r="T70" s="333"/>
      <c r="U70" s="333"/>
      <c r="V70" s="333"/>
      <c r="W70" s="333"/>
      <c r="X70" s="333"/>
      <c r="Y70" s="333"/>
      <c r="Z70" s="333"/>
      <c r="AA70" s="333"/>
      <c r="AB70" s="333"/>
      <c r="AC70" s="333"/>
      <c r="AD70" s="334"/>
      <c r="AE70" s="106"/>
      <c r="AF70" s="333">
        <f t="shared" ref="AF70:AQ70" si="112">AF69-AF38</f>
        <v>2047</v>
      </c>
      <c r="AG70" s="333">
        <f t="shared" si="112"/>
        <v>-3571</v>
      </c>
      <c r="AH70" s="333">
        <f t="shared" si="112"/>
        <v>-219</v>
      </c>
      <c r="AI70" s="333">
        <f t="shared" si="112"/>
        <v>-1735</v>
      </c>
      <c r="AJ70" s="333">
        <f t="shared" si="112"/>
        <v>-2447</v>
      </c>
      <c r="AK70" s="333">
        <f t="shared" si="112"/>
        <v>675</v>
      </c>
      <c r="AL70" s="333">
        <f t="shared" si="112"/>
        <v>-9703</v>
      </c>
      <c r="AM70" s="333">
        <f t="shared" si="112"/>
        <v>-52075</v>
      </c>
      <c r="AN70" s="333">
        <f t="shared" si="112"/>
        <v>-59487.333333333343</v>
      </c>
      <c r="AO70" s="333">
        <f t="shared" si="112"/>
        <v>-15063</v>
      </c>
      <c r="AP70" s="333">
        <f t="shared" si="112"/>
        <v>-23043</v>
      </c>
      <c r="AQ70" s="333">
        <f t="shared" si="112"/>
        <v>-11563</v>
      </c>
      <c r="AR70" s="107">
        <f t="shared" si="102"/>
        <v>-176184.33333333334</v>
      </c>
      <c r="AS70" s="106"/>
      <c r="AT70" s="333">
        <f t="shared" ref="AT70:BE70" si="113">AT69-AT38</f>
        <v>8451.75</v>
      </c>
      <c r="AU70" s="333">
        <f t="shared" si="113"/>
        <v>-37227.103448275855</v>
      </c>
      <c r="AV70" s="333">
        <f t="shared" si="113"/>
        <v>-6779.1379310344782</v>
      </c>
      <c r="AW70" s="333">
        <f t="shared" si="113"/>
        <v>-22342.137931034478</v>
      </c>
      <c r="AX70" s="333">
        <f t="shared" si="113"/>
        <v>4719.0344827586232</v>
      </c>
      <c r="AY70" s="333">
        <f t="shared" si="113"/>
        <v>-14182.777777777781</v>
      </c>
      <c r="AZ70" s="333">
        <f t="shared" si="113"/>
        <v>-6630.777777777781</v>
      </c>
      <c r="BA70" s="333">
        <f t="shared" si="113"/>
        <v>-77771.296296296292</v>
      </c>
      <c r="BB70" s="333">
        <f t="shared" si="113"/>
        <v>-51486.777777777781</v>
      </c>
      <c r="BC70" s="333">
        <f t="shared" si="113"/>
        <v>-99233.290755657828</v>
      </c>
      <c r="BD70" s="333">
        <f t="shared" si="113"/>
        <v>5175.413118527038</v>
      </c>
      <c r="BE70" s="333">
        <f t="shared" si="113"/>
        <v>5840.3870349060235</v>
      </c>
      <c r="BF70" s="108">
        <f t="shared" si="77"/>
        <v>-291466.71505944064</v>
      </c>
      <c r="BG70" s="106"/>
      <c r="BH70" s="333">
        <f t="shared" ref="BH70:BQ70" si="114">BH69-BH35</f>
        <v>-6365</v>
      </c>
      <c r="BI70" s="333">
        <f t="shared" si="114"/>
        <v>-8486.3333333333285</v>
      </c>
      <c r="BJ70" s="333">
        <f t="shared" si="114"/>
        <v>23180.925925925927</v>
      </c>
      <c r="BK70" s="333">
        <f t="shared" si="114"/>
        <v>-44486.740740740745</v>
      </c>
      <c r="BL70" s="333">
        <f t="shared" si="114"/>
        <v>5926.148148148146</v>
      </c>
      <c r="BM70" s="333">
        <f t="shared" si="114"/>
        <v>10043.740740740745</v>
      </c>
      <c r="BN70" s="333">
        <f t="shared" si="114"/>
        <v>-4917.555555555562</v>
      </c>
      <c r="BO70" s="333">
        <f t="shared" si="114"/>
        <v>3071.6218888889125</v>
      </c>
      <c r="BP70" s="333">
        <f t="shared" si="114"/>
        <v>4652.2504629629548</v>
      </c>
      <c r="BQ70" s="333">
        <f t="shared" si="114"/>
        <v>29010</v>
      </c>
      <c r="BR70" s="108"/>
      <c r="BS70" s="108"/>
      <c r="BT70" s="108">
        <f t="shared" si="109"/>
        <v>11629.05753703705</v>
      </c>
      <c r="BU70" s="28"/>
      <c r="BV70" s="333">
        <v>124435</v>
      </c>
      <c r="BW70" s="333">
        <v>117564</v>
      </c>
      <c r="BX70" s="333">
        <v>133262</v>
      </c>
      <c r="BY70" s="333">
        <v>110312</v>
      </c>
      <c r="BZ70" s="108">
        <v>101441</v>
      </c>
      <c r="CA70" s="108">
        <v>67535</v>
      </c>
      <c r="CB70" s="108">
        <v>155594</v>
      </c>
      <c r="CC70" s="108"/>
      <c r="CD70" s="108"/>
      <c r="CE70" s="108"/>
      <c r="CF70" s="108"/>
      <c r="CG70" s="108"/>
      <c r="CH70" s="108">
        <f t="shared" si="111"/>
        <v>810143</v>
      </c>
      <c r="CJ70" s="333">
        <v>159683</v>
      </c>
      <c r="CK70" s="333">
        <v>182683</v>
      </c>
      <c r="CL70" s="333">
        <v>137562</v>
      </c>
      <c r="CM70" s="333">
        <v>131937</v>
      </c>
      <c r="CN70" s="108"/>
      <c r="CO70" s="108"/>
      <c r="CP70" s="108"/>
      <c r="CQ70" s="108"/>
      <c r="CR70" s="108"/>
      <c r="CS70" s="108"/>
      <c r="CT70" s="108"/>
      <c r="CU70" s="108"/>
      <c r="CV70" s="108"/>
      <c r="CW70" s="758"/>
      <c r="CX70" s="892"/>
      <c r="CY70" s="892"/>
      <c r="CZ70" s="892"/>
      <c r="DA70" s="892"/>
      <c r="DB70" s="893"/>
      <c r="DC70" s="893"/>
      <c r="DD70" s="893"/>
      <c r="DE70" s="893"/>
      <c r="DF70" s="893"/>
      <c r="DG70" s="893"/>
      <c r="DH70" s="893"/>
      <c r="DI70" s="893"/>
      <c r="DJ70" s="108"/>
      <c r="DK70" s="948"/>
      <c r="DL70" s="892"/>
      <c r="DM70" s="892"/>
      <c r="DN70" s="892"/>
      <c r="DO70" s="892"/>
      <c r="DP70" s="893"/>
      <c r="DQ70" s="893"/>
      <c r="DR70" s="893"/>
      <c r="DS70" s="893"/>
      <c r="DT70" s="893"/>
      <c r="DU70" s="893"/>
      <c r="DV70" s="893"/>
      <c r="DW70" s="893"/>
      <c r="DX70" s="108"/>
    </row>
    <row r="71" spans="1:129" ht="15.75" hidden="1" customHeight="1">
      <c r="A71" s="94"/>
      <c r="B71" s="935" t="s">
        <v>81</v>
      </c>
      <c r="C71" s="934"/>
      <c r="D71" s="313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314"/>
      <c r="Q71" s="90"/>
      <c r="R71" s="316"/>
      <c r="S71" s="316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5"/>
      <c r="AE71" s="23"/>
      <c r="AF71" s="316">
        <v>26171</v>
      </c>
      <c r="AG71" s="316">
        <v>21736</v>
      </c>
      <c r="AH71" s="316">
        <v>10736</v>
      </c>
      <c r="AI71" s="316">
        <v>15851</v>
      </c>
      <c r="AJ71" s="316">
        <v>30248</v>
      </c>
      <c r="AK71" s="316">
        <v>34072</v>
      </c>
      <c r="AL71" s="316">
        <v>37481</v>
      </c>
      <c r="AM71" s="91">
        <v>32645</v>
      </c>
      <c r="AN71" s="91">
        <v>30252</v>
      </c>
      <c r="AO71" s="91">
        <v>39494</v>
      </c>
      <c r="AP71" s="91">
        <v>42389</v>
      </c>
      <c r="AQ71" s="91">
        <v>55547</v>
      </c>
      <c r="AR71" s="92">
        <f t="shared" si="102"/>
        <v>376622</v>
      </c>
      <c r="AS71" s="23"/>
      <c r="AT71" s="91">
        <v>30298</v>
      </c>
      <c r="AU71" s="91">
        <v>27364</v>
      </c>
      <c r="AV71" s="91">
        <v>32595</v>
      </c>
      <c r="AW71" s="91">
        <v>28643</v>
      </c>
      <c r="AX71" s="91">
        <v>32208</v>
      </c>
      <c r="AY71" s="91">
        <v>30601</v>
      </c>
      <c r="AZ71" s="91">
        <v>38882</v>
      </c>
      <c r="BA71" s="91">
        <v>30743</v>
      </c>
      <c r="BB71" s="91">
        <f>24621+1200</f>
        <v>25821</v>
      </c>
      <c r="BC71" s="91">
        <v>31662</v>
      </c>
      <c r="BD71" s="91">
        <v>37222</v>
      </c>
      <c r="BE71" s="91">
        <v>53667</v>
      </c>
      <c r="BF71" s="91">
        <f t="shared" si="77"/>
        <v>399706</v>
      </c>
      <c r="BG71" s="93">
        <f>BF71/AR71-1</f>
        <v>6.1292224033646425E-2</v>
      </c>
      <c r="BH71" s="91">
        <v>34097</v>
      </c>
      <c r="BI71" s="91">
        <v>25734</v>
      </c>
      <c r="BJ71" s="91">
        <v>34274</v>
      </c>
      <c r="BK71" s="91">
        <v>28838</v>
      </c>
      <c r="BL71" s="91">
        <v>32785</v>
      </c>
      <c r="BM71" s="91">
        <v>38470</v>
      </c>
      <c r="BN71" s="91">
        <v>48365</v>
      </c>
      <c r="BO71" s="91">
        <v>33280</v>
      </c>
      <c r="BP71" s="91">
        <v>34203</v>
      </c>
      <c r="BQ71" s="91">
        <v>35184</v>
      </c>
      <c r="BR71" s="91">
        <v>34873</v>
      </c>
      <c r="BS71" s="91">
        <v>48960</v>
      </c>
      <c r="BT71" s="91">
        <f t="shared" si="109"/>
        <v>429063</v>
      </c>
      <c r="BU71" s="28"/>
      <c r="BV71" s="91">
        <v>38900</v>
      </c>
      <c r="BW71" s="91">
        <v>31376</v>
      </c>
      <c r="BX71" s="91">
        <v>29886</v>
      </c>
      <c r="BY71" s="91">
        <v>30671</v>
      </c>
      <c r="BZ71" s="91">
        <v>34553</v>
      </c>
      <c r="CA71" s="91">
        <v>36515</v>
      </c>
      <c r="CB71" s="91">
        <v>38915</v>
      </c>
      <c r="CC71" s="91">
        <v>34615</v>
      </c>
      <c r="CD71" s="91">
        <v>29617</v>
      </c>
      <c r="CE71" s="91">
        <v>34538</v>
      </c>
      <c r="CF71" s="91">
        <v>45914</v>
      </c>
      <c r="CG71" s="91">
        <v>60875</v>
      </c>
      <c r="CH71" s="91">
        <f t="shared" si="111"/>
        <v>446375</v>
      </c>
      <c r="CJ71" s="91">
        <v>37717</v>
      </c>
      <c r="CK71" s="91"/>
      <c r="CL71" s="91"/>
      <c r="CM71" s="91"/>
      <c r="CN71" s="91"/>
      <c r="CO71" s="91"/>
      <c r="CP71" s="91"/>
      <c r="CQ71" s="91"/>
      <c r="CR71" s="91"/>
      <c r="CS71" s="91"/>
      <c r="CT71" s="91"/>
      <c r="CU71" s="91"/>
      <c r="CV71" s="91"/>
      <c r="CW71" s="758"/>
      <c r="CX71" s="884">
        <v>22115</v>
      </c>
      <c r="CY71" s="884"/>
      <c r="CZ71" s="884"/>
      <c r="DA71" s="884"/>
      <c r="DB71" s="884"/>
      <c r="DC71" s="884"/>
      <c r="DD71" s="884"/>
      <c r="DE71" s="884"/>
      <c r="DF71" s="884"/>
      <c r="DG71" s="884"/>
      <c r="DH71" s="884"/>
      <c r="DI71" s="884"/>
      <c r="DJ71" s="91"/>
      <c r="DK71" s="948"/>
      <c r="DL71" s="884">
        <v>22115</v>
      </c>
      <c r="DM71" s="884"/>
      <c r="DN71" s="884"/>
      <c r="DO71" s="884"/>
      <c r="DP71" s="884"/>
      <c r="DQ71" s="884"/>
      <c r="DR71" s="884"/>
      <c r="DS71" s="884"/>
      <c r="DT71" s="884"/>
      <c r="DU71" s="884"/>
      <c r="DV71" s="884"/>
      <c r="DW71" s="884"/>
      <c r="DX71" s="91"/>
    </row>
    <row r="72" spans="1:129" ht="18.75" hidden="1">
      <c r="A72" s="103"/>
      <c r="B72" s="932" t="s">
        <v>82</v>
      </c>
      <c r="C72" s="933"/>
      <c r="D72" s="331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332"/>
      <c r="Q72" s="105"/>
      <c r="R72" s="333"/>
      <c r="S72" s="333"/>
      <c r="T72" s="333"/>
      <c r="U72" s="333"/>
      <c r="V72" s="333"/>
      <c r="W72" s="333"/>
      <c r="X72" s="333"/>
      <c r="Y72" s="333"/>
      <c r="Z72" s="333"/>
      <c r="AA72" s="333"/>
      <c r="AB72" s="333"/>
      <c r="AC72" s="333"/>
      <c r="AD72" s="334"/>
      <c r="AE72" s="106"/>
      <c r="AF72" s="333">
        <f t="shared" ref="AF72:AQ72" si="115">AF71-AF62</f>
        <v>-12329</v>
      </c>
      <c r="AG72" s="333">
        <f t="shared" si="115"/>
        <v>-664</v>
      </c>
      <c r="AH72" s="333">
        <f t="shared" si="115"/>
        <v>65</v>
      </c>
      <c r="AI72" s="333">
        <f t="shared" si="115"/>
        <v>-246</v>
      </c>
      <c r="AJ72" s="333">
        <f t="shared" si="115"/>
        <v>-30</v>
      </c>
      <c r="AK72" s="333">
        <f t="shared" si="115"/>
        <v>5512</v>
      </c>
      <c r="AL72" s="333">
        <f t="shared" si="115"/>
        <v>-4219</v>
      </c>
      <c r="AM72" s="333">
        <f t="shared" si="115"/>
        <v>-6055</v>
      </c>
      <c r="AN72" s="333">
        <f t="shared" si="115"/>
        <v>-7048</v>
      </c>
      <c r="AO72" s="333">
        <f t="shared" si="115"/>
        <v>2094</v>
      </c>
      <c r="AP72" s="333">
        <f t="shared" si="115"/>
        <v>1749</v>
      </c>
      <c r="AQ72" s="333">
        <f t="shared" si="115"/>
        <v>1107</v>
      </c>
      <c r="AR72" s="107">
        <f t="shared" si="102"/>
        <v>-20064</v>
      </c>
      <c r="AS72" s="106"/>
      <c r="AT72" s="333">
        <f t="shared" ref="AT72:BE72" si="116">AT71-AT62</f>
        <v>-5855</v>
      </c>
      <c r="AU72" s="333">
        <f t="shared" si="116"/>
        <v>-7925</v>
      </c>
      <c r="AV72" s="333">
        <f t="shared" si="116"/>
        <v>-3277</v>
      </c>
      <c r="AW72" s="333">
        <f t="shared" si="116"/>
        <v>-9388</v>
      </c>
      <c r="AX72" s="333">
        <f t="shared" si="116"/>
        <v>-1358</v>
      </c>
      <c r="AY72" s="333">
        <f t="shared" si="116"/>
        <v>-2965</v>
      </c>
      <c r="AZ72" s="333">
        <f t="shared" si="116"/>
        <v>7986</v>
      </c>
      <c r="BA72" s="333">
        <f t="shared" si="116"/>
        <v>-403</v>
      </c>
      <c r="BB72" s="333">
        <f t="shared" si="116"/>
        <v>-6809</v>
      </c>
      <c r="BC72" s="333">
        <f t="shared" si="116"/>
        <v>-6900</v>
      </c>
      <c r="BD72" s="333">
        <f t="shared" si="116"/>
        <v>-4123</v>
      </c>
      <c r="BE72" s="333">
        <f t="shared" si="116"/>
        <v>4404</v>
      </c>
      <c r="BF72" s="108">
        <f t="shared" si="77"/>
        <v>-36613</v>
      </c>
      <c r="BG72" s="106"/>
      <c r="BH72" s="333">
        <f t="shared" ref="BH72:BQ72" si="117">BH71-BH62</f>
        <v>-2056</v>
      </c>
      <c r="BI72" s="333">
        <f t="shared" si="117"/>
        <v>-9555</v>
      </c>
      <c r="BJ72" s="333">
        <f t="shared" si="117"/>
        <v>-1598</v>
      </c>
      <c r="BK72" s="333">
        <f t="shared" si="117"/>
        <v>-9193</v>
      </c>
      <c r="BL72" s="333">
        <f t="shared" si="117"/>
        <v>-5785</v>
      </c>
      <c r="BM72" s="333">
        <f t="shared" si="117"/>
        <v>-757</v>
      </c>
      <c r="BN72" s="333">
        <f t="shared" si="117"/>
        <v>7237</v>
      </c>
      <c r="BO72" s="333">
        <f t="shared" si="117"/>
        <v>-4911</v>
      </c>
      <c r="BP72" s="333">
        <f t="shared" si="117"/>
        <v>-3988</v>
      </c>
      <c r="BQ72" s="333">
        <f t="shared" si="117"/>
        <v>-5041</v>
      </c>
      <c r="BR72" s="108"/>
      <c r="BS72" s="108"/>
      <c r="BT72" s="108">
        <f t="shared" si="109"/>
        <v>-35647</v>
      </c>
      <c r="BU72" s="28"/>
      <c r="BV72" s="333">
        <v>27740</v>
      </c>
      <c r="BW72" s="333">
        <v>23272</v>
      </c>
      <c r="BX72" s="333">
        <v>24576</v>
      </c>
      <c r="BY72" s="108">
        <v>26006</v>
      </c>
      <c r="BZ72" s="108">
        <v>30640</v>
      </c>
      <c r="CA72" s="108">
        <v>30640</v>
      </c>
      <c r="CB72" s="108">
        <v>29618</v>
      </c>
      <c r="CC72" s="108">
        <v>29686</v>
      </c>
      <c r="CD72" s="108">
        <v>29993</v>
      </c>
      <c r="CE72" s="108">
        <v>31540</v>
      </c>
      <c r="CF72" s="108">
        <v>38086</v>
      </c>
      <c r="CG72" s="108">
        <v>54003</v>
      </c>
      <c r="CH72" s="108">
        <f t="shared" si="111"/>
        <v>375800</v>
      </c>
      <c r="CJ72" s="333">
        <f>BV72*1.03</f>
        <v>28572.2</v>
      </c>
      <c r="CK72" s="333">
        <f>BW72*1.03</f>
        <v>23970.16</v>
      </c>
      <c r="CL72" s="333">
        <f t="shared" ref="CL72:CT72" si="118">BX72*1.03</f>
        <v>25313.279999999999</v>
      </c>
      <c r="CM72" s="333">
        <v>29046</v>
      </c>
      <c r="CN72" s="333">
        <f t="shared" si="118"/>
        <v>31559.200000000001</v>
      </c>
      <c r="CO72" s="333">
        <f t="shared" si="118"/>
        <v>31559.200000000001</v>
      </c>
      <c r="CP72" s="333">
        <f t="shared" si="118"/>
        <v>30506.54</v>
      </c>
      <c r="CQ72" s="333">
        <f t="shared" si="118"/>
        <v>30576.58</v>
      </c>
      <c r="CR72" s="333">
        <f t="shared" si="118"/>
        <v>30892.79</v>
      </c>
      <c r="CS72" s="333">
        <f t="shared" si="118"/>
        <v>32486.2</v>
      </c>
      <c r="CT72" s="333">
        <f t="shared" si="118"/>
        <v>39228.58</v>
      </c>
      <c r="CU72" s="333">
        <v>45000</v>
      </c>
      <c r="CV72" s="108">
        <f>SUM(CJ72:CU72)</f>
        <v>378710.73000000004</v>
      </c>
      <c r="CW72" s="758"/>
      <c r="CX72" s="892">
        <v>24000</v>
      </c>
      <c r="CY72" s="892">
        <v>21000</v>
      </c>
      <c r="CZ72" s="892">
        <v>24000</v>
      </c>
      <c r="DA72" s="892">
        <f t="shared" ref="DA72:DI72" si="119">CM72</f>
        <v>29046</v>
      </c>
      <c r="DB72" s="892">
        <f t="shared" si="119"/>
        <v>31559.200000000001</v>
      </c>
      <c r="DC72" s="892">
        <f t="shared" si="119"/>
        <v>31559.200000000001</v>
      </c>
      <c r="DD72" s="892">
        <f t="shared" si="119"/>
        <v>30506.54</v>
      </c>
      <c r="DE72" s="892">
        <f t="shared" si="119"/>
        <v>30576.58</v>
      </c>
      <c r="DF72" s="892">
        <f t="shared" si="119"/>
        <v>30892.79</v>
      </c>
      <c r="DG72" s="892">
        <f>CS72</f>
        <v>32486.2</v>
      </c>
      <c r="DH72" s="892">
        <f t="shared" si="119"/>
        <v>39228.58</v>
      </c>
      <c r="DI72" s="892">
        <f t="shared" si="119"/>
        <v>45000</v>
      </c>
      <c r="DJ72" s="108">
        <f>SUM(CX72:DI72)</f>
        <v>369855.09</v>
      </c>
      <c r="DK72" s="948"/>
      <c r="DL72" s="892">
        <f>CX72*1.03</f>
        <v>24720</v>
      </c>
      <c r="DM72" s="892">
        <f t="shared" ref="DM72:DW72" si="120">CY72*1.03</f>
        <v>21630</v>
      </c>
      <c r="DN72" s="892">
        <f t="shared" si="120"/>
        <v>24720</v>
      </c>
      <c r="DO72" s="892">
        <f t="shared" si="120"/>
        <v>29917.38</v>
      </c>
      <c r="DP72" s="892">
        <f t="shared" si="120"/>
        <v>32505.976000000002</v>
      </c>
      <c r="DQ72" s="892">
        <f t="shared" si="120"/>
        <v>32505.976000000002</v>
      </c>
      <c r="DR72" s="892">
        <f t="shared" si="120"/>
        <v>31421.736200000003</v>
      </c>
      <c r="DS72" s="892">
        <f t="shared" si="120"/>
        <v>31493.877400000001</v>
      </c>
      <c r="DT72" s="892">
        <f t="shared" si="120"/>
        <v>31819.573700000001</v>
      </c>
      <c r="DU72" s="892">
        <f t="shared" si="120"/>
        <v>33460.786</v>
      </c>
      <c r="DV72" s="892">
        <f t="shared" si="120"/>
        <v>40405.437400000003</v>
      </c>
      <c r="DW72" s="892">
        <f t="shared" si="120"/>
        <v>46350</v>
      </c>
      <c r="DX72" s="108">
        <f>SUM(DL72:DW72)</f>
        <v>380950.7427</v>
      </c>
      <c r="DY72" s="598">
        <f>DX72-DJ72</f>
        <v>11095.652699999977</v>
      </c>
    </row>
    <row r="73" spans="1:129" ht="18.75" hidden="1">
      <c r="A73" s="103" t="s">
        <v>83</v>
      </c>
      <c r="B73" s="932" t="s">
        <v>84</v>
      </c>
      <c r="C73" s="933"/>
      <c r="D73" s="331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332"/>
      <c r="Q73" s="105"/>
      <c r="R73" s="333"/>
      <c r="S73" s="333"/>
      <c r="T73" s="333"/>
      <c r="U73" s="333"/>
      <c r="V73" s="333"/>
      <c r="W73" s="333"/>
      <c r="X73" s="333"/>
      <c r="Y73" s="333"/>
      <c r="Z73" s="333"/>
      <c r="AA73" s="333"/>
      <c r="AB73" s="333"/>
      <c r="AC73" s="333"/>
      <c r="AD73" s="334"/>
      <c r="AE73" s="106"/>
      <c r="AF73" s="333">
        <f>AF68-AF34</f>
        <v>-10282</v>
      </c>
      <c r="AG73" s="333">
        <f>AG68-AG34</f>
        <v>-4235</v>
      </c>
      <c r="AH73" s="333">
        <f>AH68-AH34</f>
        <v>-154</v>
      </c>
      <c r="AI73" s="333">
        <f>AI68-AI34</f>
        <v>-1981</v>
      </c>
      <c r="AJ73" s="333">
        <f>AJ68-AJ34</f>
        <v>-2477</v>
      </c>
      <c r="AK73" s="333">
        <f>AK68-AK34</f>
        <v>6187</v>
      </c>
      <c r="AL73" s="333">
        <f>AL68-AL34</f>
        <v>-13922</v>
      </c>
      <c r="AM73" s="333">
        <f>AM68-AM34</f>
        <v>-58130</v>
      </c>
      <c r="AN73" s="333">
        <f>AN68-AN34</f>
        <v>-66535.333333333343</v>
      </c>
      <c r="AO73" s="333">
        <f>AO68-AO34</f>
        <v>-12969</v>
      </c>
      <c r="AP73" s="333">
        <f>AP68-AP34</f>
        <v>-21294</v>
      </c>
      <c r="AQ73" s="333">
        <f>AQ68-AQ34</f>
        <v>-10456</v>
      </c>
      <c r="AR73" s="107">
        <f t="shared" si="102"/>
        <v>-196248.33333333334</v>
      </c>
      <c r="AS73" s="106"/>
      <c r="AT73" s="333">
        <f t="shared" ref="AT73:BE73" si="121">AT68-AT34</f>
        <v>2596.75</v>
      </c>
      <c r="AU73" s="333">
        <f t="shared" si="121"/>
        <v>-45152.103448275855</v>
      </c>
      <c r="AV73" s="333">
        <f t="shared" si="121"/>
        <v>-10056.137931034493</v>
      </c>
      <c r="AW73" s="333">
        <f t="shared" si="121"/>
        <v>-31730.137931034493</v>
      </c>
      <c r="AX73" s="333">
        <f t="shared" si="121"/>
        <v>3361.0344827586232</v>
      </c>
      <c r="AY73" s="333">
        <f t="shared" si="121"/>
        <v>-17147.777777777781</v>
      </c>
      <c r="AZ73" s="333">
        <f t="shared" si="121"/>
        <v>1355.222222222219</v>
      </c>
      <c r="BA73" s="333">
        <f t="shared" si="121"/>
        <v>-78174.296296296292</v>
      </c>
      <c r="BB73" s="333">
        <f t="shared" si="121"/>
        <v>-58295.777777777781</v>
      </c>
      <c r="BC73" s="333">
        <f t="shared" si="121"/>
        <v>-106133.29075565783</v>
      </c>
      <c r="BD73" s="333">
        <f t="shared" si="121"/>
        <v>1052.413118527038</v>
      </c>
      <c r="BE73" s="333">
        <f t="shared" si="121"/>
        <v>17507.387034906016</v>
      </c>
      <c r="BF73" s="108">
        <f t="shared" si="77"/>
        <v>-320816.71505944064</v>
      </c>
      <c r="BG73" s="106"/>
      <c r="BH73" s="333">
        <f t="shared" ref="BH73:BQ73" si="122">BH68-BH34</f>
        <v>-8421</v>
      </c>
      <c r="BI73" s="333">
        <f t="shared" si="122"/>
        <v>-18041.333333333314</v>
      </c>
      <c r="BJ73" s="333">
        <f t="shared" si="122"/>
        <v>21582.925925925927</v>
      </c>
      <c r="BK73" s="333">
        <f t="shared" si="122"/>
        <v>-53679.74074074073</v>
      </c>
      <c r="BL73" s="333">
        <f t="shared" si="122"/>
        <v>141.14814814814599</v>
      </c>
      <c r="BM73" s="333">
        <f t="shared" si="122"/>
        <v>9286.7407407407445</v>
      </c>
      <c r="BN73" s="333">
        <f t="shared" si="122"/>
        <v>2319.444444444438</v>
      </c>
      <c r="BO73" s="333">
        <f t="shared" si="122"/>
        <v>7351.6218888889125</v>
      </c>
      <c r="BP73" s="333">
        <f t="shared" si="122"/>
        <v>-1367.7495370370452</v>
      </c>
      <c r="BQ73" s="333">
        <f t="shared" si="122"/>
        <v>27459</v>
      </c>
      <c r="BR73" s="108"/>
      <c r="BS73" s="108"/>
      <c r="BT73" s="108">
        <f t="shared" si="109"/>
        <v>-13368.942462962921</v>
      </c>
      <c r="BU73" s="28"/>
      <c r="BV73" s="333"/>
      <c r="BW73" s="333"/>
      <c r="BX73" s="333"/>
      <c r="BY73" s="333"/>
      <c r="BZ73" s="108"/>
      <c r="CA73" s="108"/>
      <c r="CB73" s="108">
        <f>CB72+CB69</f>
        <v>193663</v>
      </c>
      <c r="CC73" s="108">
        <f>CC72+CC69</f>
        <v>177853</v>
      </c>
      <c r="CD73" s="108">
        <f t="shared" ref="CD73:CH73" si="123">CD72+CD69</f>
        <v>219708</v>
      </c>
      <c r="CE73" s="108">
        <f t="shared" si="123"/>
        <v>197028</v>
      </c>
      <c r="CF73" s="108">
        <f t="shared" si="123"/>
        <v>141915</v>
      </c>
      <c r="CG73" s="108">
        <f t="shared" si="123"/>
        <v>93970</v>
      </c>
      <c r="CH73" s="108"/>
      <c r="CJ73" s="333">
        <v>27785</v>
      </c>
      <c r="CK73" s="333">
        <v>23447</v>
      </c>
      <c r="CL73" s="333">
        <v>26944</v>
      </c>
      <c r="CM73" s="333"/>
      <c r="CN73" s="108"/>
      <c r="CO73" s="108"/>
      <c r="CP73" s="108"/>
      <c r="CQ73" s="108"/>
      <c r="CR73" s="108"/>
      <c r="CS73" s="108"/>
      <c r="CT73" s="108"/>
      <c r="CU73" s="108"/>
      <c r="CV73" s="108"/>
      <c r="CW73" s="758"/>
      <c r="CX73" s="892"/>
      <c r="CY73" s="892"/>
      <c r="CZ73" s="892"/>
      <c r="DA73" s="892"/>
      <c r="DB73" s="893"/>
      <c r="DC73" s="893"/>
      <c r="DD73" s="893"/>
      <c r="DE73" s="893"/>
      <c r="DF73" s="893"/>
      <c r="DG73" s="893"/>
      <c r="DH73" s="893"/>
      <c r="DI73" s="893"/>
      <c r="DJ73" s="108"/>
      <c r="DK73" s="948"/>
      <c r="DL73" s="892"/>
      <c r="DM73" s="892"/>
      <c r="DN73" s="892"/>
      <c r="DO73" s="892"/>
      <c r="DP73" s="893"/>
      <c r="DQ73" s="893"/>
      <c r="DR73" s="893"/>
      <c r="DS73" s="893"/>
      <c r="DT73" s="893"/>
      <c r="DU73" s="893"/>
      <c r="DV73" s="893"/>
      <c r="DW73" s="893"/>
      <c r="DX73" s="108"/>
    </row>
    <row r="74" spans="1:129" ht="18.75" hidden="1">
      <c r="A74" s="103" t="s">
        <v>85</v>
      </c>
      <c r="B74" s="932"/>
      <c r="C74" s="933"/>
      <c r="D74" s="331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332"/>
      <c r="Q74" s="105"/>
      <c r="R74" s="333"/>
      <c r="S74" s="333"/>
      <c r="T74" s="333"/>
      <c r="U74" s="333"/>
      <c r="V74" s="333"/>
      <c r="W74" s="333"/>
      <c r="X74" s="333"/>
      <c r="Y74" s="333"/>
      <c r="Z74" s="333"/>
      <c r="AA74" s="333"/>
      <c r="AB74" s="333"/>
      <c r="AC74" s="333"/>
      <c r="AD74" s="334"/>
      <c r="AE74" s="106"/>
      <c r="AF74" s="333">
        <f>AF69-AF35</f>
        <v>92193</v>
      </c>
      <c r="AG74" s="333">
        <f>AG69-AG35</f>
        <v>152006</v>
      </c>
      <c r="AH74" s="333">
        <f>AH69-AH35</f>
        <v>62734</v>
      </c>
      <c r="AI74" s="333">
        <f>AI69-AI35</f>
        <v>71526</v>
      </c>
      <c r="AJ74" s="333">
        <f>AJ69-AJ35</f>
        <v>89409</v>
      </c>
      <c r="AK74" s="333">
        <f>AK69-AK35</f>
        <v>120675</v>
      </c>
      <c r="AL74" s="333">
        <f>AL69-AL35</f>
        <v>100592</v>
      </c>
      <c r="AM74" s="333">
        <f>AM69-AM35</f>
        <v>148128</v>
      </c>
      <c r="AN74" s="333">
        <f>AN69-AN35</f>
        <v>164346</v>
      </c>
      <c r="AO74" s="333">
        <f>AO69-AO35</f>
        <v>203437</v>
      </c>
      <c r="AP74" s="333">
        <f>AP69-AP35</f>
        <v>64957</v>
      </c>
      <c r="AQ74" s="333">
        <f>AQ69-AQ35</f>
        <v>31837</v>
      </c>
      <c r="AR74" s="107">
        <f t="shared" si="102"/>
        <v>1301840</v>
      </c>
      <c r="AS74" s="106"/>
      <c r="AT74" s="338">
        <f t="shared" ref="AT74:BE74" si="124">AT73/AT34</f>
        <v>1.7000083470131603E-2</v>
      </c>
      <c r="AU74" s="338">
        <f t="shared" si="124"/>
        <v>-0.26792985919579565</v>
      </c>
      <c r="AV74" s="338">
        <f t="shared" si="124"/>
        <v>-6.5248272015318062E-2</v>
      </c>
      <c r="AW74" s="338">
        <f t="shared" si="124"/>
        <v>-0.19881644480138216</v>
      </c>
      <c r="AX74" s="338">
        <f t="shared" si="124"/>
        <v>2.798530764170884E-2</v>
      </c>
      <c r="AY74" s="338">
        <f t="shared" si="124"/>
        <v>-0.12395048084722922</v>
      </c>
      <c r="AZ74" s="338">
        <f t="shared" si="124"/>
        <v>8.1309864112464342E-3</v>
      </c>
      <c r="BA74" s="338">
        <f t="shared" si="124"/>
        <v>-0.32244495902957893</v>
      </c>
      <c r="BB74" s="338">
        <f t="shared" si="124"/>
        <v>-0.23949841829212068</v>
      </c>
      <c r="BC74" s="338">
        <f t="shared" si="124"/>
        <v>-0.41888939787658819</v>
      </c>
      <c r="BD74" s="338">
        <f t="shared" si="124"/>
        <v>7.8214003811977375E-3</v>
      </c>
      <c r="BE74" s="338">
        <f t="shared" si="124"/>
        <v>0.24086123043473662</v>
      </c>
      <c r="BF74" s="109">
        <f>AVERAGE(AT74:BE74)</f>
        <v>-0.11124823530991597</v>
      </c>
      <c r="BG74" s="106"/>
      <c r="BH74" s="338">
        <f t="shared" ref="BH74:BQ74" si="125">BH73/BH34</f>
        <v>-5.512821352117471E-2</v>
      </c>
      <c r="BI74" s="338">
        <f t="shared" si="125"/>
        <v>-0.12287867195499311</v>
      </c>
      <c r="BJ74" s="338">
        <f t="shared" si="125"/>
        <v>0.12581416416796784</v>
      </c>
      <c r="BK74" s="338">
        <f t="shared" si="125"/>
        <v>-0.33597769224938256</v>
      </c>
      <c r="BL74" s="338">
        <f t="shared" si="125"/>
        <v>1.0652943536044719E-3</v>
      </c>
      <c r="BM74" s="338">
        <f t="shared" si="125"/>
        <v>7.1488016002422286E-2</v>
      </c>
      <c r="BN74" s="338">
        <f t="shared" si="125"/>
        <v>1.3533646427895287E-2</v>
      </c>
      <c r="BO74" s="338">
        <f t="shared" si="125"/>
        <v>4.0944619366602007E-2</v>
      </c>
      <c r="BP74" s="338">
        <f t="shared" si="125"/>
        <v>-6.7692361075750926E-3</v>
      </c>
      <c r="BQ74" s="338">
        <f t="shared" si="125"/>
        <v>0.16757086626186191</v>
      </c>
      <c r="BR74" s="109"/>
      <c r="BS74" s="109"/>
      <c r="BT74" s="338">
        <f>BT73/BT34</f>
        <v>-7.1185036907011742E-3</v>
      </c>
      <c r="BU74" s="54"/>
      <c r="BV74" s="338"/>
      <c r="BW74" s="338"/>
      <c r="BX74" s="338"/>
      <c r="BY74" s="338"/>
      <c r="BZ74" s="109"/>
      <c r="CA74" s="109"/>
      <c r="CB74" s="109"/>
      <c r="CC74" s="109"/>
      <c r="CD74" s="109"/>
      <c r="CE74" s="109"/>
      <c r="CF74" s="109"/>
      <c r="CG74" s="109"/>
      <c r="CH74" s="109"/>
      <c r="CJ74" s="338"/>
      <c r="CK74" s="338"/>
      <c r="CL74" s="338"/>
      <c r="CM74" s="338"/>
      <c r="CN74" s="109"/>
      <c r="CO74" s="109"/>
      <c r="CP74" s="109"/>
      <c r="CQ74" s="109"/>
      <c r="CR74" s="109"/>
      <c r="CS74" s="109"/>
      <c r="CT74" s="109"/>
      <c r="CU74" s="109"/>
      <c r="CV74" s="109"/>
      <c r="CW74" s="758"/>
      <c r="CX74" s="894"/>
      <c r="CY74" s="894"/>
      <c r="CZ74" s="894"/>
      <c r="DA74" s="894"/>
      <c r="DB74" s="895"/>
      <c r="DC74" s="895"/>
      <c r="DD74" s="895"/>
      <c r="DE74" s="895"/>
      <c r="DF74" s="895"/>
      <c r="DG74" s="895"/>
      <c r="DH74" s="895"/>
      <c r="DI74" s="895"/>
      <c r="DJ74" s="109"/>
      <c r="DK74" s="948"/>
      <c r="DL74" s="894"/>
      <c r="DM74" s="894"/>
      <c r="DN74" s="894"/>
      <c r="DO74" s="894"/>
      <c r="DP74" s="895"/>
      <c r="DQ74" s="895"/>
      <c r="DR74" s="895"/>
      <c r="DS74" s="895"/>
      <c r="DT74" s="895"/>
      <c r="DU74" s="895"/>
      <c r="DV74" s="895"/>
      <c r="DW74" s="895"/>
      <c r="DX74" s="109"/>
    </row>
    <row r="75" spans="1:129" ht="14.25" hidden="1" customHeight="1">
      <c r="A75" s="55" t="s">
        <v>86</v>
      </c>
      <c r="B75" s="958" t="s">
        <v>124</v>
      </c>
      <c r="C75" s="959"/>
      <c r="D75" s="960"/>
      <c r="E75" s="961"/>
      <c r="F75" s="961"/>
      <c r="G75" s="961"/>
      <c r="H75" s="961"/>
      <c r="I75" s="961"/>
      <c r="J75" s="961"/>
      <c r="K75" s="961"/>
      <c r="L75" s="961"/>
      <c r="M75" s="961"/>
      <c r="N75" s="961"/>
      <c r="O75" s="961"/>
      <c r="P75" s="962"/>
      <c r="Q75" s="963"/>
      <c r="R75" s="960"/>
      <c r="S75" s="964"/>
      <c r="T75" s="964"/>
      <c r="U75" s="964"/>
      <c r="V75" s="964"/>
      <c r="W75" s="965"/>
      <c r="X75" s="965"/>
      <c r="Y75" s="965"/>
      <c r="Z75" s="965"/>
      <c r="AA75" s="965"/>
      <c r="AB75" s="965"/>
      <c r="AC75" s="965"/>
      <c r="AD75" s="966"/>
      <c r="AE75" s="967"/>
      <c r="AF75" s="599"/>
      <c r="AG75" s="964"/>
      <c r="AH75" s="964"/>
      <c r="AI75" s="964"/>
      <c r="AJ75" s="964"/>
      <c r="AK75" s="964"/>
      <c r="AL75" s="964"/>
      <c r="AM75" s="964"/>
      <c r="AN75" s="964"/>
      <c r="AO75" s="964"/>
      <c r="AP75" s="964"/>
      <c r="AQ75" s="964"/>
      <c r="AR75" s="964"/>
      <c r="AS75" s="967"/>
      <c r="AT75" s="964"/>
      <c r="AU75" s="964"/>
      <c r="AV75" s="964"/>
      <c r="AW75" s="964"/>
      <c r="AX75" s="964"/>
      <c r="AY75" s="964"/>
      <c r="AZ75" s="964"/>
      <c r="BA75" s="964"/>
      <c r="BB75" s="964"/>
      <c r="BC75" s="964"/>
      <c r="BD75" s="964"/>
      <c r="BE75" s="964"/>
      <c r="BF75" s="964"/>
      <c r="BG75" s="967"/>
      <c r="BH75" s="964"/>
      <c r="BI75" s="964"/>
      <c r="BJ75" s="964"/>
      <c r="BK75" s="964"/>
      <c r="BL75" s="964"/>
      <c r="BM75" s="964"/>
      <c r="BN75" s="964"/>
      <c r="BO75" s="964"/>
      <c r="BP75" s="964"/>
      <c r="BQ75" s="964"/>
      <c r="BR75" s="964"/>
      <c r="BS75" s="964"/>
      <c r="BT75" s="964"/>
      <c r="BU75" s="968"/>
      <c r="BV75" s="964"/>
      <c r="BW75" s="964"/>
      <c r="BX75" s="964"/>
      <c r="BY75" s="964"/>
      <c r="BZ75" s="964"/>
      <c r="CA75" s="964"/>
      <c r="CB75" s="964"/>
      <c r="CC75" s="964"/>
      <c r="CD75" s="964"/>
      <c r="CE75" s="964"/>
      <c r="CF75" s="964"/>
      <c r="CG75" s="964"/>
      <c r="CH75" s="964"/>
      <c r="CI75" s="969"/>
      <c r="CJ75" s="964"/>
      <c r="CK75" s="964"/>
      <c r="CL75" s="964"/>
      <c r="CM75" s="964"/>
      <c r="CN75" s="964"/>
      <c r="CO75" s="964"/>
      <c r="CP75" s="964"/>
      <c r="CQ75" s="964"/>
      <c r="CR75" s="964"/>
      <c r="CS75" s="964"/>
      <c r="CT75" s="964">
        <f>SUM(CT77:CT79)</f>
        <v>164656.85004219407</v>
      </c>
      <c r="CU75" s="964">
        <f>SUM(CU77:CU79)</f>
        <v>91745.822784810123</v>
      </c>
      <c r="CV75" s="964"/>
      <c r="CW75" s="956">
        <f>SUM(CX75:DC75)</f>
        <v>996971.73999999987</v>
      </c>
      <c r="CX75" s="964">
        <f>SUM(CX77:CX79)</f>
        <v>194469.46000000002</v>
      </c>
      <c r="CY75" s="964">
        <f t="shared" ref="CY75:DJ75" si="126">SUM(CY77:CY79)</f>
        <v>159466.88999999998</v>
      </c>
      <c r="CZ75" s="964">
        <f t="shared" si="126"/>
        <v>208203.57</v>
      </c>
      <c r="DA75" s="964">
        <f t="shared" si="126"/>
        <v>158532.44</v>
      </c>
      <c r="DB75" s="964">
        <f t="shared" si="126"/>
        <v>157404.75999999998</v>
      </c>
      <c r="DC75" s="964">
        <f t="shared" si="126"/>
        <v>118894.62</v>
      </c>
      <c r="DD75" s="964">
        <f t="shared" si="126"/>
        <v>211625.73</v>
      </c>
      <c r="DE75" s="964">
        <f t="shared" si="126"/>
        <v>208193.11</v>
      </c>
      <c r="DF75" s="964">
        <f t="shared" si="126"/>
        <v>269889.13</v>
      </c>
      <c r="DG75" s="964">
        <f>SUM(DG77:DG79)</f>
        <v>258868.84085232066</v>
      </c>
      <c r="DH75" s="964">
        <f t="shared" si="126"/>
        <v>178376.53444641351</v>
      </c>
      <c r="DI75" s="964">
        <f t="shared" si="126"/>
        <v>114212.18776329115</v>
      </c>
      <c r="DJ75" s="599">
        <f>SUM(CX75:DI75)</f>
        <v>2238137.2730620252</v>
      </c>
      <c r="DK75" s="948"/>
      <c r="DL75" s="896">
        <f>SUM(DL77:DL79)</f>
        <v>213916.40600000005</v>
      </c>
      <c r="DM75" s="896">
        <f t="shared" ref="DM75:DX75" si="127">SUM(DM77:DM79)</f>
        <v>175413.579</v>
      </c>
      <c r="DN75" s="896">
        <f t="shared" si="127"/>
        <v>229023.92700000003</v>
      </c>
      <c r="DO75" s="896">
        <f t="shared" si="127"/>
        <v>174385.68400000001</v>
      </c>
      <c r="DP75" s="896">
        <f t="shared" si="127"/>
        <v>173145.236</v>
      </c>
      <c r="DQ75" s="896">
        <f t="shared" si="127"/>
        <v>130784.08200000001</v>
      </c>
      <c r="DR75" s="896">
        <f t="shared" si="127"/>
        <v>232788.30300000004</v>
      </c>
      <c r="DS75" s="896">
        <f t="shared" si="127"/>
        <v>229012.421</v>
      </c>
      <c r="DT75" s="896">
        <f t="shared" si="127"/>
        <v>296878.04300000001</v>
      </c>
      <c r="DU75" s="896">
        <f t="shared" si="127"/>
        <v>284755.72493755276</v>
      </c>
      <c r="DV75" s="896">
        <f t="shared" si="127"/>
        <v>196214.18789105487</v>
      </c>
      <c r="DW75" s="896">
        <f t="shared" si="127"/>
        <v>125633.40653962028</v>
      </c>
      <c r="DX75" s="778">
        <f>SUM(DL75:DW75)</f>
        <v>2461951.0003682282</v>
      </c>
    </row>
    <row r="76" spans="1:129" ht="21" hidden="1" customHeight="1">
      <c r="A76" s="55"/>
      <c r="B76" s="766" t="s">
        <v>87</v>
      </c>
      <c r="C76" s="767"/>
      <c r="D76" s="768"/>
      <c r="E76" s="769"/>
      <c r="F76" s="769"/>
      <c r="G76" s="769"/>
      <c r="H76" s="769"/>
      <c r="I76" s="769"/>
      <c r="J76" s="769"/>
      <c r="K76" s="769"/>
      <c r="L76" s="769"/>
      <c r="M76" s="769"/>
      <c r="N76" s="769"/>
      <c r="O76" s="769"/>
      <c r="P76" s="770"/>
      <c r="Q76" s="771"/>
      <c r="R76" s="768"/>
      <c r="S76" s="772"/>
      <c r="T76" s="772"/>
      <c r="U76" s="772"/>
      <c r="V76" s="772"/>
      <c r="W76" s="773"/>
      <c r="X76" s="773"/>
      <c r="Y76" s="773"/>
      <c r="Z76" s="773"/>
      <c r="AA76" s="773"/>
      <c r="AB76" s="773"/>
      <c r="AC76" s="773"/>
      <c r="AD76" s="774"/>
      <c r="AE76" s="775"/>
      <c r="AF76" s="776"/>
      <c r="AG76" s="776"/>
      <c r="AH76" s="776"/>
      <c r="AI76" s="776"/>
      <c r="AJ76" s="776"/>
      <c r="AK76" s="776"/>
      <c r="AL76" s="776"/>
      <c r="AM76" s="776"/>
      <c r="AN76" s="776"/>
      <c r="AO76" s="776"/>
      <c r="AP76" s="776"/>
      <c r="AQ76" s="776"/>
      <c r="AR76" s="772"/>
      <c r="AS76" s="775"/>
      <c r="AT76" s="776"/>
      <c r="AU76" s="776"/>
      <c r="AV76" s="776"/>
      <c r="AW76" s="776"/>
      <c r="AX76" s="776"/>
      <c r="AY76" s="776"/>
      <c r="AZ76" s="776"/>
      <c r="BA76" s="776"/>
      <c r="BB76" s="776"/>
      <c r="BC76" s="776"/>
      <c r="BD76" s="776"/>
      <c r="BE76" s="776"/>
      <c r="BF76" s="772"/>
      <c r="BG76" s="775"/>
      <c r="BH76" s="776"/>
      <c r="BI76" s="776"/>
      <c r="BJ76" s="776"/>
      <c r="BK76" s="776"/>
      <c r="BL76" s="776"/>
      <c r="BM76" s="776"/>
      <c r="BN76" s="776"/>
      <c r="BO76" s="776"/>
      <c r="BP76" s="776"/>
      <c r="BQ76" s="776"/>
      <c r="BR76" s="776"/>
      <c r="BS76" s="776"/>
      <c r="BT76" s="776"/>
      <c r="BU76" s="777"/>
      <c r="BV76" s="778">
        <v>152642</v>
      </c>
      <c r="BW76" s="778">
        <v>141495</v>
      </c>
      <c r="BX76" s="778">
        <v>158268</v>
      </c>
      <c r="BY76" s="778">
        <v>135742</v>
      </c>
      <c r="BZ76" s="778">
        <v>130614</v>
      </c>
      <c r="CA76" s="778">
        <v>97296</v>
      </c>
      <c r="CB76" s="778">
        <v>180319</v>
      </c>
      <c r="CC76" s="778">
        <v>175137</v>
      </c>
      <c r="CD76" s="778">
        <v>216035</v>
      </c>
      <c r="CE76" s="778">
        <v>188049</v>
      </c>
      <c r="CF76" s="778">
        <v>139782</v>
      </c>
      <c r="CG76" s="778">
        <v>90604</v>
      </c>
      <c r="CH76" s="776">
        <f>SUM(BV76:CG76)</f>
        <v>1805983</v>
      </c>
      <c r="CI76" s="779"/>
      <c r="CJ76" s="778" t="s">
        <v>88</v>
      </c>
      <c r="CK76" s="778">
        <f t="shared" ref="CK76:CV76" si="128">BW76</f>
        <v>141495</v>
      </c>
      <c r="CL76" s="778">
        <f t="shared" si="128"/>
        <v>158268</v>
      </c>
      <c r="CM76" s="778">
        <f t="shared" si="128"/>
        <v>135742</v>
      </c>
      <c r="CN76" s="778">
        <f t="shared" si="128"/>
        <v>130614</v>
      </c>
      <c r="CO76" s="778">
        <f t="shared" si="128"/>
        <v>97296</v>
      </c>
      <c r="CP76" s="778">
        <f t="shared" si="128"/>
        <v>180319</v>
      </c>
      <c r="CQ76" s="778">
        <f t="shared" si="128"/>
        <v>175137</v>
      </c>
      <c r="CR76" s="778">
        <f t="shared" si="128"/>
        <v>216035</v>
      </c>
      <c r="CS76" s="778">
        <f>CS77</f>
        <v>237402.61350210969</v>
      </c>
      <c r="CT76" s="778">
        <f>CT77</f>
        <v>113946.85004219407</v>
      </c>
      <c r="CU76" s="778">
        <f t="shared" ref="CU76:CV76" si="129">CU77</f>
        <v>79742.822784810123</v>
      </c>
      <c r="CV76" s="778">
        <f t="shared" si="128"/>
        <v>1805983</v>
      </c>
      <c r="CW76" s="758"/>
      <c r="CX76" s="897"/>
      <c r="CY76" s="897"/>
      <c r="CZ76" s="897"/>
      <c r="DA76" s="897"/>
      <c r="DB76" s="897"/>
      <c r="DC76" s="897"/>
      <c r="DD76" s="897"/>
      <c r="DE76" s="897"/>
      <c r="DF76" s="897"/>
      <c r="DG76" s="897"/>
      <c r="DH76" s="897"/>
      <c r="DI76" s="897">
        <v>114212.18776329115</v>
      </c>
      <c r="DJ76" s="778"/>
      <c r="DK76" s="948"/>
      <c r="DL76" s="897"/>
      <c r="DM76" s="897"/>
      <c r="DN76" s="897"/>
      <c r="DO76" s="897"/>
      <c r="DP76" s="897"/>
      <c r="DQ76" s="897"/>
      <c r="DR76" s="897"/>
      <c r="DS76" s="897"/>
      <c r="DT76" s="897"/>
      <c r="DU76" s="897"/>
      <c r="DV76" s="897"/>
      <c r="DW76" s="897">
        <v>114212.18776329115</v>
      </c>
      <c r="DX76" s="778"/>
    </row>
    <row r="77" spans="1:129" ht="22.5" hidden="1" customHeight="1">
      <c r="A77" s="765"/>
      <c r="B77" s="766" t="s">
        <v>125</v>
      </c>
      <c r="C77" s="767"/>
      <c r="D77" s="768"/>
      <c r="E77" s="769"/>
      <c r="F77" s="769"/>
      <c r="G77" s="769"/>
      <c r="H77" s="769"/>
      <c r="I77" s="769"/>
      <c r="J77" s="769"/>
      <c r="K77" s="769"/>
      <c r="L77" s="769"/>
      <c r="M77" s="769"/>
      <c r="N77" s="769"/>
      <c r="O77" s="769"/>
      <c r="P77" s="770"/>
      <c r="Q77" s="771"/>
      <c r="R77" s="768"/>
      <c r="S77" s="772"/>
      <c r="T77" s="772"/>
      <c r="U77" s="772"/>
      <c r="V77" s="772"/>
      <c r="W77" s="773"/>
      <c r="X77" s="773"/>
      <c r="Y77" s="773"/>
      <c r="Z77" s="773"/>
      <c r="AA77" s="773"/>
      <c r="AB77" s="773"/>
      <c r="AC77" s="773"/>
      <c r="AD77" s="774"/>
      <c r="AE77" s="775"/>
      <c r="AF77" s="776"/>
      <c r="AG77" s="776"/>
      <c r="AH77" s="776"/>
      <c r="AI77" s="776"/>
      <c r="AJ77" s="776"/>
      <c r="AK77" s="776"/>
      <c r="AL77" s="776"/>
      <c r="AM77" s="776"/>
      <c r="AN77" s="776"/>
      <c r="AO77" s="776"/>
      <c r="AP77" s="776"/>
      <c r="AQ77" s="776"/>
      <c r="AR77" s="772"/>
      <c r="AS77" s="775"/>
      <c r="AT77" s="776"/>
      <c r="AU77" s="776"/>
      <c r="AV77" s="776"/>
      <c r="AW77" s="776"/>
      <c r="AX77" s="776"/>
      <c r="AY77" s="776"/>
      <c r="AZ77" s="776"/>
      <c r="BA77" s="776"/>
      <c r="BB77" s="776"/>
      <c r="BC77" s="776"/>
      <c r="BD77" s="776"/>
      <c r="BE77" s="776"/>
      <c r="BF77" s="772"/>
      <c r="BG77" s="775"/>
      <c r="BH77" s="776"/>
      <c r="BI77" s="776"/>
      <c r="BJ77" s="776"/>
      <c r="BK77" s="776"/>
      <c r="BL77" s="776"/>
      <c r="BM77" s="776"/>
      <c r="BN77" s="776"/>
      <c r="BO77" s="776"/>
      <c r="BP77" s="776"/>
      <c r="BQ77" s="776"/>
      <c r="BR77" s="776"/>
      <c r="BS77" s="776"/>
      <c r="BT77" s="776"/>
      <c r="BU77" s="777"/>
      <c r="BV77" s="778">
        <f>BV34</f>
        <v>161157.867486095</v>
      </c>
      <c r="BW77" s="778">
        <f>BW34</f>
        <v>155966.83045180296</v>
      </c>
      <c r="BX77" s="778">
        <f t="shared" ref="BX77:CH77" si="130">BX34</f>
        <v>196111.53846153844</v>
      </c>
      <c r="BY77" s="778">
        <f t="shared" si="130"/>
        <v>159169.23076923078</v>
      </c>
      <c r="BZ77" s="778">
        <f t="shared" si="130"/>
        <v>151482.39341785663</v>
      </c>
      <c r="CA77" s="778">
        <f t="shared" si="130"/>
        <v>141442.12910096842</v>
      </c>
      <c r="CB77" s="778">
        <f t="shared" si="130"/>
        <v>176986.21444761599</v>
      </c>
      <c r="CC77" s="778">
        <f t="shared" si="130"/>
        <v>201301.08944885107</v>
      </c>
      <c r="CD77" s="778">
        <f t="shared" si="130"/>
        <v>212833.04013559342</v>
      </c>
      <c r="CE77" s="778">
        <f t="shared" si="130"/>
        <v>215922.30386211892</v>
      </c>
      <c r="CF77" s="778">
        <f t="shared" si="130"/>
        <v>171115.84223630186</v>
      </c>
      <c r="CG77" s="778">
        <f t="shared" si="130"/>
        <v>87483.816691710366</v>
      </c>
      <c r="CH77" s="776">
        <f>SUM(BV77:CG77)</f>
        <v>2030972.2965096838</v>
      </c>
      <c r="CI77" s="779"/>
      <c r="CJ77" s="778">
        <f>CJ72+CJ39</f>
        <v>149449.15862840106</v>
      </c>
      <c r="CK77" s="778">
        <f t="shared" ref="CK77:CU77" si="131">CK72+CK39</f>
        <v>165299.98482295938</v>
      </c>
      <c r="CL77" s="778">
        <f t="shared" si="131"/>
        <v>157623.38063361909</v>
      </c>
      <c r="CM77" s="778">
        <f t="shared" si="131"/>
        <v>156795.25083861349</v>
      </c>
      <c r="CN77" s="778">
        <f>CN72+CN39</f>
        <v>159036.51643682446</v>
      </c>
      <c r="CO77" s="778">
        <f t="shared" si="131"/>
        <v>127776.80715616846</v>
      </c>
      <c r="CP77" s="778">
        <f t="shared" si="131"/>
        <v>201036.96194092827</v>
      </c>
      <c r="CQ77" s="778">
        <f t="shared" si="131"/>
        <v>217939.23822784808</v>
      </c>
      <c r="CR77" s="778">
        <f>CR72+CR39</f>
        <v>251919.92080168775</v>
      </c>
      <c r="CS77" s="778">
        <f>CS72+CS39</f>
        <v>237402.61350210969</v>
      </c>
      <c r="CT77" s="778">
        <f>CT72+CT39-CT79-CT78</f>
        <v>113946.85004219407</v>
      </c>
      <c r="CU77" s="778">
        <f>CU72+CU39-CU79-CU78</f>
        <v>79742.822784810123</v>
      </c>
      <c r="CV77" s="778"/>
      <c r="CW77" s="758"/>
      <c r="CX77" s="897">
        <f>CX97-CX100-CX78</f>
        <v>137996.46000000002</v>
      </c>
      <c r="CY77" s="897">
        <f t="shared" ref="CY77:DI77" si="132">CY97-CY100-CY78</f>
        <v>109115.58999999998</v>
      </c>
      <c r="CZ77" s="897">
        <f t="shared" si="132"/>
        <v>159971.47</v>
      </c>
      <c r="DA77" s="897">
        <f t="shared" si="132"/>
        <v>111340.64</v>
      </c>
      <c r="DB77" s="897">
        <f t="shared" si="132"/>
        <v>119915.75999999998</v>
      </c>
      <c r="DC77" s="897">
        <f t="shared" si="132"/>
        <v>92130.62</v>
      </c>
      <c r="DD77" s="897">
        <f t="shared" si="132"/>
        <v>136939.83000000002</v>
      </c>
      <c r="DE77" s="897">
        <f t="shared" si="132"/>
        <v>135607.21</v>
      </c>
      <c r="DF77" s="897">
        <f>DF97-DF100-DF78</f>
        <v>183966.23</v>
      </c>
      <c r="DG77" s="897">
        <f t="shared" si="132"/>
        <v>212260.74085232065</v>
      </c>
      <c r="DH77" s="897">
        <f t="shared" si="132"/>
        <v>147017.18444641351</v>
      </c>
      <c r="DI77" s="897">
        <f t="shared" si="132"/>
        <v>100014.48776329115</v>
      </c>
      <c r="DJ77" s="778">
        <f>SUM(CX77:DI77)</f>
        <v>1646276.2230620254</v>
      </c>
      <c r="DK77" s="948"/>
      <c r="DL77" s="897">
        <f>DL97-DL100-DL78</f>
        <v>157443.40600000005</v>
      </c>
      <c r="DM77" s="897">
        <f t="shared" ref="DM77:DW77" si="133">DM97-DM100-DM78</f>
        <v>125062.27899999999</v>
      </c>
      <c r="DN77" s="897">
        <f t="shared" si="133"/>
        <v>180791.82700000002</v>
      </c>
      <c r="DO77" s="897">
        <f t="shared" si="133"/>
        <v>127193.88400000001</v>
      </c>
      <c r="DP77" s="897">
        <f t="shared" si="133"/>
        <v>138872.236</v>
      </c>
      <c r="DQ77" s="897">
        <f t="shared" si="133"/>
        <v>105431.482</v>
      </c>
      <c r="DR77" s="897">
        <f t="shared" si="133"/>
        <v>164765.40300000005</v>
      </c>
      <c r="DS77" s="897">
        <f t="shared" si="133"/>
        <v>160399.921</v>
      </c>
      <c r="DT77" s="897">
        <f t="shared" si="133"/>
        <v>212905.14300000001</v>
      </c>
      <c r="DU77" s="897">
        <f t="shared" si="133"/>
        <v>238147.62493755276</v>
      </c>
      <c r="DV77" s="897">
        <f t="shared" si="133"/>
        <v>164854.83789105486</v>
      </c>
      <c r="DW77" s="897">
        <f t="shared" si="133"/>
        <v>111435.70653962028</v>
      </c>
      <c r="DX77" s="778">
        <f>SUM(DL77:DW77)</f>
        <v>1887303.7503682277</v>
      </c>
      <c r="DY77" s="598">
        <f>AVERAGE(DL77:DW77)</f>
        <v>157275.31253068565</v>
      </c>
    </row>
    <row r="78" spans="1:129" ht="22.5" hidden="1" customHeight="1">
      <c r="A78" s="765"/>
      <c r="B78" s="766" t="s">
        <v>126</v>
      </c>
      <c r="C78" s="767"/>
      <c r="D78" s="768"/>
      <c r="E78" s="769"/>
      <c r="F78" s="769"/>
      <c r="G78" s="769"/>
      <c r="H78" s="769"/>
      <c r="I78" s="769"/>
      <c r="J78" s="769"/>
      <c r="K78" s="769"/>
      <c r="L78" s="769"/>
      <c r="M78" s="769"/>
      <c r="N78" s="769"/>
      <c r="O78" s="769"/>
      <c r="P78" s="770"/>
      <c r="Q78" s="771"/>
      <c r="R78" s="768"/>
      <c r="S78" s="772"/>
      <c r="T78" s="772"/>
      <c r="U78" s="772"/>
      <c r="V78" s="772"/>
      <c r="W78" s="773"/>
      <c r="X78" s="773"/>
      <c r="Y78" s="773"/>
      <c r="Z78" s="773"/>
      <c r="AA78" s="773"/>
      <c r="AB78" s="773"/>
      <c r="AC78" s="773"/>
      <c r="AD78" s="774"/>
      <c r="AE78" s="775"/>
      <c r="AF78" s="776"/>
      <c r="AG78" s="776"/>
      <c r="AH78" s="776"/>
      <c r="AI78" s="776"/>
      <c r="AJ78" s="776"/>
      <c r="AK78" s="776"/>
      <c r="AL78" s="776"/>
      <c r="AM78" s="776"/>
      <c r="AN78" s="776"/>
      <c r="AO78" s="776"/>
      <c r="AP78" s="776"/>
      <c r="AQ78" s="776"/>
      <c r="AR78" s="772"/>
      <c r="AS78" s="775"/>
      <c r="AT78" s="776"/>
      <c r="AU78" s="776"/>
      <c r="AV78" s="776"/>
      <c r="AW78" s="776"/>
      <c r="AX78" s="776"/>
      <c r="AY78" s="776"/>
      <c r="AZ78" s="776"/>
      <c r="BA78" s="776"/>
      <c r="BB78" s="776"/>
      <c r="BC78" s="776"/>
      <c r="BD78" s="776"/>
      <c r="BE78" s="776"/>
      <c r="BF78" s="772"/>
      <c r="BG78" s="775"/>
      <c r="BH78" s="776"/>
      <c r="BI78" s="776"/>
      <c r="BJ78" s="776"/>
      <c r="BK78" s="776"/>
      <c r="BL78" s="776"/>
      <c r="BM78" s="776"/>
      <c r="BN78" s="776"/>
      <c r="BO78" s="776"/>
      <c r="BP78" s="776"/>
      <c r="BQ78" s="776"/>
      <c r="BR78" s="776"/>
      <c r="BS78" s="776"/>
      <c r="BT78" s="776"/>
      <c r="BU78" s="777"/>
      <c r="BV78" s="778"/>
      <c r="BW78" s="778"/>
      <c r="BX78" s="778"/>
      <c r="BY78" s="778"/>
      <c r="BZ78" s="778"/>
      <c r="CA78" s="778"/>
      <c r="CB78" s="778"/>
      <c r="CC78" s="778"/>
      <c r="CD78" s="778"/>
      <c r="CE78" s="778"/>
      <c r="CF78" s="778"/>
      <c r="CG78" s="778"/>
      <c r="CH78" s="776"/>
      <c r="CI78" s="779"/>
      <c r="CJ78" s="778"/>
      <c r="CK78" s="778"/>
      <c r="CL78" s="778"/>
      <c r="CM78" s="778"/>
      <c r="CN78" s="778"/>
      <c r="CO78" s="778"/>
      <c r="CP78" s="778"/>
      <c r="CQ78" s="778"/>
      <c r="CR78" s="778"/>
      <c r="CS78" s="778"/>
      <c r="CT78" s="778">
        <v>15710</v>
      </c>
      <c r="CU78" s="778">
        <v>9907</v>
      </c>
      <c r="CV78" s="778"/>
      <c r="CW78" s="758">
        <f>CW79/6</f>
        <v>-10388.67333333332</v>
      </c>
      <c r="CX78" s="897">
        <f>CX109*1.1</f>
        <v>16863</v>
      </c>
      <c r="CY78" s="897">
        <f t="shared" ref="CY78:DI78" si="134">CY109*1.1</f>
        <v>13357.300000000001</v>
      </c>
      <c r="CZ78" s="897">
        <f t="shared" si="134"/>
        <v>18888.100000000002</v>
      </c>
      <c r="DA78" s="897">
        <f t="shared" si="134"/>
        <v>13813.800000000001</v>
      </c>
      <c r="DB78" s="897">
        <v>18000</v>
      </c>
      <c r="DC78" s="897">
        <v>12000</v>
      </c>
      <c r="DD78" s="897">
        <v>25000</v>
      </c>
      <c r="DE78" s="897">
        <v>24000</v>
      </c>
      <c r="DF78" s="897">
        <v>30000</v>
      </c>
      <c r="DG78" s="897">
        <f t="shared" si="134"/>
        <v>18451.400000000001</v>
      </c>
      <c r="DH78" s="897">
        <f t="shared" si="134"/>
        <v>17281</v>
      </c>
      <c r="DI78" s="897">
        <f t="shared" si="134"/>
        <v>10897.7</v>
      </c>
      <c r="DJ78" s="778">
        <f>SUM(CX78:DI78)</f>
        <v>218552.30000000002</v>
      </c>
      <c r="DK78" s="948"/>
      <c r="DL78" s="897">
        <f>DL109*1.1</f>
        <v>16863</v>
      </c>
      <c r="DM78" s="897">
        <f t="shared" ref="DM78:DW78" si="135">DM109*1.1</f>
        <v>13357.300000000001</v>
      </c>
      <c r="DN78" s="897">
        <f t="shared" si="135"/>
        <v>18888.100000000002</v>
      </c>
      <c r="DO78" s="897">
        <f t="shared" si="135"/>
        <v>13813.800000000001</v>
      </c>
      <c r="DP78" s="897">
        <f t="shared" si="135"/>
        <v>14784.000000000002</v>
      </c>
      <c r="DQ78" s="897">
        <f t="shared" si="135"/>
        <v>10588.6</v>
      </c>
      <c r="DR78" s="897">
        <f t="shared" si="135"/>
        <v>18337</v>
      </c>
      <c r="DS78" s="897">
        <f t="shared" si="135"/>
        <v>20026.600000000002</v>
      </c>
      <c r="DT78" s="897">
        <f>DT109*1.1</f>
        <v>28050.000000000004</v>
      </c>
      <c r="DU78" s="897">
        <f t="shared" ref="DU78:DY78" si="136">DU109*1.1</f>
        <v>18451.400000000001</v>
      </c>
      <c r="DV78" s="897">
        <f t="shared" si="136"/>
        <v>17281</v>
      </c>
      <c r="DW78" s="897">
        <f t="shared" si="136"/>
        <v>10897.7</v>
      </c>
      <c r="DX78" s="778">
        <f>SUM(DL78:DW78)</f>
        <v>201338.50000000003</v>
      </c>
      <c r="DY78" s="598">
        <f>AVERAGE(DL78:DW78)</f>
        <v>16778.208333333336</v>
      </c>
    </row>
    <row r="79" spans="1:129" ht="18" hidden="1" customHeight="1">
      <c r="A79" s="765"/>
      <c r="B79" s="766" t="s">
        <v>127</v>
      </c>
      <c r="C79" s="767"/>
      <c r="D79" s="768"/>
      <c r="E79" s="769"/>
      <c r="F79" s="769"/>
      <c r="G79" s="769"/>
      <c r="H79" s="769"/>
      <c r="I79" s="769"/>
      <c r="J79" s="769"/>
      <c r="K79" s="769"/>
      <c r="L79" s="769"/>
      <c r="M79" s="769"/>
      <c r="N79" s="769"/>
      <c r="O79" s="769"/>
      <c r="P79" s="770"/>
      <c r="Q79" s="771"/>
      <c r="R79" s="768"/>
      <c r="S79" s="772"/>
      <c r="T79" s="772"/>
      <c r="U79" s="772"/>
      <c r="V79" s="772"/>
      <c r="W79" s="773"/>
      <c r="X79" s="773"/>
      <c r="Y79" s="773"/>
      <c r="Z79" s="773"/>
      <c r="AA79" s="773"/>
      <c r="AB79" s="773"/>
      <c r="AC79" s="773"/>
      <c r="AD79" s="774"/>
      <c r="AE79" s="775"/>
      <c r="AF79" s="776"/>
      <c r="AG79" s="776"/>
      <c r="AH79" s="776"/>
      <c r="AI79" s="776"/>
      <c r="AJ79" s="776"/>
      <c r="AK79" s="776"/>
      <c r="AL79" s="776"/>
      <c r="AM79" s="776"/>
      <c r="AN79" s="776"/>
      <c r="AO79" s="776"/>
      <c r="AP79" s="776"/>
      <c r="AQ79" s="776"/>
      <c r="AR79" s="772"/>
      <c r="AS79" s="775"/>
      <c r="AT79" s="776"/>
      <c r="AU79" s="776"/>
      <c r="AV79" s="776"/>
      <c r="AW79" s="776"/>
      <c r="AX79" s="776"/>
      <c r="AY79" s="776"/>
      <c r="AZ79" s="776"/>
      <c r="BA79" s="776"/>
      <c r="BB79" s="776"/>
      <c r="BC79" s="776"/>
      <c r="BD79" s="776"/>
      <c r="BE79" s="776"/>
      <c r="BF79" s="772"/>
      <c r="BG79" s="775"/>
      <c r="BH79" s="776"/>
      <c r="BI79" s="776"/>
      <c r="BJ79" s="776"/>
      <c r="BK79" s="776"/>
      <c r="BL79" s="776"/>
      <c r="BM79" s="776"/>
      <c r="BN79" s="776"/>
      <c r="BO79" s="776"/>
      <c r="BP79" s="776"/>
      <c r="BQ79" s="776"/>
      <c r="BR79" s="776"/>
      <c r="BS79" s="776"/>
      <c r="BT79" s="776"/>
      <c r="BU79" s="777"/>
      <c r="BV79" s="778"/>
      <c r="BW79" s="778"/>
      <c r="BX79" s="778"/>
      <c r="BY79" s="778"/>
      <c r="BZ79" s="778"/>
      <c r="CA79" s="778"/>
      <c r="CB79" s="778"/>
      <c r="CC79" s="778"/>
      <c r="CD79" s="778"/>
      <c r="CE79" s="778"/>
      <c r="CF79" s="778"/>
      <c r="CG79" s="778"/>
      <c r="CH79" s="776"/>
      <c r="CI79" s="779"/>
      <c r="CJ79" s="778"/>
      <c r="CK79" s="778"/>
      <c r="CL79" s="778"/>
      <c r="CM79" s="778"/>
      <c r="CN79" s="778"/>
      <c r="CO79" s="778"/>
      <c r="CP79" s="778"/>
      <c r="CQ79" s="778"/>
      <c r="CR79" s="778"/>
      <c r="CS79" s="778">
        <v>28812</v>
      </c>
      <c r="CT79" s="778">
        <f>CT100</f>
        <v>35000</v>
      </c>
      <c r="CU79" s="778">
        <f>CU100</f>
        <v>2096</v>
      </c>
      <c r="CV79" s="778"/>
      <c r="CW79" s="869">
        <f>CW80-CW75</f>
        <v>-62332.039999999921</v>
      </c>
      <c r="CX79" s="897">
        <f>CX100</f>
        <v>39610</v>
      </c>
      <c r="CY79" s="897">
        <f t="shared" ref="CY79:DC79" si="137">CY100</f>
        <v>36994</v>
      </c>
      <c r="CZ79" s="897">
        <f t="shared" si="137"/>
        <v>29344</v>
      </c>
      <c r="DA79" s="897">
        <f t="shared" si="137"/>
        <v>33378</v>
      </c>
      <c r="DB79" s="897">
        <f t="shared" si="137"/>
        <v>19489</v>
      </c>
      <c r="DC79" s="897">
        <f t="shared" si="137"/>
        <v>14764</v>
      </c>
      <c r="DD79" s="897">
        <f>DD100</f>
        <v>49685.9</v>
      </c>
      <c r="DE79" s="897">
        <f t="shared" ref="DE79:DJ79" si="138">DE100</f>
        <v>48585.9</v>
      </c>
      <c r="DF79" s="897">
        <f t="shared" si="138"/>
        <v>55922.9</v>
      </c>
      <c r="DG79" s="897">
        <f t="shared" si="138"/>
        <v>28156.7</v>
      </c>
      <c r="DH79" s="897">
        <f t="shared" si="138"/>
        <v>14078.35</v>
      </c>
      <c r="DI79" s="897">
        <f t="shared" si="138"/>
        <v>3300.0000000000005</v>
      </c>
      <c r="DJ79" s="778">
        <f>SUM(CX79:DI79)</f>
        <v>373308.75</v>
      </c>
      <c r="DK79" s="948"/>
      <c r="DL79" s="897">
        <f>DL100</f>
        <v>39610</v>
      </c>
      <c r="DM79" s="897">
        <f t="shared" ref="DM79:DQ79" si="139">DM100</f>
        <v>36994</v>
      </c>
      <c r="DN79" s="897">
        <f t="shared" si="139"/>
        <v>29344</v>
      </c>
      <c r="DO79" s="897">
        <f t="shared" si="139"/>
        <v>33378</v>
      </c>
      <c r="DP79" s="897">
        <f t="shared" si="139"/>
        <v>19489</v>
      </c>
      <c r="DQ79" s="897">
        <f t="shared" si="139"/>
        <v>14764</v>
      </c>
      <c r="DR79" s="897">
        <f>DR100</f>
        <v>49685.9</v>
      </c>
      <c r="DS79" s="897">
        <f t="shared" ref="DS79:DX79" si="140">DS100</f>
        <v>48585.9</v>
      </c>
      <c r="DT79" s="897">
        <f t="shared" si="140"/>
        <v>55922.9</v>
      </c>
      <c r="DU79" s="897">
        <f t="shared" si="140"/>
        <v>28156.7</v>
      </c>
      <c r="DV79" s="897">
        <f t="shared" si="140"/>
        <v>14078.35</v>
      </c>
      <c r="DW79" s="897">
        <f t="shared" si="140"/>
        <v>3300.0000000000005</v>
      </c>
      <c r="DX79" s="778">
        <f>SUM(DL79:DW79)</f>
        <v>373308.75</v>
      </c>
    </row>
    <row r="80" spans="1:129" s="1004" customFormat="1" ht="15" customHeight="1">
      <c r="A80" s="1003"/>
      <c r="B80" s="990" t="s">
        <v>128</v>
      </c>
      <c r="C80" s="991"/>
      <c r="D80" s="992"/>
      <c r="E80" s="993"/>
      <c r="F80" s="993"/>
      <c r="G80" s="993"/>
      <c r="H80" s="993"/>
      <c r="I80" s="993"/>
      <c r="J80" s="993"/>
      <c r="K80" s="993"/>
      <c r="L80" s="993"/>
      <c r="M80" s="993"/>
      <c r="N80" s="993"/>
      <c r="O80" s="993"/>
      <c r="P80" s="994"/>
      <c r="Q80" s="995"/>
      <c r="R80" s="992"/>
      <c r="S80" s="836"/>
      <c r="T80" s="836"/>
      <c r="U80" s="836"/>
      <c r="V80" s="836"/>
      <c r="W80" s="996"/>
      <c r="X80" s="996"/>
      <c r="Y80" s="996"/>
      <c r="Z80" s="996"/>
      <c r="AA80" s="996"/>
      <c r="AB80" s="996"/>
      <c r="AC80" s="996"/>
      <c r="AD80" s="997"/>
      <c r="AE80" s="998"/>
      <c r="AF80" s="999"/>
      <c r="AG80" s="836"/>
      <c r="AH80" s="836"/>
      <c r="AI80" s="836"/>
      <c r="AJ80" s="836"/>
      <c r="AK80" s="836"/>
      <c r="AL80" s="836"/>
      <c r="AM80" s="836"/>
      <c r="AN80" s="836"/>
      <c r="AO80" s="836"/>
      <c r="AP80" s="836"/>
      <c r="AQ80" s="836"/>
      <c r="AR80" s="836"/>
      <c r="AS80" s="998"/>
      <c r="AT80" s="836"/>
      <c r="AU80" s="836"/>
      <c r="AV80" s="836"/>
      <c r="AW80" s="836"/>
      <c r="AX80" s="836"/>
      <c r="AY80" s="836"/>
      <c r="AZ80" s="836"/>
      <c r="BA80" s="836"/>
      <c r="BB80" s="836"/>
      <c r="BC80" s="836"/>
      <c r="BD80" s="836"/>
      <c r="BE80" s="836"/>
      <c r="BF80" s="836"/>
      <c r="BG80" s="998"/>
      <c r="BH80" s="836"/>
      <c r="BI80" s="836"/>
      <c r="BJ80" s="836"/>
      <c r="BK80" s="836"/>
      <c r="BL80" s="836"/>
      <c r="BM80" s="836"/>
      <c r="BN80" s="836"/>
      <c r="BO80" s="836"/>
      <c r="BP80" s="836"/>
      <c r="BQ80" s="836"/>
      <c r="BR80" s="836"/>
      <c r="BS80" s="836"/>
      <c r="BT80" s="836"/>
      <c r="BU80" s="1000"/>
      <c r="BV80" s="836"/>
      <c r="BW80" s="836"/>
      <c r="BX80" s="836"/>
      <c r="BY80" s="836"/>
      <c r="BZ80" s="836"/>
      <c r="CA80" s="836"/>
      <c r="CB80" s="836"/>
      <c r="CC80" s="836"/>
      <c r="CD80" s="836"/>
      <c r="CE80" s="836"/>
      <c r="CF80" s="836"/>
      <c r="CG80" s="836"/>
      <c r="CH80" s="836"/>
      <c r="CI80" s="1001"/>
      <c r="CJ80" s="836"/>
      <c r="CK80" s="836"/>
      <c r="CL80" s="836"/>
      <c r="CM80" s="836"/>
      <c r="CN80" s="836"/>
      <c r="CO80" s="836"/>
      <c r="CP80" s="836"/>
      <c r="CQ80" s="836"/>
      <c r="CR80" s="836"/>
      <c r="CS80" s="836"/>
      <c r="CT80" s="836">
        <f>SUM(CT81:CT83)</f>
        <v>210269</v>
      </c>
      <c r="CU80" s="836">
        <f>SUM(CU81:CU83)</f>
        <v>172780</v>
      </c>
      <c r="CV80" s="836"/>
      <c r="CW80" s="1002">
        <f>SUM(CX80:DC80)</f>
        <v>934639.7</v>
      </c>
      <c r="CX80" s="836">
        <f>SUM(CX81:CX83)</f>
        <v>194767.09999999998</v>
      </c>
      <c r="CY80" s="836">
        <f t="shared" ref="CY80:DE80" si="141">SUM(CY81:CY83)</f>
        <v>161944.6</v>
      </c>
      <c r="CZ80" s="836">
        <f>SUM(CZ81:CZ83)</f>
        <v>53400</v>
      </c>
      <c r="DA80" s="836">
        <v>160000</v>
      </c>
      <c r="DB80" s="836">
        <f t="shared" si="141"/>
        <v>189728</v>
      </c>
      <c r="DC80" s="836">
        <f>SUM(DC81:DC83)</f>
        <v>174800</v>
      </c>
      <c r="DD80" s="836">
        <f t="shared" si="141"/>
        <v>225400</v>
      </c>
      <c r="DE80" s="836">
        <f t="shared" si="141"/>
        <v>201020</v>
      </c>
      <c r="DF80" s="836">
        <f>SUM(DF81:DF83)</f>
        <v>207368</v>
      </c>
      <c r="DG80" s="836">
        <f t="shared" ref="DG80:DI80" si="142">SUM(DG81:DG83)</f>
        <v>207368</v>
      </c>
      <c r="DH80" s="836">
        <f t="shared" si="142"/>
        <v>189336</v>
      </c>
      <c r="DI80" s="836">
        <f t="shared" si="142"/>
        <v>144256</v>
      </c>
      <c r="DJ80" s="999">
        <f>SUM(DA80:DI80)</f>
        <v>1699276</v>
      </c>
      <c r="DK80" s="948"/>
      <c r="DL80" s="831">
        <f>SUM(DL81:DL83)</f>
        <v>192280</v>
      </c>
      <c r="DM80" s="831">
        <f t="shared" ref="DM80:DQ80" si="143">SUM(DM81:DM83)</f>
        <v>166060</v>
      </c>
      <c r="DN80" s="831">
        <f>SUM(DN81:DN83)</f>
        <v>202400</v>
      </c>
      <c r="DO80" s="831">
        <f>SUM(DO81:DO83)</f>
        <v>202400</v>
      </c>
      <c r="DP80" s="831">
        <f t="shared" ref="DP80:DW80" si="144">SUM(DP81:DP83)</f>
        <v>180320</v>
      </c>
      <c r="DQ80" s="831">
        <f t="shared" si="144"/>
        <v>183540</v>
      </c>
      <c r="DR80" s="831">
        <f t="shared" si="144"/>
        <v>207368</v>
      </c>
      <c r="DS80" s="831">
        <f t="shared" si="144"/>
        <v>183540</v>
      </c>
      <c r="DT80" s="831">
        <f t="shared" si="144"/>
        <v>207368</v>
      </c>
      <c r="DU80" s="831">
        <f t="shared" si="144"/>
        <v>207368</v>
      </c>
      <c r="DV80" s="831">
        <f t="shared" si="144"/>
        <v>189336</v>
      </c>
      <c r="DW80" s="831">
        <f t="shared" si="144"/>
        <v>144256</v>
      </c>
      <c r="DX80" s="999">
        <f>SUM(DL80:DW80)</f>
        <v>2266236</v>
      </c>
    </row>
    <row r="81" spans="1:129" ht="15.75" hidden="1" customHeight="1" outlineLevel="1">
      <c r="A81" s="719">
        <v>7</v>
      </c>
      <c r="B81" s="936" t="s">
        <v>129</v>
      </c>
      <c r="C81" s="781"/>
      <c r="D81" s="793">
        <v>98048</v>
      </c>
      <c r="E81" s="794">
        <v>128688</v>
      </c>
      <c r="F81" s="794">
        <v>124704</v>
      </c>
      <c r="G81" s="794">
        <v>157500</v>
      </c>
      <c r="H81" s="794">
        <v>182600</v>
      </c>
      <c r="I81" s="794">
        <v>157700</v>
      </c>
      <c r="J81" s="794">
        <v>181700</v>
      </c>
      <c r="K81" s="794">
        <v>165900</v>
      </c>
      <c r="L81" s="794">
        <v>174300</v>
      </c>
      <c r="M81" s="794">
        <v>215800</v>
      </c>
      <c r="N81" s="794">
        <v>180000</v>
      </c>
      <c r="O81" s="794">
        <v>112500</v>
      </c>
      <c r="P81" s="795">
        <f t="shared" ref="P81:P84" si="145">SUM(D81:O81)</f>
        <v>1879440</v>
      </c>
      <c r="Q81" s="796"/>
      <c r="R81" s="793">
        <v>158400</v>
      </c>
      <c r="S81" s="797">
        <v>161000</v>
      </c>
      <c r="T81" s="797">
        <v>117800</v>
      </c>
      <c r="U81" s="797">
        <v>2000</v>
      </c>
      <c r="V81" s="797">
        <v>53800</v>
      </c>
      <c r="W81" s="797">
        <v>190600</v>
      </c>
      <c r="X81" s="797">
        <v>187900</v>
      </c>
      <c r="Y81" s="797">
        <v>196800</v>
      </c>
      <c r="Z81" s="797">
        <v>192300</v>
      </c>
      <c r="AA81" s="797">
        <v>182300</v>
      </c>
      <c r="AB81" s="797">
        <v>175000</v>
      </c>
      <c r="AC81" s="797">
        <v>134100</v>
      </c>
      <c r="AD81" s="798">
        <f>SUM(R81:AC81)</f>
        <v>1752000</v>
      </c>
      <c r="AE81" s="799"/>
      <c r="AF81" s="800">
        <f t="shared" ref="AF81:AL81" si="146">SUM(AF84,AF86)</f>
        <v>161400</v>
      </c>
      <c r="AG81" s="800">
        <f t="shared" si="146"/>
        <v>166000</v>
      </c>
      <c r="AH81" s="800">
        <f t="shared" si="146"/>
        <v>150471</v>
      </c>
      <c r="AI81" s="800">
        <f t="shared" si="146"/>
        <v>149040</v>
      </c>
      <c r="AJ81" s="800">
        <f t="shared" si="146"/>
        <v>196360</v>
      </c>
      <c r="AK81" s="800">
        <f t="shared" si="146"/>
        <v>163300</v>
      </c>
      <c r="AL81" s="800">
        <f t="shared" si="146"/>
        <v>190000</v>
      </c>
      <c r="AM81" s="800">
        <f t="shared" ref="AM81:AQ81" si="147">SUM(AM84,AM86,AM87)</f>
        <v>167000</v>
      </c>
      <c r="AN81" s="800">
        <f t="shared" si="147"/>
        <v>170500</v>
      </c>
      <c r="AO81" s="800">
        <f t="shared" si="147"/>
        <v>140000</v>
      </c>
      <c r="AP81" s="800">
        <f t="shared" si="147"/>
        <v>130000</v>
      </c>
      <c r="AQ81" s="800">
        <f t="shared" si="147"/>
        <v>100000</v>
      </c>
      <c r="AR81" s="786">
        <f t="shared" ref="AR81:AR84" si="148">SUM(AF81:AQ81)</f>
        <v>1884071</v>
      </c>
      <c r="AS81" s="799"/>
      <c r="AT81" s="800">
        <f t="shared" ref="AT81:BC81" si="149">SUM(AT84,AT86,AT87)</f>
        <v>133000</v>
      </c>
      <c r="AU81" s="800">
        <f t="shared" si="149"/>
        <v>125180</v>
      </c>
      <c r="AV81" s="800">
        <f t="shared" si="149"/>
        <v>117228</v>
      </c>
      <c r="AW81" s="800">
        <f t="shared" si="149"/>
        <v>127500</v>
      </c>
      <c r="AX81" s="800">
        <f t="shared" si="149"/>
        <v>140000</v>
      </c>
      <c r="AY81" s="800">
        <f t="shared" si="149"/>
        <v>158342.99999899999</v>
      </c>
      <c r="AZ81" s="800">
        <f t="shared" si="149"/>
        <v>152409</v>
      </c>
      <c r="BA81" s="800">
        <f t="shared" si="149"/>
        <v>173520</v>
      </c>
      <c r="BB81" s="800">
        <f t="shared" si="149"/>
        <v>165000</v>
      </c>
      <c r="BC81" s="800">
        <f t="shared" si="149"/>
        <v>157500</v>
      </c>
      <c r="BD81" s="800">
        <v>129431</v>
      </c>
      <c r="BE81" s="800">
        <v>61700</v>
      </c>
      <c r="BF81" s="797">
        <f t="shared" ref="BF81:BF84" si="150">SUM(AT81:BE81)</f>
        <v>1640810.999999</v>
      </c>
      <c r="BG81" s="799">
        <f>BF81-AR81</f>
        <v>-243260.00000100001</v>
      </c>
      <c r="BH81" s="790">
        <f>SUM(BH84,BH86,BH87)</f>
        <v>139760</v>
      </c>
      <c r="BI81" s="790">
        <f t="shared" ref="BI81:BP81" si="151">SUM(BI84,BI86,BI87)</f>
        <v>116580</v>
      </c>
      <c r="BJ81" s="790">
        <f t="shared" si="151"/>
        <v>148340</v>
      </c>
      <c r="BK81" s="790">
        <f t="shared" si="151"/>
        <v>112360</v>
      </c>
      <c r="BL81" s="790">
        <f t="shared" si="151"/>
        <v>108660</v>
      </c>
      <c r="BM81" s="790">
        <f t="shared" si="151"/>
        <v>153416</v>
      </c>
      <c r="BN81" s="790">
        <f t="shared" si="151"/>
        <v>137676</v>
      </c>
      <c r="BO81" s="790">
        <f t="shared" si="151"/>
        <v>160654</v>
      </c>
      <c r="BP81" s="790">
        <f t="shared" si="151"/>
        <v>157000</v>
      </c>
      <c r="BQ81" s="790">
        <v>156725</v>
      </c>
      <c r="BR81" s="790">
        <v>182069</v>
      </c>
      <c r="BS81" s="790">
        <f>BS84+BS87</f>
        <v>156420</v>
      </c>
      <c r="BT81" s="790">
        <f t="shared" ref="BT81:BT84" si="152">SUM(BH81:BS81)</f>
        <v>1729660</v>
      </c>
      <c r="BU81" s="791"/>
      <c r="BV81" s="801">
        <f>BV7*BV85</f>
        <v>133000</v>
      </c>
      <c r="BW81" s="801">
        <f>BW7*BW85</f>
        <v>133000</v>
      </c>
      <c r="BX81" s="801">
        <f>BX7*BX85</f>
        <v>147000</v>
      </c>
      <c r="BY81" s="801">
        <f>BY7*BY85</f>
        <v>172800</v>
      </c>
      <c r="BZ81" s="801">
        <f>BZ7*BZ85</f>
        <v>165600</v>
      </c>
      <c r="CA81" s="801">
        <f>CA7*CA85</f>
        <v>158400</v>
      </c>
      <c r="CB81" s="801">
        <f>CB7*CB85</f>
        <v>180000</v>
      </c>
      <c r="CC81" s="801">
        <f>CC7*CC85</f>
        <v>172800</v>
      </c>
      <c r="CD81" s="801">
        <f>CD7*CD85</f>
        <v>172800</v>
      </c>
      <c r="CE81" s="801">
        <f>CE7*CE85</f>
        <v>172800</v>
      </c>
      <c r="CF81" s="801">
        <f>CF7*CF85</f>
        <v>167200</v>
      </c>
      <c r="CG81" s="801">
        <f>CG7*CG85</f>
        <v>98800</v>
      </c>
      <c r="CH81" s="801">
        <f t="shared" ref="CH81:CH86" si="153">SUM(BV81:CG81)</f>
        <v>1874200</v>
      </c>
      <c r="CI81" s="801"/>
      <c r="CJ81" s="801">
        <f>CJ7*CJ85</f>
        <v>165000</v>
      </c>
      <c r="CK81" s="801">
        <f>CK7*CK85</f>
        <v>188600</v>
      </c>
      <c r="CL81" s="801">
        <f>CL7*CL85</f>
        <v>171000</v>
      </c>
      <c r="CM81" s="801">
        <f>CM7*CM85</f>
        <v>200000</v>
      </c>
      <c r="CN81" s="801">
        <f>CN7*CN85</f>
        <v>178290</v>
      </c>
      <c r="CO81" s="801">
        <f>CO7*CO85</f>
        <v>198000</v>
      </c>
      <c r="CP81" s="801">
        <f>CP7*CP85</f>
        <v>245000</v>
      </c>
      <c r="CQ81" s="801">
        <f>CQ7*CQ85</f>
        <v>207900</v>
      </c>
      <c r="CR81" s="801">
        <f>CR7*CR85</f>
        <v>217800</v>
      </c>
      <c r="CS81" s="801">
        <v>205579</v>
      </c>
      <c r="CT81" s="801">
        <f>(CT7*CT85)-CT83</f>
        <v>164340</v>
      </c>
      <c r="CU81" s="801">
        <f>(CU7*CU85)-CU83</f>
        <v>118660</v>
      </c>
      <c r="CV81" s="790">
        <f>SUM(CJ81:CU81)</f>
        <v>2260169</v>
      </c>
      <c r="CW81" s="758"/>
      <c r="CX81" s="899">
        <f>(CX7*CX85)*0.95-CX83-CX82</f>
        <v>131887.09999999998</v>
      </c>
      <c r="CY81" s="899">
        <f>(CY7*CY85)*0.95-CY83-CY82</f>
        <v>117864.6</v>
      </c>
      <c r="CZ81" s="899">
        <f>(CZ7*CZ85)*1-CZ83-CZ82</f>
        <v>1380</v>
      </c>
      <c r="DA81" s="899">
        <f>(DA7*DA85)*1-DA83-DA82</f>
        <v>45840</v>
      </c>
      <c r="DB81" s="899">
        <f>(DB7*DB85)*0.98-DB83-DB82</f>
        <v>160728</v>
      </c>
      <c r="DC81" s="899">
        <f>(DC7*DC85)*0.95-DC83-DC82</f>
        <v>110800</v>
      </c>
      <c r="DD81" s="899">
        <f>(DD7*DD85)*0.98-DD83-DD82</f>
        <v>160400</v>
      </c>
      <c r="DE81" s="899">
        <f>(DE7*DE85)*0.95-DE83-DE82</f>
        <v>136020</v>
      </c>
      <c r="DF81" s="899">
        <f>(DF7*DF85)*0.98-DF83-DF82</f>
        <v>142368</v>
      </c>
      <c r="DG81" s="899">
        <f>(DG7*DG85)*0.98-DG83-DG82</f>
        <v>167368</v>
      </c>
      <c r="DH81" s="899">
        <f>(DH7*DH85)*0.98-DH83-DH82</f>
        <v>160336</v>
      </c>
      <c r="DI81" s="899">
        <f>(DI7*DI85)*0.98-DI83-DI82</f>
        <v>84256</v>
      </c>
      <c r="DJ81" s="801">
        <f>SUM(CX81:DI81)</f>
        <v>1419247.7</v>
      </c>
      <c r="DK81" s="948"/>
      <c r="DL81" s="899">
        <f>(DL7*DL85)*0.95-DL83-DL82</f>
        <v>129400</v>
      </c>
      <c r="DM81" s="899">
        <f>(DM7*DM85)*0.95-DM83-DM82</f>
        <v>121980</v>
      </c>
      <c r="DN81" s="899">
        <f>(DN7*DN85)*1-DN83-DN82</f>
        <v>150380</v>
      </c>
      <c r="DO81" s="899">
        <f>(DO7*DO85)*1-DO83-DO82</f>
        <v>163240</v>
      </c>
      <c r="DP81" s="899">
        <f>(DP7*DP85)*0.98-DP83-DP82</f>
        <v>151320</v>
      </c>
      <c r="DQ81" s="899">
        <f>(DQ7*DQ85)*0.95-DQ83-DQ82</f>
        <v>119540</v>
      </c>
      <c r="DR81" s="899">
        <f>(DR7*DR85)*0.98-DR83-DR82</f>
        <v>147368</v>
      </c>
      <c r="DS81" s="899">
        <f>(DS7*DS85)*0.95-DS83-DS82</f>
        <v>125540</v>
      </c>
      <c r="DT81" s="899">
        <f>(DT7*DT85)*0.98-DT83-DT82</f>
        <v>148368</v>
      </c>
      <c r="DU81" s="899">
        <f>(DU7*DU85)*0.98-DU83-DU82</f>
        <v>173368</v>
      </c>
      <c r="DV81" s="899">
        <f>(DV7*DV85)*0.98-DV83-DV82</f>
        <v>160336</v>
      </c>
      <c r="DW81" s="899">
        <f>(DW7*DW85)*0.98-DW83-DW82</f>
        <v>84256</v>
      </c>
      <c r="DX81" s="801">
        <f>SUM(DL81:DW81)</f>
        <v>1675096</v>
      </c>
      <c r="DY81" s="598">
        <f>AVERAGE(DL81:DW81)</f>
        <v>139591.33333333334</v>
      </c>
    </row>
    <row r="82" spans="1:129" ht="15.75" hidden="1" customHeight="1" outlineLevel="1">
      <c r="A82" s="719"/>
      <c r="B82" s="936" t="s">
        <v>130</v>
      </c>
      <c r="C82" s="781"/>
      <c r="D82" s="793"/>
      <c r="E82" s="794"/>
      <c r="F82" s="794"/>
      <c r="G82" s="794"/>
      <c r="H82" s="794"/>
      <c r="I82" s="794"/>
      <c r="J82" s="794"/>
      <c r="K82" s="794"/>
      <c r="L82" s="794"/>
      <c r="M82" s="794"/>
      <c r="N82" s="794"/>
      <c r="O82" s="794"/>
      <c r="P82" s="795"/>
      <c r="Q82" s="796"/>
      <c r="R82" s="793"/>
      <c r="S82" s="797"/>
      <c r="T82" s="797"/>
      <c r="U82" s="797"/>
      <c r="V82" s="797"/>
      <c r="W82" s="797"/>
      <c r="X82" s="797"/>
      <c r="Y82" s="797"/>
      <c r="Z82" s="797"/>
      <c r="AA82" s="797"/>
      <c r="AB82" s="797"/>
      <c r="AC82" s="797"/>
      <c r="AD82" s="798"/>
      <c r="AE82" s="799"/>
      <c r="AF82" s="800"/>
      <c r="AG82" s="800"/>
      <c r="AH82" s="800"/>
      <c r="AI82" s="800"/>
      <c r="AJ82" s="800"/>
      <c r="AK82" s="800"/>
      <c r="AL82" s="800"/>
      <c r="AM82" s="800"/>
      <c r="AN82" s="800"/>
      <c r="AO82" s="800"/>
      <c r="AP82" s="800"/>
      <c r="AQ82" s="800"/>
      <c r="AR82" s="786"/>
      <c r="AS82" s="799"/>
      <c r="AT82" s="800"/>
      <c r="AU82" s="800"/>
      <c r="AV82" s="800"/>
      <c r="AW82" s="800"/>
      <c r="AX82" s="800"/>
      <c r="AY82" s="800"/>
      <c r="AZ82" s="800"/>
      <c r="BA82" s="800"/>
      <c r="BB82" s="800"/>
      <c r="BC82" s="800"/>
      <c r="BD82" s="800"/>
      <c r="BE82" s="800"/>
      <c r="BF82" s="797"/>
      <c r="BG82" s="799"/>
      <c r="BH82" s="790"/>
      <c r="BI82" s="790"/>
      <c r="BJ82" s="790"/>
      <c r="BK82" s="790"/>
      <c r="BL82" s="790"/>
      <c r="BM82" s="790"/>
      <c r="BN82" s="790"/>
      <c r="BO82" s="790"/>
      <c r="BP82" s="790"/>
      <c r="BQ82" s="790"/>
      <c r="BR82" s="790"/>
      <c r="BS82" s="790"/>
      <c r="BT82" s="790"/>
      <c r="BU82" s="791"/>
      <c r="BV82" s="801"/>
      <c r="BW82" s="801"/>
      <c r="BX82" s="801"/>
      <c r="BY82" s="801"/>
      <c r="BZ82" s="801"/>
      <c r="CA82" s="801"/>
      <c r="CB82" s="801"/>
      <c r="CC82" s="801"/>
      <c r="CD82" s="801"/>
      <c r="CE82" s="801"/>
      <c r="CF82" s="801"/>
      <c r="CG82" s="801"/>
      <c r="CH82" s="801"/>
      <c r="CI82" s="802"/>
      <c r="CJ82" s="801"/>
      <c r="CK82" s="801"/>
      <c r="CL82" s="801"/>
      <c r="CM82" s="801"/>
      <c r="CN82" s="801"/>
      <c r="CO82" s="801"/>
      <c r="CP82" s="801"/>
      <c r="CQ82" s="801"/>
      <c r="CR82" s="801"/>
      <c r="CS82" s="801"/>
      <c r="CT82" s="801">
        <v>25469</v>
      </c>
      <c r="CU82" s="801">
        <v>14680</v>
      </c>
      <c r="CV82" s="790"/>
      <c r="CW82" s="758"/>
      <c r="CX82" s="900">
        <v>9000</v>
      </c>
      <c r="CY82" s="900">
        <v>14000</v>
      </c>
      <c r="CZ82" s="900">
        <v>18000</v>
      </c>
      <c r="DA82" s="900">
        <v>18000</v>
      </c>
      <c r="DB82" s="900">
        <v>19000</v>
      </c>
      <c r="DC82" s="900">
        <v>14000</v>
      </c>
      <c r="DD82" s="900">
        <v>25000</v>
      </c>
      <c r="DE82" s="900">
        <v>25000</v>
      </c>
      <c r="DF82" s="900">
        <v>30000</v>
      </c>
      <c r="DG82" s="900">
        <v>20000</v>
      </c>
      <c r="DH82" s="900">
        <v>19000</v>
      </c>
      <c r="DI82" s="900">
        <v>10000</v>
      </c>
      <c r="DJ82" s="801">
        <f t="shared" ref="DJ82:DJ83" si="154">SUM(CX82:DI82)</f>
        <v>221000</v>
      </c>
      <c r="DK82" s="948"/>
      <c r="DL82" s="900">
        <v>9000</v>
      </c>
      <c r="DM82" s="900">
        <v>14000</v>
      </c>
      <c r="DN82" s="900">
        <v>18000</v>
      </c>
      <c r="DO82" s="900">
        <v>18000</v>
      </c>
      <c r="DP82" s="900">
        <v>19000</v>
      </c>
      <c r="DQ82" s="900">
        <v>14000</v>
      </c>
      <c r="DR82" s="900">
        <v>20000</v>
      </c>
      <c r="DS82" s="900">
        <v>18000</v>
      </c>
      <c r="DT82" s="900">
        <v>24000</v>
      </c>
      <c r="DU82" s="900">
        <v>14000</v>
      </c>
      <c r="DV82" s="900">
        <v>19000</v>
      </c>
      <c r="DW82" s="900">
        <v>10000</v>
      </c>
      <c r="DX82" s="801">
        <f t="shared" ref="DX82:DX83" si="155">SUM(DL82:DW82)</f>
        <v>197000</v>
      </c>
      <c r="DY82" s="598">
        <f>AVERAGE(DL82:DW82)</f>
        <v>16416.666666666668</v>
      </c>
    </row>
    <row r="83" spans="1:129" ht="15.75" hidden="1" customHeight="1" outlineLevel="1">
      <c r="A83" s="719"/>
      <c r="B83" s="936" t="s">
        <v>131</v>
      </c>
      <c r="C83" s="781"/>
      <c r="D83" s="793"/>
      <c r="E83" s="794"/>
      <c r="F83" s="794"/>
      <c r="G83" s="794"/>
      <c r="H83" s="794"/>
      <c r="I83" s="794"/>
      <c r="J83" s="794"/>
      <c r="K83" s="794"/>
      <c r="L83" s="794"/>
      <c r="M83" s="794"/>
      <c r="N83" s="794"/>
      <c r="O83" s="794"/>
      <c r="P83" s="795"/>
      <c r="Q83" s="796"/>
      <c r="R83" s="793"/>
      <c r="S83" s="797"/>
      <c r="T83" s="797"/>
      <c r="U83" s="797"/>
      <c r="V83" s="797"/>
      <c r="W83" s="797"/>
      <c r="X83" s="797"/>
      <c r="Y83" s="797"/>
      <c r="Z83" s="797"/>
      <c r="AA83" s="797"/>
      <c r="AB83" s="797"/>
      <c r="AC83" s="797"/>
      <c r="AD83" s="798"/>
      <c r="AE83" s="799"/>
      <c r="AF83" s="800"/>
      <c r="AG83" s="800"/>
      <c r="AH83" s="800"/>
      <c r="AI83" s="800"/>
      <c r="AJ83" s="800"/>
      <c r="AK83" s="800"/>
      <c r="AL83" s="800"/>
      <c r="AM83" s="800"/>
      <c r="AN83" s="800"/>
      <c r="AO83" s="800"/>
      <c r="AP83" s="800"/>
      <c r="AQ83" s="800"/>
      <c r="AR83" s="786"/>
      <c r="AS83" s="799"/>
      <c r="AT83" s="800"/>
      <c r="AU83" s="800"/>
      <c r="AV83" s="800"/>
      <c r="AW83" s="800"/>
      <c r="AX83" s="800"/>
      <c r="AY83" s="800"/>
      <c r="AZ83" s="800"/>
      <c r="BA83" s="800"/>
      <c r="BB83" s="800"/>
      <c r="BC83" s="800"/>
      <c r="BD83" s="800"/>
      <c r="BE83" s="800"/>
      <c r="BF83" s="797"/>
      <c r="BG83" s="799"/>
      <c r="BH83" s="790"/>
      <c r="BI83" s="790"/>
      <c r="BJ83" s="790"/>
      <c r="BK83" s="790"/>
      <c r="BL83" s="790"/>
      <c r="BM83" s="790"/>
      <c r="BN83" s="790"/>
      <c r="BO83" s="790"/>
      <c r="BP83" s="790"/>
      <c r="BQ83" s="790"/>
      <c r="BR83" s="790"/>
      <c r="BS83" s="790"/>
      <c r="BT83" s="790"/>
      <c r="BU83" s="791"/>
      <c r="BV83" s="801"/>
      <c r="BW83" s="801"/>
      <c r="BX83" s="801"/>
      <c r="BY83" s="801"/>
      <c r="BZ83" s="801"/>
      <c r="CA83" s="801"/>
      <c r="CB83" s="801"/>
      <c r="CC83" s="801"/>
      <c r="CD83" s="801"/>
      <c r="CE83" s="801"/>
      <c r="CF83" s="801"/>
      <c r="CG83" s="801"/>
      <c r="CH83" s="801"/>
      <c r="CI83" s="802"/>
      <c r="CJ83" s="801"/>
      <c r="CK83" s="801"/>
      <c r="CL83" s="801"/>
      <c r="CM83" s="801"/>
      <c r="CN83" s="801"/>
      <c r="CO83" s="801"/>
      <c r="CP83" s="801"/>
      <c r="CQ83" s="801"/>
      <c r="CR83" s="801"/>
      <c r="CS83" s="801"/>
      <c r="CT83" s="801">
        <f>CT99</f>
        <v>20460</v>
      </c>
      <c r="CU83" s="801">
        <f>CU99</f>
        <v>39440</v>
      </c>
      <c r="CV83" s="790"/>
      <c r="CW83" s="758"/>
      <c r="CX83" s="900">
        <f>CX99</f>
        <v>53880</v>
      </c>
      <c r="CY83" s="900">
        <f t="shared" ref="CY83:DI83" si="156">CY99</f>
        <v>30080</v>
      </c>
      <c r="CZ83" s="900">
        <f t="shared" si="156"/>
        <v>34020</v>
      </c>
      <c r="DA83" s="900">
        <f t="shared" si="156"/>
        <v>21160</v>
      </c>
      <c r="DB83" s="900">
        <f t="shared" si="156"/>
        <v>10000</v>
      </c>
      <c r="DC83" s="900">
        <f t="shared" si="156"/>
        <v>50000</v>
      </c>
      <c r="DD83" s="900">
        <f t="shared" si="156"/>
        <v>40000</v>
      </c>
      <c r="DE83" s="900">
        <f t="shared" si="156"/>
        <v>40000</v>
      </c>
      <c r="DF83" s="900">
        <f>DF99</f>
        <v>35000</v>
      </c>
      <c r="DG83" s="900">
        <f t="shared" si="156"/>
        <v>20000</v>
      </c>
      <c r="DH83" s="900">
        <f t="shared" si="156"/>
        <v>10000</v>
      </c>
      <c r="DI83" s="900">
        <f t="shared" si="156"/>
        <v>50000</v>
      </c>
      <c r="DJ83" s="801">
        <f t="shared" si="154"/>
        <v>394140</v>
      </c>
      <c r="DK83" s="948"/>
      <c r="DL83" s="900">
        <f>DL99</f>
        <v>53880</v>
      </c>
      <c r="DM83" s="900">
        <f t="shared" ref="DM83:DW83" si="157">DM99</f>
        <v>30080</v>
      </c>
      <c r="DN83" s="900">
        <f t="shared" si="157"/>
        <v>34020</v>
      </c>
      <c r="DO83" s="900">
        <f t="shared" si="157"/>
        <v>21160</v>
      </c>
      <c r="DP83" s="900">
        <f t="shared" si="157"/>
        <v>10000</v>
      </c>
      <c r="DQ83" s="900">
        <f t="shared" si="157"/>
        <v>50000</v>
      </c>
      <c r="DR83" s="900">
        <f t="shared" si="157"/>
        <v>40000</v>
      </c>
      <c r="DS83" s="900">
        <f t="shared" si="157"/>
        <v>40000</v>
      </c>
      <c r="DT83" s="900">
        <f t="shared" si="157"/>
        <v>35000</v>
      </c>
      <c r="DU83" s="900">
        <f t="shared" si="157"/>
        <v>20000</v>
      </c>
      <c r="DV83" s="900">
        <f t="shared" si="157"/>
        <v>10000</v>
      </c>
      <c r="DW83" s="900">
        <f t="shared" si="157"/>
        <v>50000</v>
      </c>
      <c r="DX83" s="801">
        <f t="shared" si="155"/>
        <v>394140</v>
      </c>
    </row>
    <row r="84" spans="1:129" ht="18.75" outlineLevel="1">
      <c r="A84" s="94"/>
      <c r="B84" s="921" t="s">
        <v>91</v>
      </c>
      <c r="C84" s="934"/>
      <c r="D84" s="313">
        <v>98048</v>
      </c>
      <c r="E84" s="89">
        <v>128688</v>
      </c>
      <c r="F84" s="89">
        <v>124704</v>
      </c>
      <c r="G84" s="89">
        <v>157500</v>
      </c>
      <c r="H84" s="89">
        <v>182600</v>
      </c>
      <c r="I84" s="89">
        <v>157700</v>
      </c>
      <c r="J84" s="89">
        <v>181700</v>
      </c>
      <c r="K84" s="89">
        <v>165900</v>
      </c>
      <c r="L84" s="89">
        <v>174300</v>
      </c>
      <c r="M84" s="89">
        <v>215800</v>
      </c>
      <c r="N84" s="89">
        <v>180000</v>
      </c>
      <c r="O84" s="89">
        <v>112500</v>
      </c>
      <c r="P84" s="314">
        <f t="shared" si="145"/>
        <v>1879440</v>
      </c>
      <c r="Q84" s="90"/>
      <c r="R84" s="313">
        <v>158400</v>
      </c>
      <c r="S84" s="91">
        <v>146000</v>
      </c>
      <c r="T84" s="91">
        <v>102200</v>
      </c>
      <c r="U84" s="91">
        <v>0</v>
      </c>
      <c r="V84" s="91">
        <v>43800</v>
      </c>
      <c r="W84" s="91">
        <v>160600</v>
      </c>
      <c r="X84" s="91">
        <v>167900</v>
      </c>
      <c r="Y84" s="91">
        <v>153300</v>
      </c>
      <c r="Z84" s="91">
        <v>153300</v>
      </c>
      <c r="AA84" s="91">
        <v>153300</v>
      </c>
      <c r="AB84" s="91">
        <v>146000</v>
      </c>
      <c r="AC84" s="91">
        <v>124100</v>
      </c>
      <c r="AD84" s="315"/>
      <c r="AE84" s="23"/>
      <c r="AF84" s="316">
        <v>131400</v>
      </c>
      <c r="AG84" s="91">
        <v>146000</v>
      </c>
      <c r="AH84" s="91">
        <v>125511</v>
      </c>
      <c r="AI84" s="91">
        <v>135000</v>
      </c>
      <c r="AJ84" s="91">
        <v>177320</v>
      </c>
      <c r="AK84" s="91">
        <v>151300</v>
      </c>
      <c r="AL84" s="91">
        <v>176000</v>
      </c>
      <c r="AM84" s="91">
        <f>AM85*AM7</f>
        <v>154000</v>
      </c>
      <c r="AN84" s="91">
        <f>AN85*AN7</f>
        <v>157500</v>
      </c>
      <c r="AO84" s="91">
        <f>AO85*AO7</f>
        <v>140000</v>
      </c>
      <c r="AP84" s="91">
        <f>AP85*AP7</f>
        <v>130000</v>
      </c>
      <c r="AQ84" s="91">
        <f>AQ85*AQ7+16000</f>
        <v>100000</v>
      </c>
      <c r="AR84" s="92">
        <f t="shared" si="148"/>
        <v>1724031</v>
      </c>
      <c r="AS84" s="23"/>
      <c r="AT84" s="91">
        <f>AT85*AT7</f>
        <v>133000</v>
      </c>
      <c r="AU84" s="91">
        <f>125180</f>
        <v>125180</v>
      </c>
      <c r="AV84" s="91">
        <f>AV85*AV7+7428</f>
        <v>117228</v>
      </c>
      <c r="AW84" s="91">
        <f>AW85*AW7</f>
        <v>123500</v>
      </c>
      <c r="AX84" s="91">
        <f>AX85*AX7</f>
        <v>132000</v>
      </c>
      <c r="AY84" s="91">
        <f>AY85*AY7</f>
        <v>153342.99999899999</v>
      </c>
      <c r="AZ84" s="91">
        <v>142409</v>
      </c>
      <c r="BA84" s="91">
        <v>163520</v>
      </c>
      <c r="BB84" s="91">
        <f>BB85*BB7</f>
        <v>165000</v>
      </c>
      <c r="BC84" s="91">
        <f>BC85*BC7</f>
        <v>157500</v>
      </c>
      <c r="BD84" s="316">
        <v>129431</v>
      </c>
      <c r="BE84" s="316">
        <v>61700</v>
      </c>
      <c r="BF84" s="91">
        <f t="shared" si="150"/>
        <v>1603810.999999</v>
      </c>
      <c r="BG84" s="27">
        <f>BF84+BF87-AR84-AR87</f>
        <v>-113040.00000100001</v>
      </c>
      <c r="BH84" s="91">
        <v>136760</v>
      </c>
      <c r="BI84" s="91">
        <v>116580</v>
      </c>
      <c r="BJ84" s="91">
        <v>148340</v>
      </c>
      <c r="BK84" s="91">
        <v>112360</v>
      </c>
      <c r="BL84" s="91">
        <v>108660</v>
      </c>
      <c r="BM84" s="91">
        <v>153416</v>
      </c>
      <c r="BN84" s="91">
        <v>137676</v>
      </c>
      <c r="BO84" s="91">
        <v>150654</v>
      </c>
      <c r="BP84" s="91">
        <f>7100*BP7</f>
        <v>142000</v>
      </c>
      <c r="BQ84" s="91">
        <f t="shared" ref="BQ84:BR84" si="158">BQ81-BQ87</f>
        <v>136725</v>
      </c>
      <c r="BR84" s="91">
        <f t="shared" si="158"/>
        <v>167069</v>
      </c>
      <c r="BS84" s="91">
        <v>124020</v>
      </c>
      <c r="BT84" s="91">
        <f t="shared" si="152"/>
        <v>1634260</v>
      </c>
      <c r="BU84" s="28"/>
      <c r="BV84" s="397">
        <f>BV85*BV86-24551</f>
        <v>108449</v>
      </c>
      <c r="BW84" s="397">
        <f>BW85*BW86</f>
        <v>133000</v>
      </c>
      <c r="BX84" s="397">
        <f t="shared" ref="BX84:CG84" si="159">BX85*BX86</f>
        <v>147000</v>
      </c>
      <c r="BY84" s="397">
        <f>BY85*BY86</f>
        <v>172800</v>
      </c>
      <c r="BZ84" s="397">
        <f>BZ85*BZ86</f>
        <v>165600</v>
      </c>
      <c r="CA84" s="397">
        <f>CA85*CA86</f>
        <v>158400</v>
      </c>
      <c r="CB84" s="397">
        <f>CB85*CB86</f>
        <v>180000</v>
      </c>
      <c r="CC84" s="397">
        <f t="shared" si="159"/>
        <v>172800</v>
      </c>
      <c r="CD84" s="397">
        <f t="shared" si="159"/>
        <v>172800</v>
      </c>
      <c r="CE84" s="397">
        <f t="shared" si="159"/>
        <v>172800</v>
      </c>
      <c r="CF84" s="397">
        <f t="shared" si="159"/>
        <v>167200</v>
      </c>
      <c r="CG84" s="397">
        <f t="shared" si="159"/>
        <v>98800</v>
      </c>
      <c r="CH84" s="91">
        <f t="shared" si="153"/>
        <v>1849649</v>
      </c>
      <c r="CI84" s="395">
        <f>(CH84-BT90)/BT90</f>
        <v>0.29391868731173409</v>
      </c>
      <c r="CJ84" s="397">
        <f>CJ81</f>
        <v>165000</v>
      </c>
      <c r="CK84" s="397">
        <f t="shared" ref="CK84:CO84" si="160">CK81</f>
        <v>188600</v>
      </c>
      <c r="CL84" s="397">
        <f t="shared" si="160"/>
        <v>171000</v>
      </c>
      <c r="CM84" s="397">
        <f t="shared" si="160"/>
        <v>200000</v>
      </c>
      <c r="CN84" s="397">
        <f t="shared" si="160"/>
        <v>178290</v>
      </c>
      <c r="CO84" s="397">
        <f t="shared" si="160"/>
        <v>198000</v>
      </c>
      <c r="CP84" s="397">
        <v>168760</v>
      </c>
      <c r="CQ84" s="397">
        <v>194340</v>
      </c>
      <c r="CR84" s="397">
        <v>208000</v>
      </c>
      <c r="CS84" s="397">
        <v>201780</v>
      </c>
      <c r="CT84" s="397">
        <v>154060</v>
      </c>
      <c r="CU84" s="397">
        <v>96720</v>
      </c>
      <c r="CV84" s="91">
        <v>1949109</v>
      </c>
      <c r="CW84" s="758"/>
      <c r="CX84" s="397">
        <f>CX81</f>
        <v>131887.09999999998</v>
      </c>
      <c r="CY84" s="397">
        <f t="shared" ref="CY84:DC84" si="161">CY81</f>
        <v>117864.6</v>
      </c>
      <c r="CZ84" s="397">
        <f t="shared" si="161"/>
        <v>1380</v>
      </c>
      <c r="DA84" s="397">
        <f t="shared" si="161"/>
        <v>45840</v>
      </c>
      <c r="DB84" s="397">
        <f t="shared" si="161"/>
        <v>160728</v>
      </c>
      <c r="DC84" s="397">
        <f t="shared" si="161"/>
        <v>110800</v>
      </c>
      <c r="DD84" s="397">
        <v>168760</v>
      </c>
      <c r="DE84" s="397">
        <v>194340</v>
      </c>
      <c r="DF84" s="397">
        <v>208000</v>
      </c>
      <c r="DG84" s="397">
        <v>201780</v>
      </c>
      <c r="DH84" s="397">
        <v>154060</v>
      </c>
      <c r="DI84" s="397">
        <v>96720</v>
      </c>
      <c r="DJ84" s="91">
        <v>1949109</v>
      </c>
      <c r="DK84" s="948"/>
      <c r="DL84" s="397">
        <f>DL81</f>
        <v>129400</v>
      </c>
      <c r="DM84" s="397">
        <f t="shared" ref="DM84:DQ84" si="162">DM81</f>
        <v>121980</v>
      </c>
      <c r="DN84" s="397">
        <f t="shared" si="162"/>
        <v>150380</v>
      </c>
      <c r="DO84" s="397">
        <f t="shared" si="162"/>
        <v>163240</v>
      </c>
      <c r="DP84" s="397">
        <f t="shared" si="162"/>
        <v>151320</v>
      </c>
      <c r="DQ84" s="397">
        <f t="shared" si="162"/>
        <v>119540</v>
      </c>
      <c r="DR84" s="397">
        <v>168760</v>
      </c>
      <c r="DS84" s="397">
        <v>194340</v>
      </c>
      <c r="DT84" s="397">
        <v>208000</v>
      </c>
      <c r="DU84" s="397">
        <v>201780</v>
      </c>
      <c r="DV84" s="397">
        <v>154060</v>
      </c>
      <c r="DW84" s="397">
        <v>96720</v>
      </c>
      <c r="DX84" s="91">
        <v>1949109</v>
      </c>
    </row>
    <row r="85" spans="1:129" ht="15.75" customHeight="1" outlineLevel="1">
      <c r="A85" s="821"/>
      <c r="B85" s="937" t="s">
        <v>92</v>
      </c>
      <c r="C85" s="902"/>
      <c r="D85" s="804"/>
      <c r="E85" s="805"/>
      <c r="F85" s="805"/>
      <c r="G85" s="805"/>
      <c r="H85" s="805"/>
      <c r="I85" s="805"/>
      <c r="J85" s="805"/>
      <c r="K85" s="805"/>
      <c r="L85" s="805"/>
      <c r="M85" s="805"/>
      <c r="N85" s="805"/>
      <c r="O85" s="805"/>
      <c r="P85" s="806"/>
      <c r="Q85" s="807"/>
      <c r="R85" s="808">
        <f>R84/R7</f>
        <v>7200</v>
      </c>
      <c r="S85" s="808">
        <f>S84/S7</f>
        <v>7300</v>
      </c>
      <c r="T85" s="808">
        <f>T84/T7</f>
        <v>7300</v>
      </c>
      <c r="U85" s="808">
        <f>U84/U7</f>
        <v>0</v>
      </c>
      <c r="V85" s="808">
        <f>V84/V7</f>
        <v>3650</v>
      </c>
      <c r="W85" s="808">
        <f>W84/W7</f>
        <v>7300</v>
      </c>
      <c r="X85" s="808">
        <f>X84/X7</f>
        <v>7300</v>
      </c>
      <c r="Y85" s="808">
        <f>Y84/Y7</f>
        <v>7300</v>
      </c>
      <c r="Z85" s="808">
        <f>Z84/Z7</f>
        <v>7300</v>
      </c>
      <c r="AA85" s="808">
        <f>AA84/AA7</f>
        <v>7300</v>
      </c>
      <c r="AB85" s="808">
        <f>AB84/AB7</f>
        <v>7300</v>
      </c>
      <c r="AC85" s="808">
        <f>AC84/AC7</f>
        <v>7300</v>
      </c>
      <c r="AD85" s="809"/>
      <c r="AE85" s="28"/>
      <c r="AF85" s="808">
        <f>AF84/AF7</f>
        <v>7300</v>
      </c>
      <c r="AG85" s="808">
        <f>AG84/AG7</f>
        <v>7300</v>
      </c>
      <c r="AH85" s="808">
        <f>AH84/AH7</f>
        <v>6275.55</v>
      </c>
      <c r="AI85" s="808">
        <f>AI84/AI7</f>
        <v>6750</v>
      </c>
      <c r="AJ85" s="808">
        <f>AJ84/AJ7</f>
        <v>8060</v>
      </c>
      <c r="AK85" s="808">
        <f>AK84/AK7</f>
        <v>7565</v>
      </c>
      <c r="AL85" s="808">
        <f>AL84/AL7</f>
        <v>8000</v>
      </c>
      <c r="AM85" s="596">
        <v>7000</v>
      </c>
      <c r="AN85" s="596">
        <v>7500</v>
      </c>
      <c r="AO85" s="596">
        <v>7000</v>
      </c>
      <c r="AP85" s="596">
        <v>6500</v>
      </c>
      <c r="AQ85" s="596">
        <v>7000</v>
      </c>
      <c r="AR85" s="810">
        <f>AVERAGE(AF85:AQ85)</f>
        <v>7187.5458333333336</v>
      </c>
      <c r="AS85" s="28"/>
      <c r="AT85" s="596">
        <v>7000</v>
      </c>
      <c r="AU85" s="596">
        <f>AU84/AU7</f>
        <v>6588.4210526315792</v>
      </c>
      <c r="AV85" s="596">
        <v>6100</v>
      </c>
      <c r="AW85" s="596">
        <v>6500</v>
      </c>
      <c r="AX85" s="596">
        <v>6000</v>
      </c>
      <c r="AY85" s="596">
        <v>7302.0476189999999</v>
      </c>
      <c r="AZ85" s="596">
        <v>7000</v>
      </c>
      <c r="BA85" s="596">
        <f>BA84/BA7</f>
        <v>7432.727272727273</v>
      </c>
      <c r="BB85" s="596">
        <v>7500</v>
      </c>
      <c r="BC85" s="596">
        <v>7500</v>
      </c>
      <c r="BD85" s="596">
        <f>BD84/BD7</f>
        <v>6471.55</v>
      </c>
      <c r="BE85" s="596">
        <f>BE84/BE7</f>
        <v>6170</v>
      </c>
      <c r="BF85" s="596">
        <f>AVERAGE(AT85:BE85)</f>
        <v>6797.0621620299053</v>
      </c>
      <c r="BG85" s="28"/>
      <c r="BH85" s="596">
        <f>BH84/BH7</f>
        <v>6838</v>
      </c>
      <c r="BI85" s="596">
        <f>BI84/BI7</f>
        <v>6857.6470588235297</v>
      </c>
      <c r="BJ85" s="596">
        <f>BJ84/BJ7</f>
        <v>6449.565217391304</v>
      </c>
      <c r="BK85" s="596">
        <f>BK84/BK7</f>
        <v>6242.2222222222226</v>
      </c>
      <c r="BL85" s="596">
        <f>BL84/BL7</f>
        <v>4939.090909090909</v>
      </c>
      <c r="BM85" s="596">
        <f>BM84/BM7</f>
        <v>6670.260869565217</v>
      </c>
      <c r="BN85" s="596">
        <f>BN84/BN7</f>
        <v>6556</v>
      </c>
      <c r="BO85" s="596">
        <f>BO84/BO7</f>
        <v>7174</v>
      </c>
      <c r="BP85" s="596">
        <f>BP84/BP7</f>
        <v>7100</v>
      </c>
      <c r="BQ85" s="596">
        <f>BQ84/BQ7</f>
        <v>6510.7142857142853</v>
      </c>
      <c r="BR85" s="596">
        <f>BR84/BR7</f>
        <v>8353.4500000000007</v>
      </c>
      <c r="BS85" s="596">
        <f>BS84/BS7</f>
        <v>8858.5714285714294</v>
      </c>
      <c r="BT85" s="596">
        <f>AVERAGE(BH85:BS85)</f>
        <v>6879.1268326149084</v>
      </c>
      <c r="BU85" s="28"/>
      <c r="BV85" s="596">
        <v>7000</v>
      </c>
      <c r="BW85" s="596">
        <v>7000</v>
      </c>
      <c r="BX85" s="596">
        <v>7000</v>
      </c>
      <c r="BY85" s="596">
        <v>7200</v>
      </c>
      <c r="BZ85" s="596">
        <v>7200</v>
      </c>
      <c r="CA85" s="596">
        <v>7200</v>
      </c>
      <c r="CB85" s="596">
        <v>7200</v>
      </c>
      <c r="CC85" s="596">
        <f t="shared" ref="CC85" si="163">CB85</f>
        <v>7200</v>
      </c>
      <c r="CD85" s="596">
        <v>7200</v>
      </c>
      <c r="CE85" s="596">
        <v>7200</v>
      </c>
      <c r="CF85" s="596">
        <v>7600</v>
      </c>
      <c r="CG85" s="596">
        <v>7600</v>
      </c>
      <c r="CH85" s="596"/>
      <c r="CI85" s="596"/>
      <c r="CJ85" s="596">
        <v>7500</v>
      </c>
      <c r="CK85" s="596">
        <v>8200</v>
      </c>
      <c r="CL85" s="596">
        <v>9000</v>
      </c>
      <c r="CM85" s="596">
        <v>10000</v>
      </c>
      <c r="CN85" s="596">
        <v>8490</v>
      </c>
      <c r="CO85" s="596">
        <v>9000</v>
      </c>
      <c r="CP85" s="596">
        <v>9800</v>
      </c>
      <c r="CQ85" s="596">
        <v>9900</v>
      </c>
      <c r="CR85" s="596">
        <f t="shared" ref="CR85" si="164">CQ85</f>
        <v>9900</v>
      </c>
      <c r="CS85" s="596">
        <v>9300</v>
      </c>
      <c r="CT85" s="596">
        <v>8400</v>
      </c>
      <c r="CU85" s="596">
        <v>9300</v>
      </c>
      <c r="CV85" s="596"/>
      <c r="CW85" s="758"/>
      <c r="CX85" s="596">
        <v>9319</v>
      </c>
      <c r="CY85" s="596">
        <v>8972</v>
      </c>
      <c r="CZ85" s="596">
        <v>8900</v>
      </c>
      <c r="DA85" s="596">
        <v>8500</v>
      </c>
      <c r="DB85" s="596">
        <v>8800</v>
      </c>
      <c r="DC85" s="596">
        <f>DB85-800</f>
        <v>8000</v>
      </c>
      <c r="DD85" s="596">
        <v>9200</v>
      </c>
      <c r="DE85" s="596">
        <f>DD85</f>
        <v>9200</v>
      </c>
      <c r="DF85" s="596">
        <f t="shared" ref="DF85:DI85" si="165">DE85</f>
        <v>9200</v>
      </c>
      <c r="DG85" s="596">
        <f t="shared" si="165"/>
        <v>9200</v>
      </c>
      <c r="DH85" s="596">
        <f t="shared" si="165"/>
        <v>9200</v>
      </c>
      <c r="DI85" s="596">
        <f t="shared" si="165"/>
        <v>9200</v>
      </c>
      <c r="DJ85" s="596"/>
      <c r="DK85" s="948"/>
      <c r="DL85" s="596">
        <f>DI85</f>
        <v>9200</v>
      </c>
      <c r="DM85" s="596">
        <f>DL85</f>
        <v>9200</v>
      </c>
      <c r="DN85" s="596">
        <f t="shared" ref="DN85:DW85" si="166">DM85</f>
        <v>9200</v>
      </c>
      <c r="DO85" s="596">
        <f t="shared" si="166"/>
        <v>9200</v>
      </c>
      <c r="DP85" s="596">
        <f t="shared" si="166"/>
        <v>9200</v>
      </c>
      <c r="DQ85" s="596">
        <f t="shared" si="166"/>
        <v>9200</v>
      </c>
      <c r="DR85" s="596">
        <f t="shared" si="166"/>
        <v>9200</v>
      </c>
      <c r="DS85" s="596">
        <f t="shared" si="166"/>
        <v>9200</v>
      </c>
      <c r="DT85" s="596">
        <f t="shared" si="166"/>
        <v>9200</v>
      </c>
      <c r="DU85" s="596">
        <f t="shared" si="166"/>
        <v>9200</v>
      </c>
      <c r="DV85" s="596">
        <f t="shared" si="166"/>
        <v>9200</v>
      </c>
      <c r="DW85" s="596">
        <f t="shared" si="166"/>
        <v>9200</v>
      </c>
      <c r="DX85" s="596"/>
    </row>
    <row r="86" spans="1:129" ht="15.75" hidden="1" customHeight="1" outlineLevel="1">
      <c r="A86" s="821"/>
      <c r="B86" s="822" t="s">
        <v>93</v>
      </c>
      <c r="C86" s="803"/>
      <c r="D86" s="804"/>
      <c r="E86" s="805"/>
      <c r="F86" s="805"/>
      <c r="G86" s="805"/>
      <c r="H86" s="805"/>
      <c r="I86" s="805"/>
      <c r="J86" s="805"/>
      <c r="K86" s="805"/>
      <c r="L86" s="805"/>
      <c r="M86" s="805"/>
      <c r="N86" s="805"/>
      <c r="O86" s="805"/>
      <c r="P86" s="806"/>
      <c r="Q86" s="807"/>
      <c r="R86" s="804"/>
      <c r="S86" s="596">
        <v>15000</v>
      </c>
      <c r="T86" s="596">
        <v>15600</v>
      </c>
      <c r="U86" s="596">
        <v>2000</v>
      </c>
      <c r="V86" s="596">
        <v>10000</v>
      </c>
      <c r="W86" s="596">
        <v>30000</v>
      </c>
      <c r="X86" s="596">
        <v>20000</v>
      </c>
      <c r="Y86" s="596">
        <v>30000</v>
      </c>
      <c r="Z86" s="596">
        <v>30000</v>
      </c>
      <c r="AA86" s="596">
        <v>20000</v>
      </c>
      <c r="AB86" s="596">
        <v>20000</v>
      </c>
      <c r="AC86" s="596">
        <v>10000</v>
      </c>
      <c r="AD86" s="809"/>
      <c r="AE86" s="28"/>
      <c r="AF86" s="808">
        <v>30000</v>
      </c>
      <c r="AG86" s="596">
        <v>20000</v>
      </c>
      <c r="AH86" s="596">
        <v>24960</v>
      </c>
      <c r="AI86" s="596">
        <v>14040</v>
      </c>
      <c r="AJ86" s="596">
        <v>19040</v>
      </c>
      <c r="AK86" s="596">
        <v>12000</v>
      </c>
      <c r="AL86" s="596">
        <v>14000</v>
      </c>
      <c r="AM86" s="596">
        <v>13000</v>
      </c>
      <c r="AN86" s="596">
        <v>13000</v>
      </c>
      <c r="AO86" s="596">
        <v>0</v>
      </c>
      <c r="AP86" s="596">
        <v>0</v>
      </c>
      <c r="AQ86" s="596">
        <v>0</v>
      </c>
      <c r="AR86" s="810">
        <f t="shared" ref="AR86:AR87" si="167">SUM(AF86:AQ86)</f>
        <v>160040</v>
      </c>
      <c r="AS86" s="28"/>
      <c r="AT86" s="596">
        <v>0</v>
      </c>
      <c r="AU86" s="596">
        <v>0</v>
      </c>
      <c r="AV86" s="596"/>
      <c r="AW86" s="596"/>
      <c r="AX86" s="596"/>
      <c r="AY86" s="596"/>
      <c r="AZ86" s="596"/>
      <c r="BA86" s="596"/>
      <c r="BB86" s="596"/>
      <c r="BC86" s="596"/>
      <c r="BD86" s="596"/>
      <c r="BE86" s="596"/>
      <c r="BF86" s="596">
        <f t="shared" ref="BF86:BF87" si="168">SUM(AT86:BE86)</f>
        <v>0</v>
      </c>
      <c r="BG86" s="28">
        <f>BF86-AR86</f>
        <v>-160040</v>
      </c>
      <c r="BH86" s="596"/>
      <c r="BI86" s="596"/>
      <c r="BJ86" s="596"/>
      <c r="BK86" s="596"/>
      <c r="BL86" s="596"/>
      <c r="BM86" s="596"/>
      <c r="BN86" s="596"/>
      <c r="BO86" s="596"/>
      <c r="BP86" s="596"/>
      <c r="BQ86" s="596"/>
      <c r="BR86" s="596"/>
      <c r="BS86" s="596"/>
      <c r="BT86" s="596">
        <f t="shared" ref="BT86" si="169">SUM(BH86:BS86)</f>
        <v>0</v>
      </c>
      <c r="BU86" s="28"/>
      <c r="BV86" s="811">
        <f t="shared" ref="BV86:BZ86" si="170">BV7</f>
        <v>19</v>
      </c>
      <c r="BW86" s="811">
        <f t="shared" si="170"/>
        <v>19</v>
      </c>
      <c r="BX86" s="811">
        <f t="shared" si="170"/>
        <v>21</v>
      </c>
      <c r="BY86" s="811">
        <f t="shared" si="170"/>
        <v>24</v>
      </c>
      <c r="BZ86" s="811">
        <f t="shared" si="170"/>
        <v>23</v>
      </c>
      <c r="CA86" s="811">
        <f>CA7</f>
        <v>22</v>
      </c>
      <c r="CB86" s="811">
        <f t="shared" ref="CB86:CG86" si="171">CB7</f>
        <v>25</v>
      </c>
      <c r="CC86" s="811">
        <f t="shared" si="171"/>
        <v>24</v>
      </c>
      <c r="CD86" s="811">
        <f t="shared" si="171"/>
        <v>24</v>
      </c>
      <c r="CE86" s="811">
        <f t="shared" si="171"/>
        <v>24</v>
      </c>
      <c r="CF86" s="811">
        <f t="shared" si="171"/>
        <v>22</v>
      </c>
      <c r="CG86" s="811">
        <f t="shared" si="171"/>
        <v>13</v>
      </c>
      <c r="CH86" s="596">
        <f t="shared" ref="CH86" si="172">SUM(BV86:CG86)</f>
        <v>260</v>
      </c>
      <c r="CJ86" s="812">
        <f>CJ7</f>
        <v>22</v>
      </c>
      <c r="CK86" s="812">
        <f t="shared" ref="CK86:CO86" si="173">CK7</f>
        <v>23</v>
      </c>
      <c r="CL86" s="812">
        <f t="shared" si="173"/>
        <v>19</v>
      </c>
      <c r="CM86" s="812">
        <f t="shared" si="173"/>
        <v>20</v>
      </c>
      <c r="CN86" s="812">
        <f t="shared" si="173"/>
        <v>21</v>
      </c>
      <c r="CO86" s="812">
        <f t="shared" si="173"/>
        <v>22</v>
      </c>
      <c r="CP86" s="596"/>
      <c r="CQ86" s="596"/>
      <c r="CR86" s="596"/>
      <c r="CS86" s="596"/>
      <c r="CT86" s="596"/>
      <c r="CU86" s="596"/>
      <c r="CV86" s="596">
        <v>131</v>
      </c>
      <c r="CW86" s="758"/>
      <c r="CX86" s="812">
        <f>CX7</f>
        <v>22</v>
      </c>
      <c r="CY86" s="812">
        <f t="shared" ref="CY86:DC86" si="174">CY7</f>
        <v>19</v>
      </c>
      <c r="CZ86" s="812">
        <f t="shared" si="174"/>
        <v>6</v>
      </c>
      <c r="DA86" s="812">
        <f>21-6</f>
        <v>15</v>
      </c>
      <c r="DB86" s="812">
        <f t="shared" si="174"/>
        <v>22</v>
      </c>
      <c r="DC86" s="812">
        <f>DC7</f>
        <v>23</v>
      </c>
      <c r="DD86" s="812">
        <f t="shared" ref="DD86:DI86" si="175">DD7</f>
        <v>25</v>
      </c>
      <c r="DE86" s="812">
        <f t="shared" si="175"/>
        <v>23</v>
      </c>
      <c r="DF86" s="812">
        <f t="shared" si="175"/>
        <v>23</v>
      </c>
      <c r="DG86" s="812">
        <f t="shared" si="175"/>
        <v>23</v>
      </c>
      <c r="DH86" s="812">
        <f t="shared" si="175"/>
        <v>21</v>
      </c>
      <c r="DI86" s="812">
        <f t="shared" si="175"/>
        <v>16</v>
      </c>
      <c r="DJ86" s="596">
        <v>131</v>
      </c>
      <c r="DK86" s="948"/>
      <c r="DL86" s="812">
        <f>DL7</f>
        <v>22</v>
      </c>
      <c r="DM86" s="812">
        <f t="shared" ref="DM86:DQ86" si="176">DM7</f>
        <v>19</v>
      </c>
      <c r="DN86" s="812">
        <f t="shared" si="176"/>
        <v>22</v>
      </c>
      <c r="DO86" s="812">
        <f t="shared" si="176"/>
        <v>22</v>
      </c>
      <c r="DP86" s="812">
        <f t="shared" si="176"/>
        <v>20</v>
      </c>
      <c r="DQ86" s="812">
        <f>DQ7</f>
        <v>21</v>
      </c>
      <c r="DR86" s="812">
        <f t="shared" ref="DR86:DW86" si="177">DR7</f>
        <v>23</v>
      </c>
      <c r="DS86" s="812">
        <f t="shared" si="177"/>
        <v>21</v>
      </c>
      <c r="DT86" s="812">
        <f t="shared" si="177"/>
        <v>23</v>
      </c>
      <c r="DU86" s="812">
        <f t="shared" si="177"/>
        <v>23</v>
      </c>
      <c r="DV86" s="812">
        <f t="shared" si="177"/>
        <v>21</v>
      </c>
      <c r="DW86" s="812">
        <f t="shared" si="177"/>
        <v>16</v>
      </c>
      <c r="DX86" s="596">
        <v>131</v>
      </c>
    </row>
    <row r="87" spans="1:129" ht="15.75" customHeight="1" outlineLevel="1">
      <c r="A87" s="821"/>
      <c r="B87" s="970" t="s">
        <v>132</v>
      </c>
      <c r="C87" s="955"/>
      <c r="D87" s="971"/>
      <c r="E87" s="972"/>
      <c r="F87" s="972"/>
      <c r="G87" s="972"/>
      <c r="H87" s="972"/>
      <c r="I87" s="972"/>
      <c r="J87" s="972"/>
      <c r="K87" s="972"/>
      <c r="L87" s="972"/>
      <c r="M87" s="972"/>
      <c r="N87" s="972"/>
      <c r="O87" s="972"/>
      <c r="P87" s="973"/>
      <c r="Q87" s="974"/>
      <c r="R87" s="971"/>
      <c r="S87" s="975"/>
      <c r="T87" s="975">
        <v>0</v>
      </c>
      <c r="U87" s="975">
        <v>0</v>
      </c>
      <c r="V87" s="975">
        <v>0</v>
      </c>
      <c r="W87" s="975">
        <v>0</v>
      </c>
      <c r="X87" s="975">
        <v>0</v>
      </c>
      <c r="Y87" s="975">
        <v>13500</v>
      </c>
      <c r="Z87" s="975">
        <v>9000</v>
      </c>
      <c r="AA87" s="975">
        <v>9000</v>
      </c>
      <c r="AB87" s="975">
        <v>9000</v>
      </c>
      <c r="AC87" s="975">
        <v>0</v>
      </c>
      <c r="AD87" s="976"/>
      <c r="AE87" s="977"/>
      <c r="AF87" s="975">
        <v>13500</v>
      </c>
      <c r="AG87" s="975">
        <v>13500</v>
      </c>
      <c r="AH87" s="975">
        <v>2820</v>
      </c>
      <c r="AI87" s="975">
        <v>0</v>
      </c>
      <c r="AJ87" s="975">
        <v>0</v>
      </c>
      <c r="AK87" s="975">
        <v>0</v>
      </c>
      <c r="AL87" s="975">
        <v>0</v>
      </c>
      <c r="AM87" s="975"/>
      <c r="AN87" s="975"/>
      <c r="AO87" s="975"/>
      <c r="AP87" s="975"/>
      <c r="AQ87" s="975"/>
      <c r="AR87" s="957">
        <f t="shared" si="167"/>
        <v>29820</v>
      </c>
      <c r="AS87" s="977"/>
      <c r="AT87" s="975"/>
      <c r="AU87" s="975"/>
      <c r="AV87" s="975"/>
      <c r="AW87" s="975">
        <v>4000</v>
      </c>
      <c r="AX87" s="975">
        <v>8000</v>
      </c>
      <c r="AY87" s="975">
        <v>5000</v>
      </c>
      <c r="AZ87" s="975">
        <v>10000</v>
      </c>
      <c r="BA87" s="975">
        <v>10000</v>
      </c>
      <c r="BB87" s="975">
        <v>0</v>
      </c>
      <c r="BC87" s="975">
        <v>0</v>
      </c>
      <c r="BD87" s="975">
        <v>0</v>
      </c>
      <c r="BE87" s="975"/>
      <c r="BF87" s="975">
        <f t="shared" si="168"/>
        <v>37000</v>
      </c>
      <c r="BG87" s="977"/>
      <c r="BH87" s="975">
        <v>3000</v>
      </c>
      <c r="BI87" s="975"/>
      <c r="BJ87" s="975"/>
      <c r="BK87" s="975"/>
      <c r="BL87" s="975"/>
      <c r="BM87" s="975"/>
      <c r="BN87" s="975"/>
      <c r="BO87" s="975">
        <v>10000</v>
      </c>
      <c r="BP87" s="975">
        <v>15000</v>
      </c>
      <c r="BQ87" s="975">
        <v>20000</v>
      </c>
      <c r="BR87" s="975">
        <v>15000</v>
      </c>
      <c r="BS87" s="975">
        <f>7200*9/2</f>
        <v>32400</v>
      </c>
      <c r="BT87" s="975">
        <f>SUM(BH87:BS87)</f>
        <v>95400</v>
      </c>
      <c r="BU87" s="977"/>
      <c r="BV87" s="975">
        <f>BV90-BV81</f>
        <v>21584</v>
      </c>
      <c r="BW87" s="975">
        <f t="shared" ref="BW87:CG87" si="178">BW90-BW81</f>
        <v>18963</v>
      </c>
      <c r="BX87" s="975">
        <f t="shared" si="178"/>
        <v>-2354</v>
      </c>
      <c r="BY87" s="975">
        <f t="shared" si="178"/>
        <v>5998</v>
      </c>
      <c r="BZ87" s="975">
        <f t="shared" si="178"/>
        <v>-13737</v>
      </c>
      <c r="CA87" s="975">
        <f t="shared" si="178"/>
        <v>-6090</v>
      </c>
      <c r="CB87" s="975">
        <f t="shared" si="178"/>
        <v>-2176</v>
      </c>
      <c r="CC87" s="975">
        <f t="shared" si="178"/>
        <v>-17344</v>
      </c>
      <c r="CD87" s="975">
        <f t="shared" si="178"/>
        <v>-13369</v>
      </c>
      <c r="CE87" s="975">
        <f t="shared" si="178"/>
        <v>793</v>
      </c>
      <c r="CF87" s="975">
        <f t="shared" si="178"/>
        <v>-12350</v>
      </c>
      <c r="CG87" s="975">
        <f t="shared" si="178"/>
        <v>-98800</v>
      </c>
      <c r="CH87" s="957">
        <f>SUM(CD87:CG87)</f>
        <v>-123726</v>
      </c>
      <c r="CI87" s="748"/>
      <c r="CJ87" s="975">
        <f>BV90</f>
        <v>154584</v>
      </c>
      <c r="CK87" s="975">
        <f t="shared" ref="CK87:CS87" si="179">BW90</f>
        <v>151963</v>
      </c>
      <c r="CL87" s="975">
        <f>BX90</f>
        <v>144646</v>
      </c>
      <c r="CM87" s="975">
        <f t="shared" si="179"/>
        <v>178798</v>
      </c>
      <c r="CN87" s="975">
        <f t="shared" si="179"/>
        <v>151863</v>
      </c>
      <c r="CO87" s="975">
        <f t="shared" si="179"/>
        <v>152310</v>
      </c>
      <c r="CP87" s="975">
        <f t="shared" si="179"/>
        <v>177824</v>
      </c>
      <c r="CQ87" s="975">
        <f t="shared" si="179"/>
        <v>155456</v>
      </c>
      <c r="CR87" s="975">
        <f t="shared" si="179"/>
        <v>159431</v>
      </c>
      <c r="CS87" s="975">
        <f t="shared" si="179"/>
        <v>173593</v>
      </c>
      <c r="CT87" s="975">
        <v>146546</v>
      </c>
      <c r="CU87" s="975">
        <v>111901</v>
      </c>
      <c r="CV87" s="975">
        <v>127800</v>
      </c>
      <c r="CW87" s="978"/>
      <c r="CX87" s="975">
        <v>155428</v>
      </c>
      <c r="CY87" s="975">
        <v>182691</v>
      </c>
      <c r="CZ87" s="975">
        <v>176747</v>
      </c>
      <c r="DA87" s="975">
        <v>190424</v>
      </c>
      <c r="DB87" s="975">
        <v>214788</v>
      </c>
      <c r="DC87" s="975">
        <v>150000</v>
      </c>
      <c r="DD87" s="975">
        <v>191217</v>
      </c>
      <c r="DE87" s="975">
        <v>180648</v>
      </c>
      <c r="DF87" s="975">
        <v>180874</v>
      </c>
      <c r="DG87" s="975">
        <v>208228</v>
      </c>
      <c r="DH87" s="975">
        <v>184911</v>
      </c>
      <c r="DI87" s="975">
        <v>135942</v>
      </c>
      <c r="DJ87" s="599">
        <f>SUM(CX87:DI87)</f>
        <v>2151898</v>
      </c>
      <c r="DK87" s="948"/>
      <c r="DL87" s="596">
        <f>CX87</f>
        <v>155428</v>
      </c>
      <c r="DM87" s="596">
        <f t="shared" ref="DM87:DW87" si="180">CY87</f>
        <v>182691</v>
      </c>
      <c r="DN87" s="596">
        <f t="shared" si="180"/>
        <v>176747</v>
      </c>
      <c r="DO87" s="596">
        <f t="shared" si="180"/>
        <v>190424</v>
      </c>
      <c r="DP87" s="596">
        <f t="shared" si="180"/>
        <v>214788</v>
      </c>
      <c r="DQ87" s="596">
        <f t="shared" si="180"/>
        <v>150000</v>
      </c>
      <c r="DR87" s="596">
        <f t="shared" si="180"/>
        <v>191217</v>
      </c>
      <c r="DS87" s="596">
        <f t="shared" si="180"/>
        <v>180648</v>
      </c>
      <c r="DT87" s="596">
        <f t="shared" si="180"/>
        <v>180874</v>
      </c>
      <c r="DU87" s="596">
        <f t="shared" si="180"/>
        <v>208228</v>
      </c>
      <c r="DV87" s="596">
        <f t="shared" si="180"/>
        <v>184911</v>
      </c>
      <c r="DW87" s="596">
        <f t="shared" si="180"/>
        <v>135942</v>
      </c>
      <c r="DX87" s="596">
        <v>127800</v>
      </c>
    </row>
    <row r="88" spans="1:129" ht="15.75" hidden="1" customHeight="1" outlineLevel="1">
      <c r="A88" s="821"/>
      <c r="B88" s="822" t="s">
        <v>105</v>
      </c>
      <c r="C88" s="803"/>
      <c r="D88" s="804"/>
      <c r="E88" s="805"/>
      <c r="F88" s="805"/>
      <c r="G88" s="805"/>
      <c r="H88" s="805"/>
      <c r="I88" s="805"/>
      <c r="J88" s="805"/>
      <c r="K88" s="805"/>
      <c r="L88" s="805"/>
      <c r="M88" s="805"/>
      <c r="N88" s="805"/>
      <c r="O88" s="805"/>
      <c r="P88" s="806"/>
      <c r="Q88" s="807"/>
      <c r="R88" s="804"/>
      <c r="S88" s="596"/>
      <c r="T88" s="596"/>
      <c r="U88" s="596"/>
      <c r="V88" s="596"/>
      <c r="W88" s="596"/>
      <c r="X88" s="596"/>
      <c r="Y88" s="596"/>
      <c r="Z88" s="596"/>
      <c r="AA88" s="596"/>
      <c r="AB88" s="596"/>
      <c r="AC88" s="596"/>
      <c r="AD88" s="809"/>
      <c r="AE88" s="28"/>
      <c r="AF88" s="596"/>
      <c r="AG88" s="596"/>
      <c r="AH88" s="596"/>
      <c r="AI88" s="596"/>
      <c r="AJ88" s="596"/>
      <c r="AK88" s="596"/>
      <c r="AL88" s="596"/>
      <c r="AM88" s="596"/>
      <c r="AN88" s="596"/>
      <c r="AO88" s="596">
        <f t="shared" ref="AO88:AQ88" si="181">AO81*9.68</f>
        <v>1355200</v>
      </c>
      <c r="AP88" s="596">
        <f t="shared" si="181"/>
        <v>1258400</v>
      </c>
      <c r="AQ88" s="596">
        <f t="shared" si="181"/>
        <v>968000</v>
      </c>
      <c r="AR88" s="810"/>
      <c r="AS88" s="28"/>
      <c r="AT88" s="596">
        <f t="shared" ref="AT88:BF88" si="182">AT81*9.68</f>
        <v>1287440</v>
      </c>
      <c r="AU88" s="596">
        <f t="shared" si="182"/>
        <v>1211742.3999999999</v>
      </c>
      <c r="AV88" s="596">
        <f t="shared" si="182"/>
        <v>1134767.04</v>
      </c>
      <c r="AW88" s="596">
        <f t="shared" si="182"/>
        <v>1234200</v>
      </c>
      <c r="AX88" s="596">
        <f t="shared" si="182"/>
        <v>1355200</v>
      </c>
      <c r="AY88" s="596">
        <f t="shared" si="182"/>
        <v>1532760.2399903198</v>
      </c>
      <c r="AZ88" s="596">
        <f t="shared" si="182"/>
        <v>1475319.1199999999</v>
      </c>
      <c r="BA88" s="596">
        <f t="shared" si="182"/>
        <v>1679673.5999999999</v>
      </c>
      <c r="BB88" s="596">
        <f t="shared" si="182"/>
        <v>1597200</v>
      </c>
      <c r="BC88" s="596">
        <f t="shared" si="182"/>
        <v>1524600</v>
      </c>
      <c r="BD88" s="596">
        <f t="shared" si="182"/>
        <v>1252892.08</v>
      </c>
      <c r="BE88" s="596">
        <f t="shared" si="182"/>
        <v>597256</v>
      </c>
      <c r="BF88" s="596">
        <f t="shared" si="182"/>
        <v>15883050.47999032</v>
      </c>
      <c r="BG88" s="28"/>
      <c r="BH88" s="596"/>
      <c r="BI88" s="596"/>
      <c r="BJ88" s="596"/>
      <c r="BK88" s="596"/>
      <c r="BL88" s="596"/>
      <c r="BM88" s="596"/>
      <c r="BN88" s="596"/>
      <c r="BO88" s="596"/>
      <c r="BP88" s="596"/>
      <c r="BQ88" s="596"/>
      <c r="BR88" s="596"/>
      <c r="BS88" s="596"/>
      <c r="BT88" s="596"/>
      <c r="BU88" s="28"/>
      <c r="BV88" s="596"/>
      <c r="BW88" s="596"/>
      <c r="BX88" s="596"/>
      <c r="BY88" s="596"/>
      <c r="BZ88" s="596"/>
      <c r="CA88" s="596"/>
      <c r="CB88" s="596"/>
      <c r="CC88" s="596"/>
      <c r="CD88" s="596" t="s">
        <v>96</v>
      </c>
      <c r="CE88" s="596"/>
      <c r="CF88" s="813" t="s">
        <v>97</v>
      </c>
      <c r="CG88" s="596"/>
      <c r="CH88" s="596"/>
      <c r="CJ88" s="596"/>
      <c r="CK88" s="596"/>
      <c r="CL88" s="596"/>
      <c r="CM88" s="596">
        <v>61884.012959999985</v>
      </c>
      <c r="CN88" s="596">
        <f>CM88</f>
        <v>61884.012959999985</v>
      </c>
      <c r="CO88" s="596">
        <f t="shared" ref="CO88:CU88" si="183">CN88</f>
        <v>61884.012959999985</v>
      </c>
      <c r="CP88" s="596">
        <f t="shared" si="183"/>
        <v>61884.012959999985</v>
      </c>
      <c r="CQ88" s="596">
        <f t="shared" si="183"/>
        <v>61884.012959999985</v>
      </c>
      <c r="CR88" s="596">
        <f t="shared" si="183"/>
        <v>61884.012959999985</v>
      </c>
      <c r="CS88" s="596">
        <f t="shared" si="183"/>
        <v>61884.012959999985</v>
      </c>
      <c r="CT88" s="596">
        <f t="shared" si="183"/>
        <v>61884.012959999985</v>
      </c>
      <c r="CU88" s="596">
        <f t="shared" si="183"/>
        <v>61884.012959999985</v>
      </c>
      <c r="CV88" s="596"/>
      <c r="CW88" s="758"/>
      <c r="CX88" s="596" t="s">
        <v>133</v>
      </c>
      <c r="CY88" s="596"/>
      <c r="CZ88" s="596"/>
      <c r="DA88" s="596"/>
      <c r="DB88" s="596"/>
      <c r="DC88" s="596"/>
      <c r="DD88" s="596"/>
      <c r="DE88" s="596"/>
      <c r="DF88" s="596"/>
      <c r="DG88" s="596"/>
      <c r="DH88" s="596"/>
      <c r="DI88" s="596"/>
      <c r="DJ88" s="596"/>
      <c r="DK88" s="948"/>
      <c r="DL88" s="596" t="s">
        <v>133</v>
      </c>
      <c r="DM88" s="596"/>
      <c r="DN88" s="596"/>
      <c r="DO88" s="596"/>
      <c r="DP88" s="596"/>
      <c r="DQ88" s="596"/>
      <c r="DR88" s="596"/>
      <c r="DS88" s="596"/>
      <c r="DT88" s="596"/>
      <c r="DU88" s="596"/>
      <c r="DV88" s="596"/>
      <c r="DW88" s="596"/>
      <c r="DX88" s="596"/>
    </row>
    <row r="89" spans="1:129" ht="15.75" hidden="1" customHeight="1" outlineLevel="1">
      <c r="A89" s="821"/>
      <c r="B89" s="822" t="s">
        <v>98</v>
      </c>
      <c r="C89" s="803"/>
      <c r="D89" s="804"/>
      <c r="E89" s="805"/>
      <c r="F89" s="805"/>
      <c r="G89" s="805"/>
      <c r="H89" s="805"/>
      <c r="I89" s="805"/>
      <c r="J89" s="805"/>
      <c r="K89" s="805"/>
      <c r="L89" s="805"/>
      <c r="M89" s="805"/>
      <c r="N89" s="805"/>
      <c r="O89" s="805"/>
      <c r="P89" s="806"/>
      <c r="Q89" s="807"/>
      <c r="R89" s="804"/>
      <c r="S89" s="596"/>
      <c r="T89" s="596"/>
      <c r="U89" s="596"/>
      <c r="V89" s="596"/>
      <c r="W89" s="596"/>
      <c r="X89" s="596"/>
      <c r="Y89" s="596"/>
      <c r="Z89" s="596"/>
      <c r="AA89" s="596"/>
      <c r="AB89" s="596"/>
      <c r="AC89" s="596"/>
      <c r="AD89" s="809"/>
      <c r="AE89" s="28"/>
      <c r="AF89" s="808"/>
      <c r="AG89" s="596"/>
      <c r="AH89" s="596"/>
      <c r="AI89" s="596"/>
      <c r="AJ89" s="596"/>
      <c r="AK89" s="596"/>
      <c r="AL89" s="596"/>
      <c r="AM89" s="596"/>
      <c r="AN89" s="596"/>
      <c r="AO89" s="596"/>
      <c r="AP89" s="596"/>
      <c r="AQ89" s="596"/>
      <c r="AR89" s="810"/>
      <c r="AS89" s="28"/>
      <c r="AT89" s="596"/>
      <c r="AU89" s="596"/>
      <c r="AV89" s="596"/>
      <c r="AW89" s="596"/>
      <c r="AX89" s="596"/>
      <c r="AY89" s="596"/>
      <c r="AZ89" s="596"/>
      <c r="BA89" s="596"/>
      <c r="BB89" s="596"/>
      <c r="BC89" s="596"/>
      <c r="BD89" s="596"/>
      <c r="BE89" s="596"/>
      <c r="BF89" s="596"/>
      <c r="BG89" s="28"/>
      <c r="BH89" s="596"/>
      <c r="BI89" s="596"/>
      <c r="BJ89" s="596"/>
      <c r="BK89" s="596"/>
      <c r="BL89" s="596"/>
      <c r="BM89" s="596"/>
      <c r="BN89" s="596"/>
      <c r="BO89" s="596"/>
      <c r="BP89" s="596"/>
      <c r="BQ89" s="596"/>
      <c r="BR89" s="596"/>
      <c r="BS89" s="596"/>
      <c r="BT89" s="596"/>
      <c r="BU89" s="28"/>
      <c r="BV89" s="596"/>
      <c r="BW89" s="596"/>
      <c r="BX89" s="596"/>
      <c r="BY89" s="596"/>
      <c r="BZ89" s="596"/>
      <c r="CA89" s="596"/>
      <c r="CB89" s="596"/>
      <c r="CC89" s="596"/>
      <c r="CD89" s="596"/>
      <c r="CE89" s="596"/>
      <c r="CF89" s="813"/>
      <c r="CG89" s="596"/>
      <c r="CH89" s="596"/>
      <c r="CJ89" s="596"/>
      <c r="CK89" s="596"/>
      <c r="CL89" s="596"/>
      <c r="CM89" s="596">
        <f>CM88*CM7</f>
        <v>1237680.2591999997</v>
      </c>
      <c r="CN89" s="596">
        <f>CN88*CN7</f>
        <v>1299564.2721599997</v>
      </c>
      <c r="CO89" s="596">
        <f>CO88*CO7</f>
        <v>1361448.2851199997</v>
      </c>
      <c r="CP89" s="596">
        <f>CP88*CP7</f>
        <v>1547100.3239999996</v>
      </c>
      <c r="CQ89" s="596">
        <f>CQ88*CQ7</f>
        <v>1299564.2721599997</v>
      </c>
      <c r="CR89" s="596">
        <f>CR88*CR7</f>
        <v>1361448.2851199997</v>
      </c>
      <c r="CS89" s="596">
        <f>CS88*CS7</f>
        <v>1423332.2980799996</v>
      </c>
      <c r="CT89" s="596">
        <f>CT88*CT7</f>
        <v>1361448.2851199997</v>
      </c>
      <c r="CU89" s="596">
        <f>CU88*CU7</f>
        <v>1052028.2203199998</v>
      </c>
      <c r="CV89" s="596"/>
      <c r="CW89" s="758"/>
      <c r="CX89" s="596"/>
      <c r="CY89" s="596"/>
      <c r="CZ89" s="596"/>
      <c r="DA89" s="596"/>
      <c r="DB89" s="596"/>
      <c r="DC89" s="596"/>
      <c r="DD89" s="596"/>
      <c r="DE89" s="596"/>
      <c r="DF89" s="596"/>
      <c r="DG89" s="596"/>
      <c r="DH89" s="596"/>
      <c r="DI89" s="596"/>
      <c r="DJ89" s="596"/>
      <c r="DK89" s="948"/>
      <c r="DL89" s="596"/>
      <c r="DM89" s="596"/>
      <c r="DN89" s="596"/>
      <c r="DO89" s="596"/>
      <c r="DP89" s="596"/>
      <c r="DQ89" s="596"/>
      <c r="DR89" s="596"/>
      <c r="DS89" s="596"/>
      <c r="DT89" s="596"/>
      <c r="DU89" s="596"/>
      <c r="DV89" s="596"/>
      <c r="DW89" s="596"/>
      <c r="DX89" s="596"/>
    </row>
    <row r="90" spans="1:129" ht="18.75" hidden="1">
      <c r="A90" s="821" t="s">
        <v>99</v>
      </c>
      <c r="B90" s="823" t="s">
        <v>100</v>
      </c>
      <c r="C90" s="814"/>
      <c r="D90" s="815">
        <v>95972</v>
      </c>
      <c r="E90" s="816">
        <v>130805</v>
      </c>
      <c r="F90" s="816">
        <v>121914</v>
      </c>
      <c r="G90" s="816">
        <v>165455</v>
      </c>
      <c r="H90" s="816">
        <v>192013</v>
      </c>
      <c r="I90" s="816">
        <v>167281</v>
      </c>
      <c r="J90" s="816">
        <v>181409</v>
      </c>
      <c r="K90" s="816">
        <v>163138</v>
      </c>
      <c r="L90" s="816">
        <v>169051</v>
      </c>
      <c r="M90" s="816">
        <v>183254</v>
      </c>
      <c r="N90" s="816"/>
      <c r="O90" s="816"/>
      <c r="P90" s="817">
        <f>SUM(D90:O90)</f>
        <v>1570292</v>
      </c>
      <c r="Q90" s="818"/>
      <c r="R90" s="815">
        <v>149582</v>
      </c>
      <c r="S90" s="810">
        <v>152735</v>
      </c>
      <c r="T90" s="810">
        <v>107681</v>
      </c>
      <c r="U90" s="810">
        <v>2974</v>
      </c>
      <c r="V90" s="810">
        <v>32639</v>
      </c>
      <c r="W90" s="810">
        <v>153121</v>
      </c>
      <c r="X90" s="810">
        <v>198635</v>
      </c>
      <c r="Y90" s="810">
        <v>160489</v>
      </c>
      <c r="Z90" s="810">
        <v>160893</v>
      </c>
      <c r="AA90" s="810">
        <v>180999</v>
      </c>
      <c r="AB90" s="810">
        <v>167265</v>
      </c>
      <c r="AC90" s="810">
        <v>135424</v>
      </c>
      <c r="AD90" s="819">
        <f>SUM(R90:AC90)</f>
        <v>1602437</v>
      </c>
      <c r="AE90" s="18"/>
      <c r="AF90" s="820">
        <v>145616</v>
      </c>
      <c r="AG90" s="810">
        <v>168450</v>
      </c>
      <c r="AH90" s="810">
        <v>153291</v>
      </c>
      <c r="AI90" s="810">
        <v>149378</v>
      </c>
      <c r="AJ90" s="810">
        <v>196360</v>
      </c>
      <c r="AK90" s="810">
        <v>170558</v>
      </c>
      <c r="AL90" s="810">
        <v>171758</v>
      </c>
      <c r="AM90" s="810">
        <f t="shared" ref="AM90:AQ90" si="184">SUM(AM91:AM92)</f>
        <v>168974</v>
      </c>
      <c r="AN90" s="810">
        <f t="shared" si="184"/>
        <v>144792</v>
      </c>
      <c r="AO90" s="810">
        <f t="shared" si="184"/>
        <v>141375</v>
      </c>
      <c r="AP90" s="810">
        <f t="shared" si="184"/>
        <v>143221</v>
      </c>
      <c r="AQ90" s="810">
        <f t="shared" si="184"/>
        <v>85543</v>
      </c>
      <c r="AR90" s="810">
        <f t="shared" ref="AR90:AR94" si="185">SUM(AF90:AQ90)</f>
        <v>1839316</v>
      </c>
      <c r="AS90" s="28"/>
      <c r="AT90" s="810">
        <f t="shared" ref="AT90:BE90" si="186">SUM(AT91:AT92)</f>
        <v>120211</v>
      </c>
      <c r="AU90" s="810">
        <f t="shared" si="186"/>
        <v>120216</v>
      </c>
      <c r="AV90" s="810">
        <f t="shared" si="186"/>
        <v>101053</v>
      </c>
      <c r="AW90" s="810">
        <f t="shared" si="186"/>
        <v>137388</v>
      </c>
      <c r="AX90" s="810">
        <f t="shared" si="186"/>
        <v>137400</v>
      </c>
      <c r="AY90" s="810">
        <f t="shared" si="186"/>
        <v>135412</v>
      </c>
      <c r="AZ90" s="810">
        <f t="shared" si="186"/>
        <v>157032</v>
      </c>
      <c r="BA90" s="810">
        <f t="shared" si="186"/>
        <v>173287</v>
      </c>
      <c r="BB90" s="596">
        <f t="shared" si="186"/>
        <v>166815</v>
      </c>
      <c r="BC90" s="596">
        <f t="shared" si="186"/>
        <v>153816</v>
      </c>
      <c r="BD90" s="596">
        <f t="shared" si="186"/>
        <v>138051</v>
      </c>
      <c r="BE90" s="596">
        <f t="shared" si="186"/>
        <v>55950</v>
      </c>
      <c r="BF90" s="596">
        <f t="shared" ref="BF90:BF94" si="187">SUM(AT90:BE90)</f>
        <v>1596631</v>
      </c>
      <c r="BG90" s="54">
        <f>BF90/AR90-1</f>
        <v>-0.1319430701412917</v>
      </c>
      <c r="BH90" s="810">
        <f t="shared" ref="BH90:BQ90" si="188">SUM(BH91:BH92)</f>
        <v>138562</v>
      </c>
      <c r="BI90" s="810">
        <f t="shared" si="188"/>
        <v>109391</v>
      </c>
      <c r="BJ90" s="810">
        <f t="shared" si="188"/>
        <v>160056</v>
      </c>
      <c r="BK90" s="810">
        <f t="shared" si="188"/>
        <v>124826</v>
      </c>
      <c r="BL90" s="810">
        <f t="shared" si="188"/>
        <v>151185</v>
      </c>
      <c r="BM90" s="810">
        <f t="shared" si="188"/>
        <v>134688</v>
      </c>
      <c r="BN90" s="810">
        <f t="shared" si="188"/>
        <v>157005</v>
      </c>
      <c r="BO90" s="810">
        <f t="shared" si="188"/>
        <v>151231</v>
      </c>
      <c r="BP90" s="810">
        <f t="shared" si="188"/>
        <v>143335</v>
      </c>
      <c r="BQ90" s="810">
        <f t="shared" si="188"/>
        <v>159215</v>
      </c>
      <c r="BR90" s="810"/>
      <c r="BS90" s="810"/>
      <c r="BT90" s="810">
        <f t="shared" ref="BT90:BT94" si="189">SUM(BH90:BS90)</f>
        <v>1429494</v>
      </c>
      <c r="BU90" s="18"/>
      <c r="BV90" s="810">
        <v>154584</v>
      </c>
      <c r="BW90" s="810">
        <v>151963</v>
      </c>
      <c r="BX90" s="810">
        <v>144646</v>
      </c>
      <c r="BY90" s="810">
        <v>178798</v>
      </c>
      <c r="BZ90" s="810">
        <v>151863</v>
      </c>
      <c r="CA90" s="810">
        <v>152310</v>
      </c>
      <c r="CB90" s="810">
        <f>CB91+CB92</f>
        <v>177824</v>
      </c>
      <c r="CC90" s="810">
        <f t="shared" ref="CC90:CJ90" si="190">CC91+CC92</f>
        <v>155456</v>
      </c>
      <c r="CD90" s="810">
        <f t="shared" si="190"/>
        <v>159431</v>
      </c>
      <c r="CE90" s="810">
        <v>173593</v>
      </c>
      <c r="CF90" s="810">
        <v>154850</v>
      </c>
      <c r="CG90" s="810">
        <f t="shared" si="190"/>
        <v>0</v>
      </c>
      <c r="CH90" s="810">
        <f t="shared" ref="CH90" si="191">SUM(BV90:CG90)</f>
        <v>1755318</v>
      </c>
      <c r="CJ90" s="810">
        <v>155428</v>
      </c>
      <c r="CK90" s="810">
        <f>SUM(CK91:CK92)</f>
        <v>182595</v>
      </c>
      <c r="CL90" s="810">
        <f>SUM(CL91:CL92)</f>
        <v>175111</v>
      </c>
      <c r="CM90" s="810">
        <f>SUM(CM91:CM92)</f>
        <v>192052</v>
      </c>
      <c r="CN90" s="810">
        <v>214788</v>
      </c>
      <c r="CO90" s="810">
        <v>143727</v>
      </c>
      <c r="CP90" s="810">
        <v>191217</v>
      </c>
      <c r="CQ90" s="810">
        <v>180648</v>
      </c>
      <c r="CR90" s="810">
        <v>180874</v>
      </c>
      <c r="CS90" s="810"/>
      <c r="CT90" s="810"/>
      <c r="CU90" s="810"/>
      <c r="CV90" s="810"/>
      <c r="CW90" s="758"/>
      <c r="CX90" s="810">
        <v>191345</v>
      </c>
      <c r="CY90" s="810">
        <v>145396</v>
      </c>
      <c r="CZ90" s="810">
        <f t="shared" ref="CZ90:DI90" si="192">CL90</f>
        <v>175111</v>
      </c>
      <c r="DA90" s="810">
        <f t="shared" si="192"/>
        <v>192052</v>
      </c>
      <c r="DB90" s="810">
        <f t="shared" si="192"/>
        <v>214788</v>
      </c>
      <c r="DC90" s="810">
        <f t="shared" si="192"/>
        <v>143727</v>
      </c>
      <c r="DD90" s="810">
        <f t="shared" si="192"/>
        <v>191217</v>
      </c>
      <c r="DE90" s="810">
        <f t="shared" si="192"/>
        <v>180648</v>
      </c>
      <c r="DF90" s="810">
        <f t="shared" si="192"/>
        <v>180874</v>
      </c>
      <c r="DG90" s="810">
        <f t="shared" si="192"/>
        <v>0</v>
      </c>
      <c r="DH90" s="810">
        <f t="shared" si="192"/>
        <v>0</v>
      </c>
      <c r="DI90" s="810">
        <f t="shared" si="192"/>
        <v>0</v>
      </c>
      <c r="DJ90" s="810"/>
      <c r="DK90" s="948"/>
      <c r="DL90" s="810">
        <f>CX90</f>
        <v>191345</v>
      </c>
      <c r="DM90" s="810">
        <f t="shared" ref="DM90:DW90" si="193">CY90</f>
        <v>145396</v>
      </c>
      <c r="DN90" s="810">
        <f t="shared" si="193"/>
        <v>175111</v>
      </c>
      <c r="DO90" s="810">
        <f t="shared" si="193"/>
        <v>192052</v>
      </c>
      <c r="DP90" s="810">
        <f t="shared" si="193"/>
        <v>214788</v>
      </c>
      <c r="DQ90" s="810">
        <f t="shared" si="193"/>
        <v>143727</v>
      </c>
      <c r="DR90" s="810">
        <f t="shared" si="193"/>
        <v>191217</v>
      </c>
      <c r="DS90" s="810">
        <f t="shared" si="193"/>
        <v>180648</v>
      </c>
      <c r="DT90" s="810">
        <f t="shared" si="193"/>
        <v>180874</v>
      </c>
      <c r="DU90" s="810">
        <f t="shared" si="193"/>
        <v>0</v>
      </c>
      <c r="DV90" s="810">
        <f t="shared" si="193"/>
        <v>0</v>
      </c>
      <c r="DW90" s="810">
        <f t="shared" si="193"/>
        <v>0</v>
      </c>
      <c r="DX90" s="810"/>
    </row>
    <row r="91" spans="1:129" ht="15.75" hidden="1" customHeight="1">
      <c r="A91" s="821"/>
      <c r="B91" s="823" t="s">
        <v>134</v>
      </c>
      <c r="C91" s="814"/>
      <c r="D91" s="804"/>
      <c r="E91" s="805"/>
      <c r="F91" s="805"/>
      <c r="G91" s="805"/>
      <c r="H91" s="805"/>
      <c r="I91" s="805"/>
      <c r="J91" s="805"/>
      <c r="K91" s="805"/>
      <c r="L91" s="805"/>
      <c r="M91" s="805"/>
      <c r="N91" s="805"/>
      <c r="O91" s="805"/>
      <c r="P91" s="806"/>
      <c r="Q91" s="807"/>
      <c r="R91" s="804"/>
      <c r="S91" s="596"/>
      <c r="T91" s="596"/>
      <c r="U91" s="596"/>
      <c r="V91" s="596"/>
      <c r="W91" s="596"/>
      <c r="X91" s="596"/>
      <c r="Y91" s="596"/>
      <c r="Z91" s="596"/>
      <c r="AA91" s="596"/>
      <c r="AB91" s="596"/>
      <c r="AC91" s="596"/>
      <c r="AD91" s="809"/>
      <c r="AE91" s="28"/>
      <c r="AF91" s="808">
        <v>126362</v>
      </c>
      <c r="AG91" s="596">
        <v>153970</v>
      </c>
      <c r="AH91" s="596">
        <v>128331</v>
      </c>
      <c r="AI91" s="596">
        <v>135338</v>
      </c>
      <c r="AJ91" s="596">
        <v>177312</v>
      </c>
      <c r="AK91" s="596">
        <v>150818</v>
      </c>
      <c r="AL91" s="596">
        <v>158858</v>
      </c>
      <c r="AM91" s="596">
        <v>153933</v>
      </c>
      <c r="AN91" s="596">
        <v>134244</v>
      </c>
      <c r="AO91" s="596">
        <v>137435</v>
      </c>
      <c r="AP91" s="596">
        <v>143221</v>
      </c>
      <c r="AQ91" s="596">
        <v>85543</v>
      </c>
      <c r="AR91" s="810">
        <f t="shared" si="185"/>
        <v>1685365</v>
      </c>
      <c r="AS91" s="28"/>
      <c r="AT91" s="596">
        <v>120211</v>
      </c>
      <c r="AU91" s="596">
        <v>120216</v>
      </c>
      <c r="AV91" s="596">
        <v>101053</v>
      </c>
      <c r="AW91" s="596">
        <v>137388</v>
      </c>
      <c r="AX91" s="596">
        <v>137400</v>
      </c>
      <c r="AY91" s="596">
        <v>135412</v>
      </c>
      <c r="AZ91" s="596">
        <v>157032</v>
      </c>
      <c r="BA91" s="596">
        <v>172227</v>
      </c>
      <c r="BB91" s="596">
        <f>157995+8500</f>
        <v>166495</v>
      </c>
      <c r="BC91" s="596">
        <v>153816</v>
      </c>
      <c r="BD91" s="596">
        <v>138051</v>
      </c>
      <c r="BE91" s="596">
        <v>55950</v>
      </c>
      <c r="BF91" s="596">
        <f t="shared" si="187"/>
        <v>1595251</v>
      </c>
      <c r="BG91" s="28"/>
      <c r="BH91" s="596">
        <v>138562</v>
      </c>
      <c r="BI91" s="596">
        <v>109391</v>
      </c>
      <c r="BJ91" s="596">
        <v>160056</v>
      </c>
      <c r="BK91" s="596">
        <v>124826</v>
      </c>
      <c r="BL91" s="596">
        <v>151185</v>
      </c>
      <c r="BM91" s="596">
        <v>134688</v>
      </c>
      <c r="BN91" s="596">
        <v>157005</v>
      </c>
      <c r="BO91" s="596">
        <v>151231</v>
      </c>
      <c r="BP91" s="596">
        <v>143335</v>
      </c>
      <c r="BQ91" s="596">
        <v>159215</v>
      </c>
      <c r="BR91" s="596"/>
      <c r="BS91" s="596"/>
      <c r="BT91" s="596">
        <f t="shared" si="189"/>
        <v>1429494</v>
      </c>
      <c r="BU91" s="28"/>
      <c r="BV91" s="596">
        <v>154584</v>
      </c>
      <c r="BW91" s="596">
        <v>151963</v>
      </c>
      <c r="BX91" s="596">
        <v>144646</v>
      </c>
      <c r="BY91" s="596">
        <v>178798</v>
      </c>
      <c r="BZ91" s="596">
        <v>151863</v>
      </c>
      <c r="CA91" s="596">
        <v>152310</v>
      </c>
      <c r="CB91" s="596">
        <v>177824</v>
      </c>
      <c r="CC91" s="596">
        <v>155456</v>
      </c>
      <c r="CD91" s="596">
        <v>159431</v>
      </c>
      <c r="CE91" s="596"/>
      <c r="CF91" s="596"/>
      <c r="CG91" s="596"/>
      <c r="CH91" s="596"/>
      <c r="CJ91" s="596">
        <v>145276</v>
      </c>
      <c r="CK91" s="596">
        <v>157921</v>
      </c>
      <c r="CL91" s="596">
        <v>147905</v>
      </c>
      <c r="CM91" s="596">
        <v>157807</v>
      </c>
      <c r="CN91" s="596"/>
      <c r="CO91" s="596"/>
      <c r="CP91" s="596"/>
      <c r="CQ91" s="596"/>
      <c r="CR91" s="596"/>
      <c r="CS91" s="596"/>
      <c r="CT91" s="596"/>
      <c r="CU91" s="596"/>
      <c r="CV91" s="596"/>
      <c r="CW91" s="758"/>
      <c r="CX91" s="940"/>
      <c r="CY91" s="940"/>
      <c r="CZ91" s="596">
        <v>6339</v>
      </c>
      <c r="DA91" s="940"/>
      <c r="DB91" s="940"/>
      <c r="DC91" s="940"/>
      <c r="DD91" s="940"/>
      <c r="DE91" s="940"/>
      <c r="DF91" s="940"/>
      <c r="DG91" s="940"/>
      <c r="DH91" s="940"/>
      <c r="DI91" s="940"/>
      <c r="DJ91" s="596"/>
      <c r="DK91" s="948"/>
      <c r="DL91" s="940" t="e">
        <f>DL18-DL17</f>
        <v>#DIV/0!</v>
      </c>
      <c r="DM91" s="940" t="e">
        <f t="shared" ref="DM91:DW91" si="194">DM18-DM17</f>
        <v>#DIV/0!</v>
      </c>
      <c r="DN91" s="940" t="e">
        <f t="shared" si="194"/>
        <v>#DIV/0!</v>
      </c>
      <c r="DO91" s="940" t="e">
        <f t="shared" si="194"/>
        <v>#DIV/0!</v>
      </c>
      <c r="DP91" s="940" t="e">
        <f t="shared" si="194"/>
        <v>#DIV/0!</v>
      </c>
      <c r="DQ91" s="940" t="e">
        <f t="shared" si="194"/>
        <v>#DIV/0!</v>
      </c>
      <c r="DR91" s="940" t="e">
        <f t="shared" si="194"/>
        <v>#DIV/0!</v>
      </c>
      <c r="DS91" s="940" t="e">
        <f t="shared" si="194"/>
        <v>#DIV/0!</v>
      </c>
      <c r="DT91" s="940" t="e">
        <f t="shared" si="194"/>
        <v>#DIV/0!</v>
      </c>
      <c r="DU91" s="940" t="e">
        <f t="shared" si="194"/>
        <v>#DIV/0!</v>
      </c>
      <c r="DV91" s="940" t="e">
        <f t="shared" si="194"/>
        <v>#DIV/0!</v>
      </c>
      <c r="DW91" s="940">
        <f t="shared" si="194"/>
        <v>2.0201238381711888</v>
      </c>
      <c r="DX91" s="596"/>
    </row>
    <row r="92" spans="1:129" ht="15.75" hidden="1" customHeight="1">
      <c r="A92" s="821"/>
      <c r="B92" s="823" t="s">
        <v>135</v>
      </c>
      <c r="C92" s="814"/>
      <c r="D92" s="804"/>
      <c r="E92" s="805"/>
      <c r="F92" s="805"/>
      <c r="G92" s="805"/>
      <c r="H92" s="805"/>
      <c r="I92" s="805"/>
      <c r="J92" s="805"/>
      <c r="K92" s="805"/>
      <c r="L92" s="805"/>
      <c r="M92" s="805"/>
      <c r="N92" s="805"/>
      <c r="O92" s="805"/>
      <c r="P92" s="806"/>
      <c r="Q92" s="807"/>
      <c r="R92" s="804"/>
      <c r="S92" s="596"/>
      <c r="T92" s="596"/>
      <c r="U92" s="596"/>
      <c r="V92" s="596"/>
      <c r="W92" s="596"/>
      <c r="X92" s="596"/>
      <c r="Y92" s="596"/>
      <c r="Z92" s="596"/>
      <c r="AA92" s="596"/>
      <c r="AB92" s="596"/>
      <c r="AC92" s="596"/>
      <c r="AD92" s="809"/>
      <c r="AE92" s="28"/>
      <c r="AF92" s="596">
        <f t="shared" ref="AF92:AL92" si="195">AF90-AF91</f>
        <v>19254</v>
      </c>
      <c r="AG92" s="596">
        <f t="shared" si="195"/>
        <v>14480</v>
      </c>
      <c r="AH92" s="596">
        <f t="shared" si="195"/>
        <v>24960</v>
      </c>
      <c r="AI92" s="596">
        <f t="shared" si="195"/>
        <v>14040</v>
      </c>
      <c r="AJ92" s="596">
        <f t="shared" si="195"/>
        <v>19048</v>
      </c>
      <c r="AK92" s="596">
        <f t="shared" si="195"/>
        <v>19740</v>
      </c>
      <c r="AL92" s="596">
        <f t="shared" si="195"/>
        <v>12900</v>
      </c>
      <c r="AM92" s="596">
        <v>15041</v>
      </c>
      <c r="AN92" s="596">
        <v>10548</v>
      </c>
      <c r="AO92" s="596">
        <v>3940</v>
      </c>
      <c r="AP92" s="596">
        <v>0</v>
      </c>
      <c r="AQ92" s="596">
        <v>0</v>
      </c>
      <c r="AR92" s="810">
        <f t="shared" si="185"/>
        <v>153951</v>
      </c>
      <c r="AS92" s="28"/>
      <c r="AT92" s="596">
        <v>0</v>
      </c>
      <c r="AU92" s="596">
        <v>0</v>
      </c>
      <c r="AV92" s="596">
        <v>0</v>
      </c>
      <c r="AW92" s="596">
        <v>0</v>
      </c>
      <c r="AX92" s="596">
        <v>0</v>
      </c>
      <c r="AY92" s="596">
        <v>0</v>
      </c>
      <c r="AZ92" s="596">
        <v>0</v>
      </c>
      <c r="BA92" s="596">
        <v>1060</v>
      </c>
      <c r="BB92" s="596">
        <v>320</v>
      </c>
      <c r="BC92" s="596">
        <v>0</v>
      </c>
      <c r="BD92" s="596">
        <v>0</v>
      </c>
      <c r="BE92" s="596"/>
      <c r="BF92" s="596">
        <f t="shared" si="187"/>
        <v>1380</v>
      </c>
      <c r="BG92" s="28"/>
      <c r="BH92" s="596"/>
      <c r="BI92" s="596"/>
      <c r="BJ92" s="596"/>
      <c r="BK92" s="596"/>
      <c r="BL92" s="596"/>
      <c r="BM92" s="596"/>
      <c r="BN92" s="596"/>
      <c r="BO92" s="596"/>
      <c r="BP92" s="596"/>
      <c r="BQ92" s="596"/>
      <c r="BR92" s="596"/>
      <c r="BS92" s="596"/>
      <c r="BT92" s="596">
        <f t="shared" si="189"/>
        <v>0</v>
      </c>
      <c r="BU92" s="28"/>
      <c r="BV92" s="596"/>
      <c r="BW92" s="596"/>
      <c r="BX92" s="596"/>
      <c r="BY92" s="596"/>
      <c r="BZ92" s="596"/>
      <c r="CA92" s="596"/>
      <c r="CB92" s="596"/>
      <c r="CC92" s="596"/>
      <c r="CD92" s="596"/>
      <c r="CE92" s="596"/>
      <c r="CF92" s="596"/>
      <c r="CG92" s="596"/>
      <c r="CH92" s="596"/>
      <c r="CJ92" s="596">
        <v>14444</v>
      </c>
      <c r="CK92" s="596">
        <v>24674</v>
      </c>
      <c r="CL92" s="596">
        <v>27206</v>
      </c>
      <c r="CM92" s="596">
        <v>34245</v>
      </c>
      <c r="CN92" s="596"/>
      <c r="CO92" s="596"/>
      <c r="CP92" s="596"/>
      <c r="CQ92" s="596"/>
      <c r="CR92" s="596"/>
      <c r="CS92" s="596"/>
      <c r="CT92" s="596"/>
      <c r="CU92" s="596"/>
      <c r="CV92" s="596"/>
      <c r="CW92" s="758"/>
      <c r="CX92" s="596">
        <v>2341</v>
      </c>
      <c r="CY92" s="596">
        <v>2341</v>
      </c>
      <c r="CZ92" s="596">
        <v>2469</v>
      </c>
      <c r="DA92" s="596"/>
      <c r="DB92" s="596"/>
      <c r="DC92" s="596"/>
      <c r="DD92" s="596"/>
      <c r="DE92" s="596"/>
      <c r="DF92" s="596"/>
      <c r="DG92" s="596"/>
      <c r="DH92" s="596"/>
      <c r="DI92" s="596"/>
      <c r="DJ92" s="596"/>
      <c r="DK92" s="948"/>
      <c r="DL92" s="596"/>
      <c r="DM92" s="596"/>
      <c r="DN92" s="596"/>
      <c r="DO92" s="596"/>
      <c r="DP92" s="596"/>
      <c r="DQ92" s="596"/>
      <c r="DR92" s="596"/>
      <c r="DS92" s="596"/>
      <c r="DT92" s="596"/>
      <c r="DU92" s="596"/>
      <c r="DV92" s="596"/>
      <c r="DW92" s="596"/>
      <c r="DX92" s="596"/>
    </row>
    <row r="93" spans="1:129" ht="18.75" hidden="1">
      <c r="A93" s="103" t="s">
        <v>103</v>
      </c>
      <c r="B93" s="337"/>
      <c r="C93" s="330"/>
      <c r="D93" s="331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332"/>
      <c r="Q93" s="105"/>
      <c r="R93" s="333"/>
      <c r="S93" s="333"/>
      <c r="T93" s="333"/>
      <c r="U93" s="333"/>
      <c r="V93" s="333"/>
      <c r="W93" s="333"/>
      <c r="X93" s="333"/>
      <c r="Y93" s="333"/>
      <c r="Z93" s="333"/>
      <c r="AA93" s="333"/>
      <c r="AB93" s="333"/>
      <c r="AC93" s="333"/>
      <c r="AD93" s="334"/>
      <c r="AE93" s="106"/>
      <c r="AF93" s="333">
        <f t="shared" ref="AF93:AQ93" si="196">AF90-AF81</f>
        <v>-15784</v>
      </c>
      <c r="AG93" s="333">
        <f t="shared" si="196"/>
        <v>2450</v>
      </c>
      <c r="AH93" s="333">
        <f t="shared" si="196"/>
        <v>2820</v>
      </c>
      <c r="AI93" s="333">
        <f t="shared" si="196"/>
        <v>338</v>
      </c>
      <c r="AJ93" s="333">
        <f t="shared" si="196"/>
        <v>0</v>
      </c>
      <c r="AK93" s="333">
        <f t="shared" si="196"/>
        <v>7258</v>
      </c>
      <c r="AL93" s="333">
        <f t="shared" si="196"/>
        <v>-18242</v>
      </c>
      <c r="AM93" s="333">
        <f t="shared" si="196"/>
        <v>1974</v>
      </c>
      <c r="AN93" s="333">
        <f t="shared" si="196"/>
        <v>-25708</v>
      </c>
      <c r="AO93" s="333">
        <f t="shared" si="196"/>
        <v>1375</v>
      </c>
      <c r="AP93" s="333">
        <f t="shared" si="196"/>
        <v>13221</v>
      </c>
      <c r="AQ93" s="333">
        <f t="shared" si="196"/>
        <v>-14457</v>
      </c>
      <c r="AR93" s="107">
        <f t="shared" si="185"/>
        <v>-44755</v>
      </c>
      <c r="AS93" s="106"/>
      <c r="AT93" s="333">
        <f t="shared" ref="AT93:BE93" si="197">AT90-AT81</f>
        <v>-12789</v>
      </c>
      <c r="AU93" s="333">
        <f t="shared" si="197"/>
        <v>-4964</v>
      </c>
      <c r="AV93" s="333">
        <f t="shared" si="197"/>
        <v>-16175</v>
      </c>
      <c r="AW93" s="333">
        <f t="shared" si="197"/>
        <v>9888</v>
      </c>
      <c r="AX93" s="333">
        <f t="shared" si="197"/>
        <v>-2600</v>
      </c>
      <c r="AY93" s="333">
        <f t="shared" si="197"/>
        <v>-22930.999998999992</v>
      </c>
      <c r="AZ93" s="333">
        <f t="shared" si="197"/>
        <v>4623</v>
      </c>
      <c r="BA93" s="333">
        <f t="shared" si="197"/>
        <v>-233</v>
      </c>
      <c r="BB93" s="333">
        <f t="shared" si="197"/>
        <v>1815</v>
      </c>
      <c r="BC93" s="333">
        <f t="shared" si="197"/>
        <v>-3684</v>
      </c>
      <c r="BD93" s="333">
        <f t="shared" si="197"/>
        <v>8620</v>
      </c>
      <c r="BE93" s="333">
        <f t="shared" si="197"/>
        <v>-5750</v>
      </c>
      <c r="BF93" s="108">
        <f t="shared" si="187"/>
        <v>-44179.999998999992</v>
      </c>
      <c r="BG93" s="106"/>
      <c r="BH93" s="333">
        <f t="shared" ref="BH93:BQ93" si="198">BH90-BH81</f>
        <v>-1198</v>
      </c>
      <c r="BI93" s="333">
        <f t="shared" si="198"/>
        <v>-7189</v>
      </c>
      <c r="BJ93" s="333">
        <f t="shared" si="198"/>
        <v>11716</v>
      </c>
      <c r="BK93" s="333">
        <f t="shared" si="198"/>
        <v>12466</v>
      </c>
      <c r="BL93" s="333">
        <f t="shared" si="198"/>
        <v>42525</v>
      </c>
      <c r="BM93" s="333">
        <f t="shared" si="198"/>
        <v>-18728</v>
      </c>
      <c r="BN93" s="333">
        <f t="shared" si="198"/>
        <v>19329</v>
      </c>
      <c r="BO93" s="333">
        <f t="shared" si="198"/>
        <v>-9423</v>
      </c>
      <c r="BP93" s="333">
        <f t="shared" si="198"/>
        <v>-13665</v>
      </c>
      <c r="BQ93" s="333">
        <f t="shared" si="198"/>
        <v>2490</v>
      </c>
      <c r="BR93" s="108"/>
      <c r="BS93" s="108"/>
      <c r="BT93" s="108">
        <f t="shared" si="189"/>
        <v>38323</v>
      </c>
      <c r="BU93" s="28"/>
      <c r="BV93" s="333"/>
      <c r="BW93" s="333"/>
      <c r="BX93" s="333"/>
      <c r="BY93" s="333">
        <f>BY90-BY81</f>
        <v>5998</v>
      </c>
      <c r="BZ93" s="333">
        <f t="shared" ref="BZ93:CG93" si="199">BZ90-BZ81</f>
        <v>-13737</v>
      </c>
      <c r="CA93" s="333">
        <f t="shared" si="199"/>
        <v>-6090</v>
      </c>
      <c r="CB93" s="333">
        <f t="shared" si="199"/>
        <v>-2176</v>
      </c>
      <c r="CC93" s="333">
        <f t="shared" si="199"/>
        <v>-17344</v>
      </c>
      <c r="CD93" s="333">
        <f t="shared" si="199"/>
        <v>-13369</v>
      </c>
      <c r="CE93" s="333">
        <f t="shared" si="199"/>
        <v>793</v>
      </c>
      <c r="CF93" s="333">
        <f t="shared" si="199"/>
        <v>-12350</v>
      </c>
      <c r="CG93" s="333">
        <f t="shared" si="199"/>
        <v>-98800</v>
      </c>
      <c r="CH93" s="333">
        <f>CH90-CH81</f>
        <v>-118882</v>
      </c>
      <c r="CJ93" s="333">
        <f t="shared" ref="CJ93:CV93" si="200">CJ90-CJ81</f>
        <v>-9572</v>
      </c>
      <c r="CK93" s="333">
        <f>CK90-CK81</f>
        <v>-6005</v>
      </c>
      <c r="CL93" s="333">
        <f t="shared" si="200"/>
        <v>4111</v>
      </c>
      <c r="CM93" s="333">
        <f t="shared" si="200"/>
        <v>-7948</v>
      </c>
      <c r="CN93" s="333">
        <f t="shared" si="200"/>
        <v>36498</v>
      </c>
      <c r="CO93" s="333">
        <f t="shared" si="200"/>
        <v>-54273</v>
      </c>
      <c r="CP93" s="333">
        <f t="shared" si="200"/>
        <v>-53783</v>
      </c>
      <c r="CQ93" s="333">
        <f t="shared" si="200"/>
        <v>-27252</v>
      </c>
      <c r="CR93" s="333">
        <f t="shared" si="200"/>
        <v>-36926</v>
      </c>
      <c r="CS93" s="333">
        <f t="shared" si="200"/>
        <v>-205579</v>
      </c>
      <c r="CT93" s="333">
        <f t="shared" si="200"/>
        <v>-164340</v>
      </c>
      <c r="CU93" s="333">
        <f t="shared" si="200"/>
        <v>-118660</v>
      </c>
      <c r="CV93" s="333">
        <f t="shared" si="200"/>
        <v>-2260169</v>
      </c>
      <c r="CW93" s="758"/>
      <c r="CX93" s="333">
        <f>CX90-CX80</f>
        <v>-3422.0999999999767</v>
      </c>
      <c r="CY93" s="333">
        <f t="shared" ref="CY93:DK93" si="201">CY90-CY81</f>
        <v>27531.399999999994</v>
      </c>
      <c r="CZ93" s="333">
        <f t="shared" si="201"/>
        <v>173731</v>
      </c>
      <c r="DA93" s="333">
        <f t="shared" si="201"/>
        <v>146212</v>
      </c>
      <c r="DB93" s="333">
        <f t="shared" si="201"/>
        <v>54060</v>
      </c>
      <c r="DC93" s="333">
        <f t="shared" si="201"/>
        <v>32927</v>
      </c>
      <c r="DD93" s="333">
        <f t="shared" si="201"/>
        <v>30817</v>
      </c>
      <c r="DE93" s="333">
        <f t="shared" si="201"/>
        <v>44628</v>
      </c>
      <c r="DF93" s="333">
        <f t="shared" si="201"/>
        <v>38506</v>
      </c>
      <c r="DG93" s="333">
        <f t="shared" si="201"/>
        <v>-167368</v>
      </c>
      <c r="DH93" s="333">
        <f t="shared" si="201"/>
        <v>-160336</v>
      </c>
      <c r="DI93" s="333">
        <f t="shared" si="201"/>
        <v>-84256</v>
      </c>
      <c r="DJ93" s="333">
        <f t="shared" si="201"/>
        <v>-1419247.7</v>
      </c>
      <c r="DK93" s="948"/>
      <c r="DL93" s="333">
        <f t="shared" ref="DL93:DX93" si="202">DL90-DL81</f>
        <v>61945</v>
      </c>
      <c r="DM93" s="333">
        <f t="shared" si="202"/>
        <v>23416</v>
      </c>
      <c r="DN93" s="333">
        <f t="shared" si="202"/>
        <v>24731</v>
      </c>
      <c r="DO93" s="333">
        <f t="shared" si="202"/>
        <v>28812</v>
      </c>
      <c r="DP93" s="333">
        <f t="shared" si="202"/>
        <v>63468</v>
      </c>
      <c r="DQ93" s="333">
        <f t="shared" si="202"/>
        <v>24187</v>
      </c>
      <c r="DR93" s="333">
        <f t="shared" si="202"/>
        <v>43849</v>
      </c>
      <c r="DS93" s="333">
        <f t="shared" si="202"/>
        <v>55108</v>
      </c>
      <c r="DT93" s="333">
        <f t="shared" si="202"/>
        <v>32506</v>
      </c>
      <c r="DU93" s="333">
        <f t="shared" si="202"/>
        <v>-173368</v>
      </c>
      <c r="DV93" s="333">
        <f t="shared" si="202"/>
        <v>-160336</v>
      </c>
      <c r="DW93" s="333">
        <f t="shared" si="202"/>
        <v>-84256</v>
      </c>
      <c r="DX93" s="333">
        <f t="shared" si="202"/>
        <v>-1675096</v>
      </c>
    </row>
    <row r="94" spans="1:129" ht="14.25" hidden="1" customHeight="1">
      <c r="A94" s="55" t="s">
        <v>104</v>
      </c>
      <c r="B94" s="56"/>
      <c r="C94" s="280"/>
      <c r="D94" s="288" t="e">
        <f t="shared" ref="D94:F94" si="203">#REF!-#REF!</f>
        <v>#REF!</v>
      </c>
      <c r="E94" s="57" t="e">
        <f t="shared" si="203"/>
        <v>#REF!</v>
      </c>
      <c r="F94" s="57" t="e">
        <f t="shared" si="203"/>
        <v>#REF!</v>
      </c>
      <c r="G94" s="57" t="e">
        <f t="shared" ref="G94:I94" si="204">G81-#REF!</f>
        <v>#REF!</v>
      </c>
      <c r="H94" s="57" t="e">
        <f t="shared" si="204"/>
        <v>#REF!</v>
      </c>
      <c r="I94" s="57" t="e">
        <f t="shared" si="204"/>
        <v>#REF!</v>
      </c>
      <c r="J94" s="57" t="e">
        <f t="shared" ref="J94:K94" si="205">#REF!-#REF!</f>
        <v>#REF!</v>
      </c>
      <c r="K94" s="57" t="e">
        <f t="shared" si="205"/>
        <v>#REF!</v>
      </c>
      <c r="L94" s="57">
        <f>L81-L34</f>
        <v>-24911</v>
      </c>
      <c r="M94" s="57">
        <f>M81-M34</f>
        <v>-13674</v>
      </c>
      <c r="N94" s="57">
        <f>N81-N34</f>
        <v>57632</v>
      </c>
      <c r="O94" s="57">
        <f>O81-O34</f>
        <v>74079</v>
      </c>
      <c r="P94" s="289" t="e">
        <f>SUM(D94:O94)</f>
        <v>#REF!</v>
      </c>
      <c r="Q94" s="39"/>
      <c r="R94" s="288">
        <f t="shared" ref="R94:AD94" si="206">R81-R34</f>
        <v>22222.660017050745</v>
      </c>
      <c r="S94" s="58">
        <f t="shared" si="206"/>
        <v>17159.673608830723</v>
      </c>
      <c r="T94" s="58">
        <f t="shared" si="206"/>
        <v>-24753.77192982455</v>
      </c>
      <c r="U94" s="58">
        <f t="shared" si="206"/>
        <v>-17814.899999999998</v>
      </c>
      <c r="V94" s="58">
        <f t="shared" si="206"/>
        <v>1715</v>
      </c>
      <c r="W94" s="290">
        <f t="shared" si="206"/>
        <v>120430.6180497602</v>
      </c>
      <c r="X94" s="290">
        <f t="shared" si="206"/>
        <v>43436.666666667006</v>
      </c>
      <c r="Y94" s="290">
        <f t="shared" si="206"/>
        <v>-29747.083333333314</v>
      </c>
      <c r="Z94" s="290">
        <f t="shared" si="206"/>
        <v>-80887.5</v>
      </c>
      <c r="AA94" s="290">
        <f t="shared" si="206"/>
        <v>10200</v>
      </c>
      <c r="AB94" s="290">
        <f t="shared" si="206"/>
        <v>137500</v>
      </c>
      <c r="AC94" s="290">
        <f t="shared" si="206"/>
        <v>134100</v>
      </c>
      <c r="AD94" s="291">
        <f t="shared" si="206"/>
        <v>333561.36307915067</v>
      </c>
      <c r="AE94" s="59"/>
      <c r="AF94" s="292">
        <f t="shared" ref="AF94:AQ94" si="207">AF81-AF34</f>
        <v>32754</v>
      </c>
      <c r="AG94" s="58">
        <f t="shared" si="207"/>
        <v>-11977</v>
      </c>
      <c r="AH94" s="58">
        <f t="shared" si="207"/>
        <v>76847</v>
      </c>
      <c r="AI94" s="58">
        <f t="shared" si="207"/>
        <v>59682</v>
      </c>
      <c r="AJ94" s="58">
        <f t="shared" si="207"/>
        <v>74226</v>
      </c>
      <c r="AK94" s="58">
        <f t="shared" si="207"/>
        <v>14740</v>
      </c>
      <c r="AL94" s="58">
        <f t="shared" si="207"/>
        <v>38005</v>
      </c>
      <c r="AM94" s="58">
        <f t="shared" si="207"/>
        <v>-71903</v>
      </c>
      <c r="AN94" s="58">
        <f t="shared" si="207"/>
        <v>-90633.333333333343</v>
      </c>
      <c r="AO94" s="58">
        <f t="shared" si="207"/>
        <v>-115900</v>
      </c>
      <c r="AP94" s="58">
        <f t="shared" si="207"/>
        <v>1360</v>
      </c>
      <c r="AQ94" s="58">
        <f t="shared" si="207"/>
        <v>2160</v>
      </c>
      <c r="AR94" s="58">
        <f t="shared" si="185"/>
        <v>9360.666666666657</v>
      </c>
      <c r="AS94" s="59"/>
      <c r="AT94" s="58">
        <f t="shared" ref="AT94:BE94" si="208">AT81-AT34</f>
        <v>-19749.25</v>
      </c>
      <c r="AU94" s="58">
        <f t="shared" si="208"/>
        <v>-43342.103448275855</v>
      </c>
      <c r="AV94" s="58">
        <f t="shared" si="208"/>
        <v>-36893.137931034493</v>
      </c>
      <c r="AW94" s="58">
        <f t="shared" si="208"/>
        <v>-32095.137931034493</v>
      </c>
      <c r="AX94" s="58">
        <f t="shared" si="208"/>
        <v>19900.034482758623</v>
      </c>
      <c r="AY94" s="58">
        <f t="shared" si="208"/>
        <v>19999.222221222211</v>
      </c>
      <c r="AZ94" s="58">
        <f t="shared" si="208"/>
        <v>-14264.777777777781</v>
      </c>
      <c r="BA94" s="58">
        <f t="shared" si="208"/>
        <v>-68922.296296296292</v>
      </c>
      <c r="BB94" s="58">
        <f t="shared" si="208"/>
        <v>-78407.777777777781</v>
      </c>
      <c r="BC94" s="58">
        <f t="shared" si="208"/>
        <v>-95868.290755657828</v>
      </c>
      <c r="BD94" s="58">
        <f t="shared" si="208"/>
        <v>-5124.586881472962</v>
      </c>
      <c r="BE94" s="58">
        <f t="shared" si="208"/>
        <v>-10986.612965093984</v>
      </c>
      <c r="BF94" s="58">
        <f t="shared" si="187"/>
        <v>-365754.71506044065</v>
      </c>
      <c r="BG94" s="59"/>
      <c r="BH94" s="58">
        <f t="shared" ref="BH94:BQ94" si="209">BH81-BH34</f>
        <v>-12993</v>
      </c>
      <c r="BI94" s="58">
        <f t="shared" si="209"/>
        <v>-30242.333333333314</v>
      </c>
      <c r="BJ94" s="58">
        <f t="shared" si="209"/>
        <v>-23206.074074074073</v>
      </c>
      <c r="BK94" s="58">
        <f t="shared" si="209"/>
        <v>-47411.74074074073</v>
      </c>
      <c r="BL94" s="58">
        <f t="shared" si="209"/>
        <v>-23836.851851851854</v>
      </c>
      <c r="BM94" s="58">
        <f t="shared" si="209"/>
        <v>23509.740740740745</v>
      </c>
      <c r="BN94" s="58">
        <f t="shared" si="209"/>
        <v>-33707.555555555562</v>
      </c>
      <c r="BO94" s="58">
        <f t="shared" si="209"/>
        <v>-18896.378111111087</v>
      </c>
      <c r="BP94" s="58">
        <f t="shared" si="209"/>
        <v>-45053.749537037045</v>
      </c>
      <c r="BQ94" s="58">
        <f t="shared" si="209"/>
        <v>-7140</v>
      </c>
      <c r="BR94" s="58"/>
      <c r="BS94" s="58"/>
      <c r="BT94" s="58">
        <f t="shared" si="189"/>
        <v>-218977.94246296291</v>
      </c>
      <c r="BU94" s="60"/>
      <c r="BV94" s="58"/>
      <c r="BW94" s="58"/>
      <c r="BX94" s="58"/>
      <c r="BY94" s="58">
        <f>BY81-BY34</f>
        <v>13630.76923076922</v>
      </c>
      <c r="BZ94" s="58">
        <f t="shared" ref="BZ94:CG94" si="210">BZ81-BZ34</f>
        <v>14117.606582143373</v>
      </c>
      <c r="CA94" s="58">
        <f t="shared" si="210"/>
        <v>16957.870899031579</v>
      </c>
      <c r="CB94" s="58">
        <f t="shared" si="210"/>
        <v>3013.7855523840117</v>
      </c>
      <c r="CC94" s="58">
        <f t="shared" si="210"/>
        <v>-28501.089448851068</v>
      </c>
      <c r="CD94" s="58">
        <f t="shared" si="210"/>
        <v>-40033.040135593415</v>
      </c>
      <c r="CE94" s="58">
        <f t="shared" si="210"/>
        <v>-43122.303862118919</v>
      </c>
      <c r="CF94" s="58">
        <f t="shared" si="210"/>
        <v>-3915.8422363018617</v>
      </c>
      <c r="CG94" s="58">
        <f t="shared" si="210"/>
        <v>11316.183308289634</v>
      </c>
      <c r="CH94" s="58">
        <f>CH90-CH76</f>
        <v>-50665</v>
      </c>
      <c r="CJ94" s="58">
        <f t="shared" ref="CJ94:CV94" si="211">CJ81-CJ34</f>
        <v>7083.6330227357394</v>
      </c>
      <c r="CK94" s="58">
        <f t="shared" si="211"/>
        <v>13756.340186358546</v>
      </c>
      <c r="CL94" s="58">
        <f t="shared" si="211"/>
        <v>4307.6667014535924</v>
      </c>
      <c r="CM94" s="58">
        <f t="shared" si="211"/>
        <v>34375.841222512099</v>
      </c>
      <c r="CN94" s="58">
        <f t="shared" si="211"/>
        <v>10438.8879612374</v>
      </c>
      <c r="CO94" s="58">
        <f t="shared" si="211"/>
        <v>63053.84509877002</v>
      </c>
      <c r="CP94" s="58">
        <f t="shared" si="211"/>
        <v>32882.489535864966</v>
      </c>
      <c r="CQ94" s="58">
        <f t="shared" si="211"/>
        <v>-22005.693924050604</v>
      </c>
      <c r="CR94" s="58">
        <f t="shared" si="211"/>
        <v>-47858.190843881865</v>
      </c>
      <c r="CS94" s="58">
        <f t="shared" si="211"/>
        <v>-44713.95105485231</v>
      </c>
      <c r="CT94" s="58">
        <f t="shared" si="211"/>
        <v>-9023.6010970463976</v>
      </c>
      <c r="CU94" s="58">
        <f t="shared" si="211"/>
        <v>22348.607594936708</v>
      </c>
      <c r="CV94" s="58">
        <f t="shared" si="211"/>
        <v>64645.874404037837</v>
      </c>
      <c r="CW94" s="758"/>
      <c r="CX94" s="58">
        <f>CX81-CX34</f>
        <v>-58112.900000000023</v>
      </c>
      <c r="CY94" s="58">
        <f t="shared" ref="CY94:DK94" si="212">CY81-CY34</f>
        <v>-27135.399999999994</v>
      </c>
      <c r="CZ94" s="58">
        <f t="shared" si="212"/>
        <v>-178620</v>
      </c>
      <c r="DA94" s="58">
        <f t="shared" si="212"/>
        <v>-84160</v>
      </c>
      <c r="DB94" s="58">
        <f t="shared" si="212"/>
        <v>-14222.250000000029</v>
      </c>
      <c r="DC94" s="58">
        <f t="shared" si="212"/>
        <v>-20037.280000000013</v>
      </c>
      <c r="DD94" s="58">
        <f t="shared" si="212"/>
        <v>-53051.280000000057</v>
      </c>
      <c r="DE94" s="58">
        <f t="shared" si="212"/>
        <v>-89944.960000000021</v>
      </c>
      <c r="DF94" s="58">
        <f t="shared" si="212"/>
        <v>-153315.14000000001</v>
      </c>
      <c r="DG94" s="58">
        <f t="shared" si="212"/>
        <v>-113067.06033755274</v>
      </c>
      <c r="DH94" s="58">
        <f t="shared" si="212"/>
        <v>-30660.786751054868</v>
      </c>
      <c r="DI94" s="58">
        <f t="shared" si="212"/>
        <v>-23356.445569620264</v>
      </c>
      <c r="DJ94" s="58">
        <f t="shared" si="212"/>
        <v>-330683.50265822816</v>
      </c>
      <c r="DK94" s="948"/>
      <c r="DL94" s="58">
        <f>DL81-DL34</f>
        <v>-86720.000000000029</v>
      </c>
      <c r="DM94" s="58">
        <f t="shared" ref="DM94:DY94" si="213">DM81-DM34</f>
        <v>-39350</v>
      </c>
      <c r="DN94" s="58">
        <f t="shared" si="213"/>
        <v>-45940</v>
      </c>
      <c r="DO94" s="58">
        <f t="shared" si="213"/>
        <v>-29822.043000000063</v>
      </c>
      <c r="DP94" s="58">
        <f t="shared" si="213"/>
        <v>-38916.131000000023</v>
      </c>
      <c r="DQ94" s="58">
        <f t="shared" si="213"/>
        <v>-22171.864000000031</v>
      </c>
      <c r="DR94" s="58">
        <f t="shared" si="213"/>
        <v>-85292.950200000079</v>
      </c>
      <c r="DS94" s="58">
        <f t="shared" si="213"/>
        <v>-120881.09540000002</v>
      </c>
      <c r="DT94" s="58">
        <f t="shared" si="213"/>
        <v>-174720.95870000008</v>
      </c>
      <c r="DU94" s="58">
        <f t="shared" si="213"/>
        <v>-132836.53237130807</v>
      </c>
      <c r="DV94" s="58">
        <f t="shared" si="213"/>
        <v>-47014.464826160372</v>
      </c>
      <c r="DW94" s="58">
        <f t="shared" si="213"/>
        <v>-30967.690126582282</v>
      </c>
      <c r="DX94" s="58">
        <f t="shared" si="213"/>
        <v>-854633.7296240516</v>
      </c>
    </row>
    <row r="95" spans="1:129" ht="15" hidden="1" customHeight="1">
      <c r="B95" t="s">
        <v>106</v>
      </c>
      <c r="BZ95" s="598"/>
      <c r="CA95" s="598">
        <f>BZ95+CA94</f>
        <v>16957.870899031579</v>
      </c>
      <c r="CB95" s="598">
        <f t="shared" ref="CB95:CG95" si="214">CA95+CB94</f>
        <v>19971.656451415591</v>
      </c>
      <c r="CC95" s="598">
        <f t="shared" si="214"/>
        <v>-8529.4329974354769</v>
      </c>
      <c r="CD95" s="598">
        <f t="shared" si="214"/>
        <v>-48562.473133028892</v>
      </c>
      <c r="CE95" s="598">
        <f t="shared" si="214"/>
        <v>-91684.776995147811</v>
      </c>
      <c r="CF95" s="598">
        <f t="shared" si="214"/>
        <v>-95600.619231449673</v>
      </c>
      <c r="CG95" s="598">
        <f t="shared" si="214"/>
        <v>-84284.435923160039</v>
      </c>
      <c r="CN95">
        <v>147</v>
      </c>
      <c r="CO95">
        <v>147</v>
      </c>
      <c r="CP95">
        <v>147</v>
      </c>
      <c r="CQ95">
        <v>147</v>
      </c>
      <c r="CR95">
        <v>147</v>
      </c>
      <c r="CS95">
        <v>147</v>
      </c>
      <c r="CT95">
        <v>147</v>
      </c>
      <c r="CU95">
        <v>147</v>
      </c>
      <c r="CW95" s="758"/>
      <c r="CX95">
        <f>CX78/(CX77+CX78)</f>
        <v>0.10889228207304867</v>
      </c>
      <c r="CY95">
        <f t="shared" ref="CY95:DI95" si="215">CY78/(CY77+CY78)</f>
        <v>0.10906332005393196</v>
      </c>
      <c r="CZ95">
        <f t="shared" si="215"/>
        <v>0.10560295990871499</v>
      </c>
      <c r="DA95">
        <f t="shared" si="215"/>
        <v>0.1103740306776172</v>
      </c>
      <c r="DB95">
        <f t="shared" si="215"/>
        <v>0.13051445317054414</v>
      </c>
      <c r="DC95">
        <f t="shared" si="215"/>
        <v>0.11523987852948538</v>
      </c>
      <c r="DD95">
        <f t="shared" si="215"/>
        <v>0.15437832681434827</v>
      </c>
      <c r="DE95">
        <f t="shared" si="215"/>
        <v>0.15036914685746341</v>
      </c>
      <c r="DF95">
        <f t="shared" si="215"/>
        <v>0.14020904139872914</v>
      </c>
      <c r="DG95">
        <f t="shared" si="215"/>
        <v>7.9975851863863481E-2</v>
      </c>
      <c r="DH95">
        <f t="shared" si="215"/>
        <v>0.10518071187595056</v>
      </c>
      <c r="DI95">
        <f t="shared" si="215"/>
        <v>9.825520729297918E-2</v>
      </c>
      <c r="DK95" s="948"/>
      <c r="DL95">
        <f>DL78/(DL77+DL78)</f>
        <v>9.6743432367023818E-2</v>
      </c>
      <c r="DM95">
        <f t="shared" ref="DM95:DW95" si="216">DM78/(DM77+DM78)</f>
        <v>9.6498631887906555E-2</v>
      </c>
      <c r="DN95">
        <f t="shared" si="216"/>
        <v>9.4591881536495157E-2</v>
      </c>
      <c r="DO95">
        <f t="shared" si="216"/>
        <v>9.7964874027716115E-2</v>
      </c>
      <c r="DP95">
        <f t="shared" si="216"/>
        <v>9.6214773867036557E-2</v>
      </c>
      <c r="DQ95">
        <f t="shared" si="216"/>
        <v>9.1265234582406166E-2</v>
      </c>
      <c r="DR95">
        <f t="shared" si="216"/>
        <v>0.10014614608853602</v>
      </c>
      <c r="DS95">
        <f t="shared" si="216"/>
        <v>0.11099587737436893</v>
      </c>
      <c r="DT95">
        <f t="shared" si="216"/>
        <v>0.1164117090457787</v>
      </c>
      <c r="DU95">
        <f t="shared" si="216"/>
        <v>7.1907521879673655E-2</v>
      </c>
      <c r="DV95">
        <f t="shared" si="216"/>
        <v>9.4879734818233225E-2</v>
      </c>
      <c r="DW95">
        <f t="shared" si="216"/>
        <v>8.908196304065602E-2</v>
      </c>
    </row>
    <row r="96" spans="1:129" ht="15" hidden="1" customHeight="1">
      <c r="B96" t="s">
        <v>107</v>
      </c>
      <c r="CN96" s="735">
        <f>CN89/CN95</f>
        <v>8840.5732799999987</v>
      </c>
      <c r="CO96" s="735">
        <f t="shared" ref="CO96:CU96" si="217">CO89/CO95</f>
        <v>9261.5529599999973</v>
      </c>
      <c r="CP96" s="735">
        <f t="shared" si="217"/>
        <v>10524.491999999997</v>
      </c>
      <c r="CQ96" s="735">
        <f t="shared" si="217"/>
        <v>8840.5732799999987</v>
      </c>
      <c r="CR96" s="735">
        <f t="shared" si="217"/>
        <v>9261.5529599999973</v>
      </c>
      <c r="CS96" s="735">
        <f t="shared" si="217"/>
        <v>9682.5326399999976</v>
      </c>
      <c r="CT96" s="735">
        <f t="shared" si="217"/>
        <v>9261.5529599999973</v>
      </c>
      <c r="CU96" s="735">
        <f t="shared" si="217"/>
        <v>7156.654559999999</v>
      </c>
      <c r="CW96" s="758"/>
      <c r="CX96">
        <f>ROUND(CX95*CX81,0)</f>
        <v>14361</v>
      </c>
      <c r="CY96">
        <f t="shared" ref="CY96:DI96" si="218">ROUND(CY95*CY81,0)</f>
        <v>12855</v>
      </c>
      <c r="CZ96">
        <f t="shared" si="218"/>
        <v>146</v>
      </c>
      <c r="DA96">
        <f t="shared" si="218"/>
        <v>5060</v>
      </c>
      <c r="DB96">
        <f t="shared" si="218"/>
        <v>20977</v>
      </c>
      <c r="DC96">
        <f t="shared" si="218"/>
        <v>12769</v>
      </c>
      <c r="DD96">
        <f t="shared" si="218"/>
        <v>24762</v>
      </c>
      <c r="DE96">
        <f t="shared" si="218"/>
        <v>20453</v>
      </c>
      <c r="DF96">
        <f t="shared" si="218"/>
        <v>19961</v>
      </c>
      <c r="DG96">
        <f t="shared" si="218"/>
        <v>13385</v>
      </c>
      <c r="DH96">
        <f t="shared" si="218"/>
        <v>16864</v>
      </c>
      <c r="DI96">
        <f t="shared" si="218"/>
        <v>8279</v>
      </c>
      <c r="DK96" s="948"/>
      <c r="DL96">
        <f>ROUND(DL95*DL81,0)</f>
        <v>12519</v>
      </c>
      <c r="DM96">
        <f t="shared" ref="DM96:DW96" si="219">ROUND(DM95*DM81,0)</f>
        <v>11771</v>
      </c>
      <c r="DN96">
        <f t="shared" si="219"/>
        <v>14225</v>
      </c>
      <c r="DO96">
        <f t="shared" si="219"/>
        <v>15992</v>
      </c>
      <c r="DP96">
        <f t="shared" si="219"/>
        <v>14559</v>
      </c>
      <c r="DQ96">
        <f t="shared" si="219"/>
        <v>10910</v>
      </c>
      <c r="DR96">
        <f t="shared" si="219"/>
        <v>14758</v>
      </c>
      <c r="DS96">
        <f t="shared" si="219"/>
        <v>13934</v>
      </c>
      <c r="DT96">
        <f t="shared" si="219"/>
        <v>17272</v>
      </c>
      <c r="DU96">
        <f t="shared" si="219"/>
        <v>12466</v>
      </c>
      <c r="DV96">
        <f t="shared" si="219"/>
        <v>15213</v>
      </c>
      <c r="DW96">
        <f t="shared" si="219"/>
        <v>7506</v>
      </c>
    </row>
    <row r="97" spans="1:128" ht="15" hidden="1" customHeight="1">
      <c r="CO97" s="598">
        <f>CO85</f>
        <v>9000</v>
      </c>
      <c r="CP97" s="598">
        <f t="shared" ref="CP97:CU97" si="220">CP85</f>
        <v>9800</v>
      </c>
      <c r="CQ97" s="598">
        <f t="shared" si="220"/>
        <v>9900</v>
      </c>
      <c r="CR97" s="598">
        <f t="shared" si="220"/>
        <v>9900</v>
      </c>
      <c r="CS97" s="598">
        <f t="shared" si="220"/>
        <v>9300</v>
      </c>
      <c r="CT97" s="598">
        <f t="shared" si="220"/>
        <v>8400</v>
      </c>
      <c r="CU97" s="598">
        <f t="shared" si="220"/>
        <v>9300</v>
      </c>
      <c r="CW97" s="758"/>
      <c r="CX97" s="413">
        <v>194469.46000000002</v>
      </c>
      <c r="CY97" s="413">
        <v>159466.88999999998</v>
      </c>
      <c r="CZ97" s="413">
        <v>208203.57</v>
      </c>
      <c r="DA97" s="413">
        <v>158532.44</v>
      </c>
      <c r="DB97" s="413">
        <v>157404.75999999998</v>
      </c>
      <c r="DC97" s="413">
        <v>118894.62</v>
      </c>
      <c r="DD97" s="413">
        <v>211625.73</v>
      </c>
      <c r="DE97" s="413">
        <v>208193.11</v>
      </c>
      <c r="DF97" s="413">
        <v>269889.13</v>
      </c>
      <c r="DG97" s="413">
        <v>258868.84085232066</v>
      </c>
      <c r="DH97" s="413">
        <v>178376.53444641351</v>
      </c>
      <c r="DI97" s="413">
        <v>114212.18776329115</v>
      </c>
      <c r="DK97" s="948"/>
      <c r="DL97" s="413">
        <f>DL98*1.1</f>
        <v>213916.40600000005</v>
      </c>
      <c r="DM97" s="413">
        <f t="shared" ref="DM97:DW97" si="221">DM98*1.1</f>
        <v>175413.579</v>
      </c>
      <c r="DN97" s="413">
        <f t="shared" si="221"/>
        <v>229023.92700000003</v>
      </c>
      <c r="DO97" s="413">
        <f t="shared" si="221"/>
        <v>174385.68400000001</v>
      </c>
      <c r="DP97" s="413">
        <f t="shared" si="221"/>
        <v>173145.236</v>
      </c>
      <c r="DQ97" s="413">
        <f t="shared" si="221"/>
        <v>130784.08200000001</v>
      </c>
      <c r="DR97" s="413">
        <f t="shared" si="221"/>
        <v>232788.30300000004</v>
      </c>
      <c r="DS97" s="413">
        <f t="shared" si="221"/>
        <v>229012.421</v>
      </c>
      <c r="DT97" s="413">
        <f t="shared" si="221"/>
        <v>296878.04300000001</v>
      </c>
      <c r="DU97" s="413">
        <f t="shared" si="221"/>
        <v>284755.72493755276</v>
      </c>
      <c r="DV97" s="413">
        <f t="shared" si="221"/>
        <v>196214.18789105487</v>
      </c>
      <c r="DW97" s="413">
        <f t="shared" si="221"/>
        <v>125633.40653962028</v>
      </c>
    </row>
    <row r="98" spans="1:128" ht="15" hidden="1" customHeight="1">
      <c r="B98" s="576"/>
      <c r="C98" s="576"/>
      <c r="D98" s="576"/>
      <c r="E98" s="576"/>
      <c r="F98" s="576"/>
      <c r="G98" s="576"/>
      <c r="H98" s="576"/>
      <c r="I98" s="576"/>
      <c r="J98" s="576"/>
      <c r="K98" s="576"/>
      <c r="L98" s="576"/>
      <c r="M98" s="576"/>
      <c r="N98" s="576"/>
      <c r="O98" s="576"/>
      <c r="P98" s="576"/>
      <c r="Q98" s="576"/>
      <c r="R98" s="576"/>
      <c r="S98" s="576"/>
      <c r="T98" s="576"/>
      <c r="U98" s="576"/>
      <c r="V98" s="576"/>
      <c r="W98" s="576"/>
      <c r="X98" s="576"/>
      <c r="Y98" s="576"/>
      <c r="Z98" s="576"/>
      <c r="AA98" s="576"/>
      <c r="AB98" s="576"/>
      <c r="AC98" s="576"/>
      <c r="AD98" s="576"/>
      <c r="AE98" s="576"/>
      <c r="AF98" s="576"/>
      <c r="AG98" s="576"/>
      <c r="AH98" s="576"/>
      <c r="AI98" s="576"/>
      <c r="AJ98" s="576"/>
      <c r="AK98" s="576"/>
      <c r="AL98" s="576"/>
      <c r="AM98" s="576"/>
      <c r="AN98" s="576"/>
      <c r="AO98" s="576"/>
      <c r="AP98" s="576"/>
      <c r="AQ98" s="576"/>
      <c r="AR98" s="576"/>
      <c r="AS98" s="576"/>
      <c r="AT98" s="576"/>
      <c r="AU98" s="576"/>
      <c r="AV98" s="576"/>
      <c r="AW98" s="576"/>
      <c r="AX98" s="576"/>
      <c r="AY98" s="576"/>
      <c r="AZ98" s="576"/>
      <c r="BA98" s="576"/>
      <c r="BB98" s="576"/>
      <c r="BC98" s="576"/>
      <c r="BD98" s="576"/>
      <c r="BE98" s="576"/>
      <c r="BF98" s="576"/>
      <c r="BG98" s="576"/>
      <c r="BH98" s="576"/>
      <c r="BI98" s="576"/>
      <c r="BJ98" s="576"/>
      <c r="BK98" s="576"/>
      <c r="BL98" s="576"/>
      <c r="BM98" s="576"/>
      <c r="BN98" s="576"/>
      <c r="BO98" s="576"/>
      <c r="BP98" s="576"/>
      <c r="BQ98" s="576"/>
      <c r="BR98" s="576"/>
      <c r="BS98" s="576"/>
      <c r="BT98" s="576"/>
      <c r="BU98" s="576"/>
      <c r="BV98" s="576"/>
      <c r="BW98" s="576"/>
      <c r="BX98" s="576"/>
      <c r="BY98" s="576"/>
      <c r="BZ98" s="576"/>
      <c r="CA98" s="576"/>
      <c r="CB98" s="576"/>
      <c r="CC98" s="576"/>
      <c r="CD98" s="576"/>
      <c r="CE98" s="576"/>
      <c r="CF98" s="576"/>
      <c r="CG98" s="576"/>
      <c r="CH98" s="576"/>
      <c r="CI98" s="576"/>
      <c r="CJ98" s="576"/>
      <c r="CK98" s="576"/>
      <c r="CL98" s="576"/>
      <c r="CM98" s="576"/>
      <c r="CN98" s="576"/>
      <c r="CO98" s="576">
        <f>CO81*0.95</f>
        <v>188100</v>
      </c>
      <c r="CP98" s="576">
        <f t="shared" ref="CP98:CU98" si="222">CP81*0.95</f>
        <v>232750</v>
      </c>
      <c r="CQ98" s="576">
        <f t="shared" si="222"/>
        <v>197505</v>
      </c>
      <c r="CR98" s="576">
        <f t="shared" si="222"/>
        <v>206910</v>
      </c>
      <c r="CS98" s="576">
        <f t="shared" si="222"/>
        <v>195300.05</v>
      </c>
      <c r="CT98" s="576">
        <f t="shared" si="222"/>
        <v>156123</v>
      </c>
      <c r="CU98" s="576">
        <f t="shared" si="222"/>
        <v>112727</v>
      </c>
      <c r="CV98" s="576"/>
      <c r="CW98" s="758"/>
      <c r="CX98" s="576"/>
      <c r="CY98" s="576"/>
      <c r="CZ98" s="576"/>
      <c r="DA98" s="576"/>
      <c r="DB98" s="576"/>
      <c r="DC98" s="576"/>
      <c r="DD98" s="576"/>
      <c r="DE98" s="576"/>
      <c r="DF98" s="576"/>
      <c r="DG98" s="576"/>
      <c r="DH98" s="576"/>
      <c r="DI98" s="576"/>
      <c r="DK98" s="948"/>
      <c r="DL98" s="413">
        <v>194469.46000000002</v>
      </c>
      <c r="DM98" s="413">
        <v>159466.88999999998</v>
      </c>
      <c r="DN98" s="413">
        <v>208203.57</v>
      </c>
      <c r="DO98" s="413">
        <v>158532.44</v>
      </c>
      <c r="DP98" s="413">
        <v>157404.75999999998</v>
      </c>
      <c r="DQ98" s="413">
        <v>118894.62</v>
      </c>
      <c r="DR98" s="413">
        <v>211625.73</v>
      </c>
      <c r="DS98" s="413">
        <v>208193.11</v>
      </c>
      <c r="DT98" s="413">
        <v>269889.13</v>
      </c>
      <c r="DU98" s="413">
        <v>258868.84085232066</v>
      </c>
      <c r="DV98" s="413">
        <v>178376.53444641351</v>
      </c>
      <c r="DW98" s="413">
        <v>114212.18776329115</v>
      </c>
    </row>
    <row r="99" spans="1:128" ht="15" hidden="1" customHeight="1">
      <c r="A99" s="576"/>
      <c r="B99" s="760" t="s">
        <v>136</v>
      </c>
      <c r="C99" s="761"/>
      <c r="D99" s="761"/>
      <c r="E99" s="761"/>
      <c r="F99" s="761"/>
      <c r="G99" s="761"/>
      <c r="H99" s="761"/>
      <c r="I99" s="761"/>
      <c r="J99" s="761"/>
      <c r="K99" s="761"/>
      <c r="L99" s="761"/>
      <c r="M99" s="761"/>
      <c r="N99" s="761"/>
      <c r="O99" s="761"/>
      <c r="P99" s="761"/>
      <c r="Q99" s="761"/>
      <c r="R99" s="761"/>
      <c r="S99" s="761"/>
      <c r="T99" s="761"/>
      <c r="U99" s="761"/>
      <c r="V99" s="761"/>
      <c r="W99" s="761"/>
      <c r="X99" s="761"/>
      <c r="Y99" s="761"/>
      <c r="Z99" s="761"/>
      <c r="AA99" s="761"/>
      <c r="AB99" s="761"/>
      <c r="AC99" s="761"/>
      <c r="AD99" s="761"/>
      <c r="AE99" s="761"/>
      <c r="AF99" s="761"/>
      <c r="AG99" s="761"/>
      <c r="AH99" s="761"/>
      <c r="AI99" s="761"/>
      <c r="AJ99" s="761"/>
      <c r="AK99" s="761"/>
      <c r="AL99" s="761"/>
      <c r="AM99" s="761"/>
      <c r="AN99" s="761"/>
      <c r="AO99" s="761"/>
      <c r="AP99" s="761"/>
      <c r="AQ99" s="761"/>
      <c r="AR99" s="761"/>
      <c r="AS99" s="761"/>
      <c r="AT99" s="761"/>
      <c r="AU99" s="761"/>
      <c r="AV99" s="761"/>
      <c r="AW99" s="761"/>
      <c r="AX99" s="761"/>
      <c r="AY99" s="761"/>
      <c r="AZ99" s="761"/>
      <c r="BA99" s="761"/>
      <c r="BB99" s="761"/>
      <c r="BC99" s="761"/>
      <c r="BD99" s="761"/>
      <c r="BE99" s="761"/>
      <c r="BF99" s="761"/>
      <c r="BG99" s="761"/>
      <c r="BH99" s="761"/>
      <c r="BI99" s="761"/>
      <c r="BJ99" s="761"/>
      <c r="BK99" s="761"/>
      <c r="BL99" s="761"/>
      <c r="BM99" s="761"/>
      <c r="BN99" s="761"/>
      <c r="BO99" s="761"/>
      <c r="BP99" s="761"/>
      <c r="BQ99" s="761"/>
      <c r="BR99" s="761"/>
      <c r="BS99" s="761"/>
      <c r="BT99" s="761"/>
      <c r="BU99" s="761"/>
      <c r="BV99" s="761"/>
      <c r="BW99" s="761"/>
      <c r="BX99" s="761"/>
      <c r="BY99" s="761"/>
      <c r="BZ99" s="761"/>
      <c r="CA99" s="761"/>
      <c r="CB99" s="761"/>
      <c r="CC99" s="761"/>
      <c r="CD99" s="761"/>
      <c r="CE99" s="761"/>
      <c r="CF99" s="761"/>
      <c r="CG99" s="761"/>
      <c r="CH99" s="761"/>
      <c r="CI99" s="761"/>
      <c r="CJ99" s="761"/>
      <c r="CK99" s="761"/>
      <c r="CL99" s="761"/>
      <c r="CM99" s="761"/>
      <c r="CN99" s="761"/>
      <c r="CO99" s="761"/>
      <c r="CP99" s="761"/>
      <c r="CQ99" s="761"/>
      <c r="CR99" s="761"/>
      <c r="CS99" s="761">
        <v>0</v>
      </c>
      <c r="CT99" s="761">
        <v>20460</v>
      </c>
      <c r="CU99" s="761">
        <f>CU105-CU104</f>
        <v>39440</v>
      </c>
      <c r="CV99" s="761"/>
      <c r="CW99" s="758"/>
      <c r="CX99" s="761">
        <f>CX105-CX104</f>
        <v>53880</v>
      </c>
      <c r="CY99" s="761">
        <f t="shared" ref="CY99:DB99" si="223">CY105-CY104</f>
        <v>30080</v>
      </c>
      <c r="CZ99" s="761">
        <f t="shared" si="223"/>
        <v>34020</v>
      </c>
      <c r="DA99" s="761">
        <f t="shared" si="223"/>
        <v>21160</v>
      </c>
      <c r="DB99" s="761">
        <v>10000</v>
      </c>
      <c r="DC99" s="761">
        <v>50000</v>
      </c>
      <c r="DD99" s="761">
        <v>40000</v>
      </c>
      <c r="DE99" s="761">
        <v>40000</v>
      </c>
      <c r="DF99" s="761">
        <v>35000</v>
      </c>
      <c r="DG99" s="761">
        <v>20000</v>
      </c>
      <c r="DH99" s="761">
        <v>10000</v>
      </c>
      <c r="DI99" s="761">
        <f>DC99</f>
        <v>50000</v>
      </c>
      <c r="DJ99" s="576"/>
      <c r="DK99" s="948"/>
      <c r="DL99" s="761">
        <f>DL105-DL104</f>
        <v>53880</v>
      </c>
      <c r="DM99" s="761">
        <f t="shared" ref="DM99:DP99" si="224">DM105-DM104</f>
        <v>30080</v>
      </c>
      <c r="DN99" s="761">
        <f t="shared" si="224"/>
        <v>34020</v>
      </c>
      <c r="DO99" s="761">
        <f t="shared" si="224"/>
        <v>21160</v>
      </c>
      <c r="DP99" s="761">
        <v>10000</v>
      </c>
      <c r="DQ99" s="761">
        <v>50000</v>
      </c>
      <c r="DR99" s="761">
        <v>40000</v>
      </c>
      <c r="DS99" s="761">
        <v>40000</v>
      </c>
      <c r="DT99" s="761">
        <v>35000</v>
      </c>
      <c r="DU99" s="761">
        <v>20000</v>
      </c>
      <c r="DV99" s="761">
        <v>10000</v>
      </c>
      <c r="DW99" s="761">
        <f>DQ99</f>
        <v>50000</v>
      </c>
      <c r="DX99" s="576"/>
    </row>
    <row r="100" spans="1:128" ht="15" hidden="1" customHeight="1">
      <c r="A100" s="576"/>
      <c r="B100" s="762" t="s">
        <v>137</v>
      </c>
      <c r="C100" s="763"/>
      <c r="D100" s="763"/>
      <c r="E100" s="763"/>
      <c r="F100" s="763"/>
      <c r="G100" s="763"/>
      <c r="H100" s="763"/>
      <c r="I100" s="763"/>
      <c r="J100" s="763"/>
      <c r="K100" s="763"/>
      <c r="L100" s="763"/>
      <c r="M100" s="763"/>
      <c r="N100" s="763"/>
      <c r="O100" s="763"/>
      <c r="P100" s="763"/>
      <c r="Q100" s="763"/>
      <c r="R100" s="763"/>
      <c r="S100" s="763"/>
      <c r="T100" s="763"/>
      <c r="U100" s="763"/>
      <c r="V100" s="763"/>
      <c r="W100" s="763"/>
      <c r="X100" s="763"/>
      <c r="Y100" s="763"/>
      <c r="Z100" s="763"/>
      <c r="AA100" s="763"/>
      <c r="AB100" s="763"/>
      <c r="AC100" s="763"/>
      <c r="AD100" s="763"/>
      <c r="AE100" s="763"/>
      <c r="AF100" s="763"/>
      <c r="AG100" s="763"/>
      <c r="AH100" s="763"/>
      <c r="AI100" s="763"/>
      <c r="AJ100" s="763"/>
      <c r="AK100" s="763"/>
      <c r="AL100" s="763"/>
      <c r="AM100" s="763"/>
      <c r="AN100" s="763"/>
      <c r="AO100" s="763"/>
      <c r="AP100" s="763"/>
      <c r="AQ100" s="763"/>
      <c r="AR100" s="763"/>
      <c r="AS100" s="763"/>
      <c r="AT100" s="763"/>
      <c r="AU100" s="763"/>
      <c r="AV100" s="763"/>
      <c r="AW100" s="763"/>
      <c r="AX100" s="763"/>
      <c r="AY100" s="763"/>
      <c r="AZ100" s="763"/>
      <c r="BA100" s="763"/>
      <c r="BB100" s="763"/>
      <c r="BC100" s="763"/>
      <c r="BD100" s="763"/>
      <c r="BE100" s="763"/>
      <c r="BF100" s="763"/>
      <c r="BG100" s="763"/>
      <c r="BH100" s="763"/>
      <c r="BI100" s="763"/>
      <c r="BJ100" s="763"/>
      <c r="BK100" s="763"/>
      <c r="BL100" s="763"/>
      <c r="BM100" s="763"/>
      <c r="BN100" s="763"/>
      <c r="BO100" s="763"/>
      <c r="BP100" s="763"/>
      <c r="BQ100" s="763"/>
      <c r="BR100" s="763"/>
      <c r="BS100" s="763"/>
      <c r="BT100" s="763"/>
      <c r="BU100" s="763"/>
      <c r="BV100" s="763"/>
      <c r="BW100" s="763"/>
      <c r="BX100" s="763"/>
      <c r="BY100" s="763"/>
      <c r="BZ100" s="763"/>
      <c r="CA100" s="763"/>
      <c r="CB100" s="763"/>
      <c r="CC100" s="763"/>
      <c r="CD100" s="763"/>
      <c r="CE100" s="763"/>
      <c r="CF100" s="763"/>
      <c r="CG100" s="763"/>
      <c r="CH100" s="763"/>
      <c r="CI100" s="763"/>
      <c r="CJ100" s="763"/>
      <c r="CK100" s="763"/>
      <c r="CL100" s="763"/>
      <c r="CM100" s="763"/>
      <c r="CN100" s="763"/>
      <c r="CO100" s="763"/>
      <c r="CP100" s="763"/>
      <c r="CQ100" s="763"/>
      <c r="CR100" s="763"/>
      <c r="CS100" s="763"/>
      <c r="CT100" s="763">
        <v>35000</v>
      </c>
      <c r="CU100" s="763">
        <v>2096</v>
      </c>
      <c r="CV100" s="763"/>
      <c r="CW100" s="758"/>
      <c r="CX100" s="764">
        <f>CX107-CX106</f>
        <v>39610</v>
      </c>
      <c r="CY100" s="764">
        <f t="shared" ref="CY100:DC100" si="225">CY107-CY106</f>
        <v>36994</v>
      </c>
      <c r="CZ100" s="764">
        <f t="shared" si="225"/>
        <v>29344</v>
      </c>
      <c r="DA100" s="764">
        <f t="shared" si="225"/>
        <v>33378</v>
      </c>
      <c r="DB100" s="764">
        <f t="shared" si="225"/>
        <v>19489</v>
      </c>
      <c r="DC100" s="764">
        <f t="shared" si="225"/>
        <v>14764</v>
      </c>
      <c r="DD100" s="763">
        <f>DD101*1.1</f>
        <v>49685.9</v>
      </c>
      <c r="DE100" s="763">
        <f t="shared" ref="DE100:DI100" si="226">DE101*1.1</f>
        <v>48585.9</v>
      </c>
      <c r="DF100" s="763">
        <f t="shared" si="226"/>
        <v>55922.9</v>
      </c>
      <c r="DG100" s="763">
        <f t="shared" si="226"/>
        <v>28156.7</v>
      </c>
      <c r="DH100" s="763">
        <f t="shared" si="226"/>
        <v>14078.35</v>
      </c>
      <c r="DI100" s="763">
        <f t="shared" si="226"/>
        <v>3300.0000000000005</v>
      </c>
      <c r="DJ100" s="576"/>
      <c r="DK100" s="948"/>
      <c r="DL100" s="764">
        <f>DL107-DL106</f>
        <v>39610</v>
      </c>
      <c r="DM100" s="764">
        <f t="shared" ref="DM100:DQ100" si="227">DM107-DM106</f>
        <v>36994</v>
      </c>
      <c r="DN100" s="764">
        <f t="shared" si="227"/>
        <v>29344</v>
      </c>
      <c r="DO100" s="764">
        <f t="shared" si="227"/>
        <v>33378</v>
      </c>
      <c r="DP100" s="764">
        <f t="shared" si="227"/>
        <v>19489</v>
      </c>
      <c r="DQ100" s="764">
        <f t="shared" si="227"/>
        <v>14764</v>
      </c>
      <c r="DR100" s="763">
        <f>DR101*1.1</f>
        <v>49685.9</v>
      </c>
      <c r="DS100" s="763">
        <f t="shared" ref="DS100:DW100" si="228">DS101*1.1</f>
        <v>48585.9</v>
      </c>
      <c r="DT100" s="763">
        <f t="shared" si="228"/>
        <v>55922.9</v>
      </c>
      <c r="DU100" s="763">
        <f t="shared" si="228"/>
        <v>28156.7</v>
      </c>
      <c r="DV100" s="763">
        <f t="shared" si="228"/>
        <v>14078.35</v>
      </c>
      <c r="DW100" s="763">
        <f t="shared" si="228"/>
        <v>3300.0000000000005</v>
      </c>
      <c r="DX100" s="576"/>
    </row>
    <row r="101" spans="1:128" ht="15" hidden="1" customHeight="1">
      <c r="B101" s="576"/>
      <c r="C101" s="576"/>
      <c r="D101" s="576"/>
      <c r="E101" s="576"/>
      <c r="F101" s="576"/>
      <c r="G101" s="576"/>
      <c r="H101" s="576"/>
      <c r="I101" s="576"/>
      <c r="J101" s="576"/>
      <c r="K101" s="576"/>
      <c r="L101" s="576"/>
      <c r="M101" s="576"/>
      <c r="N101" s="576"/>
      <c r="O101" s="576"/>
      <c r="P101" s="576"/>
      <c r="Q101" s="576"/>
      <c r="R101" s="576"/>
      <c r="S101" s="576"/>
      <c r="T101" s="576"/>
      <c r="U101" s="576"/>
      <c r="V101" s="576"/>
      <c r="W101" s="576"/>
      <c r="X101" s="576"/>
      <c r="Y101" s="576"/>
      <c r="Z101" s="576"/>
      <c r="AA101" s="576"/>
      <c r="AB101" s="576"/>
      <c r="AC101" s="576"/>
      <c r="AD101" s="576"/>
      <c r="AE101" s="576"/>
      <c r="AF101" s="576"/>
      <c r="AG101" s="576"/>
      <c r="AH101" s="576"/>
      <c r="AI101" s="576"/>
      <c r="AJ101" s="576"/>
      <c r="AK101" s="576"/>
      <c r="AL101" s="576"/>
      <c r="AM101" s="576"/>
      <c r="AN101" s="576"/>
      <c r="AO101" s="576"/>
      <c r="AP101" s="576"/>
      <c r="AQ101" s="576"/>
      <c r="AR101" s="576"/>
      <c r="AS101" s="576"/>
      <c r="AT101" s="576"/>
      <c r="AU101" s="576"/>
      <c r="AV101" s="576"/>
      <c r="AW101" s="576"/>
      <c r="AX101" s="576"/>
      <c r="AY101" s="576"/>
      <c r="AZ101" s="576"/>
      <c r="BA101" s="576"/>
      <c r="BB101" s="576"/>
      <c r="BC101" s="576"/>
      <c r="BD101" s="576"/>
      <c r="BE101" s="576"/>
      <c r="BF101" s="576"/>
      <c r="BG101" s="576"/>
      <c r="BH101" s="576"/>
      <c r="BI101" s="576"/>
      <c r="BJ101" s="576"/>
      <c r="BK101" s="576"/>
      <c r="BL101" s="576"/>
      <c r="BM101" s="576"/>
      <c r="BN101" s="576"/>
      <c r="BO101" s="576"/>
      <c r="BP101" s="576"/>
      <c r="BQ101" s="576"/>
      <c r="BR101" s="576"/>
      <c r="BS101" s="576"/>
      <c r="BT101" s="576"/>
      <c r="BU101" s="576"/>
      <c r="BV101" s="576"/>
      <c r="BW101" s="576"/>
      <c r="BX101" s="576"/>
      <c r="BY101" s="576"/>
      <c r="BZ101" s="576"/>
      <c r="CA101" s="576"/>
      <c r="CB101" s="576"/>
      <c r="CC101" s="576"/>
      <c r="CD101" s="576"/>
      <c r="CE101" s="576"/>
      <c r="CF101" s="576"/>
      <c r="CG101" s="576"/>
      <c r="CH101" s="576"/>
      <c r="CI101" s="576"/>
      <c r="CJ101" s="576"/>
      <c r="CK101" s="576"/>
      <c r="CL101" s="576"/>
      <c r="CM101" s="576"/>
      <c r="CN101" s="576"/>
      <c r="CO101" s="576"/>
      <c r="CP101" s="576"/>
      <c r="CQ101" s="576"/>
      <c r="CR101" s="576"/>
      <c r="CS101" s="576"/>
      <c r="CT101" s="576"/>
      <c r="CU101" s="576"/>
      <c r="CV101" s="576"/>
      <c r="CW101" s="758"/>
      <c r="CX101" s="576"/>
      <c r="CY101" s="576"/>
      <c r="CZ101" s="576"/>
      <c r="DA101" s="576"/>
      <c r="DB101" s="576"/>
      <c r="DC101" s="576"/>
      <c r="DD101" s="576">
        <v>45169</v>
      </c>
      <c r="DE101" s="576">
        <v>44169</v>
      </c>
      <c r="DF101" s="576">
        <v>50839</v>
      </c>
      <c r="DG101" s="576">
        <v>25597</v>
      </c>
      <c r="DH101" s="763">
        <f>DG101/2</f>
        <v>12798.5</v>
      </c>
      <c r="DI101" s="763">
        <v>3000</v>
      </c>
      <c r="DK101" s="948"/>
      <c r="DL101" s="576"/>
      <c r="DM101" s="576"/>
      <c r="DN101" s="576"/>
      <c r="DO101" s="576"/>
      <c r="DP101" s="576"/>
      <c r="DQ101" s="576"/>
      <c r="DR101" s="576">
        <v>45169</v>
      </c>
      <c r="DS101" s="576">
        <v>44169</v>
      </c>
      <c r="DT101" s="576">
        <v>50839</v>
      </c>
      <c r="DU101" s="576">
        <v>25597</v>
      </c>
      <c r="DV101" s="763">
        <f>DU101/2</f>
        <v>12798.5</v>
      </c>
      <c r="DW101" s="763">
        <v>3000</v>
      </c>
    </row>
    <row r="102" spans="1:128" ht="15" hidden="1" customHeight="1">
      <c r="CU102">
        <v>50000</v>
      </c>
      <c r="CX102">
        <v>40000</v>
      </c>
      <c r="CY102">
        <v>40000</v>
      </c>
      <c r="CZ102">
        <v>35000</v>
      </c>
      <c r="DA102">
        <v>20000</v>
      </c>
      <c r="DL102">
        <v>40000</v>
      </c>
      <c r="DM102">
        <v>40000</v>
      </c>
      <c r="DN102">
        <v>35000</v>
      </c>
      <c r="DO102">
        <v>20000</v>
      </c>
    </row>
    <row r="103" spans="1:128" ht="15" hidden="1" customHeight="1"/>
    <row r="104" spans="1:128" ht="15" hidden="1" customHeight="1">
      <c r="CT104" s="682" t="s">
        <v>138</v>
      </c>
      <c r="CU104">
        <v>31560</v>
      </c>
      <c r="CX104">
        <v>26320</v>
      </c>
      <c r="CY104">
        <v>21280</v>
      </c>
      <c r="CZ104">
        <v>19180</v>
      </c>
      <c r="DA104">
        <v>14700</v>
      </c>
      <c r="DL104">
        <v>26320</v>
      </c>
      <c r="DM104">
        <v>21280</v>
      </c>
      <c r="DN104">
        <v>19180</v>
      </c>
      <c r="DO104">
        <v>14700</v>
      </c>
    </row>
    <row r="105" spans="1:128" ht="15" hidden="1" customHeight="1">
      <c r="CU105" s="761">
        <v>71000</v>
      </c>
      <c r="CV105" s="761"/>
      <c r="CW105" s="761"/>
      <c r="CX105" s="761">
        <v>80200</v>
      </c>
      <c r="CY105" s="761">
        <v>51360</v>
      </c>
      <c r="CZ105" s="761">
        <v>53200</v>
      </c>
      <c r="DA105" s="761">
        <v>35860</v>
      </c>
      <c r="DL105" s="761">
        <v>80200</v>
      </c>
      <c r="DM105" s="761">
        <v>51360</v>
      </c>
      <c r="DN105" s="761">
        <v>53200</v>
      </c>
      <c r="DO105" s="761">
        <v>35860</v>
      </c>
    </row>
    <row r="106" spans="1:128" ht="15" hidden="1" customHeight="1">
      <c r="B106" s="576"/>
      <c r="C106" s="576"/>
      <c r="CT106" t="s">
        <v>139</v>
      </c>
      <c r="CX106" s="764">
        <v>24332</v>
      </c>
      <c r="CY106" s="764">
        <v>18419</v>
      </c>
      <c r="CZ106" s="764">
        <v>19179</v>
      </c>
      <c r="DA106" s="764">
        <v>17338</v>
      </c>
      <c r="DB106" s="764">
        <v>12064</v>
      </c>
      <c r="DC106" s="764">
        <v>9136</v>
      </c>
      <c r="DL106" s="764">
        <v>24332</v>
      </c>
      <c r="DM106" s="764">
        <v>18419</v>
      </c>
      <c r="DN106" s="764">
        <v>19179</v>
      </c>
      <c r="DO106" s="764">
        <v>17338</v>
      </c>
      <c r="DP106" s="764">
        <v>12064</v>
      </c>
      <c r="DQ106" s="764">
        <v>9136</v>
      </c>
    </row>
    <row r="107" spans="1:128" ht="15" hidden="1" customHeight="1">
      <c r="A107" s="576"/>
      <c r="B107" s="946" t="s">
        <v>140</v>
      </c>
      <c r="C107" s="947" t="s">
        <v>141</v>
      </c>
      <c r="D107" s="576"/>
      <c r="CX107" s="764">
        <v>63942</v>
      </c>
      <c r="CY107" s="764">
        <v>55413</v>
      </c>
      <c r="CZ107" s="764">
        <v>48523</v>
      </c>
      <c r="DA107" s="764">
        <v>50716</v>
      </c>
      <c r="DB107" s="764">
        <v>31553</v>
      </c>
      <c r="DC107" s="764">
        <v>23900</v>
      </c>
      <c r="DL107" s="764">
        <v>63942</v>
      </c>
      <c r="DM107" s="764">
        <v>55413</v>
      </c>
      <c r="DN107" s="764">
        <v>48523</v>
      </c>
      <c r="DO107" s="764">
        <v>50716</v>
      </c>
      <c r="DP107" s="764">
        <v>31553</v>
      </c>
      <c r="DQ107" s="764">
        <v>23900</v>
      </c>
    </row>
    <row r="108" spans="1:128" ht="15" hidden="1" customHeight="1">
      <c r="A108" s="576"/>
      <c r="B108" s="944" t="s">
        <v>142</v>
      </c>
      <c r="C108" s="945">
        <f>COUNTIFS(grupos!C:C,B108)</f>
        <v>1</v>
      </c>
      <c r="D108" s="576"/>
    </row>
    <row r="109" spans="1:128" ht="15" hidden="1" customHeight="1">
      <c r="A109" s="576"/>
      <c r="B109" s="941" t="s">
        <v>143</v>
      </c>
      <c r="C109" s="942">
        <v>12</v>
      </c>
      <c r="D109" s="576"/>
      <c r="CV109" t="s">
        <v>144</v>
      </c>
      <c r="CX109">
        <v>15330</v>
      </c>
      <c r="CY109">
        <v>12143</v>
      </c>
      <c r="CZ109">
        <v>17171</v>
      </c>
      <c r="DA109">
        <v>12558</v>
      </c>
      <c r="DB109">
        <v>13440</v>
      </c>
      <c r="DC109">
        <v>9626</v>
      </c>
      <c r="DD109">
        <v>16670</v>
      </c>
      <c r="DE109">
        <v>18206</v>
      </c>
      <c r="DF109">
        <v>25500</v>
      </c>
      <c r="DG109">
        <v>16774</v>
      </c>
      <c r="DH109">
        <v>15710</v>
      </c>
      <c r="DI109">
        <v>9907</v>
      </c>
      <c r="DL109">
        <v>15330</v>
      </c>
      <c r="DM109">
        <v>12143</v>
      </c>
      <c r="DN109">
        <v>17171</v>
      </c>
      <c r="DO109">
        <v>12558</v>
      </c>
      <c r="DP109">
        <v>13440</v>
      </c>
      <c r="DQ109">
        <v>9626</v>
      </c>
      <c r="DR109">
        <v>16670</v>
      </c>
      <c r="DS109">
        <v>18206</v>
      </c>
      <c r="DT109">
        <v>25500</v>
      </c>
      <c r="DU109">
        <v>16774</v>
      </c>
      <c r="DV109">
        <v>15710</v>
      </c>
      <c r="DW109">
        <v>9907</v>
      </c>
    </row>
    <row r="110" spans="1:128" ht="15" hidden="1" customHeight="1">
      <c r="A110" s="576"/>
      <c r="B110" s="941" t="s">
        <v>145</v>
      </c>
      <c r="C110" s="942">
        <f>COUNTIFS(grupos!C:C,B110)</f>
        <v>1</v>
      </c>
      <c r="D110" s="576"/>
      <c r="DL110" s="881">
        <v>166555.77995873816</v>
      </c>
      <c r="DM110" s="881">
        <v>152835.36924465047</v>
      </c>
      <c r="DN110" s="881">
        <v>195319.2072937729</v>
      </c>
      <c r="DO110" s="881">
        <v>158396.18906207831</v>
      </c>
      <c r="DP110" s="881">
        <v>152371.51475009107</v>
      </c>
      <c r="DQ110" s="881">
        <v>147696.01107361159</v>
      </c>
      <c r="DR110" s="881">
        <v>189465.0513586243</v>
      </c>
      <c r="DS110" s="881">
        <v>202914.10079748323</v>
      </c>
      <c r="DT110" s="881">
        <v>214499.61628422557</v>
      </c>
      <c r="DU110" s="881">
        <v>217682.99793575107</v>
      </c>
      <c r="DV110" s="881">
        <v>179284.72030485788</v>
      </c>
      <c r="DW110" s="881">
        <v>88389.319383536102</v>
      </c>
      <c r="DX110" s="69">
        <v>2065409.8774474205</v>
      </c>
    </row>
    <row r="111" spans="1:128" ht="15" hidden="1" customHeight="1">
      <c r="A111" s="576"/>
      <c r="B111" s="941" t="s">
        <v>146</v>
      </c>
      <c r="C111" s="942">
        <v>3</v>
      </c>
      <c r="D111" s="576"/>
    </row>
    <row r="112" spans="1:128" ht="15" hidden="1" customHeight="1">
      <c r="A112" s="576"/>
      <c r="B112" s="762" t="s">
        <v>147</v>
      </c>
      <c r="C112" s="943">
        <v>5</v>
      </c>
      <c r="D112" s="576"/>
    </row>
    <row r="113" spans="2:103" ht="15" hidden="1" customHeight="1">
      <c r="B113" s="576"/>
      <c r="C113" s="602">
        <f>SUM(C108:C112)</f>
        <v>22</v>
      </c>
    </row>
    <row r="114" spans="2:103" s="594" customFormat="1" ht="15" hidden="1" customHeight="1">
      <c r="B114" s="594" t="s">
        <v>148</v>
      </c>
      <c r="CX114" s="953">
        <v>191345</v>
      </c>
      <c r="CY114" s="953">
        <v>145396</v>
      </c>
    </row>
    <row r="115" spans="2:103" ht="15" hidden="1" customHeight="1">
      <c r="B115" t="s">
        <v>149</v>
      </c>
      <c r="CX115" s="862">
        <v>27823</v>
      </c>
      <c r="CY115" s="862">
        <v>27550</v>
      </c>
    </row>
    <row r="116" spans="2:103" ht="15" hidden="1" customHeight="1">
      <c r="B116" t="s">
        <v>150</v>
      </c>
      <c r="CX116" s="862">
        <v>14235</v>
      </c>
      <c r="CY116" s="862">
        <v>15739</v>
      </c>
    </row>
    <row r="117" spans="2:103" ht="15" hidden="1" customHeight="1"/>
  </sheetData>
  <mergeCells count="28">
    <mergeCell ref="B59:C59"/>
    <mergeCell ref="DL2:DW2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CX1:DI1"/>
    <mergeCell ref="DL1:DW1"/>
    <mergeCell ref="D2:P2"/>
    <mergeCell ref="R2:AD2"/>
    <mergeCell ref="AF2:AR2"/>
    <mergeCell ref="AT2:BF2"/>
    <mergeCell ref="BH2:BS2"/>
    <mergeCell ref="BV2:CG2"/>
    <mergeCell ref="CJ2:CU2"/>
    <mergeCell ref="CX2:DI2"/>
    <mergeCell ref="R1:AD1"/>
    <mergeCell ref="AF1:AR1"/>
    <mergeCell ref="AT1:BF1"/>
    <mergeCell ref="BH1:BS1"/>
    <mergeCell ref="BV1:CG1"/>
    <mergeCell ref="CJ1:CU1"/>
  </mergeCells>
  <pageMargins left="0.25" right="0.25" top="0.75" bottom="0.75" header="0" footer="0"/>
  <pageSetup paperSize="9" scale="55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0BCA-ED42-4DAC-8081-39BF85BEB280}">
  <sheetPr>
    <tabColor rgb="FF00B050"/>
  </sheetPr>
  <dimension ref="A1:DY124"/>
  <sheetViews>
    <sheetView showGridLines="0" zoomScale="80" zoomScaleNormal="80" workbookViewId="0">
      <pane xSplit="3" ySplit="9" topLeftCell="BU12" activePane="bottomRight" state="frozen"/>
      <selection pane="bottomRight" activeCell="BG1" sqref="BG1"/>
      <selection pane="bottomLeft"/>
      <selection pane="topRight"/>
    </sheetView>
  </sheetViews>
  <sheetFormatPr defaultColWidth="14.42578125" defaultRowHeight="15" customHeight="1" outlineLevelRow="1" outlineLevelCol="1"/>
  <cols>
    <col min="1" max="1" width="3" customWidth="1"/>
    <col min="2" max="2" width="17.85546875" customWidth="1"/>
    <col min="3" max="3" width="14.710937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3.140625" customWidth="1" collapsed="1"/>
    <col min="74" max="87" width="12.28515625" hidden="1" customWidth="1"/>
    <col min="88" max="88" width="12.28515625" hidden="1" customWidth="1" collapsed="1"/>
    <col min="89" max="99" width="12.28515625" hidden="1" customWidth="1"/>
    <col min="100" max="100" width="16.85546875" hidden="1" customWidth="1"/>
    <col min="101" max="101" width="2.140625" customWidth="1"/>
    <col min="102" max="103" width="13" customWidth="1"/>
    <col min="104" max="104" width="12.140625" customWidth="1"/>
    <col min="105" max="105" width="13.5703125" customWidth="1"/>
    <col min="106" max="106" width="12.28515625" customWidth="1"/>
    <col min="107" max="107" width="12.85546875" customWidth="1"/>
    <col min="108" max="108" width="13.5703125" customWidth="1"/>
    <col min="109" max="109" width="12.42578125" customWidth="1"/>
    <col min="110" max="110" width="13.28515625" customWidth="1"/>
    <col min="111" max="111" width="13.140625" customWidth="1"/>
    <col min="112" max="112" width="13.85546875" customWidth="1"/>
    <col min="113" max="113" width="12.28515625" customWidth="1"/>
    <col min="114" max="114" width="12.5703125" customWidth="1"/>
    <col min="115" max="115" width="2.7109375" customWidth="1"/>
    <col min="116" max="127" width="10.5703125" customWidth="1"/>
    <col min="128" max="128" width="14.7109375" customWidth="1"/>
  </cols>
  <sheetData>
    <row r="1" spans="1:128" ht="2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s="699" t="s">
        <v>1</v>
      </c>
      <c r="CJ1" s="1089" t="s">
        <v>2</v>
      </c>
      <c r="CK1" s="1090"/>
      <c r="CL1" s="1090"/>
      <c r="CM1" s="1090"/>
      <c r="CN1" s="1090"/>
      <c r="CO1" s="1090"/>
      <c r="CP1" s="1090"/>
      <c r="CQ1" s="1090"/>
      <c r="CR1" s="1090"/>
      <c r="CS1" s="1090"/>
      <c r="CT1" s="1090"/>
      <c r="CU1" s="1091"/>
      <c r="CX1" s="1080" t="s">
        <v>160</v>
      </c>
      <c r="CY1" s="1121"/>
      <c r="CZ1" s="1121"/>
      <c r="DA1" s="1121"/>
      <c r="DB1" s="1121"/>
      <c r="DC1" s="1121"/>
      <c r="DD1" s="1121"/>
      <c r="DE1" s="1121"/>
      <c r="DF1" s="1121"/>
      <c r="DG1" s="1121"/>
      <c r="DH1" s="1121"/>
      <c r="DI1" s="1122"/>
      <c r="DK1" s="948"/>
      <c r="DL1" s="1081" t="s">
        <v>0</v>
      </c>
      <c r="DM1" s="1113"/>
      <c r="DN1" s="1113"/>
      <c r="DO1" s="1113"/>
      <c r="DP1" s="1113"/>
      <c r="DQ1" s="1113"/>
      <c r="DR1" s="1113"/>
      <c r="DS1" s="1113"/>
      <c r="DT1" s="1113"/>
      <c r="DU1" s="1113"/>
      <c r="DV1" s="1113"/>
      <c r="DW1" s="1114"/>
    </row>
    <row r="2" spans="1:128" ht="17.25" customHeight="1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H2" s="700" t="s">
        <v>3</v>
      </c>
      <c r="CJ2" s="1085" t="s">
        <v>4</v>
      </c>
      <c r="CK2" s="1086"/>
      <c r="CL2" s="1086"/>
      <c r="CM2" s="1086"/>
      <c r="CN2" s="1086"/>
      <c r="CO2" s="1086"/>
      <c r="CP2" s="1086"/>
      <c r="CQ2" s="1086"/>
      <c r="CR2" s="1086"/>
      <c r="CS2" s="1086"/>
      <c r="CT2" s="1086"/>
      <c r="CU2" s="1087"/>
      <c r="CX2" s="1088">
        <v>2026</v>
      </c>
      <c r="CY2" s="1123"/>
      <c r="CZ2" s="1123"/>
      <c r="DA2" s="1123"/>
      <c r="DB2" s="1123"/>
      <c r="DC2" s="1123"/>
      <c r="DD2" s="1123"/>
      <c r="DE2" s="1123"/>
      <c r="DF2" s="1123"/>
      <c r="DG2" s="1123"/>
      <c r="DH2" s="1123"/>
      <c r="DI2" s="1124"/>
      <c r="DK2" s="948"/>
      <c r="DL2" s="1077" t="s">
        <v>161</v>
      </c>
      <c r="DM2" s="1115"/>
      <c r="DN2" s="1115"/>
      <c r="DO2" s="1115"/>
      <c r="DP2" s="1115"/>
      <c r="DQ2" s="1115"/>
      <c r="DR2" s="1115"/>
      <c r="DS2" s="1115"/>
      <c r="DT2" s="1115"/>
      <c r="DU2" s="1115"/>
      <c r="DV2" s="1115"/>
      <c r="DW2" s="1116"/>
    </row>
    <row r="3" spans="1:128" ht="15.75">
      <c r="A3" s="703" t="s">
        <v>5</v>
      </c>
      <c r="B3" s="4"/>
      <c r="C3" s="4" t="str">
        <f>A3</f>
        <v>Dias Uteis Produção</v>
      </c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H3" t="s">
        <v>6</v>
      </c>
      <c r="CJ3" s="253">
        <v>23</v>
      </c>
      <c r="CK3" s="566">
        <v>20</v>
      </c>
      <c r="CL3" s="566">
        <v>21</v>
      </c>
      <c r="CM3" s="252">
        <v>22</v>
      </c>
      <c r="CN3" s="248">
        <v>22</v>
      </c>
      <c r="CO3" s="248">
        <v>21</v>
      </c>
      <c r="CP3" s="248">
        <v>23</v>
      </c>
      <c r="CQ3" s="248">
        <v>21</v>
      </c>
      <c r="CR3" s="248">
        <v>22</v>
      </c>
      <c r="CS3" s="248">
        <v>23</v>
      </c>
      <c r="CT3" s="248">
        <v>20</v>
      </c>
      <c r="CU3" s="248">
        <v>13</v>
      </c>
      <c r="CX3" s="253">
        <v>22</v>
      </c>
      <c r="CY3" s="252">
        <v>20</v>
      </c>
      <c r="CZ3" s="252">
        <v>22</v>
      </c>
      <c r="DA3" s="252">
        <v>21</v>
      </c>
      <c r="DB3" s="248">
        <v>21</v>
      </c>
      <c r="DC3" s="248">
        <v>22</v>
      </c>
      <c r="DD3" s="248">
        <v>23</v>
      </c>
      <c r="DE3" s="248">
        <v>21</v>
      </c>
      <c r="DF3" s="248">
        <v>22</v>
      </c>
      <c r="DG3" s="248">
        <v>22</v>
      </c>
      <c r="DH3" s="248">
        <v>21</v>
      </c>
      <c r="DI3" s="248">
        <v>21</v>
      </c>
      <c r="DK3" s="948"/>
      <c r="DL3" s="253">
        <v>22</v>
      </c>
      <c r="DM3" s="252">
        <v>20</v>
      </c>
      <c r="DN3" s="252">
        <v>22</v>
      </c>
      <c r="DO3" s="252">
        <v>22</v>
      </c>
      <c r="DP3" s="248">
        <v>21</v>
      </c>
      <c r="DQ3" s="248">
        <v>22</v>
      </c>
      <c r="DR3" s="248">
        <v>23</v>
      </c>
      <c r="DS3" s="248">
        <v>21</v>
      </c>
      <c r="DT3" s="248">
        <v>22</v>
      </c>
      <c r="DU3" s="248">
        <v>22</v>
      </c>
      <c r="DV3" s="248">
        <v>21</v>
      </c>
      <c r="DW3" s="248">
        <v>21</v>
      </c>
    </row>
    <row r="4" spans="1:128" ht="11.25" customHeight="1">
      <c r="A4" s="703" t="s">
        <v>7</v>
      </c>
      <c r="B4" s="4"/>
      <c r="C4" s="4" t="str">
        <f t="shared" ref="C4:C7" si="0">A4</f>
        <v>(-) FÉRIAS</v>
      </c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H4" t="s">
        <v>8</v>
      </c>
      <c r="CJ4" s="253">
        <v>3</v>
      </c>
      <c r="CK4" s="566"/>
      <c r="CL4" s="566">
        <v>1.5</v>
      </c>
      <c r="CM4" s="252"/>
      <c r="CN4" s="248"/>
      <c r="CO4" s="248"/>
      <c r="CP4" s="248" t="s">
        <v>109</v>
      </c>
      <c r="CQ4" s="248"/>
      <c r="CR4" s="248"/>
      <c r="CS4" s="248"/>
      <c r="CT4" s="248" t="s">
        <v>110</v>
      </c>
      <c r="CU4" s="248"/>
      <c r="CX4" s="253">
        <v>2</v>
      </c>
      <c r="CY4" s="252">
        <v>0</v>
      </c>
      <c r="CZ4" s="252"/>
      <c r="DA4" s="252"/>
      <c r="DB4" s="248"/>
      <c r="DC4" s="248"/>
      <c r="DD4" s="248"/>
      <c r="DE4" s="248"/>
      <c r="DF4" s="248"/>
      <c r="DG4" s="248"/>
      <c r="DH4" s="248"/>
      <c r="DI4" s="248">
        <v>5</v>
      </c>
      <c r="DK4" s="948"/>
      <c r="DL4" s="253">
        <v>2</v>
      </c>
      <c r="DM4" s="252">
        <v>0</v>
      </c>
      <c r="DN4" s="252"/>
      <c r="DO4" s="252"/>
      <c r="DP4" s="248"/>
      <c r="DQ4" s="248"/>
      <c r="DR4" s="248"/>
      <c r="DS4" s="248"/>
      <c r="DT4" s="248"/>
      <c r="DU4" s="248"/>
      <c r="DV4" s="248"/>
      <c r="DW4" s="248">
        <v>5</v>
      </c>
    </row>
    <row r="5" spans="1:128" ht="15.75" customHeight="1">
      <c r="A5" s="703" t="s">
        <v>9</v>
      </c>
      <c r="B5" s="4"/>
      <c r="C5" s="4" t="str">
        <f t="shared" si="0"/>
        <v>(+) SABADO</v>
      </c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H5" t="s">
        <v>10</v>
      </c>
      <c r="CJ5" s="701">
        <v>2</v>
      </c>
      <c r="CK5" s="701">
        <v>3</v>
      </c>
      <c r="CL5" s="701">
        <v>1.5</v>
      </c>
      <c r="CM5" s="733">
        <v>0</v>
      </c>
      <c r="CN5" s="733">
        <v>0</v>
      </c>
      <c r="CO5" s="733">
        <v>2</v>
      </c>
      <c r="CP5" s="750">
        <v>2</v>
      </c>
      <c r="CQ5" s="679">
        <v>0</v>
      </c>
      <c r="CR5" s="679">
        <v>0</v>
      </c>
      <c r="CS5" s="679">
        <v>0</v>
      </c>
      <c r="CT5" s="679">
        <v>3</v>
      </c>
      <c r="CU5" s="643"/>
      <c r="CV5" s="682" t="s">
        <v>111</v>
      </c>
      <c r="CX5" s="701">
        <v>2</v>
      </c>
      <c r="CY5" s="733">
        <v>2</v>
      </c>
      <c r="CZ5" s="733">
        <v>2</v>
      </c>
      <c r="DA5" s="938">
        <v>2</v>
      </c>
      <c r="DB5" s="938">
        <v>2</v>
      </c>
      <c r="DC5" s="938">
        <v>2</v>
      </c>
      <c r="DD5" s="938">
        <v>1</v>
      </c>
      <c r="DE5" s="938">
        <v>2</v>
      </c>
      <c r="DF5" s="938">
        <v>2</v>
      </c>
      <c r="DG5" s="938">
        <v>2</v>
      </c>
      <c r="DH5" s="938">
        <v>2</v>
      </c>
      <c r="DI5" s="938">
        <v>0</v>
      </c>
      <c r="DK5" s="948"/>
      <c r="DL5" s="701">
        <v>2</v>
      </c>
      <c r="DM5" s="733">
        <v>2</v>
      </c>
      <c r="DN5" s="733">
        <v>2</v>
      </c>
      <c r="DO5" s="733">
        <v>2</v>
      </c>
      <c r="DP5" s="733">
        <v>2</v>
      </c>
      <c r="DQ5" s="938"/>
      <c r="DR5" s="938"/>
      <c r="DS5" s="938"/>
      <c r="DT5" s="938">
        <v>2</v>
      </c>
      <c r="DU5" s="938">
        <v>2</v>
      </c>
      <c r="DV5" s="938">
        <v>2</v>
      </c>
      <c r="DW5" s="939"/>
    </row>
    <row r="6" spans="1:128" ht="9.75" customHeight="1">
      <c r="A6" s="703" t="s">
        <v>11</v>
      </c>
      <c r="B6" s="4"/>
      <c r="C6" s="4" t="str">
        <f t="shared" si="0"/>
        <v>(-)FERIADO</v>
      </c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 t="s">
        <v>12</v>
      </c>
      <c r="CJ6" s="644"/>
      <c r="CK6" s="679"/>
      <c r="CL6" s="679">
        <v>2</v>
      </c>
      <c r="CM6" s="679">
        <v>2</v>
      </c>
      <c r="CN6" s="679">
        <v>1</v>
      </c>
      <c r="CO6" s="679">
        <v>1</v>
      </c>
      <c r="CP6" s="679"/>
      <c r="CQ6" s="679"/>
      <c r="CR6" s="679">
        <v>0</v>
      </c>
      <c r="CS6" s="643">
        <v>0</v>
      </c>
      <c r="CT6" s="643">
        <v>1</v>
      </c>
      <c r="CU6" s="643"/>
      <c r="CX6" s="644"/>
      <c r="CY6" s="938">
        <v>3</v>
      </c>
      <c r="CZ6" s="938">
        <v>2</v>
      </c>
      <c r="DA6" s="938">
        <v>3</v>
      </c>
      <c r="DB6" s="938">
        <v>1</v>
      </c>
      <c r="DC6" s="938">
        <v>1</v>
      </c>
      <c r="DD6" s="938"/>
      <c r="DE6" s="938">
        <v>0</v>
      </c>
      <c r="DF6" s="938">
        <v>1</v>
      </c>
      <c r="DG6" s="938">
        <v>1</v>
      </c>
      <c r="DH6" s="938">
        <v>2</v>
      </c>
      <c r="DI6" s="938">
        <v>5</v>
      </c>
      <c r="DK6" s="948"/>
      <c r="DL6" s="644"/>
      <c r="DM6" s="938">
        <v>3</v>
      </c>
      <c r="DN6" s="938">
        <v>2</v>
      </c>
      <c r="DO6" s="938">
        <v>2</v>
      </c>
      <c r="DP6" s="938">
        <v>1</v>
      </c>
      <c r="DQ6" s="938">
        <v>1</v>
      </c>
      <c r="DR6" s="938"/>
      <c r="DS6" s="938">
        <v>0</v>
      </c>
      <c r="DT6" s="938">
        <v>1</v>
      </c>
      <c r="DU6" s="938">
        <v>1</v>
      </c>
      <c r="DV6" s="938">
        <v>2</v>
      </c>
      <c r="DW6" s="939">
        <v>5</v>
      </c>
    </row>
    <row r="7" spans="1:128">
      <c r="A7" s="704" t="s">
        <v>13</v>
      </c>
      <c r="B7" s="3"/>
      <c r="C7" s="3" t="str">
        <f t="shared" si="0"/>
        <v>Dias Trabalhados</v>
      </c>
      <c r="D7" s="252">
        <v>16</v>
      </c>
      <c r="E7" s="252">
        <v>21</v>
      </c>
      <c r="F7" s="252">
        <v>18</v>
      </c>
      <c r="G7" s="252">
        <v>21</v>
      </c>
      <c r="H7" s="252">
        <v>22</v>
      </c>
      <c r="I7" s="252">
        <v>19</v>
      </c>
      <c r="J7" s="252">
        <v>23</v>
      </c>
      <c r="K7" s="252">
        <v>21</v>
      </c>
      <c r="L7" s="252">
        <v>21</v>
      </c>
      <c r="M7" s="252">
        <v>26</v>
      </c>
      <c r="N7" s="252">
        <v>24</v>
      </c>
      <c r="O7" s="252">
        <v>15</v>
      </c>
      <c r="P7" s="4"/>
      <c r="Q7" s="247"/>
      <c r="R7" s="252">
        <v>22</v>
      </c>
      <c r="S7" s="252">
        <v>20</v>
      </c>
      <c r="T7" s="252">
        <v>14</v>
      </c>
      <c r="U7" s="252">
        <v>1</v>
      </c>
      <c r="V7" s="252">
        <v>12</v>
      </c>
      <c r="W7" s="252">
        <v>22</v>
      </c>
      <c r="X7" s="252">
        <v>23</v>
      </c>
      <c r="Y7" s="252">
        <v>21</v>
      </c>
      <c r="Z7" s="252">
        <v>21</v>
      </c>
      <c r="AA7" s="252">
        <v>21</v>
      </c>
      <c r="AB7" s="252">
        <v>20</v>
      </c>
      <c r="AC7" s="252">
        <v>17</v>
      </c>
      <c r="AD7" s="2"/>
      <c r="AE7" s="253"/>
      <c r="AF7" s="254">
        <v>18</v>
      </c>
      <c r="AG7" s="252">
        <v>20</v>
      </c>
      <c r="AH7" s="248">
        <v>20</v>
      </c>
      <c r="AI7" s="248">
        <v>20</v>
      </c>
      <c r="AJ7" s="252">
        <v>22</v>
      </c>
      <c r="AK7" s="252">
        <v>20</v>
      </c>
      <c r="AL7" s="252">
        <v>22</v>
      </c>
      <c r="AM7" s="252">
        <v>22</v>
      </c>
      <c r="AN7" s="252">
        <v>21</v>
      </c>
      <c r="AO7" s="252">
        <v>20</v>
      </c>
      <c r="AP7" s="252">
        <v>20</v>
      </c>
      <c r="AQ7" s="248">
        <v>12</v>
      </c>
      <c r="AR7" s="2"/>
      <c r="AS7" s="124"/>
      <c r="AT7" s="253">
        <v>19</v>
      </c>
      <c r="AU7" s="248">
        <v>19</v>
      </c>
      <c r="AV7" s="248">
        <v>18</v>
      </c>
      <c r="AW7" s="248">
        <v>19</v>
      </c>
      <c r="AX7" s="248">
        <v>22</v>
      </c>
      <c r="AY7" s="248">
        <v>21</v>
      </c>
      <c r="AZ7" s="248">
        <v>21</v>
      </c>
      <c r="BA7" s="248">
        <v>22</v>
      </c>
      <c r="BB7" s="248">
        <v>22</v>
      </c>
      <c r="BC7" s="248">
        <v>21</v>
      </c>
      <c r="BD7" s="248">
        <v>20</v>
      </c>
      <c r="BE7" s="248">
        <v>10</v>
      </c>
      <c r="BF7" s="2"/>
      <c r="BG7" s="125"/>
      <c r="BH7" s="253">
        <v>20</v>
      </c>
      <c r="BI7" s="248">
        <v>17</v>
      </c>
      <c r="BJ7" s="248">
        <v>23</v>
      </c>
      <c r="BK7" s="248">
        <v>18</v>
      </c>
      <c r="BL7" s="248">
        <v>22</v>
      </c>
      <c r="BM7" s="248">
        <v>23</v>
      </c>
      <c r="BN7" s="248">
        <v>21</v>
      </c>
      <c r="BO7" s="248">
        <v>21</v>
      </c>
      <c r="BP7" s="248">
        <v>20</v>
      </c>
      <c r="BQ7" s="248">
        <v>21</v>
      </c>
      <c r="BR7" s="248">
        <v>20</v>
      </c>
      <c r="BS7" s="248">
        <v>14</v>
      </c>
      <c r="BT7" s="253">
        <v>20</v>
      </c>
      <c r="BU7" s="252"/>
      <c r="BV7" s="253">
        <v>19</v>
      </c>
      <c r="BW7" s="248">
        <v>19</v>
      </c>
      <c r="BX7" s="566">
        <v>21</v>
      </c>
      <c r="BY7" s="566">
        <f>22+2</f>
        <v>24</v>
      </c>
      <c r="BZ7" s="248">
        <f>21+2</f>
        <v>23</v>
      </c>
      <c r="CA7" s="567">
        <f>20+2</f>
        <v>22</v>
      </c>
      <c r="CB7" s="567">
        <f>23+2</f>
        <v>25</v>
      </c>
      <c r="CC7" s="252">
        <f>21+3</f>
        <v>24</v>
      </c>
      <c r="CD7" s="252">
        <f>21+3</f>
        <v>24</v>
      </c>
      <c r="CE7" s="248">
        <f>23+1</f>
        <v>24</v>
      </c>
      <c r="CF7" s="248">
        <f>19+3</f>
        <v>22</v>
      </c>
      <c r="CG7" s="248">
        <f>12+1</f>
        <v>13</v>
      </c>
      <c r="CH7" s="248"/>
      <c r="CJ7" s="253">
        <f>CJ3+CJ5-CJ6-CJ4</f>
        <v>22</v>
      </c>
      <c r="CK7" s="253">
        <f>CK3+CK5-CK6-CK4</f>
        <v>23</v>
      </c>
      <c r="CL7" s="253">
        <v>19</v>
      </c>
      <c r="CM7" s="734">
        <f t="shared" ref="CM7:CQ7" si="1">CM3+CM5-CM6-CM4</f>
        <v>20</v>
      </c>
      <c r="CN7" s="734">
        <f>CN3+CN5-CN6-CN4</f>
        <v>21</v>
      </c>
      <c r="CO7" s="734">
        <f>CO3+CO5-CO6-CO4</f>
        <v>22</v>
      </c>
      <c r="CP7" s="734">
        <f t="shared" ref="CP7:CU7" si="2">CP3+CP5-CP6</f>
        <v>25</v>
      </c>
      <c r="CQ7" s="734">
        <f>CQ3+CQ5-CQ6</f>
        <v>21</v>
      </c>
      <c r="CR7" s="734">
        <f t="shared" si="2"/>
        <v>22</v>
      </c>
      <c r="CS7" s="734">
        <f>CS3+CS5-CS6</f>
        <v>23</v>
      </c>
      <c r="CT7" s="734">
        <f>CT3+CT5-CT6</f>
        <v>22</v>
      </c>
      <c r="CU7" s="734">
        <v>17</v>
      </c>
      <c r="CV7" s="248"/>
      <c r="CX7" s="253">
        <f>CX3+CX5-CX6-CX4</f>
        <v>22</v>
      </c>
      <c r="CY7" s="253">
        <f t="shared" ref="CY7:DC7" si="3">CY3+CY5-CY6-CY4</f>
        <v>19</v>
      </c>
      <c r="CZ7" s="253">
        <v>6</v>
      </c>
      <c r="DA7" s="253">
        <v>10</v>
      </c>
      <c r="DB7" s="253">
        <f t="shared" si="3"/>
        <v>22</v>
      </c>
      <c r="DC7" s="253">
        <f>DC3+DC5-DC6-DC4</f>
        <v>23</v>
      </c>
      <c r="DD7" s="253">
        <f t="shared" ref="DD7:DI7" si="4">DD3+DD5-DD6</f>
        <v>24</v>
      </c>
      <c r="DE7" s="253">
        <f>DE3+DE5-DE6</f>
        <v>23</v>
      </c>
      <c r="DF7" s="253">
        <f>DF3+DF5-DF6</f>
        <v>23</v>
      </c>
      <c r="DG7" s="253">
        <f>DG3+DG5-DG6</f>
        <v>23</v>
      </c>
      <c r="DH7" s="253">
        <f>DH3+DH5-DH6</f>
        <v>21</v>
      </c>
      <c r="DI7" s="253">
        <f>DI3+DI5-DI6</f>
        <v>16</v>
      </c>
      <c r="DJ7" s="248"/>
      <c r="DK7" s="948"/>
      <c r="DL7" s="253">
        <f>DL3+DL5-DL6-DL4</f>
        <v>22</v>
      </c>
      <c r="DM7" s="253">
        <f t="shared" ref="DM7:DQ7" si="5">DM3+DM5-DM6-DM4</f>
        <v>19</v>
      </c>
      <c r="DN7" s="253">
        <f>DN3+DN5-DN6-DN4</f>
        <v>22</v>
      </c>
      <c r="DO7" s="253">
        <f>DO3+DO5-DO6-DO4</f>
        <v>22</v>
      </c>
      <c r="DP7" s="253">
        <f t="shared" ref="DP7:DT7" si="6">DP3+DP5-DP6-DP4</f>
        <v>22</v>
      </c>
      <c r="DQ7" s="253">
        <f t="shared" si="6"/>
        <v>21</v>
      </c>
      <c r="DR7" s="253">
        <f t="shared" ref="DR7:DW7" si="7">DR3+DR5-DR6</f>
        <v>23</v>
      </c>
      <c r="DS7" s="253">
        <f>DS3+DS5-DS6</f>
        <v>21</v>
      </c>
      <c r="DT7" s="253">
        <f>DT3+DT5-DT6</f>
        <v>23</v>
      </c>
      <c r="DU7" s="253">
        <f>DU3+DU5-DU6</f>
        <v>23</v>
      </c>
      <c r="DV7" s="253">
        <f>DV3+DV5-DV6</f>
        <v>21</v>
      </c>
      <c r="DW7" s="253">
        <f>DW3+DW5-DW6</f>
        <v>16</v>
      </c>
      <c r="DX7" s="248"/>
    </row>
    <row r="8" spans="1:128">
      <c r="A8" s="8"/>
      <c r="B8" s="255"/>
      <c r="C8" s="256"/>
      <c r="D8" s="257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258" t="s">
        <v>26</v>
      </c>
      <c r="Q8" s="10"/>
      <c r="R8" s="257" t="s">
        <v>14</v>
      </c>
      <c r="S8" s="9" t="s">
        <v>15</v>
      </c>
      <c r="T8" s="9" t="s">
        <v>16</v>
      </c>
      <c r="U8" s="9" t="s">
        <v>17</v>
      </c>
      <c r="V8" s="9" t="s">
        <v>18</v>
      </c>
      <c r="W8" s="9" t="s">
        <v>19</v>
      </c>
      <c r="X8" s="9" t="s">
        <v>20</v>
      </c>
      <c r="Y8" s="9" t="s">
        <v>21</v>
      </c>
      <c r="Z8" s="9" t="s">
        <v>22</v>
      </c>
      <c r="AA8" s="9" t="s">
        <v>23</v>
      </c>
      <c r="AB8" s="9" t="s">
        <v>24</v>
      </c>
      <c r="AC8" s="9" t="s">
        <v>25</v>
      </c>
      <c r="AD8" s="258" t="s">
        <v>26</v>
      </c>
      <c r="AE8" s="11"/>
      <c r="AF8" s="257" t="s">
        <v>14</v>
      </c>
      <c r="AG8" s="9" t="s">
        <v>15</v>
      </c>
      <c r="AH8" s="9" t="s">
        <v>16</v>
      </c>
      <c r="AI8" s="9" t="s">
        <v>17</v>
      </c>
      <c r="AJ8" s="9" t="s">
        <v>18</v>
      </c>
      <c r="AK8" s="9" t="s">
        <v>19</v>
      </c>
      <c r="AL8" s="9" t="s">
        <v>20</v>
      </c>
      <c r="AM8" s="9" t="s">
        <v>21</v>
      </c>
      <c r="AN8" s="9" t="s">
        <v>22</v>
      </c>
      <c r="AO8" s="9" t="s">
        <v>23</v>
      </c>
      <c r="AP8" s="9" t="s">
        <v>24</v>
      </c>
      <c r="AQ8" s="9" t="s">
        <v>25</v>
      </c>
      <c r="AR8" s="9" t="s">
        <v>26</v>
      </c>
      <c r="AS8" s="11"/>
      <c r="AT8" s="9" t="s">
        <v>14</v>
      </c>
      <c r="AU8" s="9" t="s">
        <v>15</v>
      </c>
      <c r="AV8" s="9" t="s">
        <v>16</v>
      </c>
      <c r="AW8" s="9" t="s">
        <v>17</v>
      </c>
      <c r="AX8" s="9" t="s">
        <v>18</v>
      </c>
      <c r="AY8" s="9" t="s">
        <v>19</v>
      </c>
      <c r="AZ8" s="9" t="s">
        <v>20</v>
      </c>
      <c r="BA8" s="9" t="s">
        <v>21</v>
      </c>
      <c r="BB8" s="9" t="s">
        <v>22</v>
      </c>
      <c r="BC8" s="9" t="s">
        <v>23</v>
      </c>
      <c r="BD8" s="9" t="s">
        <v>24</v>
      </c>
      <c r="BE8" s="9" t="s">
        <v>25</v>
      </c>
      <c r="BF8" s="9" t="s">
        <v>26</v>
      </c>
      <c r="BG8" s="10"/>
      <c r="BH8" s="9" t="s">
        <v>14</v>
      </c>
      <c r="BI8" s="9" t="s">
        <v>15</v>
      </c>
      <c r="BJ8" s="9" t="s">
        <v>16</v>
      </c>
      <c r="BK8" s="9" t="s">
        <v>17</v>
      </c>
      <c r="BL8" s="9" t="s">
        <v>18</v>
      </c>
      <c r="BM8" s="9" t="s">
        <v>19</v>
      </c>
      <c r="BN8" s="9" t="s">
        <v>20</v>
      </c>
      <c r="BO8" s="9" t="s">
        <v>21</v>
      </c>
      <c r="BP8" s="9" t="s">
        <v>22</v>
      </c>
      <c r="BQ8" s="9" t="s">
        <v>23</v>
      </c>
      <c r="BR8" s="9" t="s">
        <v>24</v>
      </c>
      <c r="BS8" s="9" t="s">
        <v>25</v>
      </c>
      <c r="BT8" s="9" t="s">
        <v>26</v>
      </c>
      <c r="BU8" s="12"/>
      <c r="BV8" s="9" t="s">
        <v>14</v>
      </c>
      <c r="BW8" s="9" t="s">
        <v>15</v>
      </c>
      <c r="BX8" s="9" t="s">
        <v>16</v>
      </c>
      <c r="BY8" s="9" t="s">
        <v>17</v>
      </c>
      <c r="BZ8" s="9" t="s">
        <v>18</v>
      </c>
      <c r="CA8" s="9" t="s">
        <v>19</v>
      </c>
      <c r="CB8" s="9" t="s">
        <v>20</v>
      </c>
      <c r="CC8" s="9" t="s">
        <v>21</v>
      </c>
      <c r="CD8" s="9" t="s">
        <v>22</v>
      </c>
      <c r="CE8" s="9" t="s">
        <v>23</v>
      </c>
      <c r="CF8" s="9" t="s">
        <v>24</v>
      </c>
      <c r="CG8" s="9" t="s">
        <v>25</v>
      </c>
      <c r="CH8" s="9" t="s">
        <v>26</v>
      </c>
      <c r="CJ8" s="9" t="s">
        <v>14</v>
      </c>
      <c r="CK8" s="9" t="s">
        <v>15</v>
      </c>
      <c r="CL8" s="9" t="s">
        <v>16</v>
      </c>
      <c r="CM8" s="9" t="s">
        <v>17</v>
      </c>
      <c r="CN8" s="9" t="s">
        <v>18</v>
      </c>
      <c r="CO8" s="9" t="s">
        <v>19</v>
      </c>
      <c r="CP8" s="9" t="s">
        <v>20</v>
      </c>
      <c r="CQ8" s="9" t="s">
        <v>21</v>
      </c>
      <c r="CR8" s="9" t="s">
        <v>22</v>
      </c>
      <c r="CS8" s="9" t="s">
        <v>23</v>
      </c>
      <c r="CT8" s="9" t="s">
        <v>24</v>
      </c>
      <c r="CU8" s="9" t="s">
        <v>25</v>
      </c>
      <c r="CV8" s="9" t="s">
        <v>26</v>
      </c>
      <c r="CX8" s="9" t="s">
        <v>14</v>
      </c>
      <c r="CY8" s="9" t="s">
        <v>15</v>
      </c>
      <c r="CZ8" s="9" t="s">
        <v>16</v>
      </c>
      <c r="DA8" s="9" t="s">
        <v>17</v>
      </c>
      <c r="DB8" s="9" t="s">
        <v>18</v>
      </c>
      <c r="DC8" s="9" t="s">
        <v>19</v>
      </c>
      <c r="DD8" s="9" t="s">
        <v>20</v>
      </c>
      <c r="DE8" s="980" t="s">
        <v>21</v>
      </c>
      <c r="DF8" s="980" t="s">
        <v>22</v>
      </c>
      <c r="DG8" s="980" t="s">
        <v>23</v>
      </c>
      <c r="DH8" s="9" t="s">
        <v>24</v>
      </c>
      <c r="DI8" s="9" t="s">
        <v>25</v>
      </c>
      <c r="DJ8" s="9" t="s">
        <v>26</v>
      </c>
      <c r="DK8" s="948"/>
      <c r="DL8" s="9" t="s">
        <v>14</v>
      </c>
      <c r="DM8" s="9" t="s">
        <v>15</v>
      </c>
      <c r="DN8" s="9" t="s">
        <v>16</v>
      </c>
      <c r="DO8" s="9" t="s">
        <v>17</v>
      </c>
      <c r="DP8" s="9" t="s">
        <v>18</v>
      </c>
      <c r="DQ8" s="9" t="s">
        <v>19</v>
      </c>
      <c r="DR8" s="9" t="s">
        <v>20</v>
      </c>
      <c r="DS8" s="9" t="s">
        <v>21</v>
      </c>
      <c r="DT8" s="9" t="s">
        <v>22</v>
      </c>
      <c r="DU8" s="9" t="s">
        <v>23</v>
      </c>
      <c r="DV8" s="9" t="s">
        <v>24</v>
      </c>
      <c r="DW8" s="9" t="s">
        <v>25</v>
      </c>
      <c r="DX8" s="9" t="s">
        <v>26</v>
      </c>
    </row>
    <row r="9" spans="1:128" ht="18.75" customHeight="1">
      <c r="A9" s="13"/>
      <c r="B9" s="1024" t="s">
        <v>159</v>
      </c>
      <c r="C9" s="260"/>
      <c r="D9" s="26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62"/>
      <c r="Q9" s="15"/>
      <c r="R9" s="261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263"/>
      <c r="AE9" s="16"/>
      <c r="AF9" s="261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7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7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8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682" t="s">
        <v>27</v>
      </c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682" t="s">
        <v>27</v>
      </c>
      <c r="CX9" s="14"/>
      <c r="CY9" s="14"/>
      <c r="CZ9" s="14">
        <v>0</v>
      </c>
      <c r="DA9" s="14">
        <v>21</v>
      </c>
      <c r="DB9" s="14">
        <v>20</v>
      </c>
      <c r="DC9" s="14">
        <v>20</v>
      </c>
      <c r="DD9" s="14">
        <v>20</v>
      </c>
      <c r="DE9" s="14">
        <v>20</v>
      </c>
      <c r="DF9" s="14">
        <v>20</v>
      </c>
      <c r="DG9" s="14">
        <v>20</v>
      </c>
      <c r="DH9" s="14">
        <v>20</v>
      </c>
      <c r="DI9" s="14">
        <v>20</v>
      </c>
      <c r="DJ9" s="14"/>
      <c r="DK9" s="948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</row>
    <row r="10" spans="1:128" ht="30.75" hidden="1">
      <c r="A10" s="13" t="s">
        <v>28</v>
      </c>
      <c r="B10" s="706" t="s">
        <v>29</v>
      </c>
      <c r="C10" s="260"/>
      <c r="D10" s="261">
        <f t="shared" ref="D10:O10" si="8">SUM(D20:D24)</f>
        <v>304786</v>
      </c>
      <c r="E10" s="14">
        <f t="shared" si="8"/>
        <v>311986</v>
      </c>
      <c r="F10" s="14">
        <f t="shared" si="8"/>
        <v>328231</v>
      </c>
      <c r="G10" s="14">
        <f t="shared" si="8"/>
        <v>317873</v>
      </c>
      <c r="H10" s="14">
        <f t="shared" si="8"/>
        <v>347196</v>
      </c>
      <c r="I10" s="14">
        <f t="shared" si="8"/>
        <v>402253</v>
      </c>
      <c r="J10" s="14">
        <f t="shared" si="8"/>
        <v>454488</v>
      </c>
      <c r="K10" s="14">
        <f t="shared" si="8"/>
        <v>447182</v>
      </c>
      <c r="L10" s="14">
        <f t="shared" si="8"/>
        <v>416931</v>
      </c>
      <c r="M10" s="14">
        <f t="shared" si="8"/>
        <v>304402</v>
      </c>
      <c r="N10" s="14">
        <f t="shared" si="8"/>
        <v>0</v>
      </c>
      <c r="O10" s="14">
        <f t="shared" si="8"/>
        <v>188264</v>
      </c>
      <c r="P10" s="262"/>
      <c r="Q10" s="15"/>
      <c r="R10" s="14">
        <f t="shared" ref="R10:AC10" si="9">SUM(R20:R24)</f>
        <v>283359</v>
      </c>
      <c r="S10" s="14">
        <f t="shared" si="9"/>
        <v>342718</v>
      </c>
      <c r="T10" s="14">
        <f t="shared" si="9"/>
        <v>313212</v>
      </c>
      <c r="U10" s="14">
        <f t="shared" si="9"/>
        <v>298093</v>
      </c>
      <c r="V10" s="14">
        <f t="shared" si="9"/>
        <v>206617</v>
      </c>
      <c r="W10" s="14">
        <f t="shared" si="9"/>
        <v>235875</v>
      </c>
      <c r="X10" s="14">
        <f t="shared" si="9"/>
        <v>360135</v>
      </c>
      <c r="Y10" s="14">
        <f t="shared" si="9"/>
        <v>361665</v>
      </c>
      <c r="Z10" s="14">
        <f t="shared" si="9"/>
        <v>353400</v>
      </c>
      <c r="AA10" s="14">
        <f t="shared" si="9"/>
        <v>272097</v>
      </c>
      <c r="AB10" s="14">
        <f t="shared" si="9"/>
        <v>170626</v>
      </c>
      <c r="AC10" s="14">
        <f t="shared" si="9"/>
        <v>197551</v>
      </c>
      <c r="AD10" s="263"/>
      <c r="AE10" s="16"/>
      <c r="AF10" s="14">
        <f t="shared" ref="AF10:AQ10" si="10">SUM(AF20:AF26)</f>
        <v>255339</v>
      </c>
      <c r="AG10" s="14">
        <f t="shared" si="10"/>
        <v>292621</v>
      </c>
      <c r="AH10" s="14">
        <f t="shared" si="10"/>
        <v>397976</v>
      </c>
      <c r="AI10" s="14">
        <f t="shared" si="10"/>
        <v>388165</v>
      </c>
      <c r="AJ10" s="14">
        <f t="shared" si="10"/>
        <v>409301</v>
      </c>
      <c r="AK10" s="14">
        <f t="shared" si="10"/>
        <v>490913</v>
      </c>
      <c r="AL10" s="14">
        <f t="shared" si="10"/>
        <v>563229</v>
      </c>
      <c r="AM10" s="14">
        <f t="shared" si="10"/>
        <v>559169</v>
      </c>
      <c r="AN10" s="14">
        <f t="shared" si="10"/>
        <v>487294</v>
      </c>
      <c r="AO10" s="14">
        <f t="shared" si="10"/>
        <v>407614</v>
      </c>
      <c r="AP10" s="14">
        <f t="shared" si="10"/>
        <v>503756</v>
      </c>
      <c r="AQ10" s="14">
        <f t="shared" si="10"/>
        <v>531679</v>
      </c>
      <c r="AR10" s="14">
        <f t="shared" ref="AR10:AR31" si="11">AQ10</f>
        <v>531679</v>
      </c>
      <c r="AS10" s="17"/>
      <c r="AT10" s="14">
        <f t="shared" ref="AT10:BE10" si="12">SUM(AT20:AT26)</f>
        <v>471378</v>
      </c>
      <c r="AU10" s="14">
        <f t="shared" si="12"/>
        <v>473307</v>
      </c>
      <c r="AV10" s="14">
        <f t="shared" si="12"/>
        <v>412518</v>
      </c>
      <c r="AW10" s="14">
        <f t="shared" si="12"/>
        <v>398039</v>
      </c>
      <c r="AX10" s="14">
        <f t="shared" si="12"/>
        <v>417827</v>
      </c>
      <c r="AY10" s="14">
        <f t="shared" si="12"/>
        <v>507968</v>
      </c>
      <c r="AZ10" s="14">
        <f t="shared" si="12"/>
        <v>477530</v>
      </c>
      <c r="BA10" s="14">
        <f t="shared" si="12"/>
        <v>520708</v>
      </c>
      <c r="BB10" s="14">
        <f t="shared" si="12"/>
        <v>505851</v>
      </c>
      <c r="BC10" s="14">
        <f t="shared" si="12"/>
        <v>454245</v>
      </c>
      <c r="BD10" s="14">
        <f t="shared" si="12"/>
        <v>405700</v>
      </c>
      <c r="BE10" s="14">
        <f t="shared" si="12"/>
        <v>356505</v>
      </c>
      <c r="BF10" s="14">
        <f t="shared" ref="BF10:BF26" si="13">BE10</f>
        <v>356505</v>
      </c>
      <c r="BG10" s="17"/>
      <c r="BH10" s="14">
        <f t="shared" ref="BH10:BQ10" si="14">SUM(BH20:BH26)</f>
        <v>357143</v>
      </c>
      <c r="BI10" s="14">
        <f t="shared" si="14"/>
        <v>355011</v>
      </c>
      <c r="BJ10" s="14">
        <f t="shared" si="14"/>
        <v>344281</v>
      </c>
      <c r="BK10" s="14">
        <f t="shared" si="14"/>
        <v>389628</v>
      </c>
      <c r="BL10" s="14">
        <f t="shared" si="14"/>
        <v>324889</v>
      </c>
      <c r="BM10" s="14">
        <f t="shared" si="14"/>
        <v>352666</v>
      </c>
      <c r="BN10" s="14">
        <f t="shared" si="14"/>
        <v>418721</v>
      </c>
      <c r="BO10" s="14">
        <f t="shared" si="14"/>
        <v>356602</v>
      </c>
      <c r="BP10" s="14">
        <f t="shared" si="14"/>
        <v>326706</v>
      </c>
      <c r="BQ10" s="14">
        <f t="shared" si="14"/>
        <v>304987</v>
      </c>
      <c r="BR10" s="14">
        <f>SUM(BR20:BR26)</f>
        <v>228035</v>
      </c>
      <c r="BS10" s="14">
        <f>BS20+BS23+BS26</f>
        <v>201165</v>
      </c>
      <c r="BT10" s="14">
        <f>BS10</f>
        <v>201165</v>
      </c>
      <c r="BU10" s="18"/>
      <c r="BV10" s="14">
        <f>BV11+BV23+BV26</f>
        <v>247713</v>
      </c>
      <c r="BW10" s="14">
        <f t="shared" ref="BW10:CF10" si="15">BW11+BW23+BW26</f>
        <v>278707</v>
      </c>
      <c r="BX10" s="14">
        <f t="shared" si="15"/>
        <v>281829</v>
      </c>
      <c r="BY10" s="14">
        <f t="shared" si="15"/>
        <v>317753</v>
      </c>
      <c r="BZ10" s="14">
        <f t="shared" si="15"/>
        <v>270339</v>
      </c>
      <c r="CA10" s="14">
        <f t="shared" si="15"/>
        <v>310383</v>
      </c>
      <c r="CB10" s="14">
        <f t="shared" si="15"/>
        <v>328365</v>
      </c>
      <c r="CC10" s="14">
        <f t="shared" si="15"/>
        <v>333476</v>
      </c>
      <c r="CD10" s="14">
        <f>CD11+CD23+CD26</f>
        <v>306264</v>
      </c>
      <c r="CE10" s="14">
        <f t="shared" si="15"/>
        <v>270370</v>
      </c>
      <c r="CF10" s="14">
        <f t="shared" si="15"/>
        <v>194014</v>
      </c>
      <c r="CG10" s="14">
        <f>CG11+CG23+CG26</f>
        <v>182266</v>
      </c>
      <c r="CH10" s="14">
        <f t="shared" ref="CH10" si="16">CH20+CH23+CH26</f>
        <v>161447</v>
      </c>
      <c r="CJ10" s="14">
        <f>CH10+CJ81-CJ34</f>
        <v>168530.63302273574</v>
      </c>
      <c r="CK10" s="14">
        <f>CJ10+CK81-CK34</f>
        <v>182286.97320909426</v>
      </c>
      <c r="CL10" s="14">
        <f>CL20+CL23</f>
        <v>127909</v>
      </c>
      <c r="CM10" s="14">
        <f>CM20+CM23</f>
        <v>174007</v>
      </c>
      <c r="CN10" s="14">
        <f>CM10+CN81-CN34</f>
        <v>184445.8879612374</v>
      </c>
      <c r="CO10" s="14">
        <f>CN10+CO81-CO34</f>
        <v>247499.73306000742</v>
      </c>
      <c r="CP10" s="14">
        <f>CO10+CP81-CP34</f>
        <v>280382.22259587242</v>
      </c>
      <c r="CQ10" s="14">
        <f>CP10+CQ81-CQ34</f>
        <v>258376.52867182181</v>
      </c>
      <c r="CR10" s="14">
        <f>CQ10+CR81-CR34</f>
        <v>210518.33782793995</v>
      </c>
      <c r="CS10" s="14">
        <f>CR10+CS81-CS34</f>
        <v>165804.38677308764</v>
      </c>
      <c r="CT10" s="14">
        <f>CS10+CT81-CT34</f>
        <v>156780.78567604127</v>
      </c>
      <c r="CU10" s="14">
        <f>CT10+CU81-CU34</f>
        <v>179129.39327097798</v>
      </c>
      <c r="CV10" s="14">
        <v>116080.10690622788</v>
      </c>
      <c r="CX10" s="14">
        <f>CU10+CX81-CX34</f>
        <v>111016.49327097798</v>
      </c>
      <c r="CY10" s="14">
        <f>CX10+CY81-CY34</f>
        <v>9881.093270977959</v>
      </c>
      <c r="CZ10" s="14">
        <f>CY10+CZ81-CZ34</f>
        <v>-155738.90672902204</v>
      </c>
      <c r="DA10" s="14">
        <f>CZ10+DA81-DA34</f>
        <v>-278698.90672902204</v>
      </c>
      <c r="DB10" s="14">
        <f>DA10+DB81-DB34</f>
        <v>-286894.90672902204</v>
      </c>
      <c r="DC10" s="14">
        <f>DB10+DC81-DC34</f>
        <v>-294584.10672902205</v>
      </c>
      <c r="DD10" s="14">
        <f>DC10+DD81-DD34</f>
        <v>-345905.52672902204</v>
      </c>
      <c r="DE10" s="14">
        <f>DD10+DE81-DE34</f>
        <v>-424562.25672902208</v>
      </c>
      <c r="DF10" s="14">
        <f>DE10+DF81-DF34</f>
        <v>-557769.30672902218</v>
      </c>
      <c r="DG10" s="14">
        <f>DF10+DG81-DG34</f>
        <v>-615869.76672902226</v>
      </c>
      <c r="DH10" s="14">
        <f>DG10+DH81-DH34</f>
        <v>-613410.96672902233</v>
      </c>
      <c r="DI10" s="14">
        <f>DH10+DI81-DI34</f>
        <v>-620020.88672902237</v>
      </c>
      <c r="DJ10" s="14">
        <v>116080.10690622788</v>
      </c>
      <c r="DK10" s="948"/>
      <c r="DL10" s="14">
        <f>DI10+DL81-DL34</f>
        <v>-693107.98672902235</v>
      </c>
      <c r="DM10" s="14">
        <f>DL10+DM81-DM34</f>
        <v>-792275.9367290223</v>
      </c>
      <c r="DN10" s="14">
        <f>DM10+DN81-DN34</f>
        <v>-811513.9367290223</v>
      </c>
      <c r="DO10" s="14">
        <f>DN10+DO81-DO34</f>
        <v>-814691.9367290223</v>
      </c>
      <c r="DP10" s="14">
        <f>DO10+DP81-DP34</f>
        <v>-808205.57672902232</v>
      </c>
      <c r="DQ10" s="14">
        <f>DP10+DQ81-DQ34</f>
        <v>-813898.82672902243</v>
      </c>
      <c r="DR10" s="14">
        <f>DQ10+DR81-DR34</f>
        <v>-869119.62672902248</v>
      </c>
      <c r="DS10" s="14">
        <f>DR10+DS81-DS34</f>
        <v>-958030.2567290226</v>
      </c>
      <c r="DT10" s="14">
        <f>DS10+DT81-DT34</f>
        <v>-1085237.3067290226</v>
      </c>
      <c r="DU10" s="14">
        <f>DT10+DU81-DU34</f>
        <v>-1137337.7667290226</v>
      </c>
      <c r="DV10" s="14">
        <f>DU10+DV81-DV34</f>
        <v>-1134878.9667290226</v>
      </c>
      <c r="DW10" s="14">
        <f>DV10+DW81-DW34</f>
        <v>-1141488.8867290225</v>
      </c>
      <c r="DX10" s="14">
        <v>116080.10690622788</v>
      </c>
    </row>
    <row r="11" spans="1:128" ht="18.75">
      <c r="A11" s="19">
        <v>0</v>
      </c>
      <c r="B11" s="1034" t="s">
        <v>30</v>
      </c>
      <c r="C11" s="1035"/>
      <c r="D11" s="793"/>
      <c r="E11" s="794"/>
      <c r="F11" s="794"/>
      <c r="G11" s="794"/>
      <c r="H11" s="794"/>
      <c r="I11" s="794"/>
      <c r="J11" s="794"/>
      <c r="K11" s="794"/>
      <c r="L11" s="794"/>
      <c r="M11" s="794"/>
      <c r="N11" s="794"/>
      <c r="O11" s="794"/>
      <c r="P11" s="795"/>
      <c r="Q11" s="796"/>
      <c r="R11" s="793"/>
      <c r="S11" s="797"/>
      <c r="T11" s="797"/>
      <c r="U11" s="797"/>
      <c r="V11" s="797"/>
      <c r="W11" s="797"/>
      <c r="X11" s="797"/>
      <c r="Y11" s="797"/>
      <c r="Z11" s="797"/>
      <c r="AA11" s="797"/>
      <c r="AB11" s="797"/>
      <c r="AC11" s="797"/>
      <c r="AD11" s="798"/>
      <c r="AE11" s="799"/>
      <c r="AF11" s="797"/>
      <c r="AG11" s="797"/>
      <c r="AH11" s="797"/>
      <c r="AI11" s="797"/>
      <c r="AJ11" s="799"/>
      <c r="AK11" s="797"/>
      <c r="AL11" s="797"/>
      <c r="AM11" s="797"/>
      <c r="AN11" s="797"/>
      <c r="AO11" s="797"/>
      <c r="AP11" s="797"/>
      <c r="AQ11" s="797"/>
      <c r="AR11" s="797"/>
      <c r="AS11" s="799"/>
      <c r="AT11" s="797"/>
      <c r="AU11" s="797"/>
      <c r="AV11" s="797"/>
      <c r="AW11" s="797"/>
      <c r="AX11" s="797"/>
      <c r="AY11" s="797"/>
      <c r="AZ11" s="797"/>
      <c r="BA11" s="797"/>
      <c r="BB11" s="1036"/>
      <c r="BC11" s="797"/>
      <c r="BD11" s="797"/>
      <c r="BE11" s="797"/>
      <c r="BF11" s="797"/>
      <c r="BG11" s="799"/>
      <c r="BH11" s="797"/>
      <c r="BI11" s="797"/>
      <c r="BJ11" s="797"/>
      <c r="BK11" s="797"/>
      <c r="BL11" s="797"/>
      <c r="BM11" s="797"/>
      <c r="BN11" s="797"/>
      <c r="BO11" s="797"/>
      <c r="BP11" s="797"/>
      <c r="BQ11" s="797"/>
      <c r="BR11" s="797"/>
      <c r="BS11" s="797"/>
      <c r="BT11" s="797"/>
      <c r="BU11" s="799"/>
      <c r="BV11" s="797">
        <v>204006</v>
      </c>
      <c r="BW11" s="797">
        <v>241182</v>
      </c>
      <c r="BX11" s="797">
        <v>245950</v>
      </c>
      <c r="BY11" s="797">
        <v>281974</v>
      </c>
      <c r="BZ11" s="797">
        <v>202865</v>
      </c>
      <c r="CA11" s="797">
        <v>240895</v>
      </c>
      <c r="CB11" s="797">
        <v>273565</v>
      </c>
      <c r="CC11" s="797">
        <v>288981</v>
      </c>
      <c r="CD11" s="797">
        <v>273990</v>
      </c>
      <c r="CE11" s="797">
        <v>237556</v>
      </c>
      <c r="CF11" s="797">
        <v>168313</v>
      </c>
      <c r="CG11" s="797">
        <v>150819</v>
      </c>
      <c r="CH11" s="797">
        <f>CG11</f>
        <v>150819</v>
      </c>
      <c r="CI11" s="792"/>
      <c r="CJ11" s="797">
        <v>205037</v>
      </c>
      <c r="CK11" s="797">
        <v>230430</v>
      </c>
      <c r="CL11" s="797">
        <v>234343</v>
      </c>
      <c r="CM11" s="797">
        <v>266388</v>
      </c>
      <c r="CN11" s="797"/>
      <c r="CO11" s="797"/>
      <c r="CP11" s="797"/>
      <c r="CQ11" s="797"/>
      <c r="CR11" s="797"/>
      <c r="CS11" s="797">
        <v>278269</v>
      </c>
      <c r="CT11" s="797"/>
      <c r="CU11" s="797"/>
      <c r="CV11" s="797"/>
      <c r="CW11" s="792"/>
      <c r="CX11" s="1019">
        <v>315473</v>
      </c>
      <c r="CY11" s="1019">
        <v>340292</v>
      </c>
      <c r="CZ11" s="1019">
        <v>246000</v>
      </c>
      <c r="DA11" s="1019">
        <v>258432</v>
      </c>
      <c r="DB11" s="1019">
        <v>238000</v>
      </c>
      <c r="DC11" s="1019">
        <f>DB11-DC34+DC80</f>
        <v>294310.8</v>
      </c>
      <c r="DD11" s="1019">
        <v>336000</v>
      </c>
      <c r="DE11" s="1019">
        <f>DD11-DE34+DE80</f>
        <v>322343.26999999996</v>
      </c>
      <c r="DF11" s="1019">
        <f>DE11-DF75+DF80</f>
        <v>257139.87999999995</v>
      </c>
      <c r="DG11" s="1019">
        <f>DF11-DG75+DG80</f>
        <v>202956.77914767928</v>
      </c>
      <c r="DH11" s="1019">
        <f>DG11-DH75+DH80</f>
        <v>211467.22470126578</v>
      </c>
      <c r="DI11" s="1019">
        <f>DH11-DI75+DI80</f>
        <v>239645.11693797461</v>
      </c>
      <c r="DJ11" s="22"/>
      <c r="DK11" s="948"/>
      <c r="DL11" s="1061">
        <f>DI11-DL75+DL80</f>
        <v>215521.61093797456</v>
      </c>
      <c r="DM11" s="1061">
        <f>DL11-DM75+DM80</f>
        <v>204020.08193797455</v>
      </c>
      <c r="DN11" s="1061">
        <f t="shared" ref="DN11:DW11" si="17">DM11-DN75+DN80</f>
        <v>174778.15493797453</v>
      </c>
      <c r="DO11" s="1061">
        <f t="shared" si="17"/>
        <v>200174.47093797452</v>
      </c>
      <c r="DP11" s="1061">
        <f t="shared" si="17"/>
        <v>222815.5949379745</v>
      </c>
      <c r="DQ11" s="1061">
        <f t="shared" si="17"/>
        <v>273197.46293797449</v>
      </c>
      <c r="DR11" s="1061">
        <f t="shared" si="17"/>
        <v>245094.89993797443</v>
      </c>
      <c r="DS11" s="1061">
        <f t="shared" si="17"/>
        <v>197248.42893797442</v>
      </c>
      <c r="DT11" s="1061">
        <f t="shared" si="17"/>
        <v>105056.1259379744</v>
      </c>
      <c r="DU11" s="1061">
        <f t="shared" si="17"/>
        <v>24986.14100042163</v>
      </c>
      <c r="DV11" s="1061">
        <f t="shared" si="17"/>
        <v>15658.933109366772</v>
      </c>
      <c r="DW11" s="1061">
        <f t="shared" si="17"/>
        <v>32415.60656974648</v>
      </c>
      <c r="DX11" s="22"/>
    </row>
    <row r="12" spans="1:128">
      <c r="A12" s="19"/>
      <c r="B12" s="158" t="s">
        <v>162</v>
      </c>
      <c r="C12" s="264"/>
      <c r="D12" s="265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66"/>
      <c r="Q12" s="21"/>
      <c r="R12" s="265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67"/>
      <c r="AE12" s="23"/>
      <c r="AF12" s="22"/>
      <c r="AG12" s="22"/>
      <c r="AH12" s="22"/>
      <c r="AI12" s="22"/>
      <c r="AJ12" s="24"/>
      <c r="AK12" s="22"/>
      <c r="AL12" s="22"/>
      <c r="AM12" s="22"/>
      <c r="AN12" s="22"/>
      <c r="AO12" s="22"/>
      <c r="AP12" s="25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6"/>
      <c r="BC12" s="22"/>
      <c r="BD12" s="22"/>
      <c r="BE12" s="22"/>
      <c r="BF12" s="22"/>
      <c r="BG12" s="27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8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>
        <v>40000</v>
      </c>
      <c r="CT12" s="22"/>
      <c r="CU12" s="22"/>
      <c r="CV12" s="22"/>
      <c r="CX12" s="22">
        <v>27585</v>
      </c>
      <c r="CY12" s="22">
        <v>35241</v>
      </c>
      <c r="CZ12" s="22">
        <v>33500</v>
      </c>
      <c r="DA12" s="22">
        <v>46702</v>
      </c>
      <c r="DB12" s="22">
        <v>24000</v>
      </c>
      <c r="DC12" s="22">
        <v>25000</v>
      </c>
      <c r="DD12" s="22">
        <v>38300</v>
      </c>
      <c r="DE12" s="22">
        <v>0</v>
      </c>
      <c r="DF12" s="22"/>
      <c r="DG12" s="22"/>
      <c r="DH12" s="22"/>
      <c r="DI12" s="22"/>
      <c r="DJ12" s="22"/>
      <c r="DK12" s="948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</row>
    <row r="13" spans="1:128" hidden="1">
      <c r="A13" s="19"/>
      <c r="B13" s="158" t="s">
        <v>113</v>
      </c>
      <c r="C13" s="264"/>
      <c r="D13" s="26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66"/>
      <c r="Q13" s="21"/>
      <c r="R13" s="265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67"/>
      <c r="AE13" s="23"/>
      <c r="AF13" s="22"/>
      <c r="AG13" s="22"/>
      <c r="AH13" s="22"/>
      <c r="AI13" s="22"/>
      <c r="AJ13" s="24"/>
      <c r="AK13" s="22"/>
      <c r="AL13" s="22"/>
      <c r="AM13" s="22"/>
      <c r="AN13" s="22"/>
      <c r="AO13" s="22"/>
      <c r="AP13" s="25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6"/>
      <c r="BC13" s="22"/>
      <c r="BD13" s="22"/>
      <c r="BE13" s="22"/>
      <c r="BF13" s="22"/>
      <c r="BG13" s="27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8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>
        <v>25428</v>
      </c>
      <c r="CT13" s="22"/>
      <c r="CU13" s="22"/>
      <c r="CV13" s="22"/>
      <c r="CX13" s="22">
        <v>47014</v>
      </c>
      <c r="CY13" s="22">
        <v>54401</v>
      </c>
      <c r="CZ13" s="22">
        <v>68100</v>
      </c>
      <c r="DA13" s="22">
        <v>64687</v>
      </c>
      <c r="DB13" s="22"/>
      <c r="DC13" s="22"/>
      <c r="DD13" s="22"/>
      <c r="DE13" s="22"/>
      <c r="DF13" s="22"/>
      <c r="DG13" s="22"/>
      <c r="DH13" s="22"/>
      <c r="DI13" s="22"/>
      <c r="DJ13" s="22"/>
      <c r="DK13" s="948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</row>
    <row r="14" spans="1:128">
      <c r="A14" s="19">
        <v>0</v>
      </c>
      <c r="B14" s="158" t="s">
        <v>163</v>
      </c>
      <c r="C14" s="264"/>
      <c r="D14" s="26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66"/>
      <c r="Q14" s="21"/>
      <c r="R14" s="265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67"/>
      <c r="AE14" s="23"/>
      <c r="AF14" s="22"/>
      <c r="AG14" s="22"/>
      <c r="AH14" s="22"/>
      <c r="AI14" s="22"/>
      <c r="AJ14" s="24"/>
      <c r="AK14" s="22"/>
      <c r="AL14" s="22"/>
      <c r="AM14" s="22"/>
      <c r="AN14" s="22"/>
      <c r="AO14" s="22"/>
      <c r="AP14" s="25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6"/>
      <c r="BC14" s="22"/>
      <c r="BD14" s="22"/>
      <c r="BE14" s="22"/>
      <c r="BF14" s="22"/>
      <c r="BG14" s="27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8"/>
      <c r="BV14" s="22">
        <v>80956</v>
      </c>
      <c r="BW14" s="22">
        <v>110544</v>
      </c>
      <c r="BX14" s="22">
        <v>134506</v>
      </c>
      <c r="BY14" s="22">
        <v>127959</v>
      </c>
      <c r="BZ14" s="22">
        <v>66136</v>
      </c>
      <c r="CA14" s="22">
        <v>72582</v>
      </c>
      <c r="CB14" s="22">
        <v>94286</v>
      </c>
      <c r="CC14" s="22">
        <v>133081</v>
      </c>
      <c r="CD14" s="22">
        <v>148174</v>
      </c>
      <c r="CE14" s="22">
        <v>154201</v>
      </c>
      <c r="CF14" s="22">
        <v>97365</v>
      </c>
      <c r="CG14" s="22">
        <v>30184</v>
      </c>
      <c r="CH14" s="22"/>
      <c r="CJ14" s="22">
        <v>132209</v>
      </c>
      <c r="CK14" s="22">
        <v>180000</v>
      </c>
      <c r="CL14" s="22">
        <v>177643</v>
      </c>
      <c r="CM14" s="22">
        <v>153210</v>
      </c>
      <c r="CN14" s="22"/>
      <c r="CO14" s="22"/>
      <c r="CP14" s="22"/>
      <c r="CQ14" s="22"/>
      <c r="CR14" s="22"/>
      <c r="CS14" s="22">
        <v>189875</v>
      </c>
      <c r="CT14" s="22"/>
      <c r="CU14" s="22"/>
      <c r="CV14" s="22"/>
      <c r="CX14" s="22">
        <v>101210</v>
      </c>
      <c r="CY14" s="22">
        <v>105819</v>
      </c>
      <c r="CZ14" s="22">
        <v>120500</v>
      </c>
      <c r="DA14" s="22">
        <v>110395</v>
      </c>
      <c r="DB14" s="22">
        <v>120000</v>
      </c>
      <c r="DC14" s="22">
        <v>75000</v>
      </c>
      <c r="DD14" s="22">
        <v>150000</v>
      </c>
      <c r="DE14" s="22"/>
      <c r="DF14" s="22"/>
      <c r="DG14" s="22"/>
      <c r="DH14" s="22"/>
      <c r="DI14" s="22"/>
      <c r="DJ14" s="22"/>
      <c r="DK14" s="948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</row>
    <row r="15" spans="1:128">
      <c r="A15" s="19">
        <v>0</v>
      </c>
      <c r="B15" s="158" t="s">
        <v>32</v>
      </c>
      <c r="C15" s="264"/>
      <c r="D15" s="26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66"/>
      <c r="Q15" s="21"/>
      <c r="R15" s="265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67"/>
      <c r="AE15" s="23"/>
      <c r="AF15" s="22"/>
      <c r="AG15" s="22"/>
      <c r="AH15" s="22"/>
      <c r="AI15" s="22"/>
      <c r="AJ15" s="24"/>
      <c r="AK15" s="22"/>
      <c r="AL15" s="22"/>
      <c r="AM15" s="22"/>
      <c r="AN15" s="22"/>
      <c r="AO15" s="22"/>
      <c r="AP15" s="25"/>
      <c r="AQ15" s="22"/>
      <c r="AR15" s="22"/>
      <c r="AS15" s="23"/>
      <c r="AT15" s="22"/>
      <c r="AU15" s="22"/>
      <c r="AV15" s="22"/>
      <c r="AW15" s="22"/>
      <c r="AX15" s="22"/>
      <c r="AY15" s="22"/>
      <c r="AZ15" s="22"/>
      <c r="BA15" s="22"/>
      <c r="BB15" s="26"/>
      <c r="BC15" s="22"/>
      <c r="BD15" s="22"/>
      <c r="BE15" s="22"/>
      <c r="BF15" s="22"/>
      <c r="BG15" s="27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8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J15" s="22">
        <v>150321</v>
      </c>
      <c r="CK15" s="22">
        <v>133602</v>
      </c>
      <c r="CL15" s="22">
        <v>135672</v>
      </c>
      <c r="CM15" s="22">
        <v>133268</v>
      </c>
      <c r="CN15" s="22"/>
      <c r="CO15" s="22"/>
      <c r="CP15" s="22"/>
      <c r="CQ15" s="22"/>
      <c r="CR15" s="22"/>
      <c r="CS15" s="22">
        <v>113875</v>
      </c>
      <c r="CT15" s="22"/>
      <c r="CU15" s="22"/>
      <c r="CV15" s="22"/>
      <c r="CX15" s="726">
        <v>109268</v>
      </c>
      <c r="CY15" s="726">
        <v>114943</v>
      </c>
      <c r="CZ15" s="22">
        <v>133000</v>
      </c>
      <c r="DA15" s="22">
        <v>136960</v>
      </c>
      <c r="DB15" s="22">
        <v>139000</v>
      </c>
      <c r="DC15" s="22"/>
      <c r="DD15" s="22">
        <v>106000</v>
      </c>
      <c r="DE15" s="22"/>
      <c r="DF15" s="22"/>
      <c r="DG15" s="22"/>
      <c r="DH15" s="22"/>
      <c r="DI15" s="22"/>
      <c r="DJ15" s="22"/>
      <c r="DK15" s="948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>
        <f t="shared" ref="DW15" si="18">DV15</f>
        <v>0</v>
      </c>
      <c r="DX15" s="22"/>
    </row>
    <row r="16" spans="1:128">
      <c r="A16" s="19">
        <v>0</v>
      </c>
      <c r="B16" s="717" t="s">
        <v>33</v>
      </c>
      <c r="C16" s="264"/>
      <c r="D16" s="265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66"/>
      <c r="Q16" s="21"/>
      <c r="R16" s="265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67"/>
      <c r="AE16" s="23"/>
      <c r="AF16" s="22"/>
      <c r="AG16" s="22"/>
      <c r="AH16" s="22"/>
      <c r="AI16" s="22"/>
      <c r="AJ16" s="24"/>
      <c r="AK16" s="22"/>
      <c r="AL16" s="22"/>
      <c r="AM16" s="22"/>
      <c r="AN16" s="22"/>
      <c r="AO16" s="22"/>
      <c r="AP16" s="25"/>
      <c r="AQ16" s="22"/>
      <c r="AR16" s="22"/>
      <c r="AS16" s="23"/>
      <c r="AT16" s="22"/>
      <c r="AU16" s="22"/>
      <c r="AV16" s="22"/>
      <c r="AW16" s="22"/>
      <c r="AX16" s="22"/>
      <c r="AY16" s="22"/>
      <c r="AZ16" s="22"/>
      <c r="BA16" s="22"/>
      <c r="BB16" s="26"/>
      <c r="BC16" s="22"/>
      <c r="BD16" s="22"/>
      <c r="BE16" s="22"/>
      <c r="BF16" s="22"/>
      <c r="BG16" s="27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8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J16" s="718">
        <v>36757</v>
      </c>
      <c r="CK16" s="718">
        <v>55826</v>
      </c>
      <c r="CL16" s="718">
        <v>60438</v>
      </c>
      <c r="CM16" s="718">
        <v>52291</v>
      </c>
      <c r="CN16" s="22"/>
      <c r="CO16" s="22"/>
      <c r="CP16" s="22"/>
      <c r="CQ16" s="22"/>
      <c r="CR16" s="22"/>
      <c r="CS16" s="718">
        <v>35740</v>
      </c>
      <c r="CT16" s="22"/>
      <c r="CU16" s="22"/>
      <c r="CV16" s="22"/>
      <c r="CX16" s="22">
        <v>-44963</v>
      </c>
      <c r="CY16" s="22">
        <v>-45395</v>
      </c>
      <c r="CZ16" s="22">
        <v>89000</v>
      </c>
      <c r="DA16" s="22">
        <v>59000</v>
      </c>
      <c r="DB16" s="22">
        <v>23000</v>
      </c>
      <c r="DC16" s="718">
        <v>9000</v>
      </c>
      <c r="DD16" s="22"/>
      <c r="DE16" s="22"/>
      <c r="DF16" s="22"/>
      <c r="DG16" s="22"/>
      <c r="DH16" s="22"/>
      <c r="DI16" s="22"/>
      <c r="DJ16" s="22"/>
      <c r="DK16" s="948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</row>
    <row r="17" spans="1:128" s="758" customFormat="1" ht="18.75" hidden="1">
      <c r="A17" s="839"/>
      <c r="B17" s="901" t="s">
        <v>115</v>
      </c>
      <c r="C17" s="902"/>
      <c r="D17" s="840"/>
      <c r="E17" s="841"/>
      <c r="F17" s="841"/>
      <c r="G17" s="841"/>
      <c r="H17" s="841"/>
      <c r="I17" s="841"/>
      <c r="J17" s="841"/>
      <c r="K17" s="841"/>
      <c r="L17" s="841"/>
      <c r="M17" s="841"/>
      <c r="N17" s="841"/>
      <c r="O17" s="841"/>
      <c r="P17" s="842"/>
      <c r="Q17" s="843"/>
      <c r="R17" s="840"/>
      <c r="S17" s="844"/>
      <c r="T17" s="844"/>
      <c r="U17" s="844"/>
      <c r="V17" s="844"/>
      <c r="W17" s="844"/>
      <c r="X17" s="844"/>
      <c r="Y17" s="844"/>
      <c r="Z17" s="844"/>
      <c r="AA17" s="844"/>
      <c r="AB17" s="844"/>
      <c r="AC17" s="844"/>
      <c r="AD17" s="845"/>
      <c r="AE17" s="846"/>
      <c r="AF17" s="844"/>
      <c r="AG17" s="844"/>
      <c r="AH17" s="844"/>
      <c r="AI17" s="844"/>
      <c r="AJ17" s="846"/>
      <c r="AK17" s="844"/>
      <c r="AL17" s="844"/>
      <c r="AM17" s="844"/>
      <c r="AN17" s="844"/>
      <c r="AO17" s="844"/>
      <c r="AP17" s="844"/>
      <c r="AQ17" s="844"/>
      <c r="AR17" s="844"/>
      <c r="AS17" s="846"/>
      <c r="AT17" s="844"/>
      <c r="AU17" s="844"/>
      <c r="AV17" s="844"/>
      <c r="AW17" s="844"/>
      <c r="AX17" s="844"/>
      <c r="AY17" s="844"/>
      <c r="AZ17" s="844"/>
      <c r="BA17" s="844"/>
      <c r="BB17" s="847"/>
      <c r="BC17" s="844"/>
      <c r="BD17" s="844"/>
      <c r="BE17" s="844"/>
      <c r="BF17" s="844"/>
      <c r="BG17" s="846"/>
      <c r="BH17" s="844"/>
      <c r="BI17" s="844"/>
      <c r="BJ17" s="844"/>
      <c r="BK17" s="844"/>
      <c r="BL17" s="844"/>
      <c r="BM17" s="844"/>
      <c r="BN17" s="844"/>
      <c r="BO17" s="844"/>
      <c r="BP17" s="844"/>
      <c r="BQ17" s="844"/>
      <c r="BR17" s="844"/>
      <c r="BS17" s="844"/>
      <c r="BT17" s="844"/>
      <c r="BU17" s="846"/>
      <c r="BV17" s="844"/>
      <c r="BW17" s="844"/>
      <c r="BX17" s="844"/>
      <c r="BY17" s="844"/>
      <c r="BZ17" s="844"/>
      <c r="CA17" s="844"/>
      <c r="CB17" s="844"/>
      <c r="CC17" s="844"/>
      <c r="CD17" s="844"/>
      <c r="CE17" s="844"/>
      <c r="CF17" s="844"/>
      <c r="CG17" s="844"/>
      <c r="CH17" s="844"/>
      <c r="CJ17" s="848"/>
      <c r="CK17" s="848"/>
      <c r="CL17" s="848"/>
      <c r="CM17" s="848"/>
      <c r="CN17" s="844"/>
      <c r="CO17" s="844"/>
      <c r="CP17" s="844"/>
      <c r="CQ17" s="844"/>
      <c r="CR17" s="844"/>
      <c r="CS17" s="849" t="e">
        <f>CS20/$DK$77</f>
        <v>#DIV/0!</v>
      </c>
      <c r="CT17" s="849" t="e">
        <f>CT20/$DK$77</f>
        <v>#DIV/0!</v>
      </c>
      <c r="CU17" s="849" t="e">
        <f>CU20/$DK$77</f>
        <v>#DIV/0!</v>
      </c>
      <c r="CV17" s="844"/>
      <c r="CX17" s="849" t="e">
        <f>CX20/$DK$77</f>
        <v>#DIV/0!</v>
      </c>
      <c r="CY17" s="849" t="e">
        <f t="shared" ref="CY17:DH17" si="19">CY20/$DK$77</f>
        <v>#DIV/0!</v>
      </c>
      <c r="CZ17" s="849" t="e">
        <f t="shared" si="19"/>
        <v>#DIV/0!</v>
      </c>
      <c r="DA17" s="849" t="e">
        <f t="shared" si="19"/>
        <v>#DIV/0!</v>
      </c>
      <c r="DB17" s="849" t="e">
        <f t="shared" si="19"/>
        <v>#DIV/0!</v>
      </c>
      <c r="DC17" s="849" t="e">
        <f t="shared" si="19"/>
        <v>#DIV/0!</v>
      </c>
      <c r="DD17" s="849" t="e">
        <f t="shared" si="19"/>
        <v>#DIV/0!</v>
      </c>
      <c r="DE17" s="849" t="e">
        <f t="shared" si="19"/>
        <v>#DIV/0!</v>
      </c>
      <c r="DF17" s="849" t="e">
        <f t="shared" si="19"/>
        <v>#DIV/0!</v>
      </c>
      <c r="DG17" s="849" t="e">
        <f t="shared" si="19"/>
        <v>#DIV/0!</v>
      </c>
      <c r="DH17" s="849" t="e">
        <f t="shared" si="19"/>
        <v>#DIV/0!</v>
      </c>
      <c r="DI17" s="849">
        <f t="shared" ref="DI17:DS17" si="20">DI20/138624</f>
        <v>0.60723573795284091</v>
      </c>
      <c r="DJ17" s="844"/>
      <c r="DK17" s="948"/>
      <c r="DL17" s="849" t="e">
        <f>DL20/$DK$77</f>
        <v>#DIV/0!</v>
      </c>
      <c r="DM17" s="849" t="e">
        <f t="shared" ref="DM17:DV17" si="21">DM20/$DK$77</f>
        <v>#DIV/0!</v>
      </c>
      <c r="DN17" s="849" t="e">
        <f t="shared" si="21"/>
        <v>#DIV/0!</v>
      </c>
      <c r="DO17" s="849" t="e">
        <f t="shared" si="21"/>
        <v>#DIV/0!</v>
      </c>
      <c r="DP17" s="849" t="e">
        <f t="shared" si="21"/>
        <v>#DIV/0!</v>
      </c>
      <c r="DQ17" s="849" t="e">
        <f t="shared" si="21"/>
        <v>#DIV/0!</v>
      </c>
      <c r="DR17" s="849" t="e">
        <f t="shared" si="21"/>
        <v>#DIV/0!</v>
      </c>
      <c r="DS17" s="849" t="e">
        <f t="shared" si="21"/>
        <v>#DIV/0!</v>
      </c>
      <c r="DT17" s="849" t="e">
        <f t="shared" si="21"/>
        <v>#DIV/0!</v>
      </c>
      <c r="DU17" s="849" t="e">
        <f t="shared" si="21"/>
        <v>#DIV/0!</v>
      </c>
      <c r="DV17" s="849" t="e">
        <f t="shared" si="21"/>
        <v>#DIV/0!</v>
      </c>
      <c r="DW17" s="849">
        <f t="shared" ref="DW17:DY17" si="22">DW20/138624</f>
        <v>-1.0066425253221198</v>
      </c>
      <c r="DX17" s="844"/>
    </row>
    <row r="18" spans="1:128" s="758" customFormat="1" ht="18.75" hidden="1">
      <c r="A18" s="839"/>
      <c r="B18" s="901" t="s">
        <v>116</v>
      </c>
      <c r="C18" s="902"/>
      <c r="D18" s="840"/>
      <c r="E18" s="841"/>
      <c r="F18" s="841"/>
      <c r="G18" s="841"/>
      <c r="H18" s="841"/>
      <c r="I18" s="841"/>
      <c r="J18" s="841"/>
      <c r="K18" s="841"/>
      <c r="L18" s="841"/>
      <c r="M18" s="841"/>
      <c r="N18" s="841"/>
      <c r="O18" s="841"/>
      <c r="P18" s="842"/>
      <c r="Q18" s="843"/>
      <c r="R18" s="840"/>
      <c r="S18" s="844"/>
      <c r="T18" s="844"/>
      <c r="U18" s="844"/>
      <c r="V18" s="844"/>
      <c r="W18" s="844"/>
      <c r="X18" s="844"/>
      <c r="Y18" s="844"/>
      <c r="Z18" s="844"/>
      <c r="AA18" s="844"/>
      <c r="AB18" s="844"/>
      <c r="AC18" s="844"/>
      <c r="AD18" s="845"/>
      <c r="AE18" s="846"/>
      <c r="AF18" s="844"/>
      <c r="AG18" s="844"/>
      <c r="AH18" s="844"/>
      <c r="AI18" s="844"/>
      <c r="AJ18" s="846"/>
      <c r="AK18" s="844"/>
      <c r="AL18" s="844"/>
      <c r="AM18" s="844"/>
      <c r="AN18" s="844"/>
      <c r="AO18" s="844"/>
      <c r="AP18" s="844"/>
      <c r="AQ18" s="844"/>
      <c r="AR18" s="844"/>
      <c r="AS18" s="846"/>
      <c r="AT18" s="844"/>
      <c r="AU18" s="844"/>
      <c r="AV18" s="844"/>
      <c r="AW18" s="844"/>
      <c r="AX18" s="844"/>
      <c r="AY18" s="844"/>
      <c r="AZ18" s="844"/>
      <c r="BA18" s="844"/>
      <c r="BB18" s="847"/>
      <c r="BC18" s="844"/>
      <c r="BD18" s="844"/>
      <c r="BE18" s="844"/>
      <c r="BF18" s="844"/>
      <c r="BG18" s="846"/>
      <c r="BH18" s="844"/>
      <c r="BI18" s="844"/>
      <c r="BJ18" s="844"/>
      <c r="BK18" s="844"/>
      <c r="BL18" s="844"/>
      <c r="BM18" s="844"/>
      <c r="BN18" s="844"/>
      <c r="BO18" s="844"/>
      <c r="BP18" s="844"/>
      <c r="BQ18" s="844"/>
      <c r="BR18" s="844"/>
      <c r="BS18" s="844"/>
      <c r="BT18" s="844"/>
      <c r="BU18" s="846"/>
      <c r="BV18" s="844"/>
      <c r="BW18" s="844"/>
      <c r="BX18" s="844"/>
      <c r="BY18" s="844"/>
      <c r="BZ18" s="844"/>
      <c r="CA18" s="844"/>
      <c r="CB18" s="844"/>
      <c r="CC18" s="844"/>
      <c r="CD18" s="844"/>
      <c r="CE18" s="844"/>
      <c r="CF18" s="844"/>
      <c r="CG18" s="844"/>
      <c r="CH18" s="844"/>
      <c r="CJ18" s="848"/>
      <c r="CK18" s="848"/>
      <c r="CL18" s="848"/>
      <c r="CM18" s="848"/>
      <c r="CN18" s="844"/>
      <c r="CO18" s="844"/>
      <c r="CP18" s="844"/>
      <c r="CQ18" s="844"/>
      <c r="CR18" s="844"/>
      <c r="CS18" s="849" t="e">
        <f>CS21/$DK$78</f>
        <v>#DIV/0!</v>
      </c>
      <c r="CT18" s="849" t="e">
        <f>CT21/$DK$78</f>
        <v>#DIV/0!</v>
      </c>
      <c r="CU18" s="849" t="e">
        <f>CU21/$DK$78</f>
        <v>#DIV/0!</v>
      </c>
      <c r="CV18" s="844"/>
      <c r="CX18" s="849" t="e">
        <f>CX21/$DK$78</f>
        <v>#DIV/0!</v>
      </c>
      <c r="CY18" s="849" t="e">
        <f t="shared" ref="CY18:DH18" si="23">CY21/$DK$78</f>
        <v>#DIV/0!</v>
      </c>
      <c r="CZ18" s="849" t="e">
        <f t="shared" si="23"/>
        <v>#DIV/0!</v>
      </c>
      <c r="DA18" s="849" t="e">
        <f t="shared" si="23"/>
        <v>#DIV/0!</v>
      </c>
      <c r="DB18" s="849" t="e">
        <f t="shared" si="23"/>
        <v>#DIV/0!</v>
      </c>
      <c r="DC18" s="849" t="e">
        <f t="shared" si="23"/>
        <v>#DIV/0!</v>
      </c>
      <c r="DD18" s="849" t="e">
        <f t="shared" si="23"/>
        <v>#DIV/0!</v>
      </c>
      <c r="DE18" s="849" t="e">
        <f t="shared" si="23"/>
        <v>#DIV/0!</v>
      </c>
      <c r="DF18" s="849" t="e">
        <f>DF21/$DK$78</f>
        <v>#DIV/0!</v>
      </c>
      <c r="DG18" s="849" t="e">
        <f t="shared" si="23"/>
        <v>#DIV/0!</v>
      </c>
      <c r="DH18" s="849" t="e">
        <f t="shared" si="23"/>
        <v>#DIV/0!</v>
      </c>
      <c r="DI18" s="849">
        <f t="shared" ref="DI18:DS18" si="24">DI21/17313</f>
        <v>1.2558713105758676</v>
      </c>
      <c r="DJ18" s="844"/>
      <c r="DK18" s="948"/>
      <c r="DL18" s="849" t="e">
        <f>DL21/$DK$78</f>
        <v>#DIV/0!</v>
      </c>
      <c r="DM18" s="849" t="e">
        <f t="shared" ref="DM18:DV18" si="25">DM21/$DK$78</f>
        <v>#DIV/0!</v>
      </c>
      <c r="DN18" s="849" t="e">
        <f t="shared" si="25"/>
        <v>#DIV/0!</v>
      </c>
      <c r="DO18" s="849" t="e">
        <f t="shared" si="25"/>
        <v>#DIV/0!</v>
      </c>
      <c r="DP18" s="849" t="e">
        <f t="shared" si="25"/>
        <v>#DIV/0!</v>
      </c>
      <c r="DQ18" s="849" t="e">
        <f t="shared" si="25"/>
        <v>#DIV/0!</v>
      </c>
      <c r="DR18" s="849" t="e">
        <f t="shared" si="25"/>
        <v>#DIV/0!</v>
      </c>
      <c r="DS18" s="849" t="e">
        <f t="shared" si="25"/>
        <v>#DIV/0!</v>
      </c>
      <c r="DT18" s="849" t="e">
        <f>DT21/$DK$78</f>
        <v>#DIV/0!</v>
      </c>
      <c r="DU18" s="849" t="e">
        <f t="shared" ref="DU18:DY18" si="26">DU21/$DK$78</f>
        <v>#DIV/0!</v>
      </c>
      <c r="DV18" s="849" t="e">
        <f t="shared" si="26"/>
        <v>#DIV/0!</v>
      </c>
      <c r="DW18" s="849">
        <f t="shared" ref="DW18:DY18" si="27">DW21/17313</f>
        <v>1.0052792699127822</v>
      </c>
      <c r="DX18" s="844"/>
    </row>
    <row r="19" spans="1:128" s="758" customFormat="1" ht="18.75" hidden="1">
      <c r="A19" s="839"/>
      <c r="B19" s="1037" t="s">
        <v>155</v>
      </c>
      <c r="C19" s="1023"/>
      <c r="D19" s="840"/>
      <c r="E19" s="841"/>
      <c r="F19" s="841"/>
      <c r="G19" s="841"/>
      <c r="H19" s="841"/>
      <c r="I19" s="841"/>
      <c r="J19" s="841"/>
      <c r="K19" s="841"/>
      <c r="L19" s="841"/>
      <c r="M19" s="841"/>
      <c r="N19" s="841"/>
      <c r="O19" s="841"/>
      <c r="P19" s="842"/>
      <c r="Q19" s="843"/>
      <c r="R19" s="840"/>
      <c r="S19" s="844"/>
      <c r="T19" s="844"/>
      <c r="U19" s="844"/>
      <c r="V19" s="844"/>
      <c r="W19" s="844"/>
      <c r="X19" s="844"/>
      <c r="Y19" s="844"/>
      <c r="Z19" s="844"/>
      <c r="AA19" s="844"/>
      <c r="AB19" s="844"/>
      <c r="AC19" s="844"/>
      <c r="AD19" s="845"/>
      <c r="AE19" s="846"/>
      <c r="AF19" s="844"/>
      <c r="AG19" s="844"/>
      <c r="AH19" s="844"/>
      <c r="AI19" s="844"/>
      <c r="AJ19" s="846"/>
      <c r="AK19" s="844"/>
      <c r="AL19" s="844"/>
      <c r="AM19" s="844"/>
      <c r="AN19" s="844"/>
      <c r="AO19" s="844"/>
      <c r="AP19" s="844"/>
      <c r="AQ19" s="844"/>
      <c r="AR19" s="844"/>
      <c r="AS19" s="846"/>
      <c r="AT19" s="844"/>
      <c r="AU19" s="844"/>
      <c r="AV19" s="844"/>
      <c r="AW19" s="844"/>
      <c r="AX19" s="844"/>
      <c r="AY19" s="844"/>
      <c r="AZ19" s="844"/>
      <c r="BA19" s="844"/>
      <c r="BB19" s="847"/>
      <c r="BC19" s="844"/>
      <c r="BD19" s="844"/>
      <c r="BE19" s="844"/>
      <c r="BF19" s="844"/>
      <c r="BG19" s="846"/>
      <c r="BH19" s="844"/>
      <c r="BI19" s="844"/>
      <c r="BJ19" s="844"/>
      <c r="BK19" s="844"/>
      <c r="BL19" s="844"/>
      <c r="BM19" s="844"/>
      <c r="BN19" s="844"/>
      <c r="BO19" s="844"/>
      <c r="BP19" s="844"/>
      <c r="BQ19" s="844"/>
      <c r="BR19" s="844"/>
      <c r="BS19" s="844"/>
      <c r="BT19" s="844"/>
      <c r="BU19" s="846"/>
      <c r="BV19" s="844"/>
      <c r="BW19" s="844"/>
      <c r="BX19" s="844"/>
      <c r="BY19" s="844"/>
      <c r="BZ19" s="844"/>
      <c r="CA19" s="844"/>
      <c r="CB19" s="844"/>
      <c r="CC19" s="844"/>
      <c r="CD19" s="844"/>
      <c r="CE19" s="844"/>
      <c r="CF19" s="844"/>
      <c r="CG19" s="844"/>
      <c r="CH19" s="844"/>
      <c r="CJ19" s="848"/>
      <c r="CK19" s="848"/>
      <c r="CL19" s="848"/>
      <c r="CM19" s="848"/>
      <c r="CN19" s="844"/>
      <c r="CO19" s="844"/>
      <c r="CP19" s="844"/>
      <c r="CQ19" s="844"/>
      <c r="CR19" s="844"/>
      <c r="CS19" s="849"/>
      <c r="CT19" s="849"/>
      <c r="CU19" s="849"/>
      <c r="CV19" s="844"/>
      <c r="CX19" s="849"/>
      <c r="CY19" s="849"/>
      <c r="CZ19" s="844">
        <f>CZ20+CZ21</f>
        <v>203000</v>
      </c>
      <c r="DA19" s="844">
        <v>142475</v>
      </c>
      <c r="DB19" s="844">
        <v>164000</v>
      </c>
      <c r="DC19" s="844">
        <f>DC20+DC21</f>
        <v>191702.62</v>
      </c>
      <c r="DD19" s="844">
        <f t="shared" ref="DC19:DJ19" si="28">DD20+DD21</f>
        <v>203347.90999999997</v>
      </c>
      <c r="DE19" s="844">
        <f>DE20+DE21</f>
        <v>202160.54999999996</v>
      </c>
      <c r="DF19" s="844">
        <f t="shared" si="28"/>
        <v>157880.05999999991</v>
      </c>
      <c r="DG19" s="844">
        <f t="shared" si="28"/>
        <v>111853.65914767928</v>
      </c>
      <c r="DH19" s="844">
        <f t="shared" si="28"/>
        <v>124442.45470126579</v>
      </c>
      <c r="DI19" s="844">
        <f>DI20+DI21</f>
        <v>105920.34693797461</v>
      </c>
      <c r="DJ19" s="844"/>
      <c r="DK19" s="948"/>
      <c r="DL19" s="844">
        <f>DL20+DL21</f>
        <v>67526.840937974572</v>
      </c>
      <c r="DM19" s="844">
        <f t="shared" ref="DM19:DW19" si="29">DM20+DM21</f>
        <v>62939.311937974569</v>
      </c>
      <c r="DN19" s="844">
        <f t="shared" si="29"/>
        <v>29021.384937974533</v>
      </c>
      <c r="DO19" s="844">
        <f t="shared" si="29"/>
        <v>66635.700937974529</v>
      </c>
      <c r="DP19" s="844">
        <f t="shared" si="29"/>
        <v>98765.824937974525</v>
      </c>
      <c r="DQ19" s="844">
        <f t="shared" si="29"/>
        <v>113911.6929379745</v>
      </c>
      <c r="DR19" s="844">
        <f t="shared" si="29"/>
        <v>95495.029937974439</v>
      </c>
      <c r="DS19" s="844">
        <f t="shared" si="29"/>
        <v>56234.458937974414</v>
      </c>
      <c r="DT19" s="844">
        <f t="shared" si="29"/>
        <v>-15034.94406202561</v>
      </c>
      <c r="DU19" s="844">
        <f t="shared" si="29"/>
        <v>-86948.228999578365</v>
      </c>
      <c r="DV19" s="844">
        <f t="shared" si="29"/>
        <v>-92197.086890633218</v>
      </c>
      <c r="DW19" s="844">
        <f t="shared" si="29"/>
        <v>-122140.41343025354</v>
      </c>
      <c r="DX19" s="844"/>
    </row>
    <row r="20" spans="1:128" s="1008" customFormat="1" ht="18.75" hidden="1">
      <c r="A20" s="1007">
        <v>1</v>
      </c>
      <c r="B20" s="1009" t="s">
        <v>117</v>
      </c>
      <c r="C20" s="1010"/>
      <c r="D20" s="1011">
        <v>197000</v>
      </c>
      <c r="E20" s="1012">
        <v>223027</v>
      </c>
      <c r="F20" s="1012">
        <v>230513</v>
      </c>
      <c r="G20" s="1012">
        <v>231174</v>
      </c>
      <c r="H20" s="1012">
        <v>255028</v>
      </c>
      <c r="I20" s="1012">
        <f>316386+3241</f>
        <v>319627</v>
      </c>
      <c r="J20" s="1012">
        <v>377712</v>
      </c>
      <c r="K20" s="1012">
        <v>382411</v>
      </c>
      <c r="L20" s="1012">
        <v>394107</v>
      </c>
      <c r="M20" s="1012">
        <v>267954</v>
      </c>
      <c r="N20" s="1012"/>
      <c r="O20" s="1012">
        <v>143875</v>
      </c>
      <c r="P20" s="1013"/>
      <c r="Q20" s="1014"/>
      <c r="R20" s="1011">
        <v>208084</v>
      </c>
      <c r="S20" s="1015">
        <v>268431</v>
      </c>
      <c r="T20" s="1015">
        <v>250616</v>
      </c>
      <c r="U20" s="1015">
        <v>237088</v>
      </c>
      <c r="V20" s="1015">
        <v>147777</v>
      </c>
      <c r="W20" s="1015">
        <v>215818</v>
      </c>
      <c r="X20" s="1015">
        <v>273510</v>
      </c>
      <c r="Y20" s="1015">
        <v>299059</v>
      </c>
      <c r="Z20" s="1015">
        <v>304980</v>
      </c>
      <c r="AA20" s="1015">
        <v>231197</v>
      </c>
      <c r="AB20" s="1015">
        <v>143086</v>
      </c>
      <c r="AC20" s="1015">
        <v>172491</v>
      </c>
      <c r="AD20" s="1016"/>
      <c r="AE20" s="1017"/>
      <c r="AF20" s="1015">
        <v>198695</v>
      </c>
      <c r="AG20" s="1015">
        <v>234210</v>
      </c>
      <c r="AH20" s="1015">
        <v>327560</v>
      </c>
      <c r="AI20" s="1015">
        <v>332523</v>
      </c>
      <c r="AJ20" s="1017">
        <v>356667</v>
      </c>
      <c r="AK20" s="1015">
        <v>384165</v>
      </c>
      <c r="AL20" s="1015">
        <v>317268</v>
      </c>
      <c r="AM20" s="1015">
        <v>370708</v>
      </c>
      <c r="AN20" s="1015">
        <v>354503</v>
      </c>
      <c r="AO20" s="1015">
        <v>314605</v>
      </c>
      <c r="AP20" s="1015">
        <v>90490</v>
      </c>
      <c r="AQ20" s="1015">
        <v>58348</v>
      </c>
      <c r="AR20" s="1015">
        <f t="shared" si="11"/>
        <v>58348</v>
      </c>
      <c r="AS20" s="1017"/>
      <c r="AT20" s="1015">
        <v>158701</v>
      </c>
      <c r="AU20" s="1015">
        <v>115369</v>
      </c>
      <c r="AV20" s="1015">
        <v>142379</v>
      </c>
      <c r="AW20" s="1015">
        <v>118765</v>
      </c>
      <c r="AX20" s="1015">
        <v>113246</v>
      </c>
      <c r="AY20" s="1015">
        <v>106776</v>
      </c>
      <c r="AZ20" s="1015">
        <v>175234</v>
      </c>
      <c r="BA20" s="1015">
        <v>151553</v>
      </c>
      <c r="BB20" s="1018">
        <v>167082</v>
      </c>
      <c r="BC20" s="1015">
        <v>150959</v>
      </c>
      <c r="BD20" s="1015">
        <v>119787</v>
      </c>
      <c r="BE20" s="1015">
        <v>65426</v>
      </c>
      <c r="BF20" s="1015">
        <f t="shared" si="13"/>
        <v>65426</v>
      </c>
      <c r="BG20" s="1017"/>
      <c r="BH20" s="1015">
        <v>166918</v>
      </c>
      <c r="BI20" s="1015">
        <v>167160</v>
      </c>
      <c r="BJ20" s="1015">
        <v>204571</v>
      </c>
      <c r="BK20" s="1015">
        <v>153197</v>
      </c>
      <c r="BL20" s="1015">
        <v>196798</v>
      </c>
      <c r="BM20" s="1015">
        <v>145596</v>
      </c>
      <c r="BN20" s="1015">
        <v>166021</v>
      </c>
      <c r="BO20" s="1015">
        <v>211305</v>
      </c>
      <c r="BP20" s="1015">
        <v>201071</v>
      </c>
      <c r="BQ20" s="1015">
        <v>177743</v>
      </c>
      <c r="BR20" s="1015">
        <v>144020</v>
      </c>
      <c r="BS20" s="1015">
        <v>154347</v>
      </c>
      <c r="BT20" s="1015">
        <f>BS20</f>
        <v>154347</v>
      </c>
      <c r="BU20" s="1017"/>
      <c r="BV20" s="1015">
        <v>151471</v>
      </c>
      <c r="BW20" s="1015">
        <v>155653</v>
      </c>
      <c r="BX20" s="1015">
        <v>151611</v>
      </c>
      <c r="BY20" s="1015">
        <v>177044</v>
      </c>
      <c r="BZ20" s="1015">
        <v>170481</v>
      </c>
      <c r="CA20" s="1015">
        <v>221665</v>
      </c>
      <c r="CB20" s="1015">
        <v>218105</v>
      </c>
      <c r="CC20" s="1015">
        <v>188153</v>
      </c>
      <c r="CD20" s="1015">
        <v>147751</v>
      </c>
      <c r="CE20" s="1015">
        <v>112996</v>
      </c>
      <c r="CF20" s="1015">
        <v>135968</v>
      </c>
      <c r="CG20" s="1015">
        <v>130000</v>
      </c>
      <c r="CH20" s="1015">
        <f t="shared" ref="CH20:CH31" si="30">CG20</f>
        <v>130000</v>
      </c>
      <c r="CI20" s="988">
        <v>114000</v>
      </c>
      <c r="CJ20" s="1015">
        <v>109585</v>
      </c>
      <c r="CK20" s="1015">
        <v>103815</v>
      </c>
      <c r="CL20" s="1015">
        <v>117138</v>
      </c>
      <c r="CM20" s="1015">
        <v>165469</v>
      </c>
      <c r="CN20" s="1015">
        <f>CM20+CN81-CN34</f>
        <v>175907.8879612374</v>
      </c>
      <c r="CO20" s="1015">
        <f>CN20+CO81-CO34</f>
        <v>238961.73306000742</v>
      </c>
      <c r="CP20" s="1015">
        <f>CO20+CP81-CP34</f>
        <v>271844.22259587242</v>
      </c>
      <c r="CQ20" s="1015">
        <f>CP20+CQ81-CQ34</f>
        <v>249838.52867182181</v>
      </c>
      <c r="CR20" s="1015">
        <f>CQ20+CR81-CR34</f>
        <v>201980.33782793995</v>
      </c>
      <c r="CS20" s="1019">
        <f>91286-CS21</f>
        <v>76250</v>
      </c>
      <c r="CT20" s="1019">
        <f>CS20+CT81-CT77-CT21</f>
        <v>101848.14995780593</v>
      </c>
      <c r="CU20" s="1019">
        <f>CT20+CU81-CU77-CU21</f>
        <v>111197.32717299581</v>
      </c>
      <c r="CV20" s="1020"/>
      <c r="CW20" s="1021"/>
      <c r="CX20" s="1015">
        <v>205563</v>
      </c>
      <c r="CY20" s="1015">
        <v>222075</v>
      </c>
      <c r="CZ20" s="1015">
        <v>174000</v>
      </c>
      <c r="DA20" s="1015">
        <v>127102</v>
      </c>
      <c r="DB20" s="1015">
        <f>DA20+DB81-DB77</f>
        <v>159290.24000000002</v>
      </c>
      <c r="DC20" s="1015">
        <f>DB20+DC81-DC77-DC16</f>
        <v>173329.62</v>
      </c>
      <c r="DD20" s="1015">
        <f t="shared" ref="DC20:DI20" si="31">DC20+DD81-DD77-DD16</f>
        <v>184974.90999999997</v>
      </c>
      <c r="DE20" s="1015">
        <f t="shared" si="31"/>
        <v>182787.54999999996</v>
      </c>
      <c r="DF20" s="1015">
        <f t="shared" si="31"/>
        <v>138507.05999999991</v>
      </c>
      <c r="DG20" s="1015">
        <f t="shared" si="31"/>
        <v>90932.059147679276</v>
      </c>
      <c r="DH20" s="1015">
        <f t="shared" si="31"/>
        <v>101801.85470126578</v>
      </c>
      <c r="DI20" s="1015">
        <f t="shared" si="31"/>
        <v>84177.446937974615</v>
      </c>
      <c r="DJ20" s="989"/>
      <c r="DK20" s="948"/>
      <c r="DL20" s="898">
        <f>DI20+DL81-DL77</f>
        <v>53646.940937974578</v>
      </c>
      <c r="DM20" s="898">
        <f>DL20+DM81-DM77+DM15-DM16</f>
        <v>48416.711937974571</v>
      </c>
      <c r="DN20" s="898">
        <f>DM20+DN81-DN77+DN15-DN16</f>
        <v>15386.884937974537</v>
      </c>
      <c r="DO20" s="898">
        <f>DN20+DO81-DO77+DO15-DO16</f>
        <v>48815.000937974532</v>
      </c>
      <c r="DP20" s="898">
        <f>DO20+DP81-DP77+DP15-DP16</f>
        <v>76729.124937974528</v>
      </c>
      <c r="DQ20" s="898">
        <f>DP20+DQ81-DQ77+DQ15-DQ16</f>
        <v>88463.592937974507</v>
      </c>
      <c r="DR20" s="898">
        <f>DQ20+DR81-DR77+DR15</f>
        <v>68383.929937974433</v>
      </c>
      <c r="DS20" s="898">
        <f>DR20+DS81-DS77+DS15</f>
        <v>31149.958937974414</v>
      </c>
      <c r="DT20" s="898">
        <f>DS20+DT81-DT77+DT15</f>
        <v>-36069.444062025606</v>
      </c>
      <c r="DU20" s="898">
        <f>DT20+DU81-DU77+DU15</f>
        <v>-103531.32899957837</v>
      </c>
      <c r="DV20" s="898">
        <f>DU20+DV81-DV77+DV15</f>
        <v>-110499.18689063322</v>
      </c>
      <c r="DW20" s="898">
        <f>DV20+DW81-DW77+DW15</f>
        <v>-139544.81343025353</v>
      </c>
      <c r="DX20" s="989"/>
    </row>
    <row r="21" spans="1:128" s="1008" customFormat="1" ht="18.75" hidden="1">
      <c r="A21" s="1007"/>
      <c r="B21" s="1009" t="s">
        <v>118</v>
      </c>
      <c r="C21" s="1010"/>
      <c r="D21" s="1011"/>
      <c r="E21" s="1012"/>
      <c r="F21" s="1012"/>
      <c r="G21" s="1012"/>
      <c r="H21" s="1012"/>
      <c r="I21" s="1012"/>
      <c r="J21" s="1012"/>
      <c r="K21" s="1012"/>
      <c r="L21" s="1012"/>
      <c r="M21" s="1012"/>
      <c r="N21" s="1012"/>
      <c r="O21" s="1012"/>
      <c r="P21" s="1013"/>
      <c r="Q21" s="1014"/>
      <c r="R21" s="1011"/>
      <c r="S21" s="1015"/>
      <c r="T21" s="1015"/>
      <c r="U21" s="1015"/>
      <c r="V21" s="1015"/>
      <c r="W21" s="1015"/>
      <c r="X21" s="1015"/>
      <c r="Y21" s="1015"/>
      <c r="Z21" s="1015"/>
      <c r="AA21" s="1015"/>
      <c r="AB21" s="1015"/>
      <c r="AC21" s="1015"/>
      <c r="AD21" s="1016"/>
      <c r="AE21" s="1017"/>
      <c r="AF21" s="1015"/>
      <c r="AG21" s="1015"/>
      <c r="AH21" s="1015"/>
      <c r="AI21" s="1015"/>
      <c r="AJ21" s="1017"/>
      <c r="AK21" s="1015"/>
      <c r="AL21" s="1015"/>
      <c r="AM21" s="1015"/>
      <c r="AN21" s="1015"/>
      <c r="AO21" s="1015"/>
      <c r="AP21" s="1015"/>
      <c r="AQ21" s="1015"/>
      <c r="AR21" s="1015"/>
      <c r="AS21" s="1017"/>
      <c r="AT21" s="1015"/>
      <c r="AU21" s="1015"/>
      <c r="AV21" s="1015"/>
      <c r="AW21" s="1015"/>
      <c r="AX21" s="1015"/>
      <c r="AY21" s="1015"/>
      <c r="AZ21" s="1015"/>
      <c r="BA21" s="1015"/>
      <c r="BB21" s="1018"/>
      <c r="BC21" s="1015"/>
      <c r="BD21" s="1015"/>
      <c r="BE21" s="1015"/>
      <c r="BF21" s="1015"/>
      <c r="BG21" s="1017"/>
      <c r="BH21" s="1015"/>
      <c r="BI21" s="1015"/>
      <c r="BJ21" s="1015"/>
      <c r="BK21" s="1015"/>
      <c r="BL21" s="1015"/>
      <c r="BM21" s="1015"/>
      <c r="BN21" s="1015"/>
      <c r="BO21" s="1015"/>
      <c r="BP21" s="1015"/>
      <c r="BQ21" s="1015"/>
      <c r="BR21" s="1015"/>
      <c r="BS21" s="1015"/>
      <c r="BT21" s="1015"/>
      <c r="BU21" s="1017"/>
      <c r="BV21" s="1015"/>
      <c r="BW21" s="1015"/>
      <c r="BX21" s="1015"/>
      <c r="BY21" s="1015"/>
      <c r="BZ21" s="1015"/>
      <c r="CA21" s="1015"/>
      <c r="CB21" s="1015"/>
      <c r="CC21" s="1015"/>
      <c r="CD21" s="1015"/>
      <c r="CE21" s="1015"/>
      <c r="CF21" s="1015"/>
      <c r="CG21" s="1015"/>
      <c r="CH21" s="1015"/>
      <c r="CI21" s="988"/>
      <c r="CJ21" s="1015"/>
      <c r="CK21" s="1015"/>
      <c r="CL21" s="1015"/>
      <c r="CM21" s="1015"/>
      <c r="CN21" s="1015"/>
      <c r="CO21" s="1015"/>
      <c r="CP21" s="1015"/>
      <c r="CQ21" s="1015"/>
      <c r="CR21" s="1015"/>
      <c r="CS21" s="1019">
        <v>15036</v>
      </c>
      <c r="CT21" s="1019">
        <f>CS21+CT82-CT78</f>
        <v>24795</v>
      </c>
      <c r="CU21" s="1019">
        <f>CT21+CU82-CU78</f>
        <v>29568</v>
      </c>
      <c r="CV21" s="1020"/>
      <c r="CW21" s="1021"/>
      <c r="CX21" s="1015">
        <v>25049</v>
      </c>
      <c r="CY21" s="1015">
        <v>24195</v>
      </c>
      <c r="CZ21" s="1015">
        <v>29000</v>
      </c>
      <c r="DA21" s="1015">
        <v>15373</v>
      </c>
      <c r="DB21" s="1015">
        <f>DA21+DB82-DB78</f>
        <v>16373</v>
      </c>
      <c r="DC21" s="1015">
        <f>DB21+DC82-DC78</f>
        <v>18373</v>
      </c>
      <c r="DD21" s="1015">
        <f>DC21+DD82-DD78</f>
        <v>18373</v>
      </c>
      <c r="DE21" s="1015">
        <f>DD21+DE82-DE78</f>
        <v>19373</v>
      </c>
      <c r="DF21" s="1015">
        <f>DE21+DF82-DF78</f>
        <v>19373</v>
      </c>
      <c r="DG21" s="1015">
        <f>DF21+DG82-DG78</f>
        <v>20921.599999999999</v>
      </c>
      <c r="DH21" s="1015">
        <f>DG21+DH82-DH78</f>
        <v>22640.6</v>
      </c>
      <c r="DI21" s="1015">
        <f>DH21+DI82-DI78</f>
        <v>21742.899999999998</v>
      </c>
      <c r="DJ21" s="989"/>
      <c r="DK21" s="948"/>
      <c r="DL21" s="898">
        <f>DI21+DL82-DL78</f>
        <v>13879.899999999998</v>
      </c>
      <c r="DM21" s="898">
        <f>DL21+DM82-DM78</f>
        <v>14522.599999999997</v>
      </c>
      <c r="DN21" s="898">
        <f>DM21+DN82-DN78</f>
        <v>13634.499999999996</v>
      </c>
      <c r="DO21" s="898">
        <f>DN21+DO82-DO78</f>
        <v>17820.699999999997</v>
      </c>
      <c r="DP21" s="898">
        <f>DO21+DP82-DP78</f>
        <v>22036.699999999997</v>
      </c>
      <c r="DQ21" s="898">
        <f>DP21+DQ82-DQ78</f>
        <v>25448.1</v>
      </c>
      <c r="DR21" s="898">
        <f>DQ21+DR82-DR78</f>
        <v>27111.1</v>
      </c>
      <c r="DS21" s="898">
        <f>DR21+DS82-DS78</f>
        <v>25084.499999999996</v>
      </c>
      <c r="DT21" s="898">
        <f>DS21+DT82-DT78</f>
        <v>21034.499999999996</v>
      </c>
      <c r="DU21" s="898">
        <f>DT21+DU82-DU78</f>
        <v>16583.099999999999</v>
      </c>
      <c r="DV21" s="898">
        <f>DU21+DV82-DV78</f>
        <v>18302.099999999999</v>
      </c>
      <c r="DW21" s="898">
        <f>DV21+DW82-DW78</f>
        <v>17404.399999999998</v>
      </c>
      <c r="DX21" s="989"/>
    </row>
    <row r="22" spans="1:128" s="698" customFormat="1" ht="18.75" hidden="1">
      <c r="A22" s="683"/>
      <c r="B22" s="684" t="s">
        <v>119</v>
      </c>
      <c r="C22" s="685"/>
      <c r="D22" s="686"/>
      <c r="E22" s="687"/>
      <c r="F22" s="687"/>
      <c r="G22" s="687"/>
      <c r="H22" s="687"/>
      <c r="I22" s="687"/>
      <c r="J22" s="687"/>
      <c r="K22" s="687"/>
      <c r="L22" s="687"/>
      <c r="M22" s="687"/>
      <c r="N22" s="687"/>
      <c r="O22" s="687"/>
      <c r="P22" s="688"/>
      <c r="Q22" s="689"/>
      <c r="R22" s="686"/>
      <c r="S22" s="690"/>
      <c r="T22" s="690"/>
      <c r="U22" s="690"/>
      <c r="V22" s="690"/>
      <c r="W22" s="690"/>
      <c r="X22" s="690"/>
      <c r="Y22" s="690"/>
      <c r="Z22" s="690"/>
      <c r="AA22" s="690"/>
      <c r="AB22" s="690"/>
      <c r="AC22" s="690"/>
      <c r="AD22" s="691"/>
      <c r="AE22" s="692"/>
      <c r="AF22" s="690"/>
      <c r="AG22" s="690"/>
      <c r="AH22" s="690"/>
      <c r="AI22" s="690"/>
      <c r="AJ22" s="693"/>
      <c r="AK22" s="690"/>
      <c r="AL22" s="690"/>
      <c r="AM22" s="690"/>
      <c r="AN22" s="690"/>
      <c r="AO22" s="690"/>
      <c r="AP22" s="694"/>
      <c r="AQ22" s="690"/>
      <c r="AR22" s="690"/>
      <c r="AS22" s="692"/>
      <c r="AT22" s="690"/>
      <c r="AU22" s="690"/>
      <c r="AV22" s="690"/>
      <c r="AW22" s="690"/>
      <c r="AX22" s="690"/>
      <c r="AY22" s="690"/>
      <c r="AZ22" s="690"/>
      <c r="BA22" s="690"/>
      <c r="BB22" s="695"/>
      <c r="BC22" s="690"/>
      <c r="BD22" s="690"/>
      <c r="BE22" s="690"/>
      <c r="BF22" s="690"/>
      <c r="BG22" s="696"/>
      <c r="BH22" s="690"/>
      <c r="BI22" s="690"/>
      <c r="BJ22" s="690"/>
      <c r="BK22" s="690"/>
      <c r="BL22" s="690"/>
      <c r="BM22" s="690"/>
      <c r="BN22" s="690"/>
      <c r="BO22" s="690"/>
      <c r="BP22" s="690"/>
      <c r="BQ22" s="690"/>
      <c r="BR22" s="690"/>
      <c r="BS22" s="690"/>
      <c r="BT22" s="690"/>
      <c r="BU22" s="697"/>
      <c r="BV22" s="690"/>
      <c r="BW22" s="690"/>
      <c r="BX22" s="690"/>
      <c r="BY22" s="690"/>
      <c r="BZ22" s="690"/>
      <c r="CA22" s="690"/>
      <c r="CB22" s="690"/>
      <c r="CC22" s="690"/>
      <c r="CD22" s="690"/>
      <c r="CE22" s="690"/>
      <c r="CF22" s="690"/>
      <c r="CG22" s="690"/>
      <c r="CH22" s="690"/>
      <c r="CI22" s="707"/>
      <c r="CJ22" s="690"/>
      <c r="CK22" s="690"/>
      <c r="CL22" s="690"/>
      <c r="CM22" s="690"/>
      <c r="CN22" s="690"/>
      <c r="CO22" s="690"/>
      <c r="CP22" s="690"/>
      <c r="CQ22" s="690"/>
      <c r="CR22" s="690"/>
      <c r="CS22" s="756">
        <v>28927</v>
      </c>
      <c r="CT22" s="756">
        <f>CS22+CT83-CT79</f>
        <v>14387</v>
      </c>
      <c r="CU22" s="756">
        <f>CT22+CU83-CU79</f>
        <v>51731</v>
      </c>
      <c r="CV22" s="757"/>
      <c r="CW22" s="758"/>
      <c r="CX22" s="690">
        <v>6272</v>
      </c>
      <c r="CY22" s="690">
        <v>6499</v>
      </c>
      <c r="CZ22" s="690">
        <f>CY22+CZ83-CZ79+CZ16</f>
        <v>100175</v>
      </c>
      <c r="DA22" s="690">
        <f>CZ22+DA83-DA79+DA16</f>
        <v>146957</v>
      </c>
      <c r="DB22" s="690">
        <f>DA22+DB83-DB79+DB16</f>
        <v>160468</v>
      </c>
      <c r="DC22" s="690">
        <f>DB22+DC83-DC79+DC16</f>
        <v>204704</v>
      </c>
      <c r="DD22" s="690">
        <f>DC22+DD83-DD79+DD16</f>
        <v>195018.1</v>
      </c>
      <c r="DE22" s="690">
        <f>DD22+DE83-DE79+DE16</f>
        <v>186432.2</v>
      </c>
      <c r="DF22" s="690">
        <f>DE22+DF83-DF79+DF16</f>
        <v>165509.30000000002</v>
      </c>
      <c r="DG22" s="690">
        <f>DF22+DG83-DG79+DG16</f>
        <v>157352.6</v>
      </c>
      <c r="DH22" s="690">
        <f>DG22+DH83-DH79+DH16</f>
        <v>153274.25</v>
      </c>
      <c r="DI22" s="690">
        <f>DH22+DI83-DI79+DI16</f>
        <v>199974.25</v>
      </c>
      <c r="DJ22" s="756"/>
      <c r="DK22" s="948"/>
      <c r="DL22" s="690">
        <f>DI22+DL83-DL79+DL16</f>
        <v>214244.25</v>
      </c>
      <c r="DM22" s="690">
        <f>DL22+DM83-DM79+DM16</f>
        <v>207330.25</v>
      </c>
      <c r="DN22" s="690">
        <f>DM22+DN83-DN79+DN16</f>
        <v>212006.25</v>
      </c>
      <c r="DO22" s="690">
        <f>DN22+DO83-DO79+DO16</f>
        <v>199788.25</v>
      </c>
      <c r="DP22" s="690">
        <f>DO22+DP83-DP79+DP16</f>
        <v>190299.25</v>
      </c>
      <c r="DQ22" s="690">
        <f>DP22+DQ83-DQ79+DQ16</f>
        <v>225535.25</v>
      </c>
      <c r="DR22" s="690">
        <f>DQ22+DR83-DR79+DR16</f>
        <v>215849.35</v>
      </c>
      <c r="DS22" s="690">
        <f>DR22+DS83-DS79+DS16</f>
        <v>207263.45</v>
      </c>
      <c r="DT22" s="690">
        <f>DS22+DT83-DT79+DT16</f>
        <v>186340.55000000002</v>
      </c>
      <c r="DU22" s="690">
        <f>DT22+DU83-DU79+DU16</f>
        <v>178183.85</v>
      </c>
      <c r="DV22" s="690">
        <f>DU22+DV83-DV79+DV16</f>
        <v>174105.5</v>
      </c>
      <c r="DW22" s="690">
        <f>DV22+DW83-DW79+DW16</f>
        <v>220805.5</v>
      </c>
      <c r="DX22" s="756"/>
    </row>
    <row r="23" spans="1:128" ht="18.75" hidden="1">
      <c r="A23" s="19">
        <v>2</v>
      </c>
      <c r="B23" s="684" t="s">
        <v>35</v>
      </c>
      <c r="C23" s="903"/>
      <c r="D23" s="265">
        <v>73670</v>
      </c>
      <c r="E23" s="20">
        <v>59682</v>
      </c>
      <c r="F23" s="20">
        <v>54710</v>
      </c>
      <c r="G23" s="20">
        <v>56175</v>
      </c>
      <c r="H23" s="20">
        <v>58933</v>
      </c>
      <c r="I23" s="20">
        <v>42784</v>
      </c>
      <c r="J23" s="20">
        <v>35755</v>
      </c>
      <c r="K23" s="20">
        <v>33547</v>
      </c>
      <c r="L23" s="20">
        <v>22824</v>
      </c>
      <c r="M23" s="20">
        <v>26162</v>
      </c>
      <c r="N23" s="20"/>
      <c r="O23" s="20">
        <v>44389</v>
      </c>
      <c r="P23" s="266"/>
      <c r="Q23" s="21"/>
      <c r="R23" s="265">
        <v>39759</v>
      </c>
      <c r="S23" s="22">
        <v>38325</v>
      </c>
      <c r="T23" s="22">
        <v>26634</v>
      </c>
      <c r="U23" s="22">
        <f>14430+2754+7859</f>
        <v>25043</v>
      </c>
      <c r="V23" s="22">
        <v>23840</v>
      </c>
      <c r="W23" s="22">
        <v>20057</v>
      </c>
      <c r="X23" s="22">
        <v>80502</v>
      </c>
      <c r="Y23" s="22">
        <v>56483</v>
      </c>
      <c r="Z23" s="22">
        <v>44233</v>
      </c>
      <c r="AA23" s="22">
        <v>38155</v>
      </c>
      <c r="AB23" s="22">
        <v>27540</v>
      </c>
      <c r="AC23" s="22">
        <v>25060</v>
      </c>
      <c r="AD23" s="267"/>
      <c r="AE23" s="23"/>
      <c r="AF23" s="22">
        <v>21326</v>
      </c>
      <c r="AG23" s="22">
        <v>17804</v>
      </c>
      <c r="AH23" s="22">
        <v>27157</v>
      </c>
      <c r="AI23" s="22">
        <v>19677</v>
      </c>
      <c r="AJ23" s="22">
        <v>18817</v>
      </c>
      <c r="AK23" s="22">
        <v>25034</v>
      </c>
      <c r="AL23" s="22">
        <v>28090</v>
      </c>
      <c r="AM23" s="22">
        <v>25660</v>
      </c>
      <c r="AN23" s="22">
        <v>33752</v>
      </c>
      <c r="AO23" s="22">
        <v>24699</v>
      </c>
      <c r="AP23" s="25">
        <v>19340</v>
      </c>
      <c r="AQ23" s="22">
        <v>29842</v>
      </c>
      <c r="AR23" s="22">
        <f t="shared" si="11"/>
        <v>29842</v>
      </c>
      <c r="AS23" s="23"/>
      <c r="AT23" s="22">
        <v>46493</v>
      </c>
      <c r="AU23" s="22">
        <v>37125</v>
      </c>
      <c r="AV23" s="22">
        <v>38574</v>
      </c>
      <c r="AW23" s="22">
        <v>43626</v>
      </c>
      <c r="AX23" s="22">
        <v>39641</v>
      </c>
      <c r="AY23" s="22">
        <v>55553</v>
      </c>
      <c r="AZ23" s="22">
        <v>48023</v>
      </c>
      <c r="BA23" s="22">
        <v>55043</v>
      </c>
      <c r="BB23" s="26">
        <v>50383</v>
      </c>
      <c r="BC23" s="22">
        <v>54355</v>
      </c>
      <c r="BD23" s="22">
        <v>82473</v>
      </c>
      <c r="BE23" s="22">
        <v>65398</v>
      </c>
      <c r="BF23" s="22">
        <f t="shared" si="13"/>
        <v>65398</v>
      </c>
      <c r="BG23" s="27"/>
      <c r="BH23" s="22">
        <v>68747</v>
      </c>
      <c r="BI23" s="22">
        <v>62843</v>
      </c>
      <c r="BJ23" s="22">
        <v>62154</v>
      </c>
      <c r="BK23" s="22">
        <v>49337</v>
      </c>
      <c r="BL23" s="22">
        <v>27730</v>
      </c>
      <c r="BM23" s="22">
        <v>42459</v>
      </c>
      <c r="BN23" s="22">
        <v>44049</v>
      </c>
      <c r="BO23" s="22">
        <v>29196</v>
      </c>
      <c r="BP23" s="22">
        <v>36882</v>
      </c>
      <c r="BQ23" s="22">
        <v>35965</v>
      </c>
      <c r="BR23" s="22">
        <v>31343</v>
      </c>
      <c r="BS23" s="22">
        <v>23087</v>
      </c>
      <c r="BT23" s="22">
        <f t="shared" ref="BT23:BT31" si="32">BS23</f>
        <v>23087</v>
      </c>
      <c r="BU23" s="28"/>
      <c r="BV23" s="22">
        <v>15202</v>
      </c>
      <c r="BW23" s="22">
        <v>12471</v>
      </c>
      <c r="BX23" s="22">
        <v>11483</v>
      </c>
      <c r="BY23" s="22">
        <v>14071</v>
      </c>
      <c r="BZ23" s="22">
        <v>49617</v>
      </c>
      <c r="CA23" s="22">
        <v>36385</v>
      </c>
      <c r="CB23" s="22">
        <v>25473</v>
      </c>
      <c r="CC23" s="22">
        <v>16933</v>
      </c>
      <c r="CD23" s="22">
        <v>12684</v>
      </c>
      <c r="CE23" s="22">
        <v>21084</v>
      </c>
      <c r="CF23" s="22">
        <v>15172</v>
      </c>
      <c r="CG23" s="22">
        <v>11469</v>
      </c>
      <c r="CH23" s="22">
        <f>CG23</f>
        <v>11469</v>
      </c>
      <c r="CI23">
        <f>7500*5</f>
        <v>37500</v>
      </c>
      <c r="CJ23" s="22">
        <v>9465</v>
      </c>
      <c r="CK23" s="22">
        <v>13722</v>
      </c>
      <c r="CL23" s="22">
        <v>10771</v>
      </c>
      <c r="CM23" s="22">
        <v>8538</v>
      </c>
      <c r="CN23" s="22"/>
      <c r="CO23" s="22"/>
      <c r="CP23" s="22"/>
      <c r="CQ23" s="22"/>
      <c r="CR23" s="22"/>
      <c r="CS23" s="22">
        <v>4128</v>
      </c>
      <c r="CT23" s="22"/>
      <c r="CU23" s="22"/>
      <c r="CV23" s="22">
        <v>0</v>
      </c>
      <c r="CW23" s="758"/>
      <c r="CX23" s="870"/>
      <c r="CY23" s="870"/>
      <c r="CZ23" s="870"/>
      <c r="DA23" s="870"/>
      <c r="DB23" s="870"/>
      <c r="DC23" s="870"/>
      <c r="DD23" s="870"/>
      <c r="DE23" s="870"/>
      <c r="DF23" s="870"/>
      <c r="DG23" s="870"/>
      <c r="DH23" s="870"/>
      <c r="DI23" s="870"/>
      <c r="DJ23" s="22">
        <v>0</v>
      </c>
      <c r="DK23" s="948"/>
      <c r="DL23" s="870"/>
      <c r="DM23" s="870"/>
      <c r="DN23" s="870"/>
      <c r="DO23" s="870"/>
      <c r="DP23" s="870"/>
      <c r="DQ23" s="870"/>
      <c r="DR23" s="870"/>
      <c r="DS23" s="870"/>
      <c r="DT23" s="870"/>
      <c r="DU23" s="870"/>
      <c r="DV23" s="870"/>
      <c r="DW23" s="870"/>
      <c r="DX23" s="22">
        <v>0</v>
      </c>
    </row>
    <row r="24" spans="1:128" ht="18.75" hidden="1">
      <c r="A24" s="19">
        <v>3</v>
      </c>
      <c r="B24" s="684" t="s">
        <v>36</v>
      </c>
      <c r="C24" s="903"/>
      <c r="D24" s="268">
        <v>34116</v>
      </c>
      <c r="E24" s="269">
        <v>29277</v>
      </c>
      <c r="F24" s="269">
        <v>43008</v>
      </c>
      <c r="G24" s="269">
        <v>30524</v>
      </c>
      <c r="H24" s="269">
        <v>33235</v>
      </c>
      <c r="I24" s="269">
        <v>39842</v>
      </c>
      <c r="J24" s="269">
        <v>41021</v>
      </c>
      <c r="K24" s="269">
        <v>31224</v>
      </c>
      <c r="L24" s="269"/>
      <c r="M24" s="269">
        <v>10286</v>
      </c>
      <c r="N24" s="269"/>
      <c r="O24" s="269"/>
      <c r="P24" s="266"/>
      <c r="Q24" s="21"/>
      <c r="R24" s="268">
        <v>35516</v>
      </c>
      <c r="S24" s="270">
        <v>35962</v>
      </c>
      <c r="T24" s="270">
        <v>35962</v>
      </c>
      <c r="U24" s="270">
        <v>35962</v>
      </c>
      <c r="V24" s="270">
        <v>35000</v>
      </c>
      <c r="W24" s="270"/>
      <c r="X24" s="270">
        <v>6123</v>
      </c>
      <c r="Y24" s="270">
        <v>6123</v>
      </c>
      <c r="Z24" s="270">
        <v>4187</v>
      </c>
      <c r="AA24" s="270">
        <v>2745</v>
      </c>
      <c r="AB24" s="270"/>
      <c r="AC24" s="270"/>
      <c r="AD24" s="267"/>
      <c r="AE24" s="23"/>
      <c r="AF24" s="270">
        <v>8366</v>
      </c>
      <c r="AG24" s="270">
        <v>11534</v>
      </c>
      <c r="AH24" s="270">
        <v>11507</v>
      </c>
      <c r="AI24" s="270">
        <v>9148</v>
      </c>
      <c r="AJ24" s="22">
        <v>8524</v>
      </c>
      <c r="AK24" s="270">
        <v>25290</v>
      </c>
      <c r="AL24" s="270">
        <v>91080</v>
      </c>
      <c r="AM24" s="270">
        <v>66830</v>
      </c>
      <c r="AN24" s="270">
        <v>36866</v>
      </c>
      <c r="AO24" s="270">
        <v>16173</v>
      </c>
      <c r="AP24" s="271">
        <v>178274</v>
      </c>
      <c r="AQ24" s="270">
        <v>210665</v>
      </c>
      <c r="AR24" s="22">
        <f t="shared" si="11"/>
        <v>210665</v>
      </c>
      <c r="AS24" s="23"/>
      <c r="AT24" s="270">
        <v>121075</v>
      </c>
      <c r="AU24" s="270">
        <v>149376</v>
      </c>
      <c r="AV24" s="270">
        <v>104538</v>
      </c>
      <c r="AW24" s="270">
        <v>105262</v>
      </c>
      <c r="AX24" s="270">
        <v>121073</v>
      </c>
      <c r="AY24" s="270">
        <v>163931</v>
      </c>
      <c r="AZ24" s="270">
        <v>109964</v>
      </c>
      <c r="BA24" s="270">
        <v>148266</v>
      </c>
      <c r="BB24" s="26">
        <v>130697</v>
      </c>
      <c r="BC24" s="270">
        <v>113779</v>
      </c>
      <c r="BD24" s="270">
        <v>91119</v>
      </c>
      <c r="BE24" s="270">
        <v>103286</v>
      </c>
      <c r="BF24" s="22">
        <f t="shared" si="13"/>
        <v>103286</v>
      </c>
      <c r="BG24" s="27"/>
      <c r="BH24" s="270">
        <v>49631</v>
      </c>
      <c r="BI24" s="270">
        <v>52953</v>
      </c>
      <c r="BJ24" s="270">
        <v>28440</v>
      </c>
      <c r="BK24" s="270">
        <v>83601</v>
      </c>
      <c r="BL24" s="22">
        <v>25812</v>
      </c>
      <c r="BM24" s="22">
        <v>59545</v>
      </c>
      <c r="BN24" s="22">
        <v>83435</v>
      </c>
      <c r="BO24" s="22">
        <v>34041</v>
      </c>
      <c r="BP24" s="22">
        <v>22399</v>
      </c>
      <c r="BQ24" s="22">
        <v>24887</v>
      </c>
      <c r="BR24" s="22">
        <v>12183</v>
      </c>
      <c r="BS24" s="22">
        <v>12183</v>
      </c>
      <c r="BT24" s="22">
        <f t="shared" si="32"/>
        <v>12183</v>
      </c>
      <c r="BU24" s="28"/>
      <c r="BV24" s="270">
        <v>5216</v>
      </c>
      <c r="BW24" s="270"/>
      <c r="BX24" s="270">
        <v>65273</v>
      </c>
      <c r="BY24" s="270">
        <v>70182</v>
      </c>
      <c r="BZ24" s="22">
        <v>57659</v>
      </c>
      <c r="CA24" s="22">
        <v>71669</v>
      </c>
      <c r="CB24" s="22">
        <v>73078</v>
      </c>
      <c r="CC24" s="22">
        <v>85302</v>
      </c>
      <c r="CD24" s="22">
        <v>25343</v>
      </c>
      <c r="CE24" s="22">
        <v>19030</v>
      </c>
      <c r="CF24" s="22">
        <v>19422</v>
      </c>
      <c r="CG24" s="22">
        <v>25927</v>
      </c>
      <c r="CH24" s="22">
        <f>CG24</f>
        <v>25927</v>
      </c>
      <c r="CI24">
        <v>29000</v>
      </c>
      <c r="CJ24" s="270">
        <v>21580</v>
      </c>
      <c r="CK24" s="270">
        <v>18052</v>
      </c>
      <c r="CL24" s="270">
        <v>30722</v>
      </c>
      <c r="CM24" s="270">
        <v>33641</v>
      </c>
      <c r="CN24" s="22"/>
      <c r="CO24" s="22"/>
      <c r="CP24" s="22"/>
      <c r="CQ24" s="22"/>
      <c r="CR24" s="22"/>
      <c r="CS24" s="22">
        <v>10634</v>
      </c>
      <c r="CT24" s="22"/>
      <c r="CU24" s="22"/>
      <c r="CV24" s="22">
        <v>0</v>
      </c>
      <c r="CW24" s="758"/>
      <c r="CX24" s="871">
        <v>29749</v>
      </c>
      <c r="CY24" s="871">
        <v>27364</v>
      </c>
      <c r="CZ24" s="871"/>
      <c r="DA24" s="871"/>
      <c r="DB24" s="870"/>
      <c r="DC24" s="870"/>
      <c r="DD24" s="870"/>
      <c r="DE24" s="870"/>
      <c r="DF24" s="870"/>
      <c r="DG24" s="870"/>
      <c r="DH24" s="870"/>
      <c r="DI24" s="870"/>
      <c r="DJ24" s="22">
        <v>0</v>
      </c>
      <c r="DK24" s="948"/>
      <c r="DL24" s="871"/>
      <c r="DM24" s="871"/>
      <c r="DN24" s="871"/>
      <c r="DO24" s="871"/>
      <c r="DP24" s="870"/>
      <c r="DQ24" s="870"/>
      <c r="DR24" s="870"/>
      <c r="DS24" s="870"/>
      <c r="DT24" s="870"/>
      <c r="DU24" s="870"/>
      <c r="DV24" s="870"/>
      <c r="DW24" s="870"/>
      <c r="DX24" s="22">
        <v>0</v>
      </c>
    </row>
    <row r="25" spans="1:128" ht="18.75" hidden="1">
      <c r="A25" s="19">
        <v>4</v>
      </c>
      <c r="B25" s="684" t="s">
        <v>37</v>
      </c>
      <c r="C25" s="903"/>
      <c r="D25" s="268">
        <v>34116</v>
      </c>
      <c r="E25" s="269">
        <v>29277</v>
      </c>
      <c r="F25" s="269">
        <v>43008</v>
      </c>
      <c r="G25" s="269">
        <v>30524</v>
      </c>
      <c r="H25" s="269">
        <v>33235</v>
      </c>
      <c r="I25" s="269">
        <v>39842</v>
      </c>
      <c r="J25" s="269">
        <v>41021</v>
      </c>
      <c r="K25" s="269">
        <v>31224</v>
      </c>
      <c r="L25" s="269"/>
      <c r="M25" s="269">
        <v>10286</v>
      </c>
      <c r="N25" s="269"/>
      <c r="O25" s="269"/>
      <c r="P25" s="266"/>
      <c r="Q25" s="21"/>
      <c r="R25" s="268">
        <v>35516</v>
      </c>
      <c r="S25" s="270">
        <v>35962</v>
      </c>
      <c r="T25" s="270">
        <v>35962</v>
      </c>
      <c r="U25" s="270">
        <v>35962</v>
      </c>
      <c r="V25" s="270">
        <v>35000</v>
      </c>
      <c r="W25" s="270"/>
      <c r="X25" s="270">
        <v>6123</v>
      </c>
      <c r="Y25" s="270">
        <v>6123</v>
      </c>
      <c r="Z25" s="270">
        <v>4187</v>
      </c>
      <c r="AA25" s="270">
        <v>2745</v>
      </c>
      <c r="AB25" s="270"/>
      <c r="AC25" s="270"/>
      <c r="AD25" s="267"/>
      <c r="AE25" s="23"/>
      <c r="AF25" s="270">
        <v>8366</v>
      </c>
      <c r="AG25" s="270">
        <v>11534</v>
      </c>
      <c r="AH25" s="270">
        <v>11507</v>
      </c>
      <c r="AI25" s="270">
        <v>9148</v>
      </c>
      <c r="AJ25" s="22">
        <v>8524</v>
      </c>
      <c r="AK25" s="270">
        <v>25290</v>
      </c>
      <c r="AL25" s="270">
        <v>91080</v>
      </c>
      <c r="AM25" s="270">
        <v>66830</v>
      </c>
      <c r="AN25" s="270">
        <v>36866</v>
      </c>
      <c r="AO25" s="270">
        <v>16173</v>
      </c>
      <c r="AP25" s="271">
        <v>178274</v>
      </c>
      <c r="AQ25" s="270">
        <v>210665</v>
      </c>
      <c r="AR25" s="22">
        <f t="shared" si="11"/>
        <v>210665</v>
      </c>
      <c r="AS25" s="23"/>
      <c r="AT25" s="270">
        <v>121075</v>
      </c>
      <c r="AU25" s="270">
        <v>149376</v>
      </c>
      <c r="AV25" s="270">
        <v>104538</v>
      </c>
      <c r="AW25" s="270">
        <v>105262</v>
      </c>
      <c r="AX25" s="270">
        <v>121073</v>
      </c>
      <c r="AY25" s="270">
        <v>163931</v>
      </c>
      <c r="AZ25" s="270">
        <v>109964</v>
      </c>
      <c r="BA25" s="270">
        <v>148266</v>
      </c>
      <c r="BB25" s="26">
        <v>130697</v>
      </c>
      <c r="BC25" s="270">
        <v>113779</v>
      </c>
      <c r="BD25" s="270">
        <v>91119</v>
      </c>
      <c r="BE25" s="270">
        <v>103286</v>
      </c>
      <c r="BF25" s="22">
        <f t="shared" si="13"/>
        <v>103286</v>
      </c>
      <c r="BG25" s="27"/>
      <c r="BH25" s="270">
        <v>49631</v>
      </c>
      <c r="BI25" s="270">
        <v>52953</v>
      </c>
      <c r="BJ25" s="270">
        <v>28440</v>
      </c>
      <c r="BK25" s="270">
        <v>83601</v>
      </c>
      <c r="BL25" s="22">
        <v>25812</v>
      </c>
      <c r="BM25" s="22">
        <v>59545</v>
      </c>
      <c r="BN25" s="22">
        <v>83435</v>
      </c>
      <c r="BO25" s="22">
        <v>34041</v>
      </c>
      <c r="BP25" s="22">
        <v>22399</v>
      </c>
      <c r="BQ25" s="22">
        <v>24887</v>
      </c>
      <c r="BR25" s="22">
        <v>12183</v>
      </c>
      <c r="BS25" s="22">
        <v>12183</v>
      </c>
      <c r="BT25" s="22">
        <f t="shared" si="32"/>
        <v>12183</v>
      </c>
      <c r="BU25" s="28"/>
      <c r="BV25" s="270"/>
      <c r="BW25" s="270"/>
      <c r="BX25" s="270"/>
      <c r="BY25" s="270"/>
      <c r="BZ25" s="22"/>
      <c r="CA25" s="22"/>
      <c r="CB25" s="22"/>
      <c r="CC25" s="22"/>
      <c r="CD25" s="22">
        <v>6361</v>
      </c>
      <c r="CE25" s="22">
        <v>7759</v>
      </c>
      <c r="CF25" s="22">
        <v>6573</v>
      </c>
      <c r="CG25" s="22">
        <v>9541</v>
      </c>
      <c r="CH25" s="22">
        <f t="shared" si="30"/>
        <v>9541</v>
      </c>
      <c r="CI25">
        <f>CI20+CI23-CI24</f>
        <v>122500</v>
      </c>
      <c r="CJ25" s="270">
        <v>9582</v>
      </c>
      <c r="CK25" s="270">
        <v>7266</v>
      </c>
      <c r="CL25" s="270">
        <v>11364</v>
      </c>
      <c r="CM25" s="270">
        <v>10698</v>
      </c>
      <c r="CN25" s="22"/>
      <c r="CO25" s="22"/>
      <c r="CP25" s="22"/>
      <c r="CQ25" s="22"/>
      <c r="CR25" s="22"/>
      <c r="CS25" s="22">
        <v>2650</v>
      </c>
      <c r="CT25" s="22"/>
      <c r="CU25" s="22"/>
      <c r="CV25" s="22">
        <v>0</v>
      </c>
      <c r="CW25" s="758"/>
      <c r="CX25" s="871">
        <v>13676</v>
      </c>
      <c r="CY25" s="871">
        <v>12313</v>
      </c>
      <c r="CZ25" s="871"/>
      <c r="DA25" s="871"/>
      <c r="DB25" s="870"/>
      <c r="DC25" s="870"/>
      <c r="DD25" s="870"/>
      <c r="DE25" s="870"/>
      <c r="DF25" s="870"/>
      <c r="DG25" s="870"/>
      <c r="DH25" s="870"/>
      <c r="DI25" s="870"/>
      <c r="DJ25" s="22">
        <v>0</v>
      </c>
      <c r="DK25" s="948"/>
      <c r="DL25" s="871"/>
      <c r="DM25" s="871"/>
      <c r="DN25" s="871"/>
      <c r="DO25" s="871"/>
      <c r="DP25" s="870"/>
      <c r="DQ25" s="870"/>
      <c r="DR25" s="870"/>
      <c r="DS25" s="870"/>
      <c r="DT25" s="870"/>
      <c r="DU25" s="870"/>
      <c r="DV25" s="870"/>
      <c r="DW25" s="870"/>
      <c r="DX25" s="22">
        <v>0</v>
      </c>
    </row>
    <row r="26" spans="1:128" ht="18.75" hidden="1">
      <c r="A26" s="19">
        <v>1</v>
      </c>
      <c r="B26" s="904" t="s">
        <v>38</v>
      </c>
      <c r="C26" s="905"/>
      <c r="D26" s="265">
        <v>6409</v>
      </c>
      <c r="E26" s="20">
        <v>6860</v>
      </c>
      <c r="F26" s="20">
        <v>4970</v>
      </c>
      <c r="G26" s="20">
        <v>31203</v>
      </c>
      <c r="H26" s="20">
        <v>31499</v>
      </c>
      <c r="I26" s="20">
        <v>25903</v>
      </c>
      <c r="J26" s="20">
        <v>18606</v>
      </c>
      <c r="K26" s="20">
        <v>16014</v>
      </c>
      <c r="L26" s="20">
        <v>13416</v>
      </c>
      <c r="M26" s="20">
        <v>40079</v>
      </c>
      <c r="N26" s="20"/>
      <c r="O26" s="20">
        <v>0</v>
      </c>
      <c r="P26" s="266"/>
      <c r="Q26" s="21"/>
      <c r="R26" s="265">
        <v>3376</v>
      </c>
      <c r="S26" s="22">
        <v>11736</v>
      </c>
      <c r="T26" s="22">
        <v>22454</v>
      </c>
      <c r="U26" s="22">
        <v>21384</v>
      </c>
      <c r="V26" s="22">
        <v>66870</v>
      </c>
      <c r="W26" s="22">
        <v>73769</v>
      </c>
      <c r="X26" s="22">
        <v>13944</v>
      </c>
      <c r="Y26" s="22">
        <v>32750</v>
      </c>
      <c r="Z26" s="22">
        <v>18536</v>
      </c>
      <c r="AA26" s="22">
        <v>40211</v>
      </c>
      <c r="AB26" s="22">
        <v>44457</v>
      </c>
      <c r="AC26" s="22">
        <v>24504</v>
      </c>
      <c r="AD26" s="267"/>
      <c r="AE26" s="23"/>
      <c r="AF26" s="22">
        <v>18586</v>
      </c>
      <c r="AG26" s="22">
        <v>17539</v>
      </c>
      <c r="AH26" s="22">
        <v>20245</v>
      </c>
      <c r="AI26" s="22">
        <v>17669</v>
      </c>
      <c r="AJ26" s="22">
        <v>16769</v>
      </c>
      <c r="AK26" s="22">
        <v>31134</v>
      </c>
      <c r="AL26" s="22">
        <v>35711</v>
      </c>
      <c r="AM26" s="22">
        <v>29141</v>
      </c>
      <c r="AN26" s="22">
        <v>25307</v>
      </c>
      <c r="AO26" s="22">
        <v>35964</v>
      </c>
      <c r="AP26" s="25">
        <v>37378</v>
      </c>
      <c r="AQ26" s="22">
        <v>22159</v>
      </c>
      <c r="AR26" s="22">
        <f t="shared" si="11"/>
        <v>22159</v>
      </c>
      <c r="AS26" s="23"/>
      <c r="AT26" s="22">
        <v>24034</v>
      </c>
      <c r="AU26" s="270">
        <v>22061</v>
      </c>
      <c r="AV26" s="22">
        <v>22489</v>
      </c>
      <c r="AW26" s="22">
        <v>25124</v>
      </c>
      <c r="AX26" s="22">
        <v>22794</v>
      </c>
      <c r="AY26" s="22">
        <v>17777</v>
      </c>
      <c r="AZ26" s="22">
        <v>34345</v>
      </c>
      <c r="BA26" s="22">
        <v>17580</v>
      </c>
      <c r="BB26" s="26">
        <v>26992</v>
      </c>
      <c r="BC26" s="22">
        <v>21373</v>
      </c>
      <c r="BD26" s="22">
        <v>21202</v>
      </c>
      <c r="BE26" s="22">
        <v>19109</v>
      </c>
      <c r="BF26" s="22">
        <f t="shared" si="13"/>
        <v>19109</v>
      </c>
      <c r="BG26" s="27"/>
      <c r="BH26" s="22">
        <v>22216</v>
      </c>
      <c r="BI26" s="270">
        <v>19102</v>
      </c>
      <c r="BJ26" s="22">
        <v>20676</v>
      </c>
      <c r="BK26" s="22">
        <v>19892</v>
      </c>
      <c r="BL26" s="22">
        <v>48737</v>
      </c>
      <c r="BM26" s="22">
        <v>45521</v>
      </c>
      <c r="BN26" s="22">
        <v>41781</v>
      </c>
      <c r="BO26" s="22">
        <v>48019</v>
      </c>
      <c r="BP26" s="22">
        <v>43955</v>
      </c>
      <c r="BQ26" s="22">
        <v>41505</v>
      </c>
      <c r="BR26" s="22">
        <v>28306</v>
      </c>
      <c r="BS26" s="22">
        <v>23731</v>
      </c>
      <c r="BT26" s="22">
        <f t="shared" si="32"/>
        <v>23731</v>
      </c>
      <c r="BU26" s="28"/>
      <c r="BV26" s="22">
        <v>28505</v>
      </c>
      <c r="BW26" s="270">
        <v>25054</v>
      </c>
      <c r="BX26" s="22">
        <v>24396</v>
      </c>
      <c r="BY26" s="22">
        <v>21708</v>
      </c>
      <c r="BZ26" s="22">
        <v>17857</v>
      </c>
      <c r="CA26" s="22">
        <v>33103</v>
      </c>
      <c r="CB26" s="22">
        <v>29327</v>
      </c>
      <c r="CC26" s="22">
        <v>27562</v>
      </c>
      <c r="CD26" s="22">
        <v>19590</v>
      </c>
      <c r="CE26" s="22">
        <v>11730</v>
      </c>
      <c r="CF26" s="22">
        <v>10529</v>
      </c>
      <c r="CG26" s="22">
        <v>19978</v>
      </c>
      <c r="CH26" s="22">
        <f t="shared" si="30"/>
        <v>19978</v>
      </c>
      <c r="CJ26" s="22">
        <v>18456</v>
      </c>
      <c r="CK26" s="270">
        <v>15409</v>
      </c>
      <c r="CL26" s="22">
        <v>18755</v>
      </c>
      <c r="CM26" s="22">
        <v>15399</v>
      </c>
      <c r="CN26" s="22"/>
      <c r="CO26" s="22"/>
      <c r="CP26" s="22"/>
      <c r="CQ26" s="22"/>
      <c r="CR26" s="22"/>
      <c r="CS26" s="22">
        <v>14419</v>
      </c>
      <c r="CT26" s="22"/>
      <c r="CU26" s="22"/>
      <c r="CV26" s="22">
        <v>0</v>
      </c>
      <c r="CW26" s="758"/>
      <c r="CX26" s="870"/>
      <c r="CY26" s="871"/>
      <c r="CZ26" s="870"/>
      <c r="DA26" s="870"/>
      <c r="DB26" s="870"/>
      <c r="DC26" s="870"/>
      <c r="DD26" s="870"/>
      <c r="DE26" s="870"/>
      <c r="DF26" s="870"/>
      <c r="DG26" s="870"/>
      <c r="DH26" s="870"/>
      <c r="DI26" s="870"/>
      <c r="DJ26" s="22">
        <v>0</v>
      </c>
      <c r="DK26" s="948"/>
      <c r="DL26" s="870"/>
      <c r="DM26" s="871"/>
      <c r="DN26" s="870"/>
      <c r="DO26" s="870"/>
      <c r="DP26" s="870"/>
      <c r="DQ26" s="870"/>
      <c r="DR26" s="870"/>
      <c r="DS26" s="870"/>
      <c r="DT26" s="870"/>
      <c r="DU26" s="870"/>
      <c r="DV26" s="870"/>
      <c r="DW26" s="870"/>
      <c r="DX26" s="22">
        <v>0</v>
      </c>
    </row>
    <row r="27" spans="1:128" ht="18.75" hidden="1">
      <c r="A27" s="19">
        <v>0</v>
      </c>
      <c r="B27" s="904" t="s">
        <v>39</v>
      </c>
      <c r="C27" s="905"/>
      <c r="D27" s="265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66"/>
      <c r="Q27" s="21"/>
      <c r="R27" s="265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67"/>
      <c r="AE27" s="23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5"/>
      <c r="AQ27" s="22"/>
      <c r="AR27" s="22"/>
      <c r="AS27" s="23"/>
      <c r="AT27" s="22"/>
      <c r="AU27" s="270"/>
      <c r="AV27" s="22"/>
      <c r="AW27" s="22"/>
      <c r="AX27" s="22"/>
      <c r="AY27" s="22"/>
      <c r="AZ27" s="22"/>
      <c r="BA27" s="22"/>
      <c r="BB27" s="26"/>
      <c r="BC27" s="22"/>
      <c r="BD27" s="22"/>
      <c r="BE27" s="22"/>
      <c r="BF27" s="22"/>
      <c r="BG27" s="27"/>
      <c r="BH27" s="22"/>
      <c r="BI27" s="270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8"/>
      <c r="BV27" s="22"/>
      <c r="BW27" s="270"/>
      <c r="BX27" s="22"/>
      <c r="BY27" s="22"/>
      <c r="BZ27" s="22"/>
      <c r="CA27" s="22"/>
      <c r="CB27" s="22"/>
      <c r="CC27" s="22"/>
      <c r="CD27" s="22"/>
      <c r="CE27" s="22">
        <v>34501</v>
      </c>
      <c r="CF27" s="22">
        <v>18809</v>
      </c>
      <c r="CG27" s="22">
        <v>12618</v>
      </c>
      <c r="CH27" s="22"/>
      <c r="CJ27" s="22">
        <v>11940</v>
      </c>
      <c r="CK27" s="270">
        <v>19956</v>
      </c>
      <c r="CL27" s="22">
        <v>15650</v>
      </c>
      <c r="CM27" s="22">
        <v>12005</v>
      </c>
      <c r="CN27" s="22"/>
      <c r="CO27" s="22"/>
      <c r="CP27" s="22"/>
      <c r="CQ27" s="22"/>
      <c r="CR27" s="22"/>
      <c r="CS27" s="22">
        <v>6064</v>
      </c>
      <c r="CT27" s="22"/>
      <c r="CU27" s="22"/>
      <c r="CV27" s="22"/>
      <c r="CW27" s="758"/>
      <c r="CX27" s="870"/>
      <c r="CY27" s="871"/>
      <c r="CZ27" s="870"/>
      <c r="DA27" s="870"/>
      <c r="DB27" s="870"/>
      <c r="DC27" s="870"/>
      <c r="DD27" s="870"/>
      <c r="DE27" s="870"/>
      <c r="DF27" s="870"/>
      <c r="DG27" s="870"/>
      <c r="DH27" s="870"/>
      <c r="DI27" s="870"/>
      <c r="DJ27" s="22"/>
      <c r="DK27" s="948"/>
      <c r="DL27" s="870"/>
      <c r="DM27" s="871"/>
      <c r="DN27" s="870"/>
      <c r="DO27" s="870"/>
      <c r="DP27" s="870"/>
      <c r="DQ27" s="870"/>
      <c r="DR27" s="870"/>
      <c r="DS27" s="870"/>
      <c r="DT27" s="870"/>
      <c r="DU27" s="870"/>
      <c r="DV27" s="870"/>
      <c r="DW27" s="870"/>
      <c r="DX27" s="22"/>
    </row>
    <row r="28" spans="1:128" ht="18.75" hidden="1">
      <c r="A28" s="19">
        <v>0</v>
      </c>
      <c r="B28" s="904" t="s">
        <v>40</v>
      </c>
      <c r="C28" s="905"/>
      <c r="D28" s="265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66"/>
      <c r="Q28" s="21"/>
      <c r="R28" s="265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67"/>
      <c r="AE28" s="23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5"/>
      <c r="AQ28" s="22"/>
      <c r="AR28" s="22"/>
      <c r="AS28" s="23"/>
      <c r="AT28" s="22"/>
      <c r="AU28" s="270"/>
      <c r="AV28" s="22"/>
      <c r="AW28" s="22"/>
      <c r="AX28" s="22"/>
      <c r="AY28" s="22"/>
      <c r="AZ28" s="22"/>
      <c r="BA28" s="22"/>
      <c r="BB28" s="26"/>
      <c r="BC28" s="22"/>
      <c r="BD28" s="22"/>
      <c r="BE28" s="22"/>
      <c r="BF28" s="22"/>
      <c r="BG28" s="27"/>
      <c r="BH28" s="22"/>
      <c r="BI28" s="270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8"/>
      <c r="BV28" s="22"/>
      <c r="BW28" s="270"/>
      <c r="BX28" s="22"/>
      <c r="BY28" s="22"/>
      <c r="BZ28" s="22"/>
      <c r="CA28" s="22"/>
      <c r="CB28" s="22"/>
      <c r="CC28" s="22"/>
      <c r="CD28" s="22"/>
      <c r="CE28" s="22">
        <v>12837</v>
      </c>
      <c r="CF28" s="22">
        <v>11839</v>
      </c>
      <c r="CG28" s="22">
        <v>20519</v>
      </c>
      <c r="CH28" s="22"/>
      <c r="CJ28" s="22">
        <v>17816</v>
      </c>
      <c r="CK28" s="270">
        <v>17432</v>
      </c>
      <c r="CL28" s="22">
        <v>21670</v>
      </c>
      <c r="CM28" s="22">
        <v>19092</v>
      </c>
      <c r="CN28" s="22"/>
      <c r="CO28" s="22"/>
      <c r="CP28" s="22"/>
      <c r="CQ28" s="22"/>
      <c r="CR28" s="22"/>
      <c r="CS28" s="22">
        <v>20858</v>
      </c>
      <c r="CT28" s="22"/>
      <c r="CU28" s="22"/>
      <c r="CV28" s="22"/>
      <c r="CW28" s="758"/>
      <c r="CX28" s="870"/>
      <c r="CY28" s="871"/>
      <c r="CZ28" s="870"/>
      <c r="DA28" s="870"/>
      <c r="DB28" s="870"/>
      <c r="DC28" s="870"/>
      <c r="DD28" s="870"/>
      <c r="DE28" s="870"/>
      <c r="DF28" s="870"/>
      <c r="DG28" s="870"/>
      <c r="DH28" s="870"/>
      <c r="DI28" s="870"/>
      <c r="DJ28" s="22"/>
      <c r="DK28" s="948"/>
      <c r="DL28" s="870"/>
      <c r="DM28" s="871"/>
      <c r="DN28" s="870"/>
      <c r="DO28" s="870"/>
      <c r="DP28" s="870"/>
      <c r="DQ28" s="870"/>
      <c r="DR28" s="870"/>
      <c r="DS28" s="870"/>
      <c r="DT28" s="870"/>
      <c r="DU28" s="870"/>
      <c r="DV28" s="870"/>
      <c r="DW28" s="870"/>
      <c r="DX28" s="22"/>
    </row>
    <row r="29" spans="1:128" ht="18.75" hidden="1">
      <c r="A29" s="13" t="s">
        <v>42</v>
      </c>
      <c r="B29" s="908"/>
      <c r="C29" s="909" t="s">
        <v>43</v>
      </c>
      <c r="D29" s="277">
        <f>D20-D24</f>
        <v>162884</v>
      </c>
      <c r="E29" s="33">
        <f>E20+E26-E24-E67</f>
        <v>200610</v>
      </c>
      <c r="F29" s="33">
        <f>F20+F26-F24-F67</f>
        <v>192475</v>
      </c>
      <c r="G29" s="33">
        <f>G20+G26-G24-G67</f>
        <v>231853</v>
      </c>
      <c r="H29" s="33">
        <f>H20+H26-H24-H67</f>
        <v>253292</v>
      </c>
      <c r="I29" s="33">
        <f>I20+I26-I24-I67</f>
        <v>305688</v>
      </c>
      <c r="J29" s="33">
        <f>J20+J26-J24-J67</f>
        <v>355297</v>
      </c>
      <c r="K29" s="33">
        <f>K20+K26-K24-K67</f>
        <v>367201</v>
      </c>
      <c r="L29" s="33">
        <f>L20+L26-L24-L67</f>
        <v>407523</v>
      </c>
      <c r="M29" s="33">
        <f>M20+M26-M24-M67</f>
        <v>297747</v>
      </c>
      <c r="N29" s="33">
        <f>N20+N26-N24-N67</f>
        <v>0</v>
      </c>
      <c r="O29" s="33">
        <f>O20+O26-O24-O67</f>
        <v>143875</v>
      </c>
      <c r="P29" s="262">
        <f>J29</f>
        <v>355297</v>
      </c>
      <c r="Q29" s="15"/>
      <c r="R29" s="277">
        <f>R20-R24</f>
        <v>172568</v>
      </c>
      <c r="S29" s="14">
        <f>S20+S26-S24-S67</f>
        <v>244205</v>
      </c>
      <c r="T29" s="14">
        <f>T20+T26-T24-T67</f>
        <v>237108</v>
      </c>
      <c r="U29" s="14">
        <f>U20+U26-U24-U67</f>
        <v>222510</v>
      </c>
      <c r="V29" s="14">
        <f>V20+V26-V24-V67</f>
        <v>179647</v>
      </c>
      <c r="W29" s="14">
        <f>W20+W26-W24-W67</f>
        <v>289587</v>
      </c>
      <c r="X29" s="14">
        <f>X20+X26-X24-X67</f>
        <v>281331</v>
      </c>
      <c r="Y29" s="14">
        <f>Y20+Y26-Y24-Y67</f>
        <v>325686</v>
      </c>
      <c r="Z29" s="14">
        <f>Z20+Z26-Z24-Z67</f>
        <v>319329</v>
      </c>
      <c r="AA29" s="14">
        <f>AA20+AA26-AA24-AA67</f>
        <v>268663</v>
      </c>
      <c r="AB29" s="14">
        <f>AB20+AB26-AB24-AB67</f>
        <v>187543</v>
      </c>
      <c r="AC29" s="14">
        <f>AC20+AC26-AC24-AC67</f>
        <v>196995</v>
      </c>
      <c r="AD29" s="263">
        <f>X29</f>
        <v>281331</v>
      </c>
      <c r="AE29" s="16"/>
      <c r="AF29" s="14">
        <f t="shared" ref="AF29:AQ29" si="33">AF20+AF24+AF23</f>
        <v>228387</v>
      </c>
      <c r="AG29" s="14">
        <f t="shared" si="33"/>
        <v>263548</v>
      </c>
      <c r="AH29" s="14">
        <f t="shared" si="33"/>
        <v>366224</v>
      </c>
      <c r="AI29" s="14">
        <f t="shared" si="33"/>
        <v>361348</v>
      </c>
      <c r="AJ29" s="14">
        <f t="shared" si="33"/>
        <v>384008</v>
      </c>
      <c r="AK29" s="14">
        <f t="shared" si="33"/>
        <v>434489</v>
      </c>
      <c r="AL29" s="14">
        <f t="shared" si="33"/>
        <v>436438</v>
      </c>
      <c r="AM29" s="14">
        <f t="shared" si="33"/>
        <v>463198</v>
      </c>
      <c r="AN29" s="14">
        <f t="shared" si="33"/>
        <v>425121</v>
      </c>
      <c r="AO29" s="14">
        <f t="shared" si="33"/>
        <v>355477</v>
      </c>
      <c r="AP29" s="14">
        <f t="shared" si="33"/>
        <v>288104</v>
      </c>
      <c r="AQ29" s="14">
        <f t="shared" si="33"/>
        <v>298855</v>
      </c>
      <c r="AR29" s="14">
        <f t="shared" si="11"/>
        <v>298855</v>
      </c>
      <c r="AS29" s="17"/>
      <c r="AT29" s="14">
        <f t="shared" ref="AT29:BE29" si="34">AT20+AT24+AT23</f>
        <v>326269</v>
      </c>
      <c r="AU29" s="14">
        <f t="shared" si="34"/>
        <v>301870</v>
      </c>
      <c r="AV29" s="14">
        <f t="shared" si="34"/>
        <v>285491</v>
      </c>
      <c r="AW29" s="14">
        <f t="shared" si="34"/>
        <v>267653</v>
      </c>
      <c r="AX29" s="14">
        <f t="shared" si="34"/>
        <v>273960</v>
      </c>
      <c r="AY29" s="14">
        <f t="shared" si="34"/>
        <v>326260</v>
      </c>
      <c r="AZ29" s="14">
        <f t="shared" si="34"/>
        <v>333221</v>
      </c>
      <c r="BA29" s="14">
        <f t="shared" si="34"/>
        <v>354862</v>
      </c>
      <c r="BB29" s="14">
        <f t="shared" si="34"/>
        <v>348162</v>
      </c>
      <c r="BC29" s="14">
        <f t="shared" si="34"/>
        <v>319093</v>
      </c>
      <c r="BD29" s="14">
        <f t="shared" si="34"/>
        <v>293379</v>
      </c>
      <c r="BE29" s="14">
        <f t="shared" si="34"/>
        <v>234110</v>
      </c>
      <c r="BF29" s="32">
        <f t="shared" ref="BF29:BF30" si="35">SUM(AT29:BE29)</f>
        <v>3664330</v>
      </c>
      <c r="BG29" s="17"/>
      <c r="BH29" s="14">
        <f t="shared" ref="BH29:BS29" si="36">BH20+BH24+BH23</f>
        <v>285296</v>
      </c>
      <c r="BI29" s="14">
        <f t="shared" si="36"/>
        <v>282956</v>
      </c>
      <c r="BJ29" s="14">
        <f t="shared" si="36"/>
        <v>295165</v>
      </c>
      <c r="BK29" s="14">
        <f t="shared" si="36"/>
        <v>286135</v>
      </c>
      <c r="BL29" s="14">
        <f t="shared" si="36"/>
        <v>250340</v>
      </c>
      <c r="BM29" s="14">
        <f t="shared" si="36"/>
        <v>247600</v>
      </c>
      <c r="BN29" s="14">
        <f t="shared" si="36"/>
        <v>293505</v>
      </c>
      <c r="BO29" s="14">
        <f t="shared" si="36"/>
        <v>274542</v>
      </c>
      <c r="BP29" s="14">
        <f t="shared" si="36"/>
        <v>260352</v>
      </c>
      <c r="BQ29" s="14">
        <f>BQ20+BQ24+BQ23</f>
        <v>238595</v>
      </c>
      <c r="BR29" s="14">
        <f t="shared" si="36"/>
        <v>187546</v>
      </c>
      <c r="BS29" s="14">
        <f t="shared" si="36"/>
        <v>189617</v>
      </c>
      <c r="BT29" s="14">
        <f t="shared" si="32"/>
        <v>189617</v>
      </c>
      <c r="BU29" s="18"/>
      <c r="BV29" s="14">
        <f>BV20+BV24+BV23</f>
        <v>171889</v>
      </c>
      <c r="BW29" s="14">
        <f>BW20+BW26+BW23</f>
        <v>193178</v>
      </c>
      <c r="BX29" s="14">
        <f>BX20+BX24+BX23</f>
        <v>228367</v>
      </c>
      <c r="BY29" s="14">
        <f>BY20+BY24+BY23</f>
        <v>261297</v>
      </c>
      <c r="BZ29" s="14">
        <f>BZ20+BZ24+BZ23</f>
        <v>277757</v>
      </c>
      <c r="CA29" s="14">
        <f>CA20+CA24+CA23</f>
        <v>329719</v>
      </c>
      <c r="CB29" s="14">
        <f>CB20+CB24+CB23</f>
        <v>316656</v>
      </c>
      <c r="CC29" s="14">
        <f>CC20+CC24+CC23</f>
        <v>290388</v>
      </c>
      <c r="CD29" s="14">
        <f>CD20+CD24+CD23</f>
        <v>185778</v>
      </c>
      <c r="CE29" s="14">
        <f>CE20+CE24+CE23</f>
        <v>153110</v>
      </c>
      <c r="CF29" s="14">
        <f>CF20+CF24+CF23</f>
        <v>170562</v>
      </c>
      <c r="CG29" s="14">
        <f>CG20+CG24+CG23</f>
        <v>167396</v>
      </c>
      <c r="CH29" s="14">
        <f t="shared" si="30"/>
        <v>167396</v>
      </c>
      <c r="CJ29" s="14">
        <v>224424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758"/>
      <c r="CX29" s="873">
        <v>224424</v>
      </c>
      <c r="CY29" s="873">
        <v>0</v>
      </c>
      <c r="CZ29" s="873">
        <v>0</v>
      </c>
      <c r="DA29" s="873">
        <v>0</v>
      </c>
      <c r="DB29" s="873">
        <v>0</v>
      </c>
      <c r="DC29" s="873">
        <v>0</v>
      </c>
      <c r="DD29" s="873">
        <v>0</v>
      </c>
      <c r="DE29" s="873">
        <v>0</v>
      </c>
      <c r="DF29" s="873">
        <v>0</v>
      </c>
      <c r="DG29" s="873">
        <v>0</v>
      </c>
      <c r="DH29" s="873">
        <v>0</v>
      </c>
      <c r="DI29" s="873">
        <v>0</v>
      </c>
      <c r="DJ29" s="14">
        <v>0</v>
      </c>
      <c r="DK29" s="948"/>
      <c r="DL29" s="873">
        <v>224424</v>
      </c>
      <c r="DM29" s="873">
        <v>0</v>
      </c>
      <c r="DN29" s="873">
        <v>0</v>
      </c>
      <c r="DO29" s="873">
        <v>0</v>
      </c>
      <c r="DP29" s="873">
        <v>0</v>
      </c>
      <c r="DQ29" s="873">
        <v>0</v>
      </c>
      <c r="DR29" s="873">
        <v>0</v>
      </c>
      <c r="DS29" s="873">
        <v>0</v>
      </c>
      <c r="DT29" s="873">
        <v>0</v>
      </c>
      <c r="DU29" s="873">
        <v>0</v>
      </c>
      <c r="DV29" s="873">
        <v>0</v>
      </c>
      <c r="DW29" s="873">
        <v>0</v>
      </c>
      <c r="DX29" s="14">
        <v>0</v>
      </c>
    </row>
    <row r="30" spans="1:128" ht="18.75" hidden="1">
      <c r="A30" s="34" t="s">
        <v>44</v>
      </c>
      <c r="B30" s="910"/>
      <c r="C30" s="911" t="s">
        <v>45</v>
      </c>
      <c r="D30" s="277">
        <f t="shared" ref="D30:O30" si="37">D10-D26-D24</f>
        <v>264261</v>
      </c>
      <c r="E30" s="33">
        <f t="shared" si="37"/>
        <v>275849</v>
      </c>
      <c r="F30" s="33">
        <f t="shared" si="37"/>
        <v>280253</v>
      </c>
      <c r="G30" s="33">
        <f t="shared" si="37"/>
        <v>256146</v>
      </c>
      <c r="H30" s="33">
        <f t="shared" si="37"/>
        <v>282462</v>
      </c>
      <c r="I30" s="33">
        <f t="shared" si="37"/>
        <v>336508</v>
      </c>
      <c r="J30" s="33">
        <f t="shared" si="37"/>
        <v>394861</v>
      </c>
      <c r="K30" s="33">
        <f t="shared" si="37"/>
        <v>399944</v>
      </c>
      <c r="L30" s="33">
        <f t="shared" si="37"/>
        <v>403515</v>
      </c>
      <c r="M30" s="33">
        <f t="shared" si="37"/>
        <v>254037</v>
      </c>
      <c r="N30" s="33">
        <f t="shared" si="37"/>
        <v>0</v>
      </c>
      <c r="O30" s="33">
        <f t="shared" si="37"/>
        <v>188264</v>
      </c>
      <c r="P30" s="262">
        <f t="shared" ref="P30:P31" si="38">O30</f>
        <v>188264</v>
      </c>
      <c r="Q30" s="15"/>
      <c r="R30" s="277">
        <f t="shared" ref="R30:AC30" si="39">R10-R26-R24</f>
        <v>244467</v>
      </c>
      <c r="S30" s="14">
        <f t="shared" si="39"/>
        <v>295020</v>
      </c>
      <c r="T30" s="14">
        <f t="shared" si="39"/>
        <v>254796</v>
      </c>
      <c r="U30" s="14">
        <f t="shared" si="39"/>
        <v>240747</v>
      </c>
      <c r="V30" s="14">
        <f t="shared" si="39"/>
        <v>104747</v>
      </c>
      <c r="W30" s="14">
        <f t="shared" si="39"/>
        <v>162106</v>
      </c>
      <c r="X30" s="14">
        <f t="shared" si="39"/>
        <v>340068</v>
      </c>
      <c r="Y30" s="14">
        <f t="shared" si="39"/>
        <v>322792</v>
      </c>
      <c r="Z30" s="14">
        <f t="shared" si="39"/>
        <v>330677</v>
      </c>
      <c r="AA30" s="14">
        <f t="shared" si="39"/>
        <v>229141</v>
      </c>
      <c r="AB30" s="14">
        <f t="shared" si="39"/>
        <v>126169</v>
      </c>
      <c r="AC30" s="14">
        <f t="shared" si="39"/>
        <v>173047</v>
      </c>
      <c r="AD30" s="263">
        <f t="shared" ref="AD30:AD31" si="40">AC30</f>
        <v>173047</v>
      </c>
      <c r="AE30" s="16"/>
      <c r="AF30" s="261">
        <f>AF29-AF24</f>
        <v>220021</v>
      </c>
      <c r="AG30" s="261">
        <f>AG29-AG24</f>
        <v>252014</v>
      </c>
      <c r="AH30" s="261">
        <f>AH29-AH24</f>
        <v>354717</v>
      </c>
      <c r="AI30" s="261">
        <f>AI29-AI24</f>
        <v>352200</v>
      </c>
      <c r="AJ30" s="261">
        <f>AJ29-AJ24</f>
        <v>375484</v>
      </c>
      <c r="AK30" s="261">
        <f>AK29-AK24</f>
        <v>409199</v>
      </c>
      <c r="AL30" s="261">
        <f>AL29-AL24</f>
        <v>345358</v>
      </c>
      <c r="AM30" s="261">
        <f>AM29-AM24</f>
        <v>396368</v>
      </c>
      <c r="AN30" s="261">
        <f>AN29-AN24</f>
        <v>388255</v>
      </c>
      <c r="AO30" s="261">
        <f>AO29-AO24</f>
        <v>339304</v>
      </c>
      <c r="AP30" s="261">
        <f>AP29-AP24</f>
        <v>109830</v>
      </c>
      <c r="AQ30" s="261">
        <f>AQ29-AQ24</f>
        <v>88190</v>
      </c>
      <c r="AR30" s="14">
        <f t="shared" si="11"/>
        <v>88190</v>
      </c>
      <c r="AS30" s="17"/>
      <c r="AT30" s="261">
        <f>AT29-AT24</f>
        <v>205194</v>
      </c>
      <c r="AU30" s="261">
        <f>AU29-AU24</f>
        <v>152494</v>
      </c>
      <c r="AV30" s="261">
        <f>AV29-AV24</f>
        <v>180953</v>
      </c>
      <c r="AW30" s="261">
        <f>AW29-AW24</f>
        <v>162391</v>
      </c>
      <c r="AX30" s="261">
        <f>AX29-AX24</f>
        <v>152887</v>
      </c>
      <c r="AY30" s="261">
        <f>AY29-AY24</f>
        <v>162329</v>
      </c>
      <c r="AZ30" s="261">
        <f>AZ29-AZ24</f>
        <v>223257</v>
      </c>
      <c r="BA30" s="261">
        <f>BA29-BA24</f>
        <v>206596</v>
      </c>
      <c r="BB30" s="261">
        <f>BB29-BB24</f>
        <v>217465</v>
      </c>
      <c r="BC30" s="261">
        <f>BC29-BC24</f>
        <v>205314</v>
      </c>
      <c r="BD30" s="261">
        <f>BD29-BD24</f>
        <v>202260</v>
      </c>
      <c r="BE30" s="261">
        <f>BE29-BE24</f>
        <v>130824</v>
      </c>
      <c r="BF30" s="32">
        <f t="shared" si="35"/>
        <v>2201964</v>
      </c>
      <c r="BG30" s="35">
        <f>SUM(AT34:AY34)/SUM(AF68:AK68)-1</f>
        <v>0.2283258050797119</v>
      </c>
      <c r="BH30" s="416">
        <f>BH29-BH24</f>
        <v>235665</v>
      </c>
      <c r="BI30" s="416">
        <f>BI29-BI24</f>
        <v>230003</v>
      </c>
      <c r="BJ30" s="416">
        <f>BJ29-BJ24</f>
        <v>266725</v>
      </c>
      <c r="BK30" s="416">
        <f>BK29-BK24</f>
        <v>202534</v>
      </c>
      <c r="BL30" s="417">
        <f>BL29-BL24</f>
        <v>224528</v>
      </c>
      <c r="BM30" s="417">
        <f>BM29-BM24</f>
        <v>188055</v>
      </c>
      <c r="BN30" s="417">
        <f>BN29-BN24</f>
        <v>210070</v>
      </c>
      <c r="BO30" s="417">
        <f>BO29-BO24</f>
        <v>240501</v>
      </c>
      <c r="BP30" s="417">
        <f>BP29-BP24</f>
        <v>237953</v>
      </c>
      <c r="BQ30" s="417">
        <f>BQ29-BQ24</f>
        <v>213708</v>
      </c>
      <c r="BR30" s="417">
        <f>BR29-BR24</f>
        <v>175363</v>
      </c>
      <c r="BS30" s="417">
        <f>BS29-BS24</f>
        <v>177434</v>
      </c>
      <c r="BT30" s="417">
        <f t="shared" si="32"/>
        <v>177434</v>
      </c>
      <c r="BU30" s="18"/>
      <c r="BV30" s="261">
        <f>BV29-BV24</f>
        <v>166673</v>
      </c>
      <c r="BW30" s="261">
        <f>BW29-BW24</f>
        <v>193178</v>
      </c>
      <c r="BX30" s="261">
        <f>BX29-BX24</f>
        <v>163094</v>
      </c>
      <c r="BY30" s="416">
        <f>BY29-BY24</f>
        <v>191115</v>
      </c>
      <c r="BZ30" s="417">
        <f>BZ29-BZ24</f>
        <v>220098</v>
      </c>
      <c r="CA30" s="417">
        <f>CA29-CA24</f>
        <v>258050</v>
      </c>
      <c r="CB30" s="417">
        <f>CB29-CB24</f>
        <v>243578</v>
      </c>
      <c r="CC30" s="417">
        <f>CC29-CC24</f>
        <v>205086</v>
      </c>
      <c r="CD30" s="417">
        <f>CD29-CD24</f>
        <v>160435</v>
      </c>
      <c r="CE30" s="417">
        <f>CE29-CE24</f>
        <v>134080</v>
      </c>
      <c r="CF30" s="417">
        <f>CF29-CF24</f>
        <v>151140</v>
      </c>
      <c r="CG30" s="417">
        <f>CG29-CG24</f>
        <v>141469</v>
      </c>
      <c r="CH30" s="417">
        <f t="shared" si="30"/>
        <v>141469</v>
      </c>
      <c r="CJ30" s="261">
        <v>219208</v>
      </c>
      <c r="CK30" s="261">
        <v>0</v>
      </c>
      <c r="CL30" s="261">
        <v>0</v>
      </c>
      <c r="CM30" s="416">
        <v>0</v>
      </c>
      <c r="CN30" s="417">
        <v>0</v>
      </c>
      <c r="CO30" s="417">
        <v>0</v>
      </c>
      <c r="CP30" s="417">
        <v>0</v>
      </c>
      <c r="CQ30" s="417">
        <v>0</v>
      </c>
      <c r="CR30" s="417">
        <v>0</v>
      </c>
      <c r="CS30" s="417">
        <v>0</v>
      </c>
      <c r="CT30" s="417">
        <v>0</v>
      </c>
      <c r="CU30" s="417">
        <v>0</v>
      </c>
      <c r="CV30" s="417">
        <v>0</v>
      </c>
      <c r="CW30" s="758"/>
      <c r="CX30" s="874">
        <v>219208</v>
      </c>
      <c r="CY30" s="874">
        <v>0</v>
      </c>
      <c r="CZ30" s="874">
        <v>0</v>
      </c>
      <c r="DA30" s="875">
        <v>0</v>
      </c>
      <c r="DB30" s="876">
        <v>0</v>
      </c>
      <c r="DC30" s="876">
        <v>0</v>
      </c>
      <c r="DD30" s="876">
        <v>0</v>
      </c>
      <c r="DE30" s="876">
        <v>0</v>
      </c>
      <c r="DF30" s="876">
        <v>0</v>
      </c>
      <c r="DG30" s="876">
        <v>0</v>
      </c>
      <c r="DH30" s="876">
        <v>0</v>
      </c>
      <c r="DI30" s="876">
        <v>0</v>
      </c>
      <c r="DJ30" s="417">
        <v>0</v>
      </c>
      <c r="DK30" s="948"/>
      <c r="DL30" s="874">
        <v>219208</v>
      </c>
      <c r="DM30" s="874">
        <v>0</v>
      </c>
      <c r="DN30" s="874">
        <v>0</v>
      </c>
      <c r="DO30" s="875">
        <v>0</v>
      </c>
      <c r="DP30" s="876">
        <v>0</v>
      </c>
      <c r="DQ30" s="876">
        <v>0</v>
      </c>
      <c r="DR30" s="876">
        <v>0</v>
      </c>
      <c r="DS30" s="876">
        <v>0</v>
      </c>
      <c r="DT30" s="876">
        <v>0</v>
      </c>
      <c r="DU30" s="876">
        <v>0</v>
      </c>
      <c r="DV30" s="876">
        <v>0</v>
      </c>
      <c r="DW30" s="876">
        <v>0</v>
      </c>
      <c r="DX30" s="417">
        <v>0</v>
      </c>
    </row>
    <row r="31" spans="1:128" s="748" customFormat="1" ht="18.75" hidden="1">
      <c r="A31" s="739" t="s">
        <v>120</v>
      </c>
      <c r="B31" s="736"/>
      <c r="C31" s="737" t="s">
        <v>47</v>
      </c>
      <c r="D31" s="738">
        <f t="shared" ref="D31:O31" si="41">D10</f>
        <v>304786</v>
      </c>
      <c r="E31" s="740">
        <f t="shared" si="41"/>
        <v>311986</v>
      </c>
      <c r="F31" s="740">
        <f t="shared" si="41"/>
        <v>328231</v>
      </c>
      <c r="G31" s="740">
        <f t="shared" si="41"/>
        <v>317873</v>
      </c>
      <c r="H31" s="740">
        <f t="shared" si="41"/>
        <v>347196</v>
      </c>
      <c r="I31" s="740">
        <f t="shared" si="41"/>
        <v>402253</v>
      </c>
      <c r="J31" s="740">
        <f t="shared" si="41"/>
        <v>454488</v>
      </c>
      <c r="K31" s="740">
        <f t="shared" si="41"/>
        <v>447182</v>
      </c>
      <c r="L31" s="740">
        <f t="shared" si="41"/>
        <v>416931</v>
      </c>
      <c r="M31" s="740">
        <f t="shared" si="41"/>
        <v>304402</v>
      </c>
      <c r="N31" s="740">
        <f t="shared" si="41"/>
        <v>0</v>
      </c>
      <c r="O31" s="740">
        <f t="shared" si="41"/>
        <v>188264</v>
      </c>
      <c r="P31" s="741">
        <f t="shared" si="38"/>
        <v>188264</v>
      </c>
      <c r="Q31" s="742"/>
      <c r="R31" s="743">
        <f t="shared" ref="R31:AC31" si="42">R10</f>
        <v>283359</v>
      </c>
      <c r="S31" s="744">
        <f t="shared" si="42"/>
        <v>342718</v>
      </c>
      <c r="T31" s="744">
        <f t="shared" si="42"/>
        <v>313212</v>
      </c>
      <c r="U31" s="744">
        <f t="shared" si="42"/>
        <v>298093</v>
      </c>
      <c r="V31" s="744">
        <f t="shared" si="42"/>
        <v>206617</v>
      </c>
      <c r="W31" s="744">
        <f t="shared" si="42"/>
        <v>235875</v>
      </c>
      <c r="X31" s="744">
        <f t="shared" si="42"/>
        <v>360135</v>
      </c>
      <c r="Y31" s="744">
        <f t="shared" si="42"/>
        <v>361665</v>
      </c>
      <c r="Z31" s="744">
        <f t="shared" si="42"/>
        <v>353400</v>
      </c>
      <c r="AA31" s="744">
        <f t="shared" si="42"/>
        <v>272097</v>
      </c>
      <c r="AB31" s="744">
        <f t="shared" si="42"/>
        <v>170626</v>
      </c>
      <c r="AC31" s="744">
        <f t="shared" si="42"/>
        <v>197551</v>
      </c>
      <c r="AD31" s="745">
        <f t="shared" si="40"/>
        <v>197551</v>
      </c>
      <c r="AE31" s="746"/>
      <c r="AF31" s="744">
        <f>AF10-AF67</f>
        <v>255339</v>
      </c>
      <c r="AG31" s="744">
        <f>AG10-AG67</f>
        <v>292621</v>
      </c>
      <c r="AH31" s="744">
        <f>AH10-AH67</f>
        <v>397976</v>
      </c>
      <c r="AI31" s="744">
        <f>AI10-AI67</f>
        <v>388165</v>
      </c>
      <c r="AJ31" s="744">
        <f>AJ10-AJ67</f>
        <v>409301</v>
      </c>
      <c r="AK31" s="744">
        <f>AK10-AK67</f>
        <v>490913</v>
      </c>
      <c r="AL31" s="744">
        <f>AL10-AL67</f>
        <v>563229</v>
      </c>
      <c r="AM31" s="744">
        <f>AM10-AM67</f>
        <v>559169</v>
      </c>
      <c r="AN31" s="744">
        <f>AN10-AN67</f>
        <v>487294</v>
      </c>
      <c r="AO31" s="744">
        <f>AO10-AO67</f>
        <v>407614</v>
      </c>
      <c r="AP31" s="744">
        <f>AP10-AP67</f>
        <v>503756</v>
      </c>
      <c r="AQ31" s="744">
        <f>AQ10-AQ67</f>
        <v>522741</v>
      </c>
      <c r="AR31" s="744">
        <f t="shared" si="11"/>
        <v>522741</v>
      </c>
      <c r="AS31" s="746"/>
      <c r="AT31" s="744">
        <f>AT10-AT67</f>
        <v>364736</v>
      </c>
      <c r="AU31" s="744">
        <f>AU10-AU67</f>
        <v>382608</v>
      </c>
      <c r="AV31" s="744">
        <f>AV10-AV67</f>
        <v>322837</v>
      </c>
      <c r="AW31" s="744">
        <f>AW10-AW67</f>
        <v>339249</v>
      </c>
      <c r="AX31" s="744">
        <f>AX10-AX67</f>
        <v>382307</v>
      </c>
      <c r="AY31" s="744">
        <f>AY10-AY67</f>
        <v>446417</v>
      </c>
      <c r="AZ31" s="744">
        <f>AZ10-AZ67</f>
        <v>406019</v>
      </c>
      <c r="BA31" s="744">
        <f>BA10-BA67</f>
        <v>457091</v>
      </c>
      <c r="BB31" s="744">
        <f>BB10-BB67</f>
        <v>439103</v>
      </c>
      <c r="BC31" s="744">
        <f>BB31-BC34+BC81-BC67</f>
        <v>267702.70924434217</v>
      </c>
      <c r="BD31" s="744">
        <f>BC31-BD34+BD81-BD67</f>
        <v>224792.12236286921</v>
      </c>
      <c r="BE31" s="744">
        <f>BD31-BE34+BE81-BE67</f>
        <v>209302.50939777523</v>
      </c>
      <c r="BF31" s="744">
        <f>BE31</f>
        <v>209302.50939777523</v>
      </c>
      <c r="BG31" s="747">
        <f>BG34/AR34</f>
        <v>7.0333736034655189E-2</v>
      </c>
      <c r="BH31" s="744">
        <f>BH10-BH67</f>
        <v>287739</v>
      </c>
      <c r="BI31" s="744">
        <f>BI10-BI67</f>
        <v>274599</v>
      </c>
      <c r="BJ31" s="744">
        <f>BJ10-BJ67</f>
        <v>249895</v>
      </c>
      <c r="BK31" s="744">
        <f>BK10-BK67</f>
        <v>311315</v>
      </c>
      <c r="BL31" s="744">
        <f>BL10-BL67</f>
        <v>277855</v>
      </c>
      <c r="BM31" s="744">
        <f>BM10-BM67</f>
        <v>301815</v>
      </c>
      <c r="BN31" s="744">
        <f>BN10-BN67</f>
        <v>325519</v>
      </c>
      <c r="BO31" s="744">
        <f>BO10-BO67</f>
        <v>255915</v>
      </c>
      <c r="BP31" s="744">
        <f>BP10-BP67</f>
        <v>198711</v>
      </c>
      <c r="BQ31" s="744">
        <f>BQ10-BQ67</f>
        <v>182301</v>
      </c>
      <c r="BR31" s="744">
        <f>BR10-BR67</f>
        <v>228035</v>
      </c>
      <c r="BS31" s="744">
        <f>BS10-BS67</f>
        <v>201165</v>
      </c>
      <c r="BT31" s="744">
        <f t="shared" si="32"/>
        <v>201165</v>
      </c>
      <c r="BU31" s="746"/>
      <c r="BV31" s="744">
        <f>BV10-BV67</f>
        <v>247713</v>
      </c>
      <c r="BW31" s="744">
        <f>BW10-BW67</f>
        <v>278707</v>
      </c>
      <c r="BX31" s="744">
        <f>BX10-BX67</f>
        <v>281829</v>
      </c>
      <c r="BY31" s="744">
        <f>BY10-BY67</f>
        <v>317753</v>
      </c>
      <c r="BZ31" s="744">
        <f>BZ10-BZ67</f>
        <v>270339</v>
      </c>
      <c r="CA31" s="744">
        <f>CA10-CA67</f>
        <v>310383</v>
      </c>
      <c r="CB31" s="744">
        <f>CB10-CB67</f>
        <v>328365</v>
      </c>
      <c r="CC31" s="744">
        <f>CC10-CC67</f>
        <v>333476</v>
      </c>
      <c r="CD31" s="744">
        <f>CD10-CD67</f>
        <v>306264</v>
      </c>
      <c r="CE31" s="744">
        <f>CE10-CE67</f>
        <v>270370</v>
      </c>
      <c r="CF31" s="744">
        <f>CF10-CF67</f>
        <v>194014</v>
      </c>
      <c r="CG31" s="744">
        <f>CG10-CG67</f>
        <v>182266</v>
      </c>
      <c r="CH31" s="744">
        <f t="shared" si="30"/>
        <v>182266</v>
      </c>
      <c r="CJ31" s="744">
        <f t="shared" ref="CJ31:CL31" si="43">CJ28+CJ27+CJ11</f>
        <v>234793</v>
      </c>
      <c r="CK31" s="744">
        <f t="shared" si="43"/>
        <v>267818</v>
      </c>
      <c r="CL31" s="744">
        <f t="shared" si="43"/>
        <v>271663</v>
      </c>
      <c r="CM31" s="744">
        <f>CM28+CM27+CM11</f>
        <v>297485</v>
      </c>
      <c r="CN31" s="744">
        <f>CM31-CN34+CN81</f>
        <v>307923.8879612374</v>
      </c>
      <c r="CO31" s="744">
        <f>CN31-CO34+CO81</f>
        <v>370977.73306000745</v>
      </c>
      <c r="CP31" s="744">
        <f>CO31-CP34+CP81</f>
        <v>403860.22259587242</v>
      </c>
      <c r="CQ31" s="744">
        <f>CP31-CQ34+CQ81</f>
        <v>381854.52867182181</v>
      </c>
      <c r="CR31" s="744">
        <f>CQ31-CR34+CR81</f>
        <v>333996.33782793995</v>
      </c>
      <c r="CS31" s="744">
        <f>CR31-CS34+CS81</f>
        <v>289282.38677308767</v>
      </c>
      <c r="CT31" s="744">
        <f>CS31-CT34+CT81</f>
        <v>280258.78567604127</v>
      </c>
      <c r="CU31" s="744">
        <f>CT31-CU34+CU81</f>
        <v>302607.39327097801</v>
      </c>
      <c r="CV31" s="744">
        <v>116080.10690622788</v>
      </c>
      <c r="CW31" s="758"/>
      <c r="CX31" s="744">
        <f>CU31-CX34+CX81</f>
        <v>234494.49327097798</v>
      </c>
      <c r="CY31" s="744">
        <f>CX31-CY34+CY81</f>
        <v>133359.09327097796</v>
      </c>
      <c r="CZ31" s="744">
        <f t="shared" ref="CZ31:DI31" si="44">CY31-CZ34+CZ81</f>
        <v>-32260.906729022041</v>
      </c>
      <c r="DA31" s="744">
        <f t="shared" si="44"/>
        <v>-155220.90672902204</v>
      </c>
      <c r="DB31" s="744">
        <f t="shared" si="44"/>
        <v>-163416.90672902204</v>
      </c>
      <c r="DC31" s="744">
        <f t="shared" si="44"/>
        <v>-171106.10672902205</v>
      </c>
      <c r="DD31" s="744">
        <f t="shared" si="44"/>
        <v>-222427.52672902204</v>
      </c>
      <c r="DE31" s="744">
        <f t="shared" si="44"/>
        <v>-301084.25672902208</v>
      </c>
      <c r="DF31" s="744">
        <f t="shared" si="44"/>
        <v>-434291.30672902218</v>
      </c>
      <c r="DG31" s="744">
        <f t="shared" si="44"/>
        <v>-492391.76672902226</v>
      </c>
      <c r="DH31" s="744">
        <f t="shared" si="44"/>
        <v>-489932.96672902233</v>
      </c>
      <c r="DI31" s="744">
        <f t="shared" si="44"/>
        <v>-496542.88672902237</v>
      </c>
      <c r="DJ31" s="744">
        <v>116080.10690622788</v>
      </c>
      <c r="DK31" s="948"/>
      <c r="DL31" s="744"/>
      <c r="DM31" s="744"/>
      <c r="DN31" s="744"/>
      <c r="DO31" s="744"/>
      <c r="DP31" s="744"/>
      <c r="DQ31" s="744"/>
      <c r="DR31" s="744"/>
      <c r="DS31" s="744"/>
      <c r="DT31" s="744"/>
      <c r="DU31" s="744"/>
      <c r="DV31" s="744"/>
      <c r="DW31" s="744"/>
      <c r="DX31" s="744"/>
    </row>
    <row r="32" spans="1:128" ht="18.75" hidden="1">
      <c r="A32" s="46"/>
      <c r="B32" s="912" t="s">
        <v>48</v>
      </c>
      <c r="C32" s="913"/>
      <c r="D32" s="283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284"/>
      <c r="Q32" s="49"/>
      <c r="R32" s="283"/>
      <c r="S32" s="50"/>
      <c r="T32" s="50"/>
      <c r="U32" s="50"/>
      <c r="V32" s="51"/>
      <c r="W32" s="51"/>
      <c r="X32" s="51"/>
      <c r="Y32" s="51"/>
      <c r="Z32" s="51"/>
      <c r="AA32" s="51"/>
      <c r="AB32" s="51"/>
      <c r="AC32" s="50"/>
      <c r="AD32" s="285"/>
      <c r="AE32" s="23"/>
      <c r="AF32" s="286">
        <f>AF10/AG34</f>
        <v>1.4346741432881778</v>
      </c>
      <c r="AG32" s="286">
        <f>AG10/AH34</f>
        <v>3.9745327610561771</v>
      </c>
      <c r="AH32" s="286">
        <f>AH10/AI34</f>
        <v>4.4537254638644557</v>
      </c>
      <c r="AI32" s="286">
        <f>AI10/AJ34</f>
        <v>3.1781895295331357</v>
      </c>
      <c r="AJ32" s="286">
        <f>AJ10/AK34</f>
        <v>2.7551225094238019</v>
      </c>
      <c r="AK32" s="286">
        <f>AK10/AL34</f>
        <v>3.2297970327971317</v>
      </c>
      <c r="AL32" s="286">
        <f>AL10/AM34</f>
        <v>2.3575635299682296</v>
      </c>
      <c r="AM32" s="286">
        <f>AM10/AN34</f>
        <v>2.1413160582078121</v>
      </c>
      <c r="AN32" s="286">
        <f>AN10/AO34</f>
        <v>1.9042360296991012</v>
      </c>
      <c r="AO32" s="286">
        <f>AO10/AP34</f>
        <v>3.1686411691542289</v>
      </c>
      <c r="AP32" s="286">
        <f>AP10/AQ34</f>
        <v>5.1487735077677845</v>
      </c>
      <c r="AQ32" s="286">
        <f>AQ10/AT34</f>
        <v>3.4807306746186968</v>
      </c>
      <c r="AR32" s="287">
        <f>AQ32</f>
        <v>3.4807306746186968</v>
      </c>
      <c r="AS32" s="23"/>
      <c r="AT32" s="286">
        <f>AT10/AU34</f>
        <v>2.7971286279646934</v>
      </c>
      <c r="AU32" s="286">
        <f>AU10/AV34</f>
        <v>3.0710063937614676</v>
      </c>
      <c r="AV32" s="286">
        <f>AV10/AW34</f>
        <v>2.5847779910329129</v>
      </c>
      <c r="AW32" s="286">
        <f>AW10/AX34</f>
        <v>3.3142307600651066</v>
      </c>
      <c r="AX32" s="286">
        <f>AX10/AY34</f>
        <v>3.0202081128011216</v>
      </c>
      <c r="AY32" s="286">
        <f>AY10/(AZ64+AZ63)</f>
        <v>3.0375411110446691</v>
      </c>
      <c r="AZ32" s="286">
        <f>AZ10/(BA64+BA63)</f>
        <v>1.7862994390436959</v>
      </c>
      <c r="BA32" s="286">
        <f>BA10/(BB64+BB63)</f>
        <v>2.3917338115287117</v>
      </c>
      <c r="BB32" s="286">
        <f>BB10/(BC64+BC63)</f>
        <v>2.0297186803388318</v>
      </c>
      <c r="BC32" s="286">
        <f>BC10/(BD64+BD63)</f>
        <v>2.9418601583113455</v>
      </c>
      <c r="BD32" s="286">
        <f>BD10/(BE64+BE63)</f>
        <v>5.3595753009100697</v>
      </c>
      <c r="BE32" s="286">
        <f>BE10/BH34</f>
        <v>2.3338657833234047</v>
      </c>
      <c r="BF32" s="52"/>
      <c r="BG32" s="27"/>
      <c r="BH32" s="418">
        <f>BH10/BI34</f>
        <v>2.4324841588586663</v>
      </c>
      <c r="BI32" s="418">
        <f>BI10/BJ34</f>
        <v>2.0694790126570033</v>
      </c>
      <c r="BJ32" s="418">
        <f>BJ10/BK34</f>
        <v>2.1548303749075362</v>
      </c>
      <c r="BK32" s="418">
        <f>BK10/BL34</f>
        <v>2.940658548141605</v>
      </c>
      <c r="BL32" s="418">
        <f>BL10/BM34</f>
        <v>2.5009495450993295</v>
      </c>
      <c r="BM32" s="418">
        <f>BM10/BN34</f>
        <v>2.0577586855214944</v>
      </c>
      <c r="BN32" s="418">
        <f>BN10/BO34</f>
        <v>2.3320530115558045</v>
      </c>
      <c r="BO32" s="419"/>
      <c r="BP32" s="419"/>
      <c r="BQ32" s="419"/>
      <c r="BR32" s="419"/>
      <c r="BS32" s="419"/>
      <c r="BT32" s="419"/>
      <c r="BU32" s="54"/>
      <c r="BV32" s="286">
        <v>0</v>
      </c>
      <c r="BW32" s="286">
        <v>0</v>
      </c>
      <c r="BX32" s="286">
        <v>0</v>
      </c>
      <c r="BY32" s="418">
        <v>0</v>
      </c>
      <c r="BZ32" s="418">
        <v>0</v>
      </c>
      <c r="CA32" s="418">
        <v>0</v>
      </c>
      <c r="CB32" s="418">
        <v>0</v>
      </c>
      <c r="CC32" s="418">
        <v>0</v>
      </c>
      <c r="CD32" s="418">
        <v>0</v>
      </c>
      <c r="CE32" s="418">
        <v>0</v>
      </c>
      <c r="CF32" s="418">
        <v>0</v>
      </c>
      <c r="CG32" s="419"/>
      <c r="CH32" s="419"/>
      <c r="CJ32" s="286">
        <v>0</v>
      </c>
      <c r="CK32" s="286">
        <v>0</v>
      </c>
      <c r="CL32" s="286">
        <v>0</v>
      </c>
      <c r="CM32" s="418">
        <v>0</v>
      </c>
      <c r="CN32" s="418">
        <v>0</v>
      </c>
      <c r="CO32" s="418">
        <v>0</v>
      </c>
      <c r="CP32" s="418">
        <v>0</v>
      </c>
      <c r="CQ32" s="418">
        <v>0</v>
      </c>
      <c r="CR32" s="418">
        <v>0</v>
      </c>
      <c r="CS32" s="418">
        <v>0</v>
      </c>
      <c r="CT32" s="418">
        <v>0</v>
      </c>
      <c r="CU32" s="419"/>
      <c r="CV32" s="419"/>
      <c r="CW32" s="758"/>
      <c r="CX32" s="877">
        <v>0</v>
      </c>
      <c r="CY32" s="877">
        <v>0</v>
      </c>
      <c r="CZ32" s="877">
        <v>0</v>
      </c>
      <c r="DA32" s="878">
        <v>0</v>
      </c>
      <c r="DB32" s="878">
        <v>0</v>
      </c>
      <c r="DC32" s="878">
        <v>0</v>
      </c>
      <c r="DD32" s="878">
        <v>0</v>
      </c>
      <c r="DE32" s="878">
        <v>0</v>
      </c>
      <c r="DF32" s="878">
        <v>0</v>
      </c>
      <c r="DG32" s="878">
        <v>0</v>
      </c>
      <c r="DH32" s="878">
        <v>0</v>
      </c>
      <c r="DI32" s="879"/>
      <c r="DJ32" s="419"/>
      <c r="DK32" s="948"/>
      <c r="DL32" s="877">
        <v>0</v>
      </c>
      <c r="DM32" s="877">
        <v>0</v>
      </c>
      <c r="DN32" s="877">
        <v>0</v>
      </c>
      <c r="DO32" s="878">
        <v>0</v>
      </c>
      <c r="DP32" s="878">
        <v>0</v>
      </c>
      <c r="DQ32" s="878">
        <v>0</v>
      </c>
      <c r="DR32" s="878">
        <v>0</v>
      </c>
      <c r="DS32" s="878">
        <v>0</v>
      </c>
      <c r="DT32" s="878">
        <v>0</v>
      </c>
      <c r="DU32" s="878">
        <v>0</v>
      </c>
      <c r="DV32" s="878">
        <v>0</v>
      </c>
      <c r="DW32" s="879"/>
      <c r="DX32" s="419"/>
    </row>
    <row r="33" spans="1:129" ht="18.75" hidden="1">
      <c r="A33" s="29"/>
      <c r="B33" s="906" t="s">
        <v>41</v>
      </c>
      <c r="C33" s="907"/>
      <c r="D33" s="274">
        <f>D10-D24</f>
        <v>270670</v>
      </c>
      <c r="E33" s="30">
        <f>E10-E24</f>
        <v>282709</v>
      </c>
      <c r="F33" s="30">
        <f>F10-F24</f>
        <v>285223</v>
      </c>
      <c r="G33" s="30">
        <f>G10-G24</f>
        <v>287349</v>
      </c>
      <c r="H33" s="30">
        <f>H10-H24</f>
        <v>313961</v>
      </c>
      <c r="I33" s="30">
        <f>I10-I24</f>
        <v>362411</v>
      </c>
      <c r="J33" s="30">
        <f>J10-J24</f>
        <v>413467</v>
      </c>
      <c r="K33" s="30">
        <f>K10-K24</f>
        <v>415958</v>
      </c>
      <c r="L33" s="30">
        <f>L10-L24</f>
        <v>416931</v>
      </c>
      <c r="M33" s="30">
        <f>M10-M24</f>
        <v>294116</v>
      </c>
      <c r="N33" s="30">
        <f>N10-N24</f>
        <v>0</v>
      </c>
      <c r="O33" s="30">
        <f>O10-O24</f>
        <v>188264</v>
      </c>
      <c r="P33" s="275"/>
      <c r="Q33" s="31"/>
      <c r="R33" s="274">
        <f>R10-R24</f>
        <v>247843</v>
      </c>
      <c r="S33" s="32">
        <f>S10-S24</f>
        <v>306756</v>
      </c>
      <c r="T33" s="32">
        <f>T10-T24</f>
        <v>277250</v>
      </c>
      <c r="U33" s="32">
        <f>U10-U24</f>
        <v>262131</v>
      </c>
      <c r="V33" s="32">
        <f>V10-V24</f>
        <v>171617</v>
      </c>
      <c r="W33" s="32">
        <f>W10-W24</f>
        <v>235875</v>
      </c>
      <c r="X33" s="32">
        <f>X10-X24</f>
        <v>354012</v>
      </c>
      <c r="Y33" s="32">
        <f>Y10-Y24</f>
        <v>355542</v>
      </c>
      <c r="Z33" s="32">
        <f>Z10-Z24</f>
        <v>349213</v>
      </c>
      <c r="AA33" s="32">
        <f>AA10-AA24</f>
        <v>269352</v>
      </c>
      <c r="AB33" s="32">
        <f>AB10-AB24</f>
        <v>170626</v>
      </c>
      <c r="AC33" s="32"/>
      <c r="AD33" s="276"/>
      <c r="AE33" s="17"/>
      <c r="AF33" s="32">
        <f>AF10-AF24</f>
        <v>246973</v>
      </c>
      <c r="AG33" s="32">
        <f>AG10-AG24</f>
        <v>281087</v>
      </c>
      <c r="AH33" s="32">
        <f>AH10-AH24</f>
        <v>386469</v>
      </c>
      <c r="AI33" s="32">
        <f>AI10-AI24</f>
        <v>379017</v>
      </c>
      <c r="AJ33" s="32">
        <f>AJ10-AJ24</f>
        <v>400777</v>
      </c>
      <c r="AK33" s="32">
        <f>AK10-AK24</f>
        <v>465623</v>
      </c>
      <c r="AL33" s="32">
        <f>AL10-AL24</f>
        <v>472149</v>
      </c>
      <c r="AM33" s="32">
        <f>AM10-AM24</f>
        <v>492339</v>
      </c>
      <c r="AN33" s="32">
        <f>AN10-AN24</f>
        <v>450428</v>
      </c>
      <c r="AO33" s="32">
        <f>AO10-AO24</f>
        <v>391441</v>
      </c>
      <c r="AP33" s="32">
        <f>AP10-AP24</f>
        <v>325482</v>
      </c>
      <c r="AQ33" s="32">
        <f>AQ10-AQ24</f>
        <v>321014</v>
      </c>
      <c r="AR33" s="32">
        <f>AQ33</f>
        <v>321014</v>
      </c>
      <c r="AS33" s="17"/>
      <c r="AT33" s="32">
        <f>AT10-AT24</f>
        <v>350303</v>
      </c>
      <c r="AU33" s="32">
        <f>AU10-AU24</f>
        <v>323931</v>
      </c>
      <c r="AV33" s="32">
        <f>AV10-AV24</f>
        <v>307980</v>
      </c>
      <c r="AW33" s="32">
        <f>AW10-AW24</f>
        <v>292777</v>
      </c>
      <c r="AX33" s="32">
        <f>AX10-AX24</f>
        <v>296754</v>
      </c>
      <c r="AY33" s="32">
        <f>AY10-AY24</f>
        <v>344037</v>
      </c>
      <c r="AZ33" s="32">
        <f>AZ10-AZ24</f>
        <v>367566</v>
      </c>
      <c r="BA33" s="32">
        <f>BA10-BA24</f>
        <v>372442</v>
      </c>
      <c r="BB33" s="32">
        <f>BB10-BB24</f>
        <v>375154</v>
      </c>
      <c r="BC33" s="32">
        <f>BC10-BC24</f>
        <v>340466</v>
      </c>
      <c r="BD33" s="32">
        <f>BD10-BD24</f>
        <v>314581</v>
      </c>
      <c r="BE33" s="32">
        <f>BE10-BE24</f>
        <v>253219</v>
      </c>
      <c r="BF33" s="32">
        <f>BE33</f>
        <v>253219</v>
      </c>
      <c r="BG33" s="17"/>
      <c r="BH33" s="32">
        <f>BH10-BH24</f>
        <v>307512</v>
      </c>
      <c r="BI33" s="32">
        <f>BI10-BI24</f>
        <v>302058</v>
      </c>
      <c r="BJ33" s="32">
        <f>BJ10-BJ24</f>
        <v>315841</v>
      </c>
      <c r="BK33" s="32">
        <f>BK10-BK24</f>
        <v>306027</v>
      </c>
      <c r="BL33" s="32">
        <f>BL10-BL24</f>
        <v>299077</v>
      </c>
      <c r="BM33" s="32">
        <f>BM10-BM24</f>
        <v>293121</v>
      </c>
      <c r="BN33" s="32">
        <f>BN10-BN24</f>
        <v>335286</v>
      </c>
      <c r="BO33" s="32">
        <f>BO10-BO24</f>
        <v>322561</v>
      </c>
      <c r="BP33" s="32">
        <f>BP10-BP24</f>
        <v>304307</v>
      </c>
      <c r="BQ33" s="32">
        <f>BQ10-BQ24</f>
        <v>280100</v>
      </c>
      <c r="BR33" s="32">
        <f>BR10-BR24</f>
        <v>215852</v>
      </c>
      <c r="BS33" s="32">
        <f>BS10-BS24</f>
        <v>188982</v>
      </c>
      <c r="BT33" s="32">
        <f>BS33</f>
        <v>188982</v>
      </c>
      <c r="BU33" s="28"/>
      <c r="BV33" s="32">
        <f>BV20-BV24-BV25</f>
        <v>146255</v>
      </c>
      <c r="BW33" s="32">
        <f>BW20-BW24-BW25</f>
        <v>155653</v>
      </c>
      <c r="BX33" s="32">
        <f>BX20-BX24-BX25</f>
        <v>86338</v>
      </c>
      <c r="BY33" s="32">
        <f>BY20-BY24-BY25</f>
        <v>106862</v>
      </c>
      <c r="BZ33" s="32">
        <f>BZ20-BZ24-BZ25</f>
        <v>112822</v>
      </c>
      <c r="CA33" s="32">
        <f>CA20-CA24-CA25</f>
        <v>149996</v>
      </c>
      <c r="CB33" s="32">
        <f>CB20-CB24-CB25</f>
        <v>145027</v>
      </c>
      <c r="CC33" s="32">
        <f>CC20-CC24-CC25</f>
        <v>102851</v>
      </c>
      <c r="CD33" s="32">
        <f>CD20-CD24-CD25</f>
        <v>116047</v>
      </c>
      <c r="CE33" s="32">
        <f>CE20-CE24-CE25</f>
        <v>86207</v>
      </c>
      <c r="CF33" s="32">
        <f>CF20-CF24-CF25</f>
        <v>109973</v>
      </c>
      <c r="CG33" s="32">
        <f>CG20-CG24-CG25</f>
        <v>94532</v>
      </c>
      <c r="CH33" s="32">
        <f>CH20-CH24-CH25</f>
        <v>94532</v>
      </c>
      <c r="CJ33" s="32">
        <f>CJ20-CJ24-CJ25</f>
        <v>78423</v>
      </c>
      <c r="CK33" s="32">
        <f>CK20-CK24-CK25</f>
        <v>78497</v>
      </c>
      <c r="CL33" s="32">
        <f>CL20-CL24-CL25</f>
        <v>75052</v>
      </c>
      <c r="CM33" s="32">
        <f>CM20-CM24-CM25</f>
        <v>121130</v>
      </c>
      <c r="CN33" s="32">
        <f>CN20-CN24-CN25</f>
        <v>175907.8879612374</v>
      </c>
      <c r="CO33" s="32">
        <f>CO20-CO24-CO25</f>
        <v>238961.73306000742</v>
      </c>
      <c r="CP33" s="32">
        <f>CP20-CP24-CP25</f>
        <v>271844.22259587242</v>
      </c>
      <c r="CQ33" s="32">
        <f>CQ20-CQ24-CQ25</f>
        <v>249838.52867182181</v>
      </c>
      <c r="CR33" s="32">
        <f>CR20-CR24-CR25</f>
        <v>201980.33782793995</v>
      </c>
      <c r="CS33" s="32">
        <f>CS20-CS24-CS25</f>
        <v>62966</v>
      </c>
      <c r="CT33" s="32">
        <f>CT20-CT24-CT25</f>
        <v>101848.14995780593</v>
      </c>
      <c r="CU33" s="32">
        <f>CU20-CU24-CU25</f>
        <v>111197.32717299581</v>
      </c>
      <c r="CV33" s="32">
        <v>116080.10690622788</v>
      </c>
      <c r="CW33" s="758"/>
      <c r="CX33" s="872">
        <v>242497</v>
      </c>
      <c r="CY33" s="872">
        <v>234422.08006563294</v>
      </c>
      <c r="CZ33" s="872">
        <v>194348.7132915963</v>
      </c>
      <c r="DA33" s="872">
        <v>223062.99421980139</v>
      </c>
      <c r="DB33" s="872">
        <v>228884.86858944659</v>
      </c>
      <c r="DC33" s="872">
        <v>240669.78918926936</v>
      </c>
      <c r="DD33" s="872">
        <v>234679.65868928705</v>
      </c>
      <c r="DE33" s="872">
        <v>197008.01236523816</v>
      </c>
      <c r="DF33" s="872">
        <v>148007.96159444697</v>
      </c>
      <c r="DG33" s="872">
        <v>111276.29521213027</v>
      </c>
      <c r="DH33" s="872">
        <v>93072.105643725808</v>
      </c>
      <c r="DI33" s="872">
        <v>116080.10690622788</v>
      </c>
      <c r="DJ33" s="32">
        <v>116080.10690622788</v>
      </c>
      <c r="DK33" s="948"/>
      <c r="DL33" s="872">
        <v>242497</v>
      </c>
      <c r="DM33" s="872">
        <v>234422.08006563294</v>
      </c>
      <c r="DN33" s="872">
        <v>194348.7132915963</v>
      </c>
      <c r="DO33" s="872">
        <v>223062.99421980139</v>
      </c>
      <c r="DP33" s="872">
        <v>228884.86858944659</v>
      </c>
      <c r="DQ33" s="872">
        <v>240669.78918926936</v>
      </c>
      <c r="DR33" s="872">
        <v>234679.65868928705</v>
      </c>
      <c r="DS33" s="872">
        <v>197008.01236523816</v>
      </c>
      <c r="DT33" s="872">
        <v>148007.96159444697</v>
      </c>
      <c r="DU33" s="872">
        <v>111276.29521213027</v>
      </c>
      <c r="DV33" s="872">
        <v>93072.105643725808</v>
      </c>
      <c r="DW33" s="872">
        <v>116080.10690622788</v>
      </c>
      <c r="DX33" s="32">
        <v>116080.10690622788</v>
      </c>
    </row>
    <row r="34" spans="1:129" s="594" customFormat="1" ht="18.75">
      <c r="A34" s="1005">
        <v>6</v>
      </c>
      <c r="B34" s="1038" t="s">
        <v>49</v>
      </c>
      <c r="C34" s="1039"/>
      <c r="D34" s="1040">
        <f t="shared" ref="D34:P34" si="45">SUM(D38:D61)</f>
        <v>82250</v>
      </c>
      <c r="E34" s="1041">
        <f t="shared" si="45"/>
        <v>117000</v>
      </c>
      <c r="F34" s="1041">
        <f t="shared" si="45"/>
        <v>121750</v>
      </c>
      <c r="G34" s="1041">
        <f t="shared" si="45"/>
        <v>150000</v>
      </c>
      <c r="H34" s="1041">
        <f t="shared" si="45"/>
        <v>99500</v>
      </c>
      <c r="I34" s="1041">
        <f t="shared" si="45"/>
        <v>102000</v>
      </c>
      <c r="J34" s="1041">
        <f t="shared" si="45"/>
        <v>177632</v>
      </c>
      <c r="K34" s="1041">
        <f t="shared" si="45"/>
        <v>178158</v>
      </c>
      <c r="L34" s="1041">
        <f t="shared" si="45"/>
        <v>199211</v>
      </c>
      <c r="M34" s="1041">
        <f t="shared" si="45"/>
        <v>229474</v>
      </c>
      <c r="N34" s="1041">
        <f t="shared" si="45"/>
        <v>122368</v>
      </c>
      <c r="O34" s="1041">
        <f t="shared" si="45"/>
        <v>38421</v>
      </c>
      <c r="P34" s="1042">
        <f t="shared" si="45"/>
        <v>1617764</v>
      </c>
      <c r="Q34" s="1043"/>
      <c r="R34" s="1040">
        <f t="shared" ref="R34:AC34" si="46">R38+R62</f>
        <v>136177.33998294926</v>
      </c>
      <c r="S34" s="1044">
        <f t="shared" si="46"/>
        <v>143840.32639116928</v>
      </c>
      <c r="T34" s="1044">
        <f t="shared" si="46"/>
        <v>142553.77192982455</v>
      </c>
      <c r="U34" s="1044">
        <f t="shared" si="46"/>
        <v>19814.899999999998</v>
      </c>
      <c r="V34" s="1044">
        <f t="shared" si="46"/>
        <v>52085</v>
      </c>
      <c r="W34" s="1045">
        <f t="shared" si="46"/>
        <v>70169.381950239796</v>
      </c>
      <c r="X34" s="1045">
        <f t="shared" si="46"/>
        <v>144463.33333333299</v>
      </c>
      <c r="Y34" s="1045">
        <f t="shared" si="46"/>
        <v>226547.08333333331</v>
      </c>
      <c r="Z34" s="1045">
        <f t="shared" si="46"/>
        <v>273187.5</v>
      </c>
      <c r="AA34" s="1045">
        <f t="shared" si="46"/>
        <v>172100</v>
      </c>
      <c r="AB34" s="1045">
        <f t="shared" si="46"/>
        <v>37500</v>
      </c>
      <c r="AC34" s="1045">
        <f t="shared" si="46"/>
        <v>0</v>
      </c>
      <c r="AD34" s="1046">
        <f>SUM(R34:AC34)</f>
        <v>1418438.6369208493</v>
      </c>
      <c r="AE34" s="1047"/>
      <c r="AF34" s="1048">
        <f>AF38+AF62</f>
        <v>128646</v>
      </c>
      <c r="AG34" s="1044">
        <f t="shared" ref="AG34:AQ34" si="47">AG38+AG62</f>
        <v>177977</v>
      </c>
      <c r="AH34" s="1044">
        <f t="shared" si="47"/>
        <v>73624</v>
      </c>
      <c r="AI34" s="1044">
        <f t="shared" si="47"/>
        <v>89358</v>
      </c>
      <c r="AJ34" s="1044">
        <f t="shared" si="47"/>
        <v>122134</v>
      </c>
      <c r="AK34" s="1044">
        <f t="shared" si="47"/>
        <v>148560</v>
      </c>
      <c r="AL34" s="1044">
        <f t="shared" si="47"/>
        <v>151995</v>
      </c>
      <c r="AM34" s="1044">
        <f t="shared" si="47"/>
        <v>238903</v>
      </c>
      <c r="AN34" s="1044">
        <f t="shared" si="47"/>
        <v>261133.33333333334</v>
      </c>
      <c r="AO34" s="1044">
        <f t="shared" si="47"/>
        <v>255900</v>
      </c>
      <c r="AP34" s="1044">
        <f t="shared" si="47"/>
        <v>128640</v>
      </c>
      <c r="AQ34" s="1044">
        <f t="shared" si="47"/>
        <v>97840</v>
      </c>
      <c r="AR34" s="1044">
        <f>SUM(AF34:AQ34)</f>
        <v>1874710.3333333333</v>
      </c>
      <c r="AS34" s="1047"/>
      <c r="AT34" s="1044">
        <f t="shared" ref="AT34:BD34" si="48">AT38+AT62</f>
        <v>152749.25</v>
      </c>
      <c r="AU34" s="1044">
        <f t="shared" si="48"/>
        <v>168522.10344827586</v>
      </c>
      <c r="AV34" s="1044">
        <f t="shared" si="48"/>
        <v>154121.13793103449</v>
      </c>
      <c r="AW34" s="1044">
        <f t="shared" si="48"/>
        <v>159595.13793103449</v>
      </c>
      <c r="AX34" s="1044">
        <f t="shared" si="48"/>
        <v>120099.96551724138</v>
      </c>
      <c r="AY34" s="1044">
        <f t="shared" si="48"/>
        <v>138343.77777777778</v>
      </c>
      <c r="AZ34" s="1044">
        <f t="shared" si="48"/>
        <v>166673.77777777778</v>
      </c>
      <c r="BA34" s="1044">
        <f t="shared" si="48"/>
        <v>242442.29629629629</v>
      </c>
      <c r="BB34" s="1044">
        <f t="shared" si="48"/>
        <v>243407.77777777778</v>
      </c>
      <c r="BC34" s="1044">
        <f t="shared" si="48"/>
        <v>253368.29075565783</v>
      </c>
      <c r="BD34" s="1044">
        <f t="shared" si="48"/>
        <v>134555.58688147296</v>
      </c>
      <c r="BE34" s="1044">
        <f>BE38+BE63</f>
        <v>72686.612965093984</v>
      </c>
      <c r="BF34" s="1044">
        <f t="shared" ref="BF34:BF36" si="49">SUM(AT34:BE34)</f>
        <v>2006565.7150594404</v>
      </c>
      <c r="BG34" s="1047">
        <f>BF34-AR34</f>
        <v>131855.38172610709</v>
      </c>
      <c r="BH34" s="1044">
        <f>BH35+BH62</f>
        <v>152753</v>
      </c>
      <c r="BI34" s="1044">
        <f t="shared" ref="BI34:BN34" si="50">BI35+BI62</f>
        <v>146822.33333333331</v>
      </c>
      <c r="BJ34" s="1044">
        <f t="shared" si="50"/>
        <v>171546.07407407407</v>
      </c>
      <c r="BK34" s="1044">
        <f t="shared" si="50"/>
        <v>159771.74074074073</v>
      </c>
      <c r="BL34" s="1044">
        <f t="shared" si="50"/>
        <v>132496.85185185185</v>
      </c>
      <c r="BM34" s="1044">
        <f t="shared" si="50"/>
        <v>129906.25925925926</v>
      </c>
      <c r="BN34" s="1044">
        <f t="shared" si="50"/>
        <v>171383.55555555556</v>
      </c>
      <c r="BO34" s="1044">
        <f>BO35+BO63</f>
        <v>179550.37811111109</v>
      </c>
      <c r="BP34" s="1044">
        <f>BP35+BP63</f>
        <v>202053.74953703705</v>
      </c>
      <c r="BQ34" s="1044">
        <f>BQ35+BQ63</f>
        <v>163865</v>
      </c>
      <c r="BR34" s="1044">
        <f>BR35+BR63</f>
        <v>175620.6</v>
      </c>
      <c r="BS34" s="1044">
        <v>92285.6</v>
      </c>
      <c r="BT34" s="1044">
        <f t="shared" ref="BT34:BT36" si="51">SUM(BH34:BS34)</f>
        <v>1878055.142462963</v>
      </c>
      <c r="BU34" s="1049"/>
      <c r="BV34" s="1044">
        <f>BV38+(BV63)*$CI$34</f>
        <v>161157.867486095</v>
      </c>
      <c r="BW34" s="1044">
        <f t="shared" ref="BW34:CG34" si="52">BW38+(BW63)*$CI$34</f>
        <v>155966.83045180296</v>
      </c>
      <c r="BX34" s="1044">
        <f>BX38+(BX63)*$CI$34</f>
        <v>196111.53846153844</v>
      </c>
      <c r="BY34" s="1044">
        <f t="shared" si="52"/>
        <v>159169.23076923078</v>
      </c>
      <c r="BZ34" s="1044">
        <f>BZ38+(BZ63)*$CI$34</f>
        <v>151482.39341785663</v>
      </c>
      <c r="CA34" s="1044">
        <f t="shared" si="52"/>
        <v>141442.12910096842</v>
      </c>
      <c r="CB34" s="1044">
        <f>CB38+(CB63)*$CI$34</f>
        <v>176986.21444761599</v>
      </c>
      <c r="CC34" s="1044">
        <f t="shared" si="52"/>
        <v>201301.08944885107</v>
      </c>
      <c r="CD34" s="1044">
        <f t="shared" si="52"/>
        <v>212833.04013559342</v>
      </c>
      <c r="CE34" s="1044">
        <f t="shared" si="52"/>
        <v>215922.30386211892</v>
      </c>
      <c r="CF34" s="1044">
        <f>CF38+(CF63)*$CI$34</f>
        <v>171115.84223630186</v>
      </c>
      <c r="CG34" s="1044">
        <f t="shared" si="52"/>
        <v>87483.816691710366</v>
      </c>
      <c r="CH34" s="1044">
        <f t="shared" ref="CH34:CH35" si="53">SUM(BV34:CG34)</f>
        <v>2030972.2965096838</v>
      </c>
      <c r="CI34" s="1050">
        <v>0.95</v>
      </c>
      <c r="CJ34" s="1044">
        <f>CJ38+CJ72</f>
        <v>157916.36697726426</v>
      </c>
      <c r="CK34" s="1044">
        <f t="shared" ref="CK34:CU34" si="54">CK38+CK72</f>
        <v>174843.65981364145</v>
      </c>
      <c r="CL34" s="1044">
        <f t="shared" si="54"/>
        <v>166692.33329854641</v>
      </c>
      <c r="CM34" s="1044">
        <f t="shared" si="54"/>
        <v>165624.1587774879</v>
      </c>
      <c r="CN34" s="1044">
        <f>CN38+CN72</f>
        <v>167851.1120387626</v>
      </c>
      <c r="CO34" s="1044">
        <f>CO38+CO72</f>
        <v>134946.15490122998</v>
      </c>
      <c r="CP34" s="1044">
        <f t="shared" si="54"/>
        <v>212117.51046413503</v>
      </c>
      <c r="CQ34" s="1044">
        <f t="shared" si="54"/>
        <v>229905.6939240506</v>
      </c>
      <c r="CR34" s="1044">
        <f t="shared" si="54"/>
        <v>265658.19084388186</v>
      </c>
      <c r="CS34" s="1044">
        <f>CS38+CS72</f>
        <v>250292.95105485231</v>
      </c>
      <c r="CT34" s="1044">
        <f>CT38+CT72</f>
        <v>173363.6010970464</v>
      </c>
      <c r="CU34" s="1044">
        <f>CU38+CU72</f>
        <v>96311.392405063292</v>
      </c>
      <c r="CV34" s="1044">
        <f>SUM(CJ34:CU34)</f>
        <v>2195523.1255959622</v>
      </c>
      <c r="CW34" s="1051"/>
      <c r="CX34" s="1044">
        <f t="shared" ref="CX34:DD34" si="55">CX38+CX72</f>
        <v>200000</v>
      </c>
      <c r="CY34" s="1044">
        <f t="shared" si="55"/>
        <v>219000.00000000003</v>
      </c>
      <c r="CZ34" s="1044">
        <f t="shared" si="55"/>
        <v>167000</v>
      </c>
      <c r="DA34" s="1044">
        <f t="shared" si="55"/>
        <v>163800</v>
      </c>
      <c r="DB34" s="1044">
        <f t="shared" si="55"/>
        <v>160300</v>
      </c>
      <c r="DC34" s="1044">
        <f t="shared" si="55"/>
        <v>122859.20000000001</v>
      </c>
      <c r="DD34" s="1044">
        <f t="shared" si="55"/>
        <v>199906.54</v>
      </c>
      <c r="DE34" s="1044">
        <f>DE38+DE72</f>
        <v>212076.58000000002</v>
      </c>
      <c r="DF34" s="1044">
        <f>DF38+DF72</f>
        <v>272892.79000000004</v>
      </c>
      <c r="DG34" s="1044">
        <f>DG38+DG72</f>
        <v>222786.20000000004</v>
      </c>
      <c r="DH34" s="1044">
        <f t="shared" ref="DB34:DK34" si="56">DH38+DH72</f>
        <v>155428.18</v>
      </c>
      <c r="DI34" s="1044">
        <f>DI38+DI72</f>
        <v>89000</v>
      </c>
      <c r="DJ34" s="844">
        <f>SUM(CX34:DI34)</f>
        <v>2185049.4900000002</v>
      </c>
      <c r="DK34" s="948"/>
      <c r="DL34" s="957">
        <f>DL38+DL72</f>
        <v>200000</v>
      </c>
      <c r="DM34" s="957">
        <f>DM38+DM72</f>
        <v>219000.00000000003</v>
      </c>
      <c r="DN34" s="957">
        <f t="shared" ref="DN34:DW34" si="57">DN38+DN72</f>
        <v>167000</v>
      </c>
      <c r="DO34" s="957">
        <f t="shared" si="57"/>
        <v>163800</v>
      </c>
      <c r="DP34" s="957">
        <f t="shared" si="57"/>
        <v>160300</v>
      </c>
      <c r="DQ34" s="957">
        <f t="shared" si="57"/>
        <v>122859.20000000001</v>
      </c>
      <c r="DR34" s="957">
        <f t="shared" si="57"/>
        <v>199906.54</v>
      </c>
      <c r="DS34" s="957">
        <f t="shared" si="57"/>
        <v>212076.58000000002</v>
      </c>
      <c r="DT34" s="957">
        <f t="shared" si="57"/>
        <v>272892.79000000004</v>
      </c>
      <c r="DU34" s="957">
        <f t="shared" si="57"/>
        <v>222786.20000000004</v>
      </c>
      <c r="DV34" s="957">
        <f t="shared" si="57"/>
        <v>155428.18</v>
      </c>
      <c r="DW34" s="957">
        <f t="shared" si="57"/>
        <v>89000</v>
      </c>
      <c r="DX34" s="730">
        <f>SUM(DL34:DW34)</f>
        <v>2185049.4900000002</v>
      </c>
      <c r="DY34" s="1006">
        <f>DX34-DJ34</f>
        <v>0</v>
      </c>
    </row>
    <row r="35" spans="1:129" ht="18.75" hidden="1">
      <c r="A35" s="61"/>
      <c r="B35" s="914" t="s">
        <v>51</v>
      </c>
      <c r="C35" s="915"/>
      <c r="D35" s="294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295"/>
      <c r="Q35" s="64"/>
      <c r="R35" s="294"/>
      <c r="S35" s="65"/>
      <c r="T35" s="65"/>
      <c r="U35" s="65"/>
      <c r="V35" s="296"/>
      <c r="W35" s="297"/>
      <c r="X35" s="297"/>
      <c r="Y35" s="297"/>
      <c r="Z35" s="297"/>
      <c r="AA35" s="297"/>
      <c r="AB35" s="297"/>
      <c r="AC35" s="66"/>
      <c r="AD35" s="67"/>
      <c r="AE35" s="68"/>
      <c r="AF35" s="298"/>
      <c r="AG35" s="65"/>
      <c r="AH35" s="65"/>
      <c r="AI35" s="65"/>
      <c r="AJ35" s="296"/>
      <c r="AK35" s="296"/>
      <c r="AL35" s="296"/>
      <c r="AM35" s="296"/>
      <c r="AN35" s="65"/>
      <c r="AO35" s="65"/>
      <c r="AP35" s="65"/>
      <c r="AQ35" s="65"/>
      <c r="AR35" s="299"/>
      <c r="AS35" s="68"/>
      <c r="AT35" s="65"/>
      <c r="AU35" s="65"/>
      <c r="AV35" s="65"/>
      <c r="AW35" s="65"/>
      <c r="AX35" s="65"/>
      <c r="AY35" s="69">
        <f t="shared" ref="AY35:BA35" si="58">AY38+AY63</f>
        <v>119777.77777777778</v>
      </c>
      <c r="AZ35" s="69">
        <f t="shared" si="58"/>
        <v>150777.77777777778</v>
      </c>
      <c r="BA35" s="69">
        <f t="shared" si="58"/>
        <v>233098.4962962963</v>
      </c>
      <c r="BB35" s="69">
        <f>BB36/BB37</f>
        <v>210777.77777777778</v>
      </c>
      <c r="BC35" s="69">
        <f>BC38+BC63</f>
        <v>249806.29075565783</v>
      </c>
      <c r="BD35" s="69">
        <f t="shared" ref="BD35:BE35" si="59">BD38+BD63*0.85</f>
        <v>122960.58688147296</v>
      </c>
      <c r="BE35" s="69">
        <f t="shared" si="59"/>
        <v>66386.612965093984</v>
      </c>
      <c r="BF35" s="69">
        <f t="shared" si="49"/>
        <v>1153585.3202318544</v>
      </c>
      <c r="BG35" s="68"/>
      <c r="BH35" s="69">
        <f>BH36/BH37-0.1*BH36/BH37</f>
        <v>116600</v>
      </c>
      <c r="BI35" s="69">
        <f t="shared" ref="BI35" si="60">BI36/BI37-0.1*BI36/BI37</f>
        <v>111533.33333333333</v>
      </c>
      <c r="BJ35" s="69">
        <f t="shared" ref="BJ35:BP35" si="61">BJ36/BJ37-0.05*BJ36/BJ37</f>
        <v>135674.07407407407</v>
      </c>
      <c r="BK35" s="69">
        <f t="shared" si="61"/>
        <v>121740.74074074074</v>
      </c>
      <c r="BL35" s="69">
        <f t="shared" si="61"/>
        <v>93926.851851851854</v>
      </c>
      <c r="BM35" s="69">
        <f t="shared" si="61"/>
        <v>90679.259259259255</v>
      </c>
      <c r="BN35" s="69">
        <f t="shared" si="61"/>
        <v>130255.55555555556</v>
      </c>
      <c r="BO35" s="69">
        <f t="shared" si="61"/>
        <v>150550.37811111109</v>
      </c>
      <c r="BP35" s="69">
        <f t="shared" si="61"/>
        <v>161830.74953703705</v>
      </c>
      <c r="BQ35" s="69">
        <v>127130</v>
      </c>
      <c r="BR35" s="69">
        <v>138687.6</v>
      </c>
      <c r="BS35" s="69">
        <v>43639.199999999997</v>
      </c>
      <c r="BT35" s="69">
        <f t="shared" si="51"/>
        <v>1422247.7424629631</v>
      </c>
      <c r="BU35" s="54"/>
      <c r="BV35" s="69">
        <f>BV38+BV62</f>
        <v>166555.77995873816</v>
      </c>
      <c r="BW35" s="69">
        <f>BW38+BW62</f>
        <v>152835.36924465047</v>
      </c>
      <c r="BX35" s="69">
        <f t="shared" ref="BX35:CG35" si="62">BX38+BX62</f>
        <v>195319.2072937729</v>
      </c>
      <c r="BY35" s="69">
        <f t="shared" si="62"/>
        <v>158396.18906207831</v>
      </c>
      <c r="BZ35" s="69">
        <f t="shared" si="62"/>
        <v>152371.51475009107</v>
      </c>
      <c r="CA35" s="69">
        <f t="shared" si="62"/>
        <v>147696.01107361159</v>
      </c>
      <c r="CB35" s="69">
        <f t="shared" si="62"/>
        <v>189465.0513586243</v>
      </c>
      <c r="CC35" s="69">
        <f t="shared" si="62"/>
        <v>202914.10079748323</v>
      </c>
      <c r="CD35" s="69">
        <f t="shared" si="62"/>
        <v>214499.61628422557</v>
      </c>
      <c r="CE35" s="69">
        <f t="shared" si="62"/>
        <v>217682.99793575107</v>
      </c>
      <c r="CF35" s="69">
        <f t="shared" si="62"/>
        <v>179284.72030485788</v>
      </c>
      <c r="CG35" s="69">
        <f t="shared" si="62"/>
        <v>88389.319383536102</v>
      </c>
      <c r="CH35" s="69">
        <f t="shared" si="53"/>
        <v>2065409.8774474205</v>
      </c>
      <c r="CI35" s="395">
        <f>(CH35-BT69)/BT69</f>
        <v>0.48621753003500767</v>
      </c>
      <c r="CJ35" s="69"/>
      <c r="CK35" s="69"/>
      <c r="CL35" s="69"/>
      <c r="CM35" s="69"/>
      <c r="CN35" s="69"/>
      <c r="CO35" s="69"/>
      <c r="CP35" s="69"/>
      <c r="CQ35" s="69"/>
      <c r="CR35" s="69"/>
      <c r="CS35" s="69"/>
      <c r="CT35" s="69"/>
      <c r="CU35" s="69"/>
      <c r="CV35" s="69"/>
      <c r="CW35" s="758"/>
      <c r="CX35" s="881">
        <v>166555.77995873816</v>
      </c>
      <c r="CY35" s="881">
        <v>152835.36924465047</v>
      </c>
      <c r="CZ35" s="881">
        <v>195319.2072937729</v>
      </c>
      <c r="DA35" s="881">
        <v>158396.18906207831</v>
      </c>
      <c r="DB35" s="881">
        <v>152371.51475009107</v>
      </c>
      <c r="DC35" s="881">
        <v>147696.01107361159</v>
      </c>
      <c r="DD35" s="881">
        <v>189465.0513586243</v>
      </c>
      <c r="DE35" s="881">
        <v>202914.10079748323</v>
      </c>
      <c r="DF35" s="881">
        <v>214499.61628422557</v>
      </c>
      <c r="DG35" s="881">
        <v>217682.99793575107</v>
      </c>
      <c r="DH35" s="881">
        <v>179284.72030485788</v>
      </c>
      <c r="DI35" s="881">
        <v>88389.319383536102</v>
      </c>
      <c r="DJ35" s="69">
        <v>2065409.8774474205</v>
      </c>
      <c r="DK35" s="948"/>
      <c r="DL35" s="881">
        <f>DL110*1.1</f>
        <v>183211.357954612</v>
      </c>
      <c r="DM35" s="881">
        <f t="shared" ref="DM35:DX35" si="63">DM110*1.1</f>
        <v>168118.90616911554</v>
      </c>
      <c r="DN35" s="881">
        <f t="shared" si="63"/>
        <v>214851.1280231502</v>
      </c>
      <c r="DO35" s="881">
        <f t="shared" si="63"/>
        <v>174235.80796828616</v>
      </c>
      <c r="DP35" s="881">
        <f t="shared" si="63"/>
        <v>167608.6662251002</v>
      </c>
      <c r="DQ35" s="881">
        <f t="shared" si="63"/>
        <v>162465.61218097276</v>
      </c>
      <c r="DR35" s="881">
        <f t="shared" si="63"/>
        <v>208411.55649448675</v>
      </c>
      <c r="DS35" s="881">
        <f t="shared" si="63"/>
        <v>223205.51087723157</v>
      </c>
      <c r="DT35" s="881">
        <f t="shared" si="63"/>
        <v>235949.57791264815</v>
      </c>
      <c r="DU35" s="881">
        <f t="shared" si="63"/>
        <v>239451.29772932621</v>
      </c>
      <c r="DV35" s="881">
        <f t="shared" si="63"/>
        <v>197213.19233534369</v>
      </c>
      <c r="DW35" s="881">
        <f t="shared" si="63"/>
        <v>97228.251321889722</v>
      </c>
      <c r="DX35" s="881">
        <f t="shared" si="63"/>
        <v>2271950.8651921628</v>
      </c>
    </row>
    <row r="36" spans="1:129" ht="18.75" hidden="1">
      <c r="A36" s="61"/>
      <c r="B36" s="914" t="s">
        <v>52</v>
      </c>
      <c r="C36" s="915"/>
      <c r="D36" s="294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295"/>
      <c r="Q36" s="64"/>
      <c r="R36" s="294"/>
      <c r="S36" s="65"/>
      <c r="T36" s="65"/>
      <c r="U36" s="65"/>
      <c r="V36" s="296"/>
      <c r="W36" s="297"/>
      <c r="X36" s="297"/>
      <c r="Y36" s="297"/>
      <c r="Z36" s="297"/>
      <c r="AA36" s="297"/>
      <c r="AB36" s="297"/>
      <c r="AC36" s="66"/>
      <c r="AD36" s="67"/>
      <c r="AE36" s="68"/>
      <c r="AF36" s="298"/>
      <c r="AG36" s="65"/>
      <c r="AH36" s="65" t="s">
        <v>53</v>
      </c>
      <c r="AI36" s="65"/>
      <c r="AJ36" s="296"/>
      <c r="AK36" s="296"/>
      <c r="AL36" s="296"/>
      <c r="AM36" s="296"/>
      <c r="AN36" s="65">
        <v>6715000</v>
      </c>
      <c r="AO36" s="65">
        <v>6555000</v>
      </c>
      <c r="AP36" s="65">
        <v>2640000</v>
      </c>
      <c r="AQ36" s="65">
        <v>1302000</v>
      </c>
      <c r="AR36" s="299"/>
      <c r="AS36" s="68"/>
      <c r="AT36" s="65">
        <v>3264695</v>
      </c>
      <c r="AU36" s="65">
        <v>3863760</v>
      </c>
      <c r="AV36" s="65">
        <v>3429225</v>
      </c>
      <c r="AW36" s="65">
        <v>3525360</v>
      </c>
      <c r="AX36" s="65">
        <v>2509485</v>
      </c>
      <c r="AY36" s="65">
        <v>2829000</v>
      </c>
      <c r="AZ36" s="65">
        <v>3666000</v>
      </c>
      <c r="BA36" s="65">
        <v>5705000</v>
      </c>
      <c r="BB36" s="65">
        <v>5691000</v>
      </c>
      <c r="BC36" s="65">
        <v>5600000</v>
      </c>
      <c r="BD36" s="65">
        <v>2430000</v>
      </c>
      <c r="BE36" s="65">
        <v>800000</v>
      </c>
      <c r="BF36" s="69">
        <f t="shared" si="49"/>
        <v>43313525</v>
      </c>
      <c r="BG36" s="68"/>
      <c r="BH36" s="70">
        <v>3498000</v>
      </c>
      <c r="BI36" s="70">
        <v>3346000</v>
      </c>
      <c r="BJ36" s="70">
        <v>3856000</v>
      </c>
      <c r="BK36" s="70">
        <v>3460000</v>
      </c>
      <c r="BL36" s="70">
        <v>2669500</v>
      </c>
      <c r="BM36" s="70">
        <v>2577200</v>
      </c>
      <c r="BN36" s="70">
        <v>3702000</v>
      </c>
      <c r="BO36" s="70">
        <v>4278800.22</v>
      </c>
      <c r="BP36" s="70">
        <v>4599400.25</v>
      </c>
      <c r="BQ36" s="70">
        <f>BQ35*BQ37</f>
        <v>3432510</v>
      </c>
      <c r="BR36" s="70">
        <v>2954493.21</v>
      </c>
      <c r="BS36" s="70">
        <v>984831.07</v>
      </c>
      <c r="BT36" s="65">
        <f t="shared" si="51"/>
        <v>39358734.75</v>
      </c>
      <c r="BU36" s="54"/>
      <c r="BV36" s="70">
        <f>BV37*BV38</f>
        <v>3399704.5546384701</v>
      </c>
      <c r="BW36" s="70">
        <f t="shared" ref="BW36:CG36" si="64">BW37*BW38</f>
        <v>3264737.5917468769</v>
      </c>
      <c r="BX36" s="70">
        <f t="shared" si="64"/>
        <v>4184999.9999999995</v>
      </c>
      <c r="BY36" s="70">
        <f t="shared" si="64"/>
        <v>3348000.0000000005</v>
      </c>
      <c r="BZ36" s="70">
        <f t="shared" si="64"/>
        <v>3074042.2288642721</v>
      </c>
      <c r="CA36" s="70">
        <f t="shared" si="64"/>
        <v>2812995.3566251793</v>
      </c>
      <c r="CB36" s="70">
        <f t="shared" si="64"/>
        <v>3737141.5756380158</v>
      </c>
      <c r="CC36" s="70">
        <f t="shared" si="64"/>
        <v>4437000.7194458414</v>
      </c>
      <c r="CD36" s="70">
        <f t="shared" si="64"/>
        <v>4710370.4261011425</v>
      </c>
      <c r="CE36" s="70">
        <f t="shared" si="64"/>
        <v>4744197.0280408058</v>
      </c>
      <c r="CF36" s="70">
        <f t="shared" si="64"/>
        <v>3461011.8981438484</v>
      </c>
      <c r="CG36" s="70">
        <f t="shared" si="64"/>
        <v>792579.23398446955</v>
      </c>
      <c r="CH36" s="65">
        <f>SUM(BV36:CG36)</f>
        <v>41966780.613228925</v>
      </c>
      <c r="CJ36" s="70">
        <v>3470304</v>
      </c>
      <c r="CK36" s="70">
        <v>4047936</v>
      </c>
      <c r="CL36" s="70">
        <v>3793200</v>
      </c>
      <c r="CM36" s="70">
        <v>3664392</v>
      </c>
      <c r="CN36" s="70">
        <v>3656712</v>
      </c>
      <c r="CO36" s="70">
        <v>2773872</v>
      </c>
      <c r="CP36" s="70">
        <v>5165016</v>
      </c>
      <c r="CQ36" s="70">
        <v>5668920</v>
      </c>
      <c r="CR36" s="70">
        <v>6676728</v>
      </c>
      <c r="CS36" s="70">
        <v>6194424</v>
      </c>
      <c r="CT36" s="70">
        <v>3814800</v>
      </c>
      <c r="CU36" s="70">
        <v>1459296</v>
      </c>
      <c r="CV36" s="70">
        <f>SUM(CJ36:CU36)</f>
        <v>50385600</v>
      </c>
      <c r="CW36" s="758"/>
      <c r="CX36" s="882">
        <v>3399704.5546384701</v>
      </c>
      <c r="CY36" s="882">
        <v>3264737.5917468769</v>
      </c>
      <c r="CZ36" s="882">
        <v>4184999.9999999995</v>
      </c>
      <c r="DA36" s="882">
        <v>3348000.0000000005</v>
      </c>
      <c r="DB36" s="882">
        <v>3074042.2288642721</v>
      </c>
      <c r="DC36" s="882">
        <v>2812995.3566251793</v>
      </c>
      <c r="DD36" s="882">
        <v>3737141.5756380158</v>
      </c>
      <c r="DE36" s="882">
        <v>4437000.7194458414</v>
      </c>
      <c r="DF36" s="882">
        <v>4710370.4261011425</v>
      </c>
      <c r="DG36" s="882">
        <v>4744197.0280408058</v>
      </c>
      <c r="DH36" s="882">
        <v>3461011.8981438484</v>
      </c>
      <c r="DI36" s="882">
        <v>792579.23398446955</v>
      </c>
      <c r="DJ36" s="70">
        <v>41966780.613228925</v>
      </c>
      <c r="DK36" s="948"/>
      <c r="DL36" s="882">
        <v>3399704.5546384701</v>
      </c>
      <c r="DM36" s="882">
        <v>3264737.5917468769</v>
      </c>
      <c r="DN36" s="882">
        <v>4184999.9999999995</v>
      </c>
      <c r="DO36" s="882">
        <v>3348000.0000000005</v>
      </c>
      <c r="DP36" s="882">
        <v>3074042.2288642721</v>
      </c>
      <c r="DQ36" s="882">
        <v>2812995.3566251793</v>
      </c>
      <c r="DR36" s="882">
        <v>3737141.5756380158</v>
      </c>
      <c r="DS36" s="882">
        <v>4437000.7194458414</v>
      </c>
      <c r="DT36" s="882">
        <v>4710370.4261011425</v>
      </c>
      <c r="DU36" s="882">
        <v>4744197.0280408058</v>
      </c>
      <c r="DV36" s="882">
        <v>3461011.8981438484</v>
      </c>
      <c r="DW36" s="882">
        <v>792579.23398446955</v>
      </c>
      <c r="DX36" s="65">
        <v>41966780.613228925</v>
      </c>
    </row>
    <row r="37" spans="1:129" ht="18.75" hidden="1">
      <c r="A37" s="71"/>
      <c r="B37" s="916" t="s">
        <v>54</v>
      </c>
      <c r="C37" s="917"/>
      <c r="D37" s="301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302"/>
      <c r="Q37" s="74"/>
      <c r="R37" s="301"/>
      <c r="S37" s="69"/>
      <c r="T37" s="69"/>
      <c r="U37" s="69"/>
      <c r="V37" s="303"/>
      <c r="W37" s="304"/>
      <c r="X37" s="304"/>
      <c r="Y37" s="304"/>
      <c r="Z37" s="304"/>
      <c r="AA37" s="304"/>
      <c r="AB37" s="304"/>
      <c r="AC37" s="75"/>
      <c r="AD37" s="76"/>
      <c r="AE37" s="77"/>
      <c r="AF37" s="305"/>
      <c r="AG37" s="69"/>
      <c r="AH37" s="69"/>
      <c r="AI37" s="69"/>
      <c r="AJ37" s="303"/>
      <c r="AK37" s="303"/>
      <c r="AL37" s="303"/>
      <c r="AM37" s="303"/>
      <c r="AN37" s="69">
        <f t="shared" ref="AN37:AQ37" si="65">30</f>
        <v>30</v>
      </c>
      <c r="AO37" s="69">
        <f t="shared" si="65"/>
        <v>30</v>
      </c>
      <c r="AP37" s="69">
        <f t="shared" si="65"/>
        <v>30</v>
      </c>
      <c r="AQ37" s="69">
        <f t="shared" si="65"/>
        <v>30</v>
      </c>
      <c r="AR37" s="306"/>
      <c r="AS37" s="77"/>
      <c r="AT37" s="69">
        <v>28</v>
      </c>
      <c r="AU37" s="69">
        <v>29</v>
      </c>
      <c r="AV37" s="69">
        <v>29</v>
      </c>
      <c r="AW37" s="69">
        <v>29</v>
      </c>
      <c r="AX37" s="69">
        <v>29</v>
      </c>
      <c r="AY37" s="69">
        <v>27</v>
      </c>
      <c r="AZ37" s="69">
        <v>27</v>
      </c>
      <c r="BA37" s="69">
        <v>27</v>
      </c>
      <c r="BB37" s="69">
        <v>27</v>
      </c>
      <c r="BC37" s="69">
        <v>26.07</v>
      </c>
      <c r="BD37" s="69">
        <v>26.07</v>
      </c>
      <c r="BE37" s="69">
        <v>26.07</v>
      </c>
      <c r="BF37" s="305"/>
      <c r="BG37" s="78"/>
      <c r="BH37" s="69">
        <v>27</v>
      </c>
      <c r="BI37" s="69">
        <v>27</v>
      </c>
      <c r="BJ37" s="69">
        <v>27</v>
      </c>
      <c r="BK37" s="69">
        <v>27</v>
      </c>
      <c r="BL37" s="69">
        <v>27</v>
      </c>
      <c r="BM37" s="69">
        <v>27</v>
      </c>
      <c r="BN37" s="69">
        <v>27</v>
      </c>
      <c r="BO37" s="69">
        <v>27</v>
      </c>
      <c r="BP37" s="69">
        <v>27</v>
      </c>
      <c r="BQ37" s="69">
        <v>27</v>
      </c>
      <c r="BR37" s="69">
        <v>27</v>
      </c>
      <c r="BS37" s="69">
        <v>27</v>
      </c>
      <c r="BT37" s="69"/>
      <c r="BU37" s="54"/>
      <c r="BV37" s="69">
        <v>26</v>
      </c>
      <c r="BW37" s="69">
        <v>26</v>
      </c>
      <c r="BX37" s="69">
        <v>26</v>
      </c>
      <c r="BY37" s="69">
        <v>26</v>
      </c>
      <c r="BZ37" s="69">
        <v>26</v>
      </c>
      <c r="CA37" s="69">
        <v>26</v>
      </c>
      <c r="CB37" s="69">
        <v>26</v>
      </c>
      <c r="CC37" s="69">
        <v>26</v>
      </c>
      <c r="CD37" s="69">
        <v>26</v>
      </c>
      <c r="CE37" s="69">
        <v>26</v>
      </c>
      <c r="CF37" s="69">
        <v>26</v>
      </c>
      <c r="CG37" s="69">
        <v>26</v>
      </c>
      <c r="CH37" s="69"/>
      <c r="CJ37" s="751">
        <v>26.83</v>
      </c>
      <c r="CK37" s="751">
        <f>CJ37</f>
        <v>26.83</v>
      </c>
      <c r="CL37" s="751">
        <f t="shared" ref="CL37:CV37" si="66">CK37</f>
        <v>26.83</v>
      </c>
      <c r="CM37" s="751">
        <f t="shared" si="66"/>
        <v>26.83</v>
      </c>
      <c r="CN37" s="751">
        <f t="shared" si="66"/>
        <v>26.83</v>
      </c>
      <c r="CO37" s="751">
        <f t="shared" si="66"/>
        <v>26.83</v>
      </c>
      <c r="CP37" s="751">
        <v>28.44</v>
      </c>
      <c r="CQ37" s="751">
        <f t="shared" si="66"/>
        <v>28.44</v>
      </c>
      <c r="CR37" s="751">
        <f t="shared" si="66"/>
        <v>28.44</v>
      </c>
      <c r="CS37" s="751">
        <f t="shared" si="66"/>
        <v>28.44</v>
      </c>
      <c r="CT37" s="751">
        <f t="shared" si="66"/>
        <v>28.44</v>
      </c>
      <c r="CU37" s="751">
        <f t="shared" si="66"/>
        <v>28.44</v>
      </c>
      <c r="CV37" s="69">
        <f t="shared" si="66"/>
        <v>28.44</v>
      </c>
      <c r="CW37" s="758"/>
      <c r="CX37" s="881">
        <v>26</v>
      </c>
      <c r="CY37" s="881">
        <v>26</v>
      </c>
      <c r="CZ37" s="881">
        <v>26</v>
      </c>
      <c r="DA37" s="881">
        <v>26</v>
      </c>
      <c r="DB37" s="881">
        <v>26</v>
      </c>
      <c r="DC37" s="881">
        <v>26</v>
      </c>
      <c r="DD37" s="881">
        <v>26</v>
      </c>
      <c r="DE37" s="881">
        <v>26</v>
      </c>
      <c r="DF37" s="881">
        <v>26</v>
      </c>
      <c r="DG37" s="881">
        <v>26</v>
      </c>
      <c r="DH37" s="881">
        <v>26</v>
      </c>
      <c r="DI37" s="881">
        <v>26</v>
      </c>
      <c r="DJ37" s="69"/>
      <c r="DK37" s="948"/>
      <c r="DL37" s="881">
        <v>26</v>
      </c>
      <c r="DM37" s="881">
        <v>26</v>
      </c>
      <c r="DN37" s="881">
        <v>26</v>
      </c>
      <c r="DO37" s="881">
        <v>26</v>
      </c>
      <c r="DP37" s="881">
        <v>26</v>
      </c>
      <c r="DQ37" s="881">
        <v>26</v>
      </c>
      <c r="DR37" s="881">
        <v>26</v>
      </c>
      <c r="DS37" s="881">
        <v>26</v>
      </c>
      <c r="DT37" s="881">
        <v>26</v>
      </c>
      <c r="DU37" s="881">
        <v>26</v>
      </c>
      <c r="DV37" s="881">
        <v>26</v>
      </c>
      <c r="DW37" s="881">
        <v>26</v>
      </c>
      <c r="DX37" s="69"/>
    </row>
    <row r="38" spans="1:129" ht="18.75">
      <c r="A38" s="79"/>
      <c r="B38" s="80" t="s">
        <v>121</v>
      </c>
      <c r="C38" s="81"/>
      <c r="D38" s="288">
        <v>82250</v>
      </c>
      <c r="E38" s="57">
        <v>117000</v>
      </c>
      <c r="F38" s="57">
        <v>121750</v>
      </c>
      <c r="G38" s="57">
        <v>150000</v>
      </c>
      <c r="H38" s="57">
        <v>99500</v>
      </c>
      <c r="I38" s="57">
        <v>102000</v>
      </c>
      <c r="J38" s="57">
        <v>177632</v>
      </c>
      <c r="K38" s="57">
        <v>178158</v>
      </c>
      <c r="L38" s="57">
        <v>199211</v>
      </c>
      <c r="M38" s="57">
        <v>229474</v>
      </c>
      <c r="N38" s="57">
        <v>122368</v>
      </c>
      <c r="O38" s="57">
        <v>38421</v>
      </c>
      <c r="P38" s="289">
        <f>SUM(D38:O38)</f>
        <v>1617764</v>
      </c>
      <c r="Q38" s="39"/>
      <c r="R38" s="288">
        <v>115619.79612330014</v>
      </c>
      <c r="S38" s="58">
        <v>123327.78253152016</v>
      </c>
      <c r="T38" s="58">
        <v>128854</v>
      </c>
      <c r="U38" s="58">
        <f>126016*0.15</f>
        <v>18902.399999999998</v>
      </c>
      <c r="V38" s="58">
        <v>35234</v>
      </c>
      <c r="W38" s="290">
        <v>56469.381950239796</v>
      </c>
      <c r="X38" s="290">
        <v>118413.33333333299</v>
      </c>
      <c r="Y38" s="290">
        <v>198797.08333333331</v>
      </c>
      <c r="Z38" s="290">
        <v>242087.5</v>
      </c>
      <c r="AA38" s="290">
        <v>140000</v>
      </c>
      <c r="AB38" s="290">
        <v>0</v>
      </c>
      <c r="AC38" s="290">
        <v>-45300</v>
      </c>
      <c r="AD38" s="291">
        <f>SUM(R38:AC38)</f>
        <v>1132405.2772717264</v>
      </c>
      <c r="AE38" s="59"/>
      <c r="AF38" s="292">
        <v>90146</v>
      </c>
      <c r="AG38" s="58">
        <v>155577</v>
      </c>
      <c r="AH38" s="58">
        <v>62953</v>
      </c>
      <c r="AI38" s="58">
        <v>73261</v>
      </c>
      <c r="AJ38" s="58">
        <v>91856</v>
      </c>
      <c r="AK38" s="58">
        <v>120000</v>
      </c>
      <c r="AL38" s="58">
        <v>110295</v>
      </c>
      <c r="AM38" s="58">
        <v>200203</v>
      </c>
      <c r="AN38" s="58">
        <f t="shared" ref="AN38:AQ38" si="67">AN36/AN37</f>
        <v>223833.33333333334</v>
      </c>
      <c r="AO38" s="58">
        <f t="shared" si="67"/>
        <v>218500</v>
      </c>
      <c r="AP38" s="58">
        <f t="shared" si="67"/>
        <v>88000</v>
      </c>
      <c r="AQ38" s="58">
        <f t="shared" si="67"/>
        <v>43400</v>
      </c>
      <c r="AR38" s="58">
        <f>SUM(AF38:AQ38)</f>
        <v>1478024.3333333333</v>
      </c>
      <c r="AS38" s="59"/>
      <c r="AT38" s="58">
        <f t="shared" ref="AT38:BE38" si="68">AT36/AT37</f>
        <v>116596.25</v>
      </c>
      <c r="AU38" s="58">
        <f t="shared" si="68"/>
        <v>133233.10344827586</v>
      </c>
      <c r="AV38" s="58">
        <f t="shared" si="68"/>
        <v>118249.13793103448</v>
      </c>
      <c r="AW38" s="58">
        <f t="shared" si="68"/>
        <v>121564.13793103448</v>
      </c>
      <c r="AX38" s="58">
        <f t="shared" si="68"/>
        <v>86533.965517241377</v>
      </c>
      <c r="AY38" s="58">
        <f t="shared" si="68"/>
        <v>104777.77777777778</v>
      </c>
      <c r="AZ38" s="58">
        <f t="shared" si="68"/>
        <v>135777.77777777778</v>
      </c>
      <c r="BA38" s="58">
        <f t="shared" si="68"/>
        <v>211296.29629629629</v>
      </c>
      <c r="BB38" s="58">
        <f t="shared" si="68"/>
        <v>210777.77777777778</v>
      </c>
      <c r="BC38" s="58">
        <f t="shared" si="68"/>
        <v>214806.29075565783</v>
      </c>
      <c r="BD38" s="58">
        <f t="shared" si="68"/>
        <v>93210.586881472962</v>
      </c>
      <c r="BE38" s="58">
        <f t="shared" si="68"/>
        <v>30686.612965093977</v>
      </c>
      <c r="BF38" s="58">
        <f>SUM(AT38:BE38)</f>
        <v>1577509.7150594404</v>
      </c>
      <c r="BG38" s="59">
        <f>BF38-AR38</f>
        <v>99485.381726107094</v>
      </c>
      <c r="BH38" s="58">
        <f>BH35</f>
        <v>116600</v>
      </c>
      <c r="BI38" s="58">
        <f t="shared" ref="BI38:BT38" si="69">BI35</f>
        <v>111533.33333333333</v>
      </c>
      <c r="BJ38" s="58">
        <f t="shared" si="69"/>
        <v>135674.07407407407</v>
      </c>
      <c r="BK38" s="58">
        <f t="shared" si="69"/>
        <v>121740.74074074074</v>
      </c>
      <c r="BL38" s="58">
        <f t="shared" si="69"/>
        <v>93926.851851851854</v>
      </c>
      <c r="BM38" s="58">
        <f t="shared" si="69"/>
        <v>90679.259259259255</v>
      </c>
      <c r="BN38" s="58">
        <f t="shared" si="69"/>
        <v>130255.55555555556</v>
      </c>
      <c r="BO38" s="58">
        <f t="shared" si="69"/>
        <v>150550.37811111109</v>
      </c>
      <c r="BP38" s="58">
        <f t="shared" si="69"/>
        <v>161830.74953703705</v>
      </c>
      <c r="BQ38" s="58">
        <f t="shared" si="69"/>
        <v>127130</v>
      </c>
      <c r="BR38" s="58">
        <f>BR35</f>
        <v>138687.6</v>
      </c>
      <c r="BS38" s="58">
        <f t="shared" si="69"/>
        <v>43639.199999999997</v>
      </c>
      <c r="BT38" s="58">
        <f t="shared" si="69"/>
        <v>1422247.7424629631</v>
      </c>
      <c r="BU38" s="60"/>
      <c r="BV38" s="58">
        <f>'META  EM PEÇAS'!S73</f>
        <v>130757.867486095</v>
      </c>
      <c r="BW38" s="58">
        <f>'META  EM PEÇAS'!T73</f>
        <v>125566.83045180296</v>
      </c>
      <c r="BX38" s="58">
        <f>'META  EM PEÇAS'!U73</f>
        <v>160961.53846153844</v>
      </c>
      <c r="BY38" s="58">
        <f>'META  EM PEÇAS'!V73</f>
        <v>128769.23076923078</v>
      </c>
      <c r="BZ38" s="58">
        <f>'META  EM PEÇAS'!W73</f>
        <v>118232.39341785663</v>
      </c>
      <c r="CA38" s="58">
        <f>'META  EM PEÇAS'!X73</f>
        <v>108192.12910096844</v>
      </c>
      <c r="CB38" s="58">
        <f>'META  EM PEÇAS'!Y73</f>
        <v>143736.21444761599</v>
      </c>
      <c r="CC38" s="58">
        <f>'META  EM PEÇAS'!Z73</f>
        <v>170653.87382484006</v>
      </c>
      <c r="CD38" s="58">
        <f>'META  EM PEÇAS'!AA73</f>
        <v>181168.0933115824</v>
      </c>
      <c r="CE38" s="58">
        <f>'META  EM PEÇAS'!AB73</f>
        <v>182469.1164631079</v>
      </c>
      <c r="CF38" s="58">
        <f>'META  EM PEÇAS'!AC73</f>
        <v>133115.84223630186</v>
      </c>
      <c r="CG38" s="58">
        <f>'META  EM PEÇAS'!AD73</f>
        <v>30483.816691710366</v>
      </c>
      <c r="CH38" s="58">
        <v>45</v>
      </c>
      <c r="CI38">
        <f>CH38*26</f>
        <v>1170</v>
      </c>
      <c r="CJ38" s="58">
        <f>CJ36/CJ37</f>
        <v>129344.16697726426</v>
      </c>
      <c r="CK38" s="58">
        <f t="shared" ref="CK38:CU38" si="70">CK36/CK37</f>
        <v>150873.49981364145</v>
      </c>
      <c r="CL38" s="58">
        <f t="shared" si="70"/>
        <v>141379.05329854641</v>
      </c>
      <c r="CM38" s="58">
        <f t="shared" si="70"/>
        <v>136578.1587774879</v>
      </c>
      <c r="CN38" s="58">
        <f>CN36/CN37</f>
        <v>136291.91203876259</v>
      </c>
      <c r="CO38" s="58">
        <f t="shared" si="70"/>
        <v>103386.95490122997</v>
      </c>
      <c r="CP38" s="58">
        <f>CP36/CP37</f>
        <v>181610.97046413503</v>
      </c>
      <c r="CQ38" s="58">
        <f t="shared" si="70"/>
        <v>199329.11392405062</v>
      </c>
      <c r="CR38" s="58">
        <f t="shared" si="70"/>
        <v>234765.40084388186</v>
      </c>
      <c r="CS38" s="58">
        <f>CS36/CS37</f>
        <v>217806.7510548523</v>
      </c>
      <c r="CT38" s="58">
        <f t="shared" si="70"/>
        <v>134135.02109704641</v>
      </c>
      <c r="CU38" s="58">
        <f t="shared" si="70"/>
        <v>51311.392405063292</v>
      </c>
      <c r="CV38" s="58">
        <f>SUM(CJ38:CU38)</f>
        <v>1816812.3955959619</v>
      </c>
      <c r="CW38" s="758"/>
      <c r="CX38" s="880">
        <f>CX39*1.1</f>
        <v>176000</v>
      </c>
      <c r="CY38" s="880">
        <f t="shared" ref="CX38:DB38" si="71">CY39*1.1</f>
        <v>198000.00000000003</v>
      </c>
      <c r="CZ38" s="880">
        <f t="shared" si="71"/>
        <v>143000</v>
      </c>
      <c r="DA38" s="880">
        <f t="shared" si="71"/>
        <v>140800</v>
      </c>
      <c r="DB38" s="880">
        <f t="shared" si="71"/>
        <v>135300</v>
      </c>
      <c r="DC38" s="880">
        <f t="shared" ref="DA38:DK38" si="72">DC39*1.1</f>
        <v>91300.000000000015</v>
      </c>
      <c r="DD38" s="880">
        <f t="shared" si="72"/>
        <v>169400</v>
      </c>
      <c r="DE38" s="880">
        <f t="shared" si="72"/>
        <v>181500.00000000003</v>
      </c>
      <c r="DF38" s="880">
        <f>DF39*1.1</f>
        <v>242000.00000000003</v>
      </c>
      <c r="DG38" s="880">
        <f>DG39*1.1</f>
        <v>190300.00000000003</v>
      </c>
      <c r="DH38" s="880">
        <f t="shared" si="72"/>
        <v>116199.6</v>
      </c>
      <c r="DI38" s="880">
        <f t="shared" si="72"/>
        <v>44000</v>
      </c>
      <c r="DJ38" s="58">
        <f>SUM(CX38:DI38)</f>
        <v>1827799.6</v>
      </c>
      <c r="DK38" s="948"/>
      <c r="DL38" s="880">
        <f>CX39*1.1</f>
        <v>176000</v>
      </c>
      <c r="DM38" s="880">
        <f t="shared" ref="DM38:DW38" si="73">CY39*1.1</f>
        <v>198000.00000000003</v>
      </c>
      <c r="DN38" s="880">
        <f t="shared" si="73"/>
        <v>143000</v>
      </c>
      <c r="DO38" s="880">
        <f t="shared" si="73"/>
        <v>140800</v>
      </c>
      <c r="DP38" s="880">
        <f t="shared" si="73"/>
        <v>135300</v>
      </c>
      <c r="DQ38" s="880">
        <f t="shared" si="73"/>
        <v>91300.000000000015</v>
      </c>
      <c r="DR38" s="880">
        <f t="shared" si="73"/>
        <v>169400</v>
      </c>
      <c r="DS38" s="880">
        <f t="shared" si="73"/>
        <v>181500.00000000003</v>
      </c>
      <c r="DT38" s="880">
        <f t="shared" si="73"/>
        <v>242000.00000000003</v>
      </c>
      <c r="DU38" s="880">
        <f t="shared" si="73"/>
        <v>190300.00000000003</v>
      </c>
      <c r="DV38" s="880">
        <f t="shared" si="73"/>
        <v>116199.6</v>
      </c>
      <c r="DW38" s="880">
        <f t="shared" si="73"/>
        <v>44000</v>
      </c>
      <c r="DX38" s="58">
        <f>SUM(DL38:DW38)</f>
        <v>1827799.6</v>
      </c>
      <c r="DY38" s="598">
        <f>DX38-DJ38</f>
        <v>0</v>
      </c>
    </row>
    <row r="39" spans="1:129" ht="18.75">
      <c r="A39" s="307"/>
      <c r="B39" s="918" t="s">
        <v>164</v>
      </c>
      <c r="C39" s="919" t="s">
        <v>122</v>
      </c>
      <c r="D39" s="309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310"/>
      <c r="Q39" s="84"/>
      <c r="R39" s="309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311"/>
      <c r="AE39" s="23"/>
      <c r="AF39" s="312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6"/>
      <c r="AS39" s="23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2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54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J39" s="87">
        <f t="shared" ref="CJ39:CT39" si="74">(CJ38*0.95)-2000</f>
        <v>120876.95862840104</v>
      </c>
      <c r="CK39" s="87">
        <f t="shared" si="74"/>
        <v>141329.82482295937</v>
      </c>
      <c r="CL39" s="87">
        <f t="shared" si="74"/>
        <v>132310.10063361909</v>
      </c>
      <c r="CM39" s="87">
        <f t="shared" si="74"/>
        <v>127749.2508386135</v>
      </c>
      <c r="CN39" s="87">
        <f t="shared" si="74"/>
        <v>127477.31643682445</v>
      </c>
      <c r="CO39" s="87">
        <f t="shared" si="74"/>
        <v>96217.607156168466</v>
      </c>
      <c r="CP39" s="87">
        <f>(CP38*0.95)-2000</f>
        <v>170530.42194092827</v>
      </c>
      <c r="CQ39" s="87">
        <f t="shared" si="74"/>
        <v>187362.65822784806</v>
      </c>
      <c r="CR39" s="87">
        <f t="shared" si="74"/>
        <v>221027.13080168774</v>
      </c>
      <c r="CS39" s="87">
        <f t="shared" si="74"/>
        <v>204916.41350210967</v>
      </c>
      <c r="CT39" s="87">
        <f t="shared" si="74"/>
        <v>125428.27004219408</v>
      </c>
      <c r="CU39" s="87">
        <f>(CU38*0.95)-2000</f>
        <v>46745.822784810123</v>
      </c>
      <c r="CV39" s="87">
        <f>SUM(CJ39:CU39)</f>
        <v>1701971.775816164</v>
      </c>
      <c r="CW39" s="758"/>
      <c r="CX39" s="883">
        <v>160000</v>
      </c>
      <c r="CY39" s="883">
        <v>180000</v>
      </c>
      <c r="CZ39" s="883">
        <v>130000</v>
      </c>
      <c r="DA39" s="883">
        <v>128000</v>
      </c>
      <c r="DB39" s="883">
        <v>123000</v>
      </c>
      <c r="DC39" s="883">
        <v>83000</v>
      </c>
      <c r="DD39" s="883">
        <v>154000</v>
      </c>
      <c r="DE39" s="883">
        <v>165000</v>
      </c>
      <c r="DF39" s="883">
        <v>220000</v>
      </c>
      <c r="DG39" s="883">
        <v>173000</v>
      </c>
      <c r="DH39" s="883">
        <v>105636</v>
      </c>
      <c r="DI39" s="883">
        <v>40000</v>
      </c>
      <c r="DJ39" s="87">
        <f>SUM(CX39:DI39)</f>
        <v>1661636</v>
      </c>
      <c r="DK39" s="948"/>
      <c r="DL39" s="883">
        <v>169016.1</v>
      </c>
      <c r="DM39" s="883">
        <v>125000</v>
      </c>
      <c r="DN39" s="883">
        <v>153000</v>
      </c>
      <c r="DO39" s="883">
        <v>100000</v>
      </c>
      <c r="DP39" s="883">
        <v>85000</v>
      </c>
      <c r="DQ39" s="883">
        <v>79000</v>
      </c>
      <c r="DR39" s="883">
        <v>142000</v>
      </c>
      <c r="DS39" s="883">
        <v>177625.8</v>
      </c>
      <c r="DT39" s="883">
        <v>240718.5</v>
      </c>
      <c r="DU39" s="883">
        <v>225408.05485232067</v>
      </c>
      <c r="DV39" s="883">
        <v>137971.09704641352</v>
      </c>
      <c r="DW39" s="883">
        <v>56920.405063291139</v>
      </c>
      <c r="DX39" s="87">
        <f>SUM(DL39:DW39)</f>
        <v>1691659.956962025</v>
      </c>
    </row>
    <row r="40" spans="1:129" ht="18.75" hidden="1">
      <c r="A40" s="709"/>
      <c r="B40" s="920"/>
      <c r="C40" s="920"/>
      <c r="D40" s="309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310"/>
      <c r="Q40" s="84"/>
      <c r="R40" s="309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311"/>
      <c r="AE40" s="23"/>
      <c r="AF40" s="312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6"/>
      <c r="AS40" s="23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2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54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J40" s="711">
        <f>(CJ38-CJ39)/CJ39</f>
        <v>7.0048158432683957E-2</v>
      </c>
      <c r="CK40" s="711">
        <f t="shared" ref="CK40:CU40" si="75">(CK38-CK39)/CK39</f>
        <v>6.7527678624361279E-2</v>
      </c>
      <c r="CL40" s="711">
        <f t="shared" si="75"/>
        <v>6.8543162022378201E-2</v>
      </c>
      <c r="CM40" s="711">
        <f t="shared" si="75"/>
        <v>6.911123064062441E-2</v>
      </c>
      <c r="CN40" s="711">
        <f t="shared" si="75"/>
        <v>6.9146385006516056E-2</v>
      </c>
      <c r="CO40" s="711">
        <f t="shared" si="75"/>
        <v>7.4511806694850649E-2</v>
      </c>
      <c r="CP40" s="711">
        <f t="shared" si="75"/>
        <v>6.4976960691770641E-2</v>
      </c>
      <c r="CQ40" s="711">
        <f t="shared" si="75"/>
        <v>6.3867879594504795E-2</v>
      </c>
      <c r="CR40" s="711">
        <f t="shared" si="75"/>
        <v>6.2156487270879454E-2</v>
      </c>
      <c r="CS40" s="711">
        <f t="shared" si="75"/>
        <v>6.2905344342316025E-2</v>
      </c>
      <c r="CT40" s="711">
        <f t="shared" si="75"/>
        <v>6.94161774847359E-2</v>
      </c>
      <c r="CU40" s="711">
        <f t="shared" si="75"/>
        <v>9.7667970061631554E-2</v>
      </c>
      <c r="CV40" s="87"/>
      <c r="CW40" s="758"/>
      <c r="CX40" s="883"/>
      <c r="CY40" s="883"/>
      <c r="CZ40" s="883"/>
      <c r="DA40" s="883"/>
      <c r="DB40" s="883"/>
      <c r="DC40" s="883"/>
      <c r="DD40" s="883"/>
      <c r="DE40" s="883"/>
      <c r="DF40" s="883"/>
      <c r="DG40" s="883"/>
      <c r="DH40" s="883"/>
      <c r="DI40" s="883"/>
      <c r="DJ40" s="87"/>
      <c r="DK40" s="948"/>
      <c r="DL40" s="883"/>
      <c r="DM40" s="883"/>
      <c r="DN40" s="883"/>
      <c r="DO40" s="883"/>
      <c r="DP40" s="883"/>
      <c r="DQ40" s="883"/>
      <c r="DR40" s="883"/>
      <c r="DS40" s="883"/>
      <c r="DT40" s="883"/>
      <c r="DU40" s="883"/>
      <c r="DV40" s="883"/>
      <c r="DW40" s="883"/>
      <c r="DX40" s="87"/>
    </row>
    <row r="41" spans="1:129" ht="15" hidden="1" customHeight="1" outlineLevel="1">
      <c r="A41" s="88">
        <v>1</v>
      </c>
      <c r="B41" s="1078" t="s">
        <v>56</v>
      </c>
      <c r="C41" s="1119"/>
      <c r="D41" s="313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314">
        <f t="shared" ref="P41:P53" si="76">SUM(D41:O41)</f>
        <v>0</v>
      </c>
      <c r="Q41" s="90"/>
      <c r="R41" s="313">
        <v>7017.5438596491231</v>
      </c>
      <c r="S41" s="91">
        <v>7017.5438596491231</v>
      </c>
      <c r="T41" s="91">
        <f>7017.54385964912/2</f>
        <v>3508.7719298245602</v>
      </c>
      <c r="U41" s="91">
        <f>96*U7</f>
        <v>96</v>
      </c>
      <c r="V41" s="91">
        <v>3000</v>
      </c>
      <c r="W41" s="91">
        <v>7200</v>
      </c>
      <c r="X41" s="91">
        <v>8500</v>
      </c>
      <c r="Y41" s="91">
        <v>8500</v>
      </c>
      <c r="Z41" s="91">
        <v>8500</v>
      </c>
      <c r="AA41" s="91">
        <v>9000</v>
      </c>
      <c r="AB41" s="91">
        <v>9500</v>
      </c>
      <c r="AC41" s="91">
        <v>8500</v>
      </c>
      <c r="AD41" s="315">
        <f t="shared" ref="AD41:AD55" si="77">SUM(R41:AC41)</f>
        <v>80339.859649122809</v>
      </c>
      <c r="AE41" s="23"/>
      <c r="AF41" s="316">
        <v>8000</v>
      </c>
      <c r="AG41" s="91">
        <v>4000</v>
      </c>
      <c r="AH41" s="91">
        <v>5673</v>
      </c>
      <c r="AI41" s="91">
        <v>4500</v>
      </c>
      <c r="AJ41" s="91">
        <v>7892</v>
      </c>
      <c r="AK41" s="91">
        <v>6400</v>
      </c>
      <c r="AL41" s="91">
        <v>8000</v>
      </c>
      <c r="AM41" s="91">
        <v>8000</v>
      </c>
      <c r="AN41" s="91">
        <v>8000</v>
      </c>
      <c r="AO41" s="91">
        <v>8000</v>
      </c>
      <c r="AP41" s="91">
        <v>8800</v>
      </c>
      <c r="AQ41" s="91">
        <v>6400</v>
      </c>
      <c r="AR41" s="92">
        <f t="shared" ref="AR41:AR59" si="78">SUM(AF41:AQ41)</f>
        <v>83665</v>
      </c>
      <c r="AS41" s="23"/>
      <c r="AT41" s="91">
        <v>4861</v>
      </c>
      <c r="AU41" s="91">
        <v>5809</v>
      </c>
      <c r="AV41" s="91">
        <v>5072</v>
      </c>
      <c r="AW41" s="91">
        <v>4725</v>
      </c>
      <c r="AX41" s="317">
        <v>5832</v>
      </c>
      <c r="AY41" s="317">
        <v>5832</v>
      </c>
      <c r="AZ41" s="317">
        <v>5567</v>
      </c>
      <c r="BA41" s="317">
        <v>5567</v>
      </c>
      <c r="BB41" s="317">
        <v>5832</v>
      </c>
      <c r="BC41" s="317">
        <v>6892</v>
      </c>
      <c r="BD41" s="317">
        <v>7422</v>
      </c>
      <c r="BE41" s="317">
        <v>4241</v>
      </c>
      <c r="BF41" s="91">
        <f t="shared" ref="BF41:BF73" si="79">SUM(AT41:BE41)</f>
        <v>67652</v>
      </c>
      <c r="BG41" s="93">
        <f t="shared" ref="BG41:BG59" si="80">BF41/AR41-1</f>
        <v>-0.19139425088149165</v>
      </c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>
        <v>36051</v>
      </c>
      <c r="BU41" s="54"/>
      <c r="BV41" s="91">
        <v>4782.99</v>
      </c>
      <c r="BW41" s="91">
        <v>2945.31</v>
      </c>
      <c r="BX41" s="91">
        <f>'META  EM PEÇAS'!U26-('META  EM PEÇAS'!U26*0.05)</f>
        <v>7080.3689999999997</v>
      </c>
      <c r="BY41" s="91">
        <f>'META  EM PEÇAS'!V26-('META  EM PEÇAS'!V26*0.05)</f>
        <v>4355.6549999999997</v>
      </c>
      <c r="BZ41" s="91">
        <f>'META  EM PEÇAS'!W26-('META  EM PEÇAS'!W26*0.05)</f>
        <v>5839.9349999999995</v>
      </c>
      <c r="CA41" s="91">
        <f>'META  EM PEÇAS'!X26-('META  EM PEÇAS'!X26*0.05)</f>
        <v>5900.8964999999989</v>
      </c>
      <c r="CB41" s="91">
        <f>'META  EM PEÇAS'!Y26-('META  EM PEÇAS'!Y26*0.05)</f>
        <v>5279.7959999999994</v>
      </c>
      <c r="CC41" s="91">
        <f>'META  EM PEÇAS'!Z26-('META  EM PEÇAS'!Z26*0.05)</f>
        <v>4897.2404999999999</v>
      </c>
      <c r="CD41" s="91">
        <f>'META  EM PEÇAS'!AA26-('META  EM PEÇAS'!AA26*0.05)</f>
        <v>5018.28</v>
      </c>
      <c r="CE41" s="91">
        <f>'META  EM PEÇAS'!AB26-('META  EM PEÇAS'!AB26*0.05)</f>
        <v>4641.0254999999997</v>
      </c>
      <c r="CF41" s="91">
        <f>'META  EM PEÇAS'!AC26-('META  EM PEÇAS'!AC26*0.05)</f>
        <v>6521.1134999999995</v>
      </c>
      <c r="CG41" s="91">
        <f>'META  EM PEÇAS'!AD26-('META  EM PEÇAS'!AD26*0.05)</f>
        <v>3929.8079999999995</v>
      </c>
      <c r="CH41" s="91">
        <v>4136.6400000000003</v>
      </c>
      <c r="CJ41" s="91">
        <v>4782.99</v>
      </c>
      <c r="CK41" s="91">
        <v>2945.31</v>
      </c>
      <c r="CL41" s="91">
        <v>7080.3689999999997</v>
      </c>
      <c r="CM41" s="91">
        <v>4355.6549999999997</v>
      </c>
      <c r="CN41" s="91">
        <v>5839.9349999999995</v>
      </c>
      <c r="CO41" s="91">
        <v>5900.8964999999989</v>
      </c>
      <c r="CP41" s="91">
        <v>5279.7959999999994</v>
      </c>
      <c r="CQ41" s="91">
        <v>4897.2404999999999</v>
      </c>
      <c r="CR41" s="91">
        <v>5018.28</v>
      </c>
      <c r="CS41" s="91">
        <v>4641.0254999999997</v>
      </c>
      <c r="CT41" s="91">
        <v>6521.1134999999995</v>
      </c>
      <c r="CU41" s="91">
        <v>3929.8079999999995</v>
      </c>
      <c r="CV41" s="91">
        <v>4136.6400000000003</v>
      </c>
      <c r="CW41" s="758"/>
      <c r="CX41" s="884">
        <v>4782.99</v>
      </c>
      <c r="CY41" s="884">
        <v>2945.31</v>
      </c>
      <c r="CZ41" s="884">
        <v>7080.3689999999997</v>
      </c>
      <c r="DA41" s="884">
        <v>4355.6549999999997</v>
      </c>
      <c r="DB41" s="884">
        <v>5839.9349999999995</v>
      </c>
      <c r="DC41" s="884">
        <v>5900.8964999999989</v>
      </c>
      <c r="DD41" s="884">
        <v>5279.7959999999994</v>
      </c>
      <c r="DE41" s="884">
        <v>4897.2404999999999</v>
      </c>
      <c r="DF41" s="884">
        <v>5018.28</v>
      </c>
      <c r="DG41" s="884">
        <v>4641.0254999999997</v>
      </c>
      <c r="DH41" s="884">
        <v>6521.1134999999995</v>
      </c>
      <c r="DI41" s="884">
        <v>3929.8079999999995</v>
      </c>
      <c r="DJ41" s="91">
        <v>4136.6400000000003</v>
      </c>
      <c r="DK41" s="948"/>
      <c r="DL41" s="884">
        <v>4782.99</v>
      </c>
      <c r="DM41" s="884">
        <v>2945.31</v>
      </c>
      <c r="DN41" s="884">
        <v>7080.3689999999997</v>
      </c>
      <c r="DO41" s="884">
        <v>4355.6549999999997</v>
      </c>
      <c r="DP41" s="884">
        <v>5839.9349999999995</v>
      </c>
      <c r="DQ41" s="884">
        <v>5900.8964999999989</v>
      </c>
      <c r="DR41" s="884">
        <v>5279.7959999999994</v>
      </c>
      <c r="DS41" s="884">
        <v>4897.2404999999999</v>
      </c>
      <c r="DT41" s="884">
        <v>5018.28</v>
      </c>
      <c r="DU41" s="884">
        <v>4641.0254999999997</v>
      </c>
      <c r="DV41" s="884">
        <v>6521.1134999999995</v>
      </c>
      <c r="DW41" s="884">
        <v>3929.8079999999995</v>
      </c>
      <c r="DX41" s="91">
        <v>4136.6400000000003</v>
      </c>
    </row>
    <row r="42" spans="1:129" ht="15" hidden="1" customHeight="1" outlineLevel="1">
      <c r="A42" s="94">
        <v>2</v>
      </c>
      <c r="B42" s="1079" t="s">
        <v>57</v>
      </c>
      <c r="C42" s="1120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si="76"/>
        <v>0</v>
      </c>
      <c r="Q42" s="90"/>
      <c r="R42" s="313">
        <v>2909</v>
      </c>
      <c r="S42" s="91">
        <v>2545</v>
      </c>
      <c r="T42" s="91">
        <f>2727/1.2</f>
        <v>2272.5</v>
      </c>
      <c r="U42" s="91">
        <f>2*U7</f>
        <v>2</v>
      </c>
      <c r="V42" s="91">
        <v>500</v>
      </c>
      <c r="W42" s="91">
        <v>1300</v>
      </c>
      <c r="X42" s="91">
        <v>3200</v>
      </c>
      <c r="Y42" s="91">
        <v>3200</v>
      </c>
      <c r="Z42" s="91">
        <v>3600</v>
      </c>
      <c r="AA42" s="91">
        <v>3600</v>
      </c>
      <c r="AB42" s="91">
        <v>3600</v>
      </c>
      <c r="AC42" s="91">
        <v>4500</v>
      </c>
      <c r="AD42" s="315">
        <f t="shared" si="77"/>
        <v>31228.5</v>
      </c>
      <c r="AE42" s="23"/>
      <c r="AF42" s="316">
        <v>4000</v>
      </c>
      <c r="AG42" s="91">
        <v>1500</v>
      </c>
      <c r="AH42" s="91">
        <v>189</v>
      </c>
      <c r="AI42" s="91">
        <v>1842</v>
      </c>
      <c r="AJ42" s="91">
        <v>3764</v>
      </c>
      <c r="AK42" s="91">
        <v>3200</v>
      </c>
      <c r="AL42" s="91">
        <v>6000</v>
      </c>
      <c r="AM42" s="91">
        <v>5000</v>
      </c>
      <c r="AN42" s="91">
        <v>5000</v>
      </c>
      <c r="AO42" s="91">
        <v>5000</v>
      </c>
      <c r="AP42" s="91">
        <v>5000</v>
      </c>
      <c r="AQ42" s="91">
        <v>9000</v>
      </c>
      <c r="AR42" s="92">
        <f t="shared" si="78"/>
        <v>49495</v>
      </c>
      <c r="AS42" s="23"/>
      <c r="AT42" s="91">
        <v>5468</v>
      </c>
      <c r="AU42" s="91">
        <v>5468</v>
      </c>
      <c r="AV42" s="91">
        <v>6249</v>
      </c>
      <c r="AW42" s="91">
        <v>6249</v>
      </c>
      <c r="AX42" s="317">
        <v>3923</v>
      </c>
      <c r="AY42" s="317">
        <v>3923</v>
      </c>
      <c r="AZ42" s="317">
        <v>3745</v>
      </c>
      <c r="BA42" s="317">
        <v>3745</v>
      </c>
      <c r="BB42" s="317">
        <v>3923</v>
      </c>
      <c r="BC42" s="317">
        <v>4636</v>
      </c>
      <c r="BD42" s="317">
        <v>4993</v>
      </c>
      <c r="BE42" s="317">
        <v>7133</v>
      </c>
      <c r="BF42" s="91">
        <f t="shared" si="79"/>
        <v>59455</v>
      </c>
      <c r="BG42" s="93">
        <f t="shared" si="80"/>
        <v>0.20123244772199222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40562</v>
      </c>
      <c r="BU42" s="54"/>
      <c r="BV42" s="91">
        <v>4442.6099999999997</v>
      </c>
      <c r="BW42" s="91">
        <v>3433.56</v>
      </c>
      <c r="BX42" s="91">
        <f>'META  EM PEÇAS'!U27-('META  EM PEÇAS'!U27*0.05)</f>
        <v>3860.0114999999996</v>
      </c>
      <c r="BY42" s="91">
        <f>'META  EM PEÇAS'!V27-('META  EM PEÇAS'!V27*0.05)</f>
        <v>3578.1749999999997</v>
      </c>
      <c r="BZ42" s="91">
        <f>'META  EM PEÇAS'!W27-('META  EM PEÇAS'!W27*0.05)</f>
        <v>4015.5074999999997</v>
      </c>
      <c r="CA42" s="91">
        <f>'META  EM PEÇAS'!X27-('META  EM PEÇAS'!X27*0.05)</f>
        <v>4835.3954999999996</v>
      </c>
      <c r="CB42" s="91">
        <f>'META  EM PEÇAS'!Y27-('META  EM PEÇAS'!Y27*0.05)</f>
        <v>5815.1969999999992</v>
      </c>
      <c r="CC42" s="91">
        <f>'META  EM PEÇAS'!Z27-('META  EM PEÇAS'!Z27*0.05)</f>
        <v>3888.2835</v>
      </c>
      <c r="CD42" s="91">
        <f>'META  EM PEÇAS'!AA27-('META  EM PEÇAS'!AA27*0.05)</f>
        <v>4032.2939999999994</v>
      </c>
      <c r="CE42" s="91">
        <f>'META  EM PEÇAS'!AB27-('META  EM PEÇAS'!AB27*0.05)</f>
        <v>4375.0919999999996</v>
      </c>
      <c r="CF42" s="91">
        <f>'META  EM PEÇAS'!AC27-('META  EM PEÇAS'!AC27*0.05)</f>
        <v>5604.9239999999991</v>
      </c>
      <c r="CG42" s="91">
        <f>'META  EM PEÇAS'!AD27-('META  EM PEÇAS'!AD27*0.05)</f>
        <v>7897.606499999999</v>
      </c>
      <c r="CH42" s="91">
        <f>SUM(BV42:CG42)</f>
        <v>55778.656499999997</v>
      </c>
      <c r="CJ42" s="91">
        <v>4442.6099999999997</v>
      </c>
      <c r="CK42" s="91">
        <v>3433.56</v>
      </c>
      <c r="CL42" s="91">
        <v>3860.0114999999996</v>
      </c>
      <c r="CM42" s="91">
        <v>3578.1749999999997</v>
      </c>
      <c r="CN42" s="91">
        <v>4015.5074999999997</v>
      </c>
      <c r="CO42" s="91">
        <v>4835.3954999999996</v>
      </c>
      <c r="CP42" s="91">
        <v>5815.1969999999992</v>
      </c>
      <c r="CQ42" s="91">
        <v>3888.2835</v>
      </c>
      <c r="CR42" s="91">
        <v>4032.2939999999994</v>
      </c>
      <c r="CS42" s="91">
        <v>4375.0919999999996</v>
      </c>
      <c r="CT42" s="91">
        <v>5604.9239999999991</v>
      </c>
      <c r="CU42" s="91">
        <v>7897.606499999999</v>
      </c>
      <c r="CV42" s="91">
        <v>55778.656499999997</v>
      </c>
      <c r="CW42" s="758"/>
      <c r="CX42" s="884">
        <v>4442.6099999999997</v>
      </c>
      <c r="CY42" s="884">
        <v>3433.56</v>
      </c>
      <c r="CZ42" s="884">
        <v>3860.0114999999996</v>
      </c>
      <c r="DA42" s="884">
        <v>3578.1749999999997</v>
      </c>
      <c r="DB42" s="884">
        <v>4015.5074999999997</v>
      </c>
      <c r="DC42" s="884">
        <v>4835.3954999999996</v>
      </c>
      <c r="DD42" s="884">
        <v>5815.1969999999992</v>
      </c>
      <c r="DE42" s="884">
        <v>3888.2835</v>
      </c>
      <c r="DF42" s="884">
        <v>4032.2939999999994</v>
      </c>
      <c r="DG42" s="884">
        <v>4375.0919999999996</v>
      </c>
      <c r="DH42" s="884">
        <v>5604.9239999999991</v>
      </c>
      <c r="DI42" s="884">
        <v>7897.606499999999</v>
      </c>
      <c r="DJ42" s="91">
        <v>55778.656499999997</v>
      </c>
      <c r="DK42" s="948"/>
      <c r="DL42" s="884">
        <v>4442.6099999999997</v>
      </c>
      <c r="DM42" s="884">
        <v>3433.56</v>
      </c>
      <c r="DN42" s="884">
        <v>3860.0114999999996</v>
      </c>
      <c r="DO42" s="884">
        <v>3578.1749999999997</v>
      </c>
      <c r="DP42" s="884">
        <v>4015.5074999999997</v>
      </c>
      <c r="DQ42" s="884">
        <v>4835.3954999999996</v>
      </c>
      <c r="DR42" s="884">
        <v>5815.1969999999992</v>
      </c>
      <c r="DS42" s="884">
        <v>3888.2835</v>
      </c>
      <c r="DT42" s="884">
        <v>4032.2939999999994</v>
      </c>
      <c r="DU42" s="884">
        <v>4375.0919999999996</v>
      </c>
      <c r="DV42" s="884">
        <v>5604.9239999999991</v>
      </c>
      <c r="DW42" s="884">
        <v>7897.606499999999</v>
      </c>
      <c r="DX42" s="91">
        <v>55778.656499999997</v>
      </c>
    </row>
    <row r="43" spans="1:129" ht="15" hidden="1" customHeight="1" outlineLevel="1">
      <c r="A43" s="94">
        <v>3</v>
      </c>
      <c r="B43" s="1079" t="s">
        <v>58</v>
      </c>
      <c r="C43" s="1120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>
        <f t="shared" si="76"/>
        <v>0</v>
      </c>
      <c r="Q43" s="90"/>
      <c r="R43" s="313">
        <v>746</v>
      </c>
      <c r="S43" s="91">
        <v>653</v>
      </c>
      <c r="T43" s="91">
        <v>700</v>
      </c>
      <c r="U43" s="91">
        <v>0</v>
      </c>
      <c r="V43" s="91">
        <v>200</v>
      </c>
      <c r="W43" s="91">
        <v>400</v>
      </c>
      <c r="X43" s="91">
        <v>900</v>
      </c>
      <c r="Y43" s="91">
        <v>900</v>
      </c>
      <c r="Z43" s="91">
        <v>900</v>
      </c>
      <c r="AA43" s="91">
        <v>900</v>
      </c>
      <c r="AB43" s="91">
        <v>900</v>
      </c>
      <c r="AC43" s="91">
        <v>1200</v>
      </c>
      <c r="AD43" s="315">
        <f t="shared" si="77"/>
        <v>8399</v>
      </c>
      <c r="AE43" s="23"/>
      <c r="AF43" s="316">
        <v>1800</v>
      </c>
      <c r="AG43" s="91">
        <v>1200</v>
      </c>
      <c r="AH43" s="91">
        <v>230</v>
      </c>
      <c r="AI43" s="91">
        <v>472</v>
      </c>
      <c r="AJ43" s="91">
        <v>1495</v>
      </c>
      <c r="AK43" s="91">
        <v>1200</v>
      </c>
      <c r="AL43" s="91">
        <v>1500</v>
      </c>
      <c r="AM43" s="91">
        <v>1500</v>
      </c>
      <c r="AN43" s="91">
        <v>1500</v>
      </c>
      <c r="AO43" s="91">
        <v>1500</v>
      </c>
      <c r="AP43" s="91">
        <v>1650</v>
      </c>
      <c r="AQ43" s="91">
        <v>2400</v>
      </c>
      <c r="AR43" s="92">
        <f t="shared" si="78"/>
        <v>16447</v>
      </c>
      <c r="AS43" s="23"/>
      <c r="AT43" s="91">
        <v>2438</v>
      </c>
      <c r="AU43" s="91">
        <v>1501</v>
      </c>
      <c r="AV43" s="91">
        <v>1566</v>
      </c>
      <c r="AW43" s="91">
        <v>2127</v>
      </c>
      <c r="AX43" s="317">
        <v>1928</v>
      </c>
      <c r="AY43" s="317">
        <v>1928</v>
      </c>
      <c r="AZ43" s="317">
        <v>1840</v>
      </c>
      <c r="BA43" s="317">
        <v>1840</v>
      </c>
      <c r="BB43" s="317">
        <v>1928</v>
      </c>
      <c r="BC43" s="317">
        <v>2278</v>
      </c>
      <c r="BD43" s="317">
        <v>2454</v>
      </c>
      <c r="BE43" s="317">
        <v>3505</v>
      </c>
      <c r="BF43" s="91">
        <f t="shared" si="79"/>
        <v>25333</v>
      </c>
      <c r="BG43" s="93">
        <f t="shared" si="80"/>
        <v>0.54028090229221126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7784</v>
      </c>
      <c r="BU43" s="54"/>
      <c r="BV43" s="91">
        <v>450.99999999999989</v>
      </c>
      <c r="BW43" s="91">
        <v>348.59999999999991</v>
      </c>
      <c r="BX43" s="91">
        <f>'META  EM PEÇAS'!U28-('META  EM PEÇAS'!U28*0.05)</f>
        <v>391.96999999999991</v>
      </c>
      <c r="BY43" s="91">
        <f>'META  EM PEÇAS'!V28-('META  EM PEÇAS'!V28*0.05)</f>
        <v>363.27999999999992</v>
      </c>
      <c r="BZ43" s="91">
        <f>'META  EM PEÇAS'!W28-('META  EM PEÇAS'!W28*0.05)</f>
        <v>407.5499999999999</v>
      </c>
      <c r="CA43" s="91">
        <f>'META  EM PEÇAS'!X28-('META  EM PEÇAS'!X28*0.05)</f>
        <v>490.76999999999992</v>
      </c>
      <c r="CB43" s="91">
        <f>'META  EM PEÇAS'!Y28-('META  EM PEÇAS'!Y28*0.05)</f>
        <v>590.32999999999993</v>
      </c>
      <c r="CC43" s="91">
        <f>'META  EM PEÇAS'!Z28-('META  EM PEÇAS'!Z28*0.05)</f>
        <v>394.62999999999994</v>
      </c>
      <c r="CD43" s="91">
        <f>'META  EM PEÇAS'!AA28-('META  EM PEÇAS'!AA28*0.05)</f>
        <v>409.25999999999988</v>
      </c>
      <c r="CE43" s="91">
        <f>'META  EM PEÇAS'!AB28-('META  EM PEÇAS'!AB28*0.05)</f>
        <v>444.21999999999991</v>
      </c>
      <c r="CF43" s="91">
        <f>'META  EM PEÇAS'!AC28-('META  EM PEÇAS'!AC28*0.05)</f>
        <v>569.04999999999984</v>
      </c>
      <c r="CG43" s="91">
        <f>'META  EM PEÇAS'!AD28-('META  EM PEÇAS'!AD28*0.05)</f>
        <v>801.79999999999973</v>
      </c>
      <c r="CH43" s="91">
        <f t="shared" ref="CH43:CH56" si="81">SUM(BV43:CG43)</f>
        <v>5662.4599999999991</v>
      </c>
      <c r="CJ43" s="91">
        <v>450.99999999999989</v>
      </c>
      <c r="CK43" s="91">
        <v>348.59999999999991</v>
      </c>
      <c r="CL43" s="91">
        <v>391.96999999999991</v>
      </c>
      <c r="CM43" s="91">
        <v>363.27999999999992</v>
      </c>
      <c r="CN43" s="91">
        <v>407.5499999999999</v>
      </c>
      <c r="CO43" s="91">
        <v>490.76999999999992</v>
      </c>
      <c r="CP43" s="91">
        <v>590.32999999999993</v>
      </c>
      <c r="CQ43" s="91">
        <v>394.62999999999994</v>
      </c>
      <c r="CR43" s="91">
        <v>409.25999999999988</v>
      </c>
      <c r="CS43" s="91">
        <v>444.21999999999991</v>
      </c>
      <c r="CT43" s="91">
        <v>569.04999999999984</v>
      </c>
      <c r="CU43" s="91">
        <v>801.79999999999973</v>
      </c>
      <c r="CV43" s="91">
        <v>5662.4599999999991</v>
      </c>
      <c r="CW43" s="758"/>
      <c r="CX43" s="884">
        <v>450.99999999999989</v>
      </c>
      <c r="CY43" s="884">
        <v>348.59999999999991</v>
      </c>
      <c r="CZ43" s="884">
        <v>391.96999999999991</v>
      </c>
      <c r="DA43" s="884">
        <v>363.27999999999992</v>
      </c>
      <c r="DB43" s="884">
        <v>407.5499999999999</v>
      </c>
      <c r="DC43" s="884">
        <v>490.76999999999992</v>
      </c>
      <c r="DD43" s="884">
        <v>590.32999999999993</v>
      </c>
      <c r="DE43" s="884">
        <v>394.62999999999994</v>
      </c>
      <c r="DF43" s="884">
        <v>409.25999999999988</v>
      </c>
      <c r="DG43" s="884">
        <v>444.21999999999991</v>
      </c>
      <c r="DH43" s="884">
        <v>569.04999999999984</v>
      </c>
      <c r="DI43" s="884">
        <v>801.79999999999973</v>
      </c>
      <c r="DJ43" s="91">
        <v>5662.4599999999991</v>
      </c>
      <c r="DK43" s="948"/>
      <c r="DL43" s="884">
        <v>450.99999999999989</v>
      </c>
      <c r="DM43" s="884">
        <v>348.59999999999991</v>
      </c>
      <c r="DN43" s="884">
        <v>391.96999999999991</v>
      </c>
      <c r="DO43" s="884">
        <v>363.27999999999992</v>
      </c>
      <c r="DP43" s="884">
        <v>407.5499999999999</v>
      </c>
      <c r="DQ43" s="884">
        <v>490.76999999999992</v>
      </c>
      <c r="DR43" s="884">
        <v>590.32999999999993</v>
      </c>
      <c r="DS43" s="884">
        <v>394.62999999999994</v>
      </c>
      <c r="DT43" s="884">
        <v>409.25999999999988</v>
      </c>
      <c r="DU43" s="884">
        <v>444.21999999999991</v>
      </c>
      <c r="DV43" s="884">
        <v>569.04999999999984</v>
      </c>
      <c r="DW43" s="884">
        <v>801.79999999999973</v>
      </c>
      <c r="DX43" s="91">
        <v>5662.4599999999991</v>
      </c>
    </row>
    <row r="44" spans="1:129" ht="15" hidden="1" customHeight="1" outlineLevel="1">
      <c r="A44" s="94">
        <v>4</v>
      </c>
      <c r="B44" s="1079" t="s">
        <v>59</v>
      </c>
      <c r="C44" s="1120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>
        <f t="shared" si="76"/>
        <v>0</v>
      </c>
      <c r="Q44" s="90"/>
      <c r="R44" s="313">
        <v>1455</v>
      </c>
      <c r="S44" s="91">
        <f>2036</f>
        <v>2036</v>
      </c>
      <c r="T44" s="91">
        <f>2182/2</f>
        <v>1091</v>
      </c>
      <c r="U44" s="91">
        <v>0</v>
      </c>
      <c r="V44" s="91">
        <v>200</v>
      </c>
      <c r="W44" s="91">
        <v>900</v>
      </c>
      <c r="X44" s="91">
        <v>1600</v>
      </c>
      <c r="Y44" s="91">
        <v>1600</v>
      </c>
      <c r="Z44" s="91">
        <v>1600</v>
      </c>
      <c r="AA44" s="91">
        <v>1600</v>
      </c>
      <c r="AB44" s="91">
        <v>2200</v>
      </c>
      <c r="AC44" s="91">
        <v>2500</v>
      </c>
      <c r="AD44" s="315">
        <f t="shared" si="77"/>
        <v>16782</v>
      </c>
      <c r="AE44" s="23"/>
      <c r="AF44" s="316">
        <v>2200</v>
      </c>
      <c r="AG44" s="91">
        <v>1500</v>
      </c>
      <c r="AH44" s="91">
        <v>121</v>
      </c>
      <c r="AI44" s="91">
        <v>565</v>
      </c>
      <c r="AJ44" s="91">
        <v>1514</v>
      </c>
      <c r="AK44" s="91">
        <v>1760</v>
      </c>
      <c r="AL44" s="91">
        <v>1800</v>
      </c>
      <c r="AM44" s="91">
        <v>2200</v>
      </c>
      <c r="AN44" s="91">
        <v>2200</v>
      </c>
      <c r="AO44" s="91">
        <v>2200</v>
      </c>
      <c r="AP44" s="91">
        <v>2420</v>
      </c>
      <c r="AQ44" s="91">
        <v>3520</v>
      </c>
      <c r="AR44" s="92">
        <f t="shared" si="78"/>
        <v>22000</v>
      </c>
      <c r="AS44" s="23"/>
      <c r="AT44" s="91">
        <v>1529</v>
      </c>
      <c r="AU44" s="91">
        <v>1516</v>
      </c>
      <c r="AV44" s="91">
        <v>1586</v>
      </c>
      <c r="AW44" s="91">
        <v>1979</v>
      </c>
      <c r="AX44" s="317">
        <v>1283</v>
      </c>
      <c r="AY44" s="317">
        <v>1283</v>
      </c>
      <c r="AZ44" s="317">
        <v>1224</v>
      </c>
      <c r="BA44" s="317">
        <v>1224</v>
      </c>
      <c r="BB44" s="317">
        <v>1283</v>
      </c>
      <c r="BC44" s="317">
        <v>1516</v>
      </c>
      <c r="BD44" s="317">
        <v>1632</v>
      </c>
      <c r="BE44" s="317">
        <v>2332</v>
      </c>
      <c r="BF44" s="91">
        <f t="shared" si="79"/>
        <v>18387</v>
      </c>
      <c r="BG44" s="93">
        <f t="shared" si="80"/>
        <v>-0.16422727272727278</v>
      </c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>
        <v>9018</v>
      </c>
      <c r="BU44" s="54"/>
      <c r="BV44" s="91">
        <v>1143.8999999999999</v>
      </c>
      <c r="BW44" s="91">
        <v>884.43</v>
      </c>
      <c r="BX44" s="91">
        <f>'META  EM PEÇAS'!U29-('META  EM PEÇAS'!U29*0.05)</f>
        <v>993.9375</v>
      </c>
      <c r="BY44" s="91">
        <f>'META  EM PEÇAS'!V29-('META  EM PEÇAS'!V29*0.05)</f>
        <v>921.49049999999988</v>
      </c>
      <c r="BZ44" s="91">
        <f>'META  EM PEÇAS'!W29-('META  EM PEÇAS'!W29*0.05)</f>
        <v>1033.6949999999999</v>
      </c>
      <c r="CA44" s="91">
        <f>'META  EM PEÇAS'!X29-('META  EM PEÇAS'!X29*0.05)</f>
        <v>1244.8515</v>
      </c>
      <c r="CB44" s="91">
        <f>'META  EM PEÇAS'!Y29-('META  EM PEÇAS'!Y29*0.05)</f>
        <v>1497.5324999999998</v>
      </c>
      <c r="CC44" s="91">
        <f>'META  EM PEÇAS'!Z29-('META  EM PEÇAS'!Z29*0.05)</f>
        <v>1001.0054999999999</v>
      </c>
      <c r="CD44" s="91">
        <f>'META  EM PEÇAS'!AA29-('META  EM PEÇAS'!AA29*0.05)</f>
        <v>1038.1125</v>
      </c>
      <c r="CE44" s="91">
        <f>'META  EM PEÇAS'!AB29-('META  EM PEÇAS'!AB29*0.05)</f>
        <v>1126.4625000000001</v>
      </c>
      <c r="CF44" s="91">
        <f>'META  EM PEÇAS'!AC29-('META  EM PEÇAS'!AC29*0.05)</f>
        <v>1443.6389999999999</v>
      </c>
      <c r="CG44" s="91">
        <f>'META  EM PEÇAS'!AD29-('META  EM PEÇAS'!AD29*0.05)</f>
        <v>2033.8169999999998</v>
      </c>
      <c r="CH44" s="91">
        <f t="shared" si="81"/>
        <v>14362.873499999996</v>
      </c>
      <c r="CJ44" s="91">
        <v>1143.8999999999999</v>
      </c>
      <c r="CK44" s="91">
        <v>884.43</v>
      </c>
      <c r="CL44" s="91">
        <v>993.9375</v>
      </c>
      <c r="CM44" s="91">
        <v>921.49049999999988</v>
      </c>
      <c r="CN44" s="91">
        <v>1033.6949999999999</v>
      </c>
      <c r="CO44" s="91">
        <v>1244.8515</v>
      </c>
      <c r="CP44" s="91">
        <v>1497.5324999999998</v>
      </c>
      <c r="CQ44" s="91">
        <v>1001.0054999999999</v>
      </c>
      <c r="CR44" s="91">
        <v>1038.1125</v>
      </c>
      <c r="CS44" s="91">
        <v>1126.4625000000001</v>
      </c>
      <c r="CT44" s="91">
        <v>1443.6389999999999</v>
      </c>
      <c r="CU44" s="91">
        <v>2033.8169999999998</v>
      </c>
      <c r="CV44" s="91">
        <v>14362.873499999996</v>
      </c>
      <c r="CW44" s="758"/>
      <c r="CX44" s="884">
        <v>1143.8999999999999</v>
      </c>
      <c r="CY44" s="884">
        <v>884.43</v>
      </c>
      <c r="CZ44" s="884">
        <v>993.9375</v>
      </c>
      <c r="DA44" s="884">
        <v>921.49049999999988</v>
      </c>
      <c r="DB44" s="884">
        <v>1033.6949999999999</v>
      </c>
      <c r="DC44" s="884">
        <v>1244.8515</v>
      </c>
      <c r="DD44" s="884">
        <v>1497.5324999999998</v>
      </c>
      <c r="DE44" s="884">
        <v>1001.0054999999999</v>
      </c>
      <c r="DF44" s="884">
        <v>1038.1125</v>
      </c>
      <c r="DG44" s="884">
        <v>1126.4625000000001</v>
      </c>
      <c r="DH44" s="884">
        <v>1443.6389999999999</v>
      </c>
      <c r="DI44" s="884">
        <v>2033.8169999999998</v>
      </c>
      <c r="DJ44" s="91">
        <v>14362.873499999996</v>
      </c>
      <c r="DK44" s="948"/>
      <c r="DL44" s="884">
        <v>1143.8999999999999</v>
      </c>
      <c r="DM44" s="884">
        <v>884.43</v>
      </c>
      <c r="DN44" s="884">
        <v>993.9375</v>
      </c>
      <c r="DO44" s="884">
        <v>921.49049999999988</v>
      </c>
      <c r="DP44" s="884">
        <v>1033.6949999999999</v>
      </c>
      <c r="DQ44" s="884">
        <v>1244.8515</v>
      </c>
      <c r="DR44" s="884">
        <v>1497.5324999999998</v>
      </c>
      <c r="DS44" s="884">
        <v>1001.0054999999999</v>
      </c>
      <c r="DT44" s="884">
        <v>1038.1125</v>
      </c>
      <c r="DU44" s="884">
        <v>1126.4625000000001</v>
      </c>
      <c r="DV44" s="884">
        <v>1443.6389999999999</v>
      </c>
      <c r="DW44" s="884">
        <v>2033.8169999999998</v>
      </c>
      <c r="DX44" s="91">
        <v>14362.873499999996</v>
      </c>
    </row>
    <row r="45" spans="1:129" ht="15" hidden="1" customHeight="1" outlineLevel="1">
      <c r="A45" s="94">
        <v>5</v>
      </c>
      <c r="B45" s="1079" t="s">
        <v>60</v>
      </c>
      <c r="C45" s="1120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>
        <f t="shared" si="76"/>
        <v>0</v>
      </c>
      <c r="Q45" s="90"/>
      <c r="R45" s="313">
        <v>1353</v>
      </c>
      <c r="S45" s="91">
        <v>1184</v>
      </c>
      <c r="T45" s="91">
        <v>1268</v>
      </c>
      <c r="U45" s="91">
        <f t="shared" ref="U45:V45" si="82">10*U7</f>
        <v>10</v>
      </c>
      <c r="V45" s="91">
        <f t="shared" si="82"/>
        <v>120</v>
      </c>
      <c r="W45" s="91">
        <v>600</v>
      </c>
      <c r="X45" s="91">
        <v>1600</v>
      </c>
      <c r="Y45" s="91">
        <v>1600</v>
      </c>
      <c r="Z45" s="91">
        <v>1600</v>
      </c>
      <c r="AA45" s="91">
        <v>1600</v>
      </c>
      <c r="AB45" s="91">
        <v>1600</v>
      </c>
      <c r="AC45" s="91">
        <v>2200</v>
      </c>
      <c r="AD45" s="315">
        <f t="shared" si="77"/>
        <v>14735</v>
      </c>
      <c r="AE45" s="23"/>
      <c r="AF45" s="316">
        <v>1800</v>
      </c>
      <c r="AG45" s="91">
        <v>1200</v>
      </c>
      <c r="AH45" s="91">
        <v>181</v>
      </c>
      <c r="AI45" s="91">
        <v>628</v>
      </c>
      <c r="AJ45" s="91">
        <v>1169</v>
      </c>
      <c r="AK45" s="91">
        <v>960</v>
      </c>
      <c r="AL45" s="91">
        <v>1500</v>
      </c>
      <c r="AM45" s="91">
        <v>1200</v>
      </c>
      <c r="AN45" s="91">
        <v>1200</v>
      </c>
      <c r="AO45" s="91">
        <v>1200</v>
      </c>
      <c r="AP45" s="91">
        <v>1320</v>
      </c>
      <c r="AQ45" s="91">
        <v>1920</v>
      </c>
      <c r="AR45" s="92">
        <f t="shared" si="78"/>
        <v>14278</v>
      </c>
      <c r="AS45" s="23"/>
      <c r="AT45" s="91">
        <v>1496</v>
      </c>
      <c r="AU45" s="91">
        <v>1200</v>
      </c>
      <c r="AV45" s="91">
        <v>1227</v>
      </c>
      <c r="AW45" s="91">
        <v>1655</v>
      </c>
      <c r="AX45" s="317">
        <v>1141</v>
      </c>
      <c r="AY45" s="317">
        <v>1141</v>
      </c>
      <c r="AZ45" s="317">
        <v>1089</v>
      </c>
      <c r="BA45" s="317">
        <v>1089</v>
      </c>
      <c r="BB45" s="317">
        <v>1141</v>
      </c>
      <c r="BC45" s="317">
        <v>1349</v>
      </c>
      <c r="BD45" s="317">
        <v>1453</v>
      </c>
      <c r="BE45" s="317">
        <v>2075</v>
      </c>
      <c r="BF45" s="91">
        <f t="shared" si="79"/>
        <v>16056</v>
      </c>
      <c r="BG45" s="93">
        <f t="shared" si="80"/>
        <v>0.1245272447121446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>
        <v>10591</v>
      </c>
      <c r="BU45" s="54"/>
      <c r="BV45" s="91">
        <v>1474.9799999999998</v>
      </c>
      <c r="BW45" s="91">
        <v>1140.1799999999998</v>
      </c>
      <c r="BX45" s="91">
        <f>'META  EM PEÇAS'!U30-('META  EM PEÇAS'!U30*0.05)</f>
        <v>1281.9584999999997</v>
      </c>
      <c r="BY45" s="91">
        <f>'META  EM PEÇAS'!V30-('META  EM PEÇAS'!V30*0.05)</f>
        <v>1188.3074999999999</v>
      </c>
      <c r="BZ45" s="91">
        <f>'META  EM PEÇAS'!W30-('META  EM PEÇAS'!W30*0.05)</f>
        <v>1333.2014999999999</v>
      </c>
      <c r="CA45" s="91">
        <f>'META  EM PEÇAS'!X30-('META  EM PEÇAS'!X30*0.05)</f>
        <v>1606.2029999999997</v>
      </c>
      <c r="CB45" s="91">
        <f>'META  EM PEÇAS'!Y30-('META  EM PEÇAS'!Y30*0.05)</f>
        <v>1931.3309999999997</v>
      </c>
      <c r="CC45" s="91">
        <f>'META  EM PEÇAS'!Z30-('META  EM PEÇAS'!Z30*0.05)</f>
        <v>1291.6769999999999</v>
      </c>
      <c r="CD45" s="91">
        <f>'META  EM PEÇAS'!AA30-('META  EM PEÇAS'!AA30*0.05)</f>
        <v>1339.386</v>
      </c>
      <c r="CE45" s="91">
        <f>'META  EM PEÇAS'!AB30-('META  EM PEÇAS'!AB30*0.05)</f>
        <v>1453.3574999999998</v>
      </c>
      <c r="CF45" s="91">
        <f>'META  EM PEÇAS'!AC30-('META  EM PEÇAS'!AC30*0.05)</f>
        <v>1861.5344999999998</v>
      </c>
      <c r="CG45" s="91">
        <f>'META  EM PEÇAS'!AD30-('META  EM PEÇAS'!AD30*0.05)</f>
        <v>2623.1114999999995</v>
      </c>
      <c r="CH45" s="91">
        <f t="shared" si="81"/>
        <v>18525.227999999999</v>
      </c>
      <c r="CI45" s="450"/>
      <c r="CJ45" s="91">
        <v>1474.9799999999998</v>
      </c>
      <c r="CK45" s="91">
        <v>1140.1799999999998</v>
      </c>
      <c r="CL45" s="91">
        <v>1281.9584999999997</v>
      </c>
      <c r="CM45" s="91">
        <v>1188.3074999999999</v>
      </c>
      <c r="CN45" s="91">
        <v>1333.2014999999999</v>
      </c>
      <c r="CO45" s="91">
        <v>1606.2029999999997</v>
      </c>
      <c r="CP45" s="91">
        <v>1931.3309999999997</v>
      </c>
      <c r="CQ45" s="91">
        <v>1291.6769999999999</v>
      </c>
      <c r="CR45" s="91">
        <v>1339.386</v>
      </c>
      <c r="CS45" s="91">
        <v>1453.3574999999998</v>
      </c>
      <c r="CT45" s="91">
        <v>1861.5344999999998</v>
      </c>
      <c r="CU45" s="91">
        <v>2623.1114999999995</v>
      </c>
      <c r="CV45" s="91">
        <v>18525.227999999999</v>
      </c>
      <c r="CW45" s="758"/>
      <c r="CX45" s="884">
        <v>1474.9799999999998</v>
      </c>
      <c r="CY45" s="884">
        <v>1140.1799999999998</v>
      </c>
      <c r="CZ45" s="884">
        <v>1281.9584999999997</v>
      </c>
      <c r="DA45" s="884">
        <v>1188.3074999999999</v>
      </c>
      <c r="DB45" s="884">
        <v>1333.2014999999999</v>
      </c>
      <c r="DC45" s="884">
        <v>1606.2029999999997</v>
      </c>
      <c r="DD45" s="884">
        <v>1931.3309999999997</v>
      </c>
      <c r="DE45" s="884">
        <v>1291.6769999999999</v>
      </c>
      <c r="DF45" s="884">
        <v>1339.386</v>
      </c>
      <c r="DG45" s="884">
        <v>1453.3574999999998</v>
      </c>
      <c r="DH45" s="884">
        <v>1861.5344999999998</v>
      </c>
      <c r="DI45" s="884">
        <v>2623.1114999999995</v>
      </c>
      <c r="DJ45" s="91">
        <v>18525.227999999999</v>
      </c>
      <c r="DK45" s="948"/>
      <c r="DL45" s="884">
        <v>1474.9799999999998</v>
      </c>
      <c r="DM45" s="884">
        <v>1140.1799999999998</v>
      </c>
      <c r="DN45" s="884">
        <v>1281.9584999999997</v>
      </c>
      <c r="DO45" s="884">
        <v>1188.3074999999999</v>
      </c>
      <c r="DP45" s="884">
        <v>1333.2014999999999</v>
      </c>
      <c r="DQ45" s="884">
        <v>1606.2029999999997</v>
      </c>
      <c r="DR45" s="884">
        <v>1931.3309999999997</v>
      </c>
      <c r="DS45" s="884">
        <v>1291.6769999999999</v>
      </c>
      <c r="DT45" s="884">
        <v>1339.386</v>
      </c>
      <c r="DU45" s="884">
        <v>1453.3574999999998</v>
      </c>
      <c r="DV45" s="884">
        <v>1861.5344999999998</v>
      </c>
      <c r="DW45" s="884">
        <v>2623.1114999999995</v>
      </c>
      <c r="DX45" s="91">
        <v>18525.227999999999</v>
      </c>
    </row>
    <row r="46" spans="1:129" ht="15" hidden="1" customHeight="1" outlineLevel="1">
      <c r="A46" s="94">
        <v>6</v>
      </c>
      <c r="B46" s="1079" t="s">
        <v>61</v>
      </c>
      <c r="C46" s="1120"/>
      <c r="D46" s="313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314">
        <f t="shared" si="76"/>
        <v>0</v>
      </c>
      <c r="Q46" s="90"/>
      <c r="R46" s="313">
        <v>1455</v>
      </c>
      <c r="S46" s="91">
        <v>1273</v>
      </c>
      <c r="T46" s="91">
        <v>1364</v>
      </c>
      <c r="U46" s="91">
        <v>0</v>
      </c>
      <c r="V46" s="91">
        <v>200</v>
      </c>
      <c r="W46" s="91">
        <v>800</v>
      </c>
      <c r="X46" s="91">
        <v>1600</v>
      </c>
      <c r="Y46" s="91">
        <v>1600</v>
      </c>
      <c r="Z46" s="91">
        <v>1600</v>
      </c>
      <c r="AA46" s="91">
        <v>1600</v>
      </c>
      <c r="AB46" s="91">
        <v>1800</v>
      </c>
      <c r="AC46" s="91">
        <v>2400</v>
      </c>
      <c r="AD46" s="315">
        <f t="shared" si="77"/>
        <v>15692</v>
      </c>
      <c r="AE46" s="23"/>
      <c r="AF46" s="316">
        <v>1500</v>
      </c>
      <c r="AG46" s="91">
        <v>1200</v>
      </c>
      <c r="AH46" s="91">
        <v>127</v>
      </c>
      <c r="AI46" s="91">
        <v>426</v>
      </c>
      <c r="AJ46" s="91">
        <v>1063</v>
      </c>
      <c r="AK46" s="91">
        <v>960</v>
      </c>
      <c r="AL46" s="91">
        <v>1500</v>
      </c>
      <c r="AM46" s="91">
        <v>1200</v>
      </c>
      <c r="AN46" s="91">
        <v>1200</v>
      </c>
      <c r="AO46" s="91">
        <v>1200</v>
      </c>
      <c r="AP46" s="91">
        <v>1320</v>
      </c>
      <c r="AQ46" s="91">
        <v>1920</v>
      </c>
      <c r="AR46" s="92">
        <f t="shared" si="78"/>
        <v>13616</v>
      </c>
      <c r="AS46" s="23"/>
      <c r="AT46" s="91">
        <v>1222</v>
      </c>
      <c r="AU46" s="91">
        <v>1200</v>
      </c>
      <c r="AV46" s="91">
        <v>1117</v>
      </c>
      <c r="AW46" s="91">
        <v>1463</v>
      </c>
      <c r="AX46" s="317">
        <v>1087</v>
      </c>
      <c r="AY46" s="317">
        <v>1087</v>
      </c>
      <c r="AZ46" s="317">
        <v>1038</v>
      </c>
      <c r="BA46" s="317">
        <v>1038</v>
      </c>
      <c r="BB46" s="317">
        <v>1087</v>
      </c>
      <c r="BC46" s="317">
        <v>1285</v>
      </c>
      <c r="BD46" s="317">
        <v>1384</v>
      </c>
      <c r="BE46" s="317">
        <v>1977</v>
      </c>
      <c r="BF46" s="91">
        <f t="shared" si="79"/>
        <v>14985</v>
      </c>
      <c r="BG46" s="93">
        <f t="shared" si="80"/>
        <v>0.10054347826086962</v>
      </c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>
        <v>10087</v>
      </c>
      <c r="BU46" s="54"/>
      <c r="BV46" s="91">
        <v>1214.58</v>
      </c>
      <c r="BW46" s="91">
        <v>939.3</v>
      </c>
      <c r="BX46" s="91">
        <f>'META  EM PEÇAS'!U31-('META  EM PEÇAS'!U31*0.05)</f>
        <v>1055.7824999999998</v>
      </c>
      <c r="BY46" s="91">
        <f>'META  EM PEÇAS'!V31-('META  EM PEÇAS'!V31*0.05)</f>
        <v>978.03449999999998</v>
      </c>
      <c r="BZ46" s="91">
        <f>'META  EM PEÇAS'!W31-('META  EM PEÇAS'!W31*0.05)</f>
        <v>1098.1904999999999</v>
      </c>
      <c r="CA46" s="91">
        <f>'META  EM PEÇAS'!X31-('META  EM PEÇAS'!X31*0.05)</f>
        <v>1322.5994999999998</v>
      </c>
      <c r="CB46" s="91">
        <f>'META  EM PEÇAS'!Y31-('META  EM PEÇAS'!Y31*0.05)</f>
        <v>1590.3</v>
      </c>
      <c r="CC46" s="91">
        <f>'META  EM PEÇAS'!Z31-('META  EM PEÇAS'!Z31*0.05)</f>
        <v>1062.8505</v>
      </c>
      <c r="CD46" s="91">
        <f>'META  EM PEÇAS'!AA31-('META  EM PEÇAS'!AA31*0.05)</f>
        <v>1102.6079999999999</v>
      </c>
      <c r="CE46" s="91">
        <f>'META  EM PEÇAS'!AB31-('META  EM PEÇAS'!AB31*0.05)</f>
        <v>1196.259</v>
      </c>
      <c r="CF46" s="91">
        <f>'META  EM PEÇAS'!AC31-('META  EM PEÇAS'!AC31*0.05)</f>
        <v>1532.8724999999999</v>
      </c>
      <c r="CG46" s="91">
        <f>'META  EM PEÇAS'!AD31-('META  EM PEÇAS'!AD31*0.05)</f>
        <v>2160.1574999999998</v>
      </c>
      <c r="CH46" s="91">
        <f t="shared" si="81"/>
        <v>15253.534499999998</v>
      </c>
      <c r="CJ46" s="91">
        <v>1214.58</v>
      </c>
      <c r="CK46" s="91">
        <v>939.3</v>
      </c>
      <c r="CL46" s="91">
        <v>1055.7824999999998</v>
      </c>
      <c r="CM46" s="91">
        <v>978.03449999999998</v>
      </c>
      <c r="CN46" s="91">
        <v>1098.1904999999999</v>
      </c>
      <c r="CO46" s="91">
        <v>1322.5994999999998</v>
      </c>
      <c r="CP46" s="91">
        <v>1590.3</v>
      </c>
      <c r="CQ46" s="91">
        <v>1062.8505</v>
      </c>
      <c r="CR46" s="91">
        <v>1102.6079999999999</v>
      </c>
      <c r="CS46" s="91">
        <v>1196.259</v>
      </c>
      <c r="CT46" s="91">
        <v>1532.8724999999999</v>
      </c>
      <c r="CU46" s="91">
        <v>2160.1574999999998</v>
      </c>
      <c r="CV46" s="91">
        <v>15253.534499999998</v>
      </c>
      <c r="CW46" s="758"/>
      <c r="CX46" s="884">
        <v>1214.58</v>
      </c>
      <c r="CY46" s="884">
        <v>939.3</v>
      </c>
      <c r="CZ46" s="884">
        <v>1055.7824999999998</v>
      </c>
      <c r="DA46" s="884">
        <v>978.03449999999998</v>
      </c>
      <c r="DB46" s="884">
        <v>1098.1904999999999</v>
      </c>
      <c r="DC46" s="884">
        <v>1322.5994999999998</v>
      </c>
      <c r="DD46" s="884">
        <v>1590.3</v>
      </c>
      <c r="DE46" s="884">
        <v>1062.8505</v>
      </c>
      <c r="DF46" s="884">
        <v>1102.6079999999999</v>
      </c>
      <c r="DG46" s="884">
        <v>1196.259</v>
      </c>
      <c r="DH46" s="884">
        <v>1532.8724999999999</v>
      </c>
      <c r="DI46" s="884">
        <v>2160.1574999999998</v>
      </c>
      <c r="DJ46" s="91">
        <v>15253.534499999998</v>
      </c>
      <c r="DK46" s="948"/>
      <c r="DL46" s="884">
        <v>1214.58</v>
      </c>
      <c r="DM46" s="884">
        <v>939.3</v>
      </c>
      <c r="DN46" s="884">
        <v>1055.7824999999998</v>
      </c>
      <c r="DO46" s="884">
        <v>978.03449999999998</v>
      </c>
      <c r="DP46" s="884">
        <v>1098.1904999999999</v>
      </c>
      <c r="DQ46" s="884">
        <v>1322.5994999999998</v>
      </c>
      <c r="DR46" s="884">
        <v>1590.3</v>
      </c>
      <c r="DS46" s="884">
        <v>1062.8505</v>
      </c>
      <c r="DT46" s="884">
        <v>1102.6079999999999</v>
      </c>
      <c r="DU46" s="884">
        <v>1196.259</v>
      </c>
      <c r="DV46" s="884">
        <v>1532.8724999999999</v>
      </c>
      <c r="DW46" s="884">
        <v>2160.1574999999998</v>
      </c>
      <c r="DX46" s="91">
        <v>15253.534499999998</v>
      </c>
    </row>
    <row r="47" spans="1:129" ht="15" hidden="1" customHeight="1" outlineLevel="1">
      <c r="A47" s="94">
        <v>7</v>
      </c>
      <c r="B47" s="1079" t="s">
        <v>62</v>
      </c>
      <c r="C47" s="1120"/>
      <c r="D47" s="313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314">
        <f t="shared" si="76"/>
        <v>0</v>
      </c>
      <c r="Q47" s="90"/>
      <c r="R47" s="313">
        <v>2000</v>
      </c>
      <c r="S47" s="91">
        <f>2182</f>
        <v>2182</v>
      </c>
      <c r="T47" s="91">
        <f>2455/2</f>
        <v>1227.5</v>
      </c>
      <c r="U47" s="91">
        <f>4*U7</f>
        <v>4</v>
      </c>
      <c r="V47" s="91">
        <v>200</v>
      </c>
      <c r="W47" s="91">
        <v>700</v>
      </c>
      <c r="X47" s="91">
        <v>1600</v>
      </c>
      <c r="Y47" s="91">
        <v>1600</v>
      </c>
      <c r="Z47" s="91">
        <v>1600</v>
      </c>
      <c r="AA47" s="91">
        <v>1600</v>
      </c>
      <c r="AB47" s="91">
        <v>2500</v>
      </c>
      <c r="AC47" s="91">
        <v>3200</v>
      </c>
      <c r="AD47" s="315">
        <f t="shared" si="77"/>
        <v>18413.5</v>
      </c>
      <c r="AE47" s="23"/>
      <c r="AF47" s="316">
        <v>2600</v>
      </c>
      <c r="AG47" s="91">
        <v>1000</v>
      </c>
      <c r="AH47" s="91">
        <v>195</v>
      </c>
      <c r="AI47" s="91">
        <v>844</v>
      </c>
      <c r="AJ47" s="91">
        <v>1973</v>
      </c>
      <c r="AK47" s="91">
        <v>1840</v>
      </c>
      <c r="AL47" s="91">
        <v>2000</v>
      </c>
      <c r="AM47" s="91">
        <v>2300</v>
      </c>
      <c r="AN47" s="91">
        <v>2300</v>
      </c>
      <c r="AO47" s="91">
        <v>2300</v>
      </c>
      <c r="AP47" s="91">
        <v>2530</v>
      </c>
      <c r="AQ47" s="91">
        <v>3680</v>
      </c>
      <c r="AR47" s="92">
        <f t="shared" si="78"/>
        <v>23562</v>
      </c>
      <c r="AS47" s="23"/>
      <c r="AT47" s="91">
        <v>1888</v>
      </c>
      <c r="AU47" s="91">
        <v>1414</v>
      </c>
      <c r="AV47" s="91">
        <v>2073</v>
      </c>
      <c r="AW47" s="91">
        <v>2338</v>
      </c>
      <c r="AX47" s="317">
        <v>1857</v>
      </c>
      <c r="AY47" s="317">
        <v>1857</v>
      </c>
      <c r="AZ47" s="317">
        <v>1772</v>
      </c>
      <c r="BA47" s="317">
        <v>1772</v>
      </c>
      <c r="BB47" s="317">
        <v>1857</v>
      </c>
      <c r="BC47" s="317">
        <v>2194</v>
      </c>
      <c r="BD47" s="317">
        <v>2363</v>
      </c>
      <c r="BE47" s="317">
        <v>3376</v>
      </c>
      <c r="BF47" s="91">
        <f t="shared" si="79"/>
        <v>24761</v>
      </c>
      <c r="BG47" s="93">
        <f t="shared" si="80"/>
        <v>5.0887021475256811E-2</v>
      </c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>
        <v>22941</v>
      </c>
      <c r="BU47" s="54"/>
      <c r="BV47" s="91">
        <v>3211.29</v>
      </c>
      <c r="BW47" s="91">
        <v>2482.1699999999996</v>
      </c>
      <c r="BX47" s="91">
        <f>'META  EM PEÇAS'!U32-('META  EM PEÇAS'!U32*0.05)</f>
        <v>2790.0929999999998</v>
      </c>
      <c r="BY47" s="91">
        <f>'META  EM PEÇAS'!V32-('META  EM PEÇAS'!V32*0.05)</f>
        <v>2586.0044999999996</v>
      </c>
      <c r="BZ47" s="91">
        <f>'META  EM PEÇAS'!W32-('META  EM PEÇAS'!W32*0.05)</f>
        <v>2902.2974999999997</v>
      </c>
      <c r="CA47" s="91">
        <f>'META  EM PEÇAS'!X32-('META  EM PEÇAS'!X32*0.05)</f>
        <v>3495.1259999999997</v>
      </c>
      <c r="CB47" s="91">
        <f>'META  EM PEÇAS'!Y32-('META  EM PEÇAS'!Y32*0.05)</f>
        <v>4203.6929999999993</v>
      </c>
      <c r="CC47" s="91">
        <f>'META  EM PEÇAS'!Z32-('META  EM PEÇAS'!Z32*0.05)</f>
        <v>2810.4135000000001</v>
      </c>
      <c r="CD47" s="91">
        <f>'META  EM PEÇAS'!AA32-('META  EM PEÇAS'!AA32*0.05)</f>
        <v>2914.6664999999998</v>
      </c>
      <c r="CE47" s="91">
        <f>'META  EM PEÇAS'!AB32-('META  EM PEÇAS'!AB32*0.05)</f>
        <v>3162.93</v>
      </c>
      <c r="CF47" s="91">
        <f>'META  EM PEÇAS'!AC32-('META  EM PEÇAS'!AC32*0.05)</f>
        <v>4051.7309999999998</v>
      </c>
      <c r="CG47" s="91">
        <f>'META  EM PEÇAS'!AD32-('META  EM PEÇAS'!AD32*0.05)</f>
        <v>5709.1769999999997</v>
      </c>
      <c r="CH47" s="91">
        <f t="shared" si="81"/>
        <v>40319.59199999999</v>
      </c>
      <c r="CJ47" s="91">
        <v>3211.29</v>
      </c>
      <c r="CK47" s="91">
        <v>2482.1699999999996</v>
      </c>
      <c r="CL47" s="91">
        <v>2790.0929999999998</v>
      </c>
      <c r="CM47" s="91">
        <v>2586.0044999999996</v>
      </c>
      <c r="CN47" s="91">
        <v>2902.2974999999997</v>
      </c>
      <c r="CO47" s="91">
        <v>3495.1259999999997</v>
      </c>
      <c r="CP47" s="91">
        <v>4203.6929999999993</v>
      </c>
      <c r="CQ47" s="91">
        <v>2810.4135000000001</v>
      </c>
      <c r="CR47" s="91">
        <v>2914.6664999999998</v>
      </c>
      <c r="CS47" s="91">
        <v>3162.93</v>
      </c>
      <c r="CT47" s="91">
        <v>4051.7309999999998</v>
      </c>
      <c r="CU47" s="91">
        <v>5709.1769999999997</v>
      </c>
      <c r="CV47" s="91">
        <v>40319.59199999999</v>
      </c>
      <c r="CW47" s="758"/>
      <c r="CX47" s="884">
        <v>3211.29</v>
      </c>
      <c r="CY47" s="884">
        <v>2482.1699999999996</v>
      </c>
      <c r="CZ47" s="884">
        <v>2790.0929999999998</v>
      </c>
      <c r="DA47" s="884">
        <v>2586.0044999999996</v>
      </c>
      <c r="DB47" s="884">
        <v>2902.2974999999997</v>
      </c>
      <c r="DC47" s="884">
        <v>3495.1259999999997</v>
      </c>
      <c r="DD47" s="884">
        <v>4203.6929999999993</v>
      </c>
      <c r="DE47" s="884">
        <v>2810.4135000000001</v>
      </c>
      <c r="DF47" s="884">
        <v>2914.6664999999998</v>
      </c>
      <c r="DG47" s="884">
        <v>3162.93</v>
      </c>
      <c r="DH47" s="884">
        <v>4051.7309999999998</v>
      </c>
      <c r="DI47" s="884">
        <v>5709.1769999999997</v>
      </c>
      <c r="DJ47" s="91">
        <v>40319.59199999999</v>
      </c>
      <c r="DK47" s="948"/>
      <c r="DL47" s="884">
        <v>3211.29</v>
      </c>
      <c r="DM47" s="884">
        <v>2482.1699999999996</v>
      </c>
      <c r="DN47" s="884">
        <v>2790.0929999999998</v>
      </c>
      <c r="DO47" s="884">
        <v>2586.0044999999996</v>
      </c>
      <c r="DP47" s="884">
        <v>2902.2974999999997</v>
      </c>
      <c r="DQ47" s="884">
        <v>3495.1259999999997</v>
      </c>
      <c r="DR47" s="884">
        <v>4203.6929999999993</v>
      </c>
      <c r="DS47" s="884">
        <v>2810.4135000000001</v>
      </c>
      <c r="DT47" s="884">
        <v>2914.6664999999998</v>
      </c>
      <c r="DU47" s="884">
        <v>3162.93</v>
      </c>
      <c r="DV47" s="884">
        <v>4051.7309999999998</v>
      </c>
      <c r="DW47" s="884">
        <v>5709.1769999999997</v>
      </c>
      <c r="DX47" s="91">
        <v>40319.59199999999</v>
      </c>
    </row>
    <row r="48" spans="1:129" ht="15" hidden="1" customHeight="1" outlineLevel="1">
      <c r="A48" s="94">
        <v>9</v>
      </c>
      <c r="B48" s="1079" t="s">
        <v>63</v>
      </c>
      <c r="C48" s="1120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314">
        <f t="shared" si="76"/>
        <v>0</v>
      </c>
      <c r="Q48" s="90"/>
      <c r="R48" s="313">
        <v>1636</v>
      </c>
      <c r="S48" s="91">
        <v>1636</v>
      </c>
      <c r="T48" s="91">
        <f t="shared" ref="T48:T49" si="83">1818/2</f>
        <v>909</v>
      </c>
      <c r="U48" s="91">
        <v>0</v>
      </c>
      <c r="V48" s="91">
        <v>200</v>
      </c>
      <c r="W48" s="91">
        <v>300</v>
      </c>
      <c r="X48" s="91">
        <v>1000</v>
      </c>
      <c r="Y48" s="91">
        <v>1200</v>
      </c>
      <c r="Z48" s="91">
        <v>1600</v>
      </c>
      <c r="AA48" s="91">
        <v>1600</v>
      </c>
      <c r="AB48" s="91">
        <v>1800</v>
      </c>
      <c r="AC48" s="91">
        <v>2300</v>
      </c>
      <c r="AD48" s="315">
        <f t="shared" si="77"/>
        <v>14181</v>
      </c>
      <c r="AE48" s="23"/>
      <c r="AF48" s="316">
        <v>1500</v>
      </c>
      <c r="AG48" s="91">
        <v>1000</v>
      </c>
      <c r="AH48" s="91">
        <v>126</v>
      </c>
      <c r="AI48" s="91">
        <v>387</v>
      </c>
      <c r="AJ48" s="91">
        <v>895</v>
      </c>
      <c r="AK48" s="91">
        <v>800</v>
      </c>
      <c r="AL48" s="91">
        <v>1500</v>
      </c>
      <c r="AM48" s="91">
        <v>1000</v>
      </c>
      <c r="AN48" s="91">
        <v>1000</v>
      </c>
      <c r="AO48" s="91">
        <v>1000</v>
      </c>
      <c r="AP48" s="91">
        <v>1100</v>
      </c>
      <c r="AQ48" s="91">
        <v>1600</v>
      </c>
      <c r="AR48" s="92">
        <f t="shared" si="78"/>
        <v>11908</v>
      </c>
      <c r="AS48" s="23"/>
      <c r="AT48" s="91">
        <v>1182</v>
      </c>
      <c r="AU48" s="91">
        <v>1200</v>
      </c>
      <c r="AV48" s="91">
        <v>932</v>
      </c>
      <c r="AW48" s="91">
        <v>1020</v>
      </c>
      <c r="AX48" s="317">
        <v>0</v>
      </c>
      <c r="AY48" s="317">
        <v>0</v>
      </c>
      <c r="AZ48" s="317">
        <v>0</v>
      </c>
      <c r="BA48" s="317">
        <v>0</v>
      </c>
      <c r="BB48" s="317">
        <v>0</v>
      </c>
      <c r="BC48" s="317">
        <v>0</v>
      </c>
      <c r="BD48" s="317">
        <v>0</v>
      </c>
      <c r="BE48" s="317">
        <v>0</v>
      </c>
      <c r="BF48" s="91">
        <f t="shared" si="79"/>
        <v>4334</v>
      </c>
      <c r="BG48" s="93">
        <f t="shared" si="80"/>
        <v>-0.63604299630500505</v>
      </c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>
        <v>7070</v>
      </c>
      <c r="BU48" s="54"/>
      <c r="BV48" s="91">
        <v>928.14</v>
      </c>
      <c r="BW48" s="91">
        <v>717.95999999999992</v>
      </c>
      <c r="BX48" s="91">
        <f>'META  EM PEÇAS'!U37-('META  EM PEÇAS'!U37*0.05)</f>
        <v>806.63549999999987</v>
      </c>
      <c r="BY48" s="91">
        <f>'META  EM PEÇAS'!V37-('META  EM PEÇAS'!V37*0.05)</f>
        <v>747.44100000000003</v>
      </c>
      <c r="BZ48" s="91">
        <f>'META  EM PEÇAS'!W37-('META  EM PEÇAS'!W37*0.05)</f>
        <v>839.32499999999993</v>
      </c>
      <c r="CA48" s="91">
        <f>'META  EM PEÇAS'!X37-('META  EM PEÇAS'!X37*0.05)</f>
        <v>1010.7239999999998</v>
      </c>
      <c r="CB48" s="91">
        <f>'META  EM PEÇAS'!Y37-('META  EM PEÇAS'!Y37*0.05)</f>
        <v>1214.8125</v>
      </c>
      <c r="CC48" s="91">
        <f>'META  EM PEÇAS'!Z37-('META  EM PEÇAS'!Z37*0.05)</f>
        <v>812.81999999999994</v>
      </c>
      <c r="CD48" s="91">
        <f>'META  EM PEÇAS'!AA37-('META  EM PEÇAS'!AA37*0.05)</f>
        <v>842.85899999999992</v>
      </c>
      <c r="CE48" s="91">
        <f>'META  EM PEÇAS'!AB37-('META  EM PEÇAS'!AB37*0.05)</f>
        <v>914.4224999999999</v>
      </c>
      <c r="CF48" s="91">
        <f>'META  EM PEÇAS'!AC37-('META  EM PEÇAS'!AC37*0.05)</f>
        <v>1171.5209999999997</v>
      </c>
      <c r="CG48" s="91">
        <f>'META  EM PEÇAS'!AD37-('META  EM PEÇAS'!AD37*0.05)</f>
        <v>1650.3779999999997</v>
      </c>
      <c r="CH48" s="91">
        <f t="shared" si="81"/>
        <v>11657.038499999999</v>
      </c>
      <c r="CJ48" s="91">
        <v>928.14</v>
      </c>
      <c r="CK48" s="91">
        <v>717.95999999999992</v>
      </c>
      <c r="CL48" s="91">
        <v>806.63549999999987</v>
      </c>
      <c r="CM48" s="91">
        <v>747.44100000000003</v>
      </c>
      <c r="CN48" s="91">
        <v>839.32499999999993</v>
      </c>
      <c r="CO48" s="91">
        <v>1010.7239999999998</v>
      </c>
      <c r="CP48" s="91">
        <v>1214.8125</v>
      </c>
      <c r="CQ48" s="91">
        <v>812.81999999999994</v>
      </c>
      <c r="CR48" s="91">
        <v>842.85899999999992</v>
      </c>
      <c r="CS48" s="91">
        <v>914.4224999999999</v>
      </c>
      <c r="CT48" s="91">
        <v>1171.5209999999997</v>
      </c>
      <c r="CU48" s="91">
        <v>1650.3779999999997</v>
      </c>
      <c r="CV48" s="91">
        <v>11657.038499999999</v>
      </c>
      <c r="CW48" s="758"/>
      <c r="CX48" s="884">
        <v>928.14</v>
      </c>
      <c r="CY48" s="884">
        <v>717.95999999999992</v>
      </c>
      <c r="CZ48" s="884">
        <v>806.63549999999987</v>
      </c>
      <c r="DA48" s="884">
        <v>747.44100000000003</v>
      </c>
      <c r="DB48" s="884">
        <v>839.32499999999993</v>
      </c>
      <c r="DC48" s="884">
        <v>1010.7239999999998</v>
      </c>
      <c r="DD48" s="884">
        <v>1214.8125</v>
      </c>
      <c r="DE48" s="884">
        <v>812.81999999999994</v>
      </c>
      <c r="DF48" s="884">
        <v>842.85899999999992</v>
      </c>
      <c r="DG48" s="884">
        <v>914.4224999999999</v>
      </c>
      <c r="DH48" s="884">
        <v>1171.5209999999997</v>
      </c>
      <c r="DI48" s="884">
        <v>1650.3779999999997</v>
      </c>
      <c r="DJ48" s="91">
        <v>11657.038499999999</v>
      </c>
      <c r="DK48" s="948"/>
      <c r="DL48" s="884">
        <v>928.14</v>
      </c>
      <c r="DM48" s="884">
        <v>717.95999999999992</v>
      </c>
      <c r="DN48" s="884">
        <v>806.63549999999987</v>
      </c>
      <c r="DO48" s="884">
        <v>747.44100000000003</v>
      </c>
      <c r="DP48" s="884">
        <v>839.32499999999993</v>
      </c>
      <c r="DQ48" s="884">
        <v>1010.7239999999998</v>
      </c>
      <c r="DR48" s="884">
        <v>1214.8125</v>
      </c>
      <c r="DS48" s="884">
        <v>812.81999999999994</v>
      </c>
      <c r="DT48" s="884">
        <v>842.85899999999992</v>
      </c>
      <c r="DU48" s="884">
        <v>914.4224999999999</v>
      </c>
      <c r="DV48" s="884">
        <v>1171.5209999999997</v>
      </c>
      <c r="DW48" s="884">
        <v>1650.3779999999997</v>
      </c>
      <c r="DX48" s="91">
        <v>11657.038499999999</v>
      </c>
    </row>
    <row r="49" spans="1:128" ht="15" hidden="1" customHeight="1" outlineLevel="1">
      <c r="A49" s="94">
        <v>10</v>
      </c>
      <c r="B49" s="1079" t="s">
        <v>64</v>
      </c>
      <c r="C49" s="1120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>
        <f t="shared" si="76"/>
        <v>0</v>
      </c>
      <c r="Q49" s="90"/>
      <c r="R49" s="313">
        <v>1636</v>
      </c>
      <c r="S49" s="91">
        <v>1636</v>
      </c>
      <c r="T49" s="91">
        <f t="shared" si="83"/>
        <v>909</v>
      </c>
      <c r="U49" s="91">
        <f>0.5*U7</f>
        <v>0.5</v>
      </c>
      <c r="V49" s="91">
        <v>200</v>
      </c>
      <c r="W49" s="91">
        <v>300</v>
      </c>
      <c r="X49" s="91">
        <v>1000</v>
      </c>
      <c r="Y49" s="91">
        <v>1200</v>
      </c>
      <c r="Z49" s="91">
        <v>1600</v>
      </c>
      <c r="AA49" s="91">
        <v>1600</v>
      </c>
      <c r="AB49" s="91">
        <v>1800</v>
      </c>
      <c r="AC49" s="91">
        <v>2300</v>
      </c>
      <c r="AD49" s="315">
        <f t="shared" si="77"/>
        <v>14181.5</v>
      </c>
      <c r="AE49" s="23"/>
      <c r="AF49" s="316">
        <v>1500</v>
      </c>
      <c r="AG49" s="91">
        <v>1000</v>
      </c>
      <c r="AH49" s="91">
        <v>764</v>
      </c>
      <c r="AI49" s="91">
        <v>561</v>
      </c>
      <c r="AJ49" s="91">
        <v>1353</v>
      </c>
      <c r="AK49" s="91">
        <v>960</v>
      </c>
      <c r="AL49" s="91">
        <v>1500</v>
      </c>
      <c r="AM49" s="91">
        <v>1200</v>
      </c>
      <c r="AN49" s="91">
        <v>1200</v>
      </c>
      <c r="AO49" s="91">
        <v>1200</v>
      </c>
      <c r="AP49" s="91">
        <v>1320</v>
      </c>
      <c r="AQ49" s="91">
        <v>1920</v>
      </c>
      <c r="AR49" s="92">
        <f t="shared" si="78"/>
        <v>14478</v>
      </c>
      <c r="AS49" s="23"/>
      <c r="AT49" s="91">
        <v>1285</v>
      </c>
      <c r="AU49" s="91">
        <v>957</v>
      </c>
      <c r="AV49" s="91">
        <v>1426</v>
      </c>
      <c r="AW49" s="91">
        <v>1595</v>
      </c>
      <c r="AX49" s="317">
        <v>1767</v>
      </c>
      <c r="AY49" s="317">
        <v>1767</v>
      </c>
      <c r="AZ49" s="317">
        <v>1686</v>
      </c>
      <c r="BA49" s="317">
        <v>1686</v>
      </c>
      <c r="BB49" s="317">
        <v>1767</v>
      </c>
      <c r="BC49" s="317">
        <v>2088</v>
      </c>
      <c r="BD49" s="317">
        <v>2248</v>
      </c>
      <c r="BE49" s="317">
        <v>3212</v>
      </c>
      <c r="BF49" s="91">
        <f t="shared" si="79"/>
        <v>21484</v>
      </c>
      <c r="BG49" s="93">
        <f t="shared" si="80"/>
        <v>0.48390661693604087</v>
      </c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>
        <v>16952</v>
      </c>
      <c r="BU49" s="54"/>
      <c r="BV49" s="91">
        <v>2631.8999999999996</v>
      </c>
      <c r="BW49" s="91">
        <v>2034.84</v>
      </c>
      <c r="BX49" s="91">
        <f>'META  EM PEÇAS'!U33-('META  EM PEÇAS'!U33*0.05)</f>
        <v>2287.3815</v>
      </c>
      <c r="BY49" s="91">
        <f>'META  EM PEÇAS'!V33-('META  EM PEÇAS'!V33*0.05)</f>
        <v>2119.5164999999997</v>
      </c>
      <c r="BZ49" s="91">
        <f>'META  EM PEÇAS'!W33-('META  EM PEÇAS'!W33*0.05)</f>
        <v>2379.2655</v>
      </c>
      <c r="CA49" s="91">
        <f>'META  EM PEÇAS'!X33-('META  EM PEÇAS'!X33*0.05)</f>
        <v>2865.1904999999997</v>
      </c>
      <c r="CB49" s="91">
        <f>'META  EM PEÇAS'!Y33-('META  EM PEÇAS'!Y33*0.05)</f>
        <v>3445.6499999999996</v>
      </c>
      <c r="CC49" s="91">
        <f>'META  EM PEÇAS'!Z33-('META  EM PEÇAS'!Z33*0.05)</f>
        <v>2303.2844999999998</v>
      </c>
      <c r="CD49" s="91">
        <f>'META  EM PEÇAS'!AA33-('META  EM PEÇAS'!AA33*0.05)</f>
        <v>2388.9839999999999</v>
      </c>
      <c r="CE49" s="91">
        <f>'META  EM PEÇAS'!AB33-('META  EM PEÇAS'!AB33*0.05)</f>
        <v>2592.1889999999999</v>
      </c>
      <c r="CF49" s="91">
        <f>'META  EM PEÇAS'!AC33-('META  EM PEÇAS'!AC33*0.05)</f>
        <v>3321.0765000000001</v>
      </c>
      <c r="CG49" s="91">
        <f>'META  EM PEÇAS'!AD33-('META  EM PEÇAS'!AD33*0.05)</f>
        <v>4679.8995000000004</v>
      </c>
      <c r="CH49" s="91">
        <f t="shared" si="81"/>
        <v>33049.177499999998</v>
      </c>
      <c r="CJ49" s="91">
        <v>2631.8999999999996</v>
      </c>
      <c r="CK49" s="91">
        <v>2034.84</v>
      </c>
      <c r="CL49" s="91">
        <v>2287.3815</v>
      </c>
      <c r="CM49" s="91">
        <v>2119.5164999999997</v>
      </c>
      <c r="CN49" s="91">
        <v>2379.2655</v>
      </c>
      <c r="CO49" s="91">
        <v>2865.1904999999997</v>
      </c>
      <c r="CP49" s="91">
        <v>3445.6499999999996</v>
      </c>
      <c r="CQ49" s="91">
        <v>2303.2844999999998</v>
      </c>
      <c r="CR49" s="91">
        <v>2388.9839999999999</v>
      </c>
      <c r="CS49" s="91">
        <v>2592.1889999999999</v>
      </c>
      <c r="CT49" s="91">
        <v>3321.0765000000001</v>
      </c>
      <c r="CU49" s="91">
        <v>4679.8995000000004</v>
      </c>
      <c r="CV49" s="91">
        <v>33049.177499999998</v>
      </c>
      <c r="CW49" s="758"/>
      <c r="CX49" s="884">
        <v>2631.8999999999996</v>
      </c>
      <c r="CY49" s="884">
        <v>2034.84</v>
      </c>
      <c r="CZ49" s="884">
        <v>2287.3815</v>
      </c>
      <c r="DA49" s="884">
        <v>2119.5164999999997</v>
      </c>
      <c r="DB49" s="884">
        <v>2379.2655</v>
      </c>
      <c r="DC49" s="884">
        <v>2865.1904999999997</v>
      </c>
      <c r="DD49" s="884">
        <v>3445.6499999999996</v>
      </c>
      <c r="DE49" s="884">
        <v>2303.2844999999998</v>
      </c>
      <c r="DF49" s="884">
        <v>2388.9839999999999</v>
      </c>
      <c r="DG49" s="884">
        <v>2592.1889999999999</v>
      </c>
      <c r="DH49" s="884">
        <v>3321.0765000000001</v>
      </c>
      <c r="DI49" s="884">
        <v>4679.8995000000004</v>
      </c>
      <c r="DJ49" s="91">
        <v>33049.177499999998</v>
      </c>
      <c r="DK49" s="948"/>
      <c r="DL49" s="884">
        <v>2631.8999999999996</v>
      </c>
      <c r="DM49" s="884">
        <v>2034.84</v>
      </c>
      <c r="DN49" s="884">
        <v>2287.3815</v>
      </c>
      <c r="DO49" s="884">
        <v>2119.5164999999997</v>
      </c>
      <c r="DP49" s="884">
        <v>2379.2655</v>
      </c>
      <c r="DQ49" s="884">
        <v>2865.1904999999997</v>
      </c>
      <c r="DR49" s="884">
        <v>3445.6499999999996</v>
      </c>
      <c r="DS49" s="884">
        <v>2303.2844999999998</v>
      </c>
      <c r="DT49" s="884">
        <v>2388.9839999999999</v>
      </c>
      <c r="DU49" s="884">
        <v>2592.1889999999999</v>
      </c>
      <c r="DV49" s="884">
        <v>3321.0765000000001</v>
      </c>
      <c r="DW49" s="884">
        <v>4679.8995000000004</v>
      </c>
      <c r="DX49" s="91">
        <v>33049.177499999998</v>
      </c>
    </row>
    <row r="50" spans="1:128" ht="15" hidden="1" customHeight="1" outlineLevel="1">
      <c r="A50" s="94">
        <v>10</v>
      </c>
      <c r="B50" s="1079" t="s">
        <v>65</v>
      </c>
      <c r="C50" s="1120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>
        <f t="shared" si="76"/>
        <v>0</v>
      </c>
      <c r="Q50" s="90"/>
      <c r="R50" s="313">
        <v>0</v>
      </c>
      <c r="S50" s="91">
        <v>0</v>
      </c>
      <c r="T50" s="91">
        <v>0</v>
      </c>
      <c r="U50" s="91">
        <v>0</v>
      </c>
      <c r="V50" s="91">
        <v>3500</v>
      </c>
      <c r="W50" s="91">
        <v>350</v>
      </c>
      <c r="X50" s="91">
        <v>800</v>
      </c>
      <c r="Y50" s="91">
        <v>1000</v>
      </c>
      <c r="Z50" s="91">
        <v>1600</v>
      </c>
      <c r="AA50" s="91">
        <v>2000</v>
      </c>
      <c r="AB50" s="91">
        <v>2400</v>
      </c>
      <c r="AC50" s="91">
        <v>3000</v>
      </c>
      <c r="AD50" s="315">
        <f t="shared" si="77"/>
        <v>14650</v>
      </c>
      <c r="AE50" s="23"/>
      <c r="AF50" s="316">
        <v>2500</v>
      </c>
      <c r="AG50" s="91">
        <v>1000</v>
      </c>
      <c r="AH50" s="91">
        <f>2500*0.15</f>
        <v>375</v>
      </c>
      <c r="AI50" s="91">
        <v>787</v>
      </c>
      <c r="AJ50" s="91">
        <v>1569</v>
      </c>
      <c r="AK50" s="91">
        <v>2000</v>
      </c>
      <c r="AL50" s="91">
        <v>2500</v>
      </c>
      <c r="AM50" s="91">
        <v>2500</v>
      </c>
      <c r="AN50" s="91">
        <v>2500</v>
      </c>
      <c r="AO50" s="91">
        <v>2500</v>
      </c>
      <c r="AP50" s="91">
        <v>2750</v>
      </c>
      <c r="AQ50" s="91">
        <v>4000</v>
      </c>
      <c r="AR50" s="92">
        <f t="shared" si="78"/>
        <v>24981</v>
      </c>
      <c r="AS50" s="23"/>
      <c r="AT50" s="91">
        <v>1806</v>
      </c>
      <c r="AU50" s="91">
        <v>2046</v>
      </c>
      <c r="AV50" s="91">
        <v>1646</v>
      </c>
      <c r="AW50" s="91">
        <v>1902</v>
      </c>
      <c r="AX50" s="317">
        <v>1545</v>
      </c>
      <c r="AY50" s="317">
        <v>1545</v>
      </c>
      <c r="AZ50" s="317">
        <v>1475</v>
      </c>
      <c r="BA50" s="317">
        <v>1475</v>
      </c>
      <c r="BB50" s="317">
        <v>1545</v>
      </c>
      <c r="BC50" s="317">
        <v>1826</v>
      </c>
      <c r="BD50" s="317">
        <v>0</v>
      </c>
      <c r="BE50" s="317">
        <v>0</v>
      </c>
      <c r="BF50" s="91">
        <f t="shared" si="79"/>
        <v>16811</v>
      </c>
      <c r="BG50" s="93">
        <f t="shared" si="80"/>
        <v>-0.32704855690324641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>
        <v>10230</v>
      </c>
      <c r="BU50" s="54"/>
      <c r="BV50" s="91">
        <v>1335.48</v>
      </c>
      <c r="BW50" s="91">
        <v>1032.3</v>
      </c>
      <c r="BX50" s="91">
        <f>'META  EM PEÇAS'!U39-('META  EM PEÇAS'!U39*0.05)</f>
        <v>1160.0355</v>
      </c>
      <c r="BY50" s="91">
        <f>'META  EM PEÇAS'!V39-('META  EM PEÇAS'!V39*0.05)</f>
        <v>1075.2194999999999</v>
      </c>
      <c r="BZ50" s="91">
        <f>'META  EM PEÇAS'!W39-('META  EM PEÇAS'!W39*0.05)</f>
        <v>1206.8609999999999</v>
      </c>
      <c r="CA50" s="91">
        <f>'META  EM PEÇAS'!X39-('META  EM PEÇAS'!X39*0.05)</f>
        <v>1453.3574999999998</v>
      </c>
      <c r="CB50" s="91">
        <f>'META  EM PEÇAS'!Y39-('META  EM PEÇAS'!Y39*0.05)</f>
        <v>1747.5629999999999</v>
      </c>
      <c r="CC50" s="91">
        <f>'META  EM PEÇAS'!Z39-('META  EM PEÇAS'!Z39*0.05)</f>
        <v>1168.8705</v>
      </c>
      <c r="CD50" s="91">
        <f>'META  EM PEÇAS'!AA39-('META  EM PEÇAS'!AA39*0.05)</f>
        <v>1212.1619999999998</v>
      </c>
      <c r="CE50" s="91">
        <f>'META  EM PEÇAS'!AB39-('META  EM PEÇAS'!AB39*0.05)</f>
        <v>1314.6479999999999</v>
      </c>
      <c r="CF50" s="91">
        <f>'META  EM PEÇAS'!AC39-('META  EM PEÇAS'!AC39*0.05)</f>
        <v>1684.8344999999999</v>
      </c>
      <c r="CG50" s="91">
        <f>'META  EM PEÇAS'!AD39-('META  EM PEÇAS'!AD39*0.05)</f>
        <v>2373.9645</v>
      </c>
      <c r="CH50" s="91">
        <f t="shared" si="81"/>
        <v>16765.295999999995</v>
      </c>
      <c r="CJ50" s="91">
        <v>1335.48</v>
      </c>
      <c r="CK50" s="91">
        <v>1032.3</v>
      </c>
      <c r="CL50" s="91">
        <v>1160.0355</v>
      </c>
      <c r="CM50" s="91">
        <v>1075.2194999999999</v>
      </c>
      <c r="CN50" s="91">
        <v>1206.8609999999999</v>
      </c>
      <c r="CO50" s="91">
        <v>1453.3574999999998</v>
      </c>
      <c r="CP50" s="91">
        <v>1747.5629999999999</v>
      </c>
      <c r="CQ50" s="91">
        <v>1168.8705</v>
      </c>
      <c r="CR50" s="91">
        <v>1212.1619999999998</v>
      </c>
      <c r="CS50" s="91">
        <v>1314.6479999999999</v>
      </c>
      <c r="CT50" s="91">
        <v>1684.8344999999999</v>
      </c>
      <c r="CU50" s="91">
        <v>2373.9645</v>
      </c>
      <c r="CV50" s="91">
        <v>16765.295999999995</v>
      </c>
      <c r="CW50" s="758"/>
      <c r="CX50" s="884">
        <v>1335.48</v>
      </c>
      <c r="CY50" s="884">
        <v>1032.3</v>
      </c>
      <c r="CZ50" s="884">
        <v>1160.0355</v>
      </c>
      <c r="DA50" s="884">
        <v>1075.2194999999999</v>
      </c>
      <c r="DB50" s="884">
        <v>1206.8609999999999</v>
      </c>
      <c r="DC50" s="884">
        <v>1453.3574999999998</v>
      </c>
      <c r="DD50" s="884">
        <v>1747.5629999999999</v>
      </c>
      <c r="DE50" s="884">
        <v>1168.8705</v>
      </c>
      <c r="DF50" s="884">
        <v>1212.1619999999998</v>
      </c>
      <c r="DG50" s="884">
        <v>1314.6479999999999</v>
      </c>
      <c r="DH50" s="884">
        <v>1684.8344999999999</v>
      </c>
      <c r="DI50" s="884">
        <v>2373.9645</v>
      </c>
      <c r="DJ50" s="91">
        <v>16765.295999999995</v>
      </c>
      <c r="DK50" s="948"/>
      <c r="DL50" s="884">
        <v>1335.48</v>
      </c>
      <c r="DM50" s="884">
        <v>1032.3</v>
      </c>
      <c r="DN50" s="884">
        <v>1160.0355</v>
      </c>
      <c r="DO50" s="884">
        <v>1075.2194999999999</v>
      </c>
      <c r="DP50" s="884">
        <v>1206.8609999999999</v>
      </c>
      <c r="DQ50" s="884">
        <v>1453.3574999999998</v>
      </c>
      <c r="DR50" s="884">
        <v>1747.5629999999999</v>
      </c>
      <c r="DS50" s="884">
        <v>1168.8705</v>
      </c>
      <c r="DT50" s="884">
        <v>1212.1619999999998</v>
      </c>
      <c r="DU50" s="884">
        <v>1314.6479999999999</v>
      </c>
      <c r="DV50" s="884">
        <v>1684.8344999999999</v>
      </c>
      <c r="DW50" s="884">
        <v>2373.9645</v>
      </c>
      <c r="DX50" s="91">
        <v>16765.295999999995</v>
      </c>
    </row>
    <row r="51" spans="1:128" ht="15" hidden="1" customHeight="1" outlineLevel="1">
      <c r="A51" s="94">
        <v>11</v>
      </c>
      <c r="B51" s="921" t="s">
        <v>66</v>
      </c>
      <c r="C51" s="922"/>
      <c r="D51" s="313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314">
        <f t="shared" si="76"/>
        <v>0</v>
      </c>
      <c r="Q51" s="90"/>
      <c r="R51" s="313">
        <v>0</v>
      </c>
      <c r="S51" s="91">
        <v>0</v>
      </c>
      <c r="T51" s="91">
        <v>0</v>
      </c>
      <c r="U51" s="91">
        <v>0</v>
      </c>
      <c r="V51" s="91">
        <v>4000</v>
      </c>
      <c r="W51" s="91">
        <v>100</v>
      </c>
      <c r="X51" s="91">
        <v>800</v>
      </c>
      <c r="Y51" s="91">
        <v>800</v>
      </c>
      <c r="Z51" s="91">
        <v>1200</v>
      </c>
      <c r="AA51" s="91">
        <v>1200</v>
      </c>
      <c r="AB51" s="91">
        <v>1800</v>
      </c>
      <c r="AC51" s="91">
        <v>2300</v>
      </c>
      <c r="AD51" s="315">
        <f t="shared" si="77"/>
        <v>12200</v>
      </c>
      <c r="AE51" s="23"/>
      <c r="AF51" s="316">
        <v>1500</v>
      </c>
      <c r="AG51" s="91">
        <v>1000</v>
      </c>
      <c r="AH51" s="91">
        <f t="shared" ref="AH51:AH52" si="84">1500*0.15</f>
        <v>225</v>
      </c>
      <c r="AI51" s="91">
        <v>324</v>
      </c>
      <c r="AJ51" s="91">
        <v>869</v>
      </c>
      <c r="AK51" s="91">
        <v>800</v>
      </c>
      <c r="AL51" s="91">
        <v>1500</v>
      </c>
      <c r="AM51" s="91">
        <v>1000</v>
      </c>
      <c r="AN51" s="91">
        <v>1000</v>
      </c>
      <c r="AO51" s="91">
        <v>1000</v>
      </c>
      <c r="AP51" s="91">
        <v>1100</v>
      </c>
      <c r="AQ51" s="91">
        <v>1600</v>
      </c>
      <c r="AR51" s="92">
        <f t="shared" si="78"/>
        <v>11918</v>
      </c>
      <c r="AS51" s="23"/>
      <c r="AT51" s="91">
        <v>1191</v>
      </c>
      <c r="AU51" s="91">
        <v>1191</v>
      </c>
      <c r="AV51" s="91">
        <v>1191</v>
      </c>
      <c r="AW51" s="91">
        <v>1191</v>
      </c>
      <c r="AX51" s="317">
        <v>876</v>
      </c>
      <c r="AY51" s="317">
        <v>876</v>
      </c>
      <c r="AZ51" s="317">
        <v>836</v>
      </c>
      <c r="BA51" s="317">
        <v>836</v>
      </c>
      <c r="BB51" s="317">
        <v>876</v>
      </c>
      <c r="BC51" s="317">
        <v>1035</v>
      </c>
      <c r="BD51" s="317">
        <v>0</v>
      </c>
      <c r="BE51" s="317">
        <v>0</v>
      </c>
      <c r="BF51" s="91">
        <f t="shared" si="79"/>
        <v>10099</v>
      </c>
      <c r="BG51" s="93">
        <f t="shared" si="80"/>
        <v>-0.15262627957711028</v>
      </c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>
        <v>7342</v>
      </c>
      <c r="BU51" s="54"/>
      <c r="BV51" s="91">
        <v>1643.31</v>
      </c>
      <c r="BW51" s="91">
        <v>1270.3799999999999</v>
      </c>
      <c r="BX51" s="91">
        <f>'META  EM PEÇAS'!U40-('META  EM PEÇAS'!U40*0.05)</f>
        <v>1427.7359999999999</v>
      </c>
      <c r="BY51" s="91">
        <f>'META  EM PEÇAS'!V40-('META  EM PEÇAS'!V40*0.05)</f>
        <v>1323.4829999999999</v>
      </c>
      <c r="BZ51" s="91">
        <f>'META  EM PEÇAS'!W40-('META  EM PEÇAS'!W40*0.05)</f>
        <v>1485.1634999999999</v>
      </c>
      <c r="CA51" s="91">
        <f>'META  EM PEÇAS'!X40-('META  EM PEÇAS'!X40*0.05)</f>
        <v>1788.204</v>
      </c>
      <c r="CB51" s="91">
        <f>'META  EM PEÇAS'!Y40-('META  EM PEÇAS'!Y40*0.05)</f>
        <v>2151.3224999999998</v>
      </c>
      <c r="CC51" s="91">
        <f>'META  EM PEÇAS'!Z40-('META  EM PEÇAS'!Z40*0.05)</f>
        <v>1438.338</v>
      </c>
      <c r="CD51" s="91">
        <f>'META  EM PEÇAS'!AA40-('META  EM PEÇAS'!AA40*0.05)</f>
        <v>1491.348</v>
      </c>
      <c r="CE51" s="91">
        <f>'META  EM PEÇAS'!AB40-('META  EM PEÇAS'!AB40*0.05)</f>
        <v>1618.5719999999999</v>
      </c>
      <c r="CF51" s="91">
        <f>'META  EM PEÇAS'!AC40-('META  EM PEÇAS'!AC40*0.05)</f>
        <v>2073.5745000000002</v>
      </c>
      <c r="CG51" s="91">
        <f>'META  EM PEÇAS'!AD40-('META  EM PEÇAS'!AD40*0.05)</f>
        <v>2921.7344999999996</v>
      </c>
      <c r="CH51" s="91">
        <f t="shared" si="81"/>
        <v>20633.165999999997</v>
      </c>
      <c r="CJ51" s="91">
        <v>1643.31</v>
      </c>
      <c r="CK51" s="91">
        <v>1270.3799999999999</v>
      </c>
      <c r="CL51" s="91">
        <v>1427.7359999999999</v>
      </c>
      <c r="CM51" s="91">
        <v>1323.4829999999999</v>
      </c>
      <c r="CN51" s="91">
        <v>1485.1634999999999</v>
      </c>
      <c r="CO51" s="91">
        <v>1788.204</v>
      </c>
      <c r="CP51" s="91">
        <v>2151.3224999999998</v>
      </c>
      <c r="CQ51" s="91">
        <v>1438.338</v>
      </c>
      <c r="CR51" s="91">
        <v>1491.348</v>
      </c>
      <c r="CS51" s="91">
        <v>1618.5719999999999</v>
      </c>
      <c r="CT51" s="91">
        <v>2073.5745000000002</v>
      </c>
      <c r="CU51" s="91">
        <v>2921.7344999999996</v>
      </c>
      <c r="CV51" s="91">
        <v>20633.165999999997</v>
      </c>
      <c r="CW51" s="758"/>
      <c r="CX51" s="884">
        <v>1643.31</v>
      </c>
      <c r="CY51" s="884">
        <v>1270.3799999999999</v>
      </c>
      <c r="CZ51" s="884">
        <v>1427.7359999999999</v>
      </c>
      <c r="DA51" s="884">
        <v>1323.4829999999999</v>
      </c>
      <c r="DB51" s="884">
        <v>1485.1634999999999</v>
      </c>
      <c r="DC51" s="884">
        <v>1788.204</v>
      </c>
      <c r="DD51" s="884">
        <v>2151.3224999999998</v>
      </c>
      <c r="DE51" s="884">
        <v>1438.338</v>
      </c>
      <c r="DF51" s="884">
        <v>1491.348</v>
      </c>
      <c r="DG51" s="884">
        <v>1618.5719999999999</v>
      </c>
      <c r="DH51" s="884">
        <v>2073.5745000000002</v>
      </c>
      <c r="DI51" s="884">
        <v>2921.7344999999996</v>
      </c>
      <c r="DJ51" s="91">
        <v>20633.165999999997</v>
      </c>
      <c r="DK51" s="948"/>
      <c r="DL51" s="884">
        <v>1643.31</v>
      </c>
      <c r="DM51" s="884">
        <v>1270.3799999999999</v>
      </c>
      <c r="DN51" s="884">
        <v>1427.7359999999999</v>
      </c>
      <c r="DO51" s="884">
        <v>1323.4829999999999</v>
      </c>
      <c r="DP51" s="884">
        <v>1485.1634999999999</v>
      </c>
      <c r="DQ51" s="884">
        <v>1788.204</v>
      </c>
      <c r="DR51" s="884">
        <v>2151.3224999999998</v>
      </c>
      <c r="DS51" s="884">
        <v>1438.338</v>
      </c>
      <c r="DT51" s="884">
        <v>1491.348</v>
      </c>
      <c r="DU51" s="884">
        <v>1618.5719999999999</v>
      </c>
      <c r="DV51" s="884">
        <v>2073.5745000000002</v>
      </c>
      <c r="DW51" s="884">
        <v>2921.7344999999996</v>
      </c>
      <c r="DX51" s="91">
        <v>20633.165999999997</v>
      </c>
    </row>
    <row r="52" spans="1:128" ht="15" hidden="1" customHeight="1" outlineLevel="1">
      <c r="A52" s="94">
        <v>12</v>
      </c>
      <c r="B52" s="921" t="s">
        <v>67</v>
      </c>
      <c r="C52" s="922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>
        <f t="shared" si="76"/>
        <v>0</v>
      </c>
      <c r="Q52" s="90"/>
      <c r="R52" s="313">
        <v>0</v>
      </c>
      <c r="S52" s="91">
        <v>0</v>
      </c>
      <c r="T52" s="91">
        <v>0</v>
      </c>
      <c r="U52" s="91">
        <v>0</v>
      </c>
      <c r="V52" s="91">
        <v>4000</v>
      </c>
      <c r="W52" s="91">
        <v>0</v>
      </c>
      <c r="X52" s="91">
        <v>800</v>
      </c>
      <c r="Y52" s="91">
        <v>1000</v>
      </c>
      <c r="Z52" s="91">
        <v>1200</v>
      </c>
      <c r="AA52" s="91">
        <v>1200</v>
      </c>
      <c r="AB52" s="91">
        <v>1800</v>
      </c>
      <c r="AC52" s="91">
        <v>2300</v>
      </c>
      <c r="AD52" s="315">
        <f t="shared" si="77"/>
        <v>12300</v>
      </c>
      <c r="AE52" s="23"/>
      <c r="AF52" s="316">
        <v>1500</v>
      </c>
      <c r="AG52" s="91">
        <v>1200</v>
      </c>
      <c r="AH52" s="91">
        <f t="shared" si="84"/>
        <v>225</v>
      </c>
      <c r="AI52" s="91">
        <v>332</v>
      </c>
      <c r="AJ52" s="91">
        <v>945</v>
      </c>
      <c r="AK52" s="91">
        <v>960</v>
      </c>
      <c r="AL52" s="91">
        <v>1500</v>
      </c>
      <c r="AM52" s="91">
        <v>1200</v>
      </c>
      <c r="AN52" s="91">
        <v>1200</v>
      </c>
      <c r="AO52" s="91">
        <v>1200</v>
      </c>
      <c r="AP52" s="91">
        <v>1320</v>
      </c>
      <c r="AQ52" s="91">
        <v>1920</v>
      </c>
      <c r="AR52" s="92">
        <f t="shared" si="78"/>
        <v>13502</v>
      </c>
      <c r="AS52" s="23"/>
      <c r="AT52" s="91">
        <v>1254</v>
      </c>
      <c r="AU52" s="91">
        <v>1254</v>
      </c>
      <c r="AV52" s="91">
        <v>1254</v>
      </c>
      <c r="AW52" s="91">
        <v>1254</v>
      </c>
      <c r="AX52" s="317">
        <v>1236</v>
      </c>
      <c r="AY52" s="317">
        <v>1236</v>
      </c>
      <c r="AZ52" s="317">
        <v>0</v>
      </c>
      <c r="BA52" s="317">
        <v>0</v>
      </c>
      <c r="BB52" s="317">
        <v>0</v>
      </c>
      <c r="BC52" s="317">
        <v>0</v>
      </c>
      <c r="BD52" s="317">
        <v>0</v>
      </c>
      <c r="BE52" s="317">
        <v>0</v>
      </c>
      <c r="BF52" s="91">
        <f t="shared" si="79"/>
        <v>7488</v>
      </c>
      <c r="BG52" s="93">
        <f t="shared" si="80"/>
        <v>-0.44541549400088876</v>
      </c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>
        <v>16899</v>
      </c>
      <c r="BU52" s="54"/>
      <c r="BV52" s="91">
        <v>2552.85</v>
      </c>
      <c r="BW52" s="91">
        <v>1973.4599999999998</v>
      </c>
      <c r="BX52" s="91">
        <f>'META  EM PEÇAS'!U34-('META  EM PEÇAS'!U34*0.05)</f>
        <v>2218.4684999999999</v>
      </c>
      <c r="BY52" s="91">
        <f>'META  EM PEÇAS'!V34-('META  EM PEÇAS'!V34*0.05)</f>
        <v>2056.788</v>
      </c>
      <c r="BZ52" s="91">
        <f>'META  EM PEÇAS'!W34-('META  EM PEÇAS'!W34*0.05)</f>
        <v>2307.7019999999998</v>
      </c>
      <c r="CA52" s="91">
        <f>'META  EM PEÇAS'!X34-('META  EM PEÇAS'!X34*0.05)</f>
        <v>2778.6075000000001</v>
      </c>
      <c r="CB52" s="91">
        <f>'META  EM PEÇAS'!Y34-('META  EM PEÇAS'!Y34*0.05)</f>
        <v>3342.2804999999998</v>
      </c>
      <c r="CC52" s="91">
        <f>'META  EM PEÇAS'!Z34-('META  EM PEÇAS'!Z34*0.05)</f>
        <v>2234.3714999999997</v>
      </c>
      <c r="CD52" s="91">
        <f>'META  EM PEÇAS'!AA34-('META  EM PEÇAS'!AA34*0.05)</f>
        <v>2317.4204999999997</v>
      </c>
      <c r="CE52" s="91">
        <f>'META  EM PEÇAS'!AB34-('META  EM PEÇAS'!AB34*0.05)</f>
        <v>2514.4409999999998</v>
      </c>
      <c r="CF52" s="91">
        <f>'META  EM PEÇAS'!AC34-('META  EM PEÇAS'!AC34*0.05)</f>
        <v>3221.241</v>
      </c>
      <c r="CG52" s="91">
        <f>'META  EM PEÇAS'!AD34-('META  EM PEÇAS'!AD34*0.05)</f>
        <v>4539.4229999999989</v>
      </c>
      <c r="CH52" s="91">
        <f t="shared" si="81"/>
        <v>32057.053499999998</v>
      </c>
      <c r="CJ52" s="91">
        <v>2552.85</v>
      </c>
      <c r="CK52" s="91">
        <v>1973.4599999999998</v>
      </c>
      <c r="CL52" s="91">
        <v>2218.4684999999999</v>
      </c>
      <c r="CM52" s="91">
        <v>2056.788</v>
      </c>
      <c r="CN52" s="91">
        <v>2307.7019999999998</v>
      </c>
      <c r="CO52" s="91">
        <v>2778.6075000000001</v>
      </c>
      <c r="CP52" s="91">
        <v>3342.2804999999998</v>
      </c>
      <c r="CQ52" s="91">
        <v>2234.3714999999997</v>
      </c>
      <c r="CR52" s="91">
        <v>2317.4204999999997</v>
      </c>
      <c r="CS52" s="91">
        <v>2514.4409999999998</v>
      </c>
      <c r="CT52" s="91">
        <v>3221.241</v>
      </c>
      <c r="CU52" s="91">
        <v>4539.4229999999989</v>
      </c>
      <c r="CV52" s="91">
        <v>32057.053499999998</v>
      </c>
      <c r="CW52" s="758"/>
      <c r="CX52" s="884">
        <v>2552.85</v>
      </c>
      <c r="CY52" s="884">
        <v>1973.4599999999998</v>
      </c>
      <c r="CZ52" s="884">
        <v>2218.4684999999999</v>
      </c>
      <c r="DA52" s="884">
        <v>2056.788</v>
      </c>
      <c r="DB52" s="884">
        <v>2307.7019999999998</v>
      </c>
      <c r="DC52" s="884">
        <v>2778.6075000000001</v>
      </c>
      <c r="DD52" s="884">
        <v>3342.2804999999998</v>
      </c>
      <c r="DE52" s="884">
        <v>2234.3714999999997</v>
      </c>
      <c r="DF52" s="884">
        <v>2317.4204999999997</v>
      </c>
      <c r="DG52" s="884">
        <v>2514.4409999999998</v>
      </c>
      <c r="DH52" s="884">
        <v>3221.241</v>
      </c>
      <c r="DI52" s="884">
        <v>4539.4229999999989</v>
      </c>
      <c r="DJ52" s="91">
        <v>32057.053499999998</v>
      </c>
      <c r="DK52" s="948"/>
      <c r="DL52" s="884">
        <v>2552.85</v>
      </c>
      <c r="DM52" s="884">
        <v>1973.4599999999998</v>
      </c>
      <c r="DN52" s="884">
        <v>2218.4684999999999</v>
      </c>
      <c r="DO52" s="884">
        <v>2056.788</v>
      </c>
      <c r="DP52" s="884">
        <v>2307.7019999999998</v>
      </c>
      <c r="DQ52" s="884">
        <v>2778.6075000000001</v>
      </c>
      <c r="DR52" s="884">
        <v>3342.2804999999998</v>
      </c>
      <c r="DS52" s="884">
        <v>2234.3714999999997</v>
      </c>
      <c r="DT52" s="884">
        <v>2317.4204999999997</v>
      </c>
      <c r="DU52" s="884">
        <v>2514.4409999999998</v>
      </c>
      <c r="DV52" s="884">
        <v>3221.241</v>
      </c>
      <c r="DW52" s="884">
        <v>4539.4229999999989</v>
      </c>
      <c r="DX52" s="91">
        <v>32057.053499999998</v>
      </c>
    </row>
    <row r="53" spans="1:128" ht="15" hidden="1" customHeight="1" outlineLevel="1">
      <c r="A53" s="94">
        <v>13</v>
      </c>
      <c r="B53" s="921" t="s">
        <v>68</v>
      </c>
      <c r="C53" s="923"/>
      <c r="D53" s="313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314">
        <f t="shared" si="76"/>
        <v>0</v>
      </c>
      <c r="Q53" s="90"/>
      <c r="R53" s="313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2000</v>
      </c>
      <c r="Y53" s="91">
        <v>800</v>
      </c>
      <c r="Z53" s="91">
        <v>800</v>
      </c>
      <c r="AA53" s="91">
        <v>1200</v>
      </c>
      <c r="AB53" s="91">
        <v>1800</v>
      </c>
      <c r="AC53" s="91">
        <v>2300</v>
      </c>
      <c r="AD53" s="315">
        <f t="shared" si="77"/>
        <v>8900</v>
      </c>
      <c r="AE53" s="23"/>
      <c r="AF53" s="316">
        <v>1800</v>
      </c>
      <c r="AG53" s="91">
        <v>1200</v>
      </c>
      <c r="AH53" s="91">
        <f>1800*0.15</f>
        <v>270</v>
      </c>
      <c r="AI53" s="91">
        <v>896</v>
      </c>
      <c r="AJ53" s="91">
        <v>1339</v>
      </c>
      <c r="AK53" s="91">
        <v>1600</v>
      </c>
      <c r="AL53" s="91">
        <v>1800</v>
      </c>
      <c r="AM53" s="91">
        <v>2000</v>
      </c>
      <c r="AN53" s="91">
        <v>2000</v>
      </c>
      <c r="AO53" s="91">
        <v>2000</v>
      </c>
      <c r="AP53" s="91">
        <v>2200</v>
      </c>
      <c r="AQ53" s="91">
        <v>3200</v>
      </c>
      <c r="AR53" s="92">
        <f t="shared" si="78"/>
        <v>20305</v>
      </c>
      <c r="AS53" s="23"/>
      <c r="AT53" s="91">
        <v>1980</v>
      </c>
      <c r="AU53" s="91">
        <v>1980</v>
      </c>
      <c r="AV53" s="91">
        <v>1980</v>
      </c>
      <c r="AW53" s="91">
        <v>1980</v>
      </c>
      <c r="AX53" s="317">
        <v>1409</v>
      </c>
      <c r="AY53" s="317">
        <v>1409</v>
      </c>
      <c r="AZ53" s="317">
        <v>1345</v>
      </c>
      <c r="BA53" s="317">
        <v>1345</v>
      </c>
      <c r="BB53" s="317">
        <v>1409</v>
      </c>
      <c r="BC53" s="317">
        <v>1665</v>
      </c>
      <c r="BD53" s="317">
        <v>1793</v>
      </c>
      <c r="BE53" s="317">
        <v>2562</v>
      </c>
      <c r="BF53" s="91">
        <f t="shared" si="79"/>
        <v>20857</v>
      </c>
      <c r="BG53" s="93">
        <f t="shared" si="80"/>
        <v>2.7185422309775831E-2</v>
      </c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>
        <v>11555</v>
      </c>
      <c r="BU53" s="54"/>
      <c r="BV53" s="91">
        <v>1903.7099999999998</v>
      </c>
      <c r="BW53" s="91">
        <v>1471.26</v>
      </c>
      <c r="BX53" s="91">
        <f>'META  EM PEÇAS'!U35-('META  EM PEÇAS'!U35*0.05)</f>
        <v>1654.7954999999999</v>
      </c>
      <c r="BY53" s="91">
        <f>'META  EM PEÇAS'!V35-('META  EM PEÇAS'!V35*0.05)</f>
        <v>1533.7559999999999</v>
      </c>
      <c r="BZ53" s="91">
        <f>'META  EM PEÇAS'!W35-('META  EM PEÇAS'!W35*0.05)</f>
        <v>1721.058</v>
      </c>
      <c r="CA53" s="91">
        <f>'META  EM PEÇAS'!X35-('META  EM PEÇAS'!X35*0.05)</f>
        <v>2071.8074999999999</v>
      </c>
      <c r="CB53" s="91">
        <f>'META  EM PEÇAS'!Y35-('META  EM PEÇAS'!Y35*0.05)</f>
        <v>2492.3534999999997</v>
      </c>
      <c r="CC53" s="91">
        <f>'META  EM PEÇAS'!Z35-('META  EM PEÇAS'!Z35*0.05)</f>
        <v>1666.2809999999997</v>
      </c>
      <c r="CD53" s="91">
        <f>'META  EM PEÇAS'!AA35-('META  EM PEÇAS'!AA35*0.05)</f>
        <v>1728.126</v>
      </c>
      <c r="CE53" s="91">
        <f>'META  EM PEÇAS'!AB35-('META  EM PEÇAS'!AB35*0.05)</f>
        <v>1874.7869999999998</v>
      </c>
      <c r="CF53" s="91">
        <f>'META  EM PEÇAS'!AC35-('META  EM PEÇAS'!AC35*0.05)</f>
        <v>2402.2364999999995</v>
      </c>
      <c r="CG53" s="91">
        <f>'META  EM PEÇAS'!AD35-('META  EM PEÇAS'!AD35*0.05)</f>
        <v>3384.6884999999997</v>
      </c>
      <c r="CH53" s="91">
        <f t="shared" si="81"/>
        <v>23904.859499999995</v>
      </c>
      <c r="CJ53" s="91">
        <v>1903.7099999999998</v>
      </c>
      <c r="CK53" s="91">
        <v>1471.26</v>
      </c>
      <c r="CL53" s="91">
        <v>1654.7954999999999</v>
      </c>
      <c r="CM53" s="91">
        <v>1533.7559999999999</v>
      </c>
      <c r="CN53" s="91">
        <v>1721.058</v>
      </c>
      <c r="CO53" s="91">
        <v>2071.8074999999999</v>
      </c>
      <c r="CP53" s="91">
        <v>2492.3534999999997</v>
      </c>
      <c r="CQ53" s="91">
        <v>1666.2809999999997</v>
      </c>
      <c r="CR53" s="91">
        <v>1728.126</v>
      </c>
      <c r="CS53" s="91">
        <v>1874.7869999999998</v>
      </c>
      <c r="CT53" s="91">
        <v>2402.2364999999995</v>
      </c>
      <c r="CU53" s="91">
        <v>3384.6884999999997</v>
      </c>
      <c r="CV53" s="91">
        <v>23904.859499999995</v>
      </c>
      <c r="CW53" s="758"/>
      <c r="CX53" s="884">
        <v>1903.7099999999998</v>
      </c>
      <c r="CY53" s="884">
        <v>1471.26</v>
      </c>
      <c r="CZ53" s="884">
        <v>1654.7954999999999</v>
      </c>
      <c r="DA53" s="884">
        <v>1533.7559999999999</v>
      </c>
      <c r="DB53" s="884">
        <v>1721.058</v>
      </c>
      <c r="DC53" s="884">
        <v>2071.8074999999999</v>
      </c>
      <c r="DD53" s="884">
        <v>2492.3534999999997</v>
      </c>
      <c r="DE53" s="884">
        <v>1666.2809999999997</v>
      </c>
      <c r="DF53" s="884">
        <v>1728.126</v>
      </c>
      <c r="DG53" s="884">
        <v>1874.7869999999998</v>
      </c>
      <c r="DH53" s="884">
        <v>2402.2364999999995</v>
      </c>
      <c r="DI53" s="884">
        <v>3384.6884999999997</v>
      </c>
      <c r="DJ53" s="91">
        <v>23904.859499999995</v>
      </c>
      <c r="DK53" s="948"/>
      <c r="DL53" s="884">
        <v>1903.7099999999998</v>
      </c>
      <c r="DM53" s="884">
        <v>1471.26</v>
      </c>
      <c r="DN53" s="884">
        <v>1654.7954999999999</v>
      </c>
      <c r="DO53" s="884">
        <v>1533.7559999999999</v>
      </c>
      <c r="DP53" s="884">
        <v>1721.058</v>
      </c>
      <c r="DQ53" s="884">
        <v>2071.8074999999999</v>
      </c>
      <c r="DR53" s="884">
        <v>2492.3534999999997</v>
      </c>
      <c r="DS53" s="884">
        <v>1666.2809999999997</v>
      </c>
      <c r="DT53" s="884">
        <v>1728.126</v>
      </c>
      <c r="DU53" s="884">
        <v>1874.7869999999998</v>
      </c>
      <c r="DV53" s="884">
        <v>2402.2364999999995</v>
      </c>
      <c r="DW53" s="884">
        <v>3384.6884999999997</v>
      </c>
      <c r="DX53" s="91">
        <v>23904.859499999995</v>
      </c>
    </row>
    <row r="54" spans="1:128" ht="15" hidden="1" customHeight="1" outlineLevel="1">
      <c r="A54" s="94">
        <v>14</v>
      </c>
      <c r="B54" s="921" t="s">
        <v>69</v>
      </c>
      <c r="C54" s="923"/>
      <c r="D54" s="313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314"/>
      <c r="Q54" s="90"/>
      <c r="R54" s="313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2000</v>
      </c>
      <c r="Z54" s="91">
        <v>800</v>
      </c>
      <c r="AA54" s="91">
        <v>800</v>
      </c>
      <c r="AB54" s="91">
        <v>1200</v>
      </c>
      <c r="AC54" s="91">
        <v>1800</v>
      </c>
      <c r="AD54" s="315">
        <f t="shared" si="77"/>
        <v>6600</v>
      </c>
      <c r="AE54" s="23"/>
      <c r="AF54" s="316">
        <v>1500</v>
      </c>
      <c r="AG54" s="91">
        <v>1200</v>
      </c>
      <c r="AH54" s="91">
        <f>1500*0.15</f>
        <v>225</v>
      </c>
      <c r="AI54" s="91">
        <v>374</v>
      </c>
      <c r="AJ54" s="91">
        <v>990</v>
      </c>
      <c r="AK54" s="91">
        <v>960</v>
      </c>
      <c r="AL54" s="91">
        <v>1800</v>
      </c>
      <c r="AM54" s="91">
        <v>1200</v>
      </c>
      <c r="AN54" s="91">
        <v>1200</v>
      </c>
      <c r="AO54" s="91">
        <v>1200</v>
      </c>
      <c r="AP54" s="91">
        <v>1320</v>
      </c>
      <c r="AQ54" s="91">
        <v>1920</v>
      </c>
      <c r="AR54" s="92">
        <f t="shared" si="78"/>
        <v>13889</v>
      </c>
      <c r="AS54" s="23"/>
      <c r="AT54" s="91">
        <v>1518</v>
      </c>
      <c r="AU54" s="91">
        <v>1518</v>
      </c>
      <c r="AV54" s="91">
        <v>1518</v>
      </c>
      <c r="AW54" s="91">
        <v>1518</v>
      </c>
      <c r="AX54" s="317">
        <v>1276</v>
      </c>
      <c r="AY54" s="317">
        <v>1276</v>
      </c>
      <c r="AZ54" s="317">
        <v>1218</v>
      </c>
      <c r="BA54" s="317">
        <v>1218</v>
      </c>
      <c r="BB54" s="317">
        <v>1276</v>
      </c>
      <c r="BC54" s="317">
        <v>1508</v>
      </c>
      <c r="BD54" s="317">
        <v>1624</v>
      </c>
      <c r="BE54" s="317">
        <v>2320</v>
      </c>
      <c r="BF54" s="91">
        <f t="shared" si="79"/>
        <v>17788</v>
      </c>
      <c r="BG54" s="93">
        <f t="shared" si="80"/>
        <v>0.2807257541939665</v>
      </c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>
        <v>19018</v>
      </c>
      <c r="BU54" s="54"/>
      <c r="BV54" s="91">
        <v>2737.9199999999996</v>
      </c>
      <c r="BW54" s="91">
        <v>2116.6799999999998</v>
      </c>
      <c r="BX54" s="91">
        <f>'META  EM PEÇAS'!U36-('META  EM PEÇAS'!U36*0.05)</f>
        <v>2379.2655</v>
      </c>
      <c r="BY54" s="91">
        <f>'META  EM PEÇAS'!V36-('META  EM PEÇAS'!V36*0.05)</f>
        <v>2205.2159999999999</v>
      </c>
      <c r="BZ54" s="91">
        <f>'META  EM PEÇAS'!W36-('META  EM PEÇAS'!W36*0.05)</f>
        <v>2474.6834999999996</v>
      </c>
      <c r="CA54" s="91">
        <f>'META  EM PEÇAS'!X36-('META  EM PEÇAS'!X36*0.05)</f>
        <v>2980.0454999999997</v>
      </c>
      <c r="CB54" s="91">
        <f>'META  EM PEÇAS'!Y36-('META  EM PEÇAS'!Y36*0.05)</f>
        <v>3584.3594999999996</v>
      </c>
      <c r="CC54" s="91">
        <f>'META  EM PEÇAS'!Z36-('META  EM PEÇAS'!Z36*0.05)</f>
        <v>2396.0519999999997</v>
      </c>
      <c r="CD54" s="91">
        <f>'META  EM PEÇAS'!AA36-('META  EM PEÇAS'!AA36*0.05)</f>
        <v>2485.2854999999995</v>
      </c>
      <c r="CE54" s="91">
        <f>'META  EM PEÇAS'!AB36-('META  EM PEÇAS'!AB36*0.05)</f>
        <v>2696.4419999999996</v>
      </c>
      <c r="CF54" s="91">
        <f>'META  EM PEÇAS'!AC36-('META  EM PEÇAS'!AC36*0.05)</f>
        <v>3454.4849999999997</v>
      </c>
      <c r="CG54" s="91">
        <f>'META  EM PEÇAS'!AD36-('META  EM PEÇAS'!AD36*0.05)</f>
        <v>4868.0849999999991</v>
      </c>
      <c r="CH54" s="91">
        <f t="shared" si="81"/>
        <v>34378.519499999995</v>
      </c>
      <c r="CJ54" s="91">
        <v>2737.9199999999996</v>
      </c>
      <c r="CK54" s="91">
        <v>2116.6799999999998</v>
      </c>
      <c r="CL54" s="91">
        <v>2379.2655</v>
      </c>
      <c r="CM54" s="91">
        <v>2205.2159999999999</v>
      </c>
      <c r="CN54" s="91">
        <v>2474.6834999999996</v>
      </c>
      <c r="CO54" s="91">
        <v>2980.0454999999997</v>
      </c>
      <c r="CP54" s="91">
        <v>3584.3594999999996</v>
      </c>
      <c r="CQ54" s="91">
        <v>2396.0519999999997</v>
      </c>
      <c r="CR54" s="91">
        <v>2485.2854999999995</v>
      </c>
      <c r="CS54" s="91">
        <v>2696.4419999999996</v>
      </c>
      <c r="CT54" s="91">
        <v>3454.4849999999997</v>
      </c>
      <c r="CU54" s="91">
        <v>4868.0849999999991</v>
      </c>
      <c r="CV54" s="91">
        <v>34378.519499999995</v>
      </c>
      <c r="CW54" s="758"/>
      <c r="CX54" s="884">
        <v>2737.9199999999996</v>
      </c>
      <c r="CY54" s="884">
        <v>2116.6799999999998</v>
      </c>
      <c r="CZ54" s="884">
        <v>2379.2655</v>
      </c>
      <c r="DA54" s="884">
        <v>2205.2159999999999</v>
      </c>
      <c r="DB54" s="884">
        <v>2474.6834999999996</v>
      </c>
      <c r="DC54" s="884">
        <v>2980.0454999999997</v>
      </c>
      <c r="DD54" s="884">
        <v>3584.3594999999996</v>
      </c>
      <c r="DE54" s="884">
        <v>2396.0519999999997</v>
      </c>
      <c r="DF54" s="884">
        <v>2485.2854999999995</v>
      </c>
      <c r="DG54" s="884">
        <v>2696.4419999999996</v>
      </c>
      <c r="DH54" s="884">
        <v>3454.4849999999997</v>
      </c>
      <c r="DI54" s="884">
        <v>4868.0849999999991</v>
      </c>
      <c r="DJ54" s="91">
        <v>34378.519499999995</v>
      </c>
      <c r="DK54" s="948"/>
      <c r="DL54" s="884">
        <v>2737.9199999999996</v>
      </c>
      <c r="DM54" s="884">
        <v>2116.6799999999998</v>
      </c>
      <c r="DN54" s="884">
        <v>2379.2655</v>
      </c>
      <c r="DO54" s="884">
        <v>2205.2159999999999</v>
      </c>
      <c r="DP54" s="884">
        <v>2474.6834999999996</v>
      </c>
      <c r="DQ54" s="884">
        <v>2980.0454999999997</v>
      </c>
      <c r="DR54" s="884">
        <v>3584.3594999999996</v>
      </c>
      <c r="DS54" s="884">
        <v>2396.0519999999997</v>
      </c>
      <c r="DT54" s="884">
        <v>2485.2854999999995</v>
      </c>
      <c r="DU54" s="884">
        <v>2696.4419999999996</v>
      </c>
      <c r="DV54" s="884">
        <v>3454.4849999999997</v>
      </c>
      <c r="DW54" s="884">
        <v>4868.0849999999991</v>
      </c>
      <c r="DX54" s="91">
        <v>34378.519499999995</v>
      </c>
    </row>
    <row r="55" spans="1:128" ht="15" hidden="1" customHeight="1" outlineLevel="1">
      <c r="A55" s="94">
        <v>15</v>
      </c>
      <c r="B55" s="921" t="s">
        <v>70</v>
      </c>
      <c r="C55" s="923"/>
      <c r="D55" s="313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314"/>
      <c r="Q55" s="90"/>
      <c r="R55" s="313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  <c r="Z55" s="91">
        <v>2000</v>
      </c>
      <c r="AA55" s="91">
        <v>800</v>
      </c>
      <c r="AB55" s="91">
        <v>800</v>
      </c>
      <c r="AC55" s="91">
        <v>1500</v>
      </c>
      <c r="AD55" s="315">
        <f t="shared" si="77"/>
        <v>5100</v>
      </c>
      <c r="AE55" s="23"/>
      <c r="AF55" s="316">
        <v>1800</v>
      </c>
      <c r="AG55" s="91">
        <v>1200</v>
      </c>
      <c r="AH55" s="91">
        <f>1800*0.4</f>
        <v>720</v>
      </c>
      <c r="AI55" s="91">
        <v>1147</v>
      </c>
      <c r="AJ55" s="91">
        <v>1155</v>
      </c>
      <c r="AK55" s="91">
        <v>1600</v>
      </c>
      <c r="AL55" s="91">
        <v>1800</v>
      </c>
      <c r="AM55" s="91">
        <v>2000</v>
      </c>
      <c r="AN55" s="91">
        <v>2000</v>
      </c>
      <c r="AO55" s="91">
        <v>2000</v>
      </c>
      <c r="AP55" s="91">
        <v>2200</v>
      </c>
      <c r="AQ55" s="91">
        <v>3200</v>
      </c>
      <c r="AR55" s="92">
        <f t="shared" si="78"/>
        <v>20822</v>
      </c>
      <c r="AS55" s="23"/>
      <c r="AT55" s="91">
        <v>1544</v>
      </c>
      <c r="AU55" s="91">
        <v>1544</v>
      </c>
      <c r="AV55" s="91">
        <v>1544</v>
      </c>
      <c r="AW55" s="91">
        <v>1544</v>
      </c>
      <c r="AX55" s="317">
        <v>862</v>
      </c>
      <c r="AY55" s="317">
        <v>862</v>
      </c>
      <c r="AZ55" s="317">
        <v>823</v>
      </c>
      <c r="BA55" s="317">
        <v>823</v>
      </c>
      <c r="BB55" s="317">
        <v>862</v>
      </c>
      <c r="BC55" s="317">
        <v>1019</v>
      </c>
      <c r="BD55" s="317">
        <v>1098</v>
      </c>
      <c r="BE55" s="317">
        <v>1568</v>
      </c>
      <c r="BF55" s="91">
        <f t="shared" si="79"/>
        <v>14093</v>
      </c>
      <c r="BG55" s="93">
        <f t="shared" si="80"/>
        <v>-0.32316780328498707</v>
      </c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>
        <v>21133</v>
      </c>
      <c r="BU55" s="54"/>
      <c r="BV55" s="91">
        <v>3593.52</v>
      </c>
      <c r="BW55" s="91">
        <v>2776.98</v>
      </c>
      <c r="BX55" s="91">
        <f>'META  EM PEÇAS'!U38-('META  EM PEÇAS'!U38*0.05)</f>
        <v>3122.2889999999998</v>
      </c>
      <c r="BY55" s="91">
        <f>'META  EM PEÇAS'!V38-('META  EM PEÇAS'!V38*0.05)</f>
        <v>2893.4625000000001</v>
      </c>
      <c r="BZ55" s="91">
        <f>'META  EM PEÇAS'!W38-('META  EM PEÇAS'!W38*0.05)</f>
        <v>3247.7459999999996</v>
      </c>
      <c r="CA55" s="91">
        <f>'META  EM PEÇAS'!X38-('META  EM PEÇAS'!X38*0.05)</f>
        <v>3910.3709999999992</v>
      </c>
      <c r="CB55" s="91">
        <f>'META  EM PEÇAS'!Y38-('META  EM PEÇAS'!Y38*0.05)</f>
        <v>4703.7539999999999</v>
      </c>
      <c r="CC55" s="91">
        <f>'META  EM PEÇAS'!Z38-('META  EM PEÇAS'!Z38*0.05)</f>
        <v>3144.3764999999999</v>
      </c>
      <c r="CD55" s="91">
        <f>'META  EM PEÇAS'!AA38-('META  EM PEÇAS'!AA38*0.05)</f>
        <v>3260.9984999999997</v>
      </c>
      <c r="CE55" s="91">
        <f>'META  EM PEÇAS'!AB38-('META  EM PEÇAS'!AB38*0.05)</f>
        <v>3539.3009999999999</v>
      </c>
      <c r="CF55" s="91">
        <f>'META  EM PEÇAS'!AC38-('META  EM PEÇAS'!AC38*0.05)</f>
        <v>4533.2384999999995</v>
      </c>
      <c r="CG55" s="91">
        <f>'META  EM PEÇAS'!AD38-('META  EM PEÇAS'!AD38*0.05)</f>
        <v>6387.7049999999999</v>
      </c>
      <c r="CH55" s="91">
        <f t="shared" si="81"/>
        <v>45113.741999999998</v>
      </c>
      <c r="CJ55" s="91">
        <v>3593.52</v>
      </c>
      <c r="CK55" s="91">
        <v>2776.98</v>
      </c>
      <c r="CL55" s="91">
        <v>3122.2889999999998</v>
      </c>
      <c r="CM55" s="91">
        <v>2893.4625000000001</v>
      </c>
      <c r="CN55" s="91">
        <v>3247.7459999999996</v>
      </c>
      <c r="CO55" s="91">
        <v>3910.3709999999992</v>
      </c>
      <c r="CP55" s="91">
        <v>4703.7539999999999</v>
      </c>
      <c r="CQ55" s="91">
        <v>3144.3764999999999</v>
      </c>
      <c r="CR55" s="91">
        <v>3260.9984999999997</v>
      </c>
      <c r="CS55" s="91">
        <v>3539.3009999999999</v>
      </c>
      <c r="CT55" s="91">
        <v>4533.2384999999995</v>
      </c>
      <c r="CU55" s="91">
        <v>6387.7049999999999</v>
      </c>
      <c r="CV55" s="91">
        <v>45113.741999999998</v>
      </c>
      <c r="CW55" s="758"/>
      <c r="CX55" s="884">
        <v>3593.52</v>
      </c>
      <c r="CY55" s="884">
        <v>2776.98</v>
      </c>
      <c r="CZ55" s="884">
        <v>3122.2889999999998</v>
      </c>
      <c r="DA55" s="884">
        <v>2893.4625000000001</v>
      </c>
      <c r="DB55" s="884">
        <v>3247.7459999999996</v>
      </c>
      <c r="DC55" s="884">
        <v>3910.3709999999992</v>
      </c>
      <c r="DD55" s="884">
        <v>4703.7539999999999</v>
      </c>
      <c r="DE55" s="884">
        <v>3144.3764999999999</v>
      </c>
      <c r="DF55" s="884">
        <v>3260.9984999999997</v>
      </c>
      <c r="DG55" s="884">
        <v>3539.3009999999999</v>
      </c>
      <c r="DH55" s="884">
        <v>4533.2384999999995</v>
      </c>
      <c r="DI55" s="884">
        <v>6387.7049999999999</v>
      </c>
      <c r="DJ55" s="91">
        <v>45113.741999999998</v>
      </c>
      <c r="DK55" s="948"/>
      <c r="DL55" s="884">
        <v>3593.52</v>
      </c>
      <c r="DM55" s="884">
        <v>2776.98</v>
      </c>
      <c r="DN55" s="884">
        <v>3122.2889999999998</v>
      </c>
      <c r="DO55" s="884">
        <v>2893.4625000000001</v>
      </c>
      <c r="DP55" s="884">
        <v>3247.7459999999996</v>
      </c>
      <c r="DQ55" s="884">
        <v>3910.3709999999992</v>
      </c>
      <c r="DR55" s="884">
        <v>4703.7539999999999</v>
      </c>
      <c r="DS55" s="884">
        <v>3144.3764999999999</v>
      </c>
      <c r="DT55" s="884">
        <v>3260.9984999999997</v>
      </c>
      <c r="DU55" s="884">
        <v>3539.3009999999999</v>
      </c>
      <c r="DV55" s="884">
        <v>4533.2384999999995</v>
      </c>
      <c r="DW55" s="884">
        <v>6387.7049999999999</v>
      </c>
      <c r="DX55" s="91">
        <v>45113.741999999998</v>
      </c>
    </row>
    <row r="56" spans="1:128" ht="15" hidden="1" customHeight="1" outlineLevel="1">
      <c r="A56" s="94">
        <v>16</v>
      </c>
      <c r="B56" s="924" t="s">
        <v>71</v>
      </c>
      <c r="C56" s="923"/>
      <c r="D56" s="313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314"/>
      <c r="Q56" s="90"/>
      <c r="R56" s="313"/>
      <c r="S56" s="91"/>
      <c r="T56" s="91"/>
      <c r="U56" s="91"/>
      <c r="V56" s="91"/>
      <c r="W56" s="91"/>
      <c r="X56" s="91"/>
      <c r="Y56" s="91"/>
      <c r="Z56" s="91"/>
      <c r="AA56" s="91">
        <v>800</v>
      </c>
      <c r="AB56" s="91">
        <v>800</v>
      </c>
      <c r="AC56" s="91">
        <v>1500</v>
      </c>
      <c r="AD56" s="315"/>
      <c r="AE56" s="23"/>
      <c r="AF56" s="316">
        <v>1500</v>
      </c>
      <c r="AG56" s="91">
        <v>1200</v>
      </c>
      <c r="AH56" s="91">
        <f>1500*0.15</f>
        <v>225</v>
      </c>
      <c r="AI56" s="91">
        <v>192</v>
      </c>
      <c r="AJ56" s="91">
        <v>663</v>
      </c>
      <c r="AK56" s="91">
        <v>800</v>
      </c>
      <c r="AL56" s="91">
        <v>1500</v>
      </c>
      <c r="AM56" s="91">
        <v>1000</v>
      </c>
      <c r="AN56" s="91">
        <v>1000</v>
      </c>
      <c r="AO56" s="91">
        <v>1000</v>
      </c>
      <c r="AP56" s="91">
        <v>1100</v>
      </c>
      <c r="AQ56" s="91">
        <v>1600</v>
      </c>
      <c r="AR56" s="92">
        <f t="shared" si="78"/>
        <v>11780</v>
      </c>
      <c r="AS56" s="23"/>
      <c r="AT56" s="91">
        <v>960</v>
      </c>
      <c r="AU56" s="91">
        <v>960</v>
      </c>
      <c r="AV56" s="91">
        <v>960</v>
      </c>
      <c r="AW56" s="91">
        <v>960</v>
      </c>
      <c r="AX56" s="317">
        <v>1414</v>
      </c>
      <c r="AY56" s="317">
        <v>1414</v>
      </c>
      <c r="AZ56" s="317">
        <v>1350</v>
      </c>
      <c r="BA56" s="317">
        <v>1350</v>
      </c>
      <c r="BB56" s="317">
        <v>1414</v>
      </c>
      <c r="BC56" s="317">
        <v>1671</v>
      </c>
      <c r="BD56" s="317">
        <v>1800</v>
      </c>
      <c r="BE56" s="317">
        <v>2571</v>
      </c>
      <c r="BF56" s="91">
        <f t="shared" si="79"/>
        <v>16824</v>
      </c>
      <c r="BG56" s="93">
        <f t="shared" si="80"/>
        <v>0.42818336162988113</v>
      </c>
      <c r="BH56" s="91">
        <v>900</v>
      </c>
      <c r="BI56" s="91">
        <v>643</v>
      </c>
      <c r="BJ56" s="91">
        <v>891</v>
      </c>
      <c r="BK56" s="91">
        <v>679</v>
      </c>
      <c r="BL56" s="91">
        <v>940</v>
      </c>
      <c r="BM56" s="91">
        <v>948</v>
      </c>
      <c r="BN56" s="91">
        <v>1124</v>
      </c>
      <c r="BO56" s="91">
        <v>913</v>
      </c>
      <c r="BP56" s="91">
        <v>911</v>
      </c>
      <c r="BQ56" s="91">
        <v>898</v>
      </c>
      <c r="BR56" s="91">
        <v>1465</v>
      </c>
      <c r="BS56" s="91">
        <v>1278</v>
      </c>
      <c r="BT56" s="91">
        <f>SUM(BH56:BS56)</f>
        <v>11590</v>
      </c>
      <c r="BU56" s="54"/>
      <c r="BV56" s="91">
        <f>'META  EM PEÇAS'!T47</f>
        <v>1749.7324726431702</v>
      </c>
      <c r="BW56" s="91">
        <f>'META  EM PEÇAS'!T48</f>
        <v>1701.1287928475265</v>
      </c>
      <c r="BX56" s="91">
        <f>'META  EM PEÇAS'!T49</f>
        <v>1846.9398322344578</v>
      </c>
      <c r="BY56" s="91">
        <f>'META  EM PEÇAS'!T50</f>
        <v>1701.1287928475265</v>
      </c>
      <c r="BZ56" s="91">
        <f>'META  EM PEÇAS'!T51</f>
        <v>1846.9398322344578</v>
      </c>
      <c r="CA56" s="91">
        <f>'META  EM PEÇAS'!T52</f>
        <v>1749.7324726431702</v>
      </c>
      <c r="CB56" s="91">
        <f>'META  EM PEÇAS'!T53</f>
        <v>2138.5619110083194</v>
      </c>
      <c r="CC56" s="91">
        <f>'META  EM PEÇAS'!T54</f>
        <v>1749.7324726431702</v>
      </c>
      <c r="CD56" s="91">
        <f>'META  EM PEÇAS'!T55</f>
        <v>1749.7324726431702</v>
      </c>
      <c r="CE56" s="91">
        <f>'META  EM PEÇAS'!T56</f>
        <v>1749.7324726431702</v>
      </c>
      <c r="CF56" s="91">
        <f>'META  EM PEÇAS'!T57</f>
        <v>2721.8060685560426</v>
      </c>
      <c r="CG56" s="91">
        <f>'META  EM PEÇAS'!T58</f>
        <v>1944.1471918257448</v>
      </c>
      <c r="CH56" s="91">
        <f t="shared" si="81"/>
        <v>22649.314784769926</v>
      </c>
      <c r="CJ56" s="91">
        <v>1749.7324726431702</v>
      </c>
      <c r="CK56" s="91">
        <v>1701.1287928475265</v>
      </c>
      <c r="CL56" s="91">
        <v>1846.9398322344578</v>
      </c>
      <c r="CM56" s="91">
        <v>1701.1287928475265</v>
      </c>
      <c r="CN56" s="91">
        <v>1846.9398322344578</v>
      </c>
      <c r="CO56" s="91">
        <v>1749.7324726431702</v>
      </c>
      <c r="CP56" s="91">
        <v>2138.5619110083194</v>
      </c>
      <c r="CQ56" s="91">
        <v>1749.7324726431702</v>
      </c>
      <c r="CR56" s="91">
        <v>1749.7324726431702</v>
      </c>
      <c r="CS56" s="91">
        <v>1749.7324726431702</v>
      </c>
      <c r="CT56" s="91">
        <v>2721.8060685560426</v>
      </c>
      <c r="CU56" s="91">
        <v>1944.1471918257448</v>
      </c>
      <c r="CV56" s="91">
        <v>22649.314784769926</v>
      </c>
      <c r="CW56" s="758"/>
      <c r="CX56" s="884">
        <v>1749.7324726431702</v>
      </c>
      <c r="CY56" s="884">
        <v>1701.1287928475265</v>
      </c>
      <c r="CZ56" s="884">
        <v>1846.9398322344578</v>
      </c>
      <c r="DA56" s="884">
        <v>1701.1287928475265</v>
      </c>
      <c r="DB56" s="884">
        <v>1846.9398322344578</v>
      </c>
      <c r="DC56" s="884">
        <v>1749.7324726431702</v>
      </c>
      <c r="DD56" s="884">
        <v>2138.5619110083194</v>
      </c>
      <c r="DE56" s="884">
        <v>1749.7324726431702</v>
      </c>
      <c r="DF56" s="884">
        <v>1749.7324726431702</v>
      </c>
      <c r="DG56" s="884">
        <v>1749.7324726431702</v>
      </c>
      <c r="DH56" s="884">
        <v>2721.8060685560426</v>
      </c>
      <c r="DI56" s="884">
        <v>1944.1471918257448</v>
      </c>
      <c r="DJ56" s="91">
        <v>22649.314784769926</v>
      </c>
      <c r="DK56" s="948"/>
      <c r="DL56" s="884">
        <v>1749.7324726431702</v>
      </c>
      <c r="DM56" s="884">
        <v>1701.1287928475265</v>
      </c>
      <c r="DN56" s="884">
        <v>1846.9398322344578</v>
      </c>
      <c r="DO56" s="884">
        <v>1701.1287928475265</v>
      </c>
      <c r="DP56" s="884">
        <v>1846.9398322344578</v>
      </c>
      <c r="DQ56" s="884">
        <v>1749.7324726431702</v>
      </c>
      <c r="DR56" s="884">
        <v>2138.5619110083194</v>
      </c>
      <c r="DS56" s="884">
        <v>1749.7324726431702</v>
      </c>
      <c r="DT56" s="884">
        <v>1749.7324726431702</v>
      </c>
      <c r="DU56" s="884">
        <v>1749.7324726431702</v>
      </c>
      <c r="DV56" s="884">
        <v>2721.8060685560426</v>
      </c>
      <c r="DW56" s="884">
        <v>1944.1471918257448</v>
      </c>
      <c r="DX56" s="91">
        <v>22649.314784769926</v>
      </c>
    </row>
    <row r="57" spans="1:128" ht="15" hidden="1" customHeight="1" outlineLevel="1">
      <c r="A57" s="94"/>
      <c r="B57" s="921"/>
      <c r="C57" s="925"/>
      <c r="D57" s="313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314"/>
      <c r="Q57" s="90"/>
      <c r="R57" s="313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315"/>
      <c r="AE57" s="23"/>
      <c r="AF57" s="316">
        <v>0</v>
      </c>
      <c r="AG57" s="91">
        <v>0</v>
      </c>
      <c r="AH57" s="91">
        <v>0</v>
      </c>
      <c r="AI57" s="91">
        <v>0</v>
      </c>
      <c r="AJ57" s="91">
        <v>0</v>
      </c>
      <c r="AK57" s="91">
        <v>400</v>
      </c>
      <c r="AL57" s="91">
        <v>500</v>
      </c>
      <c r="AM57" s="91">
        <v>500</v>
      </c>
      <c r="AN57" s="91">
        <v>600</v>
      </c>
      <c r="AO57" s="91">
        <v>600</v>
      </c>
      <c r="AP57" s="91">
        <v>660</v>
      </c>
      <c r="AQ57" s="91">
        <v>960</v>
      </c>
      <c r="AR57" s="92">
        <f t="shared" si="78"/>
        <v>4220</v>
      </c>
      <c r="AS57" s="23"/>
      <c r="AT57" s="91">
        <v>960</v>
      </c>
      <c r="AU57" s="91">
        <v>960</v>
      </c>
      <c r="AV57" s="91">
        <v>960</v>
      </c>
      <c r="AW57" s="91">
        <v>960</v>
      </c>
      <c r="AX57" s="317">
        <v>580</v>
      </c>
      <c r="AY57" s="317">
        <v>580</v>
      </c>
      <c r="AZ57" s="317">
        <v>554</v>
      </c>
      <c r="BA57" s="317">
        <v>554</v>
      </c>
      <c r="BB57" s="317">
        <v>580</v>
      </c>
      <c r="BC57" s="317">
        <v>686</v>
      </c>
      <c r="BD57" s="317">
        <v>739</v>
      </c>
      <c r="BE57" s="317">
        <v>1055</v>
      </c>
      <c r="BF57" s="91">
        <f t="shared" si="79"/>
        <v>9168</v>
      </c>
      <c r="BG57" s="93">
        <f t="shared" si="80"/>
        <v>1.172511848341232</v>
      </c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54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758"/>
      <c r="CX57" s="884"/>
      <c r="CY57" s="884"/>
      <c r="CZ57" s="884"/>
      <c r="DA57" s="884"/>
      <c r="DB57" s="884"/>
      <c r="DC57" s="884"/>
      <c r="DD57" s="884"/>
      <c r="DE57" s="884"/>
      <c r="DF57" s="884"/>
      <c r="DG57" s="884"/>
      <c r="DH57" s="884"/>
      <c r="DI57" s="884"/>
      <c r="DJ57" s="91"/>
      <c r="DK57" s="948"/>
      <c r="DL57" s="884"/>
      <c r="DM57" s="884"/>
      <c r="DN57" s="884"/>
      <c r="DO57" s="884"/>
      <c r="DP57" s="884"/>
      <c r="DQ57" s="884"/>
      <c r="DR57" s="884"/>
      <c r="DS57" s="884"/>
      <c r="DT57" s="884"/>
      <c r="DU57" s="884"/>
      <c r="DV57" s="884"/>
      <c r="DW57" s="884"/>
      <c r="DX57" s="91"/>
    </row>
    <row r="58" spans="1:128" ht="15" hidden="1" customHeight="1" outlineLevel="1">
      <c r="A58" s="95"/>
      <c r="B58" s="924"/>
      <c r="C58" s="926"/>
      <c r="D58" s="421"/>
      <c r="E58" s="422"/>
      <c r="F58" s="422"/>
      <c r="G58" s="422"/>
      <c r="H58" s="422"/>
      <c r="I58" s="422"/>
      <c r="J58" s="422"/>
      <c r="K58" s="422"/>
      <c r="L58" s="422"/>
      <c r="M58" s="422"/>
      <c r="N58" s="422"/>
      <c r="O58" s="422"/>
      <c r="P58" s="423"/>
      <c r="Q58" s="424"/>
      <c r="R58" s="421"/>
      <c r="S58" s="425"/>
      <c r="T58" s="425"/>
      <c r="U58" s="425"/>
      <c r="V58" s="425"/>
      <c r="W58" s="425"/>
      <c r="X58" s="425"/>
      <c r="Y58" s="425"/>
      <c r="Z58" s="425"/>
      <c r="AA58" s="425"/>
      <c r="AB58" s="425"/>
      <c r="AC58" s="425"/>
      <c r="AD58" s="426"/>
      <c r="AE58" s="427"/>
      <c r="AF58" s="428">
        <v>0</v>
      </c>
      <c r="AG58" s="425">
        <v>0</v>
      </c>
      <c r="AH58" s="425">
        <v>0</v>
      </c>
      <c r="AI58" s="425">
        <v>0</v>
      </c>
      <c r="AJ58" s="425">
        <v>0</v>
      </c>
      <c r="AK58" s="425">
        <v>0</v>
      </c>
      <c r="AL58" s="425">
        <v>2500</v>
      </c>
      <c r="AM58" s="425">
        <v>2000</v>
      </c>
      <c r="AN58" s="425">
        <v>500</v>
      </c>
      <c r="AO58" s="425">
        <v>600</v>
      </c>
      <c r="AP58" s="425">
        <v>660</v>
      </c>
      <c r="AQ58" s="425">
        <v>960</v>
      </c>
      <c r="AR58" s="429">
        <f t="shared" si="78"/>
        <v>7220</v>
      </c>
      <c r="AS58" s="23"/>
      <c r="AT58" s="425">
        <v>1518</v>
      </c>
      <c r="AU58" s="425">
        <v>1518</v>
      </c>
      <c r="AV58" s="425">
        <v>1518</v>
      </c>
      <c r="AW58" s="425">
        <v>1518</v>
      </c>
      <c r="AX58" s="317">
        <v>1943</v>
      </c>
      <c r="AY58" s="317">
        <v>1943</v>
      </c>
      <c r="AZ58" s="317">
        <v>1854</v>
      </c>
      <c r="BA58" s="317">
        <v>1854</v>
      </c>
      <c r="BB58" s="317">
        <v>1943</v>
      </c>
      <c r="BC58" s="317">
        <v>2296</v>
      </c>
      <c r="BD58" s="317">
        <v>2472</v>
      </c>
      <c r="BE58" s="317">
        <v>3532</v>
      </c>
      <c r="BF58" s="425">
        <f t="shared" si="79"/>
        <v>23909</v>
      </c>
      <c r="BG58" s="93">
        <f t="shared" si="80"/>
        <v>2.3114958448753464</v>
      </c>
      <c r="BH58" s="425"/>
      <c r="BI58" s="425"/>
      <c r="BJ58" s="425"/>
      <c r="BK58" s="425"/>
      <c r="BL58" s="91"/>
      <c r="BM58" s="91"/>
      <c r="BN58" s="91"/>
      <c r="BO58" s="91"/>
      <c r="BP58" s="91"/>
      <c r="BQ58" s="91"/>
      <c r="BR58" s="91"/>
      <c r="BS58" s="91"/>
      <c r="BT58" s="91"/>
      <c r="BU58" s="54"/>
      <c r="BV58" s="425"/>
      <c r="BW58" s="425"/>
      <c r="BX58" s="425"/>
      <c r="BY58" s="425"/>
      <c r="BZ58" s="91"/>
      <c r="CA58" s="91"/>
      <c r="CB58" s="91"/>
      <c r="CC58" s="91"/>
      <c r="CD58" s="91"/>
      <c r="CE58" s="91"/>
      <c r="CF58" s="91"/>
      <c r="CG58" s="91"/>
      <c r="CH58" s="91"/>
      <c r="CJ58" s="425"/>
      <c r="CK58" s="425"/>
      <c r="CL58" s="425"/>
      <c r="CM58" s="425"/>
      <c r="CN58" s="91"/>
      <c r="CO58" s="91"/>
      <c r="CP58" s="91"/>
      <c r="CQ58" s="91"/>
      <c r="CR58" s="91"/>
      <c r="CS58" s="91"/>
      <c r="CT58" s="91"/>
      <c r="CU58" s="91"/>
      <c r="CV58" s="91"/>
      <c r="CW58" s="758"/>
      <c r="CX58" s="885"/>
      <c r="CY58" s="885"/>
      <c r="CZ58" s="885"/>
      <c r="DA58" s="885"/>
      <c r="DB58" s="884"/>
      <c r="DC58" s="884"/>
      <c r="DD58" s="884"/>
      <c r="DE58" s="884"/>
      <c r="DF58" s="884"/>
      <c r="DG58" s="884"/>
      <c r="DH58" s="884"/>
      <c r="DI58" s="884"/>
      <c r="DJ58" s="91"/>
      <c r="DK58" s="948"/>
      <c r="DL58" s="885"/>
      <c r="DM58" s="885"/>
      <c r="DN58" s="885"/>
      <c r="DO58" s="885"/>
      <c r="DP58" s="884"/>
      <c r="DQ58" s="884"/>
      <c r="DR58" s="884"/>
      <c r="DS58" s="884"/>
      <c r="DT58" s="884"/>
      <c r="DU58" s="884"/>
      <c r="DV58" s="884"/>
      <c r="DW58" s="884"/>
      <c r="DX58" s="91"/>
    </row>
    <row r="59" spans="1:128" ht="15" hidden="1" customHeight="1" outlineLevel="1">
      <c r="A59" s="434"/>
      <c r="B59" s="1075"/>
      <c r="C59" s="1076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6"/>
      <c r="AF59" s="437">
        <v>0</v>
      </c>
      <c r="AG59" s="437">
        <v>0</v>
      </c>
      <c r="AH59" s="437">
        <v>0</v>
      </c>
      <c r="AI59" s="437">
        <v>0</v>
      </c>
      <c r="AJ59" s="437">
        <v>0</v>
      </c>
      <c r="AK59" s="437">
        <v>0</v>
      </c>
      <c r="AL59" s="437">
        <v>0</v>
      </c>
      <c r="AM59" s="437">
        <v>0</v>
      </c>
      <c r="AN59" s="437">
        <v>0</v>
      </c>
      <c r="AO59" s="437">
        <v>0</v>
      </c>
      <c r="AP59" s="437">
        <v>0</v>
      </c>
      <c r="AQ59" s="437">
        <v>0</v>
      </c>
      <c r="AR59" s="438">
        <f t="shared" si="78"/>
        <v>0</v>
      </c>
      <c r="AS59" s="322"/>
      <c r="AT59" s="437">
        <v>0</v>
      </c>
      <c r="AU59" s="437">
        <v>0</v>
      </c>
      <c r="AV59" s="437">
        <v>0</v>
      </c>
      <c r="AW59" s="437">
        <v>0</v>
      </c>
      <c r="AX59" s="439">
        <v>800</v>
      </c>
      <c r="AY59" s="317">
        <v>800</v>
      </c>
      <c r="AZ59" s="317">
        <v>800</v>
      </c>
      <c r="BA59" s="317">
        <v>1050</v>
      </c>
      <c r="BB59" s="317">
        <v>1100</v>
      </c>
      <c r="BC59" s="317">
        <v>1300</v>
      </c>
      <c r="BD59" s="317">
        <v>1400</v>
      </c>
      <c r="BE59" s="440">
        <v>2000</v>
      </c>
      <c r="BF59" s="437">
        <f t="shared" si="79"/>
        <v>9250</v>
      </c>
      <c r="BG59" s="325" t="e">
        <f t="shared" si="80"/>
        <v>#DIV/0!</v>
      </c>
      <c r="BH59" s="437"/>
      <c r="BI59" s="437"/>
      <c r="BJ59" s="437"/>
      <c r="BK59" s="437"/>
      <c r="BL59" s="439"/>
      <c r="BM59" s="317"/>
      <c r="BN59" s="317"/>
      <c r="BO59" s="317"/>
      <c r="BP59" s="317"/>
      <c r="BQ59" s="317"/>
      <c r="BR59" s="317"/>
      <c r="BS59" s="317"/>
      <c r="BT59" s="317"/>
      <c r="BU59" s="326"/>
      <c r="BV59" s="443"/>
      <c r="BW59" s="443"/>
      <c r="BX59" s="443"/>
      <c r="BY59" s="443"/>
      <c r="BZ59" s="444"/>
      <c r="CA59" s="317"/>
      <c r="CB59" s="317"/>
      <c r="CC59" s="317"/>
      <c r="CD59" s="317"/>
      <c r="CE59" s="317"/>
      <c r="CF59" s="317"/>
      <c r="CG59" s="317"/>
      <c r="CH59" s="317"/>
      <c r="CJ59" s="443"/>
      <c r="CK59" s="443"/>
      <c r="CL59" s="443"/>
      <c r="CM59" s="443"/>
      <c r="CN59" s="444"/>
      <c r="CO59" s="317"/>
      <c r="CP59" s="317"/>
      <c r="CQ59" s="317"/>
      <c r="CR59" s="317"/>
      <c r="CS59" s="317"/>
      <c r="CT59" s="317"/>
      <c r="CU59" s="317"/>
      <c r="CV59" s="317"/>
      <c r="CW59" s="758"/>
      <c r="CX59" s="886"/>
      <c r="CY59" s="886"/>
      <c r="CZ59" s="886"/>
      <c r="DA59" s="886"/>
      <c r="DB59" s="887"/>
      <c r="DC59" s="888"/>
      <c r="DD59" s="888"/>
      <c r="DE59" s="888"/>
      <c r="DF59" s="888"/>
      <c r="DG59" s="888"/>
      <c r="DH59" s="888"/>
      <c r="DI59" s="888"/>
      <c r="DJ59" s="317"/>
      <c r="DK59" s="948"/>
      <c r="DL59" s="886"/>
      <c r="DM59" s="886"/>
      <c r="DN59" s="886"/>
      <c r="DO59" s="886"/>
      <c r="DP59" s="887"/>
      <c r="DQ59" s="888"/>
      <c r="DR59" s="888"/>
      <c r="DS59" s="888"/>
      <c r="DT59" s="888"/>
      <c r="DU59" s="888"/>
      <c r="DV59" s="888"/>
      <c r="DW59" s="888"/>
      <c r="DX59" s="317"/>
    </row>
    <row r="60" spans="1:128" ht="15" hidden="1" customHeight="1" outlineLevel="1">
      <c r="A60" s="430"/>
      <c r="B60" s="927"/>
      <c r="C60" s="928"/>
      <c r="D60" s="424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32"/>
      <c r="T60" s="432"/>
      <c r="U60" s="432"/>
      <c r="V60" s="432"/>
      <c r="W60" s="432"/>
      <c r="X60" s="432"/>
      <c r="Y60" s="432"/>
      <c r="Z60" s="432"/>
      <c r="AA60" s="432"/>
      <c r="AB60" s="432"/>
      <c r="AC60" s="432"/>
      <c r="AD60" s="432"/>
      <c r="AE60" s="427"/>
      <c r="AF60" s="432"/>
      <c r="AG60" s="432"/>
      <c r="AH60" s="432"/>
      <c r="AI60" s="432"/>
      <c r="AJ60" s="432"/>
      <c r="AK60" s="432"/>
      <c r="AL60" s="432"/>
      <c r="AM60" s="432"/>
      <c r="AN60" s="432"/>
      <c r="AO60" s="432"/>
      <c r="AP60" s="432"/>
      <c r="AQ60" s="432"/>
      <c r="AR60" s="433"/>
      <c r="AS60" s="23"/>
      <c r="AT60" s="97"/>
      <c r="AU60" s="97"/>
      <c r="AV60" s="97"/>
      <c r="AW60" s="97"/>
      <c r="AX60" s="91"/>
      <c r="AY60" s="91"/>
      <c r="AZ60" s="91"/>
      <c r="BA60" s="91"/>
      <c r="BB60" s="91"/>
      <c r="BC60" s="91"/>
      <c r="BD60" s="91">
        <v>600</v>
      </c>
      <c r="BE60" s="315">
        <v>700</v>
      </c>
      <c r="BF60" s="437">
        <f t="shared" si="79"/>
        <v>1300</v>
      </c>
      <c r="BG60" s="93"/>
      <c r="BH60" s="442"/>
      <c r="BI60" s="442"/>
      <c r="BJ60" s="442"/>
      <c r="BK60" s="442"/>
      <c r="BL60" s="316"/>
      <c r="BM60" s="91"/>
      <c r="BN60" s="91"/>
      <c r="BO60" s="91"/>
      <c r="BP60" s="91"/>
      <c r="BQ60" s="91"/>
      <c r="BR60" s="91"/>
      <c r="BS60" s="91"/>
      <c r="BT60" s="91"/>
      <c r="BU60" s="54"/>
      <c r="BV60" s="442"/>
      <c r="BW60" s="442"/>
      <c r="BX60" s="442"/>
      <c r="BY60" s="442"/>
      <c r="BZ60" s="442"/>
      <c r="CA60" s="316"/>
      <c r="CB60" s="91">
        <v>60</v>
      </c>
      <c r="CC60" s="91"/>
      <c r="CD60" s="91"/>
      <c r="CE60" s="91"/>
      <c r="CF60" s="91"/>
      <c r="CG60" s="91"/>
      <c r="CH60" s="91"/>
      <c r="CJ60" s="708">
        <f>(CJ62-CJ61)/CJ61</f>
        <v>0.03</v>
      </c>
      <c r="CK60" s="708">
        <f t="shared" ref="CK60:CU60" si="85">(CK62-CK61)/CK61</f>
        <v>3.0000000000000079E-2</v>
      </c>
      <c r="CL60" s="708">
        <f t="shared" si="85"/>
        <v>3.0000000000000058E-2</v>
      </c>
      <c r="CM60" s="708">
        <f t="shared" si="85"/>
        <v>3.0000000000000034E-2</v>
      </c>
      <c r="CN60" s="708">
        <f t="shared" si="85"/>
        <v>3.000000000000011E-2</v>
      </c>
      <c r="CO60" s="708">
        <f t="shared" si="85"/>
        <v>3.000000000000012E-2</v>
      </c>
      <c r="CP60" s="708">
        <f t="shared" si="85"/>
        <v>3.0000000000000113E-2</v>
      </c>
      <c r="CQ60" s="708">
        <f t="shared" si="85"/>
        <v>3.0000000000000127E-2</v>
      </c>
      <c r="CR60" s="708">
        <f t="shared" si="85"/>
        <v>3.0000000000000068E-2</v>
      </c>
      <c r="CS60" s="708">
        <f t="shared" si="85"/>
        <v>2.9999999999999982E-2</v>
      </c>
      <c r="CT60" s="708">
        <f t="shared" si="85"/>
        <v>2.9999999999999961E-2</v>
      </c>
      <c r="CU60" s="708">
        <f t="shared" si="85"/>
        <v>0.03</v>
      </c>
      <c r="CV60" s="91"/>
      <c r="CW60" s="758"/>
      <c r="CX60" s="889"/>
      <c r="CY60" s="889"/>
      <c r="CZ60" s="889"/>
      <c r="DA60" s="889"/>
      <c r="DB60" s="889"/>
      <c r="DC60" s="890"/>
      <c r="DD60" s="884"/>
      <c r="DE60" s="884"/>
      <c r="DF60" s="884"/>
      <c r="DG60" s="884"/>
      <c r="DH60" s="884"/>
      <c r="DI60" s="884"/>
      <c r="DJ60" s="91"/>
      <c r="DK60" s="948"/>
      <c r="DL60" s="889"/>
      <c r="DM60" s="889"/>
      <c r="DN60" s="889"/>
      <c r="DO60" s="889"/>
      <c r="DP60" s="889"/>
      <c r="DQ60" s="890"/>
      <c r="DR60" s="884"/>
      <c r="DS60" s="884"/>
      <c r="DT60" s="884"/>
      <c r="DU60" s="884"/>
      <c r="DV60" s="884"/>
      <c r="DW60" s="884"/>
      <c r="DX60" s="91"/>
    </row>
    <row r="61" spans="1:128" ht="15" hidden="1" customHeight="1" outlineLevel="1">
      <c r="A61" s="95"/>
      <c r="B61" s="924" t="s">
        <v>71</v>
      </c>
      <c r="C61" s="922"/>
      <c r="D61" s="313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>
        <f t="shared" ref="P61:P62" si="86">SUM(D61:O61)</f>
        <v>0</v>
      </c>
      <c r="Q61" s="90"/>
      <c r="R61" s="313">
        <v>350</v>
      </c>
      <c r="S61" s="91">
        <v>350</v>
      </c>
      <c r="T61" s="91">
        <v>450</v>
      </c>
      <c r="U61" s="91">
        <v>800</v>
      </c>
      <c r="V61" s="91">
        <v>531</v>
      </c>
      <c r="W61" s="91">
        <v>750</v>
      </c>
      <c r="X61" s="91">
        <v>650</v>
      </c>
      <c r="Y61" s="91">
        <v>750</v>
      </c>
      <c r="Z61" s="91">
        <v>900</v>
      </c>
      <c r="AA61" s="91">
        <v>1000</v>
      </c>
      <c r="AB61" s="91">
        <v>1200</v>
      </c>
      <c r="AC61" s="91">
        <v>1500</v>
      </c>
      <c r="AD61" s="315">
        <f t="shared" ref="AD61:AD62" si="87">SUM(R61:AC61)</f>
        <v>9231</v>
      </c>
      <c r="AE61" s="23"/>
      <c r="AF61" s="316">
        <v>1500</v>
      </c>
      <c r="AG61" s="91">
        <v>800</v>
      </c>
      <c r="AH61" s="91">
        <v>800</v>
      </c>
      <c r="AI61" s="91">
        <v>1820</v>
      </c>
      <c r="AJ61" s="91">
        <v>1630</v>
      </c>
      <c r="AK61" s="91">
        <v>1360</v>
      </c>
      <c r="AL61" s="91">
        <v>1000</v>
      </c>
      <c r="AM61" s="91">
        <v>1700</v>
      </c>
      <c r="AN61" s="91">
        <v>1700</v>
      </c>
      <c r="AO61" s="91">
        <v>1700</v>
      </c>
      <c r="AP61" s="91">
        <v>1870</v>
      </c>
      <c r="AQ61" s="91">
        <v>2720</v>
      </c>
      <c r="AR61" s="92">
        <f t="shared" ref="AR61:AR62" si="88">SUM(AF61:AQ61)</f>
        <v>18600</v>
      </c>
      <c r="AS61" s="23"/>
      <c r="AT61" s="91">
        <v>2053</v>
      </c>
      <c r="AU61" s="91">
        <v>2053</v>
      </c>
      <c r="AV61" s="91">
        <v>2053</v>
      </c>
      <c r="AW61" s="91">
        <v>2053</v>
      </c>
      <c r="AX61" s="91">
        <v>2807</v>
      </c>
      <c r="AY61" s="91">
        <v>2807</v>
      </c>
      <c r="AZ61" s="91">
        <v>2680</v>
      </c>
      <c r="BA61" s="91">
        <v>2680</v>
      </c>
      <c r="BB61" s="91">
        <v>2807</v>
      </c>
      <c r="BC61" s="91">
        <v>3318</v>
      </c>
      <c r="BD61" s="91">
        <v>5870</v>
      </c>
      <c r="BE61" s="91">
        <v>5104</v>
      </c>
      <c r="BF61" s="441">
        <f t="shared" si="79"/>
        <v>36285</v>
      </c>
      <c r="BG61" s="93">
        <f>BF61/AR61-1</f>
        <v>0.95080645161290334</v>
      </c>
      <c r="BH61" s="441"/>
      <c r="BI61" s="441"/>
      <c r="BJ61" s="441"/>
      <c r="BK61" s="441"/>
      <c r="BL61" s="91"/>
      <c r="BM61" s="91"/>
      <c r="BN61" s="91"/>
      <c r="BO61" s="91"/>
      <c r="BP61" s="91"/>
      <c r="BQ61" s="91"/>
      <c r="BR61" s="91"/>
      <c r="BS61" s="91"/>
      <c r="BT61" s="91">
        <f>SUM(BH61:BS61)</f>
        <v>0</v>
      </c>
      <c r="BU61" s="54"/>
      <c r="BV61" s="441"/>
      <c r="BW61" s="441"/>
      <c r="BX61" s="441"/>
      <c r="BY61" s="441"/>
      <c r="BZ61" s="441"/>
      <c r="CA61" s="91"/>
      <c r="CB61" s="91"/>
      <c r="CC61" s="91"/>
      <c r="CD61" s="91"/>
      <c r="CE61" s="91"/>
      <c r="CF61" s="91"/>
      <c r="CG61" s="91"/>
      <c r="CH61" s="91"/>
      <c r="CJ61" s="441">
        <f>BV71</f>
        <v>38900</v>
      </c>
      <c r="CK61" s="441">
        <f t="shared" ref="CK61:CU61" si="89">BW71</f>
        <v>31376</v>
      </c>
      <c r="CL61" s="441">
        <f t="shared" si="89"/>
        <v>29886</v>
      </c>
      <c r="CM61" s="441">
        <f t="shared" si="89"/>
        <v>30671</v>
      </c>
      <c r="CN61" s="441">
        <f t="shared" si="89"/>
        <v>34553</v>
      </c>
      <c r="CO61" s="441">
        <f t="shared" si="89"/>
        <v>36515</v>
      </c>
      <c r="CP61" s="441">
        <f t="shared" si="89"/>
        <v>38915</v>
      </c>
      <c r="CQ61" s="441">
        <f t="shared" si="89"/>
        <v>34615</v>
      </c>
      <c r="CR61" s="441">
        <f t="shared" si="89"/>
        <v>29617</v>
      </c>
      <c r="CS61" s="441">
        <f t="shared" si="89"/>
        <v>34538</v>
      </c>
      <c r="CT61" s="441">
        <f t="shared" si="89"/>
        <v>45914</v>
      </c>
      <c r="CU61" s="441">
        <f t="shared" si="89"/>
        <v>60875</v>
      </c>
      <c r="CV61" s="91"/>
      <c r="CW61" s="758"/>
      <c r="CX61" s="891"/>
      <c r="CY61" s="891"/>
      <c r="CZ61" s="891"/>
      <c r="DA61" s="891"/>
      <c r="DB61" s="891"/>
      <c r="DC61" s="884"/>
      <c r="DD61" s="884"/>
      <c r="DE61" s="884"/>
      <c r="DF61" s="884"/>
      <c r="DG61" s="884"/>
      <c r="DH61" s="884"/>
      <c r="DI61" s="884"/>
      <c r="DJ61" s="91"/>
      <c r="DK61" s="948"/>
      <c r="DL61" s="891"/>
      <c r="DM61" s="891"/>
      <c r="DN61" s="891"/>
      <c r="DO61" s="891"/>
      <c r="DP61" s="891"/>
      <c r="DQ61" s="884"/>
      <c r="DR61" s="884"/>
      <c r="DS61" s="884"/>
      <c r="DT61" s="884"/>
      <c r="DU61" s="884"/>
      <c r="DV61" s="884"/>
      <c r="DW61" s="884"/>
      <c r="DX61" s="91"/>
    </row>
    <row r="62" spans="1:128" ht="18.75" hidden="1" collapsed="1">
      <c r="A62" s="55"/>
      <c r="B62" s="56" t="s">
        <v>123</v>
      </c>
      <c r="C62" s="753"/>
      <c r="D62" s="288">
        <f t="shared" ref="D62:O62" si="90">SUM(D41:D61)</f>
        <v>0</v>
      </c>
      <c r="E62" s="57">
        <f t="shared" si="90"/>
        <v>0</v>
      </c>
      <c r="F62" s="57">
        <f t="shared" si="90"/>
        <v>0</v>
      </c>
      <c r="G62" s="57">
        <f t="shared" si="90"/>
        <v>0</v>
      </c>
      <c r="H62" s="57">
        <f t="shared" si="90"/>
        <v>0</v>
      </c>
      <c r="I62" s="57">
        <f t="shared" si="90"/>
        <v>0</v>
      </c>
      <c r="J62" s="57">
        <f t="shared" si="90"/>
        <v>0</v>
      </c>
      <c r="K62" s="57">
        <f t="shared" si="90"/>
        <v>0</v>
      </c>
      <c r="L62" s="57">
        <f t="shared" si="90"/>
        <v>0</v>
      </c>
      <c r="M62" s="57">
        <f t="shared" si="90"/>
        <v>0</v>
      </c>
      <c r="N62" s="57">
        <f t="shared" si="90"/>
        <v>0</v>
      </c>
      <c r="O62" s="57">
        <f t="shared" si="90"/>
        <v>0</v>
      </c>
      <c r="P62" s="289">
        <f t="shared" si="86"/>
        <v>0</v>
      </c>
      <c r="Q62" s="39"/>
      <c r="R62" s="288">
        <f t="shared" ref="R62:AC62" si="91">SUM(R41:R61)</f>
        <v>20557.543859649122</v>
      </c>
      <c r="S62" s="58">
        <f t="shared" si="91"/>
        <v>20512.543859649122</v>
      </c>
      <c r="T62" s="58">
        <f t="shared" si="91"/>
        <v>13699.771929824561</v>
      </c>
      <c r="U62" s="58">
        <f t="shared" si="91"/>
        <v>912.5</v>
      </c>
      <c r="V62" s="58">
        <f t="shared" si="91"/>
        <v>16851</v>
      </c>
      <c r="W62" s="290">
        <f t="shared" si="91"/>
        <v>13700</v>
      </c>
      <c r="X62" s="290">
        <f t="shared" si="91"/>
        <v>26050</v>
      </c>
      <c r="Y62" s="290">
        <f t="shared" si="91"/>
        <v>27750</v>
      </c>
      <c r="Z62" s="290">
        <f t="shared" si="91"/>
        <v>31100</v>
      </c>
      <c r="AA62" s="290">
        <f t="shared" si="91"/>
        <v>32100</v>
      </c>
      <c r="AB62" s="290">
        <f t="shared" si="91"/>
        <v>37500</v>
      </c>
      <c r="AC62" s="290">
        <f t="shared" si="91"/>
        <v>45300</v>
      </c>
      <c r="AD62" s="291">
        <f t="shared" si="87"/>
        <v>286033.35964912281</v>
      </c>
      <c r="AE62" s="59"/>
      <c r="AF62" s="292">
        <f>SUM(AF41:AF61)</f>
        <v>38500</v>
      </c>
      <c r="AG62" s="58">
        <f t="shared" ref="AG62:AQ62" si="92">SUM(AG41:AG61)</f>
        <v>22400</v>
      </c>
      <c r="AH62" s="58">
        <f t="shared" si="92"/>
        <v>10671</v>
      </c>
      <c r="AI62" s="58">
        <f t="shared" si="92"/>
        <v>16097</v>
      </c>
      <c r="AJ62" s="58">
        <f t="shared" si="92"/>
        <v>30278</v>
      </c>
      <c r="AK62" s="58">
        <f t="shared" si="92"/>
        <v>28560</v>
      </c>
      <c r="AL62" s="58">
        <f t="shared" si="92"/>
        <v>41700</v>
      </c>
      <c r="AM62" s="58">
        <f t="shared" si="92"/>
        <v>38700</v>
      </c>
      <c r="AN62" s="58">
        <f t="shared" si="92"/>
        <v>37300</v>
      </c>
      <c r="AO62" s="58">
        <f t="shared" si="92"/>
        <v>37400</v>
      </c>
      <c r="AP62" s="58">
        <f t="shared" si="92"/>
        <v>40640</v>
      </c>
      <c r="AQ62" s="58">
        <f t="shared" si="92"/>
        <v>54440</v>
      </c>
      <c r="AR62" s="58">
        <f t="shared" si="88"/>
        <v>396686</v>
      </c>
      <c r="AS62" s="59"/>
      <c r="AT62" s="58">
        <f t="shared" ref="AT62:BE62" si="93">SUM(AT41:AT61)</f>
        <v>36153</v>
      </c>
      <c r="AU62" s="58">
        <f>SUM(AU41:AU61)</f>
        <v>35289</v>
      </c>
      <c r="AV62" s="58">
        <f t="shared" si="93"/>
        <v>35872</v>
      </c>
      <c r="AW62" s="58">
        <f t="shared" si="93"/>
        <v>38031</v>
      </c>
      <c r="AX62" s="58">
        <f t="shared" si="93"/>
        <v>33566</v>
      </c>
      <c r="AY62" s="58">
        <f t="shared" si="93"/>
        <v>33566</v>
      </c>
      <c r="AZ62" s="58">
        <f t="shared" si="93"/>
        <v>30896</v>
      </c>
      <c r="BA62" s="58">
        <f t="shared" si="93"/>
        <v>31146</v>
      </c>
      <c r="BB62" s="58">
        <f t="shared" si="93"/>
        <v>32630</v>
      </c>
      <c r="BC62" s="58">
        <f t="shared" si="93"/>
        <v>38562</v>
      </c>
      <c r="BD62" s="58">
        <f t="shared" si="93"/>
        <v>41345</v>
      </c>
      <c r="BE62" s="58">
        <f t="shared" si="93"/>
        <v>49263</v>
      </c>
      <c r="BF62" s="58">
        <f>SUM(AT62:BE62)</f>
        <v>436319</v>
      </c>
      <c r="BG62" s="59">
        <f>BF62-AR62</f>
        <v>39633</v>
      </c>
      <c r="BH62" s="58">
        <v>36153</v>
      </c>
      <c r="BI62" s="58">
        <v>35289</v>
      </c>
      <c r="BJ62" s="58">
        <v>35872</v>
      </c>
      <c r="BK62" s="58">
        <v>38031</v>
      </c>
      <c r="BL62" s="58">
        <v>38570</v>
      </c>
      <c r="BM62" s="58">
        <v>39227</v>
      </c>
      <c r="BN62" s="58">
        <v>41128</v>
      </c>
      <c r="BO62" s="58">
        <v>38191</v>
      </c>
      <c r="BP62" s="58">
        <v>38191</v>
      </c>
      <c r="BQ62" s="58">
        <v>40225</v>
      </c>
      <c r="BR62" s="58">
        <v>43272</v>
      </c>
      <c r="BS62" s="58">
        <v>60327</v>
      </c>
      <c r="BT62" s="58">
        <f t="shared" ref="BT62:BT66" si="94">SUM(BH62:BS62)</f>
        <v>484476</v>
      </c>
      <c r="BU62" s="60"/>
      <c r="BV62" s="58">
        <f>SUM(BV41:BV58)</f>
        <v>35797.912472643162</v>
      </c>
      <c r="BW62" s="58">
        <f t="shared" ref="BW62:CG62" si="95">SUM(BW41:BW58)</f>
        <v>27268.538792847521</v>
      </c>
      <c r="BX62" s="58">
        <f t="shared" si="95"/>
        <v>34357.668832234456</v>
      </c>
      <c r="BY62" s="58">
        <f t="shared" si="95"/>
        <v>29626.958292847525</v>
      </c>
      <c r="BZ62" s="58">
        <f t="shared" si="95"/>
        <v>34139.121332234456</v>
      </c>
      <c r="CA62" s="58">
        <f t="shared" si="95"/>
        <v>39503.881972643161</v>
      </c>
      <c r="CB62" s="58">
        <f t="shared" si="95"/>
        <v>45728.836911008315</v>
      </c>
      <c r="CC62" s="58">
        <f t="shared" si="95"/>
        <v>32260.226972643166</v>
      </c>
      <c r="CD62" s="58">
        <f t="shared" si="95"/>
        <v>33331.522972643164</v>
      </c>
      <c r="CE62" s="58">
        <f t="shared" si="95"/>
        <v>35213.881472643166</v>
      </c>
      <c r="CF62" s="58">
        <f t="shared" si="95"/>
        <v>46168.878068556034</v>
      </c>
      <c r="CG62" s="58">
        <f t="shared" si="95"/>
        <v>57905.502691825735</v>
      </c>
      <c r="CH62" s="58">
        <f>SUM(BV62:CG62)</f>
        <v>451302.93078476982</v>
      </c>
      <c r="CI62" s="395">
        <f>(CH62-BT71)/BT71</f>
        <v>5.1833718555945915E-2</v>
      </c>
      <c r="CJ62" s="58">
        <f>BV71*1.03</f>
        <v>40067</v>
      </c>
      <c r="CK62" s="58">
        <f t="shared" ref="CK62:CU62" si="96">BW71*1.03</f>
        <v>32317.280000000002</v>
      </c>
      <c r="CL62" s="58">
        <f t="shared" si="96"/>
        <v>30782.58</v>
      </c>
      <c r="CM62" s="58">
        <f>BY71*1.03</f>
        <v>31591.13</v>
      </c>
      <c r="CN62" s="58">
        <f t="shared" si="96"/>
        <v>35589.590000000004</v>
      </c>
      <c r="CO62" s="58">
        <f t="shared" si="96"/>
        <v>37610.450000000004</v>
      </c>
      <c r="CP62" s="58">
        <f t="shared" si="96"/>
        <v>40082.450000000004</v>
      </c>
      <c r="CQ62" s="58">
        <f t="shared" si="96"/>
        <v>35653.450000000004</v>
      </c>
      <c r="CR62" s="58">
        <f t="shared" si="96"/>
        <v>30505.510000000002</v>
      </c>
      <c r="CS62" s="58">
        <f>CE71*1.03</f>
        <v>35574.14</v>
      </c>
      <c r="CT62" s="58">
        <f t="shared" si="96"/>
        <v>47291.42</v>
      </c>
      <c r="CU62" s="58">
        <f t="shared" si="96"/>
        <v>62701.25</v>
      </c>
      <c r="CV62" s="58">
        <f>SUM(CJ62:CU62)</f>
        <v>459766.25</v>
      </c>
      <c r="CW62" s="758"/>
      <c r="CX62" s="880">
        <v>34000</v>
      </c>
      <c r="CY62" s="880">
        <v>26000</v>
      </c>
      <c r="CZ62" s="880">
        <v>27000</v>
      </c>
      <c r="DA62" s="880">
        <v>27000</v>
      </c>
      <c r="DB62" s="880">
        <v>29000</v>
      </c>
      <c r="DC62" s="880">
        <v>32772.54</v>
      </c>
      <c r="DD62" s="880">
        <v>34046.649999999994</v>
      </c>
      <c r="DE62" s="880">
        <v>30567.31</v>
      </c>
      <c r="DF62" s="880">
        <v>29170.629999999997</v>
      </c>
      <c r="DG62" s="880">
        <v>33460.786</v>
      </c>
      <c r="DH62" s="880">
        <v>40405.437400000003</v>
      </c>
      <c r="DI62" s="880">
        <v>57291.782700000003</v>
      </c>
      <c r="DJ62" s="58">
        <f>SUM(CX62:DI62)</f>
        <v>400715.1361</v>
      </c>
      <c r="DK62" s="948"/>
      <c r="DL62" s="880">
        <f>CX62</f>
        <v>34000</v>
      </c>
      <c r="DM62" s="880">
        <v>21658.84</v>
      </c>
      <c r="DN62" s="880">
        <v>25209.25</v>
      </c>
      <c r="DO62" s="880">
        <v>27828.54</v>
      </c>
      <c r="DP62" s="880">
        <v>32049.480000000003</v>
      </c>
      <c r="DQ62" s="880">
        <v>32772.54</v>
      </c>
      <c r="DR62" s="880">
        <v>34046.649999999994</v>
      </c>
      <c r="DS62" s="880">
        <v>30567.31</v>
      </c>
      <c r="DT62" s="880">
        <v>29170.629999999997</v>
      </c>
      <c r="DU62" s="880">
        <v>33460.786</v>
      </c>
      <c r="DV62" s="880">
        <v>40405.437400000003</v>
      </c>
      <c r="DW62" s="880">
        <v>57291.782700000003</v>
      </c>
      <c r="DX62" s="58">
        <f>SUM(DL62:DW62)</f>
        <v>398461.24609999999</v>
      </c>
    </row>
    <row r="63" spans="1:128" ht="18.75" hidden="1">
      <c r="A63" s="99"/>
      <c r="B63" s="929" t="s">
        <v>73</v>
      </c>
      <c r="C63" s="930"/>
      <c r="D63" s="301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302"/>
      <c r="Q63" s="74"/>
      <c r="R63" s="301"/>
      <c r="S63" s="69"/>
      <c r="T63" s="69"/>
      <c r="U63" s="69"/>
      <c r="V63" s="303"/>
      <c r="W63" s="304"/>
      <c r="X63" s="304"/>
      <c r="Y63" s="304"/>
      <c r="Z63" s="304"/>
      <c r="AA63" s="304"/>
      <c r="AB63" s="304"/>
      <c r="AC63" s="75"/>
      <c r="AD63" s="76"/>
      <c r="AE63" s="77"/>
      <c r="AF63" s="305"/>
      <c r="AG63" s="69"/>
      <c r="AH63" s="69"/>
      <c r="AI63" s="69"/>
      <c r="AJ63" s="303"/>
      <c r="AK63" s="303"/>
      <c r="AL63" s="303"/>
      <c r="AM63" s="303"/>
      <c r="AN63" s="69"/>
      <c r="AO63" s="69"/>
      <c r="AP63" s="69"/>
      <c r="AQ63" s="69"/>
      <c r="AR63" s="306"/>
      <c r="AS63" s="77"/>
      <c r="AT63" s="69"/>
      <c r="AU63" s="69"/>
      <c r="AV63" s="69"/>
      <c r="AW63" s="69"/>
      <c r="AX63" s="69"/>
      <c r="AY63" s="69">
        <v>15000</v>
      </c>
      <c r="AZ63" s="69">
        <v>15000</v>
      </c>
      <c r="BA63" s="69">
        <f t="shared" ref="BA63:BB63" si="97">BA62*70%</f>
        <v>21802.199999999997</v>
      </c>
      <c r="BB63" s="69">
        <f t="shared" si="97"/>
        <v>22841</v>
      </c>
      <c r="BC63" s="69">
        <v>35000</v>
      </c>
      <c r="BD63" s="69">
        <v>35000</v>
      </c>
      <c r="BE63" s="69">
        <v>42000</v>
      </c>
      <c r="BF63" s="69">
        <f t="shared" si="79"/>
        <v>186643.20000000001</v>
      </c>
      <c r="BG63" s="77"/>
      <c r="BH63" s="69">
        <f t="shared" ref="BH63:BM63" si="98">BH62*0.8</f>
        <v>28922.400000000001</v>
      </c>
      <c r="BI63" s="69">
        <f t="shared" si="98"/>
        <v>28231.200000000001</v>
      </c>
      <c r="BJ63" s="69">
        <f t="shared" si="98"/>
        <v>28697.600000000002</v>
      </c>
      <c r="BK63" s="69">
        <f t="shared" si="98"/>
        <v>30424.800000000003</v>
      </c>
      <c r="BL63" s="69">
        <f t="shared" si="98"/>
        <v>30856</v>
      </c>
      <c r="BM63" s="69">
        <f t="shared" si="98"/>
        <v>31381.600000000002</v>
      </c>
      <c r="BN63" s="69">
        <f>BN62*0.85</f>
        <v>34958.799999999996</v>
      </c>
      <c r="BO63" s="69">
        <v>29000</v>
      </c>
      <c r="BP63" s="69">
        <v>40223</v>
      </c>
      <c r="BQ63" s="69">
        <v>36735</v>
      </c>
      <c r="BR63" s="69">
        <v>36933</v>
      </c>
      <c r="BS63" s="69">
        <v>52283</v>
      </c>
      <c r="BT63" s="69">
        <f t="shared" si="94"/>
        <v>408646.40000000002</v>
      </c>
      <c r="BU63" s="28"/>
      <c r="BV63" s="69">
        <v>32000</v>
      </c>
      <c r="BW63" s="69">
        <v>32000</v>
      </c>
      <c r="BX63" s="69">
        <v>37000</v>
      </c>
      <c r="BY63" s="69">
        <v>32000</v>
      </c>
      <c r="BZ63" s="69">
        <v>35000</v>
      </c>
      <c r="CA63" s="69">
        <v>35000</v>
      </c>
      <c r="CB63" s="69">
        <v>35000</v>
      </c>
      <c r="CC63" s="69">
        <f>CC62*1</f>
        <v>32260.226972643166</v>
      </c>
      <c r="CD63" s="69">
        <f>CD62*1</f>
        <v>33331.522972643164</v>
      </c>
      <c r="CE63" s="69">
        <f>CE62</f>
        <v>35213.881472643166</v>
      </c>
      <c r="CF63" s="69">
        <v>40000</v>
      </c>
      <c r="CG63" s="69">
        <v>60000</v>
      </c>
      <c r="CH63" s="69"/>
      <c r="CI63" s="395"/>
      <c r="CJ63" s="69">
        <v>32000</v>
      </c>
      <c r="CK63" s="69">
        <v>30000</v>
      </c>
      <c r="CL63" s="69">
        <v>31500</v>
      </c>
      <c r="CM63" s="69">
        <v>32000</v>
      </c>
      <c r="CN63" s="69">
        <v>45000</v>
      </c>
      <c r="CO63" s="69">
        <v>35000</v>
      </c>
      <c r="CP63" s="69">
        <v>36000</v>
      </c>
      <c r="CQ63" s="69">
        <v>35000</v>
      </c>
      <c r="CR63" s="69">
        <v>35000</v>
      </c>
      <c r="CS63" s="69">
        <v>40000</v>
      </c>
      <c r="CT63" s="69">
        <v>51000</v>
      </c>
      <c r="CU63" s="69">
        <v>60000</v>
      </c>
      <c r="CV63" s="69">
        <f>SUM(CJ63:CU63)</f>
        <v>462500</v>
      </c>
      <c r="CW63" s="758"/>
      <c r="CX63" s="881">
        <v>28638.329978114532</v>
      </c>
      <c r="CY63" s="881">
        <v>21814.831034278017</v>
      </c>
      <c r="CZ63" s="881">
        <v>27486.135065787566</v>
      </c>
      <c r="DA63" s="881">
        <v>23701.566634278021</v>
      </c>
      <c r="DB63" s="881">
        <v>27311.297065787567</v>
      </c>
      <c r="DC63" s="881">
        <v>31603.10557811453</v>
      </c>
      <c r="DD63" s="881">
        <v>36583.069528806656</v>
      </c>
      <c r="DE63" s="881">
        <v>25808.181578114534</v>
      </c>
      <c r="DF63" s="881">
        <v>26665.218378114532</v>
      </c>
      <c r="DG63" s="881">
        <v>28171.105178114536</v>
      </c>
      <c r="DH63" s="881">
        <v>36935.102454844826</v>
      </c>
      <c r="DI63" s="881">
        <v>46324.402153460593</v>
      </c>
      <c r="DJ63" s="69"/>
      <c r="DK63" s="948"/>
      <c r="DL63" s="881">
        <v>28638.329978114532</v>
      </c>
      <c r="DM63" s="881">
        <v>21814.831034278017</v>
      </c>
      <c r="DN63" s="881">
        <v>27486.135065787566</v>
      </c>
      <c r="DO63" s="881">
        <v>23701.566634278021</v>
      </c>
      <c r="DP63" s="881">
        <v>27311.297065787567</v>
      </c>
      <c r="DQ63" s="881">
        <v>31603.10557811453</v>
      </c>
      <c r="DR63" s="881">
        <v>36583.069528806656</v>
      </c>
      <c r="DS63" s="881">
        <v>25808.181578114534</v>
      </c>
      <c r="DT63" s="881">
        <v>26665.218378114532</v>
      </c>
      <c r="DU63" s="881">
        <v>28171.105178114536</v>
      </c>
      <c r="DV63" s="881">
        <v>36935.102454844826</v>
      </c>
      <c r="DW63" s="881">
        <v>46324.402153460593</v>
      </c>
      <c r="DX63" s="69"/>
    </row>
    <row r="64" spans="1:128" ht="14.25" hidden="1" customHeight="1">
      <c r="A64" s="55" t="s">
        <v>74</v>
      </c>
      <c r="B64" s="56"/>
      <c r="C64" s="280"/>
      <c r="D64" s="288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289"/>
      <c r="Q64" s="39"/>
      <c r="R64" s="288"/>
      <c r="S64" s="58"/>
      <c r="T64" s="58"/>
      <c r="U64" s="58"/>
      <c r="V64" s="58"/>
      <c r="W64" s="290"/>
      <c r="X64" s="290"/>
      <c r="Y64" s="290"/>
      <c r="Z64" s="290"/>
      <c r="AA64" s="290"/>
      <c r="AB64" s="290"/>
      <c r="AC64" s="290"/>
      <c r="AD64" s="291"/>
      <c r="AE64" s="59"/>
      <c r="AF64" s="292"/>
      <c r="AG64" s="58"/>
      <c r="AH64" s="58"/>
      <c r="AI64" s="58"/>
      <c r="AJ64" s="58"/>
      <c r="AK64" s="58"/>
      <c r="AL64" s="58">
        <f>AL62/AVERAGE($AF$62:$AQ$62)</f>
        <v>1.2614511225503295</v>
      </c>
      <c r="AM64" s="58"/>
      <c r="AN64" s="58"/>
      <c r="AO64" s="58"/>
      <c r="AP64" s="58">
        <f t="shared" ref="AP64:AQ64" si="99">AP62/AVERAGE($AF$62:$AQ$62)</f>
        <v>1.2293854585238704</v>
      </c>
      <c r="AQ64" s="58">
        <f t="shared" si="99"/>
        <v>1.6468441033966412</v>
      </c>
      <c r="AR64" s="58"/>
      <c r="AS64" s="59"/>
      <c r="AT64" s="58">
        <v>109190</v>
      </c>
      <c r="AU64" s="58">
        <v>153667</v>
      </c>
      <c r="AV64" s="58">
        <v>178778</v>
      </c>
      <c r="AW64" s="58">
        <v>151970</v>
      </c>
      <c r="AX64" s="58">
        <v>142416</v>
      </c>
      <c r="AY64" s="58">
        <v>177335</v>
      </c>
      <c r="AZ64" s="58">
        <v>152230</v>
      </c>
      <c r="BA64" s="58">
        <v>245527</v>
      </c>
      <c r="BB64" s="58">
        <f>5261504/27</f>
        <v>194870.51851851851</v>
      </c>
      <c r="BC64" s="58">
        <f>5784000/27</f>
        <v>214222.22222222222</v>
      </c>
      <c r="BD64" s="58">
        <f>3224000/27</f>
        <v>119407.4074074074</v>
      </c>
      <c r="BE64" s="58">
        <f>909800/27</f>
        <v>33696.296296296299</v>
      </c>
      <c r="BF64" s="58">
        <f t="shared" si="79"/>
        <v>1873309.4444444445</v>
      </c>
      <c r="BG64" s="59"/>
      <c r="BH64" s="58">
        <v>156208</v>
      </c>
      <c r="BI64" s="58">
        <v>147340</v>
      </c>
      <c r="BJ64" s="58">
        <v>166759</v>
      </c>
      <c r="BK64" s="58">
        <v>152352</v>
      </c>
      <c r="BL64" s="58">
        <v>128446</v>
      </c>
      <c r="BM64" s="58">
        <v>126790</v>
      </c>
      <c r="BN64" s="58">
        <v>173761</v>
      </c>
      <c r="BO64" s="58">
        <f>144510.599073001+BO63</f>
        <v>173510.59907300101</v>
      </c>
      <c r="BP64" s="58">
        <f>162574.422556972+BP63</f>
        <v>202797.42255697199</v>
      </c>
      <c r="BQ64" s="58">
        <f>166187.186558517+BQ63</f>
        <v>202922.18655851699</v>
      </c>
      <c r="BR64" s="58">
        <f>BQ38+BR34*0.6</f>
        <v>232502.36</v>
      </c>
      <c r="BS64" s="58">
        <f>BR34*0.4+BS34*0.5</f>
        <v>116391.04000000001</v>
      </c>
      <c r="BT64" s="58">
        <f t="shared" si="94"/>
        <v>1979779.6081884899</v>
      </c>
      <c r="BU64" s="60"/>
      <c r="BV64" s="58">
        <f t="shared" ref="BV64:CC64" si="100">BV38+BV63</f>
        <v>162757.867486095</v>
      </c>
      <c r="BW64" s="58">
        <f t="shared" si="100"/>
        <v>157566.83045180296</v>
      </c>
      <c r="BX64" s="58">
        <f t="shared" si="100"/>
        <v>197961.53846153844</v>
      </c>
      <c r="BY64" s="58">
        <f t="shared" si="100"/>
        <v>160769.23076923078</v>
      </c>
      <c r="BZ64" s="58">
        <f t="shared" si="100"/>
        <v>153232.39341785663</v>
      </c>
      <c r="CA64" s="58">
        <f t="shared" si="100"/>
        <v>143192.12910096842</v>
      </c>
      <c r="CB64" s="58">
        <f t="shared" si="100"/>
        <v>178736.21444761599</v>
      </c>
      <c r="CC64" s="58">
        <f t="shared" si="100"/>
        <v>202914.10079748323</v>
      </c>
      <c r="CD64" s="58">
        <f>CD38+CD63</f>
        <v>214499.61628422557</v>
      </c>
      <c r="CE64" s="58">
        <f>CE38+CE63</f>
        <v>217682.99793575107</v>
      </c>
      <c r="CF64" s="58">
        <f>CF38+CF63</f>
        <v>173115.84223630186</v>
      </c>
      <c r="CG64" s="58">
        <f t="shared" ref="CG64" si="101">BS64</f>
        <v>116391.04000000001</v>
      </c>
      <c r="CH64" s="58"/>
      <c r="CJ64" s="58">
        <f>CJ38+CJ63</f>
        <v>161344.16697726428</v>
      </c>
      <c r="CK64" s="58">
        <f t="shared" ref="CK64:CU64" si="102">CK38+CK63</f>
        <v>180873.49981364145</v>
      </c>
      <c r="CL64" s="58">
        <f t="shared" si="102"/>
        <v>172879.05329854641</v>
      </c>
      <c r="CM64" s="58">
        <f t="shared" si="102"/>
        <v>168578.1587774879</v>
      </c>
      <c r="CN64" s="58">
        <f t="shared" si="102"/>
        <v>181291.91203876259</v>
      </c>
      <c r="CO64" s="58">
        <f t="shared" si="102"/>
        <v>138386.95490122997</v>
      </c>
      <c r="CP64" s="58">
        <f t="shared" si="102"/>
        <v>217610.97046413503</v>
      </c>
      <c r="CQ64" s="58">
        <f>CQ38+CQ63</f>
        <v>234329.11392405062</v>
      </c>
      <c r="CR64" s="58">
        <f t="shared" si="102"/>
        <v>269765.40084388189</v>
      </c>
      <c r="CS64" s="58">
        <f t="shared" si="102"/>
        <v>257806.7510548523</v>
      </c>
      <c r="CT64" s="58">
        <f>CT38+CT63</f>
        <v>185135.02109704641</v>
      </c>
      <c r="CU64" s="58">
        <f t="shared" si="102"/>
        <v>111311.39240506329</v>
      </c>
      <c r="CV64" s="58">
        <f>SUM(CJ64:CU64)</f>
        <v>2279312.3955959622</v>
      </c>
      <c r="CW64" s="758"/>
      <c r="CX64" s="880">
        <v>98000</v>
      </c>
      <c r="CY64" s="880">
        <v>147381.66148608096</v>
      </c>
      <c r="CZ64" s="880">
        <v>188447.673527326</v>
      </c>
      <c r="DA64" s="880">
        <v>152352</v>
      </c>
      <c r="DB64" s="880">
        <v>177308</v>
      </c>
      <c r="DC64" s="880">
        <v>126790</v>
      </c>
      <c r="DD64" s="880">
        <v>173761</v>
      </c>
      <c r="DE64" s="880">
        <v>173510.59907300101</v>
      </c>
      <c r="DF64" s="880">
        <v>202797.42255697199</v>
      </c>
      <c r="DG64" s="880">
        <v>202922.18655851699</v>
      </c>
      <c r="DH64" s="880">
        <v>232502.36</v>
      </c>
      <c r="DI64" s="880">
        <v>116391.04000000001</v>
      </c>
      <c r="DJ64" s="58"/>
      <c r="DK64" s="948"/>
      <c r="DL64" s="880">
        <v>98000</v>
      </c>
      <c r="DM64" s="880">
        <v>147381.66148608096</v>
      </c>
      <c r="DN64" s="880">
        <v>188447.673527326</v>
      </c>
      <c r="DO64" s="880">
        <v>152352</v>
      </c>
      <c r="DP64" s="880">
        <v>128446</v>
      </c>
      <c r="DQ64" s="880">
        <v>126790</v>
      </c>
      <c r="DR64" s="880">
        <v>173761</v>
      </c>
      <c r="DS64" s="880">
        <v>173510.59907300101</v>
      </c>
      <c r="DT64" s="880">
        <v>202797.42255697199</v>
      </c>
      <c r="DU64" s="880">
        <v>202922.18655851699</v>
      </c>
      <c r="DV64" s="880">
        <v>232502.36</v>
      </c>
      <c r="DW64" s="880">
        <v>116391.04000000001</v>
      </c>
      <c r="DX64" s="58"/>
    </row>
    <row r="65" spans="1:129" ht="18.75" hidden="1">
      <c r="A65" s="101" t="s">
        <v>75</v>
      </c>
      <c r="B65" s="931"/>
      <c r="C65" s="909"/>
      <c r="D65" s="277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262"/>
      <c r="Q65" s="15"/>
      <c r="R65" s="277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263"/>
      <c r="AE65" s="16"/>
      <c r="AF65" s="261">
        <v>133791</v>
      </c>
      <c r="AG65" s="14">
        <v>166459</v>
      </c>
      <c r="AH65" s="14">
        <v>149450</v>
      </c>
      <c r="AI65" s="14">
        <v>151073</v>
      </c>
      <c r="AJ65" s="14">
        <v>192944</v>
      </c>
      <c r="AK65" s="14">
        <v>166139</v>
      </c>
      <c r="AL65" s="14">
        <v>151874</v>
      </c>
      <c r="AM65" s="14">
        <v>157771</v>
      </c>
      <c r="AN65" s="14">
        <v>200312</v>
      </c>
      <c r="AO65" s="14">
        <v>202691</v>
      </c>
      <c r="AP65" s="14">
        <v>207768</v>
      </c>
      <c r="AQ65" s="14">
        <v>113286</v>
      </c>
      <c r="AR65" s="14">
        <f>SUM(AF65:AK65)</f>
        <v>959856</v>
      </c>
      <c r="AS65" s="17"/>
      <c r="AT65" s="14">
        <v>89680</v>
      </c>
      <c r="AU65" s="14">
        <v>128308</v>
      </c>
      <c r="AV65" s="14">
        <v>144871</v>
      </c>
      <c r="AW65" s="32">
        <v>161772</v>
      </c>
      <c r="AX65" s="32">
        <v>144516</v>
      </c>
      <c r="AY65" s="32">
        <v>103667</v>
      </c>
      <c r="AZ65" s="32">
        <v>141023</v>
      </c>
      <c r="BA65" s="32">
        <v>172093</v>
      </c>
      <c r="BB65" s="32">
        <f>166606+10000</f>
        <v>176606</v>
      </c>
      <c r="BC65" s="32">
        <v>181091</v>
      </c>
      <c r="BD65" s="32">
        <v>169802</v>
      </c>
      <c r="BE65" s="32">
        <v>120406</v>
      </c>
      <c r="BF65" s="32">
        <f t="shared" si="79"/>
        <v>1733835</v>
      </c>
      <c r="BG65" s="17">
        <f>BG62/AR62</f>
        <v>9.9910256474894502E-2</v>
      </c>
      <c r="BH65" s="14">
        <v>78906</v>
      </c>
      <c r="BI65" s="14">
        <v>119296</v>
      </c>
      <c r="BJ65" s="14">
        <v>165286</v>
      </c>
      <c r="BK65" s="14">
        <v>144532</v>
      </c>
      <c r="BL65" s="32">
        <v>157691</v>
      </c>
      <c r="BM65" s="32">
        <v>129096</v>
      </c>
      <c r="BN65" s="32">
        <v>125800</v>
      </c>
      <c r="BO65" s="32">
        <v>176354</v>
      </c>
      <c r="BP65" s="32">
        <v>173554</v>
      </c>
      <c r="BQ65" s="32">
        <v>185766</v>
      </c>
      <c r="BR65" s="32"/>
      <c r="BS65" s="32"/>
      <c r="BT65" s="32">
        <f t="shared" si="94"/>
        <v>1456281</v>
      </c>
      <c r="BU65" s="28"/>
      <c r="BV65" s="14"/>
      <c r="BW65" s="14"/>
      <c r="BX65" s="14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J65" s="14"/>
      <c r="CK65" s="14"/>
      <c r="CL65" s="14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758"/>
      <c r="CX65" s="873"/>
      <c r="CY65" s="873"/>
      <c r="CZ65" s="873"/>
      <c r="DA65" s="872"/>
      <c r="DB65" s="872"/>
      <c r="DC65" s="872"/>
      <c r="DD65" s="872"/>
      <c r="DE65" s="872"/>
      <c r="DF65" s="872"/>
      <c r="DG65" s="872"/>
      <c r="DH65" s="872"/>
      <c r="DI65" s="872"/>
      <c r="DJ65" s="32"/>
      <c r="DK65" s="948"/>
      <c r="DL65" s="873"/>
      <c r="DM65" s="873"/>
      <c r="DN65" s="873"/>
      <c r="DO65" s="872"/>
      <c r="DP65" s="872"/>
      <c r="DQ65" s="872"/>
      <c r="DR65" s="872"/>
      <c r="DS65" s="872"/>
      <c r="DT65" s="872"/>
      <c r="DU65" s="872"/>
      <c r="DV65" s="872"/>
      <c r="DW65" s="872"/>
      <c r="DX65" s="32"/>
    </row>
    <row r="66" spans="1:129" ht="18.75" hidden="1">
      <c r="A66" s="103"/>
      <c r="B66" s="932" t="s">
        <v>76</v>
      </c>
      <c r="C66" s="933"/>
      <c r="D66" s="331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332"/>
      <c r="Q66" s="105"/>
      <c r="R66" s="333"/>
      <c r="S66" s="333"/>
      <c r="T66" s="333"/>
      <c r="U66" s="333"/>
      <c r="V66" s="333"/>
      <c r="W66" s="333"/>
      <c r="X66" s="333"/>
      <c r="Y66" s="333"/>
      <c r="Z66" s="333"/>
      <c r="AA66" s="333"/>
      <c r="AB66" s="333"/>
      <c r="AC66" s="333"/>
      <c r="AD66" s="334"/>
      <c r="AE66" s="106"/>
      <c r="AF66" s="333">
        <f t="shared" ref="AF66:AQ66" si="103">AF65-AF32</f>
        <v>133789.5653258567</v>
      </c>
      <c r="AG66" s="333">
        <f t="shared" si="103"/>
        <v>166455.02546723894</v>
      </c>
      <c r="AH66" s="333">
        <f t="shared" si="103"/>
        <v>149445.54627453614</v>
      </c>
      <c r="AI66" s="333">
        <f t="shared" si="103"/>
        <v>151069.82181047046</v>
      </c>
      <c r="AJ66" s="333">
        <f t="shared" si="103"/>
        <v>192941.24487749056</v>
      </c>
      <c r="AK66" s="333">
        <f t="shared" si="103"/>
        <v>166135.77020296719</v>
      </c>
      <c r="AL66" s="333">
        <f t="shared" si="103"/>
        <v>151871.64243647002</v>
      </c>
      <c r="AM66" s="333">
        <f t="shared" si="103"/>
        <v>157768.8586839418</v>
      </c>
      <c r="AN66" s="333">
        <f t="shared" si="103"/>
        <v>200310.09576397031</v>
      </c>
      <c r="AO66" s="333">
        <f t="shared" si="103"/>
        <v>202687.83135883085</v>
      </c>
      <c r="AP66" s="333">
        <f t="shared" si="103"/>
        <v>207762.85122649223</v>
      </c>
      <c r="AQ66" s="333">
        <f t="shared" si="103"/>
        <v>113282.51926932538</v>
      </c>
      <c r="AR66" s="107">
        <f t="shared" ref="AR66:AR74" si="104">SUM(AF66:AQ66)</f>
        <v>1993520.772697591</v>
      </c>
      <c r="AS66" s="106"/>
      <c r="AT66" s="333">
        <f t="shared" ref="AT66:BE66" si="105">AT65-AT64</f>
        <v>-19510</v>
      </c>
      <c r="AU66" s="333">
        <f t="shared" si="105"/>
        <v>-25359</v>
      </c>
      <c r="AV66" s="333">
        <f t="shared" si="105"/>
        <v>-33907</v>
      </c>
      <c r="AW66" s="333">
        <f t="shared" si="105"/>
        <v>9802</v>
      </c>
      <c r="AX66" s="333">
        <f t="shared" si="105"/>
        <v>2100</v>
      </c>
      <c r="AY66" s="333">
        <f t="shared" si="105"/>
        <v>-73668</v>
      </c>
      <c r="AZ66" s="333">
        <f t="shared" si="105"/>
        <v>-11207</v>
      </c>
      <c r="BA66" s="333">
        <f t="shared" si="105"/>
        <v>-73434</v>
      </c>
      <c r="BB66" s="333">
        <f t="shared" si="105"/>
        <v>-18264.518518518511</v>
      </c>
      <c r="BC66" s="333">
        <f t="shared" si="105"/>
        <v>-33131.222222222219</v>
      </c>
      <c r="BD66" s="333">
        <f t="shared" si="105"/>
        <v>50394.592592592599</v>
      </c>
      <c r="BE66" s="333">
        <f t="shared" si="105"/>
        <v>86709.703703703708</v>
      </c>
      <c r="BF66" s="108">
        <f t="shared" si="79"/>
        <v>-139474.44444444444</v>
      </c>
      <c r="BG66" s="106"/>
      <c r="BH66" s="333">
        <f t="shared" ref="BH66:BQ66" si="106">BH65-BH64</f>
        <v>-77302</v>
      </c>
      <c r="BI66" s="333">
        <f t="shared" si="106"/>
        <v>-28044</v>
      </c>
      <c r="BJ66" s="333">
        <f t="shared" si="106"/>
        <v>-1473</v>
      </c>
      <c r="BK66" s="333">
        <f t="shared" si="106"/>
        <v>-7820</v>
      </c>
      <c r="BL66" s="333">
        <f t="shared" si="106"/>
        <v>29245</v>
      </c>
      <c r="BM66" s="333">
        <f t="shared" si="106"/>
        <v>2306</v>
      </c>
      <c r="BN66" s="333">
        <f t="shared" si="106"/>
        <v>-47961</v>
      </c>
      <c r="BO66" s="333">
        <f t="shared" si="106"/>
        <v>2843.4009269989911</v>
      </c>
      <c r="BP66" s="333">
        <f t="shared" si="106"/>
        <v>-29243.422556971986</v>
      </c>
      <c r="BQ66" s="333">
        <f t="shared" si="106"/>
        <v>-17156.186558516987</v>
      </c>
      <c r="BR66" s="108"/>
      <c r="BS66" s="108"/>
      <c r="BT66" s="108">
        <f t="shared" si="94"/>
        <v>-174605.20818848998</v>
      </c>
      <c r="BU66" s="28"/>
      <c r="BV66" s="333"/>
      <c r="BW66" s="333"/>
      <c r="BX66" s="333"/>
      <c r="BY66" s="333"/>
      <c r="BZ66" s="108"/>
      <c r="CA66" s="108"/>
      <c r="CB66" s="108"/>
      <c r="CC66" s="108"/>
      <c r="CD66" s="108"/>
      <c r="CE66" s="108"/>
      <c r="CF66" s="108"/>
      <c r="CG66" s="108"/>
      <c r="CH66" s="108"/>
      <c r="CJ66" s="333"/>
      <c r="CK66" s="333"/>
      <c r="CL66" s="333"/>
      <c r="CM66" s="333"/>
      <c r="CN66" s="108"/>
      <c r="CO66" s="108"/>
      <c r="CP66" s="108"/>
      <c r="CQ66" s="108"/>
      <c r="CR66" s="108"/>
      <c r="CS66" s="108"/>
      <c r="CT66" s="108"/>
      <c r="CU66" s="108"/>
      <c r="CV66" s="108"/>
      <c r="CW66" s="758"/>
      <c r="CX66" s="892"/>
      <c r="CY66" s="892"/>
      <c r="CZ66" s="892"/>
      <c r="DA66" s="892"/>
      <c r="DB66" s="893"/>
      <c r="DC66" s="893"/>
      <c r="DD66" s="893"/>
      <c r="DE66" s="893"/>
      <c r="DF66" s="893"/>
      <c r="DG66" s="893"/>
      <c r="DH66" s="893"/>
      <c r="DI66" s="893"/>
      <c r="DJ66" s="108"/>
      <c r="DK66" s="948"/>
      <c r="DL66" s="892"/>
      <c r="DM66" s="892"/>
      <c r="DN66" s="892"/>
      <c r="DO66" s="892"/>
      <c r="DP66" s="893"/>
      <c r="DQ66" s="893"/>
      <c r="DR66" s="893"/>
      <c r="DS66" s="893"/>
      <c r="DT66" s="893"/>
      <c r="DU66" s="893"/>
      <c r="DV66" s="893"/>
      <c r="DW66" s="893"/>
      <c r="DX66" s="108"/>
    </row>
    <row r="67" spans="1:129" ht="15.75" hidden="1" customHeight="1">
      <c r="A67" s="94">
        <v>5</v>
      </c>
      <c r="B67" s="921" t="s">
        <v>77</v>
      </c>
      <c r="C67" s="934"/>
      <c r="D67" s="313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>
        <v>0</v>
      </c>
      <c r="P67" s="314">
        <f>SUM(D67:O67)</f>
        <v>0</v>
      </c>
      <c r="Q67" s="90"/>
      <c r="R67" s="313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315">
        <f>SUM(R67:AC67)</f>
        <v>0</v>
      </c>
      <c r="AE67" s="23"/>
      <c r="AF67" s="316">
        <v>0</v>
      </c>
      <c r="AG67" s="91">
        <v>0</v>
      </c>
      <c r="AH67" s="91">
        <v>0</v>
      </c>
      <c r="AI67" s="91">
        <v>0</v>
      </c>
      <c r="AJ67" s="91">
        <v>0</v>
      </c>
      <c r="AK67" s="91">
        <v>0</v>
      </c>
      <c r="AL67" s="91">
        <v>0</v>
      </c>
      <c r="AM67" s="91">
        <v>0</v>
      </c>
      <c r="AN67" s="91">
        <v>0</v>
      </c>
      <c r="AO67" s="91">
        <v>0</v>
      </c>
      <c r="AP67" s="91"/>
      <c r="AQ67" s="91">
        <v>8938</v>
      </c>
      <c r="AR67" s="92">
        <f t="shared" si="104"/>
        <v>8938</v>
      </c>
      <c r="AS67" s="23"/>
      <c r="AT67" s="91">
        <v>106642</v>
      </c>
      <c r="AU67" s="91">
        <v>90699</v>
      </c>
      <c r="AV67" s="91">
        <v>89681</v>
      </c>
      <c r="AW67" s="91">
        <v>58790</v>
      </c>
      <c r="AX67" s="91">
        <v>35520</v>
      </c>
      <c r="AY67" s="91">
        <v>61551</v>
      </c>
      <c r="AZ67" s="91">
        <v>71511</v>
      </c>
      <c r="BA67" s="91">
        <v>63617</v>
      </c>
      <c r="BB67" s="91">
        <v>66748</v>
      </c>
      <c r="BC67" s="91">
        <v>75532</v>
      </c>
      <c r="BD67" s="91">
        <v>37786</v>
      </c>
      <c r="BE67" s="91">
        <v>4503</v>
      </c>
      <c r="BF67" s="91">
        <f t="shared" si="79"/>
        <v>762580</v>
      </c>
      <c r="BG67" s="27"/>
      <c r="BH67" s="91">
        <v>69404</v>
      </c>
      <c r="BI67" s="91">
        <v>80412</v>
      </c>
      <c r="BJ67" s="91">
        <v>94386</v>
      </c>
      <c r="BK67" s="91">
        <v>78313</v>
      </c>
      <c r="BL67" s="91">
        <v>47034</v>
      </c>
      <c r="BM67" s="91">
        <v>50851</v>
      </c>
      <c r="BN67" s="91">
        <v>93202</v>
      </c>
      <c r="BO67" s="91">
        <v>100687</v>
      </c>
      <c r="BP67" s="91">
        <v>127995</v>
      </c>
      <c r="BQ67" s="91">
        <v>122686</v>
      </c>
      <c r="BR67" s="91"/>
      <c r="BS67" s="91"/>
      <c r="BT67" s="91"/>
      <c r="BU67" s="28"/>
      <c r="BV67" s="91"/>
      <c r="BW67" s="91"/>
      <c r="BX67" s="91"/>
      <c r="BY67" s="91"/>
      <c r="BZ67" s="91"/>
      <c r="CA67" s="91"/>
      <c r="CB67" s="91"/>
      <c r="CC67" s="91"/>
      <c r="CD67" s="91"/>
      <c r="CE67" s="91"/>
      <c r="CF67" s="91"/>
      <c r="CG67" s="91"/>
      <c r="CH67" s="91"/>
      <c r="CJ67" s="91"/>
      <c r="CK67" s="91"/>
      <c r="CL67" s="91"/>
      <c r="CM67" s="91"/>
      <c r="CN67" s="91"/>
      <c r="CO67" s="91"/>
      <c r="CP67" s="91"/>
      <c r="CQ67" s="91"/>
      <c r="CR67" s="91"/>
      <c r="CS67" s="91"/>
      <c r="CT67" s="91"/>
      <c r="CU67" s="91"/>
      <c r="CV67" s="91"/>
      <c r="CW67" s="758"/>
      <c r="CX67" s="884"/>
      <c r="CY67" s="884"/>
      <c r="CZ67" s="884"/>
      <c r="DA67" s="884"/>
      <c r="DB67" s="884"/>
      <c r="DC67" s="884"/>
      <c r="DD67" s="884"/>
      <c r="DE67" s="884"/>
      <c r="DF67" s="884"/>
      <c r="DG67" s="884"/>
      <c r="DH67" s="884"/>
      <c r="DI67" s="884"/>
      <c r="DJ67" s="91"/>
      <c r="DK67" s="948"/>
      <c r="DL67" s="884"/>
      <c r="DM67" s="884"/>
      <c r="DN67" s="884"/>
      <c r="DO67" s="884"/>
      <c r="DP67" s="884"/>
      <c r="DQ67" s="884"/>
      <c r="DR67" s="884"/>
      <c r="DS67" s="884"/>
      <c r="DT67" s="884"/>
      <c r="DU67" s="884"/>
      <c r="DV67" s="884"/>
      <c r="DW67" s="884"/>
      <c r="DX67" s="91"/>
    </row>
    <row r="68" spans="1:129" ht="18.75" hidden="1">
      <c r="A68" s="13" t="s">
        <v>78</v>
      </c>
      <c r="B68" s="908"/>
      <c r="C68" s="909"/>
      <c r="D68" s="277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262"/>
      <c r="Q68" s="15"/>
      <c r="R68" s="277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263"/>
      <c r="AE68" s="16"/>
      <c r="AF68" s="261">
        <f t="shared" ref="AF68:AQ68" si="107">AF69+AF71</f>
        <v>118364</v>
      </c>
      <c r="AG68" s="261">
        <f t="shared" si="107"/>
        <v>173742</v>
      </c>
      <c r="AH68" s="261">
        <f t="shared" si="107"/>
        <v>73470</v>
      </c>
      <c r="AI68" s="261">
        <f t="shared" si="107"/>
        <v>87377</v>
      </c>
      <c r="AJ68" s="261">
        <f t="shared" si="107"/>
        <v>119657</v>
      </c>
      <c r="AK68" s="261">
        <f t="shared" si="107"/>
        <v>154747</v>
      </c>
      <c r="AL68" s="261">
        <f t="shared" si="107"/>
        <v>138073</v>
      </c>
      <c r="AM68" s="261">
        <f t="shared" si="107"/>
        <v>180773</v>
      </c>
      <c r="AN68" s="261">
        <f t="shared" si="107"/>
        <v>194598</v>
      </c>
      <c r="AO68" s="261">
        <f t="shared" si="107"/>
        <v>242931</v>
      </c>
      <c r="AP68" s="261">
        <f t="shared" si="107"/>
        <v>107346</v>
      </c>
      <c r="AQ68" s="261">
        <f t="shared" si="107"/>
        <v>87384</v>
      </c>
      <c r="AR68" s="14">
        <f t="shared" si="104"/>
        <v>1678462</v>
      </c>
      <c r="AS68" s="17"/>
      <c r="AT68" s="261">
        <f t="shared" ref="AT68:BE68" si="108">AT69+AT71</f>
        <v>155346</v>
      </c>
      <c r="AU68" s="261">
        <f t="shared" si="108"/>
        <v>123370</v>
      </c>
      <c r="AV68" s="261">
        <f t="shared" si="108"/>
        <v>144065</v>
      </c>
      <c r="AW68" s="261">
        <f t="shared" si="108"/>
        <v>127865</v>
      </c>
      <c r="AX68" s="261">
        <f t="shared" si="108"/>
        <v>123461</v>
      </c>
      <c r="AY68" s="261">
        <f t="shared" si="108"/>
        <v>121196</v>
      </c>
      <c r="AZ68" s="261">
        <f t="shared" si="108"/>
        <v>168029</v>
      </c>
      <c r="BA68" s="261">
        <f t="shared" si="108"/>
        <v>164268</v>
      </c>
      <c r="BB68" s="261">
        <f t="shared" si="108"/>
        <v>185112</v>
      </c>
      <c r="BC68" s="261">
        <f t="shared" si="108"/>
        <v>147235</v>
      </c>
      <c r="BD68" s="261">
        <f t="shared" si="108"/>
        <v>135608</v>
      </c>
      <c r="BE68" s="261">
        <f t="shared" si="108"/>
        <v>90194</v>
      </c>
      <c r="BF68" s="32">
        <f t="shared" si="79"/>
        <v>1685749</v>
      </c>
      <c r="BG68" s="35">
        <f t="shared" ref="BG68:BG69" si="109">BF68/AR68-1</f>
        <v>4.3414745165515356E-3</v>
      </c>
      <c r="BH68" s="261">
        <f>BH69+BH71</f>
        <v>144332</v>
      </c>
      <c r="BI68" s="261">
        <f t="shared" ref="BI68:BQ68" si="110">BI69+BI71</f>
        <v>128781</v>
      </c>
      <c r="BJ68" s="261">
        <f t="shared" si="110"/>
        <v>193129</v>
      </c>
      <c r="BK68" s="261">
        <f t="shared" si="110"/>
        <v>106092</v>
      </c>
      <c r="BL68" s="261">
        <f t="shared" si="110"/>
        <v>132638</v>
      </c>
      <c r="BM68" s="261">
        <f t="shared" si="110"/>
        <v>139193</v>
      </c>
      <c r="BN68" s="261">
        <f t="shared" si="110"/>
        <v>173703</v>
      </c>
      <c r="BO68" s="261">
        <f t="shared" si="110"/>
        <v>186902</v>
      </c>
      <c r="BP68" s="261">
        <f t="shared" si="110"/>
        <v>200686</v>
      </c>
      <c r="BQ68" s="261">
        <f t="shared" si="110"/>
        <v>191324</v>
      </c>
      <c r="BR68" s="14"/>
      <c r="BS68" s="14"/>
      <c r="BT68" s="14">
        <f t="shared" ref="BT68:BT73" si="111">SUM(BH68:BS68)</f>
        <v>1596780</v>
      </c>
      <c r="BU68" s="18"/>
      <c r="BV68" s="261"/>
      <c r="BW68" s="261"/>
      <c r="BX68" s="261"/>
      <c r="BY68" s="261"/>
      <c r="BZ68" s="14"/>
      <c r="CA68" s="14"/>
      <c r="CB68" s="14"/>
      <c r="CC68" s="14"/>
      <c r="CD68" s="14"/>
      <c r="CE68" s="14"/>
      <c r="CF68" s="14"/>
      <c r="CG68" s="14"/>
      <c r="CH68" s="14"/>
      <c r="CJ68" s="261">
        <f>CJ69+CJ71</f>
        <v>204853</v>
      </c>
      <c r="CK68" s="261">
        <f t="shared" ref="CK68:CM68" si="112">CK69+CK71</f>
        <v>0</v>
      </c>
      <c r="CL68" s="261">
        <f t="shared" si="112"/>
        <v>0</v>
      </c>
      <c r="CM68" s="261">
        <f t="shared" si="112"/>
        <v>0</v>
      </c>
      <c r="CN68" s="14"/>
      <c r="CO68" s="14"/>
      <c r="CP68" s="14"/>
      <c r="CQ68" s="14"/>
      <c r="CR68" s="14"/>
      <c r="CS68" s="14"/>
      <c r="CT68" s="14"/>
      <c r="CU68" s="14"/>
      <c r="CV68" s="14"/>
      <c r="CW68" s="758"/>
      <c r="CX68" s="874"/>
      <c r="CY68" s="874"/>
      <c r="CZ68" s="874"/>
      <c r="DA68" s="874"/>
      <c r="DB68" s="873"/>
      <c r="DC68" s="873"/>
      <c r="DD68" s="873"/>
      <c r="DE68" s="873"/>
      <c r="DF68" s="873"/>
      <c r="DG68" s="873"/>
      <c r="DH68" s="873"/>
      <c r="DI68" s="873"/>
      <c r="DJ68" s="14"/>
      <c r="DK68" s="948"/>
      <c r="DL68" s="874"/>
      <c r="DM68" s="874"/>
      <c r="DN68" s="874"/>
      <c r="DO68" s="874"/>
      <c r="DP68" s="873"/>
      <c r="DQ68" s="873"/>
      <c r="DR68" s="873"/>
      <c r="DS68" s="873"/>
      <c r="DT68" s="873"/>
      <c r="DU68" s="873"/>
      <c r="DV68" s="873"/>
      <c r="DW68" s="873"/>
      <c r="DX68" s="14"/>
    </row>
    <row r="69" spans="1:129" ht="15.75" hidden="1" customHeight="1">
      <c r="A69" s="210"/>
      <c r="B69" s="921" t="s">
        <v>79</v>
      </c>
      <c r="C69" s="890"/>
      <c r="D69" s="313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314"/>
      <c r="Q69" s="90"/>
      <c r="R69" s="313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315"/>
      <c r="AE69" s="23"/>
      <c r="AF69" s="316">
        <v>92193</v>
      </c>
      <c r="AG69" s="91">
        <v>152006</v>
      </c>
      <c r="AH69" s="91">
        <v>62734</v>
      </c>
      <c r="AI69" s="91">
        <v>71526</v>
      </c>
      <c r="AJ69" s="91">
        <v>89409</v>
      </c>
      <c r="AK69" s="91">
        <v>120675</v>
      </c>
      <c r="AL69" s="91">
        <v>100592</v>
      </c>
      <c r="AM69" s="91">
        <v>148128</v>
      </c>
      <c r="AN69" s="91">
        <v>164346</v>
      </c>
      <c r="AO69" s="91">
        <v>203437</v>
      </c>
      <c r="AP69" s="91">
        <v>64957</v>
      </c>
      <c r="AQ69" s="91">
        <v>31837</v>
      </c>
      <c r="AR69" s="92">
        <f t="shared" si="104"/>
        <v>1301840</v>
      </c>
      <c r="AS69" s="23"/>
      <c r="AT69" s="91">
        <v>125048</v>
      </c>
      <c r="AU69" s="91">
        <v>96006</v>
      </c>
      <c r="AV69" s="91">
        <v>111470</v>
      </c>
      <c r="AW69" s="91">
        <v>99222</v>
      </c>
      <c r="AX69" s="91">
        <v>91253</v>
      </c>
      <c r="AY69" s="91">
        <v>90595</v>
      </c>
      <c r="AZ69" s="91">
        <v>129147</v>
      </c>
      <c r="BA69" s="91">
        <v>133525</v>
      </c>
      <c r="BB69" s="91">
        <v>159291</v>
      </c>
      <c r="BC69" s="91">
        <v>115573</v>
      </c>
      <c r="BD69" s="91">
        <v>98386</v>
      </c>
      <c r="BE69" s="91">
        <v>36527</v>
      </c>
      <c r="BF69" s="91">
        <f t="shared" si="79"/>
        <v>1286043</v>
      </c>
      <c r="BG69" s="93">
        <f t="shared" si="109"/>
        <v>-1.2134363669882631E-2</v>
      </c>
      <c r="BH69" s="91">
        <v>110235</v>
      </c>
      <c r="BI69" s="91">
        <v>103047</v>
      </c>
      <c r="BJ69" s="91">
        <v>158855</v>
      </c>
      <c r="BK69" s="91">
        <v>77254</v>
      </c>
      <c r="BL69" s="91">
        <v>99853</v>
      </c>
      <c r="BM69" s="91">
        <v>100723</v>
      </c>
      <c r="BN69" s="91">
        <v>125338</v>
      </c>
      <c r="BO69" s="91">
        <v>153622</v>
      </c>
      <c r="BP69" s="91">
        <v>166483</v>
      </c>
      <c r="BQ69" s="91">
        <v>156140</v>
      </c>
      <c r="BR69" s="91">
        <v>111391</v>
      </c>
      <c r="BS69" s="91">
        <v>26768</v>
      </c>
      <c r="BT69" s="91">
        <f t="shared" si="111"/>
        <v>1389709</v>
      </c>
      <c r="BU69" s="28"/>
      <c r="BV69" s="91">
        <v>128446</v>
      </c>
      <c r="BW69" s="91">
        <v>119229</v>
      </c>
      <c r="BX69" s="91">
        <v>134860</v>
      </c>
      <c r="BY69" s="91">
        <v>111992</v>
      </c>
      <c r="BZ69" s="91">
        <v>102725</v>
      </c>
      <c r="CA69" s="91">
        <v>74472</v>
      </c>
      <c r="CB69" s="91">
        <v>164045</v>
      </c>
      <c r="CC69" s="91">
        <v>148167</v>
      </c>
      <c r="CD69" s="91">
        <v>189715</v>
      </c>
      <c r="CE69" s="91">
        <v>165488</v>
      </c>
      <c r="CF69" s="91">
        <v>103829</v>
      </c>
      <c r="CG69" s="91">
        <v>39967</v>
      </c>
      <c r="CH69" s="91">
        <f t="shared" ref="CH69:CH72" si="113">SUM(BV69:CG69)</f>
        <v>1482935</v>
      </c>
      <c r="CJ69" s="91">
        <v>167136</v>
      </c>
      <c r="CK69" s="91"/>
      <c r="CL69" s="91"/>
      <c r="CM69" s="91"/>
      <c r="CN69" s="91"/>
      <c r="CO69" s="91"/>
      <c r="CP69" s="91"/>
      <c r="CQ69" s="91"/>
      <c r="CR69" s="91"/>
      <c r="CS69" s="91"/>
      <c r="CT69" s="91"/>
      <c r="CU69" s="91"/>
      <c r="CV69" s="91"/>
      <c r="CW69" s="758"/>
      <c r="CX69" s="884">
        <v>54245</v>
      </c>
      <c r="CY69" s="884"/>
      <c r="CZ69" s="884"/>
      <c r="DA69" s="884"/>
      <c r="DB69" s="884"/>
      <c r="DC69" s="884"/>
      <c r="DD69" s="884"/>
      <c r="DE69" s="884"/>
      <c r="DF69" s="884"/>
      <c r="DG69" s="884"/>
      <c r="DH69" s="884"/>
      <c r="DI69" s="884"/>
      <c r="DJ69" s="91"/>
      <c r="DK69" s="948"/>
      <c r="DL69" s="884">
        <v>54245</v>
      </c>
      <c r="DM69" s="884"/>
      <c r="DN69" s="884"/>
      <c r="DO69" s="884"/>
      <c r="DP69" s="884"/>
      <c r="DQ69" s="884"/>
      <c r="DR69" s="884"/>
      <c r="DS69" s="884"/>
      <c r="DT69" s="884"/>
      <c r="DU69" s="884"/>
      <c r="DV69" s="884"/>
      <c r="DW69" s="884"/>
      <c r="DX69" s="91"/>
    </row>
    <row r="70" spans="1:129" ht="18.75" hidden="1">
      <c r="A70" s="103"/>
      <c r="B70" s="932" t="s">
        <v>80</v>
      </c>
      <c r="C70" s="933"/>
      <c r="D70" s="331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332"/>
      <c r="Q70" s="105"/>
      <c r="R70" s="333"/>
      <c r="S70" s="333"/>
      <c r="T70" s="333"/>
      <c r="U70" s="333"/>
      <c r="V70" s="333"/>
      <c r="W70" s="333"/>
      <c r="X70" s="333"/>
      <c r="Y70" s="333"/>
      <c r="Z70" s="333"/>
      <c r="AA70" s="333"/>
      <c r="AB70" s="333"/>
      <c r="AC70" s="333"/>
      <c r="AD70" s="334"/>
      <c r="AE70" s="106"/>
      <c r="AF70" s="333">
        <f t="shared" ref="AF70:AQ70" si="114">AF69-AF38</f>
        <v>2047</v>
      </c>
      <c r="AG70" s="333">
        <f t="shared" si="114"/>
        <v>-3571</v>
      </c>
      <c r="AH70" s="333">
        <f t="shared" si="114"/>
        <v>-219</v>
      </c>
      <c r="AI70" s="333">
        <f t="shared" si="114"/>
        <v>-1735</v>
      </c>
      <c r="AJ70" s="333">
        <f t="shared" si="114"/>
        <v>-2447</v>
      </c>
      <c r="AK70" s="333">
        <f t="shared" si="114"/>
        <v>675</v>
      </c>
      <c r="AL70" s="333">
        <f t="shared" si="114"/>
        <v>-9703</v>
      </c>
      <c r="AM70" s="333">
        <f t="shared" si="114"/>
        <v>-52075</v>
      </c>
      <c r="AN70" s="333">
        <f t="shared" si="114"/>
        <v>-59487.333333333343</v>
      </c>
      <c r="AO70" s="333">
        <f t="shared" si="114"/>
        <v>-15063</v>
      </c>
      <c r="AP70" s="333">
        <f t="shared" si="114"/>
        <v>-23043</v>
      </c>
      <c r="AQ70" s="333">
        <f t="shared" si="114"/>
        <v>-11563</v>
      </c>
      <c r="AR70" s="107">
        <f t="shared" si="104"/>
        <v>-176184.33333333334</v>
      </c>
      <c r="AS70" s="106"/>
      <c r="AT70" s="333">
        <f t="shared" ref="AT70:BE70" si="115">AT69-AT38</f>
        <v>8451.75</v>
      </c>
      <c r="AU70" s="333">
        <f t="shared" si="115"/>
        <v>-37227.103448275855</v>
      </c>
      <c r="AV70" s="333">
        <f t="shared" si="115"/>
        <v>-6779.1379310344782</v>
      </c>
      <c r="AW70" s="333">
        <f t="shared" si="115"/>
        <v>-22342.137931034478</v>
      </c>
      <c r="AX70" s="333">
        <f t="shared" si="115"/>
        <v>4719.0344827586232</v>
      </c>
      <c r="AY70" s="333">
        <f t="shared" si="115"/>
        <v>-14182.777777777781</v>
      </c>
      <c r="AZ70" s="333">
        <f t="shared" si="115"/>
        <v>-6630.777777777781</v>
      </c>
      <c r="BA70" s="333">
        <f t="shared" si="115"/>
        <v>-77771.296296296292</v>
      </c>
      <c r="BB70" s="333">
        <f t="shared" si="115"/>
        <v>-51486.777777777781</v>
      </c>
      <c r="BC70" s="333">
        <f t="shared" si="115"/>
        <v>-99233.290755657828</v>
      </c>
      <c r="BD70" s="333">
        <f t="shared" si="115"/>
        <v>5175.413118527038</v>
      </c>
      <c r="BE70" s="333">
        <f t="shared" si="115"/>
        <v>5840.3870349060235</v>
      </c>
      <c r="BF70" s="108">
        <f t="shared" si="79"/>
        <v>-291466.71505944064</v>
      </c>
      <c r="BG70" s="106"/>
      <c r="BH70" s="333">
        <f t="shared" ref="BH70:BQ70" si="116">BH69-BH35</f>
        <v>-6365</v>
      </c>
      <c r="BI70" s="333">
        <f t="shared" si="116"/>
        <v>-8486.3333333333285</v>
      </c>
      <c r="BJ70" s="333">
        <f t="shared" si="116"/>
        <v>23180.925925925927</v>
      </c>
      <c r="BK70" s="333">
        <f t="shared" si="116"/>
        <v>-44486.740740740745</v>
      </c>
      <c r="BL70" s="333">
        <f t="shared" si="116"/>
        <v>5926.148148148146</v>
      </c>
      <c r="BM70" s="333">
        <f t="shared" si="116"/>
        <v>10043.740740740745</v>
      </c>
      <c r="BN70" s="333">
        <f t="shared" si="116"/>
        <v>-4917.555555555562</v>
      </c>
      <c r="BO70" s="333">
        <f t="shared" si="116"/>
        <v>3071.6218888889125</v>
      </c>
      <c r="BP70" s="333">
        <f t="shared" si="116"/>
        <v>4652.2504629629548</v>
      </c>
      <c r="BQ70" s="333">
        <f t="shared" si="116"/>
        <v>29010</v>
      </c>
      <c r="BR70" s="108"/>
      <c r="BS70" s="108"/>
      <c r="BT70" s="108">
        <f t="shared" si="111"/>
        <v>11629.05753703705</v>
      </c>
      <c r="BU70" s="28"/>
      <c r="BV70" s="333">
        <v>124435</v>
      </c>
      <c r="BW70" s="333">
        <v>117564</v>
      </c>
      <c r="BX70" s="333">
        <v>133262</v>
      </c>
      <c r="BY70" s="333">
        <v>110312</v>
      </c>
      <c r="BZ70" s="108">
        <v>101441</v>
      </c>
      <c r="CA70" s="108">
        <v>67535</v>
      </c>
      <c r="CB70" s="108">
        <v>155594</v>
      </c>
      <c r="CC70" s="108"/>
      <c r="CD70" s="108"/>
      <c r="CE70" s="108"/>
      <c r="CF70" s="108"/>
      <c r="CG70" s="108"/>
      <c r="CH70" s="108">
        <f t="shared" si="113"/>
        <v>810143</v>
      </c>
      <c r="CJ70" s="333">
        <v>159683</v>
      </c>
      <c r="CK70" s="333">
        <v>182683</v>
      </c>
      <c r="CL70" s="333">
        <v>137562</v>
      </c>
      <c r="CM70" s="333">
        <v>131937</v>
      </c>
      <c r="CN70" s="108"/>
      <c r="CO70" s="108"/>
      <c r="CP70" s="108"/>
      <c r="CQ70" s="108"/>
      <c r="CR70" s="108"/>
      <c r="CS70" s="108"/>
      <c r="CT70" s="108"/>
      <c r="CU70" s="108"/>
      <c r="CV70" s="108"/>
      <c r="CW70" s="758"/>
      <c r="CX70" s="892"/>
      <c r="CY70" s="892"/>
      <c r="CZ70" s="892"/>
      <c r="DA70" s="892"/>
      <c r="DB70" s="893"/>
      <c r="DC70" s="893"/>
      <c r="DD70" s="893"/>
      <c r="DE70" s="893"/>
      <c r="DF70" s="893"/>
      <c r="DG70" s="893"/>
      <c r="DH70" s="893"/>
      <c r="DI70" s="893"/>
      <c r="DJ70" s="108"/>
      <c r="DK70" s="948"/>
      <c r="DL70" s="892"/>
      <c r="DM70" s="892"/>
      <c r="DN70" s="892"/>
      <c r="DO70" s="892"/>
      <c r="DP70" s="893"/>
      <c r="DQ70" s="893"/>
      <c r="DR70" s="893"/>
      <c r="DS70" s="893"/>
      <c r="DT70" s="893"/>
      <c r="DU70" s="893"/>
      <c r="DV70" s="893"/>
      <c r="DW70" s="893"/>
      <c r="DX70" s="108"/>
    </row>
    <row r="71" spans="1:129" ht="15.75" hidden="1" customHeight="1">
      <c r="A71" s="94"/>
      <c r="B71" s="935" t="s">
        <v>81</v>
      </c>
      <c r="C71" s="934"/>
      <c r="D71" s="313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314"/>
      <c r="Q71" s="90"/>
      <c r="R71" s="316"/>
      <c r="S71" s="316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5"/>
      <c r="AE71" s="23"/>
      <c r="AF71" s="316">
        <v>26171</v>
      </c>
      <c r="AG71" s="316">
        <v>21736</v>
      </c>
      <c r="AH71" s="316">
        <v>10736</v>
      </c>
      <c r="AI71" s="316">
        <v>15851</v>
      </c>
      <c r="AJ71" s="316">
        <v>30248</v>
      </c>
      <c r="AK71" s="316">
        <v>34072</v>
      </c>
      <c r="AL71" s="316">
        <v>37481</v>
      </c>
      <c r="AM71" s="91">
        <v>32645</v>
      </c>
      <c r="AN71" s="91">
        <v>30252</v>
      </c>
      <c r="AO71" s="91">
        <v>39494</v>
      </c>
      <c r="AP71" s="91">
        <v>42389</v>
      </c>
      <c r="AQ71" s="91">
        <v>55547</v>
      </c>
      <c r="AR71" s="92">
        <f t="shared" si="104"/>
        <v>376622</v>
      </c>
      <c r="AS71" s="23"/>
      <c r="AT71" s="91">
        <v>30298</v>
      </c>
      <c r="AU71" s="91">
        <v>27364</v>
      </c>
      <c r="AV71" s="91">
        <v>32595</v>
      </c>
      <c r="AW71" s="91">
        <v>28643</v>
      </c>
      <c r="AX71" s="91">
        <v>32208</v>
      </c>
      <c r="AY71" s="91">
        <v>30601</v>
      </c>
      <c r="AZ71" s="91">
        <v>38882</v>
      </c>
      <c r="BA71" s="91">
        <v>30743</v>
      </c>
      <c r="BB71" s="91">
        <f>24621+1200</f>
        <v>25821</v>
      </c>
      <c r="BC71" s="91">
        <v>31662</v>
      </c>
      <c r="BD71" s="91">
        <v>37222</v>
      </c>
      <c r="BE71" s="91">
        <v>53667</v>
      </c>
      <c r="BF71" s="91">
        <f t="shared" si="79"/>
        <v>399706</v>
      </c>
      <c r="BG71" s="93">
        <f>BF71/AR71-1</f>
        <v>6.1292224033646425E-2</v>
      </c>
      <c r="BH71" s="91">
        <v>34097</v>
      </c>
      <c r="BI71" s="91">
        <v>25734</v>
      </c>
      <c r="BJ71" s="91">
        <v>34274</v>
      </c>
      <c r="BK71" s="91">
        <v>28838</v>
      </c>
      <c r="BL71" s="91">
        <v>32785</v>
      </c>
      <c r="BM71" s="91">
        <v>38470</v>
      </c>
      <c r="BN71" s="91">
        <v>48365</v>
      </c>
      <c r="BO71" s="91">
        <v>33280</v>
      </c>
      <c r="BP71" s="91">
        <v>34203</v>
      </c>
      <c r="BQ71" s="91">
        <v>35184</v>
      </c>
      <c r="BR71" s="91">
        <v>34873</v>
      </c>
      <c r="BS71" s="91">
        <v>48960</v>
      </c>
      <c r="BT71" s="91">
        <f t="shared" si="111"/>
        <v>429063</v>
      </c>
      <c r="BU71" s="28"/>
      <c r="BV71" s="91">
        <v>38900</v>
      </c>
      <c r="BW71" s="91">
        <v>31376</v>
      </c>
      <c r="BX71" s="91">
        <v>29886</v>
      </c>
      <c r="BY71" s="91">
        <v>30671</v>
      </c>
      <c r="BZ71" s="91">
        <v>34553</v>
      </c>
      <c r="CA71" s="91">
        <v>36515</v>
      </c>
      <c r="CB71" s="91">
        <v>38915</v>
      </c>
      <c r="CC71" s="91">
        <v>34615</v>
      </c>
      <c r="CD71" s="91">
        <v>29617</v>
      </c>
      <c r="CE71" s="91">
        <v>34538</v>
      </c>
      <c r="CF71" s="91">
        <v>45914</v>
      </c>
      <c r="CG71" s="91">
        <v>60875</v>
      </c>
      <c r="CH71" s="91">
        <f t="shared" si="113"/>
        <v>446375</v>
      </c>
      <c r="CJ71" s="91">
        <v>37717</v>
      </c>
      <c r="CK71" s="91"/>
      <c r="CL71" s="91"/>
      <c r="CM71" s="91"/>
      <c r="CN71" s="91"/>
      <c r="CO71" s="91"/>
      <c r="CP71" s="91"/>
      <c r="CQ71" s="91"/>
      <c r="CR71" s="91"/>
      <c r="CS71" s="91"/>
      <c r="CT71" s="91"/>
      <c r="CU71" s="91"/>
      <c r="CV71" s="91"/>
      <c r="CW71" s="758"/>
      <c r="CX71" s="884">
        <v>22115</v>
      </c>
      <c r="CY71" s="884"/>
      <c r="CZ71" s="884"/>
      <c r="DA71" s="884"/>
      <c r="DB71" s="884"/>
      <c r="DC71" s="884"/>
      <c r="DD71" s="884"/>
      <c r="DE71" s="884"/>
      <c r="DF71" s="884"/>
      <c r="DG71" s="884"/>
      <c r="DH71" s="884"/>
      <c r="DI71" s="884"/>
      <c r="DJ71" s="91"/>
      <c r="DK71" s="948"/>
      <c r="DL71" s="884">
        <v>22115</v>
      </c>
      <c r="DM71" s="884"/>
      <c r="DN71" s="884"/>
      <c r="DO71" s="884"/>
      <c r="DP71" s="884"/>
      <c r="DQ71" s="884"/>
      <c r="DR71" s="884"/>
      <c r="DS71" s="884"/>
      <c r="DT71" s="884"/>
      <c r="DU71" s="884"/>
      <c r="DV71" s="884"/>
      <c r="DW71" s="884"/>
      <c r="DX71" s="91"/>
    </row>
    <row r="72" spans="1:129" ht="18.75">
      <c r="A72" s="103"/>
      <c r="B72" s="932" t="s">
        <v>82</v>
      </c>
      <c r="C72" s="933"/>
      <c r="D72" s="331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332"/>
      <c r="Q72" s="105"/>
      <c r="R72" s="333"/>
      <c r="S72" s="333"/>
      <c r="T72" s="333"/>
      <c r="U72" s="333"/>
      <c r="V72" s="333"/>
      <c r="W72" s="333"/>
      <c r="X72" s="333"/>
      <c r="Y72" s="333"/>
      <c r="Z72" s="333"/>
      <c r="AA72" s="333"/>
      <c r="AB72" s="333"/>
      <c r="AC72" s="333"/>
      <c r="AD72" s="334"/>
      <c r="AE72" s="106"/>
      <c r="AF72" s="333">
        <f t="shared" ref="AF72:AQ72" si="117">AF71-AF62</f>
        <v>-12329</v>
      </c>
      <c r="AG72" s="333">
        <f t="shared" si="117"/>
        <v>-664</v>
      </c>
      <c r="AH72" s="333">
        <f t="shared" si="117"/>
        <v>65</v>
      </c>
      <c r="AI72" s="333">
        <f t="shared" si="117"/>
        <v>-246</v>
      </c>
      <c r="AJ72" s="333">
        <f t="shared" si="117"/>
        <v>-30</v>
      </c>
      <c r="AK72" s="333">
        <f t="shared" si="117"/>
        <v>5512</v>
      </c>
      <c r="AL72" s="333">
        <f t="shared" si="117"/>
        <v>-4219</v>
      </c>
      <c r="AM72" s="333">
        <f t="shared" si="117"/>
        <v>-6055</v>
      </c>
      <c r="AN72" s="333">
        <f t="shared" si="117"/>
        <v>-7048</v>
      </c>
      <c r="AO72" s="333">
        <f t="shared" si="117"/>
        <v>2094</v>
      </c>
      <c r="AP72" s="333">
        <f t="shared" si="117"/>
        <v>1749</v>
      </c>
      <c r="AQ72" s="333">
        <f t="shared" si="117"/>
        <v>1107</v>
      </c>
      <c r="AR72" s="107">
        <f t="shared" si="104"/>
        <v>-20064</v>
      </c>
      <c r="AS72" s="106"/>
      <c r="AT72" s="333">
        <f t="shared" ref="AT72:BE72" si="118">AT71-AT62</f>
        <v>-5855</v>
      </c>
      <c r="AU72" s="333">
        <f t="shared" si="118"/>
        <v>-7925</v>
      </c>
      <c r="AV72" s="333">
        <f t="shared" si="118"/>
        <v>-3277</v>
      </c>
      <c r="AW72" s="333">
        <f t="shared" si="118"/>
        <v>-9388</v>
      </c>
      <c r="AX72" s="333">
        <f t="shared" si="118"/>
        <v>-1358</v>
      </c>
      <c r="AY72" s="333">
        <f t="shared" si="118"/>
        <v>-2965</v>
      </c>
      <c r="AZ72" s="333">
        <f t="shared" si="118"/>
        <v>7986</v>
      </c>
      <c r="BA72" s="333">
        <f t="shared" si="118"/>
        <v>-403</v>
      </c>
      <c r="BB72" s="333">
        <f t="shared" si="118"/>
        <v>-6809</v>
      </c>
      <c r="BC72" s="333">
        <f t="shared" si="118"/>
        <v>-6900</v>
      </c>
      <c r="BD72" s="333">
        <f t="shared" si="118"/>
        <v>-4123</v>
      </c>
      <c r="BE72" s="333">
        <f t="shared" si="118"/>
        <v>4404</v>
      </c>
      <c r="BF72" s="108">
        <f t="shared" si="79"/>
        <v>-36613</v>
      </c>
      <c r="BG72" s="106"/>
      <c r="BH72" s="333">
        <f t="shared" ref="BH72:BQ72" si="119">BH71-BH62</f>
        <v>-2056</v>
      </c>
      <c r="BI72" s="333">
        <f t="shared" si="119"/>
        <v>-9555</v>
      </c>
      <c r="BJ72" s="333">
        <f t="shared" si="119"/>
        <v>-1598</v>
      </c>
      <c r="BK72" s="333">
        <f t="shared" si="119"/>
        <v>-9193</v>
      </c>
      <c r="BL72" s="333">
        <f t="shared" si="119"/>
        <v>-5785</v>
      </c>
      <c r="BM72" s="333">
        <f t="shared" si="119"/>
        <v>-757</v>
      </c>
      <c r="BN72" s="333">
        <f t="shared" si="119"/>
        <v>7237</v>
      </c>
      <c r="BO72" s="333">
        <f t="shared" si="119"/>
        <v>-4911</v>
      </c>
      <c r="BP72" s="333">
        <f t="shared" si="119"/>
        <v>-3988</v>
      </c>
      <c r="BQ72" s="333">
        <f t="shared" si="119"/>
        <v>-5041</v>
      </c>
      <c r="BR72" s="108"/>
      <c r="BS72" s="108"/>
      <c r="BT72" s="108">
        <f t="shared" si="111"/>
        <v>-35647</v>
      </c>
      <c r="BU72" s="28"/>
      <c r="BV72" s="333">
        <v>27740</v>
      </c>
      <c r="BW72" s="333">
        <v>23272</v>
      </c>
      <c r="BX72" s="333">
        <v>24576</v>
      </c>
      <c r="BY72" s="108">
        <v>26006</v>
      </c>
      <c r="BZ72" s="108">
        <v>30640</v>
      </c>
      <c r="CA72" s="108">
        <v>30640</v>
      </c>
      <c r="CB72" s="108">
        <v>29618</v>
      </c>
      <c r="CC72" s="108">
        <v>29686</v>
      </c>
      <c r="CD72" s="108">
        <v>29993</v>
      </c>
      <c r="CE72" s="108">
        <v>31540</v>
      </c>
      <c r="CF72" s="108">
        <v>38086</v>
      </c>
      <c r="CG72" s="108">
        <v>54003</v>
      </c>
      <c r="CH72" s="108">
        <f t="shared" si="113"/>
        <v>375800</v>
      </c>
      <c r="CJ72" s="333">
        <f>BV72*1.03</f>
        <v>28572.2</v>
      </c>
      <c r="CK72" s="333">
        <f>BW72*1.03</f>
        <v>23970.16</v>
      </c>
      <c r="CL72" s="333">
        <f t="shared" ref="CL72:CT72" si="120">BX72*1.03</f>
        <v>25313.279999999999</v>
      </c>
      <c r="CM72" s="333">
        <v>29046</v>
      </c>
      <c r="CN72" s="333">
        <f t="shared" si="120"/>
        <v>31559.200000000001</v>
      </c>
      <c r="CO72" s="333">
        <f t="shared" si="120"/>
        <v>31559.200000000001</v>
      </c>
      <c r="CP72" s="333">
        <f t="shared" si="120"/>
        <v>30506.54</v>
      </c>
      <c r="CQ72" s="333">
        <f t="shared" si="120"/>
        <v>30576.58</v>
      </c>
      <c r="CR72" s="333">
        <f t="shared" si="120"/>
        <v>30892.79</v>
      </c>
      <c r="CS72" s="333">
        <f t="shared" si="120"/>
        <v>32486.2</v>
      </c>
      <c r="CT72" s="333">
        <f t="shared" si="120"/>
        <v>39228.58</v>
      </c>
      <c r="CU72" s="333">
        <v>45000</v>
      </c>
      <c r="CV72" s="108">
        <f>SUM(CJ72:CU72)</f>
        <v>378710.73000000004</v>
      </c>
      <c r="CW72" s="758"/>
      <c r="CX72" s="892">
        <v>24000</v>
      </c>
      <c r="CY72" s="892">
        <v>21000</v>
      </c>
      <c r="CZ72" s="892">
        <v>24000</v>
      </c>
      <c r="DA72" s="892">
        <v>23000</v>
      </c>
      <c r="DB72" s="892">
        <v>25000</v>
      </c>
      <c r="DC72" s="892">
        <f t="shared" ref="DA72:DI72" si="121">CO72</f>
        <v>31559.200000000001</v>
      </c>
      <c r="DD72" s="892">
        <f t="shared" si="121"/>
        <v>30506.54</v>
      </c>
      <c r="DE72" s="892">
        <f t="shared" si="121"/>
        <v>30576.58</v>
      </c>
      <c r="DF72" s="892">
        <f t="shared" si="121"/>
        <v>30892.79</v>
      </c>
      <c r="DG72" s="892">
        <f>CS72</f>
        <v>32486.2</v>
      </c>
      <c r="DH72" s="892">
        <f t="shared" si="121"/>
        <v>39228.58</v>
      </c>
      <c r="DI72" s="892">
        <f t="shared" si="121"/>
        <v>45000</v>
      </c>
      <c r="DJ72" s="108">
        <f>SUM(CX72:DI72)</f>
        <v>357249.89</v>
      </c>
      <c r="DK72" s="948"/>
      <c r="DL72" s="892">
        <f>CX72*1</f>
        <v>24000</v>
      </c>
      <c r="DM72" s="892">
        <f t="shared" ref="DM72:DW72" si="122">CY72*1</f>
        <v>21000</v>
      </c>
      <c r="DN72" s="892">
        <f t="shared" si="122"/>
        <v>24000</v>
      </c>
      <c r="DO72" s="892">
        <f t="shared" si="122"/>
        <v>23000</v>
      </c>
      <c r="DP72" s="892">
        <f>DB72*1</f>
        <v>25000</v>
      </c>
      <c r="DQ72" s="892">
        <f t="shared" si="122"/>
        <v>31559.200000000001</v>
      </c>
      <c r="DR72" s="892">
        <f t="shared" si="122"/>
        <v>30506.54</v>
      </c>
      <c r="DS72" s="892">
        <f t="shared" si="122"/>
        <v>30576.58</v>
      </c>
      <c r="DT72" s="892">
        <f t="shared" si="122"/>
        <v>30892.79</v>
      </c>
      <c r="DU72" s="892">
        <f t="shared" si="122"/>
        <v>32486.2</v>
      </c>
      <c r="DV72" s="892">
        <f t="shared" si="122"/>
        <v>39228.58</v>
      </c>
      <c r="DW72" s="892">
        <f t="shared" si="122"/>
        <v>45000</v>
      </c>
      <c r="DX72" s="108">
        <f>SUM(DL72:DW72)</f>
        <v>357249.89</v>
      </c>
      <c r="DY72" s="598">
        <f>DX72-DJ72</f>
        <v>0</v>
      </c>
    </row>
    <row r="73" spans="1:129" ht="18.75" hidden="1">
      <c r="A73" s="103" t="s">
        <v>83</v>
      </c>
      <c r="B73" s="932" t="s">
        <v>84</v>
      </c>
      <c r="C73" s="933"/>
      <c r="D73" s="331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332"/>
      <c r="Q73" s="105"/>
      <c r="R73" s="333"/>
      <c r="S73" s="333"/>
      <c r="T73" s="333"/>
      <c r="U73" s="333"/>
      <c r="V73" s="333"/>
      <c r="W73" s="333"/>
      <c r="X73" s="333"/>
      <c r="Y73" s="333"/>
      <c r="Z73" s="333"/>
      <c r="AA73" s="333"/>
      <c r="AB73" s="333"/>
      <c r="AC73" s="333"/>
      <c r="AD73" s="334"/>
      <c r="AE73" s="106"/>
      <c r="AF73" s="333">
        <f>AF68-AF34</f>
        <v>-10282</v>
      </c>
      <c r="AG73" s="333">
        <f>AG68-AG34</f>
        <v>-4235</v>
      </c>
      <c r="AH73" s="333">
        <f>AH68-AH34</f>
        <v>-154</v>
      </c>
      <c r="AI73" s="333">
        <f>AI68-AI34</f>
        <v>-1981</v>
      </c>
      <c r="AJ73" s="333">
        <f>AJ68-AJ34</f>
        <v>-2477</v>
      </c>
      <c r="AK73" s="333">
        <f>AK68-AK34</f>
        <v>6187</v>
      </c>
      <c r="AL73" s="333">
        <f>AL68-AL34</f>
        <v>-13922</v>
      </c>
      <c r="AM73" s="333">
        <f>AM68-AM34</f>
        <v>-58130</v>
      </c>
      <c r="AN73" s="333">
        <f>AN68-AN34</f>
        <v>-66535.333333333343</v>
      </c>
      <c r="AO73" s="333">
        <f>AO68-AO34</f>
        <v>-12969</v>
      </c>
      <c r="AP73" s="333">
        <f>AP68-AP34</f>
        <v>-21294</v>
      </c>
      <c r="AQ73" s="333">
        <f>AQ68-AQ34</f>
        <v>-10456</v>
      </c>
      <c r="AR73" s="107">
        <f t="shared" si="104"/>
        <v>-196248.33333333334</v>
      </c>
      <c r="AS73" s="106"/>
      <c r="AT73" s="333">
        <f t="shared" ref="AT73:BE73" si="123">AT68-AT34</f>
        <v>2596.75</v>
      </c>
      <c r="AU73" s="333">
        <f t="shared" si="123"/>
        <v>-45152.103448275855</v>
      </c>
      <c r="AV73" s="333">
        <f t="shared" si="123"/>
        <v>-10056.137931034493</v>
      </c>
      <c r="AW73" s="333">
        <f t="shared" si="123"/>
        <v>-31730.137931034493</v>
      </c>
      <c r="AX73" s="333">
        <f t="shared" si="123"/>
        <v>3361.0344827586232</v>
      </c>
      <c r="AY73" s="333">
        <f t="shared" si="123"/>
        <v>-17147.777777777781</v>
      </c>
      <c r="AZ73" s="333">
        <f t="shared" si="123"/>
        <v>1355.222222222219</v>
      </c>
      <c r="BA73" s="333">
        <f t="shared" si="123"/>
        <v>-78174.296296296292</v>
      </c>
      <c r="BB73" s="333">
        <f t="shared" si="123"/>
        <v>-58295.777777777781</v>
      </c>
      <c r="BC73" s="333">
        <f t="shared" si="123"/>
        <v>-106133.29075565783</v>
      </c>
      <c r="BD73" s="333">
        <f t="shared" si="123"/>
        <v>1052.413118527038</v>
      </c>
      <c r="BE73" s="333">
        <f t="shared" si="123"/>
        <v>17507.387034906016</v>
      </c>
      <c r="BF73" s="108">
        <f t="shared" si="79"/>
        <v>-320816.71505944064</v>
      </c>
      <c r="BG73" s="106"/>
      <c r="BH73" s="333">
        <f t="shared" ref="BH73:BQ73" si="124">BH68-BH34</f>
        <v>-8421</v>
      </c>
      <c r="BI73" s="333">
        <f t="shared" si="124"/>
        <v>-18041.333333333314</v>
      </c>
      <c r="BJ73" s="333">
        <f t="shared" si="124"/>
        <v>21582.925925925927</v>
      </c>
      <c r="BK73" s="333">
        <f t="shared" si="124"/>
        <v>-53679.74074074073</v>
      </c>
      <c r="BL73" s="333">
        <f t="shared" si="124"/>
        <v>141.14814814814599</v>
      </c>
      <c r="BM73" s="333">
        <f t="shared" si="124"/>
        <v>9286.7407407407445</v>
      </c>
      <c r="BN73" s="333">
        <f t="shared" si="124"/>
        <v>2319.444444444438</v>
      </c>
      <c r="BO73" s="333">
        <f t="shared" si="124"/>
        <v>7351.6218888889125</v>
      </c>
      <c r="BP73" s="333">
        <f t="shared" si="124"/>
        <v>-1367.7495370370452</v>
      </c>
      <c r="BQ73" s="333">
        <f t="shared" si="124"/>
        <v>27459</v>
      </c>
      <c r="BR73" s="108"/>
      <c r="BS73" s="108"/>
      <c r="BT73" s="108">
        <f t="shared" si="111"/>
        <v>-13368.942462962921</v>
      </c>
      <c r="BU73" s="28"/>
      <c r="BV73" s="333"/>
      <c r="BW73" s="333"/>
      <c r="BX73" s="333"/>
      <c r="BY73" s="333"/>
      <c r="BZ73" s="108"/>
      <c r="CA73" s="108"/>
      <c r="CB73" s="108">
        <f>CB72+CB69</f>
        <v>193663</v>
      </c>
      <c r="CC73" s="108">
        <f>CC72+CC69</f>
        <v>177853</v>
      </c>
      <c r="CD73" s="108">
        <f t="shared" ref="CD73:CH73" si="125">CD72+CD69</f>
        <v>219708</v>
      </c>
      <c r="CE73" s="108">
        <f t="shared" si="125"/>
        <v>197028</v>
      </c>
      <c r="CF73" s="108">
        <f t="shared" si="125"/>
        <v>141915</v>
      </c>
      <c r="CG73" s="108">
        <f t="shared" si="125"/>
        <v>93970</v>
      </c>
      <c r="CH73" s="108"/>
      <c r="CJ73" s="333">
        <v>27785</v>
      </c>
      <c r="CK73" s="333">
        <v>23447</v>
      </c>
      <c r="CL73" s="333">
        <v>26944</v>
      </c>
      <c r="CM73" s="333"/>
      <c r="CN73" s="108"/>
      <c r="CO73" s="108"/>
      <c r="CP73" s="108"/>
      <c r="CQ73" s="108"/>
      <c r="CR73" s="108"/>
      <c r="CS73" s="108"/>
      <c r="CT73" s="108"/>
      <c r="CU73" s="108"/>
      <c r="CV73" s="108"/>
      <c r="CW73" s="758"/>
      <c r="CX73" s="892"/>
      <c r="CY73" s="892"/>
      <c r="CZ73" s="892"/>
      <c r="DA73" s="892"/>
      <c r="DB73" s="893"/>
      <c r="DC73" s="893"/>
      <c r="DD73" s="893"/>
      <c r="DE73" s="893"/>
      <c r="DF73" s="893"/>
      <c r="DG73" s="893"/>
      <c r="DH73" s="893"/>
      <c r="DI73" s="893"/>
      <c r="DJ73" s="108"/>
      <c r="DK73" s="948"/>
      <c r="DL73" s="892"/>
      <c r="DM73" s="892"/>
      <c r="DN73" s="892"/>
      <c r="DO73" s="892"/>
      <c r="DP73" s="893"/>
      <c r="DQ73" s="893"/>
      <c r="DR73" s="893"/>
      <c r="DS73" s="893"/>
      <c r="DT73" s="893"/>
      <c r="DU73" s="893"/>
      <c r="DV73" s="893"/>
      <c r="DW73" s="893"/>
      <c r="DX73" s="108"/>
    </row>
    <row r="74" spans="1:129" ht="18.75" hidden="1">
      <c r="A74" s="103" t="s">
        <v>85</v>
      </c>
      <c r="B74" s="932"/>
      <c r="C74" s="933"/>
      <c r="D74" s="331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332"/>
      <c r="Q74" s="105"/>
      <c r="R74" s="333"/>
      <c r="S74" s="333"/>
      <c r="T74" s="333"/>
      <c r="U74" s="333"/>
      <c r="V74" s="333"/>
      <c r="W74" s="333"/>
      <c r="X74" s="333"/>
      <c r="Y74" s="333"/>
      <c r="Z74" s="333"/>
      <c r="AA74" s="333"/>
      <c r="AB74" s="333"/>
      <c r="AC74" s="333"/>
      <c r="AD74" s="334"/>
      <c r="AE74" s="106"/>
      <c r="AF74" s="333">
        <f>AF69-AF35</f>
        <v>92193</v>
      </c>
      <c r="AG74" s="333">
        <f>AG69-AG35</f>
        <v>152006</v>
      </c>
      <c r="AH74" s="333">
        <f>AH69-AH35</f>
        <v>62734</v>
      </c>
      <c r="AI74" s="333">
        <f>AI69-AI35</f>
        <v>71526</v>
      </c>
      <c r="AJ74" s="333">
        <f>AJ69-AJ35</f>
        <v>89409</v>
      </c>
      <c r="AK74" s="333">
        <f>AK69-AK35</f>
        <v>120675</v>
      </c>
      <c r="AL74" s="333">
        <f>AL69-AL35</f>
        <v>100592</v>
      </c>
      <c r="AM74" s="333">
        <f>AM69-AM35</f>
        <v>148128</v>
      </c>
      <c r="AN74" s="333">
        <f>AN69-AN35</f>
        <v>164346</v>
      </c>
      <c r="AO74" s="333">
        <f>AO69-AO35</f>
        <v>203437</v>
      </c>
      <c r="AP74" s="333">
        <f>AP69-AP35</f>
        <v>64957</v>
      </c>
      <c r="AQ74" s="333">
        <f>AQ69-AQ35</f>
        <v>31837</v>
      </c>
      <c r="AR74" s="107">
        <f t="shared" si="104"/>
        <v>1301840</v>
      </c>
      <c r="AS74" s="106"/>
      <c r="AT74" s="338">
        <f t="shared" ref="AT74:BE74" si="126">AT73/AT34</f>
        <v>1.7000083470131603E-2</v>
      </c>
      <c r="AU74" s="338">
        <f t="shared" si="126"/>
        <v>-0.26792985919579565</v>
      </c>
      <c r="AV74" s="338">
        <f t="shared" si="126"/>
        <v>-6.5248272015318062E-2</v>
      </c>
      <c r="AW74" s="338">
        <f t="shared" si="126"/>
        <v>-0.19881644480138216</v>
      </c>
      <c r="AX74" s="338">
        <f t="shared" si="126"/>
        <v>2.798530764170884E-2</v>
      </c>
      <c r="AY74" s="338">
        <f t="shared" si="126"/>
        <v>-0.12395048084722922</v>
      </c>
      <c r="AZ74" s="338">
        <f t="shared" si="126"/>
        <v>8.1309864112464342E-3</v>
      </c>
      <c r="BA74" s="338">
        <f t="shared" si="126"/>
        <v>-0.32244495902957893</v>
      </c>
      <c r="BB74" s="338">
        <f t="shared" si="126"/>
        <v>-0.23949841829212068</v>
      </c>
      <c r="BC74" s="338">
        <f t="shared" si="126"/>
        <v>-0.41888939787658819</v>
      </c>
      <c r="BD74" s="338">
        <f t="shared" si="126"/>
        <v>7.8214003811977375E-3</v>
      </c>
      <c r="BE74" s="338">
        <f t="shared" si="126"/>
        <v>0.24086123043473662</v>
      </c>
      <c r="BF74" s="109">
        <f>AVERAGE(AT74:BE74)</f>
        <v>-0.11124823530991597</v>
      </c>
      <c r="BG74" s="106"/>
      <c r="BH74" s="338">
        <f t="shared" ref="BH74:BQ74" si="127">BH73/BH34</f>
        <v>-5.512821352117471E-2</v>
      </c>
      <c r="BI74" s="338">
        <f t="shared" si="127"/>
        <v>-0.12287867195499311</v>
      </c>
      <c r="BJ74" s="338">
        <f t="shared" si="127"/>
        <v>0.12581416416796784</v>
      </c>
      <c r="BK74" s="338">
        <f t="shared" si="127"/>
        <v>-0.33597769224938256</v>
      </c>
      <c r="BL74" s="338">
        <f t="shared" si="127"/>
        <v>1.0652943536044719E-3</v>
      </c>
      <c r="BM74" s="338">
        <f t="shared" si="127"/>
        <v>7.1488016002422286E-2</v>
      </c>
      <c r="BN74" s="338">
        <f t="shared" si="127"/>
        <v>1.3533646427895287E-2</v>
      </c>
      <c r="BO74" s="338">
        <f t="shared" si="127"/>
        <v>4.0944619366602007E-2</v>
      </c>
      <c r="BP74" s="338">
        <f t="shared" si="127"/>
        <v>-6.7692361075750926E-3</v>
      </c>
      <c r="BQ74" s="338">
        <f t="shared" si="127"/>
        <v>0.16757086626186191</v>
      </c>
      <c r="BR74" s="109"/>
      <c r="BS74" s="109"/>
      <c r="BT74" s="338">
        <f>BT73/BT34</f>
        <v>-7.1185036907011742E-3</v>
      </c>
      <c r="BU74" s="54"/>
      <c r="BV74" s="338"/>
      <c r="BW74" s="338"/>
      <c r="BX74" s="338"/>
      <c r="BY74" s="338"/>
      <c r="BZ74" s="109"/>
      <c r="CA74" s="109"/>
      <c r="CB74" s="109"/>
      <c r="CC74" s="109"/>
      <c r="CD74" s="109"/>
      <c r="CE74" s="109"/>
      <c r="CF74" s="109"/>
      <c r="CG74" s="109"/>
      <c r="CH74" s="109"/>
      <c r="CJ74" s="338"/>
      <c r="CK74" s="338"/>
      <c r="CL74" s="338"/>
      <c r="CM74" s="338"/>
      <c r="CN74" s="109"/>
      <c r="CO74" s="109"/>
      <c r="CP74" s="109"/>
      <c r="CQ74" s="109"/>
      <c r="CR74" s="109"/>
      <c r="CS74" s="109"/>
      <c r="CT74" s="109"/>
      <c r="CU74" s="109"/>
      <c r="CV74" s="109"/>
      <c r="CW74" s="758"/>
      <c r="CX74" s="894"/>
      <c r="CY74" s="894"/>
      <c r="CZ74" s="894"/>
      <c r="DA74" s="894"/>
      <c r="DB74" s="895"/>
      <c r="DC74" s="895"/>
      <c r="DD74" s="895"/>
      <c r="DE74" s="895"/>
      <c r="DF74" s="895"/>
      <c r="DG74" s="895"/>
      <c r="DH74" s="895"/>
      <c r="DI74" s="895"/>
      <c r="DJ74" s="109"/>
      <c r="DK74" s="948"/>
      <c r="DL74" s="894"/>
      <c r="DM74" s="894"/>
      <c r="DN74" s="894"/>
      <c r="DO74" s="894"/>
      <c r="DP74" s="895"/>
      <c r="DQ74" s="895"/>
      <c r="DR74" s="895"/>
      <c r="DS74" s="895"/>
      <c r="DT74" s="895"/>
      <c r="DU74" s="895"/>
      <c r="DV74" s="895"/>
      <c r="DW74" s="895"/>
      <c r="DX74" s="109"/>
    </row>
    <row r="75" spans="1:129" ht="14.25" hidden="1" customHeight="1">
      <c r="A75" s="55" t="s">
        <v>86</v>
      </c>
      <c r="B75" s="958" t="s">
        <v>124</v>
      </c>
      <c r="C75" s="959"/>
      <c r="D75" s="960"/>
      <c r="E75" s="961"/>
      <c r="F75" s="961"/>
      <c r="G75" s="961"/>
      <c r="H75" s="961"/>
      <c r="I75" s="961"/>
      <c r="J75" s="961"/>
      <c r="K75" s="961"/>
      <c r="L75" s="961"/>
      <c r="M75" s="961"/>
      <c r="N75" s="961"/>
      <c r="O75" s="961"/>
      <c r="P75" s="962"/>
      <c r="Q75" s="963"/>
      <c r="R75" s="960"/>
      <c r="S75" s="964"/>
      <c r="T75" s="964"/>
      <c r="U75" s="964"/>
      <c r="V75" s="964"/>
      <c r="W75" s="965"/>
      <c r="X75" s="965"/>
      <c r="Y75" s="965"/>
      <c r="Z75" s="965"/>
      <c r="AA75" s="965"/>
      <c r="AB75" s="965"/>
      <c r="AC75" s="965"/>
      <c r="AD75" s="966"/>
      <c r="AE75" s="967"/>
      <c r="AF75" s="599"/>
      <c r="AG75" s="964"/>
      <c r="AH75" s="964"/>
      <c r="AI75" s="964"/>
      <c r="AJ75" s="964"/>
      <c r="AK75" s="964"/>
      <c r="AL75" s="964"/>
      <c r="AM75" s="964"/>
      <c r="AN75" s="964"/>
      <c r="AO75" s="964"/>
      <c r="AP75" s="964"/>
      <c r="AQ75" s="964"/>
      <c r="AR75" s="964"/>
      <c r="AS75" s="967"/>
      <c r="AT75" s="964"/>
      <c r="AU75" s="964"/>
      <c r="AV75" s="964"/>
      <c r="AW75" s="964"/>
      <c r="AX75" s="964"/>
      <c r="AY75" s="964"/>
      <c r="AZ75" s="964"/>
      <c r="BA75" s="964"/>
      <c r="BB75" s="964"/>
      <c r="BC75" s="964"/>
      <c r="BD75" s="964"/>
      <c r="BE75" s="964"/>
      <c r="BF75" s="964"/>
      <c r="BG75" s="967"/>
      <c r="BH75" s="964"/>
      <c r="BI75" s="964"/>
      <c r="BJ75" s="964"/>
      <c r="BK75" s="964"/>
      <c r="BL75" s="964"/>
      <c r="BM75" s="964"/>
      <c r="BN75" s="964"/>
      <c r="BO75" s="964"/>
      <c r="BP75" s="964"/>
      <c r="BQ75" s="964"/>
      <c r="BR75" s="964"/>
      <c r="BS75" s="964"/>
      <c r="BT75" s="964"/>
      <c r="BU75" s="968"/>
      <c r="BV75" s="964"/>
      <c r="BW75" s="964"/>
      <c r="BX75" s="964"/>
      <c r="BY75" s="964"/>
      <c r="BZ75" s="964"/>
      <c r="CA75" s="964"/>
      <c r="CB75" s="964"/>
      <c r="CC75" s="964"/>
      <c r="CD75" s="964"/>
      <c r="CE75" s="964"/>
      <c r="CF75" s="964"/>
      <c r="CG75" s="964"/>
      <c r="CH75" s="964"/>
      <c r="CI75" s="969"/>
      <c r="CJ75" s="964"/>
      <c r="CK75" s="964"/>
      <c r="CL75" s="964"/>
      <c r="CM75" s="964"/>
      <c r="CN75" s="964"/>
      <c r="CO75" s="964"/>
      <c r="CP75" s="964"/>
      <c r="CQ75" s="964"/>
      <c r="CR75" s="964"/>
      <c r="CS75" s="964"/>
      <c r="CT75" s="964">
        <f>SUM(CT77:CT79)</f>
        <v>164656.85004219407</v>
      </c>
      <c r="CU75" s="964">
        <f>SUM(CU77:CU79)</f>
        <v>91745.822784810123</v>
      </c>
      <c r="CV75" s="964"/>
      <c r="CW75" s="956">
        <f>SUM(CX75:DC75)</f>
        <v>996971.73999999987</v>
      </c>
      <c r="CX75" s="964">
        <f>SUM(CX77:CX79)</f>
        <v>194469.46000000002</v>
      </c>
      <c r="CY75" s="964">
        <f t="shared" ref="CY75:DJ75" si="128">SUM(CY77:CY79)</f>
        <v>159466.88999999998</v>
      </c>
      <c r="CZ75" s="964">
        <f t="shared" si="128"/>
        <v>208203.57</v>
      </c>
      <c r="DA75" s="964">
        <f t="shared" si="128"/>
        <v>158532.44</v>
      </c>
      <c r="DB75" s="964">
        <f t="shared" si="128"/>
        <v>157404.75999999998</v>
      </c>
      <c r="DC75" s="964">
        <f t="shared" si="128"/>
        <v>118894.62</v>
      </c>
      <c r="DD75" s="964">
        <f t="shared" si="128"/>
        <v>211625.73</v>
      </c>
      <c r="DE75" s="964">
        <f t="shared" si="128"/>
        <v>208193.11</v>
      </c>
      <c r="DF75" s="964">
        <f t="shared" si="128"/>
        <v>269889.13</v>
      </c>
      <c r="DG75" s="964">
        <f>SUM(DG77:DG79)</f>
        <v>258868.84085232066</v>
      </c>
      <c r="DH75" s="964">
        <f t="shared" si="128"/>
        <v>178376.53444641351</v>
      </c>
      <c r="DI75" s="964">
        <f t="shared" si="128"/>
        <v>114212.18776329115</v>
      </c>
      <c r="DJ75" s="599">
        <f>SUM(CX75:DI75)</f>
        <v>2238137.2730620252</v>
      </c>
      <c r="DK75" s="948"/>
      <c r="DL75" s="896">
        <f>SUM(DL77:DL79)</f>
        <v>213916.40600000005</v>
      </c>
      <c r="DM75" s="896">
        <f t="shared" ref="DM75:DX75" si="129">SUM(DM77:DM79)</f>
        <v>175413.579</v>
      </c>
      <c r="DN75" s="896">
        <f t="shared" si="129"/>
        <v>229023.92700000003</v>
      </c>
      <c r="DO75" s="896">
        <f t="shared" si="129"/>
        <v>174385.68400000001</v>
      </c>
      <c r="DP75" s="896">
        <f t="shared" si="129"/>
        <v>173145.236</v>
      </c>
      <c r="DQ75" s="896">
        <f t="shared" si="129"/>
        <v>130784.08200000001</v>
      </c>
      <c r="DR75" s="896">
        <f t="shared" si="129"/>
        <v>232788.30300000004</v>
      </c>
      <c r="DS75" s="896">
        <f t="shared" si="129"/>
        <v>229012.421</v>
      </c>
      <c r="DT75" s="896">
        <f t="shared" si="129"/>
        <v>296878.04300000001</v>
      </c>
      <c r="DU75" s="896">
        <f t="shared" si="129"/>
        <v>284755.72493755276</v>
      </c>
      <c r="DV75" s="896">
        <f t="shared" si="129"/>
        <v>196214.18789105487</v>
      </c>
      <c r="DW75" s="896">
        <f t="shared" si="129"/>
        <v>125633.40653962028</v>
      </c>
      <c r="DX75" s="778">
        <f>SUM(DL75:DW75)</f>
        <v>2461951.0003682282</v>
      </c>
    </row>
    <row r="76" spans="1:129" ht="21" hidden="1" customHeight="1">
      <c r="A76" s="55"/>
      <c r="B76" s="766" t="s">
        <v>87</v>
      </c>
      <c r="C76" s="767"/>
      <c r="D76" s="768"/>
      <c r="E76" s="769"/>
      <c r="F76" s="769"/>
      <c r="G76" s="769"/>
      <c r="H76" s="769"/>
      <c r="I76" s="769"/>
      <c r="J76" s="769"/>
      <c r="K76" s="769"/>
      <c r="L76" s="769"/>
      <c r="M76" s="769"/>
      <c r="N76" s="769"/>
      <c r="O76" s="769"/>
      <c r="P76" s="770"/>
      <c r="Q76" s="771"/>
      <c r="R76" s="768"/>
      <c r="S76" s="772"/>
      <c r="T76" s="772"/>
      <c r="U76" s="772"/>
      <c r="V76" s="772"/>
      <c r="W76" s="773"/>
      <c r="X76" s="773"/>
      <c r="Y76" s="773"/>
      <c r="Z76" s="773"/>
      <c r="AA76" s="773"/>
      <c r="AB76" s="773"/>
      <c r="AC76" s="773"/>
      <c r="AD76" s="774"/>
      <c r="AE76" s="775"/>
      <c r="AF76" s="776"/>
      <c r="AG76" s="776"/>
      <c r="AH76" s="776"/>
      <c r="AI76" s="776"/>
      <c r="AJ76" s="776"/>
      <c r="AK76" s="776"/>
      <c r="AL76" s="776"/>
      <c r="AM76" s="776"/>
      <c r="AN76" s="776"/>
      <c r="AO76" s="776"/>
      <c r="AP76" s="776"/>
      <c r="AQ76" s="776"/>
      <c r="AR76" s="772"/>
      <c r="AS76" s="775"/>
      <c r="AT76" s="776"/>
      <c r="AU76" s="776"/>
      <c r="AV76" s="776"/>
      <c r="AW76" s="776"/>
      <c r="AX76" s="776"/>
      <c r="AY76" s="776"/>
      <c r="AZ76" s="776"/>
      <c r="BA76" s="776"/>
      <c r="BB76" s="776"/>
      <c r="BC76" s="776"/>
      <c r="BD76" s="776"/>
      <c r="BE76" s="776"/>
      <c r="BF76" s="772"/>
      <c r="BG76" s="775"/>
      <c r="BH76" s="776"/>
      <c r="BI76" s="776"/>
      <c r="BJ76" s="776"/>
      <c r="BK76" s="776"/>
      <c r="BL76" s="776"/>
      <c r="BM76" s="776"/>
      <c r="BN76" s="776"/>
      <c r="BO76" s="776"/>
      <c r="BP76" s="776"/>
      <c r="BQ76" s="776"/>
      <c r="BR76" s="776"/>
      <c r="BS76" s="776"/>
      <c r="BT76" s="776"/>
      <c r="BU76" s="777"/>
      <c r="BV76" s="778">
        <v>152642</v>
      </c>
      <c r="BW76" s="778">
        <v>141495</v>
      </c>
      <c r="BX76" s="778">
        <v>158268</v>
      </c>
      <c r="BY76" s="778">
        <v>135742</v>
      </c>
      <c r="BZ76" s="778">
        <v>130614</v>
      </c>
      <c r="CA76" s="778">
        <v>97296</v>
      </c>
      <c r="CB76" s="778">
        <v>180319</v>
      </c>
      <c r="CC76" s="778">
        <v>175137</v>
      </c>
      <c r="CD76" s="778">
        <v>216035</v>
      </c>
      <c r="CE76" s="778">
        <v>188049</v>
      </c>
      <c r="CF76" s="778">
        <v>139782</v>
      </c>
      <c r="CG76" s="778">
        <v>90604</v>
      </c>
      <c r="CH76" s="776">
        <f>SUM(BV76:CG76)</f>
        <v>1805983</v>
      </c>
      <c r="CI76" s="779"/>
      <c r="CJ76" s="778" t="s">
        <v>88</v>
      </c>
      <c r="CK76" s="778">
        <f t="shared" ref="CK76:CV76" si="130">BW76</f>
        <v>141495</v>
      </c>
      <c r="CL76" s="778">
        <f t="shared" si="130"/>
        <v>158268</v>
      </c>
      <c r="CM76" s="778">
        <f t="shared" si="130"/>
        <v>135742</v>
      </c>
      <c r="CN76" s="778">
        <f t="shared" si="130"/>
        <v>130614</v>
      </c>
      <c r="CO76" s="778">
        <f t="shared" si="130"/>
        <v>97296</v>
      </c>
      <c r="CP76" s="778">
        <f t="shared" si="130"/>
        <v>180319</v>
      </c>
      <c r="CQ76" s="778">
        <f t="shared" si="130"/>
        <v>175137</v>
      </c>
      <c r="CR76" s="778">
        <f t="shared" si="130"/>
        <v>216035</v>
      </c>
      <c r="CS76" s="778">
        <f>CS77</f>
        <v>237402.61350210969</v>
      </c>
      <c r="CT76" s="778">
        <f>CT77</f>
        <v>113946.85004219407</v>
      </c>
      <c r="CU76" s="778">
        <f t="shared" ref="CU76:CV76" si="131">CU77</f>
        <v>79742.822784810123</v>
      </c>
      <c r="CV76" s="778">
        <f t="shared" si="130"/>
        <v>1805983</v>
      </c>
      <c r="CW76" s="758"/>
      <c r="CX76" s="897"/>
      <c r="CY76" s="897"/>
      <c r="CZ76" s="897"/>
      <c r="DA76" s="897"/>
      <c r="DB76" s="897"/>
      <c r="DC76" s="897"/>
      <c r="DD76" s="897"/>
      <c r="DE76" s="897"/>
      <c r="DF76" s="897"/>
      <c r="DG76" s="897"/>
      <c r="DH76" s="897"/>
      <c r="DI76" s="897">
        <v>114212.18776329115</v>
      </c>
      <c r="DJ76" s="778"/>
      <c r="DK76" s="948"/>
      <c r="DL76" s="897"/>
      <c r="DM76" s="897"/>
      <c r="DN76" s="897"/>
      <c r="DO76" s="897"/>
      <c r="DP76" s="897"/>
      <c r="DQ76" s="897"/>
      <c r="DR76" s="897"/>
      <c r="DS76" s="897"/>
      <c r="DT76" s="897"/>
      <c r="DU76" s="897"/>
      <c r="DV76" s="897"/>
      <c r="DW76" s="897">
        <v>114212.18776329115</v>
      </c>
      <c r="DX76" s="778"/>
    </row>
    <row r="77" spans="1:129" ht="22.5" hidden="1" customHeight="1">
      <c r="A77" s="765"/>
      <c r="B77" s="766" t="s">
        <v>125</v>
      </c>
      <c r="C77" s="767"/>
      <c r="D77" s="768"/>
      <c r="E77" s="769"/>
      <c r="F77" s="769"/>
      <c r="G77" s="769"/>
      <c r="H77" s="769"/>
      <c r="I77" s="769"/>
      <c r="J77" s="769"/>
      <c r="K77" s="769"/>
      <c r="L77" s="769"/>
      <c r="M77" s="769"/>
      <c r="N77" s="769"/>
      <c r="O77" s="769"/>
      <c r="P77" s="770"/>
      <c r="Q77" s="771"/>
      <c r="R77" s="768"/>
      <c r="S77" s="772"/>
      <c r="T77" s="772"/>
      <c r="U77" s="772"/>
      <c r="V77" s="772"/>
      <c r="W77" s="773"/>
      <c r="X77" s="773"/>
      <c r="Y77" s="773"/>
      <c r="Z77" s="773"/>
      <c r="AA77" s="773"/>
      <c r="AB77" s="773"/>
      <c r="AC77" s="773"/>
      <c r="AD77" s="774"/>
      <c r="AE77" s="775"/>
      <c r="AF77" s="776"/>
      <c r="AG77" s="776"/>
      <c r="AH77" s="776"/>
      <c r="AI77" s="776"/>
      <c r="AJ77" s="776"/>
      <c r="AK77" s="776"/>
      <c r="AL77" s="776"/>
      <c r="AM77" s="776"/>
      <c r="AN77" s="776"/>
      <c r="AO77" s="776"/>
      <c r="AP77" s="776"/>
      <c r="AQ77" s="776"/>
      <c r="AR77" s="772"/>
      <c r="AS77" s="775"/>
      <c r="AT77" s="776"/>
      <c r="AU77" s="776"/>
      <c r="AV77" s="776"/>
      <c r="AW77" s="776"/>
      <c r="AX77" s="776"/>
      <c r="AY77" s="776"/>
      <c r="AZ77" s="776"/>
      <c r="BA77" s="776"/>
      <c r="BB77" s="776"/>
      <c r="BC77" s="776"/>
      <c r="BD77" s="776"/>
      <c r="BE77" s="776"/>
      <c r="BF77" s="772"/>
      <c r="BG77" s="775"/>
      <c r="BH77" s="776"/>
      <c r="BI77" s="776"/>
      <c r="BJ77" s="776"/>
      <c r="BK77" s="776"/>
      <c r="BL77" s="776"/>
      <c r="BM77" s="776"/>
      <c r="BN77" s="776"/>
      <c r="BO77" s="776"/>
      <c r="BP77" s="776"/>
      <c r="BQ77" s="776"/>
      <c r="BR77" s="776"/>
      <c r="BS77" s="776"/>
      <c r="BT77" s="776"/>
      <c r="BU77" s="777"/>
      <c r="BV77" s="778">
        <f>BV34</f>
        <v>161157.867486095</v>
      </c>
      <c r="BW77" s="778">
        <f>BW34</f>
        <v>155966.83045180296</v>
      </c>
      <c r="BX77" s="778">
        <f t="shared" ref="BX77:CH77" si="132">BX34</f>
        <v>196111.53846153844</v>
      </c>
      <c r="BY77" s="778">
        <f t="shared" si="132"/>
        <v>159169.23076923078</v>
      </c>
      <c r="BZ77" s="778">
        <f t="shared" si="132"/>
        <v>151482.39341785663</v>
      </c>
      <c r="CA77" s="778">
        <f t="shared" si="132"/>
        <v>141442.12910096842</v>
      </c>
      <c r="CB77" s="778">
        <f t="shared" si="132"/>
        <v>176986.21444761599</v>
      </c>
      <c r="CC77" s="778">
        <f t="shared" si="132"/>
        <v>201301.08944885107</v>
      </c>
      <c r="CD77" s="778">
        <f t="shared" si="132"/>
        <v>212833.04013559342</v>
      </c>
      <c r="CE77" s="778">
        <f t="shared" si="132"/>
        <v>215922.30386211892</v>
      </c>
      <c r="CF77" s="778">
        <f t="shared" si="132"/>
        <v>171115.84223630186</v>
      </c>
      <c r="CG77" s="778">
        <f t="shared" si="132"/>
        <v>87483.816691710366</v>
      </c>
      <c r="CH77" s="776">
        <f>SUM(BV77:CG77)</f>
        <v>2030972.2965096838</v>
      </c>
      <c r="CI77" s="779"/>
      <c r="CJ77" s="778">
        <f>CJ72+CJ39</f>
        <v>149449.15862840106</v>
      </c>
      <c r="CK77" s="778">
        <f t="shared" ref="CK77:CU77" si="133">CK72+CK39</f>
        <v>165299.98482295938</v>
      </c>
      <c r="CL77" s="778">
        <f t="shared" si="133"/>
        <v>157623.38063361909</v>
      </c>
      <c r="CM77" s="778">
        <f t="shared" si="133"/>
        <v>156795.25083861349</v>
      </c>
      <c r="CN77" s="778">
        <f>CN72+CN39</f>
        <v>159036.51643682446</v>
      </c>
      <c r="CO77" s="778">
        <f t="shared" si="133"/>
        <v>127776.80715616846</v>
      </c>
      <c r="CP77" s="778">
        <f t="shared" si="133"/>
        <v>201036.96194092827</v>
      </c>
      <c r="CQ77" s="778">
        <f t="shared" si="133"/>
        <v>217939.23822784808</v>
      </c>
      <c r="CR77" s="778">
        <f>CR72+CR39</f>
        <v>251919.92080168775</v>
      </c>
      <c r="CS77" s="778">
        <f>CS72+CS39</f>
        <v>237402.61350210969</v>
      </c>
      <c r="CT77" s="778">
        <f>CT72+CT39-CT79-CT78</f>
        <v>113946.85004219407</v>
      </c>
      <c r="CU77" s="778">
        <f>CU72+CU39-CU79-CU78</f>
        <v>79742.822784810123</v>
      </c>
      <c r="CV77" s="778"/>
      <c r="CW77" s="758"/>
      <c r="CX77" s="897">
        <f>CX97-CX100-CX78</f>
        <v>137996.46000000002</v>
      </c>
      <c r="CY77" s="897">
        <f t="shared" ref="CY77:DI77" si="134">CY97-CY100-CY78</f>
        <v>109115.58999999998</v>
      </c>
      <c r="CZ77" s="897">
        <f t="shared" si="134"/>
        <v>159971.47</v>
      </c>
      <c r="DA77" s="897">
        <f t="shared" si="134"/>
        <v>111340.64</v>
      </c>
      <c r="DB77" s="897">
        <f t="shared" si="134"/>
        <v>119915.75999999998</v>
      </c>
      <c r="DC77" s="897">
        <f t="shared" si="134"/>
        <v>92130.62</v>
      </c>
      <c r="DD77" s="897">
        <f t="shared" si="134"/>
        <v>136939.83000000002</v>
      </c>
      <c r="DE77" s="897">
        <f t="shared" si="134"/>
        <v>135607.21</v>
      </c>
      <c r="DF77" s="897">
        <f>DF97-DF100-DF78</f>
        <v>183966.23</v>
      </c>
      <c r="DG77" s="897">
        <f t="shared" si="134"/>
        <v>212260.74085232065</v>
      </c>
      <c r="DH77" s="897">
        <f t="shared" si="134"/>
        <v>147017.18444641351</v>
      </c>
      <c r="DI77" s="897">
        <f t="shared" si="134"/>
        <v>100014.48776329115</v>
      </c>
      <c r="DJ77" s="778">
        <f>SUM(CX77:DI77)</f>
        <v>1646276.2230620254</v>
      </c>
      <c r="DK77" s="948"/>
      <c r="DL77" s="897">
        <f>DL97-DL100-DL78</f>
        <v>157443.40600000005</v>
      </c>
      <c r="DM77" s="897">
        <f t="shared" ref="DM77:DW77" si="135">DM97-DM100-DM78</f>
        <v>125062.27899999999</v>
      </c>
      <c r="DN77" s="897">
        <f t="shared" si="135"/>
        <v>180791.82700000002</v>
      </c>
      <c r="DO77" s="897">
        <f t="shared" si="135"/>
        <v>127193.88400000001</v>
      </c>
      <c r="DP77" s="897">
        <f t="shared" si="135"/>
        <v>138872.236</v>
      </c>
      <c r="DQ77" s="897">
        <f t="shared" si="135"/>
        <v>105431.482</v>
      </c>
      <c r="DR77" s="897">
        <f t="shared" si="135"/>
        <v>164765.40300000005</v>
      </c>
      <c r="DS77" s="897">
        <f t="shared" si="135"/>
        <v>160399.921</v>
      </c>
      <c r="DT77" s="897">
        <f t="shared" si="135"/>
        <v>212905.14300000001</v>
      </c>
      <c r="DU77" s="897">
        <f t="shared" si="135"/>
        <v>238147.62493755276</v>
      </c>
      <c r="DV77" s="897">
        <f t="shared" si="135"/>
        <v>164854.83789105486</v>
      </c>
      <c r="DW77" s="897">
        <f t="shared" si="135"/>
        <v>111435.70653962028</v>
      </c>
      <c r="DX77" s="778">
        <f>SUM(DL77:DW77)</f>
        <v>1887303.7503682277</v>
      </c>
      <c r="DY77" s="598">
        <f>AVERAGE(DL77:DW77)</f>
        <v>157275.31253068565</v>
      </c>
    </row>
    <row r="78" spans="1:129" ht="22.5" hidden="1" customHeight="1">
      <c r="A78" s="765"/>
      <c r="B78" s="766" t="s">
        <v>126</v>
      </c>
      <c r="C78" s="767"/>
      <c r="D78" s="768"/>
      <c r="E78" s="769"/>
      <c r="F78" s="769"/>
      <c r="G78" s="769"/>
      <c r="H78" s="769"/>
      <c r="I78" s="769"/>
      <c r="J78" s="769"/>
      <c r="K78" s="769"/>
      <c r="L78" s="769"/>
      <c r="M78" s="769"/>
      <c r="N78" s="769"/>
      <c r="O78" s="769"/>
      <c r="P78" s="770"/>
      <c r="Q78" s="771"/>
      <c r="R78" s="768"/>
      <c r="S78" s="772"/>
      <c r="T78" s="772"/>
      <c r="U78" s="772"/>
      <c r="V78" s="772"/>
      <c r="W78" s="773"/>
      <c r="X78" s="773"/>
      <c r="Y78" s="773"/>
      <c r="Z78" s="773"/>
      <c r="AA78" s="773"/>
      <c r="AB78" s="773"/>
      <c r="AC78" s="773"/>
      <c r="AD78" s="774"/>
      <c r="AE78" s="775"/>
      <c r="AF78" s="776"/>
      <c r="AG78" s="776"/>
      <c r="AH78" s="776"/>
      <c r="AI78" s="776"/>
      <c r="AJ78" s="776"/>
      <c r="AK78" s="776"/>
      <c r="AL78" s="776"/>
      <c r="AM78" s="776"/>
      <c r="AN78" s="776"/>
      <c r="AO78" s="776"/>
      <c r="AP78" s="776"/>
      <c r="AQ78" s="776"/>
      <c r="AR78" s="772"/>
      <c r="AS78" s="775"/>
      <c r="AT78" s="776"/>
      <c r="AU78" s="776"/>
      <c r="AV78" s="776"/>
      <c r="AW78" s="776"/>
      <c r="AX78" s="776"/>
      <c r="AY78" s="776"/>
      <c r="AZ78" s="776"/>
      <c r="BA78" s="776"/>
      <c r="BB78" s="776"/>
      <c r="BC78" s="776"/>
      <c r="BD78" s="776"/>
      <c r="BE78" s="776"/>
      <c r="BF78" s="772"/>
      <c r="BG78" s="775"/>
      <c r="BH78" s="776"/>
      <c r="BI78" s="776"/>
      <c r="BJ78" s="776"/>
      <c r="BK78" s="776"/>
      <c r="BL78" s="776"/>
      <c r="BM78" s="776"/>
      <c r="BN78" s="776"/>
      <c r="BO78" s="776"/>
      <c r="BP78" s="776"/>
      <c r="BQ78" s="776"/>
      <c r="BR78" s="776"/>
      <c r="BS78" s="776"/>
      <c r="BT78" s="776"/>
      <c r="BU78" s="777"/>
      <c r="BV78" s="778"/>
      <c r="BW78" s="778"/>
      <c r="BX78" s="778"/>
      <c r="BY78" s="778"/>
      <c r="BZ78" s="778"/>
      <c r="CA78" s="778"/>
      <c r="CB78" s="778"/>
      <c r="CC78" s="778"/>
      <c r="CD78" s="778"/>
      <c r="CE78" s="778"/>
      <c r="CF78" s="778"/>
      <c r="CG78" s="778"/>
      <c r="CH78" s="776"/>
      <c r="CI78" s="779"/>
      <c r="CJ78" s="778"/>
      <c r="CK78" s="778"/>
      <c r="CL78" s="778"/>
      <c r="CM78" s="778"/>
      <c r="CN78" s="778"/>
      <c r="CO78" s="778"/>
      <c r="CP78" s="778"/>
      <c r="CQ78" s="778"/>
      <c r="CR78" s="778"/>
      <c r="CS78" s="778"/>
      <c r="CT78" s="778">
        <v>15710</v>
      </c>
      <c r="CU78" s="778">
        <v>9907</v>
      </c>
      <c r="CV78" s="778"/>
      <c r="CW78" s="758">
        <f>CW79/6</f>
        <v>-10764.339999999987</v>
      </c>
      <c r="CX78" s="897">
        <f>CX109*1.1</f>
        <v>16863</v>
      </c>
      <c r="CY78" s="897">
        <f t="shared" ref="CY78:DI78" si="136">CY109*1.1</f>
        <v>13357.300000000001</v>
      </c>
      <c r="CZ78" s="897">
        <f t="shared" si="136"/>
        <v>18888.100000000002</v>
      </c>
      <c r="DA78" s="897">
        <f t="shared" si="136"/>
        <v>13813.800000000001</v>
      </c>
      <c r="DB78" s="897">
        <v>18000</v>
      </c>
      <c r="DC78" s="897">
        <v>12000</v>
      </c>
      <c r="DD78" s="897">
        <v>25000</v>
      </c>
      <c r="DE78" s="897">
        <v>24000</v>
      </c>
      <c r="DF78" s="897">
        <v>30000</v>
      </c>
      <c r="DG78" s="897">
        <f t="shared" si="136"/>
        <v>18451.400000000001</v>
      </c>
      <c r="DH78" s="897">
        <f t="shared" si="136"/>
        <v>17281</v>
      </c>
      <c r="DI78" s="897">
        <f t="shared" si="136"/>
        <v>10897.7</v>
      </c>
      <c r="DJ78" s="778">
        <f>SUM(CX78:DI78)</f>
        <v>218552.30000000002</v>
      </c>
      <c r="DK78" s="948"/>
      <c r="DL78" s="897">
        <f>DL109*1.1</f>
        <v>16863</v>
      </c>
      <c r="DM78" s="897">
        <f t="shared" ref="DM78:DW78" si="137">DM109*1.1</f>
        <v>13357.300000000001</v>
      </c>
      <c r="DN78" s="897">
        <f t="shared" si="137"/>
        <v>18888.100000000002</v>
      </c>
      <c r="DO78" s="897">
        <f t="shared" si="137"/>
        <v>13813.800000000001</v>
      </c>
      <c r="DP78" s="897">
        <f t="shared" si="137"/>
        <v>14784.000000000002</v>
      </c>
      <c r="DQ78" s="897">
        <f t="shared" si="137"/>
        <v>10588.6</v>
      </c>
      <c r="DR78" s="897">
        <f t="shared" si="137"/>
        <v>18337</v>
      </c>
      <c r="DS78" s="897">
        <f t="shared" si="137"/>
        <v>20026.600000000002</v>
      </c>
      <c r="DT78" s="897">
        <f>DT109*1.1</f>
        <v>28050.000000000004</v>
      </c>
      <c r="DU78" s="897">
        <f t="shared" ref="DU78:DY78" si="138">DU109*1.1</f>
        <v>18451.400000000001</v>
      </c>
      <c r="DV78" s="897">
        <f t="shared" si="138"/>
        <v>17281</v>
      </c>
      <c r="DW78" s="897">
        <f t="shared" si="138"/>
        <v>10897.7</v>
      </c>
      <c r="DX78" s="778">
        <f>SUM(DL78:DW78)</f>
        <v>201338.50000000003</v>
      </c>
      <c r="DY78" s="598">
        <f>AVERAGE(DL78:DW78)</f>
        <v>16778.208333333336</v>
      </c>
    </row>
    <row r="79" spans="1:129" ht="18" hidden="1" customHeight="1">
      <c r="A79" s="765"/>
      <c r="B79" s="766" t="s">
        <v>127</v>
      </c>
      <c r="C79" s="767"/>
      <c r="D79" s="768"/>
      <c r="E79" s="769"/>
      <c r="F79" s="769"/>
      <c r="G79" s="769"/>
      <c r="H79" s="769"/>
      <c r="I79" s="769"/>
      <c r="J79" s="769"/>
      <c r="K79" s="769"/>
      <c r="L79" s="769"/>
      <c r="M79" s="769"/>
      <c r="N79" s="769"/>
      <c r="O79" s="769"/>
      <c r="P79" s="770"/>
      <c r="Q79" s="771"/>
      <c r="R79" s="768"/>
      <c r="S79" s="772"/>
      <c r="T79" s="772"/>
      <c r="U79" s="772"/>
      <c r="V79" s="772"/>
      <c r="W79" s="773"/>
      <c r="X79" s="773"/>
      <c r="Y79" s="773"/>
      <c r="Z79" s="773"/>
      <c r="AA79" s="773"/>
      <c r="AB79" s="773"/>
      <c r="AC79" s="773"/>
      <c r="AD79" s="774"/>
      <c r="AE79" s="775"/>
      <c r="AF79" s="776"/>
      <c r="AG79" s="776"/>
      <c r="AH79" s="776"/>
      <c r="AI79" s="776"/>
      <c r="AJ79" s="776"/>
      <c r="AK79" s="776"/>
      <c r="AL79" s="776"/>
      <c r="AM79" s="776"/>
      <c r="AN79" s="776"/>
      <c r="AO79" s="776"/>
      <c r="AP79" s="776"/>
      <c r="AQ79" s="776"/>
      <c r="AR79" s="772"/>
      <c r="AS79" s="775"/>
      <c r="AT79" s="776"/>
      <c r="AU79" s="776"/>
      <c r="AV79" s="776"/>
      <c r="AW79" s="776"/>
      <c r="AX79" s="776"/>
      <c r="AY79" s="776"/>
      <c r="AZ79" s="776"/>
      <c r="BA79" s="776"/>
      <c r="BB79" s="776"/>
      <c r="BC79" s="776"/>
      <c r="BD79" s="776"/>
      <c r="BE79" s="776"/>
      <c r="BF79" s="772"/>
      <c r="BG79" s="775"/>
      <c r="BH79" s="776"/>
      <c r="BI79" s="776"/>
      <c r="BJ79" s="776"/>
      <c r="BK79" s="776"/>
      <c r="BL79" s="776"/>
      <c r="BM79" s="776"/>
      <c r="BN79" s="776"/>
      <c r="BO79" s="776"/>
      <c r="BP79" s="776"/>
      <c r="BQ79" s="776"/>
      <c r="BR79" s="776"/>
      <c r="BS79" s="776"/>
      <c r="BT79" s="776"/>
      <c r="BU79" s="777"/>
      <c r="BV79" s="778"/>
      <c r="BW79" s="778"/>
      <c r="BX79" s="778"/>
      <c r="BY79" s="778"/>
      <c r="BZ79" s="778"/>
      <c r="CA79" s="778"/>
      <c r="CB79" s="778"/>
      <c r="CC79" s="778"/>
      <c r="CD79" s="778"/>
      <c r="CE79" s="778"/>
      <c r="CF79" s="778"/>
      <c r="CG79" s="778"/>
      <c r="CH79" s="776"/>
      <c r="CI79" s="779"/>
      <c r="CJ79" s="778"/>
      <c r="CK79" s="778"/>
      <c r="CL79" s="778"/>
      <c r="CM79" s="778"/>
      <c r="CN79" s="778"/>
      <c r="CO79" s="778"/>
      <c r="CP79" s="778"/>
      <c r="CQ79" s="778"/>
      <c r="CR79" s="778"/>
      <c r="CS79" s="778">
        <v>28812</v>
      </c>
      <c r="CT79" s="778">
        <f>CT100</f>
        <v>35000</v>
      </c>
      <c r="CU79" s="778">
        <f>CU100</f>
        <v>2096</v>
      </c>
      <c r="CV79" s="778"/>
      <c r="CW79" s="869">
        <f>CW80-CW75</f>
        <v>-64586.039999999921</v>
      </c>
      <c r="CX79" s="897">
        <f>CX100</f>
        <v>39610</v>
      </c>
      <c r="CY79" s="897">
        <f t="shared" ref="CY79:DC79" si="139">CY100</f>
        <v>36994</v>
      </c>
      <c r="CZ79" s="897">
        <f t="shared" si="139"/>
        <v>29344</v>
      </c>
      <c r="DA79" s="897">
        <f t="shared" si="139"/>
        <v>33378</v>
      </c>
      <c r="DB79" s="897">
        <f t="shared" si="139"/>
        <v>19489</v>
      </c>
      <c r="DC79" s="897">
        <f t="shared" si="139"/>
        <v>14764</v>
      </c>
      <c r="DD79" s="897">
        <f>DD100</f>
        <v>49685.9</v>
      </c>
      <c r="DE79" s="897">
        <f t="shared" ref="DE79:DJ79" si="140">DE100</f>
        <v>48585.9</v>
      </c>
      <c r="DF79" s="897">
        <f t="shared" si="140"/>
        <v>55922.9</v>
      </c>
      <c r="DG79" s="897">
        <f t="shared" si="140"/>
        <v>28156.7</v>
      </c>
      <c r="DH79" s="897">
        <f t="shared" si="140"/>
        <v>14078.35</v>
      </c>
      <c r="DI79" s="897">
        <f t="shared" si="140"/>
        <v>3300.0000000000005</v>
      </c>
      <c r="DJ79" s="778">
        <f>SUM(CX79:DI79)</f>
        <v>373308.75</v>
      </c>
      <c r="DK79" s="948"/>
      <c r="DL79" s="897">
        <f>DL100</f>
        <v>39610</v>
      </c>
      <c r="DM79" s="897">
        <f t="shared" ref="DM79:DQ79" si="141">DM100</f>
        <v>36994</v>
      </c>
      <c r="DN79" s="897">
        <f t="shared" si="141"/>
        <v>29344</v>
      </c>
      <c r="DO79" s="897">
        <f t="shared" si="141"/>
        <v>33378</v>
      </c>
      <c r="DP79" s="897">
        <f t="shared" si="141"/>
        <v>19489</v>
      </c>
      <c r="DQ79" s="897">
        <f t="shared" si="141"/>
        <v>14764</v>
      </c>
      <c r="DR79" s="897">
        <f>DR100</f>
        <v>49685.9</v>
      </c>
      <c r="DS79" s="897">
        <f t="shared" ref="DS79:DX79" si="142">DS100</f>
        <v>48585.9</v>
      </c>
      <c r="DT79" s="897">
        <f t="shared" si="142"/>
        <v>55922.9</v>
      </c>
      <c r="DU79" s="897">
        <f t="shared" si="142"/>
        <v>28156.7</v>
      </c>
      <c r="DV79" s="897">
        <f t="shared" si="142"/>
        <v>14078.35</v>
      </c>
      <c r="DW79" s="897">
        <f t="shared" si="142"/>
        <v>3300.0000000000005</v>
      </c>
      <c r="DX79" s="778">
        <f>SUM(DL79:DW79)</f>
        <v>373308.75</v>
      </c>
    </row>
    <row r="80" spans="1:129" s="1004" customFormat="1" ht="15" customHeight="1">
      <c r="A80" s="1003"/>
      <c r="B80" s="990" t="s">
        <v>128</v>
      </c>
      <c r="C80" s="991"/>
      <c r="D80" s="992"/>
      <c r="E80" s="993"/>
      <c r="F80" s="993"/>
      <c r="G80" s="993"/>
      <c r="H80" s="993"/>
      <c r="I80" s="993"/>
      <c r="J80" s="993"/>
      <c r="K80" s="993"/>
      <c r="L80" s="993"/>
      <c r="M80" s="993"/>
      <c r="N80" s="993"/>
      <c r="O80" s="993"/>
      <c r="P80" s="994"/>
      <c r="Q80" s="995"/>
      <c r="R80" s="992"/>
      <c r="S80" s="836"/>
      <c r="T80" s="836"/>
      <c r="U80" s="836"/>
      <c r="V80" s="836"/>
      <c r="W80" s="996"/>
      <c r="X80" s="996"/>
      <c r="Y80" s="996"/>
      <c r="Z80" s="996"/>
      <c r="AA80" s="996"/>
      <c r="AB80" s="996"/>
      <c r="AC80" s="996"/>
      <c r="AD80" s="997"/>
      <c r="AE80" s="998"/>
      <c r="AF80" s="999"/>
      <c r="AG80" s="836"/>
      <c r="AH80" s="836"/>
      <c r="AI80" s="836"/>
      <c r="AJ80" s="836"/>
      <c r="AK80" s="836"/>
      <c r="AL80" s="836"/>
      <c r="AM80" s="836"/>
      <c r="AN80" s="836"/>
      <c r="AO80" s="836"/>
      <c r="AP80" s="836"/>
      <c r="AQ80" s="836"/>
      <c r="AR80" s="836"/>
      <c r="AS80" s="998"/>
      <c r="AT80" s="836"/>
      <c r="AU80" s="836"/>
      <c r="AV80" s="836"/>
      <c r="AW80" s="836"/>
      <c r="AX80" s="836"/>
      <c r="AY80" s="836"/>
      <c r="AZ80" s="836"/>
      <c r="BA80" s="836"/>
      <c r="BB80" s="836"/>
      <c r="BC80" s="836"/>
      <c r="BD80" s="836"/>
      <c r="BE80" s="836"/>
      <c r="BF80" s="836"/>
      <c r="BG80" s="998"/>
      <c r="BH80" s="836"/>
      <c r="BI80" s="836"/>
      <c r="BJ80" s="836"/>
      <c r="BK80" s="836"/>
      <c r="BL80" s="836"/>
      <c r="BM80" s="836"/>
      <c r="BN80" s="836"/>
      <c r="BO80" s="836"/>
      <c r="BP80" s="836"/>
      <c r="BQ80" s="836"/>
      <c r="BR80" s="836"/>
      <c r="BS80" s="836"/>
      <c r="BT80" s="836"/>
      <c r="BU80" s="1000"/>
      <c r="BV80" s="836"/>
      <c r="BW80" s="836"/>
      <c r="BX80" s="836"/>
      <c r="BY80" s="836"/>
      <c r="BZ80" s="836"/>
      <c r="CA80" s="836"/>
      <c r="CB80" s="836"/>
      <c r="CC80" s="836"/>
      <c r="CD80" s="836"/>
      <c r="CE80" s="836"/>
      <c r="CF80" s="836"/>
      <c r="CG80" s="836"/>
      <c r="CH80" s="836"/>
      <c r="CI80" s="1001"/>
      <c r="CJ80" s="836"/>
      <c r="CK80" s="836"/>
      <c r="CL80" s="836"/>
      <c r="CM80" s="836"/>
      <c r="CN80" s="836"/>
      <c r="CO80" s="836"/>
      <c r="CP80" s="836"/>
      <c r="CQ80" s="836"/>
      <c r="CR80" s="836"/>
      <c r="CS80" s="836"/>
      <c r="CT80" s="836">
        <f>SUM(CT81:CT83)</f>
        <v>210269</v>
      </c>
      <c r="CU80" s="836">
        <f>SUM(CU81:CU83)</f>
        <v>172780</v>
      </c>
      <c r="CV80" s="836"/>
      <c r="CW80" s="1002">
        <f>SUM(CX80:DC80)</f>
        <v>932385.7</v>
      </c>
      <c r="CX80" s="836">
        <f>SUM(CX81:CX83)</f>
        <v>194767.09999999998</v>
      </c>
      <c r="CY80" s="836">
        <f t="shared" ref="CY80:DE80" si="143">SUM(CY81:CY83)</f>
        <v>161944.6</v>
      </c>
      <c r="CZ80" s="836">
        <f>SUM(CZ81:CZ83)</f>
        <v>53400</v>
      </c>
      <c r="DA80" s="836">
        <v>162000</v>
      </c>
      <c r="DB80" s="836">
        <f>SUM(DB81:DB83)</f>
        <v>181104</v>
      </c>
      <c r="DC80" s="836">
        <f>SUM(DC81:DC83)</f>
        <v>179170</v>
      </c>
      <c r="DD80" s="836">
        <f t="shared" si="143"/>
        <v>213585.12</v>
      </c>
      <c r="DE80" s="836">
        <f t="shared" si="143"/>
        <v>198419.84999999998</v>
      </c>
      <c r="DF80" s="836">
        <f>SUM(DF81:DF83)</f>
        <v>204685.74</v>
      </c>
      <c r="DG80" s="836">
        <f t="shared" ref="DG80:DI80" si="144">SUM(DG81:DG83)</f>
        <v>204685.74</v>
      </c>
      <c r="DH80" s="836">
        <f t="shared" si="144"/>
        <v>186886.98</v>
      </c>
      <c r="DI80" s="836">
        <f t="shared" si="144"/>
        <v>142390.07999999999</v>
      </c>
      <c r="DJ80" s="999">
        <f>SUM(DA80:DI80)</f>
        <v>1672927.51</v>
      </c>
      <c r="DK80" s="948"/>
      <c r="DL80" s="831">
        <f>SUM(DL81:DL83)</f>
        <v>189792.9</v>
      </c>
      <c r="DM80" s="831">
        <f t="shared" ref="DM80:DQ80" si="145">SUM(DM81:DM83)</f>
        <v>163912.04999999999</v>
      </c>
      <c r="DN80" s="831">
        <f>SUM(DN81:DN83)</f>
        <v>199782</v>
      </c>
      <c r="DO80" s="831">
        <f>SUM(DO81:DO83)</f>
        <v>199782</v>
      </c>
      <c r="DP80" s="831">
        <f t="shared" ref="DP80:DW80" si="146">SUM(DP81:DP83)</f>
        <v>195786.36</v>
      </c>
      <c r="DQ80" s="831">
        <f t="shared" si="146"/>
        <v>181165.94999999998</v>
      </c>
      <c r="DR80" s="831">
        <f t="shared" si="146"/>
        <v>204685.74</v>
      </c>
      <c r="DS80" s="831">
        <f t="shared" si="146"/>
        <v>181165.94999999998</v>
      </c>
      <c r="DT80" s="831">
        <f t="shared" si="146"/>
        <v>204685.74</v>
      </c>
      <c r="DU80" s="831">
        <f t="shared" si="146"/>
        <v>204685.74</v>
      </c>
      <c r="DV80" s="831">
        <f t="shared" si="146"/>
        <v>186886.98</v>
      </c>
      <c r="DW80" s="831">
        <f t="shared" si="146"/>
        <v>142390.07999999999</v>
      </c>
      <c r="DX80" s="999">
        <f>SUM(DL80:DW80)</f>
        <v>2254721.4900000002</v>
      </c>
    </row>
    <row r="81" spans="1:129" ht="15.75" hidden="1" customHeight="1" outlineLevel="1">
      <c r="A81" s="719">
        <v>7</v>
      </c>
      <c r="B81" s="936" t="s">
        <v>129</v>
      </c>
      <c r="C81" s="781"/>
      <c r="D81" s="793">
        <v>98048</v>
      </c>
      <c r="E81" s="794">
        <v>128688</v>
      </c>
      <c r="F81" s="794">
        <v>124704</v>
      </c>
      <c r="G81" s="794">
        <v>157500</v>
      </c>
      <c r="H81" s="794">
        <v>182600</v>
      </c>
      <c r="I81" s="794">
        <v>157700</v>
      </c>
      <c r="J81" s="794">
        <v>181700</v>
      </c>
      <c r="K81" s="794">
        <v>165900</v>
      </c>
      <c r="L81" s="794">
        <v>174300</v>
      </c>
      <c r="M81" s="794">
        <v>215800</v>
      </c>
      <c r="N81" s="794">
        <v>180000</v>
      </c>
      <c r="O81" s="794">
        <v>112500</v>
      </c>
      <c r="P81" s="795">
        <f t="shared" ref="P81:P84" si="147">SUM(D81:O81)</f>
        <v>1879440</v>
      </c>
      <c r="Q81" s="796"/>
      <c r="R81" s="793">
        <v>158400</v>
      </c>
      <c r="S81" s="797">
        <v>161000</v>
      </c>
      <c r="T81" s="797">
        <v>117800</v>
      </c>
      <c r="U81" s="797">
        <v>2000</v>
      </c>
      <c r="V81" s="797">
        <v>53800</v>
      </c>
      <c r="W81" s="797">
        <v>190600</v>
      </c>
      <c r="X81" s="797">
        <v>187900</v>
      </c>
      <c r="Y81" s="797">
        <v>196800</v>
      </c>
      <c r="Z81" s="797">
        <v>192300</v>
      </c>
      <c r="AA81" s="797">
        <v>182300</v>
      </c>
      <c r="AB81" s="797">
        <v>175000</v>
      </c>
      <c r="AC81" s="797">
        <v>134100</v>
      </c>
      <c r="AD81" s="798">
        <f>SUM(R81:AC81)</f>
        <v>1752000</v>
      </c>
      <c r="AE81" s="799"/>
      <c r="AF81" s="800">
        <f t="shared" ref="AF81:AL81" si="148">SUM(AF84,AF86)</f>
        <v>161400</v>
      </c>
      <c r="AG81" s="800">
        <f t="shared" si="148"/>
        <v>166000</v>
      </c>
      <c r="AH81" s="800">
        <f t="shared" si="148"/>
        <v>150471</v>
      </c>
      <c r="AI81" s="800">
        <f t="shared" si="148"/>
        <v>149040</v>
      </c>
      <c r="AJ81" s="800">
        <f t="shared" si="148"/>
        <v>196360</v>
      </c>
      <c r="AK81" s="800">
        <f t="shared" si="148"/>
        <v>163300</v>
      </c>
      <c r="AL81" s="800">
        <f t="shared" si="148"/>
        <v>190000</v>
      </c>
      <c r="AM81" s="800">
        <f t="shared" ref="AM81:AQ81" si="149">SUM(AM84,AM86,AM87)</f>
        <v>167000</v>
      </c>
      <c r="AN81" s="800">
        <f t="shared" si="149"/>
        <v>170500</v>
      </c>
      <c r="AO81" s="800">
        <f t="shared" si="149"/>
        <v>140000</v>
      </c>
      <c r="AP81" s="800">
        <f t="shared" si="149"/>
        <v>130000</v>
      </c>
      <c r="AQ81" s="800">
        <f t="shared" si="149"/>
        <v>100000</v>
      </c>
      <c r="AR81" s="786">
        <f t="shared" ref="AR81:AR84" si="150">SUM(AF81:AQ81)</f>
        <v>1884071</v>
      </c>
      <c r="AS81" s="799"/>
      <c r="AT81" s="800">
        <f t="shared" ref="AT81:BC81" si="151">SUM(AT84,AT86,AT87)</f>
        <v>133000</v>
      </c>
      <c r="AU81" s="800">
        <f t="shared" si="151"/>
        <v>125180</v>
      </c>
      <c r="AV81" s="800">
        <f t="shared" si="151"/>
        <v>117228</v>
      </c>
      <c r="AW81" s="800">
        <f t="shared" si="151"/>
        <v>127500</v>
      </c>
      <c r="AX81" s="800">
        <f t="shared" si="151"/>
        <v>140000</v>
      </c>
      <c r="AY81" s="800">
        <f t="shared" si="151"/>
        <v>158342.99999899999</v>
      </c>
      <c r="AZ81" s="800">
        <f t="shared" si="151"/>
        <v>152409</v>
      </c>
      <c r="BA81" s="800">
        <f t="shared" si="151"/>
        <v>173520</v>
      </c>
      <c r="BB81" s="800">
        <f t="shared" si="151"/>
        <v>165000</v>
      </c>
      <c r="BC81" s="800">
        <f t="shared" si="151"/>
        <v>157500</v>
      </c>
      <c r="BD81" s="800">
        <v>129431</v>
      </c>
      <c r="BE81" s="800">
        <v>61700</v>
      </c>
      <c r="BF81" s="797">
        <f t="shared" ref="BF81:BF84" si="152">SUM(AT81:BE81)</f>
        <v>1640810.999999</v>
      </c>
      <c r="BG81" s="799">
        <f>BF81-AR81</f>
        <v>-243260.00000100001</v>
      </c>
      <c r="BH81" s="790">
        <f>SUM(BH84,BH86,BH87)</f>
        <v>139760</v>
      </c>
      <c r="BI81" s="790">
        <f t="shared" ref="BI81:BP81" si="153">SUM(BI84,BI86,BI87)</f>
        <v>116580</v>
      </c>
      <c r="BJ81" s="790">
        <f t="shared" si="153"/>
        <v>148340</v>
      </c>
      <c r="BK81" s="790">
        <f t="shared" si="153"/>
        <v>112360</v>
      </c>
      <c r="BL81" s="790">
        <f t="shared" si="153"/>
        <v>108660</v>
      </c>
      <c r="BM81" s="790">
        <f t="shared" si="153"/>
        <v>153416</v>
      </c>
      <c r="BN81" s="790">
        <f t="shared" si="153"/>
        <v>137676</v>
      </c>
      <c r="BO81" s="790">
        <f t="shared" si="153"/>
        <v>160654</v>
      </c>
      <c r="BP81" s="790">
        <f t="shared" si="153"/>
        <v>157000</v>
      </c>
      <c r="BQ81" s="790">
        <v>156725</v>
      </c>
      <c r="BR81" s="790">
        <v>182069</v>
      </c>
      <c r="BS81" s="790">
        <f>BS84+BS87</f>
        <v>156420</v>
      </c>
      <c r="BT81" s="790">
        <f t="shared" ref="BT81:BT84" si="154">SUM(BH81:BS81)</f>
        <v>1729660</v>
      </c>
      <c r="BU81" s="791"/>
      <c r="BV81" s="801">
        <f>BV7*BV85</f>
        <v>133000</v>
      </c>
      <c r="BW81" s="801">
        <f>BW7*BW85</f>
        <v>133000</v>
      </c>
      <c r="BX81" s="801">
        <f>BX7*BX85</f>
        <v>147000</v>
      </c>
      <c r="BY81" s="801">
        <f>BY7*BY85</f>
        <v>172800</v>
      </c>
      <c r="BZ81" s="801">
        <f>BZ7*BZ85</f>
        <v>165600</v>
      </c>
      <c r="CA81" s="801">
        <f>CA7*CA85</f>
        <v>158400</v>
      </c>
      <c r="CB81" s="801">
        <f>CB7*CB85</f>
        <v>180000</v>
      </c>
      <c r="CC81" s="801">
        <f>CC7*CC85</f>
        <v>172800</v>
      </c>
      <c r="CD81" s="801">
        <f>CD7*CD85</f>
        <v>172800</v>
      </c>
      <c r="CE81" s="801">
        <f>CE7*CE85</f>
        <v>172800</v>
      </c>
      <c r="CF81" s="801">
        <f>CF7*CF85</f>
        <v>167200</v>
      </c>
      <c r="CG81" s="801">
        <f>CG7*CG85</f>
        <v>98800</v>
      </c>
      <c r="CH81" s="801">
        <f t="shared" ref="CH81:CH86" si="155">SUM(BV81:CG81)</f>
        <v>1874200</v>
      </c>
      <c r="CI81" s="801"/>
      <c r="CJ81" s="801">
        <f>CJ7*CJ85</f>
        <v>165000</v>
      </c>
      <c r="CK81" s="801">
        <f>CK7*CK85</f>
        <v>188600</v>
      </c>
      <c r="CL81" s="801">
        <f>CL7*CL85</f>
        <v>171000</v>
      </c>
      <c r="CM81" s="801">
        <f>CM7*CM85</f>
        <v>200000</v>
      </c>
      <c r="CN81" s="801">
        <f>CN7*CN85</f>
        <v>178290</v>
      </c>
      <c r="CO81" s="801">
        <f>CO7*CO85</f>
        <v>198000</v>
      </c>
      <c r="CP81" s="801">
        <f>CP7*CP85</f>
        <v>245000</v>
      </c>
      <c r="CQ81" s="801">
        <f>CQ7*CQ85</f>
        <v>207900</v>
      </c>
      <c r="CR81" s="801">
        <f>CR7*CR85</f>
        <v>217800</v>
      </c>
      <c r="CS81" s="801">
        <v>205579</v>
      </c>
      <c r="CT81" s="801">
        <f>(CT7*CT85)-CT83</f>
        <v>164340</v>
      </c>
      <c r="CU81" s="801">
        <f>(CU7*CU85)-CU83</f>
        <v>118660</v>
      </c>
      <c r="CV81" s="790">
        <f>SUM(CJ81:CU81)</f>
        <v>2260169</v>
      </c>
      <c r="CW81" s="758"/>
      <c r="CX81" s="899">
        <f>(CX7*CX85)*0.95-CX83-CX82</f>
        <v>131887.09999999998</v>
      </c>
      <c r="CY81" s="899">
        <f>(CY7*CY85)*0.95-CY83-CY82</f>
        <v>117864.6</v>
      </c>
      <c r="CZ81" s="899">
        <f>(CZ7*CZ85)*1-CZ83-CZ82</f>
        <v>1380</v>
      </c>
      <c r="DA81" s="899">
        <f>(DA7*DA85)*1-DA83-DA82</f>
        <v>40840</v>
      </c>
      <c r="DB81" s="899">
        <f>(DB7*DB85)*0.98-DB83-DB82</f>
        <v>152104</v>
      </c>
      <c r="DC81" s="899">
        <f>(DC7*DC85)*0.95-DC83-DC82</f>
        <v>115170</v>
      </c>
      <c r="DD81" s="899">
        <f>(DD7*DD85)*0.98-DD83-DD82</f>
        <v>148585.12</v>
      </c>
      <c r="DE81" s="899">
        <f>(DE7*DE85)*0.95-DE83-DE82</f>
        <v>133419.84999999998</v>
      </c>
      <c r="DF81" s="899">
        <f>(DF7*DF85)*0.98-DF83-DF82</f>
        <v>139685.74</v>
      </c>
      <c r="DG81" s="899">
        <f>(DG7*DG85)*0.98-DG83-DG82</f>
        <v>164685.74</v>
      </c>
      <c r="DH81" s="899">
        <f>(DH7*DH85)*0.98-DH83-DH82</f>
        <v>157886.98000000001</v>
      </c>
      <c r="DI81" s="899">
        <f>(DI7*DI85)*0.98-DI83-DI82</f>
        <v>82390.079999999987</v>
      </c>
      <c r="DJ81" s="801">
        <f>SUM(CX81:DI81)</f>
        <v>1385899.21</v>
      </c>
      <c r="DK81" s="948"/>
      <c r="DL81" s="899">
        <f>(DL7*DL85)*0.95-DL83-DL82</f>
        <v>126912.9</v>
      </c>
      <c r="DM81" s="899">
        <f>(DM7*DM85)*0.95-DM83-DM82</f>
        <v>119832.04999999999</v>
      </c>
      <c r="DN81" s="899">
        <f>(DN7*DN85)*1-DN83-DN82</f>
        <v>147762</v>
      </c>
      <c r="DO81" s="899">
        <f>(DO7*DO85)*1-DO83-DO82</f>
        <v>160622</v>
      </c>
      <c r="DP81" s="899">
        <f>(DP7*DP85)*0.98-DP83-DP82</f>
        <v>166786.35999999999</v>
      </c>
      <c r="DQ81" s="899">
        <f>(DQ7*DQ85)*0.95-DQ83-DQ82</f>
        <v>117165.94999999998</v>
      </c>
      <c r="DR81" s="899">
        <f>(DR7*DR85)*0.98-DR83-DR82</f>
        <v>144685.74</v>
      </c>
      <c r="DS81" s="899">
        <f>(DS7*DS85)*0.95-DS83-DS82</f>
        <v>123165.94999999998</v>
      </c>
      <c r="DT81" s="899">
        <f>(DT7*DT85)*0.98-DT83-DT82</f>
        <v>145685.74</v>
      </c>
      <c r="DU81" s="899">
        <f>(DU7*DU85)*0.98-DU83-DU82</f>
        <v>170685.74</v>
      </c>
      <c r="DV81" s="899">
        <f>(DV7*DV85)*0.98-DV83-DV82</f>
        <v>157886.98000000001</v>
      </c>
      <c r="DW81" s="899">
        <f>(DW7*DW85)*0.98-DW83-DW82</f>
        <v>82390.079999999987</v>
      </c>
      <c r="DX81" s="801">
        <f>SUM(DL81:DW81)</f>
        <v>1663581.49</v>
      </c>
      <c r="DY81" s="598">
        <f>AVERAGE(DL81:DW81)</f>
        <v>138631.79083333333</v>
      </c>
    </row>
    <row r="82" spans="1:129" ht="15.75" hidden="1" customHeight="1" outlineLevel="1">
      <c r="A82" s="719"/>
      <c r="B82" s="936" t="s">
        <v>130</v>
      </c>
      <c r="C82" s="781"/>
      <c r="D82" s="793"/>
      <c r="E82" s="794"/>
      <c r="F82" s="794"/>
      <c r="G82" s="794"/>
      <c r="H82" s="794"/>
      <c r="I82" s="794"/>
      <c r="J82" s="794"/>
      <c r="K82" s="794"/>
      <c r="L82" s="794"/>
      <c r="M82" s="794"/>
      <c r="N82" s="794"/>
      <c r="O82" s="794"/>
      <c r="P82" s="795"/>
      <c r="Q82" s="796"/>
      <c r="R82" s="793"/>
      <c r="S82" s="797"/>
      <c r="T82" s="797"/>
      <c r="U82" s="797"/>
      <c r="V82" s="797"/>
      <c r="W82" s="797"/>
      <c r="X82" s="797"/>
      <c r="Y82" s="797"/>
      <c r="Z82" s="797"/>
      <c r="AA82" s="797"/>
      <c r="AB82" s="797"/>
      <c r="AC82" s="797"/>
      <c r="AD82" s="798"/>
      <c r="AE82" s="799"/>
      <c r="AF82" s="800"/>
      <c r="AG82" s="800"/>
      <c r="AH82" s="800"/>
      <c r="AI82" s="800"/>
      <c r="AJ82" s="800"/>
      <c r="AK82" s="800"/>
      <c r="AL82" s="800"/>
      <c r="AM82" s="800"/>
      <c r="AN82" s="800"/>
      <c r="AO82" s="800"/>
      <c r="AP82" s="800"/>
      <c r="AQ82" s="800"/>
      <c r="AR82" s="786"/>
      <c r="AS82" s="799"/>
      <c r="AT82" s="800"/>
      <c r="AU82" s="800"/>
      <c r="AV82" s="800"/>
      <c r="AW82" s="800"/>
      <c r="AX82" s="800"/>
      <c r="AY82" s="800"/>
      <c r="AZ82" s="800"/>
      <c r="BA82" s="800"/>
      <c r="BB82" s="800"/>
      <c r="BC82" s="800"/>
      <c r="BD82" s="800"/>
      <c r="BE82" s="800"/>
      <c r="BF82" s="797"/>
      <c r="BG82" s="799"/>
      <c r="BH82" s="790"/>
      <c r="BI82" s="790"/>
      <c r="BJ82" s="790"/>
      <c r="BK82" s="790"/>
      <c r="BL82" s="790"/>
      <c r="BM82" s="790"/>
      <c r="BN82" s="790"/>
      <c r="BO82" s="790"/>
      <c r="BP82" s="790"/>
      <c r="BQ82" s="790"/>
      <c r="BR82" s="790"/>
      <c r="BS82" s="790"/>
      <c r="BT82" s="790"/>
      <c r="BU82" s="791"/>
      <c r="BV82" s="801"/>
      <c r="BW82" s="801"/>
      <c r="BX82" s="801"/>
      <c r="BY82" s="801"/>
      <c r="BZ82" s="801"/>
      <c r="CA82" s="801"/>
      <c r="CB82" s="801"/>
      <c r="CC82" s="801"/>
      <c r="CD82" s="801"/>
      <c r="CE82" s="801"/>
      <c r="CF82" s="801"/>
      <c r="CG82" s="801"/>
      <c r="CH82" s="801"/>
      <c r="CI82" s="802"/>
      <c r="CJ82" s="801"/>
      <c r="CK82" s="801"/>
      <c r="CL82" s="801"/>
      <c r="CM82" s="801"/>
      <c r="CN82" s="801"/>
      <c r="CO82" s="801"/>
      <c r="CP82" s="801"/>
      <c r="CQ82" s="801"/>
      <c r="CR82" s="801"/>
      <c r="CS82" s="801"/>
      <c r="CT82" s="801">
        <v>25469</v>
      </c>
      <c r="CU82" s="801">
        <v>14680</v>
      </c>
      <c r="CV82" s="790"/>
      <c r="CW82" s="758"/>
      <c r="CX82" s="900">
        <v>9000</v>
      </c>
      <c r="CY82" s="900">
        <v>14000</v>
      </c>
      <c r="CZ82" s="900">
        <v>18000</v>
      </c>
      <c r="DA82" s="900">
        <v>18000</v>
      </c>
      <c r="DB82" s="900">
        <v>19000</v>
      </c>
      <c r="DC82" s="900">
        <v>14000</v>
      </c>
      <c r="DD82" s="900">
        <v>25000</v>
      </c>
      <c r="DE82" s="900">
        <v>25000</v>
      </c>
      <c r="DF82" s="900">
        <v>30000</v>
      </c>
      <c r="DG82" s="900">
        <v>20000</v>
      </c>
      <c r="DH82" s="900">
        <v>19000</v>
      </c>
      <c r="DI82" s="900">
        <v>10000</v>
      </c>
      <c r="DJ82" s="801">
        <f t="shared" ref="DJ82:DJ83" si="156">SUM(CX82:DI82)</f>
        <v>221000</v>
      </c>
      <c r="DK82" s="948"/>
      <c r="DL82" s="900">
        <v>9000</v>
      </c>
      <c r="DM82" s="900">
        <v>14000</v>
      </c>
      <c r="DN82" s="900">
        <v>18000</v>
      </c>
      <c r="DO82" s="900">
        <v>18000</v>
      </c>
      <c r="DP82" s="900">
        <v>19000</v>
      </c>
      <c r="DQ82" s="900">
        <v>14000</v>
      </c>
      <c r="DR82" s="900">
        <v>20000</v>
      </c>
      <c r="DS82" s="900">
        <v>18000</v>
      </c>
      <c r="DT82" s="900">
        <v>24000</v>
      </c>
      <c r="DU82" s="900">
        <v>14000</v>
      </c>
      <c r="DV82" s="900">
        <v>19000</v>
      </c>
      <c r="DW82" s="900">
        <v>10000</v>
      </c>
      <c r="DX82" s="801">
        <f t="shared" ref="DX82:DX83" si="157">SUM(DL82:DW82)</f>
        <v>197000</v>
      </c>
      <c r="DY82" s="598">
        <f>AVERAGE(DL82:DW82)</f>
        <v>16416.666666666668</v>
      </c>
    </row>
    <row r="83" spans="1:129" ht="15.75" hidden="1" customHeight="1" outlineLevel="1">
      <c r="A83" s="719"/>
      <c r="B83" s="936" t="s">
        <v>131</v>
      </c>
      <c r="C83" s="781"/>
      <c r="D83" s="793"/>
      <c r="E83" s="794"/>
      <c r="F83" s="794"/>
      <c r="G83" s="794"/>
      <c r="H83" s="794"/>
      <c r="I83" s="794"/>
      <c r="J83" s="794"/>
      <c r="K83" s="794"/>
      <c r="L83" s="794"/>
      <c r="M83" s="794"/>
      <c r="N83" s="794"/>
      <c r="O83" s="794"/>
      <c r="P83" s="795"/>
      <c r="Q83" s="796"/>
      <c r="R83" s="793"/>
      <c r="S83" s="797"/>
      <c r="T83" s="797"/>
      <c r="U83" s="797"/>
      <c r="V83" s="797"/>
      <c r="W83" s="797"/>
      <c r="X83" s="797"/>
      <c r="Y83" s="797"/>
      <c r="Z83" s="797"/>
      <c r="AA83" s="797"/>
      <c r="AB83" s="797"/>
      <c r="AC83" s="797"/>
      <c r="AD83" s="798"/>
      <c r="AE83" s="799"/>
      <c r="AF83" s="800"/>
      <c r="AG83" s="800"/>
      <c r="AH83" s="800"/>
      <c r="AI83" s="800"/>
      <c r="AJ83" s="800"/>
      <c r="AK83" s="800"/>
      <c r="AL83" s="800"/>
      <c r="AM83" s="800"/>
      <c r="AN83" s="800"/>
      <c r="AO83" s="800"/>
      <c r="AP83" s="800"/>
      <c r="AQ83" s="800"/>
      <c r="AR83" s="786"/>
      <c r="AS83" s="799"/>
      <c r="AT83" s="800"/>
      <c r="AU83" s="800"/>
      <c r="AV83" s="800"/>
      <c r="AW83" s="800"/>
      <c r="AX83" s="800"/>
      <c r="AY83" s="800"/>
      <c r="AZ83" s="800"/>
      <c r="BA83" s="800"/>
      <c r="BB83" s="800"/>
      <c r="BC83" s="800"/>
      <c r="BD83" s="800"/>
      <c r="BE83" s="800"/>
      <c r="BF83" s="797"/>
      <c r="BG83" s="799"/>
      <c r="BH83" s="790"/>
      <c r="BI83" s="790"/>
      <c r="BJ83" s="790"/>
      <c r="BK83" s="790"/>
      <c r="BL83" s="790"/>
      <c r="BM83" s="790"/>
      <c r="BN83" s="790"/>
      <c r="BO83" s="790"/>
      <c r="BP83" s="790"/>
      <c r="BQ83" s="790"/>
      <c r="BR83" s="790"/>
      <c r="BS83" s="790"/>
      <c r="BT83" s="790"/>
      <c r="BU83" s="791"/>
      <c r="BV83" s="801"/>
      <c r="BW83" s="801"/>
      <c r="BX83" s="801"/>
      <c r="BY83" s="801"/>
      <c r="BZ83" s="801"/>
      <c r="CA83" s="801"/>
      <c r="CB83" s="801"/>
      <c r="CC83" s="801"/>
      <c r="CD83" s="801"/>
      <c r="CE83" s="801"/>
      <c r="CF83" s="801"/>
      <c r="CG83" s="801"/>
      <c r="CH83" s="801"/>
      <c r="CI83" s="802"/>
      <c r="CJ83" s="801"/>
      <c r="CK83" s="801"/>
      <c r="CL83" s="801"/>
      <c r="CM83" s="801"/>
      <c r="CN83" s="801"/>
      <c r="CO83" s="801"/>
      <c r="CP83" s="801"/>
      <c r="CQ83" s="801"/>
      <c r="CR83" s="801"/>
      <c r="CS83" s="801"/>
      <c r="CT83" s="801">
        <f>CT99</f>
        <v>20460</v>
      </c>
      <c r="CU83" s="801">
        <f>CU99</f>
        <v>39440</v>
      </c>
      <c r="CV83" s="790"/>
      <c r="CW83" s="758"/>
      <c r="CX83" s="900">
        <f>CX99</f>
        <v>53880</v>
      </c>
      <c r="CY83" s="900">
        <f t="shared" ref="CY83:DI83" si="158">CY99</f>
        <v>30080</v>
      </c>
      <c r="CZ83" s="900">
        <f t="shared" si="158"/>
        <v>34020</v>
      </c>
      <c r="DA83" s="900">
        <f t="shared" si="158"/>
        <v>21160</v>
      </c>
      <c r="DB83" s="900">
        <f t="shared" si="158"/>
        <v>10000</v>
      </c>
      <c r="DC83" s="900">
        <f t="shared" si="158"/>
        <v>50000</v>
      </c>
      <c r="DD83" s="900">
        <f t="shared" si="158"/>
        <v>40000</v>
      </c>
      <c r="DE83" s="900">
        <f t="shared" si="158"/>
        <v>40000</v>
      </c>
      <c r="DF83" s="900">
        <f>DF99</f>
        <v>35000</v>
      </c>
      <c r="DG83" s="900">
        <f t="shared" si="158"/>
        <v>20000</v>
      </c>
      <c r="DH83" s="900">
        <f t="shared" si="158"/>
        <v>10000</v>
      </c>
      <c r="DI83" s="900">
        <f t="shared" si="158"/>
        <v>50000</v>
      </c>
      <c r="DJ83" s="801">
        <f t="shared" si="156"/>
        <v>394140</v>
      </c>
      <c r="DK83" s="948"/>
      <c r="DL83" s="900">
        <f>DL99</f>
        <v>53880</v>
      </c>
      <c r="DM83" s="900">
        <f t="shared" ref="DM83:DW83" si="159">DM99</f>
        <v>30080</v>
      </c>
      <c r="DN83" s="900">
        <f t="shared" si="159"/>
        <v>34020</v>
      </c>
      <c r="DO83" s="900">
        <f t="shared" si="159"/>
        <v>21160</v>
      </c>
      <c r="DP83" s="900">
        <f t="shared" si="159"/>
        <v>10000</v>
      </c>
      <c r="DQ83" s="900">
        <f t="shared" si="159"/>
        <v>50000</v>
      </c>
      <c r="DR83" s="900">
        <f t="shared" si="159"/>
        <v>40000</v>
      </c>
      <c r="DS83" s="900">
        <f t="shared" si="159"/>
        <v>40000</v>
      </c>
      <c r="DT83" s="900">
        <f t="shared" si="159"/>
        <v>35000</v>
      </c>
      <c r="DU83" s="900">
        <f t="shared" si="159"/>
        <v>20000</v>
      </c>
      <c r="DV83" s="900">
        <f t="shared" si="159"/>
        <v>10000</v>
      </c>
      <c r="DW83" s="900">
        <f t="shared" si="159"/>
        <v>50000</v>
      </c>
      <c r="DX83" s="801">
        <f t="shared" si="157"/>
        <v>394140</v>
      </c>
    </row>
    <row r="84" spans="1:129" ht="18.75" hidden="1" outlineLevel="1">
      <c r="A84" s="94"/>
      <c r="B84" s="921" t="s">
        <v>91</v>
      </c>
      <c r="C84" s="934"/>
      <c r="D84" s="313">
        <v>98048</v>
      </c>
      <c r="E84" s="89">
        <v>128688</v>
      </c>
      <c r="F84" s="89">
        <v>124704</v>
      </c>
      <c r="G84" s="89">
        <v>157500</v>
      </c>
      <c r="H84" s="89">
        <v>182600</v>
      </c>
      <c r="I84" s="89">
        <v>157700</v>
      </c>
      <c r="J84" s="89">
        <v>181700</v>
      </c>
      <c r="K84" s="89">
        <v>165900</v>
      </c>
      <c r="L84" s="89">
        <v>174300</v>
      </c>
      <c r="M84" s="89">
        <v>215800</v>
      </c>
      <c r="N84" s="89">
        <v>180000</v>
      </c>
      <c r="O84" s="89">
        <v>112500</v>
      </c>
      <c r="P84" s="314">
        <f t="shared" si="147"/>
        <v>1879440</v>
      </c>
      <c r="Q84" s="90"/>
      <c r="R84" s="313">
        <v>158400</v>
      </c>
      <c r="S84" s="91">
        <v>146000</v>
      </c>
      <c r="T84" s="91">
        <v>102200</v>
      </c>
      <c r="U84" s="91">
        <v>0</v>
      </c>
      <c r="V84" s="91">
        <v>43800</v>
      </c>
      <c r="W84" s="91">
        <v>160600</v>
      </c>
      <c r="X84" s="91">
        <v>167900</v>
      </c>
      <c r="Y84" s="91">
        <v>153300</v>
      </c>
      <c r="Z84" s="91">
        <v>153300</v>
      </c>
      <c r="AA84" s="91">
        <v>153300</v>
      </c>
      <c r="AB84" s="91">
        <v>146000</v>
      </c>
      <c r="AC84" s="91">
        <v>124100</v>
      </c>
      <c r="AD84" s="315"/>
      <c r="AE84" s="23"/>
      <c r="AF84" s="316">
        <v>131400</v>
      </c>
      <c r="AG84" s="91">
        <v>146000</v>
      </c>
      <c r="AH84" s="91">
        <v>125511</v>
      </c>
      <c r="AI84" s="91">
        <v>135000</v>
      </c>
      <c r="AJ84" s="91">
        <v>177320</v>
      </c>
      <c r="AK84" s="91">
        <v>151300</v>
      </c>
      <c r="AL84" s="91">
        <v>176000</v>
      </c>
      <c r="AM84" s="91">
        <f>AM85*AM7</f>
        <v>154000</v>
      </c>
      <c r="AN84" s="91">
        <f>AN85*AN7</f>
        <v>157500</v>
      </c>
      <c r="AO84" s="91">
        <f>AO85*AO7</f>
        <v>140000</v>
      </c>
      <c r="AP84" s="91">
        <f>AP85*AP7</f>
        <v>130000</v>
      </c>
      <c r="AQ84" s="91">
        <f>AQ85*AQ7+16000</f>
        <v>100000</v>
      </c>
      <c r="AR84" s="92">
        <f t="shared" si="150"/>
        <v>1724031</v>
      </c>
      <c r="AS84" s="23"/>
      <c r="AT84" s="91">
        <f>AT85*AT7</f>
        <v>133000</v>
      </c>
      <c r="AU84" s="91">
        <f>125180</f>
        <v>125180</v>
      </c>
      <c r="AV84" s="91">
        <f>AV85*AV7+7428</f>
        <v>117228</v>
      </c>
      <c r="AW84" s="91">
        <f>AW85*AW7</f>
        <v>123500</v>
      </c>
      <c r="AX84" s="91">
        <f>AX85*AX7</f>
        <v>132000</v>
      </c>
      <c r="AY84" s="91">
        <f>AY85*AY7</f>
        <v>153342.99999899999</v>
      </c>
      <c r="AZ84" s="91">
        <v>142409</v>
      </c>
      <c r="BA84" s="91">
        <v>163520</v>
      </c>
      <c r="BB84" s="91">
        <f>BB85*BB7</f>
        <v>165000</v>
      </c>
      <c r="BC84" s="91">
        <f>BC85*BC7</f>
        <v>157500</v>
      </c>
      <c r="BD84" s="316">
        <v>129431</v>
      </c>
      <c r="BE84" s="316">
        <v>61700</v>
      </c>
      <c r="BF84" s="91">
        <f t="shared" si="152"/>
        <v>1603810.999999</v>
      </c>
      <c r="BG84" s="27">
        <f>BF84+BF87-AR84-AR87</f>
        <v>-113040.00000100001</v>
      </c>
      <c r="BH84" s="91">
        <v>136760</v>
      </c>
      <c r="BI84" s="91">
        <v>116580</v>
      </c>
      <c r="BJ84" s="91">
        <v>148340</v>
      </c>
      <c r="BK84" s="91">
        <v>112360</v>
      </c>
      <c r="BL84" s="91">
        <v>108660</v>
      </c>
      <c r="BM84" s="91">
        <v>153416</v>
      </c>
      <c r="BN84" s="91">
        <v>137676</v>
      </c>
      <c r="BO84" s="91">
        <v>150654</v>
      </c>
      <c r="BP84" s="91">
        <f>7100*BP7</f>
        <v>142000</v>
      </c>
      <c r="BQ84" s="91">
        <f t="shared" ref="BQ84:BR84" si="160">BQ81-BQ87</f>
        <v>136725</v>
      </c>
      <c r="BR84" s="91">
        <f t="shared" si="160"/>
        <v>167069</v>
      </c>
      <c r="BS84" s="91">
        <v>124020</v>
      </c>
      <c r="BT84" s="91">
        <f t="shared" si="154"/>
        <v>1634260</v>
      </c>
      <c r="BU84" s="28"/>
      <c r="BV84" s="397">
        <f>BV85*BV86-24551</f>
        <v>108449</v>
      </c>
      <c r="BW84" s="397">
        <f>BW85*BW86</f>
        <v>133000</v>
      </c>
      <c r="BX84" s="397">
        <f t="shared" ref="BX84:CG84" si="161">BX85*BX86</f>
        <v>147000</v>
      </c>
      <c r="BY84" s="397">
        <f>BY85*BY86</f>
        <v>172800</v>
      </c>
      <c r="BZ84" s="397">
        <f>BZ85*BZ86</f>
        <v>165600</v>
      </c>
      <c r="CA84" s="397">
        <f>CA85*CA86</f>
        <v>158400</v>
      </c>
      <c r="CB84" s="397">
        <f>CB85*CB86</f>
        <v>180000</v>
      </c>
      <c r="CC84" s="397">
        <f t="shared" si="161"/>
        <v>172800</v>
      </c>
      <c r="CD84" s="397">
        <f t="shared" si="161"/>
        <v>172800</v>
      </c>
      <c r="CE84" s="397">
        <f t="shared" si="161"/>
        <v>172800</v>
      </c>
      <c r="CF84" s="397">
        <f t="shared" si="161"/>
        <v>167200</v>
      </c>
      <c r="CG84" s="397">
        <f t="shared" si="161"/>
        <v>98800</v>
      </c>
      <c r="CH84" s="91">
        <f t="shared" si="155"/>
        <v>1849649</v>
      </c>
      <c r="CI84" s="395">
        <f>(CH84-BT90)/BT90</f>
        <v>0.29391868731173409</v>
      </c>
      <c r="CJ84" s="397">
        <f>CJ81</f>
        <v>165000</v>
      </c>
      <c r="CK84" s="397">
        <f t="shared" ref="CK84:CO84" si="162">CK81</f>
        <v>188600</v>
      </c>
      <c r="CL84" s="397">
        <f t="shared" si="162"/>
        <v>171000</v>
      </c>
      <c r="CM84" s="397">
        <f t="shared" si="162"/>
        <v>200000</v>
      </c>
      <c r="CN84" s="397">
        <f t="shared" si="162"/>
        <v>178290</v>
      </c>
      <c r="CO84" s="397">
        <f t="shared" si="162"/>
        <v>198000</v>
      </c>
      <c r="CP84" s="397">
        <v>168760</v>
      </c>
      <c r="CQ84" s="397">
        <v>194340</v>
      </c>
      <c r="CR84" s="397">
        <v>208000</v>
      </c>
      <c r="CS84" s="397">
        <v>201780</v>
      </c>
      <c r="CT84" s="397">
        <v>154060</v>
      </c>
      <c r="CU84" s="397">
        <v>96720</v>
      </c>
      <c r="CV84" s="91">
        <v>1949109</v>
      </c>
      <c r="CW84" s="758"/>
      <c r="CX84" s="397">
        <f>CX81</f>
        <v>131887.09999999998</v>
      </c>
      <c r="CY84" s="397">
        <f t="shared" ref="CY84:DC84" si="163">CY81</f>
        <v>117864.6</v>
      </c>
      <c r="CZ84" s="397">
        <f t="shared" si="163"/>
        <v>1380</v>
      </c>
      <c r="DA84" s="397">
        <f t="shared" si="163"/>
        <v>40840</v>
      </c>
      <c r="DB84" s="397">
        <f>DB81</f>
        <v>152104</v>
      </c>
      <c r="DC84" s="397">
        <f t="shared" si="163"/>
        <v>115170</v>
      </c>
      <c r="DD84" s="397">
        <v>168760</v>
      </c>
      <c r="DE84" s="397">
        <v>194340</v>
      </c>
      <c r="DF84" s="397">
        <v>208000</v>
      </c>
      <c r="DG84" s="397">
        <v>201780</v>
      </c>
      <c r="DH84" s="397">
        <v>154060</v>
      </c>
      <c r="DI84" s="397">
        <v>96720</v>
      </c>
      <c r="DJ84" s="91">
        <v>1949109</v>
      </c>
      <c r="DK84" s="948"/>
      <c r="DL84" s="397">
        <f>DL81</f>
        <v>126912.9</v>
      </c>
      <c r="DM84" s="397">
        <f t="shared" ref="DM84:DQ84" si="164">DM81</f>
        <v>119832.04999999999</v>
      </c>
      <c r="DN84" s="397">
        <f t="shared" si="164"/>
        <v>147762</v>
      </c>
      <c r="DO84" s="397">
        <f t="shared" si="164"/>
        <v>160622</v>
      </c>
      <c r="DP84" s="397">
        <f t="shared" si="164"/>
        <v>166786.35999999999</v>
      </c>
      <c r="DQ84" s="397">
        <f t="shared" si="164"/>
        <v>117165.94999999998</v>
      </c>
      <c r="DR84" s="397">
        <v>168760</v>
      </c>
      <c r="DS84" s="397">
        <v>194340</v>
      </c>
      <c r="DT84" s="397">
        <v>208000</v>
      </c>
      <c r="DU84" s="397">
        <v>201780</v>
      </c>
      <c r="DV84" s="397">
        <v>154060</v>
      </c>
      <c r="DW84" s="397">
        <v>96720</v>
      </c>
      <c r="DX84" s="91">
        <v>1949109</v>
      </c>
    </row>
    <row r="85" spans="1:129" ht="15.75" customHeight="1" outlineLevel="1">
      <c r="A85" s="821"/>
      <c r="B85" s="937" t="s">
        <v>92</v>
      </c>
      <c r="C85" s="902"/>
      <c r="D85" s="804"/>
      <c r="E85" s="805"/>
      <c r="F85" s="805"/>
      <c r="G85" s="805"/>
      <c r="H85" s="805"/>
      <c r="I85" s="805"/>
      <c r="J85" s="805"/>
      <c r="K85" s="805"/>
      <c r="L85" s="805"/>
      <c r="M85" s="805"/>
      <c r="N85" s="805"/>
      <c r="O85" s="805"/>
      <c r="P85" s="806"/>
      <c r="Q85" s="807"/>
      <c r="R85" s="808">
        <f>R84/R7</f>
        <v>7200</v>
      </c>
      <c r="S85" s="808">
        <f>S84/S7</f>
        <v>7300</v>
      </c>
      <c r="T85" s="808">
        <f>T84/T7</f>
        <v>7300</v>
      </c>
      <c r="U85" s="808">
        <f>U84/U7</f>
        <v>0</v>
      </c>
      <c r="V85" s="808">
        <f>V84/V7</f>
        <v>3650</v>
      </c>
      <c r="W85" s="808">
        <f>W84/W7</f>
        <v>7300</v>
      </c>
      <c r="X85" s="808">
        <f>X84/X7</f>
        <v>7300</v>
      </c>
      <c r="Y85" s="808">
        <f>Y84/Y7</f>
        <v>7300</v>
      </c>
      <c r="Z85" s="808">
        <f>Z84/Z7</f>
        <v>7300</v>
      </c>
      <c r="AA85" s="808">
        <f>AA84/AA7</f>
        <v>7300</v>
      </c>
      <c r="AB85" s="808">
        <f>AB84/AB7</f>
        <v>7300</v>
      </c>
      <c r="AC85" s="808">
        <f>AC84/AC7</f>
        <v>7300</v>
      </c>
      <c r="AD85" s="809"/>
      <c r="AE85" s="28"/>
      <c r="AF85" s="808">
        <f>AF84/AF7</f>
        <v>7300</v>
      </c>
      <c r="AG85" s="808">
        <f>AG84/AG7</f>
        <v>7300</v>
      </c>
      <c r="AH85" s="808">
        <f>AH84/AH7</f>
        <v>6275.55</v>
      </c>
      <c r="AI85" s="808">
        <f>AI84/AI7</f>
        <v>6750</v>
      </c>
      <c r="AJ85" s="808">
        <f>AJ84/AJ7</f>
        <v>8060</v>
      </c>
      <c r="AK85" s="808">
        <f>AK84/AK7</f>
        <v>7565</v>
      </c>
      <c r="AL85" s="808">
        <f>AL84/AL7</f>
        <v>8000</v>
      </c>
      <c r="AM85" s="596">
        <v>7000</v>
      </c>
      <c r="AN85" s="596">
        <v>7500</v>
      </c>
      <c r="AO85" s="596">
        <v>7000</v>
      </c>
      <c r="AP85" s="596">
        <v>6500</v>
      </c>
      <c r="AQ85" s="596">
        <v>7000</v>
      </c>
      <c r="AR85" s="810">
        <f>AVERAGE(AF85:AQ85)</f>
        <v>7187.5458333333336</v>
      </c>
      <c r="AS85" s="28"/>
      <c r="AT85" s="596">
        <v>7000</v>
      </c>
      <c r="AU85" s="596">
        <f>AU84/AU7</f>
        <v>6588.4210526315792</v>
      </c>
      <c r="AV85" s="596">
        <v>6100</v>
      </c>
      <c r="AW85" s="596">
        <v>6500</v>
      </c>
      <c r="AX85" s="596">
        <v>6000</v>
      </c>
      <c r="AY85" s="596">
        <v>7302.0476189999999</v>
      </c>
      <c r="AZ85" s="596">
        <v>7000</v>
      </c>
      <c r="BA85" s="596">
        <f>BA84/BA7</f>
        <v>7432.727272727273</v>
      </c>
      <c r="BB85" s="596">
        <v>7500</v>
      </c>
      <c r="BC85" s="596">
        <v>7500</v>
      </c>
      <c r="BD85" s="596">
        <f>BD84/BD7</f>
        <v>6471.55</v>
      </c>
      <c r="BE85" s="596">
        <f>BE84/BE7</f>
        <v>6170</v>
      </c>
      <c r="BF85" s="596">
        <f>AVERAGE(AT85:BE85)</f>
        <v>6797.0621620299053</v>
      </c>
      <c r="BG85" s="28"/>
      <c r="BH85" s="596">
        <f>BH84/BH7</f>
        <v>6838</v>
      </c>
      <c r="BI85" s="596">
        <f>BI84/BI7</f>
        <v>6857.6470588235297</v>
      </c>
      <c r="BJ85" s="596">
        <f>BJ84/BJ7</f>
        <v>6449.565217391304</v>
      </c>
      <c r="BK85" s="596">
        <f>BK84/BK7</f>
        <v>6242.2222222222226</v>
      </c>
      <c r="BL85" s="596">
        <f>BL84/BL7</f>
        <v>4939.090909090909</v>
      </c>
      <c r="BM85" s="596">
        <f>BM84/BM7</f>
        <v>6670.260869565217</v>
      </c>
      <c r="BN85" s="596">
        <f>BN84/BN7</f>
        <v>6556</v>
      </c>
      <c r="BO85" s="596">
        <f>BO84/BO7</f>
        <v>7174</v>
      </c>
      <c r="BP85" s="596">
        <f>BP84/BP7</f>
        <v>7100</v>
      </c>
      <c r="BQ85" s="596">
        <f>BQ84/BQ7</f>
        <v>6510.7142857142853</v>
      </c>
      <c r="BR85" s="596">
        <f>BR84/BR7</f>
        <v>8353.4500000000007</v>
      </c>
      <c r="BS85" s="596">
        <f>BS84/BS7</f>
        <v>8858.5714285714294</v>
      </c>
      <c r="BT85" s="596">
        <f>AVERAGE(BH85:BS85)</f>
        <v>6879.1268326149084</v>
      </c>
      <c r="BU85" s="28"/>
      <c r="BV85" s="596">
        <v>7000</v>
      </c>
      <c r="BW85" s="596">
        <v>7000</v>
      </c>
      <c r="BX85" s="596">
        <v>7000</v>
      </c>
      <c r="BY85" s="596">
        <v>7200</v>
      </c>
      <c r="BZ85" s="596">
        <v>7200</v>
      </c>
      <c r="CA85" s="596">
        <v>7200</v>
      </c>
      <c r="CB85" s="596">
        <v>7200</v>
      </c>
      <c r="CC85" s="596">
        <f t="shared" ref="CC85" si="165">CB85</f>
        <v>7200</v>
      </c>
      <c r="CD85" s="596">
        <v>7200</v>
      </c>
      <c r="CE85" s="596">
        <v>7200</v>
      </c>
      <c r="CF85" s="596">
        <v>7600</v>
      </c>
      <c r="CG85" s="596">
        <v>7600</v>
      </c>
      <c r="CH85" s="596"/>
      <c r="CI85" s="596"/>
      <c r="CJ85" s="596">
        <v>7500</v>
      </c>
      <c r="CK85" s="596">
        <v>8200</v>
      </c>
      <c r="CL85" s="596">
        <v>9000</v>
      </c>
      <c r="CM85" s="596">
        <v>10000</v>
      </c>
      <c r="CN85" s="596">
        <v>8490</v>
      </c>
      <c r="CO85" s="596">
        <v>9000</v>
      </c>
      <c r="CP85" s="596">
        <v>9800</v>
      </c>
      <c r="CQ85" s="596">
        <v>9900</v>
      </c>
      <c r="CR85" s="596">
        <f t="shared" ref="CR85" si="166">CQ85</f>
        <v>9900</v>
      </c>
      <c r="CS85" s="596">
        <v>9300</v>
      </c>
      <c r="CT85" s="596">
        <v>8400</v>
      </c>
      <c r="CU85" s="596">
        <v>9300</v>
      </c>
      <c r="CV85" s="596"/>
      <c r="CW85" s="758"/>
      <c r="CX85" s="596">
        <v>9319</v>
      </c>
      <c r="CY85" s="596">
        <v>8972</v>
      </c>
      <c r="CZ85" s="596">
        <v>8900</v>
      </c>
      <c r="DA85" s="596">
        <v>8000</v>
      </c>
      <c r="DB85" s="596">
        <v>8400</v>
      </c>
      <c r="DC85" s="596">
        <v>8200</v>
      </c>
      <c r="DD85" s="596">
        <v>9081</v>
      </c>
      <c r="DE85" s="596">
        <f>DD85</f>
        <v>9081</v>
      </c>
      <c r="DF85" s="596">
        <f t="shared" ref="DF85:DI85" si="167">DE85</f>
        <v>9081</v>
      </c>
      <c r="DG85" s="596">
        <f t="shared" si="167"/>
        <v>9081</v>
      </c>
      <c r="DH85" s="596">
        <f t="shared" si="167"/>
        <v>9081</v>
      </c>
      <c r="DI85" s="596">
        <f t="shared" si="167"/>
        <v>9081</v>
      </c>
      <c r="DJ85" s="596"/>
      <c r="DK85" s="948"/>
      <c r="DL85" s="596">
        <f>DI85</f>
        <v>9081</v>
      </c>
      <c r="DM85" s="596">
        <f>DL85</f>
        <v>9081</v>
      </c>
      <c r="DN85" s="596">
        <f t="shared" ref="DN85:DW85" si="168">DM85</f>
        <v>9081</v>
      </c>
      <c r="DO85" s="596">
        <f t="shared" si="168"/>
        <v>9081</v>
      </c>
      <c r="DP85" s="596">
        <f t="shared" si="168"/>
        <v>9081</v>
      </c>
      <c r="DQ85" s="596">
        <f t="shared" si="168"/>
        <v>9081</v>
      </c>
      <c r="DR85" s="596">
        <f t="shared" si="168"/>
        <v>9081</v>
      </c>
      <c r="DS85" s="596">
        <f t="shared" si="168"/>
        <v>9081</v>
      </c>
      <c r="DT85" s="596">
        <f t="shared" si="168"/>
        <v>9081</v>
      </c>
      <c r="DU85" s="596">
        <f t="shared" si="168"/>
        <v>9081</v>
      </c>
      <c r="DV85" s="596">
        <f t="shared" si="168"/>
        <v>9081</v>
      </c>
      <c r="DW85" s="596">
        <f t="shared" si="168"/>
        <v>9081</v>
      </c>
      <c r="DX85" s="596"/>
    </row>
    <row r="86" spans="1:129" ht="15.75" hidden="1" customHeight="1" outlineLevel="1">
      <c r="A86" s="821"/>
      <c r="B86" s="822" t="s">
        <v>93</v>
      </c>
      <c r="C86" s="803"/>
      <c r="D86" s="804"/>
      <c r="E86" s="805"/>
      <c r="F86" s="805"/>
      <c r="G86" s="805"/>
      <c r="H86" s="805"/>
      <c r="I86" s="805"/>
      <c r="J86" s="805"/>
      <c r="K86" s="805"/>
      <c r="L86" s="805"/>
      <c r="M86" s="805"/>
      <c r="N86" s="805"/>
      <c r="O86" s="805"/>
      <c r="P86" s="806"/>
      <c r="Q86" s="807"/>
      <c r="R86" s="804"/>
      <c r="S86" s="596">
        <v>15000</v>
      </c>
      <c r="T86" s="596">
        <v>15600</v>
      </c>
      <c r="U86" s="596">
        <v>2000</v>
      </c>
      <c r="V86" s="596">
        <v>10000</v>
      </c>
      <c r="W86" s="596">
        <v>30000</v>
      </c>
      <c r="X86" s="596">
        <v>20000</v>
      </c>
      <c r="Y86" s="596">
        <v>30000</v>
      </c>
      <c r="Z86" s="596">
        <v>30000</v>
      </c>
      <c r="AA86" s="596">
        <v>20000</v>
      </c>
      <c r="AB86" s="596">
        <v>20000</v>
      </c>
      <c r="AC86" s="596">
        <v>10000</v>
      </c>
      <c r="AD86" s="809"/>
      <c r="AE86" s="28"/>
      <c r="AF86" s="808">
        <v>30000</v>
      </c>
      <c r="AG86" s="596">
        <v>20000</v>
      </c>
      <c r="AH86" s="596">
        <v>24960</v>
      </c>
      <c r="AI86" s="596">
        <v>14040</v>
      </c>
      <c r="AJ86" s="596">
        <v>19040</v>
      </c>
      <c r="AK86" s="596">
        <v>12000</v>
      </c>
      <c r="AL86" s="596">
        <v>14000</v>
      </c>
      <c r="AM86" s="596">
        <v>13000</v>
      </c>
      <c r="AN86" s="596">
        <v>13000</v>
      </c>
      <c r="AO86" s="596">
        <v>0</v>
      </c>
      <c r="AP86" s="596">
        <v>0</v>
      </c>
      <c r="AQ86" s="596">
        <v>0</v>
      </c>
      <c r="AR86" s="810">
        <f t="shared" ref="AR86:AR87" si="169">SUM(AF86:AQ86)</f>
        <v>160040</v>
      </c>
      <c r="AS86" s="28"/>
      <c r="AT86" s="596">
        <v>0</v>
      </c>
      <c r="AU86" s="596">
        <v>0</v>
      </c>
      <c r="AV86" s="596"/>
      <c r="AW86" s="596"/>
      <c r="AX86" s="596"/>
      <c r="AY86" s="596"/>
      <c r="AZ86" s="596"/>
      <c r="BA86" s="596"/>
      <c r="BB86" s="596"/>
      <c r="BC86" s="596"/>
      <c r="BD86" s="596"/>
      <c r="BE86" s="596"/>
      <c r="BF86" s="596">
        <f t="shared" ref="BF86:BF87" si="170">SUM(AT86:BE86)</f>
        <v>0</v>
      </c>
      <c r="BG86" s="28">
        <f>BF86-AR86</f>
        <v>-160040</v>
      </c>
      <c r="BH86" s="596"/>
      <c r="BI86" s="596"/>
      <c r="BJ86" s="596"/>
      <c r="BK86" s="596"/>
      <c r="BL86" s="596"/>
      <c r="BM86" s="596"/>
      <c r="BN86" s="596"/>
      <c r="BO86" s="596"/>
      <c r="BP86" s="596"/>
      <c r="BQ86" s="596"/>
      <c r="BR86" s="596"/>
      <c r="BS86" s="596"/>
      <c r="BT86" s="596">
        <f t="shared" ref="BT86" si="171">SUM(BH86:BS86)</f>
        <v>0</v>
      </c>
      <c r="BU86" s="28"/>
      <c r="BV86" s="811">
        <f t="shared" ref="BV86:BZ86" si="172">BV7</f>
        <v>19</v>
      </c>
      <c r="BW86" s="811">
        <f t="shared" si="172"/>
        <v>19</v>
      </c>
      <c r="BX86" s="811">
        <f t="shared" si="172"/>
        <v>21</v>
      </c>
      <c r="BY86" s="811">
        <f t="shared" si="172"/>
        <v>24</v>
      </c>
      <c r="BZ86" s="811">
        <f t="shared" si="172"/>
        <v>23</v>
      </c>
      <c r="CA86" s="811">
        <f>CA7</f>
        <v>22</v>
      </c>
      <c r="CB86" s="811">
        <f t="shared" ref="CB86:CG86" si="173">CB7</f>
        <v>25</v>
      </c>
      <c r="CC86" s="811">
        <f t="shared" si="173"/>
        <v>24</v>
      </c>
      <c r="CD86" s="811">
        <f t="shared" si="173"/>
        <v>24</v>
      </c>
      <c r="CE86" s="811">
        <f t="shared" si="173"/>
        <v>24</v>
      </c>
      <c r="CF86" s="811">
        <f t="shared" si="173"/>
        <v>22</v>
      </c>
      <c r="CG86" s="811">
        <f t="shared" si="173"/>
        <v>13</v>
      </c>
      <c r="CH86" s="596">
        <f t="shared" ref="CH86" si="174">SUM(BV86:CG86)</f>
        <v>260</v>
      </c>
      <c r="CJ86" s="812">
        <f>CJ7</f>
        <v>22</v>
      </c>
      <c r="CK86" s="812">
        <f t="shared" ref="CK86:CO86" si="175">CK7</f>
        <v>23</v>
      </c>
      <c r="CL86" s="812">
        <f t="shared" si="175"/>
        <v>19</v>
      </c>
      <c r="CM86" s="812">
        <f t="shared" si="175"/>
        <v>20</v>
      </c>
      <c r="CN86" s="812">
        <f t="shared" si="175"/>
        <v>21</v>
      </c>
      <c r="CO86" s="812">
        <f t="shared" si="175"/>
        <v>22</v>
      </c>
      <c r="CP86" s="596"/>
      <c r="CQ86" s="596"/>
      <c r="CR86" s="596"/>
      <c r="CS86" s="596"/>
      <c r="CT86" s="596"/>
      <c r="CU86" s="596"/>
      <c r="CV86" s="596">
        <v>131</v>
      </c>
      <c r="CW86" s="758"/>
      <c r="CX86" s="812">
        <f>CX7</f>
        <v>22</v>
      </c>
      <c r="CY86" s="812">
        <f t="shared" ref="CY86:DC86" si="176">CY7</f>
        <v>19</v>
      </c>
      <c r="CZ86" s="812">
        <f t="shared" si="176"/>
        <v>6</v>
      </c>
      <c r="DA86" s="812">
        <f>21-6</f>
        <v>15</v>
      </c>
      <c r="DB86" s="812">
        <f t="shared" si="176"/>
        <v>22</v>
      </c>
      <c r="DC86" s="812">
        <f>DC7</f>
        <v>23</v>
      </c>
      <c r="DD86" s="812">
        <f t="shared" ref="DD86:DI86" si="177">DD7</f>
        <v>24</v>
      </c>
      <c r="DE86" s="812">
        <f t="shared" si="177"/>
        <v>23</v>
      </c>
      <c r="DF86" s="812">
        <f t="shared" si="177"/>
        <v>23</v>
      </c>
      <c r="DG86" s="812">
        <f t="shared" si="177"/>
        <v>23</v>
      </c>
      <c r="DH86" s="812">
        <f t="shared" si="177"/>
        <v>21</v>
      </c>
      <c r="DI86" s="812">
        <f t="shared" si="177"/>
        <v>16</v>
      </c>
      <c r="DJ86" s="596">
        <v>131</v>
      </c>
      <c r="DK86" s="948"/>
      <c r="DL86" s="812">
        <f>DL7</f>
        <v>22</v>
      </c>
      <c r="DM86" s="812">
        <f t="shared" ref="DM86:DQ86" si="178">DM7</f>
        <v>19</v>
      </c>
      <c r="DN86" s="812">
        <f t="shared" si="178"/>
        <v>22</v>
      </c>
      <c r="DO86" s="812">
        <f t="shared" si="178"/>
        <v>22</v>
      </c>
      <c r="DP86" s="812">
        <f t="shared" si="178"/>
        <v>22</v>
      </c>
      <c r="DQ86" s="812">
        <f>DQ7</f>
        <v>21</v>
      </c>
      <c r="DR86" s="812">
        <f t="shared" ref="DR86:DW86" si="179">DR7</f>
        <v>23</v>
      </c>
      <c r="DS86" s="812">
        <f t="shared" si="179"/>
        <v>21</v>
      </c>
      <c r="DT86" s="812">
        <f t="shared" si="179"/>
        <v>23</v>
      </c>
      <c r="DU86" s="812">
        <f t="shared" si="179"/>
        <v>23</v>
      </c>
      <c r="DV86" s="812">
        <f t="shared" si="179"/>
        <v>21</v>
      </c>
      <c r="DW86" s="812">
        <f t="shared" si="179"/>
        <v>16</v>
      </c>
      <c r="DX86" s="596">
        <v>131</v>
      </c>
    </row>
    <row r="87" spans="1:129" ht="15.75" customHeight="1" outlineLevel="1">
      <c r="A87" s="821"/>
      <c r="B87" s="937" t="s">
        <v>132</v>
      </c>
      <c r="C87" s="902"/>
      <c r="D87" s="1026"/>
      <c r="E87" s="1027"/>
      <c r="F87" s="1027"/>
      <c r="G87" s="1027"/>
      <c r="H87" s="1027"/>
      <c r="I87" s="1027"/>
      <c r="J87" s="1027"/>
      <c r="K87" s="1027"/>
      <c r="L87" s="1027"/>
      <c r="M87" s="1027"/>
      <c r="N87" s="1027"/>
      <c r="O87" s="1027"/>
      <c r="P87" s="1028"/>
      <c r="Q87" s="1029"/>
      <c r="R87" s="1026"/>
      <c r="S87" s="1030"/>
      <c r="T87" s="1030">
        <v>0</v>
      </c>
      <c r="U87" s="1030">
        <v>0</v>
      </c>
      <c r="V87" s="1030">
        <v>0</v>
      </c>
      <c r="W87" s="1030">
        <v>0</v>
      </c>
      <c r="X87" s="1030">
        <v>0</v>
      </c>
      <c r="Y87" s="1030">
        <v>13500</v>
      </c>
      <c r="Z87" s="1030">
        <v>9000</v>
      </c>
      <c r="AA87" s="1030">
        <v>9000</v>
      </c>
      <c r="AB87" s="1030">
        <v>9000</v>
      </c>
      <c r="AC87" s="1030">
        <v>0</v>
      </c>
      <c r="AD87" s="1031"/>
      <c r="AE87" s="1032"/>
      <c r="AF87" s="1030">
        <v>13500</v>
      </c>
      <c r="AG87" s="1030">
        <v>13500</v>
      </c>
      <c r="AH87" s="1030">
        <v>2820</v>
      </c>
      <c r="AI87" s="1030">
        <v>0</v>
      </c>
      <c r="AJ87" s="1030">
        <v>0</v>
      </c>
      <c r="AK87" s="1030">
        <v>0</v>
      </c>
      <c r="AL87" s="1030">
        <v>0</v>
      </c>
      <c r="AM87" s="1030"/>
      <c r="AN87" s="1030"/>
      <c r="AO87" s="1030"/>
      <c r="AP87" s="1030"/>
      <c r="AQ87" s="1030"/>
      <c r="AR87" s="1033">
        <f t="shared" si="169"/>
        <v>29820</v>
      </c>
      <c r="AS87" s="1032"/>
      <c r="AT87" s="1030"/>
      <c r="AU87" s="1030"/>
      <c r="AV87" s="1030"/>
      <c r="AW87" s="1030">
        <v>4000</v>
      </c>
      <c r="AX87" s="1030">
        <v>8000</v>
      </c>
      <c r="AY87" s="1030">
        <v>5000</v>
      </c>
      <c r="AZ87" s="1030">
        <v>10000</v>
      </c>
      <c r="BA87" s="1030">
        <v>10000</v>
      </c>
      <c r="BB87" s="1030">
        <v>0</v>
      </c>
      <c r="BC87" s="1030">
        <v>0</v>
      </c>
      <c r="BD87" s="1030">
        <v>0</v>
      </c>
      <c r="BE87" s="1030"/>
      <c r="BF87" s="1030">
        <f t="shared" si="170"/>
        <v>37000</v>
      </c>
      <c r="BG87" s="1032"/>
      <c r="BH87" s="1030">
        <v>3000</v>
      </c>
      <c r="BI87" s="1030"/>
      <c r="BJ87" s="1030"/>
      <c r="BK87" s="1030"/>
      <c r="BL87" s="1030"/>
      <c r="BM87" s="1030"/>
      <c r="BN87" s="1030"/>
      <c r="BO87" s="1030">
        <v>10000</v>
      </c>
      <c r="BP87" s="1030">
        <v>15000</v>
      </c>
      <c r="BQ87" s="1030">
        <v>20000</v>
      </c>
      <c r="BR87" s="1030">
        <v>15000</v>
      </c>
      <c r="BS87" s="1030">
        <f>7200*9/2</f>
        <v>32400</v>
      </c>
      <c r="BT87" s="1030">
        <f>SUM(BH87:BS87)</f>
        <v>95400</v>
      </c>
      <c r="BU87" s="1032"/>
      <c r="BV87" s="1030">
        <f>BV90-BV81</f>
        <v>21584</v>
      </c>
      <c r="BW87" s="1030">
        <f t="shared" ref="BW87:CG87" si="180">BW90-BW81</f>
        <v>18963</v>
      </c>
      <c r="BX87" s="1030">
        <f t="shared" si="180"/>
        <v>-2354</v>
      </c>
      <c r="BY87" s="1030">
        <f t="shared" si="180"/>
        <v>5998</v>
      </c>
      <c r="BZ87" s="1030">
        <f t="shared" si="180"/>
        <v>-13737</v>
      </c>
      <c r="CA87" s="1030">
        <f t="shared" si="180"/>
        <v>-6090</v>
      </c>
      <c r="CB87" s="1030">
        <f t="shared" si="180"/>
        <v>-2176</v>
      </c>
      <c r="CC87" s="1030">
        <f t="shared" si="180"/>
        <v>-17344</v>
      </c>
      <c r="CD87" s="1030">
        <f t="shared" si="180"/>
        <v>-13369</v>
      </c>
      <c r="CE87" s="1030">
        <f t="shared" si="180"/>
        <v>793</v>
      </c>
      <c r="CF87" s="1030">
        <f t="shared" si="180"/>
        <v>-12350</v>
      </c>
      <c r="CG87" s="1030">
        <f t="shared" si="180"/>
        <v>-98800</v>
      </c>
      <c r="CH87" s="1033">
        <f>SUM(CD87:CG87)</f>
        <v>-123726</v>
      </c>
      <c r="CI87" s="707"/>
      <c r="CJ87" s="1030">
        <f>BV90</f>
        <v>154584</v>
      </c>
      <c r="CK87" s="1030">
        <f t="shared" ref="CK87:CS87" si="181">BW90</f>
        <v>151963</v>
      </c>
      <c r="CL87" s="1030">
        <f>BX90</f>
        <v>144646</v>
      </c>
      <c r="CM87" s="1030">
        <f t="shared" si="181"/>
        <v>178798</v>
      </c>
      <c r="CN87" s="1030">
        <f t="shared" si="181"/>
        <v>151863</v>
      </c>
      <c r="CO87" s="1030">
        <f t="shared" si="181"/>
        <v>152310</v>
      </c>
      <c r="CP87" s="1030">
        <f t="shared" si="181"/>
        <v>177824</v>
      </c>
      <c r="CQ87" s="1030">
        <f t="shared" si="181"/>
        <v>155456</v>
      </c>
      <c r="CR87" s="1030">
        <f t="shared" si="181"/>
        <v>159431</v>
      </c>
      <c r="CS87" s="1030">
        <f t="shared" si="181"/>
        <v>173593</v>
      </c>
      <c r="CT87" s="1030">
        <v>146546</v>
      </c>
      <c r="CU87" s="1030">
        <v>111901</v>
      </c>
      <c r="CV87" s="1030">
        <v>127800</v>
      </c>
      <c r="CW87" s="698"/>
      <c r="CX87" s="1030">
        <v>155428</v>
      </c>
      <c r="CY87" s="1030">
        <v>182691</v>
      </c>
      <c r="CZ87" s="1030">
        <v>176747</v>
      </c>
      <c r="DA87" s="1030">
        <v>190424</v>
      </c>
      <c r="DB87" s="1030">
        <v>214788</v>
      </c>
      <c r="DC87" s="1030">
        <v>150000</v>
      </c>
      <c r="DD87" s="1030">
        <v>191217</v>
      </c>
      <c r="DE87" s="1030">
        <v>180648</v>
      </c>
      <c r="DF87" s="1030">
        <v>180874</v>
      </c>
      <c r="DG87" s="1030">
        <v>208228</v>
      </c>
      <c r="DH87" s="1030">
        <v>184911</v>
      </c>
      <c r="DI87" s="1030">
        <v>135942</v>
      </c>
      <c r="DJ87" s="595">
        <f>SUM(CX87:DI87)</f>
        <v>2151898</v>
      </c>
      <c r="DK87" s="948"/>
      <c r="DL87" s="596">
        <f>CX87</f>
        <v>155428</v>
      </c>
      <c r="DM87" s="596">
        <f t="shared" ref="DM87:DW87" si="182">CY87</f>
        <v>182691</v>
      </c>
      <c r="DN87" s="596">
        <f t="shared" si="182"/>
        <v>176747</v>
      </c>
      <c r="DO87" s="596">
        <f t="shared" si="182"/>
        <v>190424</v>
      </c>
      <c r="DP87" s="596">
        <f t="shared" si="182"/>
        <v>214788</v>
      </c>
      <c r="DQ87" s="596">
        <f t="shared" si="182"/>
        <v>150000</v>
      </c>
      <c r="DR87" s="596">
        <f t="shared" si="182"/>
        <v>191217</v>
      </c>
      <c r="DS87" s="596">
        <f t="shared" si="182"/>
        <v>180648</v>
      </c>
      <c r="DT87" s="596">
        <f t="shared" si="182"/>
        <v>180874</v>
      </c>
      <c r="DU87" s="596">
        <f t="shared" si="182"/>
        <v>208228</v>
      </c>
      <c r="DV87" s="596">
        <f t="shared" si="182"/>
        <v>184911</v>
      </c>
      <c r="DW87" s="596">
        <f t="shared" si="182"/>
        <v>135942</v>
      </c>
      <c r="DX87" s="596">
        <v>127800</v>
      </c>
    </row>
    <row r="88" spans="1:129" ht="15.75" hidden="1" customHeight="1" outlineLevel="1">
      <c r="A88" s="821"/>
      <c r="B88" s="822" t="s">
        <v>105</v>
      </c>
      <c r="C88" s="803"/>
      <c r="D88" s="804"/>
      <c r="E88" s="805"/>
      <c r="F88" s="805"/>
      <c r="G88" s="805"/>
      <c r="H88" s="805"/>
      <c r="I88" s="805"/>
      <c r="J88" s="805"/>
      <c r="K88" s="805"/>
      <c r="L88" s="805"/>
      <c r="M88" s="805"/>
      <c r="N88" s="805"/>
      <c r="O88" s="805"/>
      <c r="P88" s="806"/>
      <c r="Q88" s="807"/>
      <c r="R88" s="804"/>
      <c r="S88" s="596"/>
      <c r="T88" s="596"/>
      <c r="U88" s="596"/>
      <c r="V88" s="596"/>
      <c r="W88" s="596"/>
      <c r="X88" s="596"/>
      <c r="Y88" s="596"/>
      <c r="Z88" s="596"/>
      <c r="AA88" s="596"/>
      <c r="AB88" s="596"/>
      <c r="AC88" s="596"/>
      <c r="AD88" s="809"/>
      <c r="AE88" s="28"/>
      <c r="AF88" s="596"/>
      <c r="AG88" s="596"/>
      <c r="AH88" s="596"/>
      <c r="AI88" s="596"/>
      <c r="AJ88" s="596"/>
      <c r="AK88" s="596"/>
      <c r="AL88" s="596"/>
      <c r="AM88" s="596"/>
      <c r="AN88" s="596"/>
      <c r="AO88" s="596">
        <f t="shared" ref="AO88:AQ88" si="183">AO81*9.68</f>
        <v>1355200</v>
      </c>
      <c r="AP88" s="596">
        <f t="shared" si="183"/>
        <v>1258400</v>
      </c>
      <c r="AQ88" s="596">
        <f t="shared" si="183"/>
        <v>968000</v>
      </c>
      <c r="AR88" s="810"/>
      <c r="AS88" s="28"/>
      <c r="AT88" s="596">
        <f t="shared" ref="AT88:BF88" si="184">AT81*9.68</f>
        <v>1287440</v>
      </c>
      <c r="AU88" s="596">
        <f t="shared" si="184"/>
        <v>1211742.3999999999</v>
      </c>
      <c r="AV88" s="596">
        <f t="shared" si="184"/>
        <v>1134767.04</v>
      </c>
      <c r="AW88" s="596">
        <f t="shared" si="184"/>
        <v>1234200</v>
      </c>
      <c r="AX88" s="596">
        <f t="shared" si="184"/>
        <v>1355200</v>
      </c>
      <c r="AY88" s="596">
        <f t="shared" si="184"/>
        <v>1532760.2399903198</v>
      </c>
      <c r="AZ88" s="596">
        <f t="shared" si="184"/>
        <v>1475319.1199999999</v>
      </c>
      <c r="BA88" s="596">
        <f t="shared" si="184"/>
        <v>1679673.5999999999</v>
      </c>
      <c r="BB88" s="596">
        <f t="shared" si="184"/>
        <v>1597200</v>
      </c>
      <c r="BC88" s="596">
        <f t="shared" si="184"/>
        <v>1524600</v>
      </c>
      <c r="BD88" s="596">
        <f t="shared" si="184"/>
        <v>1252892.08</v>
      </c>
      <c r="BE88" s="596">
        <f t="shared" si="184"/>
        <v>597256</v>
      </c>
      <c r="BF88" s="596">
        <f t="shared" si="184"/>
        <v>15883050.47999032</v>
      </c>
      <c r="BG88" s="28"/>
      <c r="BH88" s="596"/>
      <c r="BI88" s="596"/>
      <c r="BJ88" s="596"/>
      <c r="BK88" s="596"/>
      <c r="BL88" s="596"/>
      <c r="BM88" s="596"/>
      <c r="BN88" s="596"/>
      <c r="BO88" s="596"/>
      <c r="BP88" s="596"/>
      <c r="BQ88" s="596"/>
      <c r="BR88" s="596"/>
      <c r="BS88" s="596"/>
      <c r="BT88" s="596"/>
      <c r="BU88" s="28"/>
      <c r="BV88" s="596"/>
      <c r="BW88" s="596"/>
      <c r="BX88" s="596"/>
      <c r="BY88" s="596"/>
      <c r="BZ88" s="596"/>
      <c r="CA88" s="596"/>
      <c r="CB88" s="596"/>
      <c r="CC88" s="596"/>
      <c r="CD88" s="596" t="s">
        <v>96</v>
      </c>
      <c r="CE88" s="596"/>
      <c r="CF88" s="813" t="s">
        <v>97</v>
      </c>
      <c r="CG88" s="596"/>
      <c r="CH88" s="596"/>
      <c r="CJ88" s="596"/>
      <c r="CK88" s="596"/>
      <c r="CL88" s="596"/>
      <c r="CM88" s="596">
        <v>61884.012959999985</v>
      </c>
      <c r="CN88" s="596">
        <f>CM88</f>
        <v>61884.012959999985</v>
      </c>
      <c r="CO88" s="596">
        <f t="shared" ref="CO88:CU88" si="185">CN88</f>
        <v>61884.012959999985</v>
      </c>
      <c r="CP88" s="596">
        <f t="shared" si="185"/>
        <v>61884.012959999985</v>
      </c>
      <c r="CQ88" s="596">
        <f t="shared" si="185"/>
        <v>61884.012959999985</v>
      </c>
      <c r="CR88" s="596">
        <f t="shared" si="185"/>
        <v>61884.012959999985</v>
      </c>
      <c r="CS88" s="596">
        <f t="shared" si="185"/>
        <v>61884.012959999985</v>
      </c>
      <c r="CT88" s="596">
        <f t="shared" si="185"/>
        <v>61884.012959999985</v>
      </c>
      <c r="CU88" s="596">
        <f t="shared" si="185"/>
        <v>61884.012959999985</v>
      </c>
      <c r="CV88" s="596"/>
      <c r="CW88" s="758"/>
      <c r="CX88" s="596" t="s">
        <v>133</v>
      </c>
      <c r="CY88" s="596"/>
      <c r="CZ88" s="596"/>
      <c r="DA88" s="596"/>
      <c r="DB88" s="596"/>
      <c r="DC88" s="596"/>
      <c r="DD88" s="596"/>
      <c r="DE88" s="596"/>
      <c r="DF88" s="596"/>
      <c r="DG88" s="596"/>
      <c r="DH88" s="596"/>
      <c r="DI88" s="596"/>
      <c r="DJ88" s="596"/>
      <c r="DK88" s="948"/>
      <c r="DL88" s="596" t="s">
        <v>133</v>
      </c>
      <c r="DM88" s="596"/>
      <c r="DN88" s="596"/>
      <c r="DO88" s="596"/>
      <c r="DP88" s="596"/>
      <c r="DQ88" s="596"/>
      <c r="DR88" s="596"/>
      <c r="DS88" s="596"/>
      <c r="DT88" s="596"/>
      <c r="DU88" s="596"/>
      <c r="DV88" s="596"/>
      <c r="DW88" s="596"/>
      <c r="DX88" s="596"/>
    </row>
    <row r="89" spans="1:129" ht="15.75" hidden="1" customHeight="1" outlineLevel="1">
      <c r="A89" s="821"/>
      <c r="B89" s="822" t="s">
        <v>98</v>
      </c>
      <c r="C89" s="803"/>
      <c r="D89" s="804"/>
      <c r="E89" s="805"/>
      <c r="F89" s="805"/>
      <c r="G89" s="805"/>
      <c r="H89" s="805"/>
      <c r="I89" s="805"/>
      <c r="J89" s="805"/>
      <c r="K89" s="805"/>
      <c r="L89" s="805"/>
      <c r="M89" s="805"/>
      <c r="N89" s="805"/>
      <c r="O89" s="805"/>
      <c r="P89" s="806"/>
      <c r="Q89" s="807"/>
      <c r="R89" s="804"/>
      <c r="S89" s="596"/>
      <c r="T89" s="596"/>
      <c r="U89" s="596"/>
      <c r="V89" s="596"/>
      <c r="W89" s="596"/>
      <c r="X89" s="596"/>
      <c r="Y89" s="596"/>
      <c r="Z89" s="596"/>
      <c r="AA89" s="596"/>
      <c r="AB89" s="596"/>
      <c r="AC89" s="596"/>
      <c r="AD89" s="809"/>
      <c r="AE89" s="28"/>
      <c r="AF89" s="808"/>
      <c r="AG89" s="596"/>
      <c r="AH89" s="596"/>
      <c r="AI89" s="596"/>
      <c r="AJ89" s="596"/>
      <c r="AK89" s="596"/>
      <c r="AL89" s="596"/>
      <c r="AM89" s="596"/>
      <c r="AN89" s="596"/>
      <c r="AO89" s="596"/>
      <c r="AP89" s="596"/>
      <c r="AQ89" s="596"/>
      <c r="AR89" s="810"/>
      <c r="AS89" s="28"/>
      <c r="AT89" s="596"/>
      <c r="AU89" s="596"/>
      <c r="AV89" s="596"/>
      <c r="AW89" s="596"/>
      <c r="AX89" s="596"/>
      <c r="AY89" s="596"/>
      <c r="AZ89" s="596"/>
      <c r="BA89" s="596"/>
      <c r="BB89" s="596"/>
      <c r="BC89" s="596"/>
      <c r="BD89" s="596"/>
      <c r="BE89" s="596"/>
      <c r="BF89" s="596"/>
      <c r="BG89" s="28"/>
      <c r="BH89" s="596"/>
      <c r="BI89" s="596"/>
      <c r="BJ89" s="596"/>
      <c r="BK89" s="596"/>
      <c r="BL89" s="596"/>
      <c r="BM89" s="596"/>
      <c r="BN89" s="596"/>
      <c r="BO89" s="596"/>
      <c r="BP89" s="596"/>
      <c r="BQ89" s="596"/>
      <c r="BR89" s="596"/>
      <c r="BS89" s="596"/>
      <c r="BT89" s="596"/>
      <c r="BU89" s="28"/>
      <c r="BV89" s="596"/>
      <c r="BW89" s="596"/>
      <c r="BX89" s="596"/>
      <c r="BY89" s="596"/>
      <c r="BZ89" s="596"/>
      <c r="CA89" s="596"/>
      <c r="CB89" s="596"/>
      <c r="CC89" s="596"/>
      <c r="CD89" s="596"/>
      <c r="CE89" s="596"/>
      <c r="CF89" s="813"/>
      <c r="CG89" s="596"/>
      <c r="CH89" s="596"/>
      <c r="CJ89" s="596"/>
      <c r="CK89" s="596"/>
      <c r="CL89" s="596"/>
      <c r="CM89" s="596">
        <f>CM88*CM7</f>
        <v>1237680.2591999997</v>
      </c>
      <c r="CN89" s="596">
        <f>CN88*CN7</f>
        <v>1299564.2721599997</v>
      </c>
      <c r="CO89" s="596">
        <f>CO88*CO7</f>
        <v>1361448.2851199997</v>
      </c>
      <c r="CP89" s="596">
        <f>CP88*CP7</f>
        <v>1547100.3239999996</v>
      </c>
      <c r="CQ89" s="596">
        <f>CQ88*CQ7</f>
        <v>1299564.2721599997</v>
      </c>
      <c r="CR89" s="596">
        <f>CR88*CR7</f>
        <v>1361448.2851199997</v>
      </c>
      <c r="CS89" s="596">
        <f>CS88*CS7</f>
        <v>1423332.2980799996</v>
      </c>
      <c r="CT89" s="596">
        <f>CT88*CT7</f>
        <v>1361448.2851199997</v>
      </c>
      <c r="CU89" s="596">
        <f>CU88*CU7</f>
        <v>1052028.2203199998</v>
      </c>
      <c r="CV89" s="596"/>
      <c r="CW89" s="758"/>
      <c r="CX89" s="596"/>
      <c r="CY89" s="596"/>
      <c r="CZ89" s="596"/>
      <c r="DA89" s="596"/>
      <c r="DB89" s="596"/>
      <c r="DC89" s="596"/>
      <c r="DD89" s="596"/>
      <c r="DE89" s="596"/>
      <c r="DF89" s="596"/>
      <c r="DG89" s="596"/>
      <c r="DH89" s="596"/>
      <c r="DI89" s="596"/>
      <c r="DJ89" s="596"/>
      <c r="DK89" s="948"/>
      <c r="DL89" s="596"/>
      <c r="DM89" s="596"/>
      <c r="DN89" s="596"/>
      <c r="DO89" s="596"/>
      <c r="DP89" s="596"/>
      <c r="DQ89" s="596"/>
      <c r="DR89" s="596"/>
      <c r="DS89" s="596"/>
      <c r="DT89" s="596"/>
      <c r="DU89" s="596"/>
      <c r="DV89" s="596"/>
      <c r="DW89" s="596"/>
      <c r="DX89" s="596"/>
    </row>
    <row r="90" spans="1:129" ht="18.75" hidden="1">
      <c r="A90" s="821" t="s">
        <v>99</v>
      </c>
      <c r="B90" s="823" t="s">
        <v>100</v>
      </c>
      <c r="C90" s="814"/>
      <c r="D90" s="815">
        <v>95972</v>
      </c>
      <c r="E90" s="816">
        <v>130805</v>
      </c>
      <c r="F90" s="816">
        <v>121914</v>
      </c>
      <c r="G90" s="816">
        <v>165455</v>
      </c>
      <c r="H90" s="816">
        <v>192013</v>
      </c>
      <c r="I90" s="816">
        <v>167281</v>
      </c>
      <c r="J90" s="816">
        <v>181409</v>
      </c>
      <c r="K90" s="816">
        <v>163138</v>
      </c>
      <c r="L90" s="816">
        <v>169051</v>
      </c>
      <c r="M90" s="816">
        <v>183254</v>
      </c>
      <c r="N90" s="816"/>
      <c r="O90" s="816"/>
      <c r="P90" s="817">
        <f>SUM(D90:O90)</f>
        <v>1570292</v>
      </c>
      <c r="Q90" s="818"/>
      <c r="R90" s="815">
        <v>149582</v>
      </c>
      <c r="S90" s="810">
        <v>152735</v>
      </c>
      <c r="T90" s="810">
        <v>107681</v>
      </c>
      <c r="U90" s="810">
        <v>2974</v>
      </c>
      <c r="V90" s="810">
        <v>32639</v>
      </c>
      <c r="W90" s="810">
        <v>153121</v>
      </c>
      <c r="X90" s="810">
        <v>198635</v>
      </c>
      <c r="Y90" s="810">
        <v>160489</v>
      </c>
      <c r="Z90" s="810">
        <v>160893</v>
      </c>
      <c r="AA90" s="810">
        <v>180999</v>
      </c>
      <c r="AB90" s="810">
        <v>167265</v>
      </c>
      <c r="AC90" s="810">
        <v>135424</v>
      </c>
      <c r="AD90" s="819">
        <f>SUM(R90:AC90)</f>
        <v>1602437</v>
      </c>
      <c r="AE90" s="18"/>
      <c r="AF90" s="820">
        <v>145616</v>
      </c>
      <c r="AG90" s="810">
        <v>168450</v>
      </c>
      <c r="AH90" s="810">
        <v>153291</v>
      </c>
      <c r="AI90" s="810">
        <v>149378</v>
      </c>
      <c r="AJ90" s="810">
        <v>196360</v>
      </c>
      <c r="AK90" s="810">
        <v>170558</v>
      </c>
      <c r="AL90" s="810">
        <v>171758</v>
      </c>
      <c r="AM90" s="810">
        <f t="shared" ref="AM90:AQ90" si="186">SUM(AM91:AM92)</f>
        <v>168974</v>
      </c>
      <c r="AN90" s="810">
        <f t="shared" si="186"/>
        <v>144792</v>
      </c>
      <c r="AO90" s="810">
        <f t="shared" si="186"/>
        <v>141375</v>
      </c>
      <c r="AP90" s="810">
        <f t="shared" si="186"/>
        <v>143221</v>
      </c>
      <c r="AQ90" s="810">
        <f t="shared" si="186"/>
        <v>85543</v>
      </c>
      <c r="AR90" s="810">
        <f t="shared" ref="AR90:AR94" si="187">SUM(AF90:AQ90)</f>
        <v>1839316</v>
      </c>
      <c r="AS90" s="28"/>
      <c r="AT90" s="810">
        <f t="shared" ref="AT90:BE90" si="188">SUM(AT91:AT92)</f>
        <v>120211</v>
      </c>
      <c r="AU90" s="810">
        <f t="shared" si="188"/>
        <v>120216</v>
      </c>
      <c r="AV90" s="810">
        <f t="shared" si="188"/>
        <v>101053</v>
      </c>
      <c r="AW90" s="810">
        <f t="shared" si="188"/>
        <v>137388</v>
      </c>
      <c r="AX90" s="810">
        <f t="shared" si="188"/>
        <v>137400</v>
      </c>
      <c r="AY90" s="810">
        <f t="shared" si="188"/>
        <v>135412</v>
      </c>
      <c r="AZ90" s="810">
        <f t="shared" si="188"/>
        <v>157032</v>
      </c>
      <c r="BA90" s="810">
        <f t="shared" si="188"/>
        <v>173287</v>
      </c>
      <c r="BB90" s="596">
        <f t="shared" si="188"/>
        <v>166815</v>
      </c>
      <c r="BC90" s="596">
        <f t="shared" si="188"/>
        <v>153816</v>
      </c>
      <c r="BD90" s="596">
        <f t="shared" si="188"/>
        <v>138051</v>
      </c>
      <c r="BE90" s="596">
        <f t="shared" si="188"/>
        <v>55950</v>
      </c>
      <c r="BF90" s="596">
        <f t="shared" ref="BF90:BF94" si="189">SUM(AT90:BE90)</f>
        <v>1596631</v>
      </c>
      <c r="BG90" s="54">
        <f>BF90/AR90-1</f>
        <v>-0.1319430701412917</v>
      </c>
      <c r="BH90" s="810">
        <f t="shared" ref="BH90:BQ90" si="190">SUM(BH91:BH92)</f>
        <v>138562</v>
      </c>
      <c r="BI90" s="810">
        <f t="shared" si="190"/>
        <v>109391</v>
      </c>
      <c r="BJ90" s="810">
        <f t="shared" si="190"/>
        <v>160056</v>
      </c>
      <c r="BK90" s="810">
        <f t="shared" si="190"/>
        <v>124826</v>
      </c>
      <c r="BL90" s="810">
        <f t="shared" si="190"/>
        <v>151185</v>
      </c>
      <c r="BM90" s="810">
        <f t="shared" si="190"/>
        <v>134688</v>
      </c>
      <c r="BN90" s="810">
        <f t="shared" si="190"/>
        <v>157005</v>
      </c>
      <c r="BO90" s="810">
        <f t="shared" si="190"/>
        <v>151231</v>
      </c>
      <c r="BP90" s="810">
        <f t="shared" si="190"/>
        <v>143335</v>
      </c>
      <c r="BQ90" s="810">
        <f t="shared" si="190"/>
        <v>159215</v>
      </c>
      <c r="BR90" s="810"/>
      <c r="BS90" s="810"/>
      <c r="BT90" s="810">
        <f t="shared" ref="BT90:BT94" si="191">SUM(BH90:BS90)</f>
        <v>1429494</v>
      </c>
      <c r="BU90" s="18"/>
      <c r="BV90" s="810">
        <v>154584</v>
      </c>
      <c r="BW90" s="810">
        <v>151963</v>
      </c>
      <c r="BX90" s="810">
        <v>144646</v>
      </c>
      <c r="BY90" s="810">
        <v>178798</v>
      </c>
      <c r="BZ90" s="810">
        <v>151863</v>
      </c>
      <c r="CA90" s="810">
        <v>152310</v>
      </c>
      <c r="CB90" s="810">
        <f>CB91+CB92</f>
        <v>177824</v>
      </c>
      <c r="CC90" s="810">
        <f t="shared" ref="CC90:CJ90" si="192">CC91+CC92</f>
        <v>155456</v>
      </c>
      <c r="CD90" s="810">
        <f t="shared" si="192"/>
        <v>159431</v>
      </c>
      <c r="CE90" s="810">
        <v>173593</v>
      </c>
      <c r="CF90" s="810">
        <v>154850</v>
      </c>
      <c r="CG90" s="810">
        <f t="shared" si="192"/>
        <v>0</v>
      </c>
      <c r="CH90" s="810">
        <f t="shared" ref="CH90" si="193">SUM(BV90:CG90)</f>
        <v>1755318</v>
      </c>
      <c r="CJ90" s="810">
        <v>155428</v>
      </c>
      <c r="CK90" s="810">
        <f>SUM(CK91:CK92)</f>
        <v>182595</v>
      </c>
      <c r="CL90" s="810">
        <f>SUM(CL91:CL92)</f>
        <v>175111</v>
      </c>
      <c r="CM90" s="810">
        <f>SUM(CM91:CM92)</f>
        <v>192052</v>
      </c>
      <c r="CN90" s="810">
        <v>214788</v>
      </c>
      <c r="CO90" s="810">
        <v>143727</v>
      </c>
      <c r="CP90" s="810">
        <v>191217</v>
      </c>
      <c r="CQ90" s="810">
        <v>180648</v>
      </c>
      <c r="CR90" s="810">
        <v>180874</v>
      </c>
      <c r="CS90" s="810"/>
      <c r="CT90" s="810"/>
      <c r="CU90" s="810"/>
      <c r="CV90" s="810"/>
      <c r="CW90" s="758"/>
      <c r="CX90" s="810">
        <v>191345</v>
      </c>
      <c r="CY90" s="810">
        <v>145396</v>
      </c>
      <c r="CZ90" s="810">
        <f t="shared" ref="CZ90:DI90" si="194">CL90</f>
        <v>175111</v>
      </c>
      <c r="DA90" s="810">
        <f t="shared" si="194"/>
        <v>192052</v>
      </c>
      <c r="DB90" s="810">
        <f t="shared" si="194"/>
        <v>214788</v>
      </c>
      <c r="DC90" s="810">
        <f t="shared" si="194"/>
        <v>143727</v>
      </c>
      <c r="DD90" s="810">
        <f t="shared" si="194"/>
        <v>191217</v>
      </c>
      <c r="DE90" s="810">
        <f t="shared" si="194"/>
        <v>180648</v>
      </c>
      <c r="DF90" s="810">
        <f t="shared" si="194"/>
        <v>180874</v>
      </c>
      <c r="DG90" s="810">
        <f t="shared" si="194"/>
        <v>0</v>
      </c>
      <c r="DH90" s="810">
        <f t="shared" si="194"/>
        <v>0</v>
      </c>
      <c r="DI90" s="810">
        <f t="shared" si="194"/>
        <v>0</v>
      </c>
      <c r="DJ90" s="810"/>
      <c r="DK90" s="948"/>
      <c r="DL90" s="810">
        <f>CX90</f>
        <v>191345</v>
      </c>
      <c r="DM90" s="810">
        <f t="shared" ref="DM90:DW90" si="195">CY90</f>
        <v>145396</v>
      </c>
      <c r="DN90" s="810">
        <f t="shared" si="195"/>
        <v>175111</v>
      </c>
      <c r="DO90" s="810">
        <f t="shared" si="195"/>
        <v>192052</v>
      </c>
      <c r="DP90" s="810">
        <f t="shared" si="195"/>
        <v>214788</v>
      </c>
      <c r="DQ90" s="810">
        <f t="shared" si="195"/>
        <v>143727</v>
      </c>
      <c r="DR90" s="810">
        <f t="shared" si="195"/>
        <v>191217</v>
      </c>
      <c r="DS90" s="810">
        <f t="shared" si="195"/>
        <v>180648</v>
      </c>
      <c r="DT90" s="810">
        <f t="shared" si="195"/>
        <v>180874</v>
      </c>
      <c r="DU90" s="810">
        <f t="shared" si="195"/>
        <v>0</v>
      </c>
      <c r="DV90" s="810">
        <f t="shared" si="195"/>
        <v>0</v>
      </c>
      <c r="DW90" s="810">
        <f t="shared" si="195"/>
        <v>0</v>
      </c>
      <c r="DX90" s="810"/>
    </row>
    <row r="91" spans="1:129" ht="15.75" hidden="1" customHeight="1">
      <c r="A91" s="821"/>
      <c r="B91" s="823" t="s">
        <v>134</v>
      </c>
      <c r="C91" s="814"/>
      <c r="D91" s="804"/>
      <c r="E91" s="805"/>
      <c r="F91" s="805"/>
      <c r="G91" s="805"/>
      <c r="H91" s="805"/>
      <c r="I91" s="805"/>
      <c r="J91" s="805"/>
      <c r="K91" s="805"/>
      <c r="L91" s="805"/>
      <c r="M91" s="805"/>
      <c r="N91" s="805"/>
      <c r="O91" s="805"/>
      <c r="P91" s="806"/>
      <c r="Q91" s="807"/>
      <c r="R91" s="804"/>
      <c r="S91" s="596"/>
      <c r="T91" s="596"/>
      <c r="U91" s="596"/>
      <c r="V91" s="596"/>
      <c r="W91" s="596"/>
      <c r="X91" s="596"/>
      <c r="Y91" s="596"/>
      <c r="Z91" s="596"/>
      <c r="AA91" s="596"/>
      <c r="AB91" s="596"/>
      <c r="AC91" s="596"/>
      <c r="AD91" s="809"/>
      <c r="AE91" s="28"/>
      <c r="AF91" s="808">
        <v>126362</v>
      </c>
      <c r="AG91" s="596">
        <v>153970</v>
      </c>
      <c r="AH91" s="596">
        <v>128331</v>
      </c>
      <c r="AI91" s="596">
        <v>135338</v>
      </c>
      <c r="AJ91" s="596">
        <v>177312</v>
      </c>
      <c r="AK91" s="596">
        <v>150818</v>
      </c>
      <c r="AL91" s="596">
        <v>158858</v>
      </c>
      <c r="AM91" s="596">
        <v>153933</v>
      </c>
      <c r="AN91" s="596">
        <v>134244</v>
      </c>
      <c r="AO91" s="596">
        <v>137435</v>
      </c>
      <c r="AP91" s="596">
        <v>143221</v>
      </c>
      <c r="AQ91" s="596">
        <v>85543</v>
      </c>
      <c r="AR91" s="810">
        <f t="shared" si="187"/>
        <v>1685365</v>
      </c>
      <c r="AS91" s="28"/>
      <c r="AT91" s="596">
        <v>120211</v>
      </c>
      <c r="AU91" s="596">
        <v>120216</v>
      </c>
      <c r="AV91" s="596">
        <v>101053</v>
      </c>
      <c r="AW91" s="596">
        <v>137388</v>
      </c>
      <c r="AX91" s="596">
        <v>137400</v>
      </c>
      <c r="AY91" s="596">
        <v>135412</v>
      </c>
      <c r="AZ91" s="596">
        <v>157032</v>
      </c>
      <c r="BA91" s="596">
        <v>172227</v>
      </c>
      <c r="BB91" s="596">
        <f>157995+8500</f>
        <v>166495</v>
      </c>
      <c r="BC91" s="596">
        <v>153816</v>
      </c>
      <c r="BD91" s="596">
        <v>138051</v>
      </c>
      <c r="BE91" s="596">
        <v>55950</v>
      </c>
      <c r="BF91" s="596">
        <f t="shared" si="189"/>
        <v>1595251</v>
      </c>
      <c r="BG91" s="28"/>
      <c r="BH91" s="596">
        <v>138562</v>
      </c>
      <c r="BI91" s="596">
        <v>109391</v>
      </c>
      <c r="BJ91" s="596">
        <v>160056</v>
      </c>
      <c r="BK91" s="596">
        <v>124826</v>
      </c>
      <c r="BL91" s="596">
        <v>151185</v>
      </c>
      <c r="BM91" s="596">
        <v>134688</v>
      </c>
      <c r="BN91" s="596">
        <v>157005</v>
      </c>
      <c r="BO91" s="596">
        <v>151231</v>
      </c>
      <c r="BP91" s="596">
        <v>143335</v>
      </c>
      <c r="BQ91" s="596">
        <v>159215</v>
      </c>
      <c r="BR91" s="596"/>
      <c r="BS91" s="596"/>
      <c r="BT91" s="596">
        <f t="shared" si="191"/>
        <v>1429494</v>
      </c>
      <c r="BU91" s="28"/>
      <c r="BV91" s="596">
        <v>154584</v>
      </c>
      <c r="BW91" s="596">
        <v>151963</v>
      </c>
      <c r="BX91" s="596">
        <v>144646</v>
      </c>
      <c r="BY91" s="596">
        <v>178798</v>
      </c>
      <c r="BZ91" s="596">
        <v>151863</v>
      </c>
      <c r="CA91" s="596">
        <v>152310</v>
      </c>
      <c r="CB91" s="596">
        <v>177824</v>
      </c>
      <c r="CC91" s="596">
        <v>155456</v>
      </c>
      <c r="CD91" s="596">
        <v>159431</v>
      </c>
      <c r="CE91" s="596"/>
      <c r="CF91" s="596"/>
      <c r="CG91" s="596"/>
      <c r="CH91" s="596"/>
      <c r="CJ91" s="596">
        <v>145276</v>
      </c>
      <c r="CK91" s="596">
        <v>157921</v>
      </c>
      <c r="CL91" s="596">
        <v>147905</v>
      </c>
      <c r="CM91" s="596">
        <v>157807</v>
      </c>
      <c r="CN91" s="596"/>
      <c r="CO91" s="596"/>
      <c r="CP91" s="596"/>
      <c r="CQ91" s="596"/>
      <c r="CR91" s="596"/>
      <c r="CS91" s="596"/>
      <c r="CT91" s="596"/>
      <c r="CU91" s="596"/>
      <c r="CV91" s="596"/>
      <c r="CW91" s="758"/>
      <c r="CX91" s="940"/>
      <c r="CY91" s="940"/>
      <c r="CZ91" s="596">
        <v>6339</v>
      </c>
      <c r="DA91" s="940"/>
      <c r="DB91" s="940"/>
      <c r="DC91" s="940"/>
      <c r="DD91" s="940"/>
      <c r="DE91" s="940"/>
      <c r="DF91" s="940"/>
      <c r="DG91" s="940"/>
      <c r="DH91" s="940"/>
      <c r="DI91" s="940"/>
      <c r="DJ91" s="596"/>
      <c r="DK91" s="948"/>
      <c r="DL91" s="940" t="e">
        <f>DL18-DL17</f>
        <v>#DIV/0!</v>
      </c>
      <c r="DM91" s="940" t="e">
        <f t="shared" ref="DM91:DW91" si="196">DM18-DM17</f>
        <v>#DIV/0!</v>
      </c>
      <c r="DN91" s="940" t="e">
        <f t="shared" si="196"/>
        <v>#DIV/0!</v>
      </c>
      <c r="DO91" s="940" t="e">
        <f t="shared" si="196"/>
        <v>#DIV/0!</v>
      </c>
      <c r="DP91" s="940" t="e">
        <f t="shared" si="196"/>
        <v>#DIV/0!</v>
      </c>
      <c r="DQ91" s="940" t="e">
        <f t="shared" si="196"/>
        <v>#DIV/0!</v>
      </c>
      <c r="DR91" s="940" t="e">
        <f t="shared" si="196"/>
        <v>#DIV/0!</v>
      </c>
      <c r="DS91" s="940" t="e">
        <f t="shared" si="196"/>
        <v>#DIV/0!</v>
      </c>
      <c r="DT91" s="940" t="e">
        <f t="shared" si="196"/>
        <v>#DIV/0!</v>
      </c>
      <c r="DU91" s="940" t="e">
        <f t="shared" si="196"/>
        <v>#DIV/0!</v>
      </c>
      <c r="DV91" s="940" t="e">
        <f t="shared" si="196"/>
        <v>#DIV/0!</v>
      </c>
      <c r="DW91" s="940">
        <f t="shared" si="196"/>
        <v>2.011921795234902</v>
      </c>
      <c r="DX91" s="596"/>
    </row>
    <row r="92" spans="1:129" ht="15.75" hidden="1" customHeight="1">
      <c r="A92" s="821"/>
      <c r="B92" s="823" t="s">
        <v>135</v>
      </c>
      <c r="C92" s="814"/>
      <c r="D92" s="804"/>
      <c r="E92" s="805"/>
      <c r="F92" s="805"/>
      <c r="G92" s="805"/>
      <c r="H92" s="805"/>
      <c r="I92" s="805"/>
      <c r="J92" s="805"/>
      <c r="K92" s="805"/>
      <c r="L92" s="805"/>
      <c r="M92" s="805"/>
      <c r="N92" s="805"/>
      <c r="O92" s="805"/>
      <c r="P92" s="806"/>
      <c r="Q92" s="807"/>
      <c r="R92" s="804"/>
      <c r="S92" s="596"/>
      <c r="T92" s="596"/>
      <c r="U92" s="596"/>
      <c r="V92" s="596"/>
      <c r="W92" s="596"/>
      <c r="X92" s="596"/>
      <c r="Y92" s="596"/>
      <c r="Z92" s="596"/>
      <c r="AA92" s="596"/>
      <c r="AB92" s="596"/>
      <c r="AC92" s="596"/>
      <c r="AD92" s="809"/>
      <c r="AE92" s="28"/>
      <c r="AF92" s="596">
        <f t="shared" ref="AF92:AL92" si="197">AF90-AF91</f>
        <v>19254</v>
      </c>
      <c r="AG92" s="596">
        <f t="shared" si="197"/>
        <v>14480</v>
      </c>
      <c r="AH92" s="596">
        <f t="shared" si="197"/>
        <v>24960</v>
      </c>
      <c r="AI92" s="596">
        <f t="shared" si="197"/>
        <v>14040</v>
      </c>
      <c r="AJ92" s="596">
        <f t="shared" si="197"/>
        <v>19048</v>
      </c>
      <c r="AK92" s="596">
        <f t="shared" si="197"/>
        <v>19740</v>
      </c>
      <c r="AL92" s="596">
        <f t="shared" si="197"/>
        <v>12900</v>
      </c>
      <c r="AM92" s="596">
        <v>15041</v>
      </c>
      <c r="AN92" s="596">
        <v>10548</v>
      </c>
      <c r="AO92" s="596">
        <v>3940</v>
      </c>
      <c r="AP92" s="596">
        <v>0</v>
      </c>
      <c r="AQ92" s="596">
        <v>0</v>
      </c>
      <c r="AR92" s="810">
        <f t="shared" si="187"/>
        <v>153951</v>
      </c>
      <c r="AS92" s="28"/>
      <c r="AT92" s="596">
        <v>0</v>
      </c>
      <c r="AU92" s="596">
        <v>0</v>
      </c>
      <c r="AV92" s="596">
        <v>0</v>
      </c>
      <c r="AW92" s="596">
        <v>0</v>
      </c>
      <c r="AX92" s="596">
        <v>0</v>
      </c>
      <c r="AY92" s="596">
        <v>0</v>
      </c>
      <c r="AZ92" s="596">
        <v>0</v>
      </c>
      <c r="BA92" s="596">
        <v>1060</v>
      </c>
      <c r="BB92" s="596">
        <v>320</v>
      </c>
      <c r="BC92" s="596">
        <v>0</v>
      </c>
      <c r="BD92" s="596">
        <v>0</v>
      </c>
      <c r="BE92" s="596"/>
      <c r="BF92" s="596">
        <f t="shared" si="189"/>
        <v>1380</v>
      </c>
      <c r="BG92" s="28"/>
      <c r="BH92" s="596"/>
      <c r="BI92" s="596"/>
      <c r="BJ92" s="596"/>
      <c r="BK92" s="596"/>
      <c r="BL92" s="596"/>
      <c r="BM92" s="596"/>
      <c r="BN92" s="596"/>
      <c r="BO92" s="596"/>
      <c r="BP92" s="596"/>
      <c r="BQ92" s="596"/>
      <c r="BR92" s="596"/>
      <c r="BS92" s="596"/>
      <c r="BT92" s="596">
        <f t="shared" si="191"/>
        <v>0</v>
      </c>
      <c r="BU92" s="28"/>
      <c r="BV92" s="596"/>
      <c r="BW92" s="596"/>
      <c r="BX92" s="596"/>
      <c r="BY92" s="596"/>
      <c r="BZ92" s="596"/>
      <c r="CA92" s="596"/>
      <c r="CB92" s="596"/>
      <c r="CC92" s="596"/>
      <c r="CD92" s="596"/>
      <c r="CE92" s="596"/>
      <c r="CF92" s="596"/>
      <c r="CG92" s="596"/>
      <c r="CH92" s="596"/>
      <c r="CJ92" s="596">
        <v>14444</v>
      </c>
      <c r="CK92" s="596">
        <v>24674</v>
      </c>
      <c r="CL92" s="596">
        <v>27206</v>
      </c>
      <c r="CM92" s="596">
        <v>34245</v>
      </c>
      <c r="CN92" s="596"/>
      <c r="CO92" s="596"/>
      <c r="CP92" s="596"/>
      <c r="CQ92" s="596"/>
      <c r="CR92" s="596"/>
      <c r="CS92" s="596"/>
      <c r="CT92" s="596"/>
      <c r="CU92" s="596"/>
      <c r="CV92" s="596"/>
      <c r="CW92" s="758"/>
      <c r="CX92" s="596">
        <v>2341</v>
      </c>
      <c r="CY92" s="596">
        <v>2341</v>
      </c>
      <c r="CZ92" s="596">
        <v>2469</v>
      </c>
      <c r="DA92" s="596"/>
      <c r="DB92" s="596"/>
      <c r="DC92" s="596"/>
      <c r="DD92" s="596"/>
      <c r="DE92" s="596"/>
      <c r="DF92" s="596"/>
      <c r="DG92" s="596"/>
      <c r="DH92" s="596"/>
      <c r="DI92" s="596"/>
      <c r="DJ92" s="596"/>
      <c r="DK92" s="948"/>
      <c r="DL92" s="596"/>
      <c r="DM92" s="596"/>
      <c r="DN92" s="596"/>
      <c r="DO92" s="596"/>
      <c r="DP92" s="596"/>
      <c r="DQ92" s="596"/>
      <c r="DR92" s="596"/>
      <c r="DS92" s="596"/>
      <c r="DT92" s="596"/>
      <c r="DU92" s="596"/>
      <c r="DV92" s="596"/>
      <c r="DW92" s="596"/>
      <c r="DX92" s="596"/>
    </row>
    <row r="93" spans="1:129" ht="18.75" hidden="1">
      <c r="A93" s="103" t="s">
        <v>103</v>
      </c>
      <c r="B93" s="337"/>
      <c r="C93" s="330"/>
      <c r="D93" s="331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332"/>
      <c r="Q93" s="105"/>
      <c r="R93" s="333"/>
      <c r="S93" s="333"/>
      <c r="T93" s="333"/>
      <c r="U93" s="333"/>
      <c r="V93" s="333"/>
      <c r="W93" s="333"/>
      <c r="X93" s="333"/>
      <c r="Y93" s="333"/>
      <c r="Z93" s="333"/>
      <c r="AA93" s="333"/>
      <c r="AB93" s="333"/>
      <c r="AC93" s="333"/>
      <c r="AD93" s="334"/>
      <c r="AE93" s="106"/>
      <c r="AF93" s="333">
        <f t="shared" ref="AF93:AQ93" si="198">AF90-AF81</f>
        <v>-15784</v>
      </c>
      <c r="AG93" s="333">
        <f t="shared" si="198"/>
        <v>2450</v>
      </c>
      <c r="AH93" s="333">
        <f t="shared" si="198"/>
        <v>2820</v>
      </c>
      <c r="AI93" s="333">
        <f t="shared" si="198"/>
        <v>338</v>
      </c>
      <c r="AJ93" s="333">
        <f t="shared" si="198"/>
        <v>0</v>
      </c>
      <c r="AK93" s="333">
        <f t="shared" si="198"/>
        <v>7258</v>
      </c>
      <c r="AL93" s="333">
        <f t="shared" si="198"/>
        <v>-18242</v>
      </c>
      <c r="AM93" s="333">
        <f t="shared" si="198"/>
        <v>1974</v>
      </c>
      <c r="AN93" s="333">
        <f t="shared" si="198"/>
        <v>-25708</v>
      </c>
      <c r="AO93" s="333">
        <f t="shared" si="198"/>
        <v>1375</v>
      </c>
      <c r="AP93" s="333">
        <f t="shared" si="198"/>
        <v>13221</v>
      </c>
      <c r="AQ93" s="333">
        <f t="shared" si="198"/>
        <v>-14457</v>
      </c>
      <c r="AR93" s="107">
        <f t="shared" si="187"/>
        <v>-44755</v>
      </c>
      <c r="AS93" s="106"/>
      <c r="AT93" s="333">
        <f t="shared" ref="AT93:BE93" si="199">AT90-AT81</f>
        <v>-12789</v>
      </c>
      <c r="AU93" s="333">
        <f t="shared" si="199"/>
        <v>-4964</v>
      </c>
      <c r="AV93" s="333">
        <f t="shared" si="199"/>
        <v>-16175</v>
      </c>
      <c r="AW93" s="333">
        <f t="shared" si="199"/>
        <v>9888</v>
      </c>
      <c r="AX93" s="333">
        <f t="shared" si="199"/>
        <v>-2600</v>
      </c>
      <c r="AY93" s="333">
        <f t="shared" si="199"/>
        <v>-22930.999998999992</v>
      </c>
      <c r="AZ93" s="333">
        <f t="shared" si="199"/>
        <v>4623</v>
      </c>
      <c r="BA93" s="333">
        <f t="shared" si="199"/>
        <v>-233</v>
      </c>
      <c r="BB93" s="333">
        <f t="shared" si="199"/>
        <v>1815</v>
      </c>
      <c r="BC93" s="333">
        <f t="shared" si="199"/>
        <v>-3684</v>
      </c>
      <c r="BD93" s="333">
        <f t="shared" si="199"/>
        <v>8620</v>
      </c>
      <c r="BE93" s="333">
        <f t="shared" si="199"/>
        <v>-5750</v>
      </c>
      <c r="BF93" s="108">
        <f t="shared" si="189"/>
        <v>-44179.999998999992</v>
      </c>
      <c r="BG93" s="106"/>
      <c r="BH93" s="333">
        <f t="shared" ref="BH93:BQ93" si="200">BH90-BH81</f>
        <v>-1198</v>
      </c>
      <c r="BI93" s="333">
        <f t="shared" si="200"/>
        <v>-7189</v>
      </c>
      <c r="BJ93" s="333">
        <f t="shared" si="200"/>
        <v>11716</v>
      </c>
      <c r="BK93" s="333">
        <f t="shared" si="200"/>
        <v>12466</v>
      </c>
      <c r="BL93" s="333">
        <f t="shared" si="200"/>
        <v>42525</v>
      </c>
      <c r="BM93" s="333">
        <f t="shared" si="200"/>
        <v>-18728</v>
      </c>
      <c r="BN93" s="333">
        <f t="shared" si="200"/>
        <v>19329</v>
      </c>
      <c r="BO93" s="333">
        <f t="shared" si="200"/>
        <v>-9423</v>
      </c>
      <c r="BP93" s="333">
        <f t="shared" si="200"/>
        <v>-13665</v>
      </c>
      <c r="BQ93" s="333">
        <f t="shared" si="200"/>
        <v>2490</v>
      </c>
      <c r="BR93" s="108"/>
      <c r="BS93" s="108"/>
      <c r="BT93" s="108">
        <f t="shared" si="191"/>
        <v>38323</v>
      </c>
      <c r="BU93" s="28"/>
      <c r="BV93" s="333"/>
      <c r="BW93" s="333"/>
      <c r="BX93" s="333"/>
      <c r="BY93" s="333">
        <f>BY90-BY81</f>
        <v>5998</v>
      </c>
      <c r="BZ93" s="333">
        <f t="shared" ref="BZ93:CG93" si="201">BZ90-BZ81</f>
        <v>-13737</v>
      </c>
      <c r="CA93" s="333">
        <f t="shared" si="201"/>
        <v>-6090</v>
      </c>
      <c r="CB93" s="333">
        <f t="shared" si="201"/>
        <v>-2176</v>
      </c>
      <c r="CC93" s="333">
        <f t="shared" si="201"/>
        <v>-17344</v>
      </c>
      <c r="CD93" s="333">
        <f t="shared" si="201"/>
        <v>-13369</v>
      </c>
      <c r="CE93" s="333">
        <f t="shared" si="201"/>
        <v>793</v>
      </c>
      <c r="CF93" s="333">
        <f t="shared" si="201"/>
        <v>-12350</v>
      </c>
      <c r="CG93" s="333">
        <f t="shared" si="201"/>
        <v>-98800</v>
      </c>
      <c r="CH93" s="333">
        <f>CH90-CH81</f>
        <v>-118882</v>
      </c>
      <c r="CJ93" s="333">
        <f t="shared" ref="CJ93:CV93" si="202">CJ90-CJ81</f>
        <v>-9572</v>
      </c>
      <c r="CK93" s="333">
        <f>CK90-CK81</f>
        <v>-6005</v>
      </c>
      <c r="CL93" s="333">
        <f t="shared" si="202"/>
        <v>4111</v>
      </c>
      <c r="CM93" s="333">
        <f t="shared" si="202"/>
        <v>-7948</v>
      </c>
      <c r="CN93" s="333">
        <f t="shared" si="202"/>
        <v>36498</v>
      </c>
      <c r="CO93" s="333">
        <f t="shared" si="202"/>
        <v>-54273</v>
      </c>
      <c r="CP93" s="333">
        <f t="shared" si="202"/>
        <v>-53783</v>
      </c>
      <c r="CQ93" s="333">
        <f t="shared" si="202"/>
        <v>-27252</v>
      </c>
      <c r="CR93" s="333">
        <f t="shared" si="202"/>
        <v>-36926</v>
      </c>
      <c r="CS93" s="333">
        <f t="shared" si="202"/>
        <v>-205579</v>
      </c>
      <c r="CT93" s="333">
        <f t="shared" si="202"/>
        <v>-164340</v>
      </c>
      <c r="CU93" s="333">
        <f t="shared" si="202"/>
        <v>-118660</v>
      </c>
      <c r="CV93" s="333">
        <f t="shared" si="202"/>
        <v>-2260169</v>
      </c>
      <c r="CW93" s="758"/>
      <c r="CX93" s="333">
        <f>CX90-CX80</f>
        <v>-3422.0999999999767</v>
      </c>
      <c r="CY93" s="333">
        <f t="shared" ref="CY93:DK93" si="203">CY90-CY81</f>
        <v>27531.399999999994</v>
      </c>
      <c r="CZ93" s="333">
        <f t="shared" si="203"/>
        <v>173731</v>
      </c>
      <c r="DA93" s="333">
        <f t="shared" si="203"/>
        <v>151212</v>
      </c>
      <c r="DB93" s="333">
        <f t="shared" si="203"/>
        <v>62684</v>
      </c>
      <c r="DC93" s="333">
        <f t="shared" si="203"/>
        <v>28557</v>
      </c>
      <c r="DD93" s="333">
        <f t="shared" si="203"/>
        <v>42631.880000000005</v>
      </c>
      <c r="DE93" s="333">
        <f t="shared" si="203"/>
        <v>47228.150000000023</v>
      </c>
      <c r="DF93" s="333">
        <f t="shared" si="203"/>
        <v>41188.260000000009</v>
      </c>
      <c r="DG93" s="333">
        <f t="shared" si="203"/>
        <v>-164685.74</v>
      </c>
      <c r="DH93" s="333">
        <f t="shared" si="203"/>
        <v>-157886.98000000001</v>
      </c>
      <c r="DI93" s="333">
        <f t="shared" si="203"/>
        <v>-82390.079999999987</v>
      </c>
      <c r="DJ93" s="333">
        <f t="shared" si="203"/>
        <v>-1385899.21</v>
      </c>
      <c r="DK93" s="948"/>
      <c r="DL93" s="333">
        <f t="shared" ref="DL93:DX93" si="204">DL90-DL81</f>
        <v>64432.100000000006</v>
      </c>
      <c r="DM93" s="333">
        <f t="shared" si="204"/>
        <v>25563.950000000012</v>
      </c>
      <c r="DN93" s="333">
        <f t="shared" si="204"/>
        <v>27349</v>
      </c>
      <c r="DO93" s="333">
        <f t="shared" si="204"/>
        <v>31430</v>
      </c>
      <c r="DP93" s="333">
        <f t="shared" si="204"/>
        <v>48001.640000000014</v>
      </c>
      <c r="DQ93" s="333">
        <f t="shared" si="204"/>
        <v>26561.050000000017</v>
      </c>
      <c r="DR93" s="333">
        <f t="shared" si="204"/>
        <v>46531.260000000009</v>
      </c>
      <c r="DS93" s="333">
        <f t="shared" si="204"/>
        <v>57482.050000000017</v>
      </c>
      <c r="DT93" s="333">
        <f t="shared" si="204"/>
        <v>35188.260000000009</v>
      </c>
      <c r="DU93" s="333">
        <f t="shared" si="204"/>
        <v>-170685.74</v>
      </c>
      <c r="DV93" s="333">
        <f t="shared" si="204"/>
        <v>-157886.98000000001</v>
      </c>
      <c r="DW93" s="333">
        <f t="shared" si="204"/>
        <v>-82390.079999999987</v>
      </c>
      <c r="DX93" s="333">
        <f t="shared" si="204"/>
        <v>-1663581.49</v>
      </c>
    </row>
    <row r="94" spans="1:129" ht="14.25" hidden="1" customHeight="1">
      <c r="A94" s="55" t="s">
        <v>104</v>
      </c>
      <c r="B94" s="56"/>
      <c r="C94" s="280"/>
      <c r="D94" s="288" t="e">
        <f t="shared" ref="D94:F94" si="205">#REF!-#REF!</f>
        <v>#REF!</v>
      </c>
      <c r="E94" s="57" t="e">
        <f t="shared" si="205"/>
        <v>#REF!</v>
      </c>
      <c r="F94" s="57" t="e">
        <f t="shared" si="205"/>
        <v>#REF!</v>
      </c>
      <c r="G94" s="57" t="e">
        <f t="shared" ref="G94:I94" si="206">G81-#REF!</f>
        <v>#REF!</v>
      </c>
      <c r="H94" s="57" t="e">
        <f t="shared" si="206"/>
        <v>#REF!</v>
      </c>
      <c r="I94" s="57" t="e">
        <f t="shared" si="206"/>
        <v>#REF!</v>
      </c>
      <c r="J94" s="57" t="e">
        <f t="shared" ref="J94:K94" si="207">#REF!-#REF!</f>
        <v>#REF!</v>
      </c>
      <c r="K94" s="57" t="e">
        <f t="shared" si="207"/>
        <v>#REF!</v>
      </c>
      <c r="L94" s="57">
        <f>L81-L34</f>
        <v>-24911</v>
      </c>
      <c r="M94" s="57">
        <f>M81-M34</f>
        <v>-13674</v>
      </c>
      <c r="N94" s="57">
        <f>N81-N34</f>
        <v>57632</v>
      </c>
      <c r="O94" s="57">
        <f>O81-O34</f>
        <v>74079</v>
      </c>
      <c r="P94" s="289" t="e">
        <f>SUM(D94:O94)</f>
        <v>#REF!</v>
      </c>
      <c r="Q94" s="39"/>
      <c r="R94" s="288">
        <f t="shared" ref="R94:AD94" si="208">R81-R34</f>
        <v>22222.660017050745</v>
      </c>
      <c r="S94" s="58">
        <f t="shared" si="208"/>
        <v>17159.673608830723</v>
      </c>
      <c r="T94" s="58">
        <f t="shared" si="208"/>
        <v>-24753.77192982455</v>
      </c>
      <c r="U94" s="58">
        <f t="shared" si="208"/>
        <v>-17814.899999999998</v>
      </c>
      <c r="V94" s="58">
        <f t="shared" si="208"/>
        <v>1715</v>
      </c>
      <c r="W94" s="290">
        <f t="shared" si="208"/>
        <v>120430.6180497602</v>
      </c>
      <c r="X94" s="290">
        <f t="shared" si="208"/>
        <v>43436.666666667006</v>
      </c>
      <c r="Y94" s="290">
        <f t="shared" si="208"/>
        <v>-29747.083333333314</v>
      </c>
      <c r="Z94" s="290">
        <f t="shared" si="208"/>
        <v>-80887.5</v>
      </c>
      <c r="AA94" s="290">
        <f t="shared" si="208"/>
        <v>10200</v>
      </c>
      <c r="AB94" s="290">
        <f t="shared" si="208"/>
        <v>137500</v>
      </c>
      <c r="AC94" s="290">
        <f t="shared" si="208"/>
        <v>134100</v>
      </c>
      <c r="AD94" s="291">
        <f t="shared" si="208"/>
        <v>333561.36307915067</v>
      </c>
      <c r="AE94" s="59"/>
      <c r="AF94" s="292">
        <f t="shared" ref="AF94:AQ94" si="209">AF81-AF34</f>
        <v>32754</v>
      </c>
      <c r="AG94" s="58">
        <f t="shared" si="209"/>
        <v>-11977</v>
      </c>
      <c r="AH94" s="58">
        <f t="shared" si="209"/>
        <v>76847</v>
      </c>
      <c r="AI94" s="58">
        <f t="shared" si="209"/>
        <v>59682</v>
      </c>
      <c r="AJ94" s="58">
        <f t="shared" si="209"/>
        <v>74226</v>
      </c>
      <c r="AK94" s="58">
        <f t="shared" si="209"/>
        <v>14740</v>
      </c>
      <c r="AL94" s="58">
        <f t="shared" si="209"/>
        <v>38005</v>
      </c>
      <c r="AM94" s="58">
        <f t="shared" si="209"/>
        <v>-71903</v>
      </c>
      <c r="AN94" s="58">
        <f t="shared" si="209"/>
        <v>-90633.333333333343</v>
      </c>
      <c r="AO94" s="58">
        <f t="shared" si="209"/>
        <v>-115900</v>
      </c>
      <c r="AP94" s="58">
        <f t="shared" si="209"/>
        <v>1360</v>
      </c>
      <c r="AQ94" s="58">
        <f t="shared" si="209"/>
        <v>2160</v>
      </c>
      <c r="AR94" s="58">
        <f t="shared" si="187"/>
        <v>9360.666666666657</v>
      </c>
      <c r="AS94" s="59"/>
      <c r="AT94" s="58">
        <f t="shared" ref="AT94:BE94" si="210">AT81-AT34</f>
        <v>-19749.25</v>
      </c>
      <c r="AU94" s="58">
        <f t="shared" si="210"/>
        <v>-43342.103448275855</v>
      </c>
      <c r="AV94" s="58">
        <f t="shared" si="210"/>
        <v>-36893.137931034493</v>
      </c>
      <c r="AW94" s="58">
        <f t="shared" si="210"/>
        <v>-32095.137931034493</v>
      </c>
      <c r="AX94" s="58">
        <f t="shared" si="210"/>
        <v>19900.034482758623</v>
      </c>
      <c r="AY94" s="58">
        <f t="shared" si="210"/>
        <v>19999.222221222211</v>
      </c>
      <c r="AZ94" s="58">
        <f t="shared" si="210"/>
        <v>-14264.777777777781</v>
      </c>
      <c r="BA94" s="58">
        <f t="shared" si="210"/>
        <v>-68922.296296296292</v>
      </c>
      <c r="BB94" s="58">
        <f t="shared" si="210"/>
        <v>-78407.777777777781</v>
      </c>
      <c r="BC94" s="58">
        <f t="shared" si="210"/>
        <v>-95868.290755657828</v>
      </c>
      <c r="BD94" s="58">
        <f t="shared" si="210"/>
        <v>-5124.586881472962</v>
      </c>
      <c r="BE94" s="58">
        <f t="shared" si="210"/>
        <v>-10986.612965093984</v>
      </c>
      <c r="BF94" s="58">
        <f t="shared" si="189"/>
        <v>-365754.71506044065</v>
      </c>
      <c r="BG94" s="59"/>
      <c r="BH94" s="58">
        <f t="shared" ref="BH94:BQ94" si="211">BH81-BH34</f>
        <v>-12993</v>
      </c>
      <c r="BI94" s="58">
        <f t="shared" si="211"/>
        <v>-30242.333333333314</v>
      </c>
      <c r="BJ94" s="58">
        <f t="shared" si="211"/>
        <v>-23206.074074074073</v>
      </c>
      <c r="BK94" s="58">
        <f t="shared" si="211"/>
        <v>-47411.74074074073</v>
      </c>
      <c r="BL94" s="58">
        <f t="shared" si="211"/>
        <v>-23836.851851851854</v>
      </c>
      <c r="BM94" s="58">
        <f t="shared" si="211"/>
        <v>23509.740740740745</v>
      </c>
      <c r="BN94" s="58">
        <f t="shared" si="211"/>
        <v>-33707.555555555562</v>
      </c>
      <c r="BO94" s="58">
        <f t="shared" si="211"/>
        <v>-18896.378111111087</v>
      </c>
      <c r="BP94" s="58">
        <f t="shared" si="211"/>
        <v>-45053.749537037045</v>
      </c>
      <c r="BQ94" s="58">
        <f t="shared" si="211"/>
        <v>-7140</v>
      </c>
      <c r="BR94" s="58"/>
      <c r="BS94" s="58"/>
      <c r="BT94" s="58">
        <f t="shared" si="191"/>
        <v>-218977.94246296291</v>
      </c>
      <c r="BU94" s="60"/>
      <c r="BV94" s="58"/>
      <c r="BW94" s="58"/>
      <c r="BX94" s="58"/>
      <c r="BY94" s="58">
        <f>BY81-BY34</f>
        <v>13630.76923076922</v>
      </c>
      <c r="BZ94" s="58">
        <f t="shared" ref="BZ94:CG94" si="212">BZ81-BZ34</f>
        <v>14117.606582143373</v>
      </c>
      <c r="CA94" s="58">
        <f t="shared" si="212"/>
        <v>16957.870899031579</v>
      </c>
      <c r="CB94" s="58">
        <f t="shared" si="212"/>
        <v>3013.7855523840117</v>
      </c>
      <c r="CC94" s="58">
        <f t="shared" si="212"/>
        <v>-28501.089448851068</v>
      </c>
      <c r="CD94" s="58">
        <f t="shared" si="212"/>
        <v>-40033.040135593415</v>
      </c>
      <c r="CE94" s="58">
        <f t="shared" si="212"/>
        <v>-43122.303862118919</v>
      </c>
      <c r="CF94" s="58">
        <f t="shared" si="212"/>
        <v>-3915.8422363018617</v>
      </c>
      <c r="CG94" s="58">
        <f t="shared" si="212"/>
        <v>11316.183308289634</v>
      </c>
      <c r="CH94" s="58">
        <f>CH90-CH76</f>
        <v>-50665</v>
      </c>
      <c r="CJ94" s="58">
        <f t="shared" ref="CJ94:CV94" si="213">CJ81-CJ34</f>
        <v>7083.6330227357394</v>
      </c>
      <c r="CK94" s="58">
        <f t="shared" si="213"/>
        <v>13756.340186358546</v>
      </c>
      <c r="CL94" s="58">
        <f t="shared" si="213"/>
        <v>4307.6667014535924</v>
      </c>
      <c r="CM94" s="58">
        <f t="shared" si="213"/>
        <v>34375.841222512099</v>
      </c>
      <c r="CN94" s="58">
        <f t="shared" si="213"/>
        <v>10438.8879612374</v>
      </c>
      <c r="CO94" s="58">
        <f t="shared" si="213"/>
        <v>63053.84509877002</v>
      </c>
      <c r="CP94" s="58">
        <f t="shared" si="213"/>
        <v>32882.489535864966</v>
      </c>
      <c r="CQ94" s="58">
        <f t="shared" si="213"/>
        <v>-22005.693924050604</v>
      </c>
      <c r="CR94" s="58">
        <f t="shared" si="213"/>
        <v>-47858.190843881865</v>
      </c>
      <c r="CS94" s="58">
        <f t="shared" si="213"/>
        <v>-44713.95105485231</v>
      </c>
      <c r="CT94" s="58">
        <f t="shared" si="213"/>
        <v>-9023.6010970463976</v>
      </c>
      <c r="CU94" s="58">
        <f t="shared" si="213"/>
        <v>22348.607594936708</v>
      </c>
      <c r="CV94" s="58">
        <f t="shared" si="213"/>
        <v>64645.874404037837</v>
      </c>
      <c r="CW94" s="758"/>
      <c r="CX94" s="58">
        <f>CX81-CX34</f>
        <v>-68112.900000000023</v>
      </c>
      <c r="CY94" s="58">
        <f t="shared" ref="CY94:DK94" si="214">CY81-CY34</f>
        <v>-101135.40000000002</v>
      </c>
      <c r="CZ94" s="58">
        <f t="shared" si="214"/>
        <v>-165620</v>
      </c>
      <c r="DA94" s="58">
        <f t="shared" si="214"/>
        <v>-122960</v>
      </c>
      <c r="DB94" s="58">
        <f t="shared" si="214"/>
        <v>-8196</v>
      </c>
      <c r="DC94" s="58">
        <f t="shared" si="214"/>
        <v>-7689.2000000000116</v>
      </c>
      <c r="DD94" s="58">
        <f t="shared" si="214"/>
        <v>-51321.420000000013</v>
      </c>
      <c r="DE94" s="58">
        <f t="shared" si="214"/>
        <v>-78656.73000000004</v>
      </c>
      <c r="DF94" s="58">
        <f t="shared" si="214"/>
        <v>-133207.05000000005</v>
      </c>
      <c r="DG94" s="58">
        <f t="shared" si="214"/>
        <v>-58100.46000000005</v>
      </c>
      <c r="DH94" s="58">
        <f t="shared" si="214"/>
        <v>2458.8000000000175</v>
      </c>
      <c r="DI94" s="58">
        <f t="shared" si="214"/>
        <v>-6609.9200000000128</v>
      </c>
      <c r="DJ94" s="58">
        <f t="shared" si="214"/>
        <v>-799150.28000000026</v>
      </c>
      <c r="DK94" s="948"/>
      <c r="DL94" s="58">
        <f>DL81-DL34</f>
        <v>-73087.100000000006</v>
      </c>
      <c r="DM94" s="58">
        <f t="shared" ref="DM94:DY94" si="215">DM81-DM34</f>
        <v>-99167.950000000041</v>
      </c>
      <c r="DN94" s="58">
        <f t="shared" si="215"/>
        <v>-19238</v>
      </c>
      <c r="DO94" s="58">
        <f t="shared" si="215"/>
        <v>-3178</v>
      </c>
      <c r="DP94" s="58">
        <f t="shared" si="215"/>
        <v>6486.359999999986</v>
      </c>
      <c r="DQ94" s="58">
        <f t="shared" si="215"/>
        <v>-5693.2500000000291</v>
      </c>
      <c r="DR94" s="58">
        <f t="shared" si="215"/>
        <v>-55220.800000000017</v>
      </c>
      <c r="DS94" s="58">
        <f t="shared" si="215"/>
        <v>-88910.630000000034</v>
      </c>
      <c r="DT94" s="58">
        <f t="shared" si="215"/>
        <v>-127207.05000000005</v>
      </c>
      <c r="DU94" s="58">
        <f t="shared" si="215"/>
        <v>-52100.46000000005</v>
      </c>
      <c r="DV94" s="58">
        <f t="shared" si="215"/>
        <v>2458.8000000000175</v>
      </c>
      <c r="DW94" s="58">
        <f t="shared" si="215"/>
        <v>-6609.9200000000128</v>
      </c>
      <c r="DX94" s="58">
        <f t="shared" si="215"/>
        <v>-521468.00000000023</v>
      </c>
    </row>
    <row r="95" spans="1:129" ht="15" hidden="1" customHeight="1">
      <c r="B95" t="s">
        <v>106</v>
      </c>
      <c r="BZ95" s="598"/>
      <c r="CA95" s="598">
        <f>BZ95+CA94</f>
        <v>16957.870899031579</v>
      </c>
      <c r="CB95" s="598">
        <f t="shared" ref="CB95:CG95" si="216">CA95+CB94</f>
        <v>19971.656451415591</v>
      </c>
      <c r="CC95" s="598">
        <f t="shared" si="216"/>
        <v>-8529.4329974354769</v>
      </c>
      <c r="CD95" s="598">
        <f t="shared" si="216"/>
        <v>-48562.473133028892</v>
      </c>
      <c r="CE95" s="598">
        <f t="shared" si="216"/>
        <v>-91684.776995147811</v>
      </c>
      <c r="CF95" s="598">
        <f t="shared" si="216"/>
        <v>-95600.619231449673</v>
      </c>
      <c r="CG95" s="598">
        <f t="shared" si="216"/>
        <v>-84284.435923160039</v>
      </c>
      <c r="CN95">
        <v>147</v>
      </c>
      <c r="CO95">
        <v>147</v>
      </c>
      <c r="CP95">
        <v>147</v>
      </c>
      <c r="CQ95">
        <v>147</v>
      </c>
      <c r="CR95">
        <v>147</v>
      </c>
      <c r="CS95">
        <v>147</v>
      </c>
      <c r="CT95">
        <v>147</v>
      </c>
      <c r="CU95">
        <v>147</v>
      </c>
      <c r="CW95" s="758"/>
      <c r="CX95">
        <f>CX78/(CX77+CX78)</f>
        <v>0.10889228207304867</v>
      </c>
      <c r="CY95">
        <f t="shared" ref="CY95:DI95" si="217">CY78/(CY77+CY78)</f>
        <v>0.10906332005393196</v>
      </c>
      <c r="CZ95">
        <f t="shared" si="217"/>
        <v>0.10560295990871499</v>
      </c>
      <c r="DA95">
        <f t="shared" si="217"/>
        <v>0.1103740306776172</v>
      </c>
      <c r="DB95">
        <f t="shared" si="217"/>
        <v>0.13051445317054414</v>
      </c>
      <c r="DC95">
        <f t="shared" si="217"/>
        <v>0.11523987852948538</v>
      </c>
      <c r="DD95">
        <f t="shared" si="217"/>
        <v>0.15437832681434827</v>
      </c>
      <c r="DE95">
        <f t="shared" si="217"/>
        <v>0.15036914685746341</v>
      </c>
      <c r="DF95">
        <f t="shared" si="217"/>
        <v>0.14020904139872914</v>
      </c>
      <c r="DG95">
        <f t="shared" si="217"/>
        <v>7.9975851863863481E-2</v>
      </c>
      <c r="DH95">
        <f t="shared" si="217"/>
        <v>0.10518071187595056</v>
      </c>
      <c r="DI95">
        <f t="shared" si="217"/>
        <v>9.825520729297918E-2</v>
      </c>
      <c r="DK95" s="948"/>
      <c r="DL95">
        <f>DL78/(DL77+DL78)</f>
        <v>9.6743432367023818E-2</v>
      </c>
      <c r="DM95">
        <f t="shared" ref="DM95:DW95" si="218">DM78/(DM77+DM78)</f>
        <v>9.6498631887906555E-2</v>
      </c>
      <c r="DN95">
        <f t="shared" si="218"/>
        <v>9.4591881536495157E-2</v>
      </c>
      <c r="DO95">
        <f t="shared" si="218"/>
        <v>9.7964874027716115E-2</v>
      </c>
      <c r="DP95">
        <f t="shared" si="218"/>
        <v>9.6214773867036557E-2</v>
      </c>
      <c r="DQ95">
        <f t="shared" si="218"/>
        <v>9.1265234582406166E-2</v>
      </c>
      <c r="DR95">
        <f t="shared" si="218"/>
        <v>0.10014614608853602</v>
      </c>
      <c r="DS95">
        <f t="shared" si="218"/>
        <v>0.11099587737436893</v>
      </c>
      <c r="DT95">
        <f t="shared" si="218"/>
        <v>0.1164117090457787</v>
      </c>
      <c r="DU95">
        <f t="shared" si="218"/>
        <v>7.1907521879673655E-2</v>
      </c>
      <c r="DV95">
        <f t="shared" si="218"/>
        <v>9.4879734818233225E-2</v>
      </c>
      <c r="DW95">
        <f t="shared" si="218"/>
        <v>8.908196304065602E-2</v>
      </c>
    </row>
    <row r="96" spans="1:129" ht="15" hidden="1" customHeight="1">
      <c r="B96" t="s">
        <v>107</v>
      </c>
      <c r="CN96" s="735">
        <f>CN89/CN95</f>
        <v>8840.5732799999987</v>
      </c>
      <c r="CO96" s="735">
        <f t="shared" ref="CO96:CU96" si="219">CO89/CO95</f>
        <v>9261.5529599999973</v>
      </c>
      <c r="CP96" s="735">
        <f t="shared" si="219"/>
        <v>10524.491999999997</v>
      </c>
      <c r="CQ96" s="735">
        <f t="shared" si="219"/>
        <v>8840.5732799999987</v>
      </c>
      <c r="CR96" s="735">
        <f t="shared" si="219"/>
        <v>9261.5529599999973</v>
      </c>
      <c r="CS96" s="735">
        <f t="shared" si="219"/>
        <v>9682.5326399999976</v>
      </c>
      <c r="CT96" s="735">
        <f t="shared" si="219"/>
        <v>9261.5529599999973</v>
      </c>
      <c r="CU96" s="735">
        <f t="shared" si="219"/>
        <v>7156.654559999999</v>
      </c>
      <c r="CW96" s="758"/>
      <c r="CX96">
        <f>ROUND(CX95*CX81,0)</f>
        <v>14361</v>
      </c>
      <c r="CY96">
        <f t="shared" ref="CY96:DI96" si="220">ROUND(CY95*CY81,0)</f>
        <v>12855</v>
      </c>
      <c r="CZ96">
        <f t="shared" si="220"/>
        <v>146</v>
      </c>
      <c r="DA96">
        <f t="shared" si="220"/>
        <v>4508</v>
      </c>
      <c r="DB96">
        <f t="shared" si="220"/>
        <v>19852</v>
      </c>
      <c r="DC96">
        <f t="shared" si="220"/>
        <v>13272</v>
      </c>
      <c r="DD96">
        <f t="shared" si="220"/>
        <v>22938</v>
      </c>
      <c r="DE96">
        <f t="shared" si="220"/>
        <v>20062</v>
      </c>
      <c r="DF96">
        <f t="shared" si="220"/>
        <v>19585</v>
      </c>
      <c r="DG96">
        <f t="shared" si="220"/>
        <v>13171</v>
      </c>
      <c r="DH96">
        <f t="shared" si="220"/>
        <v>16607</v>
      </c>
      <c r="DI96">
        <f t="shared" si="220"/>
        <v>8095</v>
      </c>
      <c r="DK96" s="948"/>
      <c r="DL96">
        <f>ROUND(DL95*DL81,0)</f>
        <v>12278</v>
      </c>
      <c r="DM96">
        <f t="shared" ref="DM96:DW96" si="221">ROUND(DM95*DM81,0)</f>
        <v>11564</v>
      </c>
      <c r="DN96">
        <f t="shared" si="221"/>
        <v>13977</v>
      </c>
      <c r="DO96">
        <f t="shared" si="221"/>
        <v>15735</v>
      </c>
      <c r="DP96">
        <f t="shared" si="221"/>
        <v>16047</v>
      </c>
      <c r="DQ96">
        <f t="shared" si="221"/>
        <v>10693</v>
      </c>
      <c r="DR96">
        <f t="shared" si="221"/>
        <v>14490</v>
      </c>
      <c r="DS96">
        <f t="shared" si="221"/>
        <v>13671</v>
      </c>
      <c r="DT96">
        <f t="shared" si="221"/>
        <v>16960</v>
      </c>
      <c r="DU96">
        <f t="shared" si="221"/>
        <v>12274</v>
      </c>
      <c r="DV96">
        <f t="shared" si="221"/>
        <v>14980</v>
      </c>
      <c r="DW96">
        <f t="shared" si="221"/>
        <v>7339</v>
      </c>
    </row>
    <row r="97" spans="1:128" ht="15" hidden="1" customHeight="1">
      <c r="CO97" s="598">
        <f>CO85</f>
        <v>9000</v>
      </c>
      <c r="CP97" s="598">
        <f t="shared" ref="CP97:CU97" si="222">CP85</f>
        <v>9800</v>
      </c>
      <c r="CQ97" s="598">
        <f t="shared" si="222"/>
        <v>9900</v>
      </c>
      <c r="CR97" s="598">
        <f t="shared" si="222"/>
        <v>9900</v>
      </c>
      <c r="CS97" s="598">
        <f t="shared" si="222"/>
        <v>9300</v>
      </c>
      <c r="CT97" s="598">
        <f t="shared" si="222"/>
        <v>8400</v>
      </c>
      <c r="CU97" s="598">
        <f t="shared" si="222"/>
        <v>9300</v>
      </c>
      <c r="CW97" s="758"/>
      <c r="CX97" s="413">
        <v>194469.46000000002</v>
      </c>
      <c r="CY97" s="413">
        <v>159466.88999999998</v>
      </c>
      <c r="CZ97" s="413">
        <v>208203.57</v>
      </c>
      <c r="DA97" s="413">
        <v>158532.44</v>
      </c>
      <c r="DB97" s="413">
        <v>157404.75999999998</v>
      </c>
      <c r="DC97" s="413">
        <v>118894.62</v>
      </c>
      <c r="DD97" s="413">
        <v>211625.73</v>
      </c>
      <c r="DE97" s="413">
        <v>208193.11</v>
      </c>
      <c r="DF97" s="413">
        <v>269889.13</v>
      </c>
      <c r="DG97" s="413">
        <v>258868.84085232066</v>
      </c>
      <c r="DH97" s="413">
        <v>178376.53444641351</v>
      </c>
      <c r="DI97" s="413">
        <v>114212.18776329115</v>
      </c>
      <c r="DK97" s="948"/>
      <c r="DL97" s="413">
        <f>DL98*1.1</f>
        <v>213916.40600000005</v>
      </c>
      <c r="DM97" s="413">
        <f t="shared" ref="DM97:DW97" si="223">DM98*1.1</f>
        <v>175413.579</v>
      </c>
      <c r="DN97" s="413">
        <f t="shared" si="223"/>
        <v>229023.92700000003</v>
      </c>
      <c r="DO97" s="413">
        <f t="shared" si="223"/>
        <v>174385.68400000001</v>
      </c>
      <c r="DP97" s="413">
        <f t="shared" si="223"/>
        <v>173145.236</v>
      </c>
      <c r="DQ97" s="413">
        <f t="shared" si="223"/>
        <v>130784.08200000001</v>
      </c>
      <c r="DR97" s="413">
        <f t="shared" si="223"/>
        <v>232788.30300000004</v>
      </c>
      <c r="DS97" s="413">
        <f t="shared" si="223"/>
        <v>229012.421</v>
      </c>
      <c r="DT97" s="413">
        <f t="shared" si="223"/>
        <v>296878.04300000001</v>
      </c>
      <c r="DU97" s="413">
        <f t="shared" si="223"/>
        <v>284755.72493755276</v>
      </c>
      <c r="DV97" s="413">
        <f t="shared" si="223"/>
        <v>196214.18789105487</v>
      </c>
      <c r="DW97" s="413">
        <f t="shared" si="223"/>
        <v>125633.40653962028</v>
      </c>
    </row>
    <row r="98" spans="1:128" ht="15" hidden="1" customHeight="1">
      <c r="B98" s="576"/>
      <c r="C98" s="576"/>
      <c r="D98" s="576"/>
      <c r="E98" s="576"/>
      <c r="F98" s="576"/>
      <c r="G98" s="576"/>
      <c r="H98" s="576"/>
      <c r="I98" s="576"/>
      <c r="J98" s="576"/>
      <c r="K98" s="576"/>
      <c r="L98" s="576"/>
      <c r="M98" s="576"/>
      <c r="N98" s="576"/>
      <c r="O98" s="576"/>
      <c r="P98" s="576"/>
      <c r="Q98" s="576"/>
      <c r="R98" s="576"/>
      <c r="S98" s="576"/>
      <c r="T98" s="576"/>
      <c r="U98" s="576"/>
      <c r="V98" s="576"/>
      <c r="W98" s="576"/>
      <c r="X98" s="576"/>
      <c r="Y98" s="576"/>
      <c r="Z98" s="576"/>
      <c r="AA98" s="576"/>
      <c r="AB98" s="576"/>
      <c r="AC98" s="576"/>
      <c r="AD98" s="576"/>
      <c r="AE98" s="576"/>
      <c r="AF98" s="576"/>
      <c r="AG98" s="576"/>
      <c r="AH98" s="576"/>
      <c r="AI98" s="576"/>
      <c r="AJ98" s="576"/>
      <c r="AK98" s="576"/>
      <c r="AL98" s="576"/>
      <c r="AM98" s="576"/>
      <c r="AN98" s="576"/>
      <c r="AO98" s="576"/>
      <c r="AP98" s="576"/>
      <c r="AQ98" s="576"/>
      <c r="AR98" s="576"/>
      <c r="AS98" s="576"/>
      <c r="AT98" s="576"/>
      <c r="AU98" s="576"/>
      <c r="AV98" s="576"/>
      <c r="AW98" s="576"/>
      <c r="AX98" s="576"/>
      <c r="AY98" s="576"/>
      <c r="AZ98" s="576"/>
      <c r="BA98" s="576"/>
      <c r="BB98" s="576"/>
      <c r="BC98" s="576"/>
      <c r="BD98" s="576"/>
      <c r="BE98" s="576"/>
      <c r="BF98" s="576"/>
      <c r="BG98" s="576"/>
      <c r="BH98" s="576"/>
      <c r="BI98" s="576"/>
      <c r="BJ98" s="576"/>
      <c r="BK98" s="576"/>
      <c r="BL98" s="576"/>
      <c r="BM98" s="576"/>
      <c r="BN98" s="576"/>
      <c r="BO98" s="576"/>
      <c r="BP98" s="576"/>
      <c r="BQ98" s="576"/>
      <c r="BR98" s="576"/>
      <c r="BS98" s="576"/>
      <c r="BT98" s="576"/>
      <c r="BU98" s="576"/>
      <c r="BV98" s="576"/>
      <c r="BW98" s="576"/>
      <c r="BX98" s="576"/>
      <c r="BY98" s="576"/>
      <c r="BZ98" s="576"/>
      <c r="CA98" s="576"/>
      <c r="CB98" s="576"/>
      <c r="CC98" s="576"/>
      <c r="CD98" s="576"/>
      <c r="CE98" s="576"/>
      <c r="CF98" s="576"/>
      <c r="CG98" s="576"/>
      <c r="CH98" s="576"/>
      <c r="CI98" s="576"/>
      <c r="CJ98" s="576"/>
      <c r="CK98" s="576"/>
      <c r="CL98" s="576"/>
      <c r="CM98" s="576"/>
      <c r="CN98" s="576"/>
      <c r="CO98" s="576">
        <f>CO81*0.95</f>
        <v>188100</v>
      </c>
      <c r="CP98" s="576">
        <f t="shared" ref="CP98:CU98" si="224">CP81*0.95</f>
        <v>232750</v>
      </c>
      <c r="CQ98" s="576">
        <f t="shared" si="224"/>
        <v>197505</v>
      </c>
      <c r="CR98" s="576">
        <f t="shared" si="224"/>
        <v>206910</v>
      </c>
      <c r="CS98" s="576">
        <f t="shared" si="224"/>
        <v>195300.05</v>
      </c>
      <c r="CT98" s="576">
        <f t="shared" si="224"/>
        <v>156123</v>
      </c>
      <c r="CU98" s="576">
        <f t="shared" si="224"/>
        <v>112727</v>
      </c>
      <c r="CV98" s="576"/>
      <c r="CW98" s="758"/>
      <c r="CX98" s="576"/>
      <c r="CY98" s="576"/>
      <c r="CZ98" s="576"/>
      <c r="DA98" s="576"/>
      <c r="DB98" s="576"/>
      <c r="DC98" s="576"/>
      <c r="DD98" s="576"/>
      <c r="DE98" s="576"/>
      <c r="DF98" s="576"/>
      <c r="DG98" s="576"/>
      <c r="DH98" s="576"/>
      <c r="DI98" s="576"/>
      <c r="DK98" s="948"/>
      <c r="DL98" s="413">
        <v>194469.46000000002</v>
      </c>
      <c r="DM98" s="413">
        <v>159466.88999999998</v>
      </c>
      <c r="DN98" s="413">
        <v>208203.57</v>
      </c>
      <c r="DO98" s="413">
        <v>158532.44</v>
      </c>
      <c r="DP98" s="413">
        <v>157404.75999999998</v>
      </c>
      <c r="DQ98" s="413">
        <v>118894.62</v>
      </c>
      <c r="DR98" s="413">
        <v>211625.73</v>
      </c>
      <c r="DS98" s="413">
        <v>208193.11</v>
      </c>
      <c r="DT98" s="413">
        <v>269889.13</v>
      </c>
      <c r="DU98" s="413">
        <v>258868.84085232066</v>
      </c>
      <c r="DV98" s="413">
        <v>178376.53444641351</v>
      </c>
      <c r="DW98" s="413">
        <v>114212.18776329115</v>
      </c>
    </row>
    <row r="99" spans="1:128" ht="15" hidden="1" customHeight="1">
      <c r="A99" s="576"/>
      <c r="B99" s="760" t="s">
        <v>136</v>
      </c>
      <c r="C99" s="761"/>
      <c r="D99" s="761"/>
      <c r="E99" s="761"/>
      <c r="F99" s="761"/>
      <c r="G99" s="761"/>
      <c r="H99" s="761"/>
      <c r="I99" s="761"/>
      <c r="J99" s="761"/>
      <c r="K99" s="761"/>
      <c r="L99" s="761"/>
      <c r="M99" s="761"/>
      <c r="N99" s="761"/>
      <c r="O99" s="761"/>
      <c r="P99" s="761"/>
      <c r="Q99" s="761"/>
      <c r="R99" s="761"/>
      <c r="S99" s="761"/>
      <c r="T99" s="761"/>
      <c r="U99" s="761"/>
      <c r="V99" s="761"/>
      <c r="W99" s="761"/>
      <c r="X99" s="761"/>
      <c r="Y99" s="761"/>
      <c r="Z99" s="761"/>
      <c r="AA99" s="761"/>
      <c r="AB99" s="761"/>
      <c r="AC99" s="761"/>
      <c r="AD99" s="761"/>
      <c r="AE99" s="761"/>
      <c r="AF99" s="761"/>
      <c r="AG99" s="761"/>
      <c r="AH99" s="761"/>
      <c r="AI99" s="761"/>
      <c r="AJ99" s="761"/>
      <c r="AK99" s="761"/>
      <c r="AL99" s="761"/>
      <c r="AM99" s="761"/>
      <c r="AN99" s="761"/>
      <c r="AO99" s="761"/>
      <c r="AP99" s="761"/>
      <c r="AQ99" s="761"/>
      <c r="AR99" s="761"/>
      <c r="AS99" s="761"/>
      <c r="AT99" s="761"/>
      <c r="AU99" s="761"/>
      <c r="AV99" s="761"/>
      <c r="AW99" s="761"/>
      <c r="AX99" s="761"/>
      <c r="AY99" s="761"/>
      <c r="AZ99" s="761"/>
      <c r="BA99" s="761"/>
      <c r="BB99" s="761"/>
      <c r="BC99" s="761"/>
      <c r="BD99" s="761"/>
      <c r="BE99" s="761"/>
      <c r="BF99" s="761"/>
      <c r="BG99" s="761"/>
      <c r="BH99" s="761"/>
      <c r="BI99" s="761"/>
      <c r="BJ99" s="761"/>
      <c r="BK99" s="761"/>
      <c r="BL99" s="761"/>
      <c r="BM99" s="761"/>
      <c r="BN99" s="761"/>
      <c r="BO99" s="761"/>
      <c r="BP99" s="761"/>
      <c r="BQ99" s="761"/>
      <c r="BR99" s="761"/>
      <c r="BS99" s="761"/>
      <c r="BT99" s="761"/>
      <c r="BU99" s="761"/>
      <c r="BV99" s="761"/>
      <c r="BW99" s="761"/>
      <c r="BX99" s="761"/>
      <c r="BY99" s="761"/>
      <c r="BZ99" s="761"/>
      <c r="CA99" s="761"/>
      <c r="CB99" s="761"/>
      <c r="CC99" s="761"/>
      <c r="CD99" s="761"/>
      <c r="CE99" s="761"/>
      <c r="CF99" s="761"/>
      <c r="CG99" s="761"/>
      <c r="CH99" s="761"/>
      <c r="CI99" s="761"/>
      <c r="CJ99" s="761"/>
      <c r="CK99" s="761"/>
      <c r="CL99" s="761"/>
      <c r="CM99" s="761"/>
      <c r="CN99" s="761"/>
      <c r="CO99" s="761"/>
      <c r="CP99" s="761"/>
      <c r="CQ99" s="761"/>
      <c r="CR99" s="761"/>
      <c r="CS99" s="761">
        <v>0</v>
      </c>
      <c r="CT99" s="761">
        <v>20460</v>
      </c>
      <c r="CU99" s="761">
        <f>CU105-CU104</f>
        <v>39440</v>
      </c>
      <c r="CV99" s="761"/>
      <c r="CW99" s="758"/>
      <c r="CX99" s="761">
        <f>CX105-CX104</f>
        <v>53880</v>
      </c>
      <c r="CY99" s="761">
        <f t="shared" ref="CY99:DB99" si="225">CY105-CY104</f>
        <v>30080</v>
      </c>
      <c r="CZ99" s="761">
        <f t="shared" si="225"/>
        <v>34020</v>
      </c>
      <c r="DA99" s="761">
        <f t="shared" si="225"/>
        <v>21160</v>
      </c>
      <c r="DB99" s="761">
        <v>10000</v>
      </c>
      <c r="DC99" s="761">
        <v>50000</v>
      </c>
      <c r="DD99" s="761">
        <v>40000</v>
      </c>
      <c r="DE99" s="761">
        <v>40000</v>
      </c>
      <c r="DF99" s="761">
        <v>35000</v>
      </c>
      <c r="DG99" s="761">
        <v>20000</v>
      </c>
      <c r="DH99" s="761">
        <v>10000</v>
      </c>
      <c r="DI99" s="761">
        <f>DC99</f>
        <v>50000</v>
      </c>
      <c r="DJ99" s="576"/>
      <c r="DK99" s="948"/>
      <c r="DL99" s="761">
        <f>DL105-DL104</f>
        <v>53880</v>
      </c>
      <c r="DM99" s="761">
        <f t="shared" ref="DM99:DP99" si="226">DM105-DM104</f>
        <v>30080</v>
      </c>
      <c r="DN99" s="761">
        <f t="shared" si="226"/>
        <v>34020</v>
      </c>
      <c r="DO99" s="761">
        <f t="shared" si="226"/>
        <v>21160</v>
      </c>
      <c r="DP99" s="761">
        <v>10000</v>
      </c>
      <c r="DQ99" s="761">
        <v>50000</v>
      </c>
      <c r="DR99" s="761">
        <v>40000</v>
      </c>
      <c r="DS99" s="761">
        <v>40000</v>
      </c>
      <c r="DT99" s="761">
        <v>35000</v>
      </c>
      <c r="DU99" s="761">
        <v>20000</v>
      </c>
      <c r="DV99" s="761">
        <v>10000</v>
      </c>
      <c r="DW99" s="761">
        <f>DQ99</f>
        <v>50000</v>
      </c>
      <c r="DX99" s="576"/>
    </row>
    <row r="100" spans="1:128" ht="15" hidden="1" customHeight="1">
      <c r="A100" s="576"/>
      <c r="B100" s="762" t="s">
        <v>137</v>
      </c>
      <c r="C100" s="763"/>
      <c r="D100" s="763"/>
      <c r="E100" s="763"/>
      <c r="F100" s="763"/>
      <c r="G100" s="763"/>
      <c r="H100" s="763"/>
      <c r="I100" s="763"/>
      <c r="J100" s="763"/>
      <c r="K100" s="763"/>
      <c r="L100" s="763"/>
      <c r="M100" s="763"/>
      <c r="N100" s="763"/>
      <c r="O100" s="763"/>
      <c r="P100" s="763"/>
      <c r="Q100" s="763"/>
      <c r="R100" s="763"/>
      <c r="S100" s="763"/>
      <c r="T100" s="763"/>
      <c r="U100" s="763"/>
      <c r="V100" s="763"/>
      <c r="W100" s="763"/>
      <c r="X100" s="763"/>
      <c r="Y100" s="763"/>
      <c r="Z100" s="763"/>
      <c r="AA100" s="763"/>
      <c r="AB100" s="763"/>
      <c r="AC100" s="763"/>
      <c r="AD100" s="763"/>
      <c r="AE100" s="763"/>
      <c r="AF100" s="763"/>
      <c r="AG100" s="763"/>
      <c r="AH100" s="763"/>
      <c r="AI100" s="763"/>
      <c r="AJ100" s="763"/>
      <c r="AK100" s="763"/>
      <c r="AL100" s="763"/>
      <c r="AM100" s="763"/>
      <c r="AN100" s="763"/>
      <c r="AO100" s="763"/>
      <c r="AP100" s="763"/>
      <c r="AQ100" s="763"/>
      <c r="AR100" s="763"/>
      <c r="AS100" s="763"/>
      <c r="AT100" s="763"/>
      <c r="AU100" s="763"/>
      <c r="AV100" s="763"/>
      <c r="AW100" s="763"/>
      <c r="AX100" s="763"/>
      <c r="AY100" s="763"/>
      <c r="AZ100" s="763"/>
      <c r="BA100" s="763"/>
      <c r="BB100" s="763"/>
      <c r="BC100" s="763"/>
      <c r="BD100" s="763"/>
      <c r="BE100" s="763"/>
      <c r="BF100" s="763"/>
      <c r="BG100" s="763"/>
      <c r="BH100" s="763"/>
      <c r="BI100" s="763"/>
      <c r="BJ100" s="763"/>
      <c r="BK100" s="763"/>
      <c r="BL100" s="763"/>
      <c r="BM100" s="763"/>
      <c r="BN100" s="763"/>
      <c r="BO100" s="763"/>
      <c r="BP100" s="763"/>
      <c r="BQ100" s="763"/>
      <c r="BR100" s="763"/>
      <c r="BS100" s="763"/>
      <c r="BT100" s="763"/>
      <c r="BU100" s="763"/>
      <c r="BV100" s="763"/>
      <c r="BW100" s="763"/>
      <c r="BX100" s="763"/>
      <c r="BY100" s="763"/>
      <c r="BZ100" s="763"/>
      <c r="CA100" s="763"/>
      <c r="CB100" s="763"/>
      <c r="CC100" s="763"/>
      <c r="CD100" s="763"/>
      <c r="CE100" s="763"/>
      <c r="CF100" s="763"/>
      <c r="CG100" s="763"/>
      <c r="CH100" s="763"/>
      <c r="CI100" s="763"/>
      <c r="CJ100" s="763"/>
      <c r="CK100" s="763"/>
      <c r="CL100" s="763"/>
      <c r="CM100" s="763"/>
      <c r="CN100" s="763"/>
      <c r="CO100" s="763"/>
      <c r="CP100" s="763"/>
      <c r="CQ100" s="763"/>
      <c r="CR100" s="763"/>
      <c r="CS100" s="763"/>
      <c r="CT100" s="763">
        <v>35000</v>
      </c>
      <c r="CU100" s="763">
        <v>2096</v>
      </c>
      <c r="CV100" s="763"/>
      <c r="CW100" s="758"/>
      <c r="CX100" s="764">
        <f>CX107-CX106</f>
        <v>39610</v>
      </c>
      <c r="CY100" s="764">
        <f t="shared" ref="CY100:DC100" si="227">CY107-CY106</f>
        <v>36994</v>
      </c>
      <c r="CZ100" s="764">
        <f t="shared" si="227"/>
        <v>29344</v>
      </c>
      <c r="DA100" s="764">
        <f t="shared" si="227"/>
        <v>33378</v>
      </c>
      <c r="DB100" s="764">
        <f t="shared" si="227"/>
        <v>19489</v>
      </c>
      <c r="DC100" s="764">
        <f t="shared" si="227"/>
        <v>14764</v>
      </c>
      <c r="DD100" s="763">
        <f>DD101*1.1</f>
        <v>49685.9</v>
      </c>
      <c r="DE100" s="763">
        <f t="shared" ref="DE100:DI100" si="228">DE101*1.1</f>
        <v>48585.9</v>
      </c>
      <c r="DF100" s="763">
        <f t="shared" si="228"/>
        <v>55922.9</v>
      </c>
      <c r="DG100" s="763">
        <f t="shared" si="228"/>
        <v>28156.7</v>
      </c>
      <c r="DH100" s="763">
        <f t="shared" si="228"/>
        <v>14078.35</v>
      </c>
      <c r="DI100" s="763">
        <f t="shared" si="228"/>
        <v>3300.0000000000005</v>
      </c>
      <c r="DJ100" s="576"/>
      <c r="DK100" s="948"/>
      <c r="DL100" s="764">
        <f>DL107-DL106</f>
        <v>39610</v>
      </c>
      <c r="DM100" s="764">
        <f t="shared" ref="DM100:DQ100" si="229">DM107-DM106</f>
        <v>36994</v>
      </c>
      <c r="DN100" s="764">
        <f t="shared" si="229"/>
        <v>29344</v>
      </c>
      <c r="DO100" s="764">
        <f t="shared" si="229"/>
        <v>33378</v>
      </c>
      <c r="DP100" s="764">
        <f t="shared" si="229"/>
        <v>19489</v>
      </c>
      <c r="DQ100" s="764">
        <f t="shared" si="229"/>
        <v>14764</v>
      </c>
      <c r="DR100" s="763">
        <f>DR101*1.1</f>
        <v>49685.9</v>
      </c>
      <c r="DS100" s="763">
        <f t="shared" ref="DS100:DW100" si="230">DS101*1.1</f>
        <v>48585.9</v>
      </c>
      <c r="DT100" s="763">
        <f t="shared" si="230"/>
        <v>55922.9</v>
      </c>
      <c r="DU100" s="763">
        <f t="shared" si="230"/>
        <v>28156.7</v>
      </c>
      <c r="DV100" s="763">
        <f t="shared" si="230"/>
        <v>14078.35</v>
      </c>
      <c r="DW100" s="763">
        <f t="shared" si="230"/>
        <v>3300.0000000000005</v>
      </c>
      <c r="DX100" s="576"/>
    </row>
    <row r="101" spans="1:128" ht="15" hidden="1" customHeight="1">
      <c r="B101" s="576"/>
      <c r="C101" s="576"/>
      <c r="D101" s="576"/>
      <c r="E101" s="576"/>
      <c r="F101" s="576"/>
      <c r="G101" s="576"/>
      <c r="H101" s="576"/>
      <c r="I101" s="576"/>
      <c r="J101" s="576"/>
      <c r="K101" s="576"/>
      <c r="L101" s="576"/>
      <c r="M101" s="576"/>
      <c r="N101" s="576"/>
      <c r="O101" s="576"/>
      <c r="P101" s="576"/>
      <c r="Q101" s="576"/>
      <c r="R101" s="576"/>
      <c r="S101" s="576"/>
      <c r="T101" s="576"/>
      <c r="U101" s="576"/>
      <c r="V101" s="576"/>
      <c r="W101" s="576"/>
      <c r="X101" s="576"/>
      <c r="Y101" s="576"/>
      <c r="Z101" s="576"/>
      <c r="AA101" s="576"/>
      <c r="AB101" s="576"/>
      <c r="AC101" s="576"/>
      <c r="AD101" s="576"/>
      <c r="AE101" s="576"/>
      <c r="AF101" s="576"/>
      <c r="AG101" s="576"/>
      <c r="AH101" s="576"/>
      <c r="AI101" s="576"/>
      <c r="AJ101" s="576"/>
      <c r="AK101" s="576"/>
      <c r="AL101" s="576"/>
      <c r="AM101" s="576"/>
      <c r="AN101" s="576"/>
      <c r="AO101" s="576"/>
      <c r="AP101" s="576"/>
      <c r="AQ101" s="576"/>
      <c r="AR101" s="576"/>
      <c r="AS101" s="576"/>
      <c r="AT101" s="576"/>
      <c r="AU101" s="576"/>
      <c r="AV101" s="576"/>
      <c r="AW101" s="576"/>
      <c r="AX101" s="576"/>
      <c r="AY101" s="576"/>
      <c r="AZ101" s="576"/>
      <c r="BA101" s="576"/>
      <c r="BB101" s="576"/>
      <c r="BC101" s="576"/>
      <c r="BD101" s="576"/>
      <c r="BE101" s="576"/>
      <c r="BF101" s="576"/>
      <c r="BG101" s="576"/>
      <c r="BH101" s="576"/>
      <c r="BI101" s="576"/>
      <c r="BJ101" s="576"/>
      <c r="BK101" s="576"/>
      <c r="BL101" s="576"/>
      <c r="BM101" s="576"/>
      <c r="BN101" s="576"/>
      <c r="BO101" s="576"/>
      <c r="BP101" s="576"/>
      <c r="BQ101" s="576"/>
      <c r="BR101" s="576"/>
      <c r="BS101" s="576"/>
      <c r="BT101" s="576"/>
      <c r="BU101" s="576"/>
      <c r="BV101" s="576"/>
      <c r="BW101" s="576"/>
      <c r="BX101" s="576"/>
      <c r="BY101" s="576"/>
      <c r="BZ101" s="576"/>
      <c r="CA101" s="576"/>
      <c r="CB101" s="576"/>
      <c r="CC101" s="576"/>
      <c r="CD101" s="576"/>
      <c r="CE101" s="576"/>
      <c r="CF101" s="576"/>
      <c r="CG101" s="576"/>
      <c r="CH101" s="576"/>
      <c r="CI101" s="576"/>
      <c r="CJ101" s="576"/>
      <c r="CK101" s="576"/>
      <c r="CL101" s="576"/>
      <c r="CM101" s="576"/>
      <c r="CN101" s="576"/>
      <c r="CO101" s="576"/>
      <c r="CP101" s="576"/>
      <c r="CQ101" s="576"/>
      <c r="CR101" s="576"/>
      <c r="CS101" s="576"/>
      <c r="CT101" s="576"/>
      <c r="CU101" s="576"/>
      <c r="CV101" s="576"/>
      <c r="CW101" s="758"/>
      <c r="CX101" s="576"/>
      <c r="CY101" s="576"/>
      <c r="CZ101" s="576"/>
      <c r="DA101" s="576"/>
      <c r="DB101" s="576"/>
      <c r="DC101" s="576"/>
      <c r="DD101" s="576">
        <v>45169</v>
      </c>
      <c r="DE101" s="576">
        <v>44169</v>
      </c>
      <c r="DF101" s="576">
        <v>50839</v>
      </c>
      <c r="DG101" s="576">
        <v>25597</v>
      </c>
      <c r="DH101" s="763">
        <f>DG101/2</f>
        <v>12798.5</v>
      </c>
      <c r="DI101" s="763">
        <v>3000</v>
      </c>
      <c r="DK101" s="948"/>
      <c r="DL101" s="576"/>
      <c r="DM101" s="576"/>
      <c r="DN101" s="576"/>
      <c r="DO101" s="576"/>
      <c r="DP101" s="576"/>
      <c r="DQ101" s="576"/>
      <c r="DR101" s="576">
        <v>45169</v>
      </c>
      <c r="DS101" s="576">
        <v>44169</v>
      </c>
      <c r="DT101" s="576">
        <v>50839</v>
      </c>
      <c r="DU101" s="576">
        <v>25597</v>
      </c>
      <c r="DV101" s="763">
        <f>DU101/2</f>
        <v>12798.5</v>
      </c>
      <c r="DW101" s="763">
        <v>3000</v>
      </c>
    </row>
    <row r="102" spans="1:128" ht="15" hidden="1" customHeight="1">
      <c r="CU102">
        <v>50000</v>
      </c>
      <c r="CX102">
        <v>40000</v>
      </c>
      <c r="CY102">
        <v>40000</v>
      </c>
      <c r="CZ102">
        <v>35000</v>
      </c>
      <c r="DA102">
        <v>20000</v>
      </c>
      <c r="DL102">
        <v>40000</v>
      </c>
      <c r="DM102">
        <v>40000</v>
      </c>
      <c r="DN102">
        <v>35000</v>
      </c>
      <c r="DO102">
        <v>20000</v>
      </c>
    </row>
    <row r="103" spans="1:128" ht="15" hidden="1" customHeight="1"/>
    <row r="104" spans="1:128" ht="15" hidden="1" customHeight="1">
      <c r="CT104" s="682" t="s">
        <v>138</v>
      </c>
      <c r="CU104">
        <v>31560</v>
      </c>
      <c r="CX104">
        <v>26320</v>
      </c>
      <c r="CY104">
        <v>21280</v>
      </c>
      <c r="CZ104">
        <v>19180</v>
      </c>
      <c r="DA104">
        <v>14700</v>
      </c>
      <c r="DL104">
        <v>26320</v>
      </c>
      <c r="DM104">
        <v>21280</v>
      </c>
      <c r="DN104">
        <v>19180</v>
      </c>
      <c r="DO104">
        <v>14700</v>
      </c>
    </row>
    <row r="105" spans="1:128" ht="15" hidden="1" customHeight="1">
      <c r="CU105" s="761">
        <v>71000</v>
      </c>
      <c r="CV105" s="761"/>
      <c r="CW105" s="761"/>
      <c r="CX105" s="761">
        <v>80200</v>
      </c>
      <c r="CY105" s="761">
        <v>51360</v>
      </c>
      <c r="CZ105" s="761">
        <v>53200</v>
      </c>
      <c r="DA105" s="761">
        <v>35860</v>
      </c>
      <c r="DL105" s="761">
        <v>80200</v>
      </c>
      <c r="DM105" s="761">
        <v>51360</v>
      </c>
      <c r="DN105" s="761">
        <v>53200</v>
      </c>
      <c r="DO105" s="761">
        <v>35860</v>
      </c>
    </row>
    <row r="106" spans="1:128" ht="15" hidden="1" customHeight="1">
      <c r="B106" s="576"/>
      <c r="C106" s="576"/>
      <c r="CT106" t="s">
        <v>139</v>
      </c>
      <c r="CX106" s="764">
        <v>24332</v>
      </c>
      <c r="CY106" s="764">
        <v>18419</v>
      </c>
      <c r="CZ106" s="764">
        <v>19179</v>
      </c>
      <c r="DA106" s="764">
        <v>17338</v>
      </c>
      <c r="DB106" s="764">
        <v>12064</v>
      </c>
      <c r="DC106" s="764">
        <v>9136</v>
      </c>
      <c r="DL106" s="764">
        <v>24332</v>
      </c>
      <c r="DM106" s="764">
        <v>18419</v>
      </c>
      <c r="DN106" s="764">
        <v>19179</v>
      </c>
      <c r="DO106" s="764">
        <v>17338</v>
      </c>
      <c r="DP106" s="764">
        <v>12064</v>
      </c>
      <c r="DQ106" s="764">
        <v>9136</v>
      </c>
    </row>
    <row r="107" spans="1:128" ht="15" hidden="1" customHeight="1">
      <c r="A107" s="576"/>
      <c r="B107" s="946" t="s">
        <v>140</v>
      </c>
      <c r="C107" s="947" t="s">
        <v>141</v>
      </c>
      <c r="D107" s="576"/>
      <c r="CX107" s="764">
        <v>63942</v>
      </c>
      <c r="CY107" s="764">
        <v>55413</v>
      </c>
      <c r="CZ107" s="764">
        <v>48523</v>
      </c>
      <c r="DA107" s="764">
        <v>50716</v>
      </c>
      <c r="DB107" s="764">
        <v>31553</v>
      </c>
      <c r="DC107" s="764">
        <v>23900</v>
      </c>
      <c r="DL107" s="764">
        <v>63942</v>
      </c>
      <c r="DM107" s="764">
        <v>55413</v>
      </c>
      <c r="DN107" s="764">
        <v>48523</v>
      </c>
      <c r="DO107" s="764">
        <v>50716</v>
      </c>
      <c r="DP107" s="764">
        <v>31553</v>
      </c>
      <c r="DQ107" s="764">
        <v>23900</v>
      </c>
    </row>
    <row r="108" spans="1:128" ht="15" hidden="1" customHeight="1">
      <c r="A108" s="576"/>
      <c r="B108" s="944" t="s">
        <v>142</v>
      </c>
      <c r="C108" s="945">
        <f>COUNTIFS(grupos!C:C,B108)</f>
        <v>1</v>
      </c>
      <c r="D108" s="576"/>
    </row>
    <row r="109" spans="1:128" ht="15" hidden="1" customHeight="1">
      <c r="A109" s="576"/>
      <c r="B109" s="941" t="s">
        <v>143</v>
      </c>
      <c r="C109" s="942">
        <v>12</v>
      </c>
      <c r="D109" s="576"/>
      <c r="CV109" t="s">
        <v>144</v>
      </c>
      <c r="CX109">
        <v>15330</v>
      </c>
      <c r="CY109">
        <v>12143</v>
      </c>
      <c r="CZ109">
        <v>17171</v>
      </c>
      <c r="DA109">
        <v>12558</v>
      </c>
      <c r="DB109">
        <v>13440</v>
      </c>
      <c r="DC109">
        <v>9626</v>
      </c>
      <c r="DD109">
        <v>16670</v>
      </c>
      <c r="DE109">
        <v>18206</v>
      </c>
      <c r="DF109">
        <v>25500</v>
      </c>
      <c r="DG109">
        <v>16774</v>
      </c>
      <c r="DH109">
        <v>15710</v>
      </c>
      <c r="DI109">
        <v>9907</v>
      </c>
      <c r="DL109">
        <v>15330</v>
      </c>
      <c r="DM109">
        <v>12143</v>
      </c>
      <c r="DN109">
        <v>17171</v>
      </c>
      <c r="DO109">
        <v>12558</v>
      </c>
      <c r="DP109">
        <v>13440</v>
      </c>
      <c r="DQ109">
        <v>9626</v>
      </c>
      <c r="DR109">
        <v>16670</v>
      </c>
      <c r="DS109">
        <v>18206</v>
      </c>
      <c r="DT109">
        <v>25500</v>
      </c>
      <c r="DU109">
        <v>16774</v>
      </c>
      <c r="DV109">
        <v>15710</v>
      </c>
      <c r="DW109">
        <v>9907</v>
      </c>
    </row>
    <row r="110" spans="1:128" ht="15" hidden="1" customHeight="1">
      <c r="A110" s="576"/>
      <c r="B110" s="941" t="s">
        <v>145</v>
      </c>
      <c r="C110" s="942">
        <f>COUNTIFS(grupos!C:C,B110)</f>
        <v>1</v>
      </c>
      <c r="D110" s="576"/>
      <c r="DL110" s="881">
        <v>166555.77995873816</v>
      </c>
      <c r="DM110" s="881">
        <v>152835.36924465047</v>
      </c>
      <c r="DN110" s="881">
        <v>195319.2072937729</v>
      </c>
      <c r="DO110" s="881">
        <v>158396.18906207831</v>
      </c>
      <c r="DP110" s="881">
        <v>152371.51475009107</v>
      </c>
      <c r="DQ110" s="881">
        <v>147696.01107361159</v>
      </c>
      <c r="DR110" s="881">
        <v>189465.0513586243</v>
      </c>
      <c r="DS110" s="881">
        <v>202914.10079748323</v>
      </c>
      <c r="DT110" s="881">
        <v>214499.61628422557</v>
      </c>
      <c r="DU110" s="881">
        <v>217682.99793575107</v>
      </c>
      <c r="DV110" s="881">
        <v>179284.72030485788</v>
      </c>
      <c r="DW110" s="881">
        <v>88389.319383536102</v>
      </c>
      <c r="DX110" s="69">
        <v>2065409.8774474205</v>
      </c>
    </row>
    <row r="111" spans="1:128" ht="15" hidden="1" customHeight="1">
      <c r="A111" s="576"/>
      <c r="B111" s="941" t="s">
        <v>146</v>
      </c>
      <c r="C111" s="942">
        <v>3</v>
      </c>
      <c r="D111" s="576"/>
    </row>
    <row r="112" spans="1:128" ht="15" hidden="1" customHeight="1">
      <c r="A112" s="576"/>
      <c r="B112" s="762" t="s">
        <v>147</v>
      </c>
      <c r="C112" s="943">
        <v>5</v>
      </c>
      <c r="D112" s="576"/>
    </row>
    <row r="113" spans="2:114" ht="15" hidden="1" customHeight="1">
      <c r="B113" s="576"/>
      <c r="C113" s="602">
        <f>SUM(C108:C112)</f>
        <v>22</v>
      </c>
    </row>
    <row r="114" spans="2:114" s="594" customFormat="1" ht="15" hidden="1" customHeight="1">
      <c r="B114" s="594" t="s">
        <v>148</v>
      </c>
      <c r="CX114" s="953">
        <v>191345</v>
      </c>
      <c r="CY114" s="953">
        <v>145396</v>
      </c>
    </row>
    <row r="115" spans="2:114" ht="15" hidden="1" customHeight="1">
      <c r="B115" t="s">
        <v>149</v>
      </c>
      <c r="CX115" s="862">
        <v>27823</v>
      </c>
      <c r="CY115" s="862">
        <v>27550</v>
      </c>
    </row>
    <row r="116" spans="2:114" ht="15" hidden="1" customHeight="1">
      <c r="B116" t="s">
        <v>150</v>
      </c>
      <c r="CX116" s="862">
        <v>14235</v>
      </c>
      <c r="CY116" s="862">
        <v>15739</v>
      </c>
    </row>
    <row r="117" spans="2:114" ht="15" hidden="1" customHeight="1"/>
    <row r="118" spans="2:114" ht="10.5" customHeight="1">
      <c r="B118" t="s">
        <v>165</v>
      </c>
      <c r="CX118" s="1062">
        <f>CX119/CX34</f>
        <v>1.0149999999999999</v>
      </c>
      <c r="CY118" s="1062">
        <f t="shared" ref="CY118:DI118" si="231">CY119/CY34</f>
        <v>0.68493150684931503</v>
      </c>
      <c r="CZ118" s="1062">
        <f t="shared" si="231"/>
        <v>1.0778443113772456</v>
      </c>
      <c r="DA118" s="1062">
        <f t="shared" si="231"/>
        <v>0.76923076923076927</v>
      </c>
      <c r="DB118" s="1062">
        <f t="shared" si="231"/>
        <v>0.71116656269494694</v>
      </c>
      <c r="DC118" s="1062">
        <f t="shared" si="231"/>
        <v>0.87905504838058512</v>
      </c>
      <c r="DD118" s="1062">
        <f t="shared" si="231"/>
        <v>0.90042076662424342</v>
      </c>
      <c r="DE118" s="1062">
        <f t="shared" si="231"/>
        <v>0</v>
      </c>
      <c r="DF118" s="1062">
        <f t="shared" si="231"/>
        <v>0</v>
      </c>
      <c r="DG118" s="1062">
        <f t="shared" si="231"/>
        <v>0</v>
      </c>
      <c r="DH118" s="1062">
        <f t="shared" si="231"/>
        <v>0</v>
      </c>
      <c r="DI118" s="1062">
        <f t="shared" si="231"/>
        <v>0</v>
      </c>
    </row>
    <row r="119" spans="2:114" ht="15" customHeight="1">
      <c r="B119" t="s">
        <v>166</v>
      </c>
      <c r="CX119" s="615">
        <v>203000</v>
      </c>
      <c r="CY119" s="615">
        <v>150000</v>
      </c>
      <c r="CZ119" s="615">
        <v>180000</v>
      </c>
      <c r="DA119" s="615">
        <v>126000</v>
      </c>
      <c r="DB119" s="615">
        <v>114000</v>
      </c>
      <c r="DC119" s="615">
        <v>108000</v>
      </c>
      <c r="DD119" s="615">
        <v>180000</v>
      </c>
      <c r="DE119" s="615"/>
      <c r="DF119" s="615"/>
      <c r="DG119" s="615"/>
      <c r="DH119" s="615"/>
      <c r="DI119" s="615"/>
      <c r="DJ119" s="615"/>
    </row>
    <row r="120" spans="2:114" ht="15" customHeight="1">
      <c r="B120" t="s">
        <v>148</v>
      </c>
      <c r="CX120" s="615">
        <v>195000</v>
      </c>
      <c r="CY120" s="615">
        <v>147000</v>
      </c>
      <c r="CZ120" s="615">
        <v>152000</v>
      </c>
      <c r="DA120" s="615">
        <v>162000</v>
      </c>
      <c r="DB120" s="615">
        <v>166000</v>
      </c>
      <c r="DC120" s="615">
        <v>175000</v>
      </c>
      <c r="DD120" s="615">
        <v>215000</v>
      </c>
      <c r="DE120" s="615"/>
      <c r="DF120" s="615"/>
      <c r="DG120" s="615"/>
      <c r="DH120" s="615"/>
      <c r="DI120" s="615"/>
      <c r="DJ120" s="615"/>
    </row>
    <row r="121" spans="2:114" ht="15" customHeight="1">
      <c r="B121" t="s">
        <v>167</v>
      </c>
      <c r="CX121" s="862">
        <f>CX120-CX119</f>
        <v>-8000</v>
      </c>
      <c r="CY121" s="862">
        <f t="shared" ref="CY121:DD121" si="232">CY120-CY119</f>
        <v>-3000</v>
      </c>
      <c r="CZ121" s="862">
        <f t="shared" si="232"/>
        <v>-28000</v>
      </c>
      <c r="DA121" s="862">
        <f t="shared" si="232"/>
        <v>36000</v>
      </c>
      <c r="DB121" s="862">
        <f t="shared" si="232"/>
        <v>52000</v>
      </c>
      <c r="DC121" s="862">
        <f t="shared" si="232"/>
        <v>67000</v>
      </c>
      <c r="DD121" s="862">
        <f t="shared" si="232"/>
        <v>35000</v>
      </c>
    </row>
    <row r="122" spans="2:114" ht="15" customHeight="1">
      <c r="CX122" t="s">
        <v>168</v>
      </c>
      <c r="DA122" t="s">
        <v>169</v>
      </c>
    </row>
    <row r="124" spans="2:114" ht="15" customHeight="1">
      <c r="DC124" s="1025" t="s">
        <v>170</v>
      </c>
      <c r="DH124" s="1025" t="s">
        <v>170</v>
      </c>
    </row>
  </sheetData>
  <mergeCells count="28">
    <mergeCell ref="B59:C59"/>
    <mergeCell ref="DL2:DW2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CX1:DI1"/>
    <mergeCell ref="DL1:DW1"/>
    <mergeCell ref="D2:P2"/>
    <mergeCell ref="R2:AD2"/>
    <mergeCell ref="AF2:AR2"/>
    <mergeCell ref="AT2:BF2"/>
    <mergeCell ref="BH2:BS2"/>
    <mergeCell ref="BV2:CG2"/>
    <mergeCell ref="CJ2:CU2"/>
    <mergeCell ref="CX2:DI2"/>
    <mergeCell ref="R1:AD1"/>
    <mergeCell ref="AF1:AR1"/>
    <mergeCell ref="AT1:BF1"/>
    <mergeCell ref="BH1:BS1"/>
    <mergeCell ref="BV1:CG1"/>
    <mergeCell ref="CJ1:CU1"/>
  </mergeCells>
  <conditionalFormatting sqref="CX121:DD121">
    <cfRule type="cellIs" dxfId="2" priority="1" operator="lessThan">
      <formula>0</formula>
    </cfRule>
  </conditionalFormatting>
  <pageMargins left="0.25" right="0.25" top="0.75" bottom="0.75" header="0" footer="0"/>
  <pageSetup paperSize="9" scale="55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12E8-8073-454A-B825-5D4754F0968F}">
  <sheetPr>
    <tabColor rgb="FF00B0F0"/>
  </sheetPr>
  <dimension ref="A1:EM125"/>
  <sheetViews>
    <sheetView showGridLines="0" zoomScale="80" zoomScaleNormal="80" workbookViewId="0">
      <pane xSplit="3" ySplit="10" topLeftCell="CW12" activePane="bottomRight" state="frozen"/>
      <selection pane="bottomRight" activeCell="DM127" sqref="DM127"/>
      <selection pane="bottomLeft"/>
      <selection pane="topRight"/>
    </sheetView>
  </sheetViews>
  <sheetFormatPr defaultColWidth="14.42578125" defaultRowHeight="15" customHeight="1" outlineLevelRow="1" outlineLevelCol="1"/>
  <cols>
    <col min="1" max="1" width="1" customWidth="1"/>
    <col min="2" max="2" width="17.85546875" customWidth="1"/>
    <col min="3" max="3" width="14.710937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3.140625" hidden="1" customWidth="1" collapsed="1"/>
    <col min="74" max="86" width="12.28515625" hidden="1" customWidth="1" outlineLevel="1"/>
    <col min="87" max="87" width="12.28515625" hidden="1" customWidth="1" collapsed="1"/>
    <col min="88" max="88" width="12.28515625" hidden="1" customWidth="1" outlineLevel="1" collapsed="1"/>
    <col min="89" max="99" width="12.28515625" hidden="1" customWidth="1" outlineLevel="1"/>
    <col min="100" max="100" width="16.85546875" hidden="1" customWidth="1" outlineLevel="1"/>
    <col min="101" max="101" width="2.140625" customWidth="1" collapsed="1"/>
    <col min="102" max="103" width="13" hidden="1" customWidth="1"/>
    <col min="104" max="104" width="12.140625" hidden="1" customWidth="1"/>
    <col min="105" max="105" width="13.5703125" hidden="1" customWidth="1"/>
    <col min="106" max="106" width="12.28515625" hidden="1" customWidth="1"/>
    <col min="107" max="107" width="12.85546875" hidden="1" customWidth="1"/>
    <col min="108" max="108" width="13.5703125" customWidth="1"/>
    <col min="109" max="109" width="12.42578125" customWidth="1"/>
    <col min="110" max="110" width="13.28515625" customWidth="1"/>
    <col min="111" max="111" width="13.140625" customWidth="1"/>
    <col min="112" max="112" width="13.85546875" customWidth="1"/>
    <col min="113" max="113" width="14.42578125" customWidth="1"/>
    <col min="114" max="114" width="12.5703125" customWidth="1"/>
    <col min="115" max="115" width="2.7109375" customWidth="1"/>
    <col min="116" max="116" width="10.5703125" customWidth="1"/>
    <col min="117" max="117" width="15.7109375" customWidth="1"/>
    <col min="118" max="118" width="10.5703125" customWidth="1"/>
    <col min="119" max="119" width="11.85546875" customWidth="1"/>
    <col min="120" max="127" width="10.5703125" customWidth="1"/>
    <col min="128" max="128" width="14.7109375" customWidth="1"/>
  </cols>
  <sheetData>
    <row r="1" spans="1:128" ht="2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s="699" t="s">
        <v>1</v>
      </c>
      <c r="CJ1" s="1089" t="s">
        <v>2</v>
      </c>
      <c r="CK1" s="1090"/>
      <c r="CL1" s="1090"/>
      <c r="CM1" s="1090"/>
      <c r="CN1" s="1090"/>
      <c r="CO1" s="1090"/>
      <c r="CP1" s="1090"/>
      <c r="CQ1" s="1090"/>
      <c r="CR1" s="1090"/>
      <c r="CS1" s="1090"/>
      <c r="CT1" s="1090"/>
      <c r="CU1" s="1091"/>
      <c r="CX1" s="1080" t="s">
        <v>171</v>
      </c>
      <c r="CY1" s="1121"/>
      <c r="CZ1" s="1121"/>
      <c r="DA1" s="1121"/>
      <c r="DB1" s="1121"/>
      <c r="DC1" s="1121"/>
      <c r="DD1" s="1121"/>
      <c r="DE1" s="1121"/>
      <c r="DF1" s="1121"/>
      <c r="DG1" s="1121"/>
      <c r="DH1" s="1121"/>
      <c r="DI1" s="1122"/>
      <c r="DJ1" t="s">
        <v>172</v>
      </c>
      <c r="DK1" s="948"/>
      <c r="DL1" s="1081" t="s">
        <v>0</v>
      </c>
      <c r="DM1" s="1113"/>
      <c r="DN1" s="1113"/>
      <c r="DO1" s="1113"/>
      <c r="DP1" s="1113"/>
      <c r="DQ1" s="1113"/>
      <c r="DR1" s="1113"/>
      <c r="DS1" s="1113"/>
      <c r="DT1" s="1113"/>
      <c r="DU1" s="1113"/>
      <c r="DV1" s="1113"/>
      <c r="DW1" s="1114"/>
    </row>
    <row r="2" spans="1:128" ht="17.25" customHeight="1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H2" s="700" t="s">
        <v>3</v>
      </c>
      <c r="CJ2" s="1085" t="s">
        <v>4</v>
      </c>
      <c r="CK2" s="1086"/>
      <c r="CL2" s="1086"/>
      <c r="CM2" s="1086"/>
      <c r="CN2" s="1086"/>
      <c r="CO2" s="1086"/>
      <c r="CP2" s="1086"/>
      <c r="CQ2" s="1086"/>
      <c r="CR2" s="1086"/>
      <c r="CS2" s="1086"/>
      <c r="CT2" s="1086"/>
      <c r="CU2" s="1087"/>
      <c r="CX2" s="1088">
        <v>2026</v>
      </c>
      <c r="CY2" s="1123"/>
      <c r="CZ2" s="1123"/>
      <c r="DA2" s="1123"/>
      <c r="DB2" s="1123"/>
      <c r="DC2" s="1123"/>
      <c r="DD2" s="1123"/>
      <c r="DE2" s="1123"/>
      <c r="DF2" s="1123"/>
      <c r="DG2" s="1123"/>
      <c r="DH2" s="1123"/>
      <c r="DI2" s="1124"/>
      <c r="DK2" s="948"/>
      <c r="DL2" s="1077" t="s">
        <v>173</v>
      </c>
      <c r="DM2" s="1115"/>
      <c r="DN2" s="1115"/>
      <c r="DO2" s="1115"/>
      <c r="DP2" s="1115"/>
      <c r="DQ2" s="1115"/>
      <c r="DR2" s="1115"/>
      <c r="DS2" s="1115"/>
      <c r="DT2" s="1115"/>
      <c r="DU2" s="1115"/>
      <c r="DV2" s="1115"/>
      <c r="DW2" s="1116"/>
    </row>
    <row r="3" spans="1:128" ht="32.25" customHeight="1">
      <c r="A3" s="4"/>
      <c r="B3" s="4"/>
      <c r="C3" s="4"/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H3" s="700"/>
      <c r="CJ3" s="1064"/>
      <c r="CK3" s="1065"/>
      <c r="CL3" s="1065"/>
      <c r="CM3" s="1065"/>
      <c r="CN3" s="1065"/>
      <c r="CO3" s="1065"/>
      <c r="CP3" s="1065"/>
      <c r="CQ3" s="1065"/>
      <c r="CR3" s="1065"/>
      <c r="CS3" s="1065"/>
      <c r="CT3" s="1065"/>
      <c r="CU3" s="1065"/>
      <c r="CX3" s="1066"/>
      <c r="CY3" s="1067"/>
      <c r="CZ3" s="1067"/>
      <c r="DA3" s="1067"/>
      <c r="DB3" s="1067"/>
      <c r="DC3" s="1067"/>
      <c r="DD3" s="1067"/>
      <c r="DE3" s="1067"/>
      <c r="DF3" s="1067"/>
      <c r="DG3" s="1067"/>
      <c r="DH3" s="1067"/>
      <c r="DI3" s="1068" t="s">
        <v>174</v>
      </c>
      <c r="DK3" s="948"/>
      <c r="DL3" s="644"/>
      <c r="DM3" s="1069" t="s">
        <v>175</v>
      </c>
      <c r="DN3" s="643"/>
      <c r="DO3" s="643"/>
      <c r="DP3" s="643"/>
      <c r="DQ3" s="643"/>
      <c r="DR3" s="643"/>
      <c r="DS3" s="643"/>
      <c r="DT3" s="643"/>
      <c r="DU3" s="643"/>
      <c r="DV3" s="643"/>
      <c r="DW3" s="643"/>
    </row>
    <row r="4" spans="1:128" ht="15.75">
      <c r="A4" s="703" t="s">
        <v>5</v>
      </c>
      <c r="B4" s="4"/>
      <c r="C4" s="4" t="str">
        <f>A4</f>
        <v>Dias Uteis Produção</v>
      </c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H4" t="s">
        <v>6</v>
      </c>
      <c r="CJ4" s="253">
        <v>23</v>
      </c>
      <c r="CK4" s="566">
        <v>20</v>
      </c>
      <c r="CL4" s="566">
        <v>21</v>
      </c>
      <c r="CM4" s="252">
        <v>22</v>
      </c>
      <c r="CN4" s="248">
        <v>22</v>
      </c>
      <c r="CO4" s="248">
        <v>21</v>
      </c>
      <c r="CP4" s="248">
        <v>23</v>
      </c>
      <c r="CQ4" s="248">
        <v>21</v>
      </c>
      <c r="CR4" s="248">
        <v>22</v>
      </c>
      <c r="CS4" s="248">
        <v>23</v>
      </c>
      <c r="CT4" s="248">
        <v>20</v>
      </c>
      <c r="CU4" s="248">
        <v>13</v>
      </c>
      <c r="CX4" s="253">
        <v>22</v>
      </c>
      <c r="CY4" s="252">
        <v>20</v>
      </c>
      <c r="CZ4" s="252">
        <v>22</v>
      </c>
      <c r="DA4" s="252">
        <v>21</v>
      </c>
      <c r="DB4" s="248">
        <v>21</v>
      </c>
      <c r="DC4" s="248">
        <v>22</v>
      </c>
      <c r="DD4" s="248">
        <v>23</v>
      </c>
      <c r="DE4" s="248">
        <v>21</v>
      </c>
      <c r="DF4" s="248">
        <v>22</v>
      </c>
      <c r="DG4" s="248">
        <v>22</v>
      </c>
      <c r="DH4" s="248">
        <v>21</v>
      </c>
      <c r="DI4" s="248">
        <v>23</v>
      </c>
      <c r="DK4" s="948"/>
      <c r="DL4" s="253">
        <v>21</v>
      </c>
      <c r="DM4" s="252">
        <v>20</v>
      </c>
      <c r="DN4" s="252">
        <v>22</v>
      </c>
      <c r="DO4" s="252">
        <v>22</v>
      </c>
      <c r="DP4" s="248">
        <v>21</v>
      </c>
      <c r="DQ4" s="248">
        <v>22</v>
      </c>
      <c r="DR4" s="248">
        <v>23</v>
      </c>
      <c r="DS4" s="248">
        <v>21</v>
      </c>
      <c r="DT4" s="248">
        <v>22</v>
      </c>
      <c r="DU4" s="248">
        <v>22</v>
      </c>
      <c r="DV4" s="248">
        <v>21</v>
      </c>
      <c r="DW4" s="248">
        <v>21</v>
      </c>
    </row>
    <row r="5" spans="1:128" ht="11.25" customHeight="1">
      <c r="A5" s="703" t="s">
        <v>7</v>
      </c>
      <c r="B5" s="4"/>
      <c r="C5" s="4" t="str">
        <f t="shared" ref="C5:C8" si="0">A5</f>
        <v>(-) FÉRIAS</v>
      </c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H5" t="s">
        <v>8</v>
      </c>
      <c r="CJ5" s="253">
        <v>3</v>
      </c>
      <c r="CK5" s="566"/>
      <c r="CL5" s="566">
        <v>1.5</v>
      </c>
      <c r="CM5" s="252"/>
      <c r="CN5" s="248"/>
      <c r="CO5" s="248"/>
      <c r="CP5" s="248" t="s">
        <v>109</v>
      </c>
      <c r="CQ5" s="248"/>
      <c r="CR5" s="248"/>
      <c r="CS5" s="248"/>
      <c r="CT5" s="248" t="s">
        <v>110</v>
      </c>
      <c r="CU5" s="248"/>
      <c r="CX5" s="253">
        <v>2</v>
      </c>
      <c r="CY5" s="252">
        <v>0</v>
      </c>
      <c r="CZ5" s="252"/>
      <c r="DA5" s="252"/>
      <c r="DB5" s="248"/>
      <c r="DC5" s="248"/>
      <c r="DD5" s="248"/>
      <c r="DE5" s="248"/>
      <c r="DF5" s="248"/>
      <c r="DG5" s="248"/>
      <c r="DH5" s="248"/>
      <c r="DI5" s="1070">
        <v>17</v>
      </c>
      <c r="DK5" s="948"/>
      <c r="DL5" s="1071">
        <v>3</v>
      </c>
      <c r="DM5" s="1072">
        <v>0</v>
      </c>
      <c r="DN5" s="252"/>
      <c r="DO5" s="252"/>
      <c r="DP5" s="248"/>
      <c r="DQ5" s="248"/>
      <c r="DR5" s="248"/>
      <c r="DS5" s="248"/>
      <c r="DT5" s="248"/>
      <c r="DU5" s="248"/>
      <c r="DV5" s="248"/>
      <c r="DW5" s="248">
        <v>5</v>
      </c>
    </row>
    <row r="6" spans="1:128" ht="15.75" customHeight="1">
      <c r="A6" s="703" t="s">
        <v>9</v>
      </c>
      <c r="B6" s="4"/>
      <c r="C6" s="4" t="str">
        <f t="shared" si="0"/>
        <v>(+) SABADO</v>
      </c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/>
      <c r="CH6" t="s">
        <v>10</v>
      </c>
      <c r="CJ6" s="701">
        <v>2</v>
      </c>
      <c r="CK6" s="701">
        <v>3</v>
      </c>
      <c r="CL6" s="701">
        <v>1.5</v>
      </c>
      <c r="CM6" s="733">
        <v>0</v>
      </c>
      <c r="CN6" s="733">
        <v>0</v>
      </c>
      <c r="CO6" s="733">
        <v>2</v>
      </c>
      <c r="CP6" s="750">
        <v>2</v>
      </c>
      <c r="CQ6" s="679">
        <v>0</v>
      </c>
      <c r="CR6" s="679">
        <v>0</v>
      </c>
      <c r="CS6" s="679">
        <v>0</v>
      </c>
      <c r="CT6" s="679">
        <v>3</v>
      </c>
      <c r="CU6" s="643"/>
      <c r="CV6" s="682" t="s">
        <v>111</v>
      </c>
      <c r="CX6" s="701">
        <v>2</v>
      </c>
      <c r="CY6" s="733">
        <v>2</v>
      </c>
      <c r="CZ6" s="733">
        <v>2</v>
      </c>
      <c r="DA6" s="938">
        <v>2</v>
      </c>
      <c r="DB6" s="938">
        <v>2</v>
      </c>
      <c r="DC6" s="938">
        <v>2</v>
      </c>
      <c r="DD6" s="938">
        <v>1</v>
      </c>
      <c r="DE6" s="938">
        <v>0</v>
      </c>
      <c r="DF6" s="938">
        <v>0</v>
      </c>
      <c r="DG6" s="938">
        <v>0</v>
      </c>
      <c r="DH6" s="938">
        <v>0</v>
      </c>
      <c r="DI6" s="938">
        <v>0</v>
      </c>
      <c r="DK6" s="948"/>
      <c r="DL6" s="644">
        <v>2</v>
      </c>
      <c r="DM6" s="644">
        <v>0</v>
      </c>
      <c r="DN6" s="644">
        <v>2</v>
      </c>
      <c r="DO6" s="644">
        <v>2</v>
      </c>
      <c r="DP6" s="644">
        <v>0</v>
      </c>
      <c r="DQ6" s="644">
        <v>0</v>
      </c>
      <c r="DR6" s="644">
        <v>0</v>
      </c>
      <c r="DS6" s="644">
        <v>0</v>
      </c>
      <c r="DT6" s="644">
        <v>0</v>
      </c>
      <c r="DU6" s="644">
        <v>0</v>
      </c>
      <c r="DV6" s="644">
        <v>0</v>
      </c>
      <c r="DW6" s="644">
        <v>0</v>
      </c>
    </row>
    <row r="7" spans="1:128" ht="9.75" customHeight="1">
      <c r="A7" s="703" t="s">
        <v>11</v>
      </c>
      <c r="B7" s="4"/>
      <c r="C7" s="4" t="str">
        <f t="shared" si="0"/>
        <v>(-)FERIADO</v>
      </c>
      <c r="D7" s="642"/>
      <c r="E7" s="643"/>
      <c r="F7" s="643"/>
      <c r="G7" s="643"/>
      <c r="H7" s="643"/>
      <c r="I7" s="643"/>
      <c r="J7" s="643"/>
      <c r="K7" s="643"/>
      <c r="L7" s="643"/>
      <c r="M7" s="643"/>
      <c r="N7" s="643"/>
      <c r="O7" s="643"/>
      <c r="P7" s="643"/>
      <c r="Q7" s="247"/>
      <c r="R7" s="642"/>
      <c r="S7" s="643"/>
      <c r="T7" s="643"/>
      <c r="U7" s="643"/>
      <c r="V7" s="643"/>
      <c r="W7" s="643"/>
      <c r="X7" s="643"/>
      <c r="Y7" s="643"/>
      <c r="Z7" s="643"/>
      <c r="AA7" s="643"/>
      <c r="AB7" s="643"/>
      <c r="AC7" s="643"/>
      <c r="AD7" s="643"/>
      <c r="AE7" s="248"/>
      <c r="AF7" s="642"/>
      <c r="AG7" s="642"/>
      <c r="AH7" s="642"/>
      <c r="AI7" s="642"/>
      <c r="AJ7" s="642"/>
      <c r="AK7" s="642"/>
      <c r="AL7" s="642"/>
      <c r="AM7" s="642"/>
      <c r="AN7" s="642"/>
      <c r="AO7" s="642"/>
      <c r="AP7" s="642"/>
      <c r="AQ7" s="642"/>
      <c r="AR7" s="642"/>
      <c r="AS7" s="124"/>
      <c r="AT7" s="644"/>
      <c r="AU7" s="643"/>
      <c r="AV7" s="643"/>
      <c r="AW7" s="643"/>
      <c r="AX7" s="643"/>
      <c r="AY7" s="643"/>
      <c r="AZ7" s="643"/>
      <c r="BA7" s="643"/>
      <c r="BB7" s="643"/>
      <c r="BC7" s="643"/>
      <c r="BD7" s="643"/>
      <c r="BE7" s="643"/>
      <c r="BF7" s="643"/>
      <c r="BG7" s="7"/>
      <c r="BH7" s="644"/>
      <c r="BI7" s="643"/>
      <c r="BJ7" s="643"/>
      <c r="BK7" s="643"/>
      <c r="BL7" s="643"/>
      <c r="BM7" s="643"/>
      <c r="BN7" s="643"/>
      <c r="BO7" s="643"/>
      <c r="BP7" s="643"/>
      <c r="BQ7" s="643"/>
      <c r="BR7" s="643"/>
      <c r="BS7" s="643"/>
      <c r="BU7" s="6"/>
      <c r="BV7" s="644"/>
      <c r="BW7" s="643"/>
      <c r="BX7" s="643"/>
      <c r="BY7" s="643"/>
      <c r="BZ7" s="643"/>
      <c r="CA7" s="643"/>
      <c r="CB7" s="643"/>
      <c r="CC7" s="643"/>
      <c r="CD7" s="643"/>
      <c r="CE7" s="643"/>
      <c r="CF7" s="643"/>
      <c r="CG7" s="643" t="s">
        <v>12</v>
      </c>
      <c r="CJ7" s="644"/>
      <c r="CK7" s="679"/>
      <c r="CL7" s="679">
        <v>2</v>
      </c>
      <c r="CM7" s="679">
        <v>2</v>
      </c>
      <c r="CN7" s="679">
        <v>1</v>
      </c>
      <c r="CO7" s="679">
        <v>1</v>
      </c>
      <c r="CP7" s="679"/>
      <c r="CQ7" s="679"/>
      <c r="CR7" s="679">
        <v>0</v>
      </c>
      <c r="CS7" s="643">
        <v>0</v>
      </c>
      <c r="CT7" s="643">
        <v>1</v>
      </c>
      <c r="CU7" s="643"/>
      <c r="CX7" s="644"/>
      <c r="CY7" s="938">
        <v>3</v>
      </c>
      <c r="CZ7" s="938">
        <v>2</v>
      </c>
      <c r="DA7" s="938">
        <v>3</v>
      </c>
      <c r="DB7" s="938">
        <v>1</v>
      </c>
      <c r="DC7" s="938">
        <v>1</v>
      </c>
      <c r="DD7" s="938"/>
      <c r="DE7" s="938">
        <v>0</v>
      </c>
      <c r="DF7" s="938">
        <v>1</v>
      </c>
      <c r="DG7" s="938">
        <v>1</v>
      </c>
      <c r="DH7" s="938">
        <v>2</v>
      </c>
      <c r="DI7" s="938">
        <v>0</v>
      </c>
      <c r="DK7" s="948"/>
      <c r="DL7" s="644">
        <v>0</v>
      </c>
      <c r="DM7" s="938">
        <v>3</v>
      </c>
      <c r="DN7" s="938">
        <v>2</v>
      </c>
      <c r="DO7" s="938">
        <v>2</v>
      </c>
      <c r="DP7" s="938">
        <v>1</v>
      </c>
      <c r="DQ7" s="938">
        <v>1</v>
      </c>
      <c r="DR7" s="938"/>
      <c r="DS7" s="938">
        <v>0</v>
      </c>
      <c r="DT7" s="938">
        <v>1</v>
      </c>
      <c r="DU7" s="938">
        <v>1</v>
      </c>
      <c r="DV7" s="938">
        <v>2</v>
      </c>
      <c r="DW7" s="939">
        <v>5</v>
      </c>
    </row>
    <row r="8" spans="1:128">
      <c r="A8" s="704" t="s">
        <v>13</v>
      </c>
      <c r="B8" s="3"/>
      <c r="C8" s="3" t="str">
        <f t="shared" si="0"/>
        <v>Dias Trabalhados</v>
      </c>
      <c r="D8" s="252">
        <v>16</v>
      </c>
      <c r="E8" s="252">
        <v>21</v>
      </c>
      <c r="F8" s="252">
        <v>18</v>
      </c>
      <c r="G8" s="252">
        <v>21</v>
      </c>
      <c r="H8" s="252">
        <v>22</v>
      </c>
      <c r="I8" s="252">
        <v>19</v>
      </c>
      <c r="J8" s="252">
        <v>23</v>
      </c>
      <c r="K8" s="252">
        <v>21</v>
      </c>
      <c r="L8" s="252">
        <v>21</v>
      </c>
      <c r="M8" s="252">
        <v>26</v>
      </c>
      <c r="N8" s="252">
        <v>24</v>
      </c>
      <c r="O8" s="252">
        <v>15</v>
      </c>
      <c r="P8" s="4"/>
      <c r="Q8" s="247"/>
      <c r="R8" s="252">
        <v>22</v>
      </c>
      <c r="S8" s="252">
        <v>20</v>
      </c>
      <c r="T8" s="252">
        <v>14</v>
      </c>
      <c r="U8" s="252">
        <v>1</v>
      </c>
      <c r="V8" s="252">
        <v>12</v>
      </c>
      <c r="W8" s="252">
        <v>22</v>
      </c>
      <c r="X8" s="252">
        <v>23</v>
      </c>
      <c r="Y8" s="252">
        <v>21</v>
      </c>
      <c r="Z8" s="252">
        <v>21</v>
      </c>
      <c r="AA8" s="252">
        <v>21</v>
      </c>
      <c r="AB8" s="252">
        <v>20</v>
      </c>
      <c r="AC8" s="252">
        <v>17</v>
      </c>
      <c r="AD8" s="2"/>
      <c r="AE8" s="253"/>
      <c r="AF8" s="254">
        <v>18</v>
      </c>
      <c r="AG8" s="252">
        <v>20</v>
      </c>
      <c r="AH8" s="248">
        <v>20</v>
      </c>
      <c r="AI8" s="248">
        <v>20</v>
      </c>
      <c r="AJ8" s="252">
        <v>22</v>
      </c>
      <c r="AK8" s="252">
        <v>20</v>
      </c>
      <c r="AL8" s="252">
        <v>22</v>
      </c>
      <c r="AM8" s="252">
        <v>22</v>
      </c>
      <c r="AN8" s="252">
        <v>21</v>
      </c>
      <c r="AO8" s="252">
        <v>20</v>
      </c>
      <c r="AP8" s="252">
        <v>20</v>
      </c>
      <c r="AQ8" s="248">
        <v>12</v>
      </c>
      <c r="AR8" s="2"/>
      <c r="AS8" s="124"/>
      <c r="AT8" s="253">
        <v>19</v>
      </c>
      <c r="AU8" s="248">
        <v>19</v>
      </c>
      <c r="AV8" s="248">
        <v>18</v>
      </c>
      <c r="AW8" s="248">
        <v>19</v>
      </c>
      <c r="AX8" s="248">
        <v>22</v>
      </c>
      <c r="AY8" s="248">
        <v>21</v>
      </c>
      <c r="AZ8" s="248">
        <v>21</v>
      </c>
      <c r="BA8" s="248">
        <v>22</v>
      </c>
      <c r="BB8" s="248">
        <v>22</v>
      </c>
      <c r="BC8" s="248">
        <v>21</v>
      </c>
      <c r="BD8" s="248">
        <v>20</v>
      </c>
      <c r="BE8" s="248">
        <v>10</v>
      </c>
      <c r="BF8" s="2"/>
      <c r="BG8" s="125"/>
      <c r="BH8" s="253">
        <v>20</v>
      </c>
      <c r="BI8" s="248">
        <v>17</v>
      </c>
      <c r="BJ8" s="248">
        <v>23</v>
      </c>
      <c r="BK8" s="248">
        <v>18</v>
      </c>
      <c r="BL8" s="248">
        <v>22</v>
      </c>
      <c r="BM8" s="248">
        <v>23</v>
      </c>
      <c r="BN8" s="248">
        <v>21</v>
      </c>
      <c r="BO8" s="248">
        <v>21</v>
      </c>
      <c r="BP8" s="248">
        <v>20</v>
      </c>
      <c r="BQ8" s="248">
        <v>21</v>
      </c>
      <c r="BR8" s="248">
        <v>20</v>
      </c>
      <c r="BS8" s="248">
        <v>14</v>
      </c>
      <c r="BT8" s="253">
        <v>20</v>
      </c>
      <c r="BU8" s="252"/>
      <c r="BV8" s="253">
        <v>19</v>
      </c>
      <c r="BW8" s="248">
        <v>19</v>
      </c>
      <c r="BX8" s="566">
        <v>21</v>
      </c>
      <c r="BY8" s="566">
        <f>22+2</f>
        <v>24</v>
      </c>
      <c r="BZ8" s="248">
        <f>21+2</f>
        <v>23</v>
      </c>
      <c r="CA8" s="567">
        <f>20+2</f>
        <v>22</v>
      </c>
      <c r="CB8" s="567">
        <f>23+2</f>
        <v>25</v>
      </c>
      <c r="CC8" s="252">
        <f>21+3</f>
        <v>24</v>
      </c>
      <c r="CD8" s="252">
        <f>21+3</f>
        <v>24</v>
      </c>
      <c r="CE8" s="248">
        <f>23+1</f>
        <v>24</v>
      </c>
      <c r="CF8" s="248">
        <f>19+3</f>
        <v>22</v>
      </c>
      <c r="CG8" s="248">
        <f>12+1</f>
        <v>13</v>
      </c>
      <c r="CH8" s="248"/>
      <c r="CJ8" s="253">
        <f>CJ4+CJ6-CJ7-CJ5</f>
        <v>22</v>
      </c>
      <c r="CK8" s="253">
        <f>CK4+CK6-CK7-CK5</f>
        <v>23</v>
      </c>
      <c r="CL8" s="253">
        <v>19</v>
      </c>
      <c r="CM8" s="734">
        <f t="shared" ref="CM8:CQ8" si="1">CM4+CM6-CM7-CM5</f>
        <v>20</v>
      </c>
      <c r="CN8" s="734">
        <f>CN4+CN6-CN7-CN5</f>
        <v>21</v>
      </c>
      <c r="CO8" s="734">
        <f>CO4+CO6-CO7-CO5</f>
        <v>22</v>
      </c>
      <c r="CP8" s="734">
        <f t="shared" ref="CP8:CU8" si="2">CP4+CP6-CP7</f>
        <v>25</v>
      </c>
      <c r="CQ8" s="734">
        <f>CQ4+CQ6-CQ7</f>
        <v>21</v>
      </c>
      <c r="CR8" s="734">
        <f t="shared" si="2"/>
        <v>22</v>
      </c>
      <c r="CS8" s="734">
        <f>CS4+CS6-CS7</f>
        <v>23</v>
      </c>
      <c r="CT8" s="734">
        <f>CT4+CT6-CT7</f>
        <v>22</v>
      </c>
      <c r="CU8" s="734">
        <v>17</v>
      </c>
      <c r="CV8" s="248"/>
      <c r="CX8" s="253">
        <f>CX4+CX6-CX7-CX5</f>
        <v>22</v>
      </c>
      <c r="CY8" s="253">
        <f t="shared" ref="CY8:DC8" si="3">CY4+CY6-CY7-CY5</f>
        <v>19</v>
      </c>
      <c r="CZ8" s="253">
        <v>6</v>
      </c>
      <c r="DA8" s="253">
        <v>10</v>
      </c>
      <c r="DB8" s="253">
        <f t="shared" si="3"/>
        <v>22</v>
      </c>
      <c r="DC8" s="253">
        <f>DC4+DC6-DC7-DC5</f>
        <v>23</v>
      </c>
      <c r="DD8" s="253">
        <f t="shared" ref="DD8:DI8" si="4">DD4+DD6-DD7</f>
        <v>24</v>
      </c>
      <c r="DE8" s="253">
        <f>DE4+DE6-DE7</f>
        <v>21</v>
      </c>
      <c r="DF8" s="253">
        <f>DF4+DF6-DF7</f>
        <v>21</v>
      </c>
      <c r="DG8" s="253">
        <f>DG4+DG6-DG7</f>
        <v>21</v>
      </c>
      <c r="DH8" s="253">
        <f>DH4+DH6-DH7</f>
        <v>19</v>
      </c>
      <c r="DI8" s="253">
        <v>12</v>
      </c>
      <c r="DJ8" s="248"/>
      <c r="DK8" s="948"/>
      <c r="DL8" s="253">
        <f>DL4+DL6-DL7-DL5</f>
        <v>20</v>
      </c>
      <c r="DM8" s="253">
        <f>DM4+DM6-DM7-DM5</f>
        <v>17</v>
      </c>
      <c r="DN8" s="253">
        <f>DN4+DN6-DN7-DN5</f>
        <v>22</v>
      </c>
      <c r="DO8" s="253">
        <f>DO4+DO6-DO7-DO5</f>
        <v>22</v>
      </c>
      <c r="DP8" s="253">
        <f t="shared" ref="DP8:DT8" si="5">DP4+DP6-DP7-DP5</f>
        <v>20</v>
      </c>
      <c r="DQ8" s="253">
        <f t="shared" si="5"/>
        <v>21</v>
      </c>
      <c r="DR8" s="253">
        <f t="shared" ref="DR8:DW8" si="6">DR4+DR6-DR7</f>
        <v>23</v>
      </c>
      <c r="DS8" s="253">
        <f>DS4+DS6-DS7</f>
        <v>21</v>
      </c>
      <c r="DT8" s="253">
        <f>DT4+DT6-DT7</f>
        <v>21</v>
      </c>
      <c r="DU8" s="253">
        <f>DU4+DU6-DU7</f>
        <v>21</v>
      </c>
      <c r="DV8" s="253">
        <f>DV4+DV6-DV7</f>
        <v>19</v>
      </c>
      <c r="DW8" s="253">
        <f>DW4+DW6-DW7</f>
        <v>16</v>
      </c>
      <c r="DX8" s="248"/>
    </row>
    <row r="9" spans="1:128">
      <c r="A9" s="8"/>
      <c r="B9" s="255"/>
      <c r="C9" s="256"/>
      <c r="D9" s="257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9" t="s">
        <v>25</v>
      </c>
      <c r="P9" s="258" t="s">
        <v>26</v>
      </c>
      <c r="Q9" s="10"/>
      <c r="R9" s="257" t="s">
        <v>14</v>
      </c>
      <c r="S9" s="9" t="s">
        <v>15</v>
      </c>
      <c r="T9" s="9" t="s">
        <v>16</v>
      </c>
      <c r="U9" s="9" t="s">
        <v>17</v>
      </c>
      <c r="V9" s="9" t="s">
        <v>18</v>
      </c>
      <c r="W9" s="9" t="s">
        <v>19</v>
      </c>
      <c r="X9" s="9" t="s">
        <v>20</v>
      </c>
      <c r="Y9" s="9" t="s">
        <v>21</v>
      </c>
      <c r="Z9" s="9" t="s">
        <v>22</v>
      </c>
      <c r="AA9" s="9" t="s">
        <v>23</v>
      </c>
      <c r="AB9" s="9" t="s">
        <v>24</v>
      </c>
      <c r="AC9" s="9" t="s">
        <v>25</v>
      </c>
      <c r="AD9" s="258" t="s">
        <v>26</v>
      </c>
      <c r="AE9" s="11"/>
      <c r="AF9" s="257" t="s">
        <v>14</v>
      </c>
      <c r="AG9" s="9" t="s">
        <v>15</v>
      </c>
      <c r="AH9" s="9" t="s">
        <v>16</v>
      </c>
      <c r="AI9" s="9" t="s">
        <v>17</v>
      </c>
      <c r="AJ9" s="9" t="s">
        <v>18</v>
      </c>
      <c r="AK9" s="9" t="s">
        <v>19</v>
      </c>
      <c r="AL9" s="9" t="s">
        <v>20</v>
      </c>
      <c r="AM9" s="9" t="s">
        <v>21</v>
      </c>
      <c r="AN9" s="9" t="s">
        <v>22</v>
      </c>
      <c r="AO9" s="9" t="s">
        <v>23</v>
      </c>
      <c r="AP9" s="9" t="s">
        <v>24</v>
      </c>
      <c r="AQ9" s="9" t="s">
        <v>25</v>
      </c>
      <c r="AR9" s="9" t="s">
        <v>26</v>
      </c>
      <c r="AS9" s="11"/>
      <c r="AT9" s="9" t="s">
        <v>14</v>
      </c>
      <c r="AU9" s="9" t="s">
        <v>15</v>
      </c>
      <c r="AV9" s="9" t="s">
        <v>16</v>
      </c>
      <c r="AW9" s="9" t="s">
        <v>17</v>
      </c>
      <c r="AX9" s="9" t="s">
        <v>18</v>
      </c>
      <c r="AY9" s="9" t="s">
        <v>19</v>
      </c>
      <c r="AZ9" s="9" t="s">
        <v>20</v>
      </c>
      <c r="BA9" s="9" t="s">
        <v>21</v>
      </c>
      <c r="BB9" s="9" t="s">
        <v>22</v>
      </c>
      <c r="BC9" s="9" t="s">
        <v>23</v>
      </c>
      <c r="BD9" s="9" t="s">
        <v>24</v>
      </c>
      <c r="BE9" s="9" t="s">
        <v>25</v>
      </c>
      <c r="BF9" s="9" t="s">
        <v>26</v>
      </c>
      <c r="BG9" s="10"/>
      <c r="BH9" s="9" t="s">
        <v>14</v>
      </c>
      <c r="BI9" s="9" t="s">
        <v>15</v>
      </c>
      <c r="BJ9" s="9" t="s">
        <v>16</v>
      </c>
      <c r="BK9" s="9" t="s">
        <v>17</v>
      </c>
      <c r="BL9" s="9" t="s">
        <v>18</v>
      </c>
      <c r="BM9" s="9" t="s">
        <v>19</v>
      </c>
      <c r="BN9" s="9" t="s">
        <v>20</v>
      </c>
      <c r="BO9" s="9" t="s">
        <v>21</v>
      </c>
      <c r="BP9" s="9" t="s">
        <v>22</v>
      </c>
      <c r="BQ9" s="9" t="s">
        <v>23</v>
      </c>
      <c r="BR9" s="9" t="s">
        <v>24</v>
      </c>
      <c r="BS9" s="9" t="s">
        <v>25</v>
      </c>
      <c r="BT9" s="9" t="s">
        <v>26</v>
      </c>
      <c r="BU9" s="12"/>
      <c r="BV9" s="9" t="s">
        <v>14</v>
      </c>
      <c r="BW9" s="9" t="s">
        <v>15</v>
      </c>
      <c r="BX9" s="9" t="s">
        <v>16</v>
      </c>
      <c r="BY9" s="9" t="s">
        <v>17</v>
      </c>
      <c r="BZ9" s="9" t="s">
        <v>18</v>
      </c>
      <c r="CA9" s="9" t="s">
        <v>19</v>
      </c>
      <c r="CB9" s="9" t="s">
        <v>20</v>
      </c>
      <c r="CC9" s="9" t="s">
        <v>21</v>
      </c>
      <c r="CD9" s="9" t="s">
        <v>22</v>
      </c>
      <c r="CE9" s="9" t="s">
        <v>23</v>
      </c>
      <c r="CF9" s="9" t="s">
        <v>24</v>
      </c>
      <c r="CG9" s="9" t="s">
        <v>25</v>
      </c>
      <c r="CH9" s="9" t="s">
        <v>26</v>
      </c>
      <c r="CJ9" s="9" t="s">
        <v>14</v>
      </c>
      <c r="CK9" s="9" t="s">
        <v>15</v>
      </c>
      <c r="CL9" s="9" t="s">
        <v>16</v>
      </c>
      <c r="CM9" s="9" t="s">
        <v>17</v>
      </c>
      <c r="CN9" s="9" t="s">
        <v>18</v>
      </c>
      <c r="CO9" s="9" t="s">
        <v>19</v>
      </c>
      <c r="CP9" s="9" t="s">
        <v>20</v>
      </c>
      <c r="CQ9" s="9" t="s">
        <v>21</v>
      </c>
      <c r="CR9" s="9" t="s">
        <v>22</v>
      </c>
      <c r="CS9" s="9" t="s">
        <v>23</v>
      </c>
      <c r="CT9" s="9" t="s">
        <v>24</v>
      </c>
      <c r="CU9" s="9" t="s">
        <v>25</v>
      </c>
      <c r="CV9" s="9" t="s">
        <v>26</v>
      </c>
      <c r="CX9" s="9" t="s">
        <v>14</v>
      </c>
      <c r="CY9" s="9" t="s">
        <v>15</v>
      </c>
      <c r="CZ9" s="9" t="s">
        <v>16</v>
      </c>
      <c r="DA9" s="9" t="s">
        <v>17</v>
      </c>
      <c r="DB9" s="9" t="s">
        <v>18</v>
      </c>
      <c r="DC9" s="9" t="s">
        <v>19</v>
      </c>
      <c r="DD9" s="9" t="s">
        <v>20</v>
      </c>
      <c r="DE9" s="980" t="s">
        <v>21</v>
      </c>
      <c r="DF9" s="980" t="s">
        <v>22</v>
      </c>
      <c r="DG9" s="980" t="s">
        <v>23</v>
      </c>
      <c r="DH9" s="9" t="s">
        <v>24</v>
      </c>
      <c r="DI9" s="9" t="s">
        <v>25</v>
      </c>
      <c r="DJ9" s="9" t="s">
        <v>26</v>
      </c>
      <c r="DK9" s="948"/>
      <c r="DL9" s="9" t="s">
        <v>14</v>
      </c>
      <c r="DM9" s="9" t="s">
        <v>15</v>
      </c>
      <c r="DN9" s="9" t="s">
        <v>16</v>
      </c>
      <c r="DO9" s="9" t="s">
        <v>17</v>
      </c>
      <c r="DP9" s="9" t="s">
        <v>18</v>
      </c>
      <c r="DQ9" s="9" t="s">
        <v>19</v>
      </c>
      <c r="DR9" s="9" t="s">
        <v>20</v>
      </c>
      <c r="DS9" s="9" t="s">
        <v>21</v>
      </c>
      <c r="DT9" s="9" t="s">
        <v>22</v>
      </c>
      <c r="DU9" s="9" t="s">
        <v>23</v>
      </c>
      <c r="DV9" s="9" t="s">
        <v>24</v>
      </c>
      <c r="DW9" s="9" t="s">
        <v>25</v>
      </c>
      <c r="DX9" s="9" t="s">
        <v>26</v>
      </c>
    </row>
    <row r="10" spans="1:128" ht="18.75" customHeight="1">
      <c r="A10" s="13"/>
      <c r="B10" s="1024" t="s">
        <v>159</v>
      </c>
      <c r="C10" s="260"/>
      <c r="D10" s="261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62"/>
      <c r="Q10" s="15"/>
      <c r="R10" s="261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263"/>
      <c r="AE10" s="16"/>
      <c r="AF10" s="261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7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7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8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682" t="s">
        <v>27</v>
      </c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682" t="s">
        <v>27</v>
      </c>
      <c r="CX10" s="14"/>
      <c r="CY10" s="14"/>
      <c r="CZ10" s="14">
        <v>0</v>
      </c>
      <c r="DA10" s="14">
        <v>19</v>
      </c>
      <c r="DB10" s="14">
        <v>19</v>
      </c>
      <c r="DC10" s="14">
        <v>19</v>
      </c>
      <c r="DD10" s="14">
        <v>19</v>
      </c>
      <c r="DE10" s="14">
        <v>19</v>
      </c>
      <c r="DF10" s="14">
        <v>19</v>
      </c>
      <c r="DG10" s="14">
        <v>19</v>
      </c>
      <c r="DH10" s="14">
        <v>19</v>
      </c>
      <c r="DI10" s="14">
        <v>19</v>
      </c>
      <c r="DJ10" s="14"/>
      <c r="DK10" s="948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</row>
    <row r="11" spans="1:128" ht="30.75" hidden="1">
      <c r="A11" s="13" t="s">
        <v>28</v>
      </c>
      <c r="B11" s="706" t="s">
        <v>29</v>
      </c>
      <c r="C11" s="260"/>
      <c r="D11" s="261">
        <f t="shared" ref="D11:O11" si="7">SUM(D21:D25)</f>
        <v>304786</v>
      </c>
      <c r="E11" s="14">
        <f t="shared" si="7"/>
        <v>311986</v>
      </c>
      <c r="F11" s="14">
        <f t="shared" si="7"/>
        <v>328231</v>
      </c>
      <c r="G11" s="14">
        <f t="shared" si="7"/>
        <v>317873</v>
      </c>
      <c r="H11" s="14">
        <f t="shared" si="7"/>
        <v>347196</v>
      </c>
      <c r="I11" s="14">
        <f t="shared" si="7"/>
        <v>402253</v>
      </c>
      <c r="J11" s="14">
        <f t="shared" si="7"/>
        <v>454488</v>
      </c>
      <c r="K11" s="14">
        <f t="shared" si="7"/>
        <v>447182</v>
      </c>
      <c r="L11" s="14">
        <f t="shared" si="7"/>
        <v>416931</v>
      </c>
      <c r="M11" s="14">
        <f t="shared" si="7"/>
        <v>304402</v>
      </c>
      <c r="N11" s="14">
        <f t="shared" si="7"/>
        <v>0</v>
      </c>
      <c r="O11" s="14">
        <f t="shared" si="7"/>
        <v>188264</v>
      </c>
      <c r="P11" s="262"/>
      <c r="Q11" s="15"/>
      <c r="R11" s="14">
        <f t="shared" ref="R11:AC11" si="8">SUM(R21:R25)</f>
        <v>283359</v>
      </c>
      <c r="S11" s="14">
        <f t="shared" si="8"/>
        <v>342718</v>
      </c>
      <c r="T11" s="14">
        <f t="shared" si="8"/>
        <v>313212</v>
      </c>
      <c r="U11" s="14">
        <f t="shared" si="8"/>
        <v>298093</v>
      </c>
      <c r="V11" s="14">
        <f t="shared" si="8"/>
        <v>206617</v>
      </c>
      <c r="W11" s="14">
        <f t="shared" si="8"/>
        <v>235875</v>
      </c>
      <c r="X11" s="14">
        <f t="shared" si="8"/>
        <v>360135</v>
      </c>
      <c r="Y11" s="14">
        <f t="shared" si="8"/>
        <v>361665</v>
      </c>
      <c r="Z11" s="14">
        <f t="shared" si="8"/>
        <v>353400</v>
      </c>
      <c r="AA11" s="14">
        <f t="shared" si="8"/>
        <v>272097</v>
      </c>
      <c r="AB11" s="14">
        <f t="shared" si="8"/>
        <v>170626</v>
      </c>
      <c r="AC11" s="14">
        <f t="shared" si="8"/>
        <v>197551</v>
      </c>
      <c r="AD11" s="263"/>
      <c r="AE11" s="16"/>
      <c r="AF11" s="14">
        <f t="shared" ref="AF11:AQ11" si="9">SUM(AF21:AF27)</f>
        <v>255339</v>
      </c>
      <c r="AG11" s="14">
        <f t="shared" si="9"/>
        <v>292621</v>
      </c>
      <c r="AH11" s="14">
        <f t="shared" si="9"/>
        <v>397976</v>
      </c>
      <c r="AI11" s="14">
        <f t="shared" si="9"/>
        <v>388165</v>
      </c>
      <c r="AJ11" s="14">
        <f t="shared" si="9"/>
        <v>409301</v>
      </c>
      <c r="AK11" s="14">
        <f t="shared" si="9"/>
        <v>490913</v>
      </c>
      <c r="AL11" s="14">
        <f t="shared" si="9"/>
        <v>563229</v>
      </c>
      <c r="AM11" s="14">
        <f t="shared" si="9"/>
        <v>559169</v>
      </c>
      <c r="AN11" s="14">
        <f t="shared" si="9"/>
        <v>487294</v>
      </c>
      <c r="AO11" s="14">
        <f t="shared" si="9"/>
        <v>407614</v>
      </c>
      <c r="AP11" s="14">
        <f t="shared" si="9"/>
        <v>503756</v>
      </c>
      <c r="AQ11" s="14">
        <f t="shared" si="9"/>
        <v>531679</v>
      </c>
      <c r="AR11" s="14">
        <f t="shared" ref="AR11:AR32" si="10">AQ11</f>
        <v>531679</v>
      </c>
      <c r="AS11" s="17"/>
      <c r="AT11" s="14">
        <f t="shared" ref="AT11:BE11" si="11">SUM(AT21:AT27)</f>
        <v>471378</v>
      </c>
      <c r="AU11" s="14">
        <f t="shared" si="11"/>
        <v>473307</v>
      </c>
      <c r="AV11" s="14">
        <f t="shared" si="11"/>
        <v>412518</v>
      </c>
      <c r="AW11" s="14">
        <f t="shared" si="11"/>
        <v>398039</v>
      </c>
      <c r="AX11" s="14">
        <f t="shared" si="11"/>
        <v>417827</v>
      </c>
      <c r="AY11" s="14">
        <f t="shared" si="11"/>
        <v>507968</v>
      </c>
      <c r="AZ11" s="14">
        <f t="shared" si="11"/>
        <v>477530</v>
      </c>
      <c r="BA11" s="14">
        <f t="shared" si="11"/>
        <v>520708</v>
      </c>
      <c r="BB11" s="14">
        <f t="shared" si="11"/>
        <v>505851</v>
      </c>
      <c r="BC11" s="14">
        <f t="shared" si="11"/>
        <v>454245</v>
      </c>
      <c r="BD11" s="14">
        <f t="shared" si="11"/>
        <v>405700</v>
      </c>
      <c r="BE11" s="14">
        <f t="shared" si="11"/>
        <v>356505</v>
      </c>
      <c r="BF11" s="14">
        <f t="shared" ref="BF11:BF27" si="12">BE11</f>
        <v>356505</v>
      </c>
      <c r="BG11" s="17"/>
      <c r="BH11" s="14">
        <f t="shared" ref="BH11:BQ11" si="13">SUM(BH21:BH27)</f>
        <v>357143</v>
      </c>
      <c r="BI11" s="14">
        <f t="shared" si="13"/>
        <v>355011</v>
      </c>
      <c r="BJ11" s="14">
        <f t="shared" si="13"/>
        <v>344281</v>
      </c>
      <c r="BK11" s="14">
        <f t="shared" si="13"/>
        <v>389628</v>
      </c>
      <c r="BL11" s="14">
        <f t="shared" si="13"/>
        <v>324889</v>
      </c>
      <c r="BM11" s="14">
        <f t="shared" si="13"/>
        <v>352666</v>
      </c>
      <c r="BN11" s="14">
        <f t="shared" si="13"/>
        <v>418721</v>
      </c>
      <c r="BO11" s="14">
        <f t="shared" si="13"/>
        <v>356602</v>
      </c>
      <c r="BP11" s="14">
        <f t="shared" si="13"/>
        <v>326706</v>
      </c>
      <c r="BQ11" s="14">
        <f t="shared" si="13"/>
        <v>304987</v>
      </c>
      <c r="BR11" s="14">
        <f>SUM(BR21:BR27)</f>
        <v>228035</v>
      </c>
      <c r="BS11" s="14">
        <f>BS21+BS24+BS27</f>
        <v>201165</v>
      </c>
      <c r="BT11" s="14">
        <f>BS11</f>
        <v>201165</v>
      </c>
      <c r="BU11" s="18"/>
      <c r="BV11" s="14">
        <f>BV12+BV24+BV27</f>
        <v>247713</v>
      </c>
      <c r="BW11" s="14">
        <f t="shared" ref="BW11:CF11" si="14">BW12+BW24+BW27</f>
        <v>278707</v>
      </c>
      <c r="BX11" s="14">
        <f t="shared" si="14"/>
        <v>281829</v>
      </c>
      <c r="BY11" s="14">
        <f t="shared" si="14"/>
        <v>317753</v>
      </c>
      <c r="BZ11" s="14">
        <f t="shared" si="14"/>
        <v>270339</v>
      </c>
      <c r="CA11" s="14">
        <f t="shared" si="14"/>
        <v>310383</v>
      </c>
      <c r="CB11" s="14">
        <f t="shared" si="14"/>
        <v>328365</v>
      </c>
      <c r="CC11" s="14">
        <f t="shared" si="14"/>
        <v>333476</v>
      </c>
      <c r="CD11" s="14">
        <f>CD12+CD24+CD27</f>
        <v>306264</v>
      </c>
      <c r="CE11" s="14">
        <f t="shared" si="14"/>
        <v>270370</v>
      </c>
      <c r="CF11" s="14">
        <f t="shared" si="14"/>
        <v>194014</v>
      </c>
      <c r="CG11" s="14">
        <f>CG12+CG24+CG27</f>
        <v>182266</v>
      </c>
      <c r="CH11" s="14">
        <f t="shared" ref="CH11" si="15">CH21+CH24+CH27</f>
        <v>161447</v>
      </c>
      <c r="CJ11" s="14">
        <f>CH11+CJ82-CJ35</f>
        <v>168530.63302273574</v>
      </c>
      <c r="CK11" s="14">
        <f>CJ11+CK82-CK35</f>
        <v>182286.97320909426</v>
      </c>
      <c r="CL11" s="14">
        <f>CL21+CL24</f>
        <v>127909</v>
      </c>
      <c r="CM11" s="14">
        <f>CM21+CM24</f>
        <v>174007</v>
      </c>
      <c r="CN11" s="14">
        <f>CM11+CN82-CN35</f>
        <v>184445.8879612374</v>
      </c>
      <c r="CO11" s="14">
        <f>CN11+CO82-CO35</f>
        <v>247499.73306000742</v>
      </c>
      <c r="CP11" s="14">
        <f>CO11+CP82-CP35</f>
        <v>280382.22259587242</v>
      </c>
      <c r="CQ11" s="14">
        <f>CP11+CQ82-CQ35</f>
        <v>258376.52867182181</v>
      </c>
      <c r="CR11" s="14">
        <f>CQ11+CR82-CR35</f>
        <v>210518.33782793995</v>
      </c>
      <c r="CS11" s="14">
        <f>CR11+CS82-CS35</f>
        <v>165804.38677308764</v>
      </c>
      <c r="CT11" s="14">
        <f>CS11+CT82-CT35</f>
        <v>156780.78567604127</v>
      </c>
      <c r="CU11" s="14">
        <f>CT11+CU82-CU35</f>
        <v>179129.39327097798</v>
      </c>
      <c r="CV11" s="14">
        <v>116080.10690622788</v>
      </c>
      <c r="CX11" s="14">
        <f>CU11+CX82-CX35</f>
        <v>111016.49327097798</v>
      </c>
      <c r="CY11" s="14">
        <f>CX11+CY82-CY35</f>
        <v>9881.093270977959</v>
      </c>
      <c r="CZ11" s="14">
        <f>CY11+CZ82-CZ35</f>
        <v>-155738.90672902204</v>
      </c>
      <c r="DA11" s="14">
        <f>CZ11+DA82-DA35</f>
        <v>-278698.90672902204</v>
      </c>
      <c r="DB11" s="14">
        <f>DA11+DB82-DB35</f>
        <v>-286894.90672902204</v>
      </c>
      <c r="DC11" s="14">
        <f>DB11+DC82-DC35</f>
        <v>-287024.90672902204</v>
      </c>
      <c r="DD11" s="14">
        <f>DC11+DD82-DD35</f>
        <v>-338346.32672902208</v>
      </c>
      <c r="DE11" s="14">
        <f>DD11+DE82-DE35</f>
        <v>-434256.95672902209</v>
      </c>
      <c r="DF11" s="14">
        <f>DE11+DF82-DF35</f>
        <v>-585262.76672902214</v>
      </c>
      <c r="DG11" s="14">
        <f>DF11+DG82-DG35</f>
        <v>-661161.98672902223</v>
      </c>
      <c r="DH11" s="14">
        <f>DG11+DH82-DH35</f>
        <v>-676501.94672902231</v>
      </c>
      <c r="DI11" s="14">
        <f>DH11+DI82-DI35</f>
        <v>-718709.38672902226</v>
      </c>
      <c r="DJ11" s="14">
        <v>116080.10690622788</v>
      </c>
      <c r="DK11" s="948"/>
      <c r="DL11" s="14">
        <f>DI11+DL82-DL35</f>
        <v>-838050.38672902226</v>
      </c>
      <c r="DM11" s="14">
        <f>DL11+DM82-DM35</f>
        <v>-907472.23672902223</v>
      </c>
      <c r="DN11" s="14">
        <f>DM11+DN82-DN35</f>
        <v>-968710.23672902223</v>
      </c>
      <c r="DO11" s="14">
        <f>DN11+DO82-DO35</f>
        <v>-964088.23672902223</v>
      </c>
      <c r="DP11" s="14">
        <f>DO11+DP82-DP35</f>
        <v>-953100.63672902226</v>
      </c>
      <c r="DQ11" s="14">
        <f>DP11+DQ82-DQ35</f>
        <v>-955934.6867290223</v>
      </c>
      <c r="DR11" s="14">
        <f>DQ11+DR82-DR35</f>
        <v>-1013755.4867290223</v>
      </c>
      <c r="DS11" s="14">
        <f>DR11+DS82-DS35</f>
        <v>-1121166.1167290225</v>
      </c>
      <c r="DT11" s="14">
        <f>DS11+DT82-DT35</f>
        <v>-1290171.9267290225</v>
      </c>
      <c r="DU11" s="14">
        <f>DT11+DU82-DU35</f>
        <v>-1378771.1467290225</v>
      </c>
      <c r="DV11" s="14">
        <f>DU11+DV82-DV35</f>
        <v>-1405911.5067290226</v>
      </c>
      <c r="DW11" s="14">
        <f>DV11+DW82-DW35</f>
        <v>-1416521.4267290225</v>
      </c>
      <c r="DX11" s="14">
        <v>116080.10690622788</v>
      </c>
    </row>
    <row r="12" spans="1:128" ht="18.75">
      <c r="A12" s="19">
        <v>0</v>
      </c>
      <c r="B12" s="1034" t="s">
        <v>30</v>
      </c>
      <c r="C12" s="1035"/>
      <c r="D12" s="793"/>
      <c r="E12" s="794"/>
      <c r="F12" s="794"/>
      <c r="G12" s="794"/>
      <c r="H12" s="794"/>
      <c r="I12" s="794"/>
      <c r="J12" s="794"/>
      <c r="K12" s="794"/>
      <c r="L12" s="794"/>
      <c r="M12" s="794"/>
      <c r="N12" s="794"/>
      <c r="O12" s="794"/>
      <c r="P12" s="795"/>
      <c r="Q12" s="796"/>
      <c r="R12" s="793"/>
      <c r="S12" s="797"/>
      <c r="T12" s="797"/>
      <c r="U12" s="797"/>
      <c r="V12" s="797"/>
      <c r="W12" s="797"/>
      <c r="X12" s="797"/>
      <c r="Y12" s="797"/>
      <c r="Z12" s="797"/>
      <c r="AA12" s="797"/>
      <c r="AB12" s="797"/>
      <c r="AC12" s="797"/>
      <c r="AD12" s="798"/>
      <c r="AE12" s="799"/>
      <c r="AF12" s="797"/>
      <c r="AG12" s="797"/>
      <c r="AH12" s="797"/>
      <c r="AI12" s="797"/>
      <c r="AJ12" s="799"/>
      <c r="AK12" s="797"/>
      <c r="AL12" s="797"/>
      <c r="AM12" s="797"/>
      <c r="AN12" s="797"/>
      <c r="AO12" s="797"/>
      <c r="AP12" s="797"/>
      <c r="AQ12" s="797"/>
      <c r="AR12" s="797"/>
      <c r="AS12" s="799"/>
      <c r="AT12" s="797"/>
      <c r="AU12" s="797"/>
      <c r="AV12" s="797"/>
      <c r="AW12" s="797"/>
      <c r="AX12" s="797"/>
      <c r="AY12" s="797"/>
      <c r="AZ12" s="797"/>
      <c r="BA12" s="797"/>
      <c r="BB12" s="1036"/>
      <c r="BC12" s="797"/>
      <c r="BD12" s="797"/>
      <c r="BE12" s="797"/>
      <c r="BF12" s="797"/>
      <c r="BG12" s="799"/>
      <c r="BH12" s="797"/>
      <c r="BI12" s="797"/>
      <c r="BJ12" s="797"/>
      <c r="BK12" s="797"/>
      <c r="BL12" s="797"/>
      <c r="BM12" s="797"/>
      <c r="BN12" s="797"/>
      <c r="BO12" s="797"/>
      <c r="BP12" s="797"/>
      <c r="BQ12" s="797"/>
      <c r="BR12" s="797"/>
      <c r="BS12" s="797"/>
      <c r="BT12" s="797"/>
      <c r="BU12" s="799"/>
      <c r="BV12" s="797">
        <v>204006</v>
      </c>
      <c r="BW12" s="797">
        <v>241182</v>
      </c>
      <c r="BX12" s="797">
        <v>245950</v>
      </c>
      <c r="BY12" s="797">
        <v>281974</v>
      </c>
      <c r="BZ12" s="797">
        <v>202865</v>
      </c>
      <c r="CA12" s="797">
        <v>240895</v>
      </c>
      <c r="CB12" s="797">
        <v>273565</v>
      </c>
      <c r="CC12" s="797">
        <v>288981</v>
      </c>
      <c r="CD12" s="797">
        <v>273990</v>
      </c>
      <c r="CE12" s="797">
        <v>237556</v>
      </c>
      <c r="CF12" s="797">
        <v>168313</v>
      </c>
      <c r="CG12" s="797">
        <v>150819</v>
      </c>
      <c r="CH12" s="797">
        <f>CG12</f>
        <v>150819</v>
      </c>
      <c r="CI12" s="792"/>
      <c r="CJ12" s="797">
        <v>205037</v>
      </c>
      <c r="CK12" s="797">
        <v>230430</v>
      </c>
      <c r="CL12" s="797">
        <v>234343</v>
      </c>
      <c r="CM12" s="797">
        <v>266388</v>
      </c>
      <c r="CN12" s="797"/>
      <c r="CO12" s="797"/>
      <c r="CP12" s="797"/>
      <c r="CQ12" s="797"/>
      <c r="CR12" s="797"/>
      <c r="CS12" s="797">
        <v>278269</v>
      </c>
      <c r="CT12" s="797"/>
      <c r="CU12" s="797"/>
      <c r="CV12" s="797"/>
      <c r="CW12" s="792"/>
      <c r="CX12" s="1019">
        <v>315473</v>
      </c>
      <c r="CY12" s="1019">
        <v>340292</v>
      </c>
      <c r="CZ12" s="1019">
        <v>246000</v>
      </c>
      <c r="DA12" s="1019">
        <v>258432</v>
      </c>
      <c r="DB12" s="1019">
        <v>238000</v>
      </c>
      <c r="DC12" s="1019">
        <f>DB12-DC35+DC81</f>
        <v>301870</v>
      </c>
      <c r="DD12" s="1019">
        <v>336000</v>
      </c>
      <c r="DE12" s="1019">
        <f>DD12-DE35+DE81</f>
        <v>305089.37</v>
      </c>
      <c r="DF12" s="1019">
        <f>DE12-DF35+DF81</f>
        <v>219083.55999999997</v>
      </c>
      <c r="DG12" s="1019">
        <f t="shared" ref="DG12:DI12" si="16">DF12-DG35+DG81</f>
        <v>183184.33999999994</v>
      </c>
      <c r="DH12" s="1019">
        <f t="shared" si="16"/>
        <v>196844.37999999995</v>
      </c>
      <c r="DI12" s="1019">
        <f t="shared" si="16"/>
        <v>214636.93999999994</v>
      </c>
      <c r="DJ12" s="22"/>
      <c r="DK12" s="948"/>
      <c r="DL12" s="1019">
        <f>DI12-DL35+DL81</f>
        <v>158175.93999999994</v>
      </c>
      <c r="DM12" s="1073">
        <f>DL12-DM35+DM81</f>
        <v>132834.08999999994</v>
      </c>
      <c r="DN12" s="1073">
        <f t="shared" ref="DN12:DW12" si="17">DM12-DN35+DN81</f>
        <v>123616.08999999994</v>
      </c>
      <c r="DO12" s="1073">
        <f>DN12-DO35+DO81</f>
        <v>167398.08999999994</v>
      </c>
      <c r="DP12" s="1073">
        <f t="shared" si="17"/>
        <v>207385.68999999994</v>
      </c>
      <c r="DQ12" s="1019">
        <f t="shared" si="17"/>
        <v>268551.6399999999</v>
      </c>
      <c r="DR12" s="1019">
        <f t="shared" si="17"/>
        <v>270730.83999999985</v>
      </c>
      <c r="DS12" s="1019">
        <f t="shared" si="17"/>
        <v>221320.20999999982</v>
      </c>
      <c r="DT12" s="1019">
        <f t="shared" si="17"/>
        <v>111314.39999999985</v>
      </c>
      <c r="DU12" s="1019">
        <f t="shared" si="17"/>
        <v>56715.179999999847</v>
      </c>
      <c r="DV12" s="1019">
        <f t="shared" si="17"/>
        <v>58574.819999999832</v>
      </c>
      <c r="DW12" s="1019">
        <f t="shared" si="17"/>
        <v>107964.89999999982</v>
      </c>
      <c r="DX12" s="22"/>
    </row>
    <row r="13" spans="1:128">
      <c r="A13" s="19"/>
      <c r="B13" s="158" t="s">
        <v>162</v>
      </c>
      <c r="C13" s="264"/>
      <c r="D13" s="26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66"/>
      <c r="Q13" s="21"/>
      <c r="R13" s="265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67"/>
      <c r="AE13" s="23"/>
      <c r="AF13" s="22"/>
      <c r="AG13" s="22"/>
      <c r="AH13" s="22"/>
      <c r="AI13" s="22"/>
      <c r="AJ13" s="24"/>
      <c r="AK13" s="22"/>
      <c r="AL13" s="22"/>
      <c r="AM13" s="22"/>
      <c r="AN13" s="22"/>
      <c r="AO13" s="22"/>
      <c r="AP13" s="25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6"/>
      <c r="BC13" s="22"/>
      <c r="BD13" s="22"/>
      <c r="BE13" s="22"/>
      <c r="BF13" s="22"/>
      <c r="BG13" s="27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8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>
        <v>40000</v>
      </c>
      <c r="CT13" s="22"/>
      <c r="CU13" s="22"/>
      <c r="CV13" s="22"/>
      <c r="CX13" s="22">
        <v>27585</v>
      </c>
      <c r="CY13" s="22">
        <v>35241</v>
      </c>
      <c r="CZ13" s="22">
        <v>33500</v>
      </c>
      <c r="DA13" s="22">
        <v>46702</v>
      </c>
      <c r="DB13" s="22">
        <v>24000</v>
      </c>
      <c r="DC13" s="22">
        <v>25000</v>
      </c>
      <c r="DD13" s="22">
        <v>38300</v>
      </c>
      <c r="DE13" s="22">
        <v>0</v>
      </c>
      <c r="DF13" s="22"/>
      <c r="DG13" s="22"/>
      <c r="DH13" s="22"/>
      <c r="DI13" s="22"/>
      <c r="DJ13" s="22"/>
      <c r="DK13" s="948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</row>
    <row r="14" spans="1:128" hidden="1">
      <c r="A14" s="19"/>
      <c r="B14" s="158" t="s">
        <v>113</v>
      </c>
      <c r="C14" s="264"/>
      <c r="D14" s="26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66"/>
      <c r="Q14" s="21"/>
      <c r="R14" s="265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67"/>
      <c r="AE14" s="23"/>
      <c r="AF14" s="22"/>
      <c r="AG14" s="22"/>
      <c r="AH14" s="22"/>
      <c r="AI14" s="22"/>
      <c r="AJ14" s="24"/>
      <c r="AK14" s="22"/>
      <c r="AL14" s="22"/>
      <c r="AM14" s="22"/>
      <c r="AN14" s="22"/>
      <c r="AO14" s="22"/>
      <c r="AP14" s="25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6"/>
      <c r="BC14" s="22"/>
      <c r="BD14" s="22"/>
      <c r="BE14" s="22"/>
      <c r="BF14" s="22"/>
      <c r="BG14" s="27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8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>
        <v>25428</v>
      </c>
      <c r="CT14" s="22"/>
      <c r="CU14" s="22"/>
      <c r="CV14" s="22"/>
      <c r="CX14" s="22">
        <v>47014</v>
      </c>
      <c r="CY14" s="22">
        <v>54401</v>
      </c>
      <c r="CZ14" s="22">
        <v>68100</v>
      </c>
      <c r="DA14" s="22">
        <v>64687</v>
      </c>
      <c r="DB14" s="22"/>
      <c r="DC14" s="22"/>
      <c r="DD14" s="22"/>
      <c r="DE14" s="22"/>
      <c r="DF14" s="22"/>
      <c r="DG14" s="22"/>
      <c r="DH14" s="22"/>
      <c r="DI14" s="22"/>
      <c r="DJ14" s="22"/>
      <c r="DK14" s="948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</row>
    <row r="15" spans="1:128" hidden="1">
      <c r="A15" s="19">
        <v>0</v>
      </c>
      <c r="B15" s="158" t="s">
        <v>163</v>
      </c>
      <c r="C15" s="264"/>
      <c r="D15" s="26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66"/>
      <c r="Q15" s="21"/>
      <c r="R15" s="265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67"/>
      <c r="AE15" s="23"/>
      <c r="AF15" s="22"/>
      <c r="AG15" s="22"/>
      <c r="AH15" s="22"/>
      <c r="AI15" s="22"/>
      <c r="AJ15" s="24"/>
      <c r="AK15" s="22"/>
      <c r="AL15" s="22"/>
      <c r="AM15" s="22"/>
      <c r="AN15" s="22"/>
      <c r="AO15" s="22"/>
      <c r="AP15" s="25"/>
      <c r="AQ15" s="22"/>
      <c r="AR15" s="22"/>
      <c r="AS15" s="23"/>
      <c r="AT15" s="22"/>
      <c r="AU15" s="22"/>
      <c r="AV15" s="22"/>
      <c r="AW15" s="22"/>
      <c r="AX15" s="22"/>
      <c r="AY15" s="22"/>
      <c r="AZ15" s="22"/>
      <c r="BA15" s="22"/>
      <c r="BB15" s="26"/>
      <c r="BC15" s="22"/>
      <c r="BD15" s="22"/>
      <c r="BE15" s="22"/>
      <c r="BF15" s="22"/>
      <c r="BG15" s="27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8"/>
      <c r="BV15" s="22">
        <v>80956</v>
      </c>
      <c r="BW15" s="22">
        <v>110544</v>
      </c>
      <c r="BX15" s="22">
        <v>134506</v>
      </c>
      <c r="BY15" s="22">
        <v>127959</v>
      </c>
      <c r="BZ15" s="22">
        <v>66136</v>
      </c>
      <c r="CA15" s="22">
        <v>72582</v>
      </c>
      <c r="CB15" s="22">
        <v>94286</v>
      </c>
      <c r="CC15" s="22">
        <v>133081</v>
      </c>
      <c r="CD15" s="22">
        <v>148174</v>
      </c>
      <c r="CE15" s="22">
        <v>154201</v>
      </c>
      <c r="CF15" s="22">
        <v>97365</v>
      </c>
      <c r="CG15" s="22">
        <v>30184</v>
      </c>
      <c r="CH15" s="22"/>
      <c r="CJ15" s="22">
        <v>132209</v>
      </c>
      <c r="CK15" s="22">
        <v>180000</v>
      </c>
      <c r="CL15" s="22">
        <v>177643</v>
      </c>
      <c r="CM15" s="22">
        <v>153210</v>
      </c>
      <c r="CN15" s="22"/>
      <c r="CO15" s="22"/>
      <c r="CP15" s="22"/>
      <c r="CQ15" s="22"/>
      <c r="CR15" s="22"/>
      <c r="CS15" s="22">
        <v>189875</v>
      </c>
      <c r="CT15" s="22"/>
      <c r="CU15" s="22"/>
      <c r="CV15" s="22"/>
      <c r="CX15" s="22">
        <v>101210</v>
      </c>
      <c r="CY15" s="22">
        <v>105819</v>
      </c>
      <c r="CZ15" s="22">
        <v>120500</v>
      </c>
      <c r="DA15" s="22">
        <v>110395</v>
      </c>
      <c r="DB15" s="22">
        <v>120000</v>
      </c>
      <c r="DC15" s="22">
        <v>75000</v>
      </c>
      <c r="DD15" s="22">
        <v>150000</v>
      </c>
      <c r="DE15" s="22"/>
      <c r="DF15" s="22"/>
      <c r="DG15" s="22"/>
      <c r="DH15" s="22"/>
      <c r="DI15" s="22"/>
      <c r="DJ15" s="22"/>
      <c r="DK15" s="948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</row>
    <row r="16" spans="1:128" hidden="1">
      <c r="A16" s="19">
        <v>0</v>
      </c>
      <c r="B16" s="158" t="s">
        <v>32</v>
      </c>
      <c r="C16" s="264"/>
      <c r="D16" s="265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66"/>
      <c r="Q16" s="21"/>
      <c r="R16" s="265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67"/>
      <c r="AE16" s="23"/>
      <c r="AF16" s="22"/>
      <c r="AG16" s="22"/>
      <c r="AH16" s="22"/>
      <c r="AI16" s="22"/>
      <c r="AJ16" s="24"/>
      <c r="AK16" s="22"/>
      <c r="AL16" s="22"/>
      <c r="AM16" s="22"/>
      <c r="AN16" s="22"/>
      <c r="AO16" s="22"/>
      <c r="AP16" s="25"/>
      <c r="AQ16" s="22"/>
      <c r="AR16" s="22"/>
      <c r="AS16" s="23"/>
      <c r="AT16" s="22"/>
      <c r="AU16" s="22"/>
      <c r="AV16" s="22"/>
      <c r="AW16" s="22"/>
      <c r="AX16" s="22"/>
      <c r="AY16" s="22"/>
      <c r="AZ16" s="22"/>
      <c r="BA16" s="22"/>
      <c r="BB16" s="26"/>
      <c r="BC16" s="22"/>
      <c r="BD16" s="22"/>
      <c r="BE16" s="22"/>
      <c r="BF16" s="22"/>
      <c r="BG16" s="27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8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J16" s="22">
        <v>150321</v>
      </c>
      <c r="CK16" s="22">
        <v>133602</v>
      </c>
      <c r="CL16" s="22">
        <v>135672</v>
      </c>
      <c r="CM16" s="22">
        <v>133268</v>
      </c>
      <c r="CN16" s="22"/>
      <c r="CO16" s="22"/>
      <c r="CP16" s="22"/>
      <c r="CQ16" s="22"/>
      <c r="CR16" s="22"/>
      <c r="CS16" s="22">
        <v>113875</v>
      </c>
      <c r="CT16" s="22"/>
      <c r="CU16" s="22"/>
      <c r="CV16" s="22"/>
      <c r="CX16" s="22">
        <v>109268</v>
      </c>
      <c r="CY16" s="22">
        <v>114943</v>
      </c>
      <c r="CZ16" s="22">
        <v>133000</v>
      </c>
      <c r="DA16" s="22">
        <v>136960</v>
      </c>
      <c r="DB16" s="22">
        <v>139000</v>
      </c>
      <c r="DC16" s="22"/>
      <c r="DD16" s="22">
        <v>106000</v>
      </c>
      <c r="DE16" s="22"/>
      <c r="DF16" s="22"/>
      <c r="DG16" s="22"/>
      <c r="DH16" s="22"/>
      <c r="DI16" s="22"/>
      <c r="DJ16" s="22"/>
      <c r="DK16" s="948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>
        <f t="shared" ref="DW16" si="18">DV16</f>
        <v>0</v>
      </c>
      <c r="DX16" s="22"/>
    </row>
    <row r="17" spans="1:143" hidden="1">
      <c r="A17" s="19">
        <v>0</v>
      </c>
      <c r="B17" s="717" t="s">
        <v>33</v>
      </c>
      <c r="C17" s="264"/>
      <c r="D17" s="265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66"/>
      <c r="Q17" s="21"/>
      <c r="R17" s="265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67"/>
      <c r="AE17" s="23"/>
      <c r="AF17" s="22"/>
      <c r="AG17" s="22"/>
      <c r="AH17" s="22"/>
      <c r="AI17" s="22"/>
      <c r="AJ17" s="24"/>
      <c r="AK17" s="22"/>
      <c r="AL17" s="22"/>
      <c r="AM17" s="22"/>
      <c r="AN17" s="22"/>
      <c r="AO17" s="22"/>
      <c r="AP17" s="25"/>
      <c r="AQ17" s="22"/>
      <c r="AR17" s="22"/>
      <c r="AS17" s="23"/>
      <c r="AT17" s="22"/>
      <c r="AU17" s="22"/>
      <c r="AV17" s="22"/>
      <c r="AW17" s="22"/>
      <c r="AX17" s="22"/>
      <c r="AY17" s="22"/>
      <c r="AZ17" s="22"/>
      <c r="BA17" s="22"/>
      <c r="BB17" s="26"/>
      <c r="BC17" s="22"/>
      <c r="BD17" s="22"/>
      <c r="BE17" s="22"/>
      <c r="BF17" s="22"/>
      <c r="BG17" s="27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8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J17" s="718">
        <v>36757</v>
      </c>
      <c r="CK17" s="718">
        <v>55826</v>
      </c>
      <c r="CL17" s="718">
        <v>60438</v>
      </c>
      <c r="CM17" s="718">
        <v>52291</v>
      </c>
      <c r="CN17" s="22"/>
      <c r="CO17" s="22"/>
      <c r="CP17" s="22"/>
      <c r="CQ17" s="22"/>
      <c r="CR17" s="22"/>
      <c r="CS17" s="718">
        <v>35740</v>
      </c>
      <c r="CT17" s="22"/>
      <c r="CU17" s="22"/>
      <c r="CV17" s="22"/>
      <c r="CX17" s="22">
        <v>-44963</v>
      </c>
      <c r="CY17" s="22">
        <v>-45395</v>
      </c>
      <c r="CZ17" s="22">
        <v>89000</v>
      </c>
      <c r="DA17" s="22">
        <v>59000</v>
      </c>
      <c r="DB17" s="22">
        <v>23000</v>
      </c>
      <c r="DC17" s="718">
        <v>9000</v>
      </c>
      <c r="DD17" s="22"/>
      <c r="DE17" s="22"/>
      <c r="DF17" s="22"/>
      <c r="DG17" s="22"/>
      <c r="DH17" s="22"/>
      <c r="DI17" s="22"/>
      <c r="DJ17" s="22"/>
      <c r="DK17" s="948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</row>
    <row r="18" spans="1:143" s="758" customFormat="1" ht="18.75" hidden="1">
      <c r="A18" s="839"/>
      <c r="B18" s="901" t="s">
        <v>115</v>
      </c>
      <c r="C18" s="902"/>
      <c r="D18" s="840"/>
      <c r="E18" s="841"/>
      <c r="F18" s="841"/>
      <c r="G18" s="841"/>
      <c r="H18" s="841"/>
      <c r="I18" s="841"/>
      <c r="J18" s="841"/>
      <c r="K18" s="841"/>
      <c r="L18" s="841"/>
      <c r="M18" s="841"/>
      <c r="N18" s="841"/>
      <c r="O18" s="841"/>
      <c r="P18" s="842"/>
      <c r="Q18" s="843"/>
      <c r="R18" s="840"/>
      <c r="S18" s="844"/>
      <c r="T18" s="844"/>
      <c r="U18" s="844"/>
      <c r="V18" s="844"/>
      <c r="W18" s="844"/>
      <c r="X18" s="844"/>
      <c r="Y18" s="844"/>
      <c r="Z18" s="844"/>
      <c r="AA18" s="844"/>
      <c r="AB18" s="844"/>
      <c r="AC18" s="844"/>
      <c r="AD18" s="845"/>
      <c r="AE18" s="846"/>
      <c r="AF18" s="844"/>
      <c r="AG18" s="844"/>
      <c r="AH18" s="844"/>
      <c r="AI18" s="844"/>
      <c r="AJ18" s="846"/>
      <c r="AK18" s="844"/>
      <c r="AL18" s="844"/>
      <c r="AM18" s="844"/>
      <c r="AN18" s="844"/>
      <c r="AO18" s="844"/>
      <c r="AP18" s="844"/>
      <c r="AQ18" s="844"/>
      <c r="AR18" s="844"/>
      <c r="AS18" s="846"/>
      <c r="AT18" s="844"/>
      <c r="AU18" s="844"/>
      <c r="AV18" s="844"/>
      <c r="AW18" s="844"/>
      <c r="AX18" s="844"/>
      <c r="AY18" s="844"/>
      <c r="AZ18" s="844"/>
      <c r="BA18" s="844"/>
      <c r="BB18" s="847"/>
      <c r="BC18" s="844"/>
      <c r="BD18" s="844"/>
      <c r="BE18" s="844"/>
      <c r="BF18" s="844"/>
      <c r="BG18" s="846"/>
      <c r="BH18" s="844"/>
      <c r="BI18" s="844"/>
      <c r="BJ18" s="844"/>
      <c r="BK18" s="844"/>
      <c r="BL18" s="844"/>
      <c r="BM18" s="844"/>
      <c r="BN18" s="844"/>
      <c r="BO18" s="844"/>
      <c r="BP18" s="844"/>
      <c r="BQ18" s="844"/>
      <c r="BR18" s="844"/>
      <c r="BS18" s="844"/>
      <c r="BT18" s="844"/>
      <c r="BU18" s="846"/>
      <c r="BV18" s="844"/>
      <c r="BW18" s="844"/>
      <c r="BX18" s="844"/>
      <c r="BY18" s="844"/>
      <c r="BZ18" s="844"/>
      <c r="CA18" s="844"/>
      <c r="CB18" s="844"/>
      <c r="CC18" s="844"/>
      <c r="CD18" s="844"/>
      <c r="CE18" s="844"/>
      <c r="CF18" s="844"/>
      <c r="CG18" s="844"/>
      <c r="CH18" s="844"/>
      <c r="CJ18" s="848"/>
      <c r="CK18" s="848"/>
      <c r="CL18" s="848"/>
      <c r="CM18" s="848"/>
      <c r="CN18" s="844"/>
      <c r="CO18" s="844"/>
      <c r="CP18" s="844"/>
      <c r="CQ18" s="844"/>
      <c r="CR18" s="844"/>
      <c r="CS18" s="849" t="e">
        <f>CS21/$DK$78</f>
        <v>#DIV/0!</v>
      </c>
      <c r="CT18" s="849" t="e">
        <f>CT21/$DK$78</f>
        <v>#DIV/0!</v>
      </c>
      <c r="CU18" s="849" t="e">
        <f>CU21/$DK$78</f>
        <v>#DIV/0!</v>
      </c>
      <c r="CV18" s="844"/>
      <c r="CX18" s="849" t="e">
        <f>CX21/$DK$78</f>
        <v>#DIV/0!</v>
      </c>
      <c r="CY18" s="849" t="e">
        <f t="shared" ref="CY18:DH18" si="19">CY21/$DK$78</f>
        <v>#DIV/0!</v>
      </c>
      <c r="CZ18" s="849" t="e">
        <f t="shared" si="19"/>
        <v>#DIV/0!</v>
      </c>
      <c r="DA18" s="849" t="e">
        <f t="shared" si="19"/>
        <v>#DIV/0!</v>
      </c>
      <c r="DB18" s="849" t="e">
        <f t="shared" si="19"/>
        <v>#DIV/0!</v>
      </c>
      <c r="DC18" s="849" t="e">
        <f t="shared" si="19"/>
        <v>#DIV/0!</v>
      </c>
      <c r="DD18" s="849" t="e">
        <f t="shared" si="19"/>
        <v>#DIV/0!</v>
      </c>
      <c r="DE18" s="849" t="e">
        <f t="shared" si="19"/>
        <v>#DIV/0!</v>
      </c>
      <c r="DF18" s="849" t="e">
        <f t="shared" si="19"/>
        <v>#DIV/0!</v>
      </c>
      <c r="DG18" s="849" t="e">
        <f t="shared" si="19"/>
        <v>#DIV/0!</v>
      </c>
      <c r="DH18" s="849" t="e">
        <f t="shared" si="19"/>
        <v>#DIV/0!</v>
      </c>
      <c r="DI18" s="849">
        <f t="shared" ref="DI18:DS18" si="20">DI21/138624</f>
        <v>-0.15920946634078736</v>
      </c>
      <c r="DJ18" s="844"/>
      <c r="DK18" s="948"/>
      <c r="DL18" s="849" t="e">
        <f>DL21/$DK$78</f>
        <v>#DIV/0!</v>
      </c>
      <c r="DM18" s="849" t="e">
        <f t="shared" ref="DM18:DV18" si="21">DM21/$DK$78</f>
        <v>#DIV/0!</v>
      </c>
      <c r="DN18" s="849" t="e">
        <f t="shared" si="21"/>
        <v>#DIV/0!</v>
      </c>
      <c r="DO18" s="849" t="e">
        <f t="shared" si="21"/>
        <v>#DIV/0!</v>
      </c>
      <c r="DP18" s="849" t="e">
        <f t="shared" si="21"/>
        <v>#DIV/0!</v>
      </c>
      <c r="DQ18" s="849" t="e">
        <f t="shared" si="21"/>
        <v>#DIV/0!</v>
      </c>
      <c r="DR18" s="849" t="e">
        <f t="shared" si="21"/>
        <v>#DIV/0!</v>
      </c>
      <c r="DS18" s="849" t="e">
        <f t="shared" si="21"/>
        <v>#DIV/0!</v>
      </c>
      <c r="DT18" s="849" t="e">
        <f t="shared" si="21"/>
        <v>#DIV/0!</v>
      </c>
      <c r="DU18" s="849" t="e">
        <f t="shared" si="21"/>
        <v>#DIV/0!</v>
      </c>
      <c r="DV18" s="849" t="e">
        <f t="shared" si="21"/>
        <v>#DIV/0!</v>
      </c>
      <c r="DW18" s="849">
        <f t="shared" ref="DW18:DY18" si="22">DW21/138624</f>
        <v>-2.5356024456822297</v>
      </c>
      <c r="DX18" s="844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</row>
    <row r="19" spans="1:143" s="758" customFormat="1" ht="18.75" hidden="1">
      <c r="A19" s="839"/>
      <c r="B19" s="901" t="s">
        <v>116</v>
      </c>
      <c r="C19" s="902"/>
      <c r="D19" s="840"/>
      <c r="E19" s="841"/>
      <c r="F19" s="841"/>
      <c r="G19" s="841"/>
      <c r="H19" s="841"/>
      <c r="I19" s="841"/>
      <c r="J19" s="841"/>
      <c r="K19" s="841"/>
      <c r="L19" s="841"/>
      <c r="M19" s="841"/>
      <c r="N19" s="841"/>
      <c r="O19" s="841"/>
      <c r="P19" s="842"/>
      <c r="Q19" s="843"/>
      <c r="R19" s="840"/>
      <c r="S19" s="844"/>
      <c r="T19" s="844"/>
      <c r="U19" s="844"/>
      <c r="V19" s="844"/>
      <c r="W19" s="844"/>
      <c r="X19" s="844"/>
      <c r="Y19" s="844"/>
      <c r="Z19" s="844"/>
      <c r="AA19" s="844"/>
      <c r="AB19" s="844"/>
      <c r="AC19" s="844"/>
      <c r="AD19" s="845"/>
      <c r="AE19" s="846"/>
      <c r="AF19" s="844"/>
      <c r="AG19" s="844"/>
      <c r="AH19" s="844"/>
      <c r="AI19" s="844"/>
      <c r="AJ19" s="846"/>
      <c r="AK19" s="844"/>
      <c r="AL19" s="844"/>
      <c r="AM19" s="844"/>
      <c r="AN19" s="844"/>
      <c r="AO19" s="844"/>
      <c r="AP19" s="844"/>
      <c r="AQ19" s="844"/>
      <c r="AR19" s="844"/>
      <c r="AS19" s="846"/>
      <c r="AT19" s="844"/>
      <c r="AU19" s="844"/>
      <c r="AV19" s="844"/>
      <c r="AW19" s="844"/>
      <c r="AX19" s="844"/>
      <c r="AY19" s="844"/>
      <c r="AZ19" s="844"/>
      <c r="BA19" s="844"/>
      <c r="BB19" s="847"/>
      <c r="BC19" s="844"/>
      <c r="BD19" s="844"/>
      <c r="BE19" s="844"/>
      <c r="BF19" s="844"/>
      <c r="BG19" s="846"/>
      <c r="BH19" s="844"/>
      <c r="BI19" s="844"/>
      <c r="BJ19" s="844"/>
      <c r="BK19" s="844"/>
      <c r="BL19" s="844"/>
      <c r="BM19" s="844"/>
      <c r="BN19" s="844"/>
      <c r="BO19" s="844"/>
      <c r="BP19" s="844"/>
      <c r="BQ19" s="844"/>
      <c r="BR19" s="844"/>
      <c r="BS19" s="844"/>
      <c r="BT19" s="844"/>
      <c r="BU19" s="846"/>
      <c r="BV19" s="844"/>
      <c r="BW19" s="844"/>
      <c r="BX19" s="844"/>
      <c r="BY19" s="844"/>
      <c r="BZ19" s="844"/>
      <c r="CA19" s="844"/>
      <c r="CB19" s="844"/>
      <c r="CC19" s="844"/>
      <c r="CD19" s="844"/>
      <c r="CE19" s="844"/>
      <c r="CF19" s="844"/>
      <c r="CG19" s="844"/>
      <c r="CH19" s="844"/>
      <c r="CJ19" s="848"/>
      <c r="CK19" s="848"/>
      <c r="CL19" s="848"/>
      <c r="CM19" s="848"/>
      <c r="CN19" s="844"/>
      <c r="CO19" s="844"/>
      <c r="CP19" s="844"/>
      <c r="CQ19" s="844"/>
      <c r="CR19" s="844"/>
      <c r="CS19" s="849" t="e">
        <f>CS22/$DK$79</f>
        <v>#DIV/0!</v>
      </c>
      <c r="CT19" s="849" t="e">
        <f>CT22/$DK$79</f>
        <v>#DIV/0!</v>
      </c>
      <c r="CU19" s="849" t="e">
        <f>CU22/$DK$79</f>
        <v>#DIV/0!</v>
      </c>
      <c r="CV19" s="844"/>
      <c r="CX19" s="849" t="e">
        <f>CX22/$DK$79</f>
        <v>#DIV/0!</v>
      </c>
      <c r="CY19" s="849" t="e">
        <f t="shared" ref="CY19:DH19" si="23">CY22/$DK$79</f>
        <v>#DIV/0!</v>
      </c>
      <c r="CZ19" s="849" t="e">
        <f t="shared" si="23"/>
        <v>#DIV/0!</v>
      </c>
      <c r="DA19" s="849" t="e">
        <f t="shared" si="23"/>
        <v>#DIV/0!</v>
      </c>
      <c r="DB19" s="849" t="e">
        <f t="shared" si="23"/>
        <v>#DIV/0!</v>
      </c>
      <c r="DC19" s="849" t="e">
        <f t="shared" si="23"/>
        <v>#DIV/0!</v>
      </c>
      <c r="DD19" s="849" t="e">
        <f t="shared" si="23"/>
        <v>#DIV/0!</v>
      </c>
      <c r="DE19" s="849" t="e">
        <f t="shared" si="23"/>
        <v>#DIV/0!</v>
      </c>
      <c r="DF19" s="849" t="e">
        <f>DF22/$DK$79</f>
        <v>#DIV/0!</v>
      </c>
      <c r="DG19" s="849" t="e">
        <f t="shared" si="23"/>
        <v>#DIV/0!</v>
      </c>
      <c r="DH19" s="849" t="e">
        <f t="shared" si="23"/>
        <v>#DIV/0!</v>
      </c>
      <c r="DI19" s="849">
        <f t="shared" ref="DI19:DS19" si="24">DI22/17313</f>
        <v>1.2558713105758676</v>
      </c>
      <c r="DJ19" s="844"/>
      <c r="DK19" s="948"/>
      <c r="DL19" s="849" t="e">
        <f>DL22/$DK$79</f>
        <v>#DIV/0!</v>
      </c>
      <c r="DM19" s="849" t="e">
        <f t="shared" ref="DM19:DV19" si="25">DM22/$DK$79</f>
        <v>#DIV/0!</v>
      </c>
      <c r="DN19" s="849" t="e">
        <f t="shared" si="25"/>
        <v>#DIV/0!</v>
      </c>
      <c r="DO19" s="849" t="e">
        <f t="shared" si="25"/>
        <v>#DIV/0!</v>
      </c>
      <c r="DP19" s="849" t="e">
        <f t="shared" si="25"/>
        <v>#DIV/0!</v>
      </c>
      <c r="DQ19" s="849" t="e">
        <f t="shared" si="25"/>
        <v>#DIV/0!</v>
      </c>
      <c r="DR19" s="849" t="e">
        <f t="shared" si="25"/>
        <v>#DIV/0!</v>
      </c>
      <c r="DS19" s="849" t="e">
        <f t="shared" si="25"/>
        <v>#DIV/0!</v>
      </c>
      <c r="DT19" s="849" t="e">
        <f>DT22/$DK$79</f>
        <v>#DIV/0!</v>
      </c>
      <c r="DU19" s="849" t="e">
        <f t="shared" ref="DU19:DY19" si="26">DU22/$DK$79</f>
        <v>#DIV/0!</v>
      </c>
      <c r="DV19" s="849" t="e">
        <f t="shared" si="26"/>
        <v>#DIV/0!</v>
      </c>
      <c r="DW19" s="849">
        <f t="shared" ref="DW19:DY19" si="27">DW22/17313</f>
        <v>1.0052792699127822</v>
      </c>
      <c r="DX19" s="844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</row>
    <row r="20" spans="1:143" s="758" customFormat="1" ht="18.75" hidden="1">
      <c r="A20" s="839"/>
      <c r="B20" s="1037" t="s">
        <v>155</v>
      </c>
      <c r="C20" s="1023"/>
      <c r="D20" s="840"/>
      <c r="E20" s="841"/>
      <c r="F20" s="841"/>
      <c r="G20" s="841"/>
      <c r="H20" s="841"/>
      <c r="I20" s="841"/>
      <c r="J20" s="841"/>
      <c r="K20" s="841"/>
      <c r="L20" s="841"/>
      <c r="M20" s="841"/>
      <c r="N20" s="841"/>
      <c r="O20" s="841"/>
      <c r="P20" s="842"/>
      <c r="Q20" s="843"/>
      <c r="R20" s="840"/>
      <c r="S20" s="844"/>
      <c r="T20" s="844"/>
      <c r="U20" s="844"/>
      <c r="V20" s="844"/>
      <c r="W20" s="844"/>
      <c r="X20" s="844"/>
      <c r="Y20" s="844"/>
      <c r="Z20" s="844"/>
      <c r="AA20" s="844"/>
      <c r="AB20" s="844"/>
      <c r="AC20" s="844"/>
      <c r="AD20" s="845"/>
      <c r="AE20" s="846"/>
      <c r="AF20" s="844"/>
      <c r="AG20" s="844"/>
      <c r="AH20" s="844"/>
      <c r="AI20" s="844"/>
      <c r="AJ20" s="846"/>
      <c r="AK20" s="844"/>
      <c r="AL20" s="844"/>
      <c r="AM20" s="844"/>
      <c r="AN20" s="844"/>
      <c r="AO20" s="844"/>
      <c r="AP20" s="844"/>
      <c r="AQ20" s="844"/>
      <c r="AR20" s="844"/>
      <c r="AS20" s="846"/>
      <c r="AT20" s="844"/>
      <c r="AU20" s="844"/>
      <c r="AV20" s="844"/>
      <c r="AW20" s="844"/>
      <c r="AX20" s="844"/>
      <c r="AY20" s="844"/>
      <c r="AZ20" s="844"/>
      <c r="BA20" s="844"/>
      <c r="BB20" s="847"/>
      <c r="BC20" s="844"/>
      <c r="BD20" s="844"/>
      <c r="BE20" s="844"/>
      <c r="BF20" s="844"/>
      <c r="BG20" s="846"/>
      <c r="BH20" s="844"/>
      <c r="BI20" s="844"/>
      <c r="BJ20" s="844"/>
      <c r="BK20" s="844"/>
      <c r="BL20" s="844"/>
      <c r="BM20" s="844"/>
      <c r="BN20" s="844"/>
      <c r="BO20" s="844"/>
      <c r="BP20" s="844"/>
      <c r="BQ20" s="844"/>
      <c r="BR20" s="844"/>
      <c r="BS20" s="844"/>
      <c r="BT20" s="844"/>
      <c r="BU20" s="846"/>
      <c r="BV20" s="844"/>
      <c r="BW20" s="844"/>
      <c r="BX20" s="844"/>
      <c r="BY20" s="844"/>
      <c r="BZ20" s="844"/>
      <c r="CA20" s="844"/>
      <c r="CB20" s="844"/>
      <c r="CC20" s="844"/>
      <c r="CD20" s="844"/>
      <c r="CE20" s="844"/>
      <c r="CF20" s="844"/>
      <c r="CG20" s="844"/>
      <c r="CH20" s="844"/>
      <c r="CJ20" s="848"/>
      <c r="CK20" s="848"/>
      <c r="CL20" s="848"/>
      <c r="CM20" s="848"/>
      <c r="CN20" s="844"/>
      <c r="CO20" s="844"/>
      <c r="CP20" s="844"/>
      <c r="CQ20" s="844"/>
      <c r="CR20" s="844"/>
      <c r="CS20" s="849"/>
      <c r="CT20" s="849"/>
      <c r="CU20" s="849"/>
      <c r="CV20" s="844"/>
      <c r="CX20" s="849"/>
      <c r="CY20" s="849"/>
      <c r="CZ20" s="844">
        <f>CZ21+CZ22</f>
        <v>203000</v>
      </c>
      <c r="DA20" s="844">
        <v>142475</v>
      </c>
      <c r="DB20" s="844">
        <v>164000</v>
      </c>
      <c r="DC20" s="844">
        <f>DC21+DC22</f>
        <v>191702.62</v>
      </c>
      <c r="DD20" s="844">
        <f t="shared" ref="DD20:DK20" si="28">DD21+DD22</f>
        <v>203347.90999999997</v>
      </c>
      <c r="DE20" s="844">
        <f>DE21+DE22</f>
        <v>184906.65</v>
      </c>
      <c r="DF20" s="844">
        <f t="shared" si="28"/>
        <v>122827.4</v>
      </c>
      <c r="DG20" s="844">
        <f t="shared" si="28"/>
        <v>59002.239147679349</v>
      </c>
      <c r="DH20" s="844">
        <f t="shared" si="28"/>
        <v>53792.274701265844</v>
      </c>
      <c r="DI20" s="844">
        <f>DI21+DI22</f>
        <v>-327.35306202531137</v>
      </c>
      <c r="DJ20" s="844"/>
      <c r="DK20" s="948"/>
      <c r="DL20" s="844">
        <f>DL21+DL22</f>
        <v>-55974.759062025361</v>
      </c>
      <c r="DM20" s="844">
        <f t="shared" ref="DM20:DW20" si="29">DM21+DM22</f>
        <v>-77816.188062025365</v>
      </c>
      <c r="DN20" s="844">
        <f t="shared" si="29"/>
        <v>-111734.11506202538</v>
      </c>
      <c r="DO20" s="844">
        <f t="shared" si="29"/>
        <v>-74119.799062025384</v>
      </c>
      <c r="DP20" s="844">
        <f t="shared" si="29"/>
        <v>-59788.435062025383</v>
      </c>
      <c r="DQ20" s="844">
        <f t="shared" si="29"/>
        <v>-44642.567062025402</v>
      </c>
      <c r="DR20" s="844">
        <f t="shared" si="29"/>
        <v>-63059.230062025461</v>
      </c>
      <c r="DS20" s="844">
        <f t="shared" si="29"/>
        <v>-102319.80106202548</v>
      </c>
      <c r="DT20" s="844">
        <f t="shared" si="29"/>
        <v>-191387.96406202548</v>
      </c>
      <c r="DU20" s="844">
        <f t="shared" si="29"/>
        <v>-281100.00899957825</v>
      </c>
      <c r="DV20" s="844">
        <f t="shared" si="29"/>
        <v>-304147.62689063314</v>
      </c>
      <c r="DW20" s="844">
        <f t="shared" si="29"/>
        <v>-334090.95343025337</v>
      </c>
      <c r="DX20" s="844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</row>
    <row r="21" spans="1:143" s="1008" customFormat="1" ht="18.75" hidden="1">
      <c r="A21" s="1007">
        <v>1</v>
      </c>
      <c r="B21" s="1009" t="s">
        <v>117</v>
      </c>
      <c r="C21" s="1010"/>
      <c r="D21" s="1011">
        <v>197000</v>
      </c>
      <c r="E21" s="1012">
        <v>223027</v>
      </c>
      <c r="F21" s="1012">
        <v>230513</v>
      </c>
      <c r="G21" s="1012">
        <v>231174</v>
      </c>
      <c r="H21" s="1012">
        <v>255028</v>
      </c>
      <c r="I21" s="1012">
        <f>316386+3241</f>
        <v>319627</v>
      </c>
      <c r="J21" s="1012">
        <v>377712</v>
      </c>
      <c r="K21" s="1012">
        <v>382411</v>
      </c>
      <c r="L21" s="1012">
        <v>394107</v>
      </c>
      <c r="M21" s="1012">
        <v>267954</v>
      </c>
      <c r="N21" s="1012"/>
      <c r="O21" s="1012">
        <v>143875</v>
      </c>
      <c r="P21" s="1013"/>
      <c r="Q21" s="1014"/>
      <c r="R21" s="1011">
        <v>208084</v>
      </c>
      <c r="S21" s="1015">
        <v>268431</v>
      </c>
      <c r="T21" s="1015">
        <v>250616</v>
      </c>
      <c r="U21" s="1015">
        <v>237088</v>
      </c>
      <c r="V21" s="1015">
        <v>147777</v>
      </c>
      <c r="W21" s="1015">
        <v>215818</v>
      </c>
      <c r="X21" s="1015">
        <v>273510</v>
      </c>
      <c r="Y21" s="1015">
        <v>299059</v>
      </c>
      <c r="Z21" s="1015">
        <v>304980</v>
      </c>
      <c r="AA21" s="1015">
        <v>231197</v>
      </c>
      <c r="AB21" s="1015">
        <v>143086</v>
      </c>
      <c r="AC21" s="1015">
        <v>172491</v>
      </c>
      <c r="AD21" s="1016"/>
      <c r="AE21" s="1017"/>
      <c r="AF21" s="1015">
        <v>198695</v>
      </c>
      <c r="AG21" s="1015">
        <v>234210</v>
      </c>
      <c r="AH21" s="1015">
        <v>327560</v>
      </c>
      <c r="AI21" s="1015">
        <v>332523</v>
      </c>
      <c r="AJ21" s="1017">
        <v>356667</v>
      </c>
      <c r="AK21" s="1015">
        <v>384165</v>
      </c>
      <c r="AL21" s="1015">
        <v>317268</v>
      </c>
      <c r="AM21" s="1015">
        <v>370708</v>
      </c>
      <c r="AN21" s="1015">
        <v>354503</v>
      </c>
      <c r="AO21" s="1015">
        <v>314605</v>
      </c>
      <c r="AP21" s="1015">
        <v>90490</v>
      </c>
      <c r="AQ21" s="1015">
        <v>58348</v>
      </c>
      <c r="AR21" s="1015">
        <f t="shared" si="10"/>
        <v>58348</v>
      </c>
      <c r="AS21" s="1017"/>
      <c r="AT21" s="1015">
        <v>158701</v>
      </c>
      <c r="AU21" s="1015">
        <v>115369</v>
      </c>
      <c r="AV21" s="1015">
        <v>142379</v>
      </c>
      <c r="AW21" s="1015">
        <v>118765</v>
      </c>
      <c r="AX21" s="1015">
        <v>113246</v>
      </c>
      <c r="AY21" s="1015">
        <v>106776</v>
      </c>
      <c r="AZ21" s="1015">
        <v>175234</v>
      </c>
      <c r="BA21" s="1015">
        <v>151553</v>
      </c>
      <c r="BB21" s="1018">
        <v>167082</v>
      </c>
      <c r="BC21" s="1015">
        <v>150959</v>
      </c>
      <c r="BD21" s="1015">
        <v>119787</v>
      </c>
      <c r="BE21" s="1015">
        <v>65426</v>
      </c>
      <c r="BF21" s="1015">
        <f t="shared" si="12"/>
        <v>65426</v>
      </c>
      <c r="BG21" s="1017"/>
      <c r="BH21" s="1015">
        <v>166918</v>
      </c>
      <c r="BI21" s="1015">
        <v>167160</v>
      </c>
      <c r="BJ21" s="1015">
        <v>204571</v>
      </c>
      <c r="BK21" s="1015">
        <v>153197</v>
      </c>
      <c r="BL21" s="1015">
        <v>196798</v>
      </c>
      <c r="BM21" s="1015">
        <v>145596</v>
      </c>
      <c r="BN21" s="1015">
        <v>166021</v>
      </c>
      <c r="BO21" s="1015">
        <v>211305</v>
      </c>
      <c r="BP21" s="1015">
        <v>201071</v>
      </c>
      <c r="BQ21" s="1015">
        <v>177743</v>
      </c>
      <c r="BR21" s="1015">
        <v>144020</v>
      </c>
      <c r="BS21" s="1015">
        <v>154347</v>
      </c>
      <c r="BT21" s="1015">
        <f>BS21</f>
        <v>154347</v>
      </c>
      <c r="BU21" s="1017"/>
      <c r="BV21" s="1015">
        <v>151471</v>
      </c>
      <c r="BW21" s="1015">
        <v>155653</v>
      </c>
      <c r="BX21" s="1015">
        <v>151611</v>
      </c>
      <c r="BY21" s="1015">
        <v>177044</v>
      </c>
      <c r="BZ21" s="1015">
        <v>170481</v>
      </c>
      <c r="CA21" s="1015">
        <v>221665</v>
      </c>
      <c r="CB21" s="1015">
        <v>218105</v>
      </c>
      <c r="CC21" s="1015">
        <v>188153</v>
      </c>
      <c r="CD21" s="1015">
        <v>147751</v>
      </c>
      <c r="CE21" s="1015">
        <v>112996</v>
      </c>
      <c r="CF21" s="1015">
        <v>135968</v>
      </c>
      <c r="CG21" s="1015">
        <v>130000</v>
      </c>
      <c r="CH21" s="1015">
        <f t="shared" ref="CH21:CH32" si="30">CG21</f>
        <v>130000</v>
      </c>
      <c r="CI21" s="988">
        <v>114000</v>
      </c>
      <c r="CJ21" s="1015">
        <v>109585</v>
      </c>
      <c r="CK21" s="1015">
        <v>103815</v>
      </c>
      <c r="CL21" s="1015">
        <v>117138</v>
      </c>
      <c r="CM21" s="1015">
        <v>165469</v>
      </c>
      <c r="CN21" s="1015">
        <f>CM21+CN82-CN35</f>
        <v>175907.8879612374</v>
      </c>
      <c r="CO21" s="1015">
        <f>CN21+CO82-CO35</f>
        <v>238961.73306000742</v>
      </c>
      <c r="CP21" s="1015">
        <f>CO21+CP82-CP35</f>
        <v>271844.22259587242</v>
      </c>
      <c r="CQ21" s="1015">
        <f>CP21+CQ82-CQ35</f>
        <v>249838.52867182181</v>
      </c>
      <c r="CR21" s="1015">
        <f>CQ21+CR82-CR35</f>
        <v>201980.33782793995</v>
      </c>
      <c r="CS21" s="1019">
        <f>91286-CS22</f>
        <v>76250</v>
      </c>
      <c r="CT21" s="1019">
        <f>CS21+CT82-CT78-CT22</f>
        <v>101848.14995780593</v>
      </c>
      <c r="CU21" s="1019">
        <f>CT21+CU82-CU78-CU22</f>
        <v>111197.32717299581</v>
      </c>
      <c r="CV21" s="1020"/>
      <c r="CW21" s="1021"/>
      <c r="CX21" s="1015">
        <v>205563</v>
      </c>
      <c r="CY21" s="1015">
        <v>222075</v>
      </c>
      <c r="CZ21" s="1015">
        <v>174000</v>
      </c>
      <c r="DA21" s="1015">
        <v>127102</v>
      </c>
      <c r="DB21" s="1015">
        <f>DA21+DB82-DB78</f>
        <v>159290.24000000002</v>
      </c>
      <c r="DC21" s="1015">
        <f>DB21+DC82-DC78-DC17</f>
        <v>173329.62</v>
      </c>
      <c r="DD21" s="1015">
        <f t="shared" ref="DD21:DI21" si="31">DC21+DD82-DD78-DD17</f>
        <v>184974.90999999997</v>
      </c>
      <c r="DE21" s="1015">
        <f t="shared" si="31"/>
        <v>165533.65</v>
      </c>
      <c r="DF21" s="1015">
        <f t="shared" si="31"/>
        <v>103454.39999999999</v>
      </c>
      <c r="DG21" s="1015">
        <f t="shared" si="31"/>
        <v>38080.639147679351</v>
      </c>
      <c r="DH21" s="1015">
        <f t="shared" si="31"/>
        <v>31151.674701265845</v>
      </c>
      <c r="DI21" s="1015">
        <f t="shared" si="31"/>
        <v>-22070.253062025309</v>
      </c>
      <c r="DJ21" s="989"/>
      <c r="DK21" s="948"/>
      <c r="DL21" s="898">
        <f>DI21+DL82-DL78</f>
        <v>-69854.659062025356</v>
      </c>
      <c r="DM21" s="898">
        <f>DL21+DM82-DM78+DM16-DM17</f>
        <v>-92338.788062025356</v>
      </c>
      <c r="DN21" s="898">
        <f>DM21+DN82-DN78+DN16-DN17</f>
        <v>-125368.61506202538</v>
      </c>
      <c r="DO21" s="898">
        <f>DN21+DO82-DO78+DO16-DO17</f>
        <v>-91940.499062025381</v>
      </c>
      <c r="DP21" s="898">
        <f>DO21+DP82-DP78+DP16-DP17</f>
        <v>-81825.13506202538</v>
      </c>
      <c r="DQ21" s="898">
        <f>DP21+DQ82-DQ78+DQ16-DQ17</f>
        <v>-70090.667062025401</v>
      </c>
      <c r="DR21" s="898">
        <f>DQ21+DR82-DR78+DR16</f>
        <v>-90170.330062025459</v>
      </c>
      <c r="DS21" s="898">
        <f>DR21+DS82-DS78+DS16</f>
        <v>-127404.30106202548</v>
      </c>
      <c r="DT21" s="898">
        <f>DS21+DT82-DT78+DT16</f>
        <v>-212422.46406202548</v>
      </c>
      <c r="DU21" s="898">
        <f>DT21+DU82-DU78+DU16</f>
        <v>-297683.10899957822</v>
      </c>
      <c r="DV21" s="898">
        <f>DU21+DV82-DV78+DV16</f>
        <v>-322449.72689063312</v>
      </c>
      <c r="DW21" s="898">
        <f>DV21+DW82-DW78+DW16</f>
        <v>-351495.3534302534</v>
      </c>
      <c r="DX21" s="989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</row>
    <row r="22" spans="1:143" s="1008" customFormat="1" ht="18.75" hidden="1">
      <c r="A22" s="1007"/>
      <c r="B22" s="1009" t="s">
        <v>118</v>
      </c>
      <c r="C22" s="1010"/>
      <c r="D22" s="1011"/>
      <c r="E22" s="1012"/>
      <c r="F22" s="1012"/>
      <c r="G22" s="1012"/>
      <c r="H22" s="1012"/>
      <c r="I22" s="1012"/>
      <c r="J22" s="1012"/>
      <c r="K22" s="1012"/>
      <c r="L22" s="1012"/>
      <c r="M22" s="1012"/>
      <c r="N22" s="1012"/>
      <c r="O22" s="1012"/>
      <c r="P22" s="1013"/>
      <c r="Q22" s="1014"/>
      <c r="R22" s="1011"/>
      <c r="S22" s="1015"/>
      <c r="T22" s="1015"/>
      <c r="U22" s="1015"/>
      <c r="V22" s="1015"/>
      <c r="W22" s="1015"/>
      <c r="X22" s="1015"/>
      <c r="Y22" s="1015"/>
      <c r="Z22" s="1015"/>
      <c r="AA22" s="1015"/>
      <c r="AB22" s="1015"/>
      <c r="AC22" s="1015"/>
      <c r="AD22" s="1016"/>
      <c r="AE22" s="1017"/>
      <c r="AF22" s="1015"/>
      <c r="AG22" s="1015"/>
      <c r="AH22" s="1015"/>
      <c r="AI22" s="1015"/>
      <c r="AJ22" s="1017"/>
      <c r="AK22" s="1015"/>
      <c r="AL22" s="1015"/>
      <c r="AM22" s="1015"/>
      <c r="AN22" s="1015"/>
      <c r="AO22" s="1015"/>
      <c r="AP22" s="1015"/>
      <c r="AQ22" s="1015"/>
      <c r="AR22" s="1015"/>
      <c r="AS22" s="1017"/>
      <c r="AT22" s="1015"/>
      <c r="AU22" s="1015"/>
      <c r="AV22" s="1015"/>
      <c r="AW22" s="1015"/>
      <c r="AX22" s="1015"/>
      <c r="AY22" s="1015"/>
      <c r="AZ22" s="1015"/>
      <c r="BA22" s="1015"/>
      <c r="BB22" s="1018"/>
      <c r="BC22" s="1015"/>
      <c r="BD22" s="1015"/>
      <c r="BE22" s="1015"/>
      <c r="BF22" s="1015"/>
      <c r="BG22" s="1017"/>
      <c r="BH22" s="1015"/>
      <c r="BI22" s="1015"/>
      <c r="BJ22" s="1015"/>
      <c r="BK22" s="1015"/>
      <c r="BL22" s="1015"/>
      <c r="BM22" s="1015"/>
      <c r="BN22" s="1015"/>
      <c r="BO22" s="1015"/>
      <c r="BP22" s="1015"/>
      <c r="BQ22" s="1015"/>
      <c r="BR22" s="1015"/>
      <c r="BS22" s="1015"/>
      <c r="BT22" s="1015"/>
      <c r="BU22" s="1017"/>
      <c r="BV22" s="1015"/>
      <c r="BW22" s="1015"/>
      <c r="BX22" s="1015"/>
      <c r="BY22" s="1015"/>
      <c r="BZ22" s="1015"/>
      <c r="CA22" s="1015"/>
      <c r="CB22" s="1015"/>
      <c r="CC22" s="1015"/>
      <c r="CD22" s="1015"/>
      <c r="CE22" s="1015"/>
      <c r="CF22" s="1015"/>
      <c r="CG22" s="1015"/>
      <c r="CH22" s="1015"/>
      <c r="CI22" s="988"/>
      <c r="CJ22" s="1015"/>
      <c r="CK22" s="1015"/>
      <c r="CL22" s="1015"/>
      <c r="CM22" s="1015"/>
      <c r="CN22" s="1015"/>
      <c r="CO22" s="1015"/>
      <c r="CP22" s="1015"/>
      <c r="CQ22" s="1015"/>
      <c r="CR22" s="1015"/>
      <c r="CS22" s="1019">
        <v>15036</v>
      </c>
      <c r="CT22" s="1019">
        <f>CS22+CT83-CT79</f>
        <v>24795</v>
      </c>
      <c r="CU22" s="1019">
        <f>CT22+CU83-CU79</f>
        <v>29568</v>
      </c>
      <c r="CV22" s="1020"/>
      <c r="CW22" s="1021"/>
      <c r="CX22" s="1015">
        <v>25049</v>
      </c>
      <c r="CY22" s="1015">
        <v>24195</v>
      </c>
      <c r="CZ22" s="1015">
        <v>29000</v>
      </c>
      <c r="DA22" s="1015">
        <v>15373</v>
      </c>
      <c r="DB22" s="1015">
        <f>DA22+DB83-DB79</f>
        <v>16373</v>
      </c>
      <c r="DC22" s="1015">
        <f>DB22+DC83-DC79</f>
        <v>18373</v>
      </c>
      <c r="DD22" s="1015">
        <f>DC22+DD83-DD79</f>
        <v>18373</v>
      </c>
      <c r="DE22" s="1015">
        <f>DD22+DE83-DE79</f>
        <v>19373</v>
      </c>
      <c r="DF22" s="1015">
        <f>DE22+DF83-DF79</f>
        <v>19373</v>
      </c>
      <c r="DG22" s="1015">
        <f>DF22+DG83-DG79</f>
        <v>20921.599999999999</v>
      </c>
      <c r="DH22" s="1015">
        <f>DG22+DH83-DH79</f>
        <v>22640.6</v>
      </c>
      <c r="DI22" s="1015">
        <f>DH22+DI83-DI79</f>
        <v>21742.899999999998</v>
      </c>
      <c r="DJ22" s="989"/>
      <c r="DK22" s="948"/>
      <c r="DL22" s="898">
        <f>DI22+DL83-DL79</f>
        <v>13879.899999999998</v>
      </c>
      <c r="DM22" s="898">
        <f>DL22+DM83-DM79</f>
        <v>14522.599999999997</v>
      </c>
      <c r="DN22" s="898">
        <f>DM22+DN83-DN79</f>
        <v>13634.499999999996</v>
      </c>
      <c r="DO22" s="898">
        <f>DN22+DO83-DO79</f>
        <v>17820.699999999997</v>
      </c>
      <c r="DP22" s="898">
        <f>DO22+DP83-DP79</f>
        <v>22036.699999999997</v>
      </c>
      <c r="DQ22" s="898">
        <f>DP22+DQ83-DQ79</f>
        <v>25448.1</v>
      </c>
      <c r="DR22" s="898">
        <f>DQ22+DR83-DR79</f>
        <v>27111.1</v>
      </c>
      <c r="DS22" s="898">
        <f>DR22+DS83-DS79</f>
        <v>25084.499999999996</v>
      </c>
      <c r="DT22" s="898">
        <f>DS22+DT83-DT79</f>
        <v>21034.499999999996</v>
      </c>
      <c r="DU22" s="898">
        <f>DT22+DU83-DU79</f>
        <v>16583.099999999999</v>
      </c>
      <c r="DV22" s="898">
        <f>DU22+DV83-DV79</f>
        <v>18302.099999999999</v>
      </c>
      <c r="DW22" s="898">
        <f>DV22+DW83-DW79</f>
        <v>17404.399999999998</v>
      </c>
      <c r="DX22" s="989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</row>
    <row r="23" spans="1:143" s="698" customFormat="1" ht="18.75" hidden="1">
      <c r="A23" s="683"/>
      <c r="B23" s="684" t="s">
        <v>119</v>
      </c>
      <c r="C23" s="685"/>
      <c r="D23" s="686"/>
      <c r="E23" s="687"/>
      <c r="F23" s="687"/>
      <c r="G23" s="687"/>
      <c r="H23" s="687"/>
      <c r="I23" s="687"/>
      <c r="J23" s="687"/>
      <c r="K23" s="687"/>
      <c r="L23" s="687"/>
      <c r="M23" s="687"/>
      <c r="N23" s="687"/>
      <c r="O23" s="687"/>
      <c r="P23" s="688"/>
      <c r="Q23" s="689"/>
      <c r="R23" s="686"/>
      <c r="S23" s="690"/>
      <c r="T23" s="690"/>
      <c r="U23" s="690"/>
      <c r="V23" s="690"/>
      <c r="W23" s="690"/>
      <c r="X23" s="690"/>
      <c r="Y23" s="690"/>
      <c r="Z23" s="690"/>
      <c r="AA23" s="690"/>
      <c r="AB23" s="690"/>
      <c r="AC23" s="690"/>
      <c r="AD23" s="691"/>
      <c r="AE23" s="692"/>
      <c r="AF23" s="690"/>
      <c r="AG23" s="690"/>
      <c r="AH23" s="690"/>
      <c r="AI23" s="690"/>
      <c r="AJ23" s="693"/>
      <c r="AK23" s="690"/>
      <c r="AL23" s="690"/>
      <c r="AM23" s="690"/>
      <c r="AN23" s="690"/>
      <c r="AO23" s="690"/>
      <c r="AP23" s="694"/>
      <c r="AQ23" s="690"/>
      <c r="AR23" s="690"/>
      <c r="AS23" s="692"/>
      <c r="AT23" s="690"/>
      <c r="AU23" s="690"/>
      <c r="AV23" s="690"/>
      <c r="AW23" s="690"/>
      <c r="AX23" s="690"/>
      <c r="AY23" s="690"/>
      <c r="AZ23" s="690"/>
      <c r="BA23" s="690"/>
      <c r="BB23" s="695"/>
      <c r="BC23" s="690"/>
      <c r="BD23" s="690"/>
      <c r="BE23" s="690"/>
      <c r="BF23" s="690"/>
      <c r="BG23" s="696"/>
      <c r="BH23" s="690"/>
      <c r="BI23" s="690"/>
      <c r="BJ23" s="690"/>
      <c r="BK23" s="690"/>
      <c r="BL23" s="690"/>
      <c r="BM23" s="690"/>
      <c r="BN23" s="690"/>
      <c r="BO23" s="690"/>
      <c r="BP23" s="690"/>
      <c r="BQ23" s="690"/>
      <c r="BR23" s="690"/>
      <c r="BS23" s="690"/>
      <c r="BT23" s="690"/>
      <c r="BU23" s="697"/>
      <c r="BV23" s="690"/>
      <c r="BW23" s="690"/>
      <c r="BX23" s="690"/>
      <c r="BY23" s="690"/>
      <c r="BZ23" s="690"/>
      <c r="CA23" s="690"/>
      <c r="CB23" s="690"/>
      <c r="CC23" s="690"/>
      <c r="CD23" s="690"/>
      <c r="CE23" s="690"/>
      <c r="CF23" s="690"/>
      <c r="CG23" s="690"/>
      <c r="CH23" s="690"/>
      <c r="CI23" s="707"/>
      <c r="CJ23" s="690"/>
      <c r="CK23" s="690"/>
      <c r="CL23" s="690"/>
      <c r="CM23" s="690"/>
      <c r="CN23" s="690"/>
      <c r="CO23" s="690"/>
      <c r="CP23" s="690"/>
      <c r="CQ23" s="690"/>
      <c r="CR23" s="690"/>
      <c r="CS23" s="756">
        <v>28927</v>
      </c>
      <c r="CT23" s="756">
        <f>CS23+CT84-CT80</f>
        <v>14387</v>
      </c>
      <c r="CU23" s="756">
        <f>CT23+CU84-CU80</f>
        <v>51731</v>
      </c>
      <c r="CV23" s="757"/>
      <c r="CW23" s="758"/>
      <c r="CX23" s="690">
        <v>6272</v>
      </c>
      <c r="CY23" s="690">
        <v>6499</v>
      </c>
      <c r="CZ23" s="690">
        <f>CY23+CZ84-CZ80+CZ17</f>
        <v>100175</v>
      </c>
      <c r="DA23" s="690">
        <f>CZ23+DA84-DA80+DA17</f>
        <v>146957</v>
      </c>
      <c r="DB23" s="690">
        <f>DA23+DB84-DB80+DB17</f>
        <v>160468</v>
      </c>
      <c r="DC23" s="690">
        <f>DB23+DC84-DC80+DC17</f>
        <v>204704</v>
      </c>
      <c r="DD23" s="690">
        <f>DC23+DD84-DD80+DD17</f>
        <v>195018.1</v>
      </c>
      <c r="DE23" s="690">
        <f>DD23+DE84-DE80+DE17</f>
        <v>186432.2</v>
      </c>
      <c r="DF23" s="690">
        <f>DE23+DF84-DF80+DF17</f>
        <v>165509.30000000002</v>
      </c>
      <c r="DG23" s="690">
        <f>DF23+DG84-DG80+DG17</f>
        <v>157352.6</v>
      </c>
      <c r="DH23" s="690">
        <f>DG23+DH84-DH80+DH17</f>
        <v>153274.25</v>
      </c>
      <c r="DI23" s="690">
        <f>DH23+DI84-DI80+DI17</f>
        <v>199974.25</v>
      </c>
      <c r="DJ23" s="756"/>
      <c r="DK23" s="948"/>
      <c r="DL23" s="690">
        <f>DI23+DL84-DL80+DL17</f>
        <v>214244.25</v>
      </c>
      <c r="DM23" s="690">
        <f>DL23+DM84-DM80+DM17</f>
        <v>207330.25</v>
      </c>
      <c r="DN23" s="690">
        <f>DM23+DN84-DN80+DN17</f>
        <v>212006.25</v>
      </c>
      <c r="DO23" s="690">
        <f>DN23+DO84-DO80+DO17</f>
        <v>199788.25</v>
      </c>
      <c r="DP23" s="690">
        <f>DO23+DP84-DP80+DP17</f>
        <v>190299.25</v>
      </c>
      <c r="DQ23" s="690">
        <f>DP23+DQ84-DQ80+DQ17</f>
        <v>225535.25</v>
      </c>
      <c r="DR23" s="690">
        <f>DQ23+DR84-DR80+DR17</f>
        <v>215849.35</v>
      </c>
      <c r="DS23" s="690">
        <f>DR23+DS84-DS80+DS17</f>
        <v>207263.45</v>
      </c>
      <c r="DT23" s="690">
        <f>DS23+DT84-DT80+DT17</f>
        <v>186340.55000000002</v>
      </c>
      <c r="DU23" s="690">
        <f>DT23+DU84-DU80+DU17</f>
        <v>178183.85</v>
      </c>
      <c r="DV23" s="690">
        <f>DU23+DV84-DV80+DV17</f>
        <v>174105.5</v>
      </c>
      <c r="DW23" s="690">
        <f>DV23+DW84-DW80+DW17</f>
        <v>220805.5</v>
      </c>
      <c r="DX23" s="756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</row>
    <row r="24" spans="1:143" ht="18.75" hidden="1">
      <c r="A24" s="19">
        <v>2</v>
      </c>
      <c r="B24" s="684" t="s">
        <v>35</v>
      </c>
      <c r="C24" s="903"/>
      <c r="D24" s="265">
        <v>73670</v>
      </c>
      <c r="E24" s="20">
        <v>59682</v>
      </c>
      <c r="F24" s="20">
        <v>54710</v>
      </c>
      <c r="G24" s="20">
        <v>56175</v>
      </c>
      <c r="H24" s="20">
        <v>58933</v>
      </c>
      <c r="I24" s="20">
        <v>42784</v>
      </c>
      <c r="J24" s="20">
        <v>35755</v>
      </c>
      <c r="K24" s="20">
        <v>33547</v>
      </c>
      <c r="L24" s="20">
        <v>22824</v>
      </c>
      <c r="M24" s="20">
        <v>26162</v>
      </c>
      <c r="N24" s="20"/>
      <c r="O24" s="20">
        <v>44389</v>
      </c>
      <c r="P24" s="266"/>
      <c r="Q24" s="21"/>
      <c r="R24" s="265">
        <v>39759</v>
      </c>
      <c r="S24" s="22">
        <v>38325</v>
      </c>
      <c r="T24" s="22">
        <v>26634</v>
      </c>
      <c r="U24" s="22">
        <f>14430+2754+7859</f>
        <v>25043</v>
      </c>
      <c r="V24" s="22">
        <v>23840</v>
      </c>
      <c r="W24" s="22">
        <v>20057</v>
      </c>
      <c r="X24" s="22">
        <v>80502</v>
      </c>
      <c r="Y24" s="22">
        <v>56483</v>
      </c>
      <c r="Z24" s="22">
        <v>44233</v>
      </c>
      <c r="AA24" s="22">
        <v>38155</v>
      </c>
      <c r="AB24" s="22">
        <v>27540</v>
      </c>
      <c r="AC24" s="22">
        <v>25060</v>
      </c>
      <c r="AD24" s="267"/>
      <c r="AE24" s="23"/>
      <c r="AF24" s="22">
        <v>21326</v>
      </c>
      <c r="AG24" s="22">
        <v>17804</v>
      </c>
      <c r="AH24" s="22">
        <v>27157</v>
      </c>
      <c r="AI24" s="22">
        <v>19677</v>
      </c>
      <c r="AJ24" s="22">
        <v>18817</v>
      </c>
      <c r="AK24" s="22">
        <v>25034</v>
      </c>
      <c r="AL24" s="22">
        <v>28090</v>
      </c>
      <c r="AM24" s="22">
        <v>25660</v>
      </c>
      <c r="AN24" s="22">
        <v>33752</v>
      </c>
      <c r="AO24" s="22">
        <v>24699</v>
      </c>
      <c r="AP24" s="25">
        <v>19340</v>
      </c>
      <c r="AQ24" s="22">
        <v>29842</v>
      </c>
      <c r="AR24" s="22">
        <f t="shared" si="10"/>
        <v>29842</v>
      </c>
      <c r="AS24" s="23"/>
      <c r="AT24" s="22">
        <v>46493</v>
      </c>
      <c r="AU24" s="22">
        <v>37125</v>
      </c>
      <c r="AV24" s="22">
        <v>38574</v>
      </c>
      <c r="AW24" s="22">
        <v>43626</v>
      </c>
      <c r="AX24" s="22">
        <v>39641</v>
      </c>
      <c r="AY24" s="22">
        <v>55553</v>
      </c>
      <c r="AZ24" s="22">
        <v>48023</v>
      </c>
      <c r="BA24" s="22">
        <v>55043</v>
      </c>
      <c r="BB24" s="26">
        <v>50383</v>
      </c>
      <c r="BC24" s="22">
        <v>54355</v>
      </c>
      <c r="BD24" s="22">
        <v>82473</v>
      </c>
      <c r="BE24" s="22">
        <v>65398</v>
      </c>
      <c r="BF24" s="22">
        <f t="shared" si="12"/>
        <v>65398</v>
      </c>
      <c r="BG24" s="27"/>
      <c r="BH24" s="22">
        <v>68747</v>
      </c>
      <c r="BI24" s="22">
        <v>62843</v>
      </c>
      <c r="BJ24" s="22">
        <v>62154</v>
      </c>
      <c r="BK24" s="22">
        <v>49337</v>
      </c>
      <c r="BL24" s="22">
        <v>27730</v>
      </c>
      <c r="BM24" s="22">
        <v>42459</v>
      </c>
      <c r="BN24" s="22">
        <v>44049</v>
      </c>
      <c r="BO24" s="22">
        <v>29196</v>
      </c>
      <c r="BP24" s="22">
        <v>36882</v>
      </c>
      <c r="BQ24" s="22">
        <v>35965</v>
      </c>
      <c r="BR24" s="22">
        <v>31343</v>
      </c>
      <c r="BS24" s="22">
        <v>23087</v>
      </c>
      <c r="BT24" s="22">
        <f t="shared" ref="BT24:BT32" si="32">BS24</f>
        <v>23087</v>
      </c>
      <c r="BU24" s="28"/>
      <c r="BV24" s="22">
        <v>15202</v>
      </c>
      <c r="BW24" s="22">
        <v>12471</v>
      </c>
      <c r="BX24" s="22">
        <v>11483</v>
      </c>
      <c r="BY24" s="22">
        <v>14071</v>
      </c>
      <c r="BZ24" s="22">
        <v>49617</v>
      </c>
      <c r="CA24" s="22">
        <v>36385</v>
      </c>
      <c r="CB24" s="22">
        <v>25473</v>
      </c>
      <c r="CC24" s="22">
        <v>16933</v>
      </c>
      <c r="CD24" s="22">
        <v>12684</v>
      </c>
      <c r="CE24" s="22">
        <v>21084</v>
      </c>
      <c r="CF24" s="22">
        <v>15172</v>
      </c>
      <c r="CG24" s="22">
        <v>11469</v>
      </c>
      <c r="CH24" s="22">
        <f>CG24</f>
        <v>11469</v>
      </c>
      <c r="CI24">
        <f>7500*5</f>
        <v>37500</v>
      </c>
      <c r="CJ24" s="22">
        <v>9465</v>
      </c>
      <c r="CK24" s="22">
        <v>13722</v>
      </c>
      <c r="CL24" s="22">
        <v>10771</v>
      </c>
      <c r="CM24" s="22">
        <v>8538</v>
      </c>
      <c r="CN24" s="22"/>
      <c r="CO24" s="22"/>
      <c r="CP24" s="22"/>
      <c r="CQ24" s="22"/>
      <c r="CR24" s="22"/>
      <c r="CS24" s="22">
        <v>4128</v>
      </c>
      <c r="CT24" s="22"/>
      <c r="CU24" s="22"/>
      <c r="CV24" s="22">
        <v>0</v>
      </c>
      <c r="CW24" s="758"/>
      <c r="CX24" s="870"/>
      <c r="CY24" s="870"/>
      <c r="CZ24" s="870"/>
      <c r="DA24" s="870"/>
      <c r="DB24" s="870"/>
      <c r="DC24" s="870"/>
      <c r="DD24" s="870"/>
      <c r="DE24" s="870"/>
      <c r="DF24" s="870"/>
      <c r="DG24" s="870"/>
      <c r="DH24" s="870"/>
      <c r="DI24" s="870"/>
      <c r="DJ24" s="22">
        <v>0</v>
      </c>
      <c r="DK24" s="948"/>
      <c r="DL24" s="870"/>
      <c r="DM24" s="870"/>
      <c r="DN24" s="870"/>
      <c r="DO24" s="870"/>
      <c r="DP24" s="870"/>
      <c r="DQ24" s="870"/>
      <c r="DR24" s="870"/>
      <c r="DS24" s="870"/>
      <c r="DT24" s="870"/>
      <c r="DU24" s="870"/>
      <c r="DV24" s="870"/>
      <c r="DW24" s="870"/>
      <c r="DX24" s="22">
        <v>0</v>
      </c>
    </row>
    <row r="25" spans="1:143" ht="18.75" hidden="1">
      <c r="A25" s="19">
        <v>3</v>
      </c>
      <c r="B25" s="684" t="s">
        <v>36</v>
      </c>
      <c r="C25" s="903"/>
      <c r="D25" s="268">
        <v>34116</v>
      </c>
      <c r="E25" s="269">
        <v>29277</v>
      </c>
      <c r="F25" s="269">
        <v>43008</v>
      </c>
      <c r="G25" s="269">
        <v>30524</v>
      </c>
      <c r="H25" s="269">
        <v>33235</v>
      </c>
      <c r="I25" s="269">
        <v>39842</v>
      </c>
      <c r="J25" s="269">
        <v>41021</v>
      </c>
      <c r="K25" s="269">
        <v>31224</v>
      </c>
      <c r="L25" s="269"/>
      <c r="M25" s="269">
        <v>10286</v>
      </c>
      <c r="N25" s="269"/>
      <c r="O25" s="269"/>
      <c r="P25" s="266"/>
      <c r="Q25" s="21"/>
      <c r="R25" s="268">
        <v>35516</v>
      </c>
      <c r="S25" s="270">
        <v>35962</v>
      </c>
      <c r="T25" s="270">
        <v>35962</v>
      </c>
      <c r="U25" s="270">
        <v>35962</v>
      </c>
      <c r="V25" s="270">
        <v>35000</v>
      </c>
      <c r="W25" s="270"/>
      <c r="X25" s="270">
        <v>6123</v>
      </c>
      <c r="Y25" s="270">
        <v>6123</v>
      </c>
      <c r="Z25" s="270">
        <v>4187</v>
      </c>
      <c r="AA25" s="270">
        <v>2745</v>
      </c>
      <c r="AB25" s="270"/>
      <c r="AC25" s="270"/>
      <c r="AD25" s="267"/>
      <c r="AE25" s="23"/>
      <c r="AF25" s="270">
        <v>8366</v>
      </c>
      <c r="AG25" s="270">
        <v>11534</v>
      </c>
      <c r="AH25" s="270">
        <v>11507</v>
      </c>
      <c r="AI25" s="270">
        <v>9148</v>
      </c>
      <c r="AJ25" s="22">
        <v>8524</v>
      </c>
      <c r="AK25" s="270">
        <v>25290</v>
      </c>
      <c r="AL25" s="270">
        <v>91080</v>
      </c>
      <c r="AM25" s="270">
        <v>66830</v>
      </c>
      <c r="AN25" s="270">
        <v>36866</v>
      </c>
      <c r="AO25" s="270">
        <v>16173</v>
      </c>
      <c r="AP25" s="271">
        <v>178274</v>
      </c>
      <c r="AQ25" s="270">
        <v>210665</v>
      </c>
      <c r="AR25" s="22">
        <f t="shared" si="10"/>
        <v>210665</v>
      </c>
      <c r="AS25" s="23"/>
      <c r="AT25" s="270">
        <v>121075</v>
      </c>
      <c r="AU25" s="270">
        <v>149376</v>
      </c>
      <c r="AV25" s="270">
        <v>104538</v>
      </c>
      <c r="AW25" s="270">
        <v>105262</v>
      </c>
      <c r="AX25" s="270">
        <v>121073</v>
      </c>
      <c r="AY25" s="270">
        <v>163931</v>
      </c>
      <c r="AZ25" s="270">
        <v>109964</v>
      </c>
      <c r="BA25" s="270">
        <v>148266</v>
      </c>
      <c r="BB25" s="26">
        <v>130697</v>
      </c>
      <c r="BC25" s="270">
        <v>113779</v>
      </c>
      <c r="BD25" s="270">
        <v>91119</v>
      </c>
      <c r="BE25" s="270">
        <v>103286</v>
      </c>
      <c r="BF25" s="22">
        <f t="shared" si="12"/>
        <v>103286</v>
      </c>
      <c r="BG25" s="27"/>
      <c r="BH25" s="270">
        <v>49631</v>
      </c>
      <c r="BI25" s="270">
        <v>52953</v>
      </c>
      <c r="BJ25" s="270">
        <v>28440</v>
      </c>
      <c r="BK25" s="270">
        <v>83601</v>
      </c>
      <c r="BL25" s="22">
        <v>25812</v>
      </c>
      <c r="BM25" s="22">
        <v>59545</v>
      </c>
      <c r="BN25" s="22">
        <v>83435</v>
      </c>
      <c r="BO25" s="22">
        <v>34041</v>
      </c>
      <c r="BP25" s="22">
        <v>22399</v>
      </c>
      <c r="BQ25" s="22">
        <v>24887</v>
      </c>
      <c r="BR25" s="22">
        <v>12183</v>
      </c>
      <c r="BS25" s="22">
        <v>12183</v>
      </c>
      <c r="BT25" s="22">
        <f t="shared" si="32"/>
        <v>12183</v>
      </c>
      <c r="BU25" s="28"/>
      <c r="BV25" s="270">
        <v>5216</v>
      </c>
      <c r="BW25" s="270"/>
      <c r="BX25" s="270">
        <v>65273</v>
      </c>
      <c r="BY25" s="270">
        <v>70182</v>
      </c>
      <c r="BZ25" s="22">
        <v>57659</v>
      </c>
      <c r="CA25" s="22">
        <v>71669</v>
      </c>
      <c r="CB25" s="22">
        <v>73078</v>
      </c>
      <c r="CC25" s="22">
        <v>85302</v>
      </c>
      <c r="CD25" s="22">
        <v>25343</v>
      </c>
      <c r="CE25" s="22">
        <v>19030</v>
      </c>
      <c r="CF25" s="22">
        <v>19422</v>
      </c>
      <c r="CG25" s="22">
        <v>25927</v>
      </c>
      <c r="CH25" s="22">
        <f>CG25</f>
        <v>25927</v>
      </c>
      <c r="CI25">
        <v>29000</v>
      </c>
      <c r="CJ25" s="270">
        <v>21580</v>
      </c>
      <c r="CK25" s="270">
        <v>18052</v>
      </c>
      <c r="CL25" s="270">
        <v>30722</v>
      </c>
      <c r="CM25" s="270">
        <v>33641</v>
      </c>
      <c r="CN25" s="22"/>
      <c r="CO25" s="22"/>
      <c r="CP25" s="22"/>
      <c r="CQ25" s="22"/>
      <c r="CR25" s="22"/>
      <c r="CS25" s="22">
        <v>10634</v>
      </c>
      <c r="CT25" s="22"/>
      <c r="CU25" s="22"/>
      <c r="CV25" s="22">
        <v>0</v>
      </c>
      <c r="CW25" s="758"/>
      <c r="CX25" s="871">
        <v>29749</v>
      </c>
      <c r="CY25" s="871">
        <v>27364</v>
      </c>
      <c r="CZ25" s="871"/>
      <c r="DA25" s="871"/>
      <c r="DB25" s="870"/>
      <c r="DC25" s="870"/>
      <c r="DD25" s="870"/>
      <c r="DE25" s="870"/>
      <c r="DF25" s="870"/>
      <c r="DG25" s="870"/>
      <c r="DH25" s="870"/>
      <c r="DI25" s="870"/>
      <c r="DJ25" s="22">
        <v>0</v>
      </c>
      <c r="DK25" s="948"/>
      <c r="DL25" s="871"/>
      <c r="DM25" s="871"/>
      <c r="DN25" s="871"/>
      <c r="DO25" s="871"/>
      <c r="DP25" s="870"/>
      <c r="DQ25" s="870"/>
      <c r="DR25" s="870"/>
      <c r="DS25" s="870"/>
      <c r="DT25" s="870"/>
      <c r="DU25" s="870"/>
      <c r="DV25" s="870"/>
      <c r="DW25" s="870"/>
      <c r="DX25" s="22">
        <v>0</v>
      </c>
    </row>
    <row r="26" spans="1:143" ht="18.75" hidden="1">
      <c r="A26" s="19">
        <v>4</v>
      </c>
      <c r="B26" s="684" t="s">
        <v>37</v>
      </c>
      <c r="C26" s="903"/>
      <c r="D26" s="268">
        <v>34116</v>
      </c>
      <c r="E26" s="269">
        <v>29277</v>
      </c>
      <c r="F26" s="269">
        <v>43008</v>
      </c>
      <c r="G26" s="269">
        <v>30524</v>
      </c>
      <c r="H26" s="269">
        <v>33235</v>
      </c>
      <c r="I26" s="269">
        <v>39842</v>
      </c>
      <c r="J26" s="269">
        <v>41021</v>
      </c>
      <c r="K26" s="269">
        <v>31224</v>
      </c>
      <c r="L26" s="269"/>
      <c r="M26" s="269">
        <v>10286</v>
      </c>
      <c r="N26" s="269"/>
      <c r="O26" s="269"/>
      <c r="P26" s="266"/>
      <c r="Q26" s="21"/>
      <c r="R26" s="268">
        <v>35516</v>
      </c>
      <c r="S26" s="270">
        <v>35962</v>
      </c>
      <c r="T26" s="270">
        <v>35962</v>
      </c>
      <c r="U26" s="270">
        <v>35962</v>
      </c>
      <c r="V26" s="270">
        <v>35000</v>
      </c>
      <c r="W26" s="270"/>
      <c r="X26" s="270">
        <v>6123</v>
      </c>
      <c r="Y26" s="270">
        <v>6123</v>
      </c>
      <c r="Z26" s="270">
        <v>4187</v>
      </c>
      <c r="AA26" s="270">
        <v>2745</v>
      </c>
      <c r="AB26" s="270"/>
      <c r="AC26" s="270"/>
      <c r="AD26" s="267"/>
      <c r="AE26" s="23"/>
      <c r="AF26" s="270">
        <v>8366</v>
      </c>
      <c r="AG26" s="270">
        <v>11534</v>
      </c>
      <c r="AH26" s="270">
        <v>11507</v>
      </c>
      <c r="AI26" s="270">
        <v>9148</v>
      </c>
      <c r="AJ26" s="22">
        <v>8524</v>
      </c>
      <c r="AK26" s="270">
        <v>25290</v>
      </c>
      <c r="AL26" s="270">
        <v>91080</v>
      </c>
      <c r="AM26" s="270">
        <v>66830</v>
      </c>
      <c r="AN26" s="270">
        <v>36866</v>
      </c>
      <c r="AO26" s="270">
        <v>16173</v>
      </c>
      <c r="AP26" s="271">
        <v>178274</v>
      </c>
      <c r="AQ26" s="270">
        <v>210665</v>
      </c>
      <c r="AR26" s="22">
        <f t="shared" si="10"/>
        <v>210665</v>
      </c>
      <c r="AS26" s="23"/>
      <c r="AT26" s="270">
        <v>121075</v>
      </c>
      <c r="AU26" s="270">
        <v>149376</v>
      </c>
      <c r="AV26" s="270">
        <v>104538</v>
      </c>
      <c r="AW26" s="270">
        <v>105262</v>
      </c>
      <c r="AX26" s="270">
        <v>121073</v>
      </c>
      <c r="AY26" s="270">
        <v>163931</v>
      </c>
      <c r="AZ26" s="270">
        <v>109964</v>
      </c>
      <c r="BA26" s="270">
        <v>148266</v>
      </c>
      <c r="BB26" s="26">
        <v>130697</v>
      </c>
      <c r="BC26" s="270">
        <v>113779</v>
      </c>
      <c r="BD26" s="270">
        <v>91119</v>
      </c>
      <c r="BE26" s="270">
        <v>103286</v>
      </c>
      <c r="BF26" s="22">
        <f t="shared" si="12"/>
        <v>103286</v>
      </c>
      <c r="BG26" s="27"/>
      <c r="BH26" s="270">
        <v>49631</v>
      </c>
      <c r="BI26" s="270">
        <v>52953</v>
      </c>
      <c r="BJ26" s="270">
        <v>28440</v>
      </c>
      <c r="BK26" s="270">
        <v>83601</v>
      </c>
      <c r="BL26" s="22">
        <v>25812</v>
      </c>
      <c r="BM26" s="22">
        <v>59545</v>
      </c>
      <c r="BN26" s="22">
        <v>83435</v>
      </c>
      <c r="BO26" s="22">
        <v>34041</v>
      </c>
      <c r="BP26" s="22">
        <v>22399</v>
      </c>
      <c r="BQ26" s="22">
        <v>24887</v>
      </c>
      <c r="BR26" s="22">
        <v>12183</v>
      </c>
      <c r="BS26" s="22">
        <v>12183</v>
      </c>
      <c r="BT26" s="22">
        <f t="shared" si="32"/>
        <v>12183</v>
      </c>
      <c r="BU26" s="28"/>
      <c r="BV26" s="270"/>
      <c r="BW26" s="270"/>
      <c r="BX26" s="270"/>
      <c r="BY26" s="270"/>
      <c r="BZ26" s="22"/>
      <c r="CA26" s="22"/>
      <c r="CB26" s="22"/>
      <c r="CC26" s="22"/>
      <c r="CD26" s="22">
        <v>6361</v>
      </c>
      <c r="CE26" s="22">
        <v>7759</v>
      </c>
      <c r="CF26" s="22">
        <v>6573</v>
      </c>
      <c r="CG26" s="22">
        <v>9541</v>
      </c>
      <c r="CH26" s="22">
        <f t="shared" si="30"/>
        <v>9541</v>
      </c>
      <c r="CI26">
        <f>CI21+CI24-CI25</f>
        <v>122500</v>
      </c>
      <c r="CJ26" s="270">
        <v>9582</v>
      </c>
      <c r="CK26" s="270">
        <v>7266</v>
      </c>
      <c r="CL26" s="270">
        <v>11364</v>
      </c>
      <c r="CM26" s="270">
        <v>10698</v>
      </c>
      <c r="CN26" s="22"/>
      <c r="CO26" s="22"/>
      <c r="CP26" s="22"/>
      <c r="CQ26" s="22"/>
      <c r="CR26" s="22"/>
      <c r="CS26" s="22">
        <v>2650</v>
      </c>
      <c r="CT26" s="22"/>
      <c r="CU26" s="22"/>
      <c r="CV26" s="22">
        <v>0</v>
      </c>
      <c r="CW26" s="758"/>
      <c r="CX26" s="871">
        <v>13676</v>
      </c>
      <c r="CY26" s="871">
        <v>12313</v>
      </c>
      <c r="CZ26" s="871"/>
      <c r="DA26" s="871"/>
      <c r="DB26" s="870"/>
      <c r="DC26" s="870"/>
      <c r="DD26" s="870"/>
      <c r="DE26" s="870"/>
      <c r="DF26" s="870"/>
      <c r="DG26" s="870"/>
      <c r="DH26" s="870"/>
      <c r="DI26" s="870"/>
      <c r="DJ26" s="22">
        <v>0</v>
      </c>
      <c r="DK26" s="948"/>
      <c r="DL26" s="871"/>
      <c r="DM26" s="871"/>
      <c r="DN26" s="871"/>
      <c r="DO26" s="871"/>
      <c r="DP26" s="870"/>
      <c r="DQ26" s="870"/>
      <c r="DR26" s="870"/>
      <c r="DS26" s="870"/>
      <c r="DT26" s="870"/>
      <c r="DU26" s="870"/>
      <c r="DV26" s="870"/>
      <c r="DW26" s="870"/>
      <c r="DX26" s="22">
        <v>0</v>
      </c>
    </row>
    <row r="27" spans="1:143" ht="18.75" hidden="1">
      <c r="A27" s="19">
        <v>1</v>
      </c>
      <c r="B27" s="904" t="s">
        <v>38</v>
      </c>
      <c r="C27" s="905"/>
      <c r="D27" s="265">
        <v>6409</v>
      </c>
      <c r="E27" s="20">
        <v>6860</v>
      </c>
      <c r="F27" s="20">
        <v>4970</v>
      </c>
      <c r="G27" s="20">
        <v>31203</v>
      </c>
      <c r="H27" s="20">
        <v>31499</v>
      </c>
      <c r="I27" s="20">
        <v>25903</v>
      </c>
      <c r="J27" s="20">
        <v>18606</v>
      </c>
      <c r="K27" s="20">
        <v>16014</v>
      </c>
      <c r="L27" s="20">
        <v>13416</v>
      </c>
      <c r="M27" s="20">
        <v>40079</v>
      </c>
      <c r="N27" s="20"/>
      <c r="O27" s="20">
        <v>0</v>
      </c>
      <c r="P27" s="266"/>
      <c r="Q27" s="21"/>
      <c r="R27" s="265">
        <v>3376</v>
      </c>
      <c r="S27" s="22">
        <v>11736</v>
      </c>
      <c r="T27" s="22">
        <v>22454</v>
      </c>
      <c r="U27" s="22">
        <v>21384</v>
      </c>
      <c r="V27" s="22">
        <v>66870</v>
      </c>
      <c r="W27" s="22">
        <v>73769</v>
      </c>
      <c r="X27" s="22">
        <v>13944</v>
      </c>
      <c r="Y27" s="22">
        <v>32750</v>
      </c>
      <c r="Z27" s="22">
        <v>18536</v>
      </c>
      <c r="AA27" s="22">
        <v>40211</v>
      </c>
      <c r="AB27" s="22">
        <v>44457</v>
      </c>
      <c r="AC27" s="22">
        <v>24504</v>
      </c>
      <c r="AD27" s="267"/>
      <c r="AE27" s="23"/>
      <c r="AF27" s="22">
        <v>18586</v>
      </c>
      <c r="AG27" s="22">
        <v>17539</v>
      </c>
      <c r="AH27" s="22">
        <v>20245</v>
      </c>
      <c r="AI27" s="22">
        <v>17669</v>
      </c>
      <c r="AJ27" s="22">
        <v>16769</v>
      </c>
      <c r="AK27" s="22">
        <v>31134</v>
      </c>
      <c r="AL27" s="22">
        <v>35711</v>
      </c>
      <c r="AM27" s="22">
        <v>29141</v>
      </c>
      <c r="AN27" s="22">
        <v>25307</v>
      </c>
      <c r="AO27" s="22">
        <v>35964</v>
      </c>
      <c r="AP27" s="25">
        <v>37378</v>
      </c>
      <c r="AQ27" s="22">
        <v>22159</v>
      </c>
      <c r="AR27" s="22">
        <f t="shared" si="10"/>
        <v>22159</v>
      </c>
      <c r="AS27" s="23"/>
      <c r="AT27" s="22">
        <v>24034</v>
      </c>
      <c r="AU27" s="270">
        <v>22061</v>
      </c>
      <c r="AV27" s="22">
        <v>22489</v>
      </c>
      <c r="AW27" s="22">
        <v>25124</v>
      </c>
      <c r="AX27" s="22">
        <v>22794</v>
      </c>
      <c r="AY27" s="22">
        <v>17777</v>
      </c>
      <c r="AZ27" s="22">
        <v>34345</v>
      </c>
      <c r="BA27" s="22">
        <v>17580</v>
      </c>
      <c r="BB27" s="26">
        <v>26992</v>
      </c>
      <c r="BC27" s="22">
        <v>21373</v>
      </c>
      <c r="BD27" s="22">
        <v>21202</v>
      </c>
      <c r="BE27" s="22">
        <v>19109</v>
      </c>
      <c r="BF27" s="22">
        <f t="shared" si="12"/>
        <v>19109</v>
      </c>
      <c r="BG27" s="27"/>
      <c r="BH27" s="22">
        <v>22216</v>
      </c>
      <c r="BI27" s="270">
        <v>19102</v>
      </c>
      <c r="BJ27" s="22">
        <v>20676</v>
      </c>
      <c r="BK27" s="22">
        <v>19892</v>
      </c>
      <c r="BL27" s="22">
        <v>48737</v>
      </c>
      <c r="BM27" s="22">
        <v>45521</v>
      </c>
      <c r="BN27" s="22">
        <v>41781</v>
      </c>
      <c r="BO27" s="22">
        <v>48019</v>
      </c>
      <c r="BP27" s="22">
        <v>43955</v>
      </c>
      <c r="BQ27" s="22">
        <v>41505</v>
      </c>
      <c r="BR27" s="22">
        <v>28306</v>
      </c>
      <c r="BS27" s="22">
        <v>23731</v>
      </c>
      <c r="BT27" s="22">
        <f t="shared" si="32"/>
        <v>23731</v>
      </c>
      <c r="BU27" s="28"/>
      <c r="BV27" s="22">
        <v>28505</v>
      </c>
      <c r="BW27" s="270">
        <v>25054</v>
      </c>
      <c r="BX27" s="22">
        <v>24396</v>
      </c>
      <c r="BY27" s="22">
        <v>21708</v>
      </c>
      <c r="BZ27" s="22">
        <v>17857</v>
      </c>
      <c r="CA27" s="22">
        <v>33103</v>
      </c>
      <c r="CB27" s="22">
        <v>29327</v>
      </c>
      <c r="CC27" s="22">
        <v>27562</v>
      </c>
      <c r="CD27" s="22">
        <v>19590</v>
      </c>
      <c r="CE27" s="22">
        <v>11730</v>
      </c>
      <c r="CF27" s="22">
        <v>10529</v>
      </c>
      <c r="CG27" s="22">
        <v>19978</v>
      </c>
      <c r="CH27" s="22">
        <f t="shared" si="30"/>
        <v>19978</v>
      </c>
      <c r="CJ27" s="22">
        <v>18456</v>
      </c>
      <c r="CK27" s="270">
        <v>15409</v>
      </c>
      <c r="CL27" s="22">
        <v>18755</v>
      </c>
      <c r="CM27" s="22">
        <v>15399</v>
      </c>
      <c r="CN27" s="22"/>
      <c r="CO27" s="22"/>
      <c r="CP27" s="22"/>
      <c r="CQ27" s="22"/>
      <c r="CR27" s="22"/>
      <c r="CS27" s="22">
        <v>14419</v>
      </c>
      <c r="CT27" s="22"/>
      <c r="CU27" s="22"/>
      <c r="CV27" s="22">
        <v>0</v>
      </c>
      <c r="CW27" s="758"/>
      <c r="CX27" s="870"/>
      <c r="CY27" s="871"/>
      <c r="CZ27" s="870"/>
      <c r="DA27" s="870"/>
      <c r="DB27" s="870"/>
      <c r="DC27" s="870"/>
      <c r="DD27" s="870"/>
      <c r="DE27" s="870"/>
      <c r="DF27" s="870"/>
      <c r="DG27" s="870"/>
      <c r="DH27" s="870"/>
      <c r="DI27" s="870"/>
      <c r="DJ27" s="22">
        <v>0</v>
      </c>
      <c r="DK27" s="948"/>
      <c r="DL27" s="870"/>
      <c r="DM27" s="871"/>
      <c r="DN27" s="870"/>
      <c r="DO27" s="870"/>
      <c r="DP27" s="870"/>
      <c r="DQ27" s="870"/>
      <c r="DR27" s="870"/>
      <c r="DS27" s="870"/>
      <c r="DT27" s="870"/>
      <c r="DU27" s="870"/>
      <c r="DV27" s="870"/>
      <c r="DW27" s="870"/>
      <c r="DX27" s="22">
        <v>0</v>
      </c>
    </row>
    <row r="28" spans="1:143" ht="18.75" hidden="1">
      <c r="A28" s="19">
        <v>0</v>
      </c>
      <c r="B28" s="904" t="s">
        <v>39</v>
      </c>
      <c r="C28" s="905"/>
      <c r="D28" s="265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66"/>
      <c r="Q28" s="21"/>
      <c r="R28" s="265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67"/>
      <c r="AE28" s="23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5"/>
      <c r="AQ28" s="22"/>
      <c r="AR28" s="22"/>
      <c r="AS28" s="23"/>
      <c r="AT28" s="22"/>
      <c r="AU28" s="270"/>
      <c r="AV28" s="22"/>
      <c r="AW28" s="22"/>
      <c r="AX28" s="22"/>
      <c r="AY28" s="22"/>
      <c r="AZ28" s="22"/>
      <c r="BA28" s="22"/>
      <c r="BB28" s="26"/>
      <c r="BC28" s="22"/>
      <c r="BD28" s="22"/>
      <c r="BE28" s="22"/>
      <c r="BF28" s="22"/>
      <c r="BG28" s="27"/>
      <c r="BH28" s="22"/>
      <c r="BI28" s="270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8"/>
      <c r="BV28" s="22"/>
      <c r="BW28" s="270"/>
      <c r="BX28" s="22"/>
      <c r="BY28" s="22"/>
      <c r="BZ28" s="22"/>
      <c r="CA28" s="22"/>
      <c r="CB28" s="22"/>
      <c r="CC28" s="22"/>
      <c r="CD28" s="22"/>
      <c r="CE28" s="22">
        <v>34501</v>
      </c>
      <c r="CF28" s="22">
        <v>18809</v>
      </c>
      <c r="CG28" s="22">
        <v>12618</v>
      </c>
      <c r="CH28" s="22"/>
      <c r="CJ28" s="22">
        <v>11940</v>
      </c>
      <c r="CK28" s="270">
        <v>19956</v>
      </c>
      <c r="CL28" s="22">
        <v>15650</v>
      </c>
      <c r="CM28" s="22">
        <v>12005</v>
      </c>
      <c r="CN28" s="22"/>
      <c r="CO28" s="22"/>
      <c r="CP28" s="22"/>
      <c r="CQ28" s="22"/>
      <c r="CR28" s="22"/>
      <c r="CS28" s="22">
        <v>6064</v>
      </c>
      <c r="CT28" s="22"/>
      <c r="CU28" s="22"/>
      <c r="CV28" s="22"/>
      <c r="CW28" s="758"/>
      <c r="CX28" s="870"/>
      <c r="CY28" s="871"/>
      <c r="CZ28" s="870"/>
      <c r="DA28" s="870"/>
      <c r="DB28" s="870"/>
      <c r="DC28" s="870"/>
      <c r="DD28" s="870"/>
      <c r="DE28" s="870"/>
      <c r="DF28" s="870"/>
      <c r="DG28" s="870"/>
      <c r="DH28" s="870"/>
      <c r="DI28" s="870"/>
      <c r="DJ28" s="22"/>
      <c r="DK28" s="948"/>
      <c r="DL28" s="870"/>
      <c r="DM28" s="871"/>
      <c r="DN28" s="870"/>
      <c r="DO28" s="870"/>
      <c r="DP28" s="870"/>
      <c r="DQ28" s="870"/>
      <c r="DR28" s="870"/>
      <c r="DS28" s="870"/>
      <c r="DT28" s="870"/>
      <c r="DU28" s="870"/>
      <c r="DV28" s="870"/>
      <c r="DW28" s="870"/>
      <c r="DX28" s="22"/>
    </row>
    <row r="29" spans="1:143" ht="18.75" hidden="1">
      <c r="A29" s="19">
        <v>0</v>
      </c>
      <c r="B29" s="904" t="s">
        <v>40</v>
      </c>
      <c r="C29" s="905"/>
      <c r="D29" s="265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66"/>
      <c r="Q29" s="21"/>
      <c r="R29" s="265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67"/>
      <c r="AE29" s="23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5"/>
      <c r="AQ29" s="22"/>
      <c r="AR29" s="22"/>
      <c r="AS29" s="23"/>
      <c r="AT29" s="22"/>
      <c r="AU29" s="270"/>
      <c r="AV29" s="22"/>
      <c r="AW29" s="22"/>
      <c r="AX29" s="22"/>
      <c r="AY29" s="22"/>
      <c r="AZ29" s="22"/>
      <c r="BA29" s="22"/>
      <c r="BB29" s="26"/>
      <c r="BC29" s="22"/>
      <c r="BD29" s="22"/>
      <c r="BE29" s="22"/>
      <c r="BF29" s="22"/>
      <c r="BG29" s="27"/>
      <c r="BH29" s="22"/>
      <c r="BI29" s="270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8"/>
      <c r="BV29" s="22"/>
      <c r="BW29" s="270"/>
      <c r="BX29" s="22"/>
      <c r="BY29" s="22"/>
      <c r="BZ29" s="22"/>
      <c r="CA29" s="22"/>
      <c r="CB29" s="22"/>
      <c r="CC29" s="22"/>
      <c r="CD29" s="22"/>
      <c r="CE29" s="22">
        <v>12837</v>
      </c>
      <c r="CF29" s="22">
        <v>11839</v>
      </c>
      <c r="CG29" s="22">
        <v>20519</v>
      </c>
      <c r="CH29" s="22"/>
      <c r="CJ29" s="22">
        <v>17816</v>
      </c>
      <c r="CK29" s="270">
        <v>17432</v>
      </c>
      <c r="CL29" s="22">
        <v>21670</v>
      </c>
      <c r="CM29" s="22">
        <v>19092</v>
      </c>
      <c r="CN29" s="22"/>
      <c r="CO29" s="22"/>
      <c r="CP29" s="22"/>
      <c r="CQ29" s="22"/>
      <c r="CR29" s="22"/>
      <c r="CS29" s="22">
        <v>20858</v>
      </c>
      <c r="CT29" s="22"/>
      <c r="CU29" s="22"/>
      <c r="CV29" s="22"/>
      <c r="CW29" s="758"/>
      <c r="CX29" s="870"/>
      <c r="CY29" s="871"/>
      <c r="CZ29" s="870"/>
      <c r="DA29" s="870"/>
      <c r="DB29" s="870"/>
      <c r="DC29" s="870"/>
      <c r="DD29" s="870"/>
      <c r="DE29" s="870"/>
      <c r="DF29" s="870"/>
      <c r="DG29" s="870"/>
      <c r="DH29" s="870"/>
      <c r="DI29" s="870"/>
      <c r="DJ29" s="22"/>
      <c r="DK29" s="948"/>
      <c r="DL29" s="870"/>
      <c r="DM29" s="871"/>
      <c r="DN29" s="870"/>
      <c r="DO29" s="870"/>
      <c r="DP29" s="870"/>
      <c r="DQ29" s="870"/>
      <c r="DR29" s="870"/>
      <c r="DS29" s="870"/>
      <c r="DT29" s="870"/>
      <c r="DU29" s="870"/>
      <c r="DV29" s="870"/>
      <c r="DW29" s="870"/>
      <c r="DX29" s="22"/>
    </row>
    <row r="30" spans="1:143" ht="18.75" hidden="1">
      <c r="A30" s="13" t="s">
        <v>42</v>
      </c>
      <c r="B30" s="908"/>
      <c r="C30" s="909" t="s">
        <v>43</v>
      </c>
      <c r="D30" s="277">
        <f>D21-D25</f>
        <v>162884</v>
      </c>
      <c r="E30" s="33">
        <f>E21+E27-E25-E68</f>
        <v>200610</v>
      </c>
      <c r="F30" s="33">
        <f>F21+F27-F25-F68</f>
        <v>192475</v>
      </c>
      <c r="G30" s="33">
        <f>G21+G27-G25-G68</f>
        <v>231853</v>
      </c>
      <c r="H30" s="33">
        <f>H21+H27-H25-H68</f>
        <v>253292</v>
      </c>
      <c r="I30" s="33">
        <f>I21+I27-I25-I68</f>
        <v>305688</v>
      </c>
      <c r="J30" s="33">
        <f>J21+J27-J25-J68</f>
        <v>355297</v>
      </c>
      <c r="K30" s="33">
        <f>K21+K27-K25-K68</f>
        <v>367201</v>
      </c>
      <c r="L30" s="33">
        <f>L21+L27-L25-L68</f>
        <v>407523</v>
      </c>
      <c r="M30" s="33">
        <f>M21+M27-M25-M68</f>
        <v>297747</v>
      </c>
      <c r="N30" s="33">
        <f>N21+N27-N25-N68</f>
        <v>0</v>
      </c>
      <c r="O30" s="33">
        <f>O21+O27-O25-O68</f>
        <v>143875</v>
      </c>
      <c r="P30" s="262">
        <f>J30</f>
        <v>355297</v>
      </c>
      <c r="Q30" s="15"/>
      <c r="R30" s="277">
        <f>R21-R25</f>
        <v>172568</v>
      </c>
      <c r="S30" s="14">
        <f>S21+S27-S25-S68</f>
        <v>244205</v>
      </c>
      <c r="T30" s="14">
        <f>T21+T27-T25-T68</f>
        <v>237108</v>
      </c>
      <c r="U30" s="14">
        <f>U21+U27-U25-U68</f>
        <v>222510</v>
      </c>
      <c r="V30" s="14">
        <f>V21+V27-V25-V68</f>
        <v>179647</v>
      </c>
      <c r="W30" s="14">
        <f>W21+W27-W25-W68</f>
        <v>289587</v>
      </c>
      <c r="X30" s="14">
        <f>X21+X27-X25-X68</f>
        <v>281331</v>
      </c>
      <c r="Y30" s="14">
        <f>Y21+Y27-Y25-Y68</f>
        <v>325686</v>
      </c>
      <c r="Z30" s="14">
        <f>Z21+Z27-Z25-Z68</f>
        <v>319329</v>
      </c>
      <c r="AA30" s="14">
        <f>AA21+AA27-AA25-AA68</f>
        <v>268663</v>
      </c>
      <c r="AB30" s="14">
        <f>AB21+AB27-AB25-AB68</f>
        <v>187543</v>
      </c>
      <c r="AC30" s="14">
        <f>AC21+AC27-AC25-AC68</f>
        <v>196995</v>
      </c>
      <c r="AD30" s="263">
        <f>X30</f>
        <v>281331</v>
      </c>
      <c r="AE30" s="16"/>
      <c r="AF30" s="14">
        <f t="shared" ref="AF30:AQ30" si="33">AF21+AF25+AF24</f>
        <v>228387</v>
      </c>
      <c r="AG30" s="14">
        <f t="shared" si="33"/>
        <v>263548</v>
      </c>
      <c r="AH30" s="14">
        <f t="shared" si="33"/>
        <v>366224</v>
      </c>
      <c r="AI30" s="14">
        <f t="shared" si="33"/>
        <v>361348</v>
      </c>
      <c r="AJ30" s="14">
        <f t="shared" si="33"/>
        <v>384008</v>
      </c>
      <c r="AK30" s="14">
        <f t="shared" si="33"/>
        <v>434489</v>
      </c>
      <c r="AL30" s="14">
        <f t="shared" si="33"/>
        <v>436438</v>
      </c>
      <c r="AM30" s="14">
        <f t="shared" si="33"/>
        <v>463198</v>
      </c>
      <c r="AN30" s="14">
        <f t="shared" si="33"/>
        <v>425121</v>
      </c>
      <c r="AO30" s="14">
        <f t="shared" si="33"/>
        <v>355477</v>
      </c>
      <c r="AP30" s="14">
        <f t="shared" si="33"/>
        <v>288104</v>
      </c>
      <c r="AQ30" s="14">
        <f t="shared" si="33"/>
        <v>298855</v>
      </c>
      <c r="AR30" s="14">
        <f t="shared" si="10"/>
        <v>298855</v>
      </c>
      <c r="AS30" s="17"/>
      <c r="AT30" s="14">
        <f t="shared" ref="AT30:BE30" si="34">AT21+AT25+AT24</f>
        <v>326269</v>
      </c>
      <c r="AU30" s="14">
        <f t="shared" si="34"/>
        <v>301870</v>
      </c>
      <c r="AV30" s="14">
        <f t="shared" si="34"/>
        <v>285491</v>
      </c>
      <c r="AW30" s="14">
        <f t="shared" si="34"/>
        <v>267653</v>
      </c>
      <c r="AX30" s="14">
        <f t="shared" si="34"/>
        <v>273960</v>
      </c>
      <c r="AY30" s="14">
        <f t="shared" si="34"/>
        <v>326260</v>
      </c>
      <c r="AZ30" s="14">
        <f t="shared" si="34"/>
        <v>333221</v>
      </c>
      <c r="BA30" s="14">
        <f t="shared" si="34"/>
        <v>354862</v>
      </c>
      <c r="BB30" s="14">
        <f t="shared" si="34"/>
        <v>348162</v>
      </c>
      <c r="BC30" s="14">
        <f t="shared" si="34"/>
        <v>319093</v>
      </c>
      <c r="BD30" s="14">
        <f t="shared" si="34"/>
        <v>293379</v>
      </c>
      <c r="BE30" s="14">
        <f t="shared" si="34"/>
        <v>234110</v>
      </c>
      <c r="BF30" s="32">
        <f t="shared" ref="BF30:BF31" si="35">SUM(AT30:BE30)</f>
        <v>3664330</v>
      </c>
      <c r="BG30" s="17"/>
      <c r="BH30" s="14">
        <f t="shared" ref="BH30:BS30" si="36">BH21+BH25+BH24</f>
        <v>285296</v>
      </c>
      <c r="BI30" s="14">
        <f t="shared" si="36"/>
        <v>282956</v>
      </c>
      <c r="BJ30" s="14">
        <f t="shared" si="36"/>
        <v>295165</v>
      </c>
      <c r="BK30" s="14">
        <f t="shared" si="36"/>
        <v>286135</v>
      </c>
      <c r="BL30" s="14">
        <f t="shared" si="36"/>
        <v>250340</v>
      </c>
      <c r="BM30" s="14">
        <f t="shared" si="36"/>
        <v>247600</v>
      </c>
      <c r="BN30" s="14">
        <f t="shared" si="36"/>
        <v>293505</v>
      </c>
      <c r="BO30" s="14">
        <f t="shared" si="36"/>
        <v>274542</v>
      </c>
      <c r="BP30" s="14">
        <f t="shared" si="36"/>
        <v>260352</v>
      </c>
      <c r="BQ30" s="14">
        <f>BQ21+BQ25+BQ24</f>
        <v>238595</v>
      </c>
      <c r="BR30" s="14">
        <f t="shared" si="36"/>
        <v>187546</v>
      </c>
      <c r="BS30" s="14">
        <f t="shared" si="36"/>
        <v>189617</v>
      </c>
      <c r="BT30" s="14">
        <f t="shared" si="32"/>
        <v>189617</v>
      </c>
      <c r="BU30" s="18"/>
      <c r="BV30" s="14">
        <f>BV21+BV25+BV24</f>
        <v>171889</v>
      </c>
      <c r="BW30" s="14">
        <f>BW21+BW27+BW24</f>
        <v>193178</v>
      </c>
      <c r="BX30" s="14">
        <f>BX21+BX25+BX24</f>
        <v>228367</v>
      </c>
      <c r="BY30" s="14">
        <f>BY21+BY25+BY24</f>
        <v>261297</v>
      </c>
      <c r="BZ30" s="14">
        <f>BZ21+BZ25+BZ24</f>
        <v>277757</v>
      </c>
      <c r="CA30" s="14">
        <f>CA21+CA25+CA24</f>
        <v>329719</v>
      </c>
      <c r="CB30" s="14">
        <f>CB21+CB25+CB24</f>
        <v>316656</v>
      </c>
      <c r="CC30" s="14">
        <f>CC21+CC25+CC24</f>
        <v>290388</v>
      </c>
      <c r="CD30" s="14">
        <f>CD21+CD25+CD24</f>
        <v>185778</v>
      </c>
      <c r="CE30" s="14">
        <f>CE21+CE25+CE24</f>
        <v>153110</v>
      </c>
      <c r="CF30" s="14">
        <f>CF21+CF25+CF24</f>
        <v>170562</v>
      </c>
      <c r="CG30" s="14">
        <f>CG21+CG25+CG24</f>
        <v>167396</v>
      </c>
      <c r="CH30" s="14">
        <f t="shared" si="30"/>
        <v>167396</v>
      </c>
      <c r="CJ30" s="14">
        <v>224424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758"/>
      <c r="CX30" s="873">
        <v>224424</v>
      </c>
      <c r="CY30" s="873">
        <v>0</v>
      </c>
      <c r="CZ30" s="873">
        <v>0</v>
      </c>
      <c r="DA30" s="873">
        <v>0</v>
      </c>
      <c r="DB30" s="873">
        <v>0</v>
      </c>
      <c r="DC30" s="873">
        <v>0</v>
      </c>
      <c r="DD30" s="873">
        <v>0</v>
      </c>
      <c r="DE30" s="873">
        <v>0</v>
      </c>
      <c r="DF30" s="873">
        <v>0</v>
      </c>
      <c r="DG30" s="873">
        <v>0</v>
      </c>
      <c r="DH30" s="873">
        <v>0</v>
      </c>
      <c r="DI30" s="873">
        <v>0</v>
      </c>
      <c r="DJ30" s="14">
        <v>0</v>
      </c>
      <c r="DK30" s="948"/>
      <c r="DL30" s="873">
        <v>224424</v>
      </c>
      <c r="DM30" s="873">
        <v>0</v>
      </c>
      <c r="DN30" s="873">
        <v>0</v>
      </c>
      <c r="DO30" s="873">
        <v>0</v>
      </c>
      <c r="DP30" s="873">
        <v>0</v>
      </c>
      <c r="DQ30" s="873">
        <v>0</v>
      </c>
      <c r="DR30" s="873">
        <v>0</v>
      </c>
      <c r="DS30" s="873">
        <v>0</v>
      </c>
      <c r="DT30" s="873">
        <v>0</v>
      </c>
      <c r="DU30" s="873">
        <v>0</v>
      </c>
      <c r="DV30" s="873">
        <v>0</v>
      </c>
      <c r="DW30" s="873">
        <v>0</v>
      </c>
      <c r="DX30" s="14">
        <v>0</v>
      </c>
    </row>
    <row r="31" spans="1:143" ht="18.75" hidden="1">
      <c r="A31" s="34" t="s">
        <v>44</v>
      </c>
      <c r="B31" s="910"/>
      <c r="C31" s="911" t="s">
        <v>45</v>
      </c>
      <c r="D31" s="277">
        <f t="shared" ref="D31:O31" si="37">D11-D27-D25</f>
        <v>264261</v>
      </c>
      <c r="E31" s="33">
        <f t="shared" si="37"/>
        <v>275849</v>
      </c>
      <c r="F31" s="33">
        <f t="shared" si="37"/>
        <v>280253</v>
      </c>
      <c r="G31" s="33">
        <f t="shared" si="37"/>
        <v>256146</v>
      </c>
      <c r="H31" s="33">
        <f t="shared" si="37"/>
        <v>282462</v>
      </c>
      <c r="I31" s="33">
        <f t="shared" si="37"/>
        <v>336508</v>
      </c>
      <c r="J31" s="33">
        <f t="shared" si="37"/>
        <v>394861</v>
      </c>
      <c r="K31" s="33">
        <f t="shared" si="37"/>
        <v>399944</v>
      </c>
      <c r="L31" s="33">
        <f t="shared" si="37"/>
        <v>403515</v>
      </c>
      <c r="M31" s="33">
        <f t="shared" si="37"/>
        <v>254037</v>
      </c>
      <c r="N31" s="33">
        <f t="shared" si="37"/>
        <v>0</v>
      </c>
      <c r="O31" s="33">
        <f t="shared" si="37"/>
        <v>188264</v>
      </c>
      <c r="P31" s="262">
        <f t="shared" ref="P31:P32" si="38">O31</f>
        <v>188264</v>
      </c>
      <c r="Q31" s="15"/>
      <c r="R31" s="277">
        <f t="shared" ref="R31:AC31" si="39">R11-R27-R25</f>
        <v>244467</v>
      </c>
      <c r="S31" s="14">
        <f t="shared" si="39"/>
        <v>295020</v>
      </c>
      <c r="T31" s="14">
        <f t="shared" si="39"/>
        <v>254796</v>
      </c>
      <c r="U31" s="14">
        <f t="shared" si="39"/>
        <v>240747</v>
      </c>
      <c r="V31" s="14">
        <f t="shared" si="39"/>
        <v>104747</v>
      </c>
      <c r="W31" s="14">
        <f t="shared" si="39"/>
        <v>162106</v>
      </c>
      <c r="X31" s="14">
        <f t="shared" si="39"/>
        <v>340068</v>
      </c>
      <c r="Y31" s="14">
        <f t="shared" si="39"/>
        <v>322792</v>
      </c>
      <c r="Z31" s="14">
        <f t="shared" si="39"/>
        <v>330677</v>
      </c>
      <c r="AA31" s="14">
        <f t="shared" si="39"/>
        <v>229141</v>
      </c>
      <c r="AB31" s="14">
        <f t="shared" si="39"/>
        <v>126169</v>
      </c>
      <c r="AC31" s="14">
        <f t="shared" si="39"/>
        <v>173047</v>
      </c>
      <c r="AD31" s="263">
        <f t="shared" ref="AD31:AD32" si="40">AC31</f>
        <v>173047</v>
      </c>
      <c r="AE31" s="16"/>
      <c r="AF31" s="261">
        <f>AF30-AF25</f>
        <v>220021</v>
      </c>
      <c r="AG31" s="261">
        <f>AG30-AG25</f>
        <v>252014</v>
      </c>
      <c r="AH31" s="261">
        <f>AH30-AH25</f>
        <v>354717</v>
      </c>
      <c r="AI31" s="261">
        <f>AI30-AI25</f>
        <v>352200</v>
      </c>
      <c r="AJ31" s="261">
        <f>AJ30-AJ25</f>
        <v>375484</v>
      </c>
      <c r="AK31" s="261">
        <f>AK30-AK25</f>
        <v>409199</v>
      </c>
      <c r="AL31" s="261">
        <f>AL30-AL25</f>
        <v>345358</v>
      </c>
      <c r="AM31" s="261">
        <f>AM30-AM25</f>
        <v>396368</v>
      </c>
      <c r="AN31" s="261">
        <f>AN30-AN25</f>
        <v>388255</v>
      </c>
      <c r="AO31" s="261">
        <f>AO30-AO25</f>
        <v>339304</v>
      </c>
      <c r="AP31" s="261">
        <f>AP30-AP25</f>
        <v>109830</v>
      </c>
      <c r="AQ31" s="261">
        <f>AQ30-AQ25</f>
        <v>88190</v>
      </c>
      <c r="AR31" s="14">
        <f t="shared" si="10"/>
        <v>88190</v>
      </c>
      <c r="AS31" s="17"/>
      <c r="AT31" s="261">
        <f>AT30-AT25</f>
        <v>205194</v>
      </c>
      <c r="AU31" s="261">
        <f>AU30-AU25</f>
        <v>152494</v>
      </c>
      <c r="AV31" s="261">
        <f>AV30-AV25</f>
        <v>180953</v>
      </c>
      <c r="AW31" s="261">
        <f>AW30-AW25</f>
        <v>162391</v>
      </c>
      <c r="AX31" s="261">
        <f>AX30-AX25</f>
        <v>152887</v>
      </c>
      <c r="AY31" s="261">
        <f>AY30-AY25</f>
        <v>162329</v>
      </c>
      <c r="AZ31" s="261">
        <f>AZ30-AZ25</f>
        <v>223257</v>
      </c>
      <c r="BA31" s="261">
        <f>BA30-BA25</f>
        <v>206596</v>
      </c>
      <c r="BB31" s="261">
        <f>BB30-BB25</f>
        <v>217465</v>
      </c>
      <c r="BC31" s="261">
        <f>BC30-BC25</f>
        <v>205314</v>
      </c>
      <c r="BD31" s="261">
        <f>BD30-BD25</f>
        <v>202260</v>
      </c>
      <c r="BE31" s="261">
        <f>BE30-BE25</f>
        <v>130824</v>
      </c>
      <c r="BF31" s="32">
        <f t="shared" si="35"/>
        <v>2201964</v>
      </c>
      <c r="BG31" s="35">
        <f>SUM(AT35:AY35)/SUM(AF69:AK69)-1</f>
        <v>0.2283258050797119</v>
      </c>
      <c r="BH31" s="416">
        <f>BH30-BH25</f>
        <v>235665</v>
      </c>
      <c r="BI31" s="416">
        <f>BI30-BI25</f>
        <v>230003</v>
      </c>
      <c r="BJ31" s="416">
        <f>BJ30-BJ25</f>
        <v>266725</v>
      </c>
      <c r="BK31" s="416">
        <f>BK30-BK25</f>
        <v>202534</v>
      </c>
      <c r="BL31" s="417">
        <f>BL30-BL25</f>
        <v>224528</v>
      </c>
      <c r="BM31" s="417">
        <f>BM30-BM25</f>
        <v>188055</v>
      </c>
      <c r="BN31" s="417">
        <f>BN30-BN25</f>
        <v>210070</v>
      </c>
      <c r="BO31" s="417">
        <f>BO30-BO25</f>
        <v>240501</v>
      </c>
      <c r="BP31" s="417">
        <f>BP30-BP25</f>
        <v>237953</v>
      </c>
      <c r="BQ31" s="417">
        <f>BQ30-BQ25</f>
        <v>213708</v>
      </c>
      <c r="BR31" s="417">
        <f>BR30-BR25</f>
        <v>175363</v>
      </c>
      <c r="BS31" s="417">
        <f>BS30-BS25</f>
        <v>177434</v>
      </c>
      <c r="BT31" s="417">
        <f t="shared" si="32"/>
        <v>177434</v>
      </c>
      <c r="BU31" s="18"/>
      <c r="BV31" s="261">
        <f>BV30-BV25</f>
        <v>166673</v>
      </c>
      <c r="BW31" s="261">
        <f>BW30-BW25</f>
        <v>193178</v>
      </c>
      <c r="BX31" s="261">
        <f>BX30-BX25</f>
        <v>163094</v>
      </c>
      <c r="BY31" s="416">
        <f>BY30-BY25</f>
        <v>191115</v>
      </c>
      <c r="BZ31" s="417">
        <f>BZ30-BZ25</f>
        <v>220098</v>
      </c>
      <c r="CA31" s="417">
        <f>CA30-CA25</f>
        <v>258050</v>
      </c>
      <c r="CB31" s="417">
        <f>CB30-CB25</f>
        <v>243578</v>
      </c>
      <c r="CC31" s="417">
        <f>CC30-CC25</f>
        <v>205086</v>
      </c>
      <c r="CD31" s="417">
        <f>CD30-CD25</f>
        <v>160435</v>
      </c>
      <c r="CE31" s="417">
        <f>CE30-CE25</f>
        <v>134080</v>
      </c>
      <c r="CF31" s="417">
        <f>CF30-CF25</f>
        <v>151140</v>
      </c>
      <c r="CG31" s="417">
        <f>CG30-CG25</f>
        <v>141469</v>
      </c>
      <c r="CH31" s="417">
        <f t="shared" si="30"/>
        <v>141469</v>
      </c>
      <c r="CJ31" s="261">
        <v>219208</v>
      </c>
      <c r="CK31" s="261">
        <v>0</v>
      </c>
      <c r="CL31" s="261">
        <v>0</v>
      </c>
      <c r="CM31" s="416">
        <v>0</v>
      </c>
      <c r="CN31" s="417">
        <v>0</v>
      </c>
      <c r="CO31" s="417">
        <v>0</v>
      </c>
      <c r="CP31" s="417">
        <v>0</v>
      </c>
      <c r="CQ31" s="417">
        <v>0</v>
      </c>
      <c r="CR31" s="417">
        <v>0</v>
      </c>
      <c r="CS31" s="417">
        <v>0</v>
      </c>
      <c r="CT31" s="417">
        <v>0</v>
      </c>
      <c r="CU31" s="417">
        <v>0</v>
      </c>
      <c r="CV31" s="417">
        <v>0</v>
      </c>
      <c r="CW31" s="758"/>
      <c r="CX31" s="874">
        <v>219208</v>
      </c>
      <c r="CY31" s="874">
        <v>0</v>
      </c>
      <c r="CZ31" s="874">
        <v>0</v>
      </c>
      <c r="DA31" s="875">
        <v>0</v>
      </c>
      <c r="DB31" s="876">
        <v>0</v>
      </c>
      <c r="DC31" s="876">
        <v>0</v>
      </c>
      <c r="DD31" s="876">
        <v>0</v>
      </c>
      <c r="DE31" s="876">
        <v>0</v>
      </c>
      <c r="DF31" s="876">
        <v>0</v>
      </c>
      <c r="DG31" s="876">
        <v>0</v>
      </c>
      <c r="DH31" s="876">
        <v>0</v>
      </c>
      <c r="DI31" s="876">
        <v>0</v>
      </c>
      <c r="DJ31" s="417">
        <v>0</v>
      </c>
      <c r="DK31" s="948"/>
      <c r="DL31" s="874">
        <v>219208</v>
      </c>
      <c r="DM31" s="874">
        <v>0</v>
      </c>
      <c r="DN31" s="874">
        <v>0</v>
      </c>
      <c r="DO31" s="875">
        <v>0</v>
      </c>
      <c r="DP31" s="876">
        <v>0</v>
      </c>
      <c r="DQ31" s="876">
        <v>0</v>
      </c>
      <c r="DR31" s="876">
        <v>0</v>
      </c>
      <c r="DS31" s="876">
        <v>0</v>
      </c>
      <c r="DT31" s="876">
        <v>0</v>
      </c>
      <c r="DU31" s="876">
        <v>0</v>
      </c>
      <c r="DV31" s="876">
        <v>0</v>
      </c>
      <c r="DW31" s="876">
        <v>0</v>
      </c>
      <c r="DX31" s="417">
        <v>0</v>
      </c>
    </row>
    <row r="32" spans="1:143" s="748" customFormat="1" ht="18.75" hidden="1">
      <c r="A32" s="739" t="s">
        <v>120</v>
      </c>
      <c r="B32" s="736"/>
      <c r="C32" s="737" t="s">
        <v>47</v>
      </c>
      <c r="D32" s="738">
        <f t="shared" ref="D32:O32" si="41">D11</f>
        <v>304786</v>
      </c>
      <c r="E32" s="740">
        <f t="shared" si="41"/>
        <v>311986</v>
      </c>
      <c r="F32" s="740">
        <f t="shared" si="41"/>
        <v>328231</v>
      </c>
      <c r="G32" s="740">
        <f t="shared" si="41"/>
        <v>317873</v>
      </c>
      <c r="H32" s="740">
        <f t="shared" si="41"/>
        <v>347196</v>
      </c>
      <c r="I32" s="740">
        <f t="shared" si="41"/>
        <v>402253</v>
      </c>
      <c r="J32" s="740">
        <f t="shared" si="41"/>
        <v>454488</v>
      </c>
      <c r="K32" s="740">
        <f t="shared" si="41"/>
        <v>447182</v>
      </c>
      <c r="L32" s="740">
        <f t="shared" si="41"/>
        <v>416931</v>
      </c>
      <c r="M32" s="740">
        <f t="shared" si="41"/>
        <v>304402</v>
      </c>
      <c r="N32" s="740">
        <f t="shared" si="41"/>
        <v>0</v>
      </c>
      <c r="O32" s="740">
        <f t="shared" si="41"/>
        <v>188264</v>
      </c>
      <c r="P32" s="741">
        <f t="shared" si="38"/>
        <v>188264</v>
      </c>
      <c r="Q32" s="742"/>
      <c r="R32" s="743">
        <f t="shared" ref="R32:AC32" si="42">R11</f>
        <v>283359</v>
      </c>
      <c r="S32" s="744">
        <f t="shared" si="42"/>
        <v>342718</v>
      </c>
      <c r="T32" s="744">
        <f t="shared" si="42"/>
        <v>313212</v>
      </c>
      <c r="U32" s="744">
        <f t="shared" si="42"/>
        <v>298093</v>
      </c>
      <c r="V32" s="744">
        <f t="shared" si="42"/>
        <v>206617</v>
      </c>
      <c r="W32" s="744">
        <f t="shared" si="42"/>
        <v>235875</v>
      </c>
      <c r="X32" s="744">
        <f t="shared" si="42"/>
        <v>360135</v>
      </c>
      <c r="Y32" s="744">
        <f t="shared" si="42"/>
        <v>361665</v>
      </c>
      <c r="Z32" s="744">
        <f t="shared" si="42"/>
        <v>353400</v>
      </c>
      <c r="AA32" s="744">
        <f t="shared" si="42"/>
        <v>272097</v>
      </c>
      <c r="AB32" s="744">
        <f t="shared" si="42"/>
        <v>170626</v>
      </c>
      <c r="AC32" s="744">
        <f t="shared" si="42"/>
        <v>197551</v>
      </c>
      <c r="AD32" s="745">
        <f t="shared" si="40"/>
        <v>197551</v>
      </c>
      <c r="AE32" s="746"/>
      <c r="AF32" s="744">
        <f>AF11-AF68</f>
        <v>255339</v>
      </c>
      <c r="AG32" s="744">
        <f>AG11-AG68</f>
        <v>292621</v>
      </c>
      <c r="AH32" s="744">
        <f>AH11-AH68</f>
        <v>397976</v>
      </c>
      <c r="AI32" s="744">
        <f>AI11-AI68</f>
        <v>388165</v>
      </c>
      <c r="AJ32" s="744">
        <f>AJ11-AJ68</f>
        <v>409301</v>
      </c>
      <c r="AK32" s="744">
        <f>AK11-AK68</f>
        <v>490913</v>
      </c>
      <c r="AL32" s="744">
        <f>AL11-AL68</f>
        <v>563229</v>
      </c>
      <c r="AM32" s="744">
        <f>AM11-AM68</f>
        <v>559169</v>
      </c>
      <c r="AN32" s="744">
        <f>AN11-AN68</f>
        <v>487294</v>
      </c>
      <c r="AO32" s="744">
        <f>AO11-AO68</f>
        <v>407614</v>
      </c>
      <c r="AP32" s="744">
        <f>AP11-AP68</f>
        <v>503756</v>
      </c>
      <c r="AQ32" s="744">
        <f>AQ11-AQ68</f>
        <v>522741</v>
      </c>
      <c r="AR32" s="744">
        <f t="shared" si="10"/>
        <v>522741</v>
      </c>
      <c r="AS32" s="746"/>
      <c r="AT32" s="744">
        <f>AT11-AT68</f>
        <v>364736</v>
      </c>
      <c r="AU32" s="744">
        <f>AU11-AU68</f>
        <v>382608</v>
      </c>
      <c r="AV32" s="744">
        <f>AV11-AV68</f>
        <v>322837</v>
      </c>
      <c r="AW32" s="744">
        <f>AW11-AW68</f>
        <v>339249</v>
      </c>
      <c r="AX32" s="744">
        <f>AX11-AX68</f>
        <v>382307</v>
      </c>
      <c r="AY32" s="744">
        <f>AY11-AY68</f>
        <v>446417</v>
      </c>
      <c r="AZ32" s="744">
        <f>AZ11-AZ68</f>
        <v>406019</v>
      </c>
      <c r="BA32" s="744">
        <f>BA11-BA68</f>
        <v>457091</v>
      </c>
      <c r="BB32" s="744">
        <f>BB11-BB68</f>
        <v>439103</v>
      </c>
      <c r="BC32" s="744">
        <f>BB32-BC35+BC82-BC68</f>
        <v>267702.70924434217</v>
      </c>
      <c r="BD32" s="744">
        <f>BC32-BD35+BD82-BD68</f>
        <v>224792.12236286921</v>
      </c>
      <c r="BE32" s="744">
        <f>BD32-BE35+BE82-BE68</f>
        <v>209302.50939777523</v>
      </c>
      <c r="BF32" s="744">
        <f>BE32</f>
        <v>209302.50939777523</v>
      </c>
      <c r="BG32" s="747">
        <f>BG35/AR35</f>
        <v>7.0333736034655189E-2</v>
      </c>
      <c r="BH32" s="744">
        <f>BH11-BH68</f>
        <v>287739</v>
      </c>
      <c r="BI32" s="744">
        <f>BI11-BI68</f>
        <v>274599</v>
      </c>
      <c r="BJ32" s="744">
        <f>BJ11-BJ68</f>
        <v>249895</v>
      </c>
      <c r="BK32" s="744">
        <f>BK11-BK68</f>
        <v>311315</v>
      </c>
      <c r="BL32" s="744">
        <f>BL11-BL68</f>
        <v>277855</v>
      </c>
      <c r="BM32" s="744">
        <f>BM11-BM68</f>
        <v>301815</v>
      </c>
      <c r="BN32" s="744">
        <f>BN11-BN68</f>
        <v>325519</v>
      </c>
      <c r="BO32" s="744">
        <f>BO11-BO68</f>
        <v>255915</v>
      </c>
      <c r="BP32" s="744">
        <f>BP11-BP68</f>
        <v>198711</v>
      </c>
      <c r="BQ32" s="744">
        <f>BQ11-BQ68</f>
        <v>182301</v>
      </c>
      <c r="BR32" s="744">
        <f>BR11-BR68</f>
        <v>228035</v>
      </c>
      <c r="BS32" s="744">
        <f>BS11-BS68</f>
        <v>201165</v>
      </c>
      <c r="BT32" s="744">
        <f t="shared" si="32"/>
        <v>201165</v>
      </c>
      <c r="BU32" s="746"/>
      <c r="BV32" s="744">
        <f>BV11-BV68</f>
        <v>247713</v>
      </c>
      <c r="BW32" s="744">
        <f>BW11-BW68</f>
        <v>278707</v>
      </c>
      <c r="BX32" s="744">
        <f>BX11-BX68</f>
        <v>281829</v>
      </c>
      <c r="BY32" s="744">
        <f>BY11-BY68</f>
        <v>317753</v>
      </c>
      <c r="BZ32" s="744">
        <f>BZ11-BZ68</f>
        <v>270339</v>
      </c>
      <c r="CA32" s="744">
        <f>CA11-CA68</f>
        <v>310383</v>
      </c>
      <c r="CB32" s="744">
        <f>CB11-CB68</f>
        <v>328365</v>
      </c>
      <c r="CC32" s="744">
        <f>CC11-CC68</f>
        <v>333476</v>
      </c>
      <c r="CD32" s="744">
        <f>CD11-CD68</f>
        <v>306264</v>
      </c>
      <c r="CE32" s="744">
        <f>CE11-CE68</f>
        <v>270370</v>
      </c>
      <c r="CF32" s="744">
        <f>CF11-CF68</f>
        <v>194014</v>
      </c>
      <c r="CG32" s="744">
        <f>CG11-CG68</f>
        <v>182266</v>
      </c>
      <c r="CH32" s="744">
        <f t="shared" si="30"/>
        <v>182266</v>
      </c>
      <c r="CJ32" s="744">
        <f t="shared" ref="CJ32:CL32" si="43">CJ29+CJ28+CJ12</f>
        <v>234793</v>
      </c>
      <c r="CK32" s="744">
        <f t="shared" si="43"/>
        <v>267818</v>
      </c>
      <c r="CL32" s="744">
        <f t="shared" si="43"/>
        <v>271663</v>
      </c>
      <c r="CM32" s="744">
        <f>CM29+CM28+CM12</f>
        <v>297485</v>
      </c>
      <c r="CN32" s="744">
        <f>CM32-CN35+CN82</f>
        <v>307923.8879612374</v>
      </c>
      <c r="CO32" s="744">
        <f>CN32-CO35+CO82</f>
        <v>370977.73306000745</v>
      </c>
      <c r="CP32" s="744">
        <f>CO32-CP35+CP82</f>
        <v>403860.22259587242</v>
      </c>
      <c r="CQ32" s="744">
        <f>CP32-CQ35+CQ82</f>
        <v>381854.52867182181</v>
      </c>
      <c r="CR32" s="744">
        <f>CQ32-CR35+CR82</f>
        <v>333996.33782793995</v>
      </c>
      <c r="CS32" s="744">
        <f>CR32-CS35+CS82</f>
        <v>289282.38677308767</v>
      </c>
      <c r="CT32" s="744">
        <f>CS32-CT35+CT82</f>
        <v>280258.78567604127</v>
      </c>
      <c r="CU32" s="744">
        <f>CT32-CU35+CU82</f>
        <v>302607.39327097801</v>
      </c>
      <c r="CV32" s="744">
        <v>116080.10690622788</v>
      </c>
      <c r="CW32" s="758"/>
      <c r="CX32" s="744">
        <f>CU32-CX35+CX82</f>
        <v>234494.49327097798</v>
      </c>
      <c r="CY32" s="744">
        <f>CX32-CY35+CY82</f>
        <v>133359.09327097796</v>
      </c>
      <c r="CZ32" s="744">
        <f t="shared" ref="CZ32:DI32" si="44">CY32-CZ35+CZ82</f>
        <v>-32260.906729022041</v>
      </c>
      <c r="DA32" s="744">
        <f t="shared" si="44"/>
        <v>-155220.90672902204</v>
      </c>
      <c r="DB32" s="744">
        <f t="shared" si="44"/>
        <v>-163416.90672902204</v>
      </c>
      <c r="DC32" s="744">
        <f t="shared" si="44"/>
        <v>-163546.90672902204</v>
      </c>
      <c r="DD32" s="744">
        <f t="shared" si="44"/>
        <v>-214868.32672902208</v>
      </c>
      <c r="DE32" s="744">
        <f t="shared" si="44"/>
        <v>-310778.95672902209</v>
      </c>
      <c r="DF32" s="744">
        <f t="shared" si="44"/>
        <v>-461784.76672902214</v>
      </c>
      <c r="DG32" s="744">
        <f t="shared" si="44"/>
        <v>-537683.98672902223</v>
      </c>
      <c r="DH32" s="744">
        <f t="shared" si="44"/>
        <v>-553023.94672902231</v>
      </c>
      <c r="DI32" s="744">
        <f t="shared" si="44"/>
        <v>-595231.38672902226</v>
      </c>
      <c r="DJ32" s="744">
        <v>116080.10690622788</v>
      </c>
      <c r="DK32" s="948"/>
      <c r="DL32" s="744"/>
      <c r="DM32" s="744"/>
      <c r="DN32" s="744"/>
      <c r="DO32" s="744"/>
      <c r="DP32" s="744"/>
      <c r="DQ32" s="744"/>
      <c r="DR32" s="744"/>
      <c r="DS32" s="744"/>
      <c r="DT32" s="744"/>
      <c r="DU32" s="744"/>
      <c r="DV32" s="744"/>
      <c r="DW32" s="744"/>
      <c r="DX32" s="744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</row>
    <row r="33" spans="1:143" ht="18.75" hidden="1">
      <c r="A33" s="46"/>
      <c r="B33" s="912" t="s">
        <v>48</v>
      </c>
      <c r="C33" s="913"/>
      <c r="D33" s="283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284"/>
      <c r="Q33" s="49"/>
      <c r="R33" s="283"/>
      <c r="S33" s="50"/>
      <c r="T33" s="50"/>
      <c r="U33" s="50"/>
      <c r="V33" s="51"/>
      <c r="W33" s="51"/>
      <c r="X33" s="51"/>
      <c r="Y33" s="51"/>
      <c r="Z33" s="51"/>
      <c r="AA33" s="51"/>
      <c r="AB33" s="51"/>
      <c r="AC33" s="50"/>
      <c r="AD33" s="285"/>
      <c r="AE33" s="23"/>
      <c r="AF33" s="286">
        <f>AF11/AG35</f>
        <v>1.4346741432881778</v>
      </c>
      <c r="AG33" s="286">
        <f>AG11/AH35</f>
        <v>3.9745327610561771</v>
      </c>
      <c r="AH33" s="286">
        <f>AH11/AI35</f>
        <v>4.4537254638644557</v>
      </c>
      <c r="AI33" s="286">
        <f>AI11/AJ35</f>
        <v>3.1781895295331357</v>
      </c>
      <c r="AJ33" s="286">
        <f>AJ11/AK35</f>
        <v>2.7551225094238019</v>
      </c>
      <c r="AK33" s="286">
        <f>AK11/AL35</f>
        <v>3.2297970327971317</v>
      </c>
      <c r="AL33" s="286">
        <f>AL11/AM35</f>
        <v>2.3575635299682296</v>
      </c>
      <c r="AM33" s="286">
        <f>AM11/AN35</f>
        <v>2.1413160582078121</v>
      </c>
      <c r="AN33" s="286">
        <f>AN11/AO35</f>
        <v>1.9042360296991012</v>
      </c>
      <c r="AO33" s="286">
        <f>AO11/AP35</f>
        <v>3.1686411691542289</v>
      </c>
      <c r="AP33" s="286">
        <f>AP11/AQ35</f>
        <v>5.1487735077677845</v>
      </c>
      <c r="AQ33" s="286">
        <f>AQ11/AT35</f>
        <v>3.4807306746186968</v>
      </c>
      <c r="AR33" s="287">
        <f>AQ33</f>
        <v>3.4807306746186968</v>
      </c>
      <c r="AS33" s="23"/>
      <c r="AT33" s="286">
        <f>AT11/AU35</f>
        <v>2.7971286279646934</v>
      </c>
      <c r="AU33" s="286">
        <f>AU11/AV35</f>
        <v>3.0710063937614676</v>
      </c>
      <c r="AV33" s="286">
        <f>AV11/AW35</f>
        <v>2.5847779910329129</v>
      </c>
      <c r="AW33" s="286">
        <f>AW11/AX35</f>
        <v>3.3142307600651066</v>
      </c>
      <c r="AX33" s="286">
        <f>AX11/AY35</f>
        <v>3.0202081128011216</v>
      </c>
      <c r="AY33" s="286">
        <f>AY11/(AZ65+AZ64)</f>
        <v>3.0375411110446691</v>
      </c>
      <c r="AZ33" s="286">
        <f>AZ11/(BA65+BA64)</f>
        <v>1.7862994390436959</v>
      </c>
      <c r="BA33" s="286">
        <f>BA11/(BB65+BB64)</f>
        <v>2.3917338115287117</v>
      </c>
      <c r="BB33" s="286">
        <f>BB11/(BC65+BC64)</f>
        <v>2.0297186803388318</v>
      </c>
      <c r="BC33" s="286">
        <f>BC11/(BD65+BD64)</f>
        <v>2.9418601583113455</v>
      </c>
      <c r="BD33" s="286">
        <f>BD11/(BE65+BE64)</f>
        <v>5.3595753009100697</v>
      </c>
      <c r="BE33" s="286">
        <f>BE11/BH35</f>
        <v>2.3338657833234047</v>
      </c>
      <c r="BF33" s="52"/>
      <c r="BG33" s="27"/>
      <c r="BH33" s="418">
        <f>BH11/BI35</f>
        <v>2.4324841588586663</v>
      </c>
      <c r="BI33" s="418">
        <f>BI11/BJ35</f>
        <v>2.0694790126570033</v>
      </c>
      <c r="BJ33" s="418">
        <f>BJ11/BK35</f>
        <v>2.1548303749075362</v>
      </c>
      <c r="BK33" s="418">
        <f>BK11/BL35</f>
        <v>2.940658548141605</v>
      </c>
      <c r="BL33" s="418">
        <f>BL11/BM35</f>
        <v>2.5009495450993295</v>
      </c>
      <c r="BM33" s="418">
        <f>BM11/BN35</f>
        <v>2.0577586855214944</v>
      </c>
      <c r="BN33" s="418">
        <f>BN11/BO35</f>
        <v>2.3320530115558045</v>
      </c>
      <c r="BO33" s="419"/>
      <c r="BP33" s="419"/>
      <c r="BQ33" s="419"/>
      <c r="BR33" s="419"/>
      <c r="BS33" s="419"/>
      <c r="BT33" s="419"/>
      <c r="BU33" s="54"/>
      <c r="BV33" s="286">
        <v>0</v>
      </c>
      <c r="BW33" s="286">
        <v>0</v>
      </c>
      <c r="BX33" s="286">
        <v>0</v>
      </c>
      <c r="BY33" s="418">
        <v>0</v>
      </c>
      <c r="BZ33" s="418">
        <v>0</v>
      </c>
      <c r="CA33" s="418">
        <v>0</v>
      </c>
      <c r="CB33" s="418">
        <v>0</v>
      </c>
      <c r="CC33" s="418">
        <v>0</v>
      </c>
      <c r="CD33" s="418">
        <v>0</v>
      </c>
      <c r="CE33" s="418">
        <v>0</v>
      </c>
      <c r="CF33" s="418">
        <v>0</v>
      </c>
      <c r="CG33" s="419"/>
      <c r="CH33" s="419"/>
      <c r="CJ33" s="286">
        <v>0</v>
      </c>
      <c r="CK33" s="286">
        <v>0</v>
      </c>
      <c r="CL33" s="286">
        <v>0</v>
      </c>
      <c r="CM33" s="418">
        <v>0</v>
      </c>
      <c r="CN33" s="418">
        <v>0</v>
      </c>
      <c r="CO33" s="418">
        <v>0</v>
      </c>
      <c r="CP33" s="418">
        <v>0</v>
      </c>
      <c r="CQ33" s="418">
        <v>0</v>
      </c>
      <c r="CR33" s="418">
        <v>0</v>
      </c>
      <c r="CS33" s="418">
        <v>0</v>
      </c>
      <c r="CT33" s="418">
        <v>0</v>
      </c>
      <c r="CU33" s="419"/>
      <c r="CV33" s="419"/>
      <c r="CW33" s="758"/>
      <c r="CX33" s="877">
        <v>0</v>
      </c>
      <c r="CY33" s="877">
        <v>0</v>
      </c>
      <c r="CZ33" s="877">
        <v>0</v>
      </c>
      <c r="DA33" s="878">
        <v>0</v>
      </c>
      <c r="DB33" s="878">
        <v>0</v>
      </c>
      <c r="DC33" s="878">
        <v>0</v>
      </c>
      <c r="DD33" s="878">
        <v>0</v>
      </c>
      <c r="DE33" s="878">
        <v>0</v>
      </c>
      <c r="DF33" s="878">
        <v>0</v>
      </c>
      <c r="DG33" s="878">
        <v>0</v>
      </c>
      <c r="DH33" s="878">
        <v>0</v>
      </c>
      <c r="DI33" s="879"/>
      <c r="DJ33" s="419"/>
      <c r="DK33" s="948"/>
      <c r="DL33" s="877">
        <v>0</v>
      </c>
      <c r="DM33" s="877">
        <v>0</v>
      </c>
      <c r="DN33" s="877">
        <v>0</v>
      </c>
      <c r="DO33" s="878">
        <v>0</v>
      </c>
      <c r="DP33" s="878">
        <v>0</v>
      </c>
      <c r="DQ33" s="878">
        <v>0</v>
      </c>
      <c r="DR33" s="878">
        <v>0</v>
      </c>
      <c r="DS33" s="878">
        <v>0</v>
      </c>
      <c r="DT33" s="878">
        <v>0</v>
      </c>
      <c r="DU33" s="878">
        <v>0</v>
      </c>
      <c r="DV33" s="878">
        <v>0</v>
      </c>
      <c r="DW33" s="879"/>
      <c r="DX33" s="419"/>
    </row>
    <row r="34" spans="1:143" ht="18.75" hidden="1">
      <c r="A34" s="29"/>
      <c r="B34" s="906" t="s">
        <v>41</v>
      </c>
      <c r="C34" s="907"/>
      <c r="D34" s="274">
        <f>D11-D25</f>
        <v>270670</v>
      </c>
      <c r="E34" s="30">
        <f>E11-E25</f>
        <v>282709</v>
      </c>
      <c r="F34" s="30">
        <f>F11-F25</f>
        <v>285223</v>
      </c>
      <c r="G34" s="30">
        <f>G11-G25</f>
        <v>287349</v>
      </c>
      <c r="H34" s="30">
        <f>H11-H25</f>
        <v>313961</v>
      </c>
      <c r="I34" s="30">
        <f>I11-I25</f>
        <v>362411</v>
      </c>
      <c r="J34" s="30">
        <f>J11-J25</f>
        <v>413467</v>
      </c>
      <c r="K34" s="30">
        <f>K11-K25</f>
        <v>415958</v>
      </c>
      <c r="L34" s="30">
        <f>L11-L25</f>
        <v>416931</v>
      </c>
      <c r="M34" s="30">
        <f>M11-M25</f>
        <v>294116</v>
      </c>
      <c r="N34" s="30">
        <f>N11-N25</f>
        <v>0</v>
      </c>
      <c r="O34" s="30">
        <f>O11-O25</f>
        <v>188264</v>
      </c>
      <c r="P34" s="275"/>
      <c r="Q34" s="31"/>
      <c r="R34" s="274">
        <f>R11-R25</f>
        <v>247843</v>
      </c>
      <c r="S34" s="32">
        <f>S11-S25</f>
        <v>306756</v>
      </c>
      <c r="T34" s="32">
        <f>T11-T25</f>
        <v>277250</v>
      </c>
      <c r="U34" s="32">
        <f>U11-U25</f>
        <v>262131</v>
      </c>
      <c r="V34" s="32">
        <f>V11-V25</f>
        <v>171617</v>
      </c>
      <c r="W34" s="32">
        <f>W11-W25</f>
        <v>235875</v>
      </c>
      <c r="X34" s="32">
        <f>X11-X25</f>
        <v>354012</v>
      </c>
      <c r="Y34" s="32">
        <f>Y11-Y25</f>
        <v>355542</v>
      </c>
      <c r="Z34" s="32">
        <f>Z11-Z25</f>
        <v>349213</v>
      </c>
      <c r="AA34" s="32">
        <f>AA11-AA25</f>
        <v>269352</v>
      </c>
      <c r="AB34" s="32">
        <f>AB11-AB25</f>
        <v>170626</v>
      </c>
      <c r="AC34" s="32"/>
      <c r="AD34" s="276"/>
      <c r="AE34" s="17"/>
      <c r="AF34" s="32">
        <f>AF11-AF25</f>
        <v>246973</v>
      </c>
      <c r="AG34" s="32">
        <f>AG11-AG25</f>
        <v>281087</v>
      </c>
      <c r="AH34" s="32">
        <f>AH11-AH25</f>
        <v>386469</v>
      </c>
      <c r="AI34" s="32">
        <f>AI11-AI25</f>
        <v>379017</v>
      </c>
      <c r="AJ34" s="32">
        <f>AJ11-AJ25</f>
        <v>400777</v>
      </c>
      <c r="AK34" s="32">
        <f>AK11-AK25</f>
        <v>465623</v>
      </c>
      <c r="AL34" s="32">
        <f>AL11-AL25</f>
        <v>472149</v>
      </c>
      <c r="AM34" s="32">
        <f>AM11-AM25</f>
        <v>492339</v>
      </c>
      <c r="AN34" s="32">
        <f>AN11-AN25</f>
        <v>450428</v>
      </c>
      <c r="AO34" s="32">
        <f>AO11-AO25</f>
        <v>391441</v>
      </c>
      <c r="AP34" s="32">
        <f>AP11-AP25</f>
        <v>325482</v>
      </c>
      <c r="AQ34" s="32">
        <f>AQ11-AQ25</f>
        <v>321014</v>
      </c>
      <c r="AR34" s="32">
        <f>AQ34</f>
        <v>321014</v>
      </c>
      <c r="AS34" s="17"/>
      <c r="AT34" s="32">
        <f>AT11-AT25</f>
        <v>350303</v>
      </c>
      <c r="AU34" s="32">
        <f>AU11-AU25</f>
        <v>323931</v>
      </c>
      <c r="AV34" s="32">
        <f>AV11-AV25</f>
        <v>307980</v>
      </c>
      <c r="AW34" s="32">
        <f>AW11-AW25</f>
        <v>292777</v>
      </c>
      <c r="AX34" s="32">
        <f>AX11-AX25</f>
        <v>296754</v>
      </c>
      <c r="AY34" s="32">
        <f>AY11-AY25</f>
        <v>344037</v>
      </c>
      <c r="AZ34" s="32">
        <f>AZ11-AZ25</f>
        <v>367566</v>
      </c>
      <c r="BA34" s="32">
        <f>BA11-BA25</f>
        <v>372442</v>
      </c>
      <c r="BB34" s="32">
        <f>BB11-BB25</f>
        <v>375154</v>
      </c>
      <c r="BC34" s="32">
        <f>BC11-BC25</f>
        <v>340466</v>
      </c>
      <c r="BD34" s="32">
        <f>BD11-BD25</f>
        <v>314581</v>
      </c>
      <c r="BE34" s="32">
        <f>BE11-BE25</f>
        <v>253219</v>
      </c>
      <c r="BF34" s="32">
        <f>BE34</f>
        <v>253219</v>
      </c>
      <c r="BG34" s="17"/>
      <c r="BH34" s="32">
        <f>BH11-BH25</f>
        <v>307512</v>
      </c>
      <c r="BI34" s="32">
        <f>BI11-BI25</f>
        <v>302058</v>
      </c>
      <c r="BJ34" s="32">
        <f>BJ11-BJ25</f>
        <v>315841</v>
      </c>
      <c r="BK34" s="32">
        <f>BK11-BK25</f>
        <v>306027</v>
      </c>
      <c r="BL34" s="32">
        <f>BL11-BL25</f>
        <v>299077</v>
      </c>
      <c r="BM34" s="32">
        <f>BM11-BM25</f>
        <v>293121</v>
      </c>
      <c r="BN34" s="32">
        <f>BN11-BN25</f>
        <v>335286</v>
      </c>
      <c r="BO34" s="32">
        <f>BO11-BO25</f>
        <v>322561</v>
      </c>
      <c r="BP34" s="32">
        <f>BP11-BP25</f>
        <v>304307</v>
      </c>
      <c r="BQ34" s="32">
        <f>BQ11-BQ25</f>
        <v>280100</v>
      </c>
      <c r="BR34" s="32">
        <f>BR11-BR25</f>
        <v>215852</v>
      </c>
      <c r="BS34" s="32">
        <f>BS11-BS25</f>
        <v>188982</v>
      </c>
      <c r="BT34" s="32">
        <f>BS34</f>
        <v>188982</v>
      </c>
      <c r="BU34" s="28"/>
      <c r="BV34" s="32">
        <f>BV21-BV25-BV26</f>
        <v>146255</v>
      </c>
      <c r="BW34" s="32">
        <f>BW21-BW25-BW26</f>
        <v>155653</v>
      </c>
      <c r="BX34" s="32">
        <f>BX21-BX25-BX26</f>
        <v>86338</v>
      </c>
      <c r="BY34" s="32">
        <f>BY21-BY25-BY26</f>
        <v>106862</v>
      </c>
      <c r="BZ34" s="32">
        <f>BZ21-BZ25-BZ26</f>
        <v>112822</v>
      </c>
      <c r="CA34" s="32">
        <f>CA21-CA25-CA26</f>
        <v>149996</v>
      </c>
      <c r="CB34" s="32">
        <f>CB21-CB25-CB26</f>
        <v>145027</v>
      </c>
      <c r="CC34" s="32">
        <f>CC21-CC25-CC26</f>
        <v>102851</v>
      </c>
      <c r="CD34" s="32">
        <f>CD21-CD25-CD26</f>
        <v>116047</v>
      </c>
      <c r="CE34" s="32">
        <f>CE21-CE25-CE26</f>
        <v>86207</v>
      </c>
      <c r="CF34" s="32">
        <f>CF21-CF25-CF26</f>
        <v>109973</v>
      </c>
      <c r="CG34" s="32">
        <f>CG21-CG25-CG26</f>
        <v>94532</v>
      </c>
      <c r="CH34" s="32">
        <f>CH21-CH25-CH26</f>
        <v>94532</v>
      </c>
      <c r="CJ34" s="32">
        <f>CJ21-CJ25-CJ26</f>
        <v>78423</v>
      </c>
      <c r="CK34" s="32">
        <f>CK21-CK25-CK26</f>
        <v>78497</v>
      </c>
      <c r="CL34" s="32">
        <f>CL21-CL25-CL26</f>
        <v>75052</v>
      </c>
      <c r="CM34" s="32">
        <f>CM21-CM25-CM26</f>
        <v>121130</v>
      </c>
      <c r="CN34" s="32">
        <f>CN21-CN25-CN26</f>
        <v>175907.8879612374</v>
      </c>
      <c r="CO34" s="32">
        <f>CO21-CO25-CO26</f>
        <v>238961.73306000742</v>
      </c>
      <c r="CP34" s="32">
        <f>CP21-CP25-CP26</f>
        <v>271844.22259587242</v>
      </c>
      <c r="CQ34" s="32">
        <f>CQ21-CQ25-CQ26</f>
        <v>249838.52867182181</v>
      </c>
      <c r="CR34" s="32">
        <f>CR21-CR25-CR26</f>
        <v>201980.33782793995</v>
      </c>
      <c r="CS34" s="32">
        <f>CS21-CS25-CS26</f>
        <v>62966</v>
      </c>
      <c r="CT34" s="32">
        <f>CT21-CT25-CT26</f>
        <v>101848.14995780593</v>
      </c>
      <c r="CU34" s="32">
        <f>CU21-CU25-CU26</f>
        <v>111197.32717299581</v>
      </c>
      <c r="CV34" s="32">
        <v>116080.10690622788</v>
      </c>
      <c r="CW34" s="758"/>
      <c r="CX34" s="872">
        <v>242497</v>
      </c>
      <c r="CY34" s="872">
        <v>234422.08006563294</v>
      </c>
      <c r="CZ34" s="872">
        <v>194348.7132915963</v>
      </c>
      <c r="DA34" s="872">
        <v>223062.99421980139</v>
      </c>
      <c r="DB34" s="872">
        <v>228884.86858944659</v>
      </c>
      <c r="DC34" s="872">
        <v>240669.78918926936</v>
      </c>
      <c r="DD34" s="872">
        <v>234679.65868928705</v>
      </c>
      <c r="DE34" s="872">
        <v>197008.01236523816</v>
      </c>
      <c r="DF34" s="872">
        <v>148007.96159444697</v>
      </c>
      <c r="DG34" s="872">
        <v>111276.29521213027</v>
      </c>
      <c r="DH34" s="872">
        <v>93072.105643725808</v>
      </c>
      <c r="DI34" s="872">
        <v>116080.10690622788</v>
      </c>
      <c r="DJ34" s="32">
        <v>116080.10690622788</v>
      </c>
      <c r="DK34" s="948"/>
      <c r="DL34" s="872">
        <v>242497</v>
      </c>
      <c r="DM34" s="872">
        <v>234422.08006563294</v>
      </c>
      <c r="DN34" s="872">
        <v>194348.7132915963</v>
      </c>
      <c r="DO34" s="872">
        <v>223062.99421980139</v>
      </c>
      <c r="DP34" s="872">
        <v>228884.86858944659</v>
      </c>
      <c r="DQ34" s="872">
        <v>240669.78918926936</v>
      </c>
      <c r="DR34" s="872">
        <v>234679.65868928705</v>
      </c>
      <c r="DS34" s="872">
        <v>197008.01236523816</v>
      </c>
      <c r="DT34" s="872">
        <v>148007.96159444697</v>
      </c>
      <c r="DU34" s="872">
        <v>111276.29521213027</v>
      </c>
      <c r="DV34" s="872">
        <v>93072.105643725808</v>
      </c>
      <c r="DW34" s="872">
        <v>116080.10690622788</v>
      </c>
      <c r="DX34" s="32">
        <v>116080.10690622788</v>
      </c>
    </row>
    <row r="35" spans="1:143" s="594" customFormat="1" ht="18.75">
      <c r="A35" s="1005">
        <v>6</v>
      </c>
      <c r="B35" s="1038" t="s">
        <v>49</v>
      </c>
      <c r="C35" s="1039"/>
      <c r="D35" s="1040">
        <f t="shared" ref="D35:P35" si="45">SUM(D39:D62)</f>
        <v>82250</v>
      </c>
      <c r="E35" s="1041">
        <f t="shared" si="45"/>
        <v>117000</v>
      </c>
      <c r="F35" s="1041">
        <f t="shared" si="45"/>
        <v>121750</v>
      </c>
      <c r="G35" s="1041">
        <f t="shared" si="45"/>
        <v>150000</v>
      </c>
      <c r="H35" s="1041">
        <f t="shared" si="45"/>
        <v>99500</v>
      </c>
      <c r="I35" s="1041">
        <f t="shared" si="45"/>
        <v>102000</v>
      </c>
      <c r="J35" s="1041">
        <f t="shared" si="45"/>
        <v>177632</v>
      </c>
      <c r="K35" s="1041">
        <f t="shared" si="45"/>
        <v>178158</v>
      </c>
      <c r="L35" s="1041">
        <f t="shared" si="45"/>
        <v>199211</v>
      </c>
      <c r="M35" s="1041">
        <f t="shared" si="45"/>
        <v>229474</v>
      </c>
      <c r="N35" s="1041">
        <f t="shared" si="45"/>
        <v>122368</v>
      </c>
      <c r="O35" s="1041">
        <f t="shared" si="45"/>
        <v>38421</v>
      </c>
      <c r="P35" s="1042">
        <f t="shared" si="45"/>
        <v>1617764</v>
      </c>
      <c r="Q35" s="1043"/>
      <c r="R35" s="1040">
        <f t="shared" ref="R35:AC35" si="46">R39+R63</f>
        <v>136177.33998294926</v>
      </c>
      <c r="S35" s="1044">
        <f t="shared" si="46"/>
        <v>143840.32639116928</v>
      </c>
      <c r="T35" s="1044">
        <f t="shared" si="46"/>
        <v>142553.77192982455</v>
      </c>
      <c r="U35" s="1044">
        <f t="shared" si="46"/>
        <v>19814.899999999998</v>
      </c>
      <c r="V35" s="1044">
        <f t="shared" si="46"/>
        <v>52085</v>
      </c>
      <c r="W35" s="1045">
        <f t="shared" si="46"/>
        <v>70169.381950239796</v>
      </c>
      <c r="X35" s="1045">
        <f t="shared" si="46"/>
        <v>144463.33333333299</v>
      </c>
      <c r="Y35" s="1045">
        <f t="shared" si="46"/>
        <v>226547.08333333331</v>
      </c>
      <c r="Z35" s="1045">
        <f t="shared" si="46"/>
        <v>273187.5</v>
      </c>
      <c r="AA35" s="1045">
        <f t="shared" si="46"/>
        <v>172100</v>
      </c>
      <c r="AB35" s="1045">
        <f t="shared" si="46"/>
        <v>37500</v>
      </c>
      <c r="AC35" s="1045">
        <f t="shared" si="46"/>
        <v>0</v>
      </c>
      <c r="AD35" s="1046">
        <f>SUM(R35:AC35)</f>
        <v>1418438.6369208493</v>
      </c>
      <c r="AE35" s="1047"/>
      <c r="AF35" s="1048">
        <f>AF39+AF63</f>
        <v>128646</v>
      </c>
      <c r="AG35" s="1044">
        <f t="shared" ref="AG35:AQ35" si="47">AG39+AG63</f>
        <v>177977</v>
      </c>
      <c r="AH35" s="1044">
        <f t="shared" si="47"/>
        <v>73624</v>
      </c>
      <c r="AI35" s="1044">
        <f t="shared" si="47"/>
        <v>89358</v>
      </c>
      <c r="AJ35" s="1044">
        <f t="shared" si="47"/>
        <v>122134</v>
      </c>
      <c r="AK35" s="1044">
        <f t="shared" si="47"/>
        <v>148560</v>
      </c>
      <c r="AL35" s="1044">
        <f t="shared" si="47"/>
        <v>151995</v>
      </c>
      <c r="AM35" s="1044">
        <f t="shared" si="47"/>
        <v>238903</v>
      </c>
      <c r="AN35" s="1044">
        <f t="shared" si="47"/>
        <v>261133.33333333334</v>
      </c>
      <c r="AO35" s="1044">
        <f t="shared" si="47"/>
        <v>255900</v>
      </c>
      <c r="AP35" s="1044">
        <f t="shared" si="47"/>
        <v>128640</v>
      </c>
      <c r="AQ35" s="1044">
        <f t="shared" si="47"/>
        <v>97840</v>
      </c>
      <c r="AR35" s="1044">
        <f>SUM(AF35:AQ35)</f>
        <v>1874710.3333333333</v>
      </c>
      <c r="AS35" s="1047"/>
      <c r="AT35" s="1044">
        <f t="shared" ref="AT35:BD35" si="48">AT39+AT63</f>
        <v>152749.25</v>
      </c>
      <c r="AU35" s="1044">
        <f t="shared" si="48"/>
        <v>168522.10344827586</v>
      </c>
      <c r="AV35" s="1044">
        <f t="shared" si="48"/>
        <v>154121.13793103449</v>
      </c>
      <c r="AW35" s="1044">
        <f t="shared" si="48"/>
        <v>159595.13793103449</v>
      </c>
      <c r="AX35" s="1044">
        <f t="shared" si="48"/>
        <v>120099.96551724138</v>
      </c>
      <c r="AY35" s="1044">
        <f t="shared" si="48"/>
        <v>138343.77777777778</v>
      </c>
      <c r="AZ35" s="1044">
        <f t="shared" si="48"/>
        <v>166673.77777777778</v>
      </c>
      <c r="BA35" s="1044">
        <f t="shared" si="48"/>
        <v>242442.29629629629</v>
      </c>
      <c r="BB35" s="1044">
        <f t="shared" si="48"/>
        <v>243407.77777777778</v>
      </c>
      <c r="BC35" s="1044">
        <f t="shared" si="48"/>
        <v>253368.29075565783</v>
      </c>
      <c r="BD35" s="1044">
        <f t="shared" si="48"/>
        <v>134555.58688147296</v>
      </c>
      <c r="BE35" s="1044">
        <f>BE39+BE64</f>
        <v>72686.612965093984</v>
      </c>
      <c r="BF35" s="1044">
        <f t="shared" ref="BF35:BF37" si="49">SUM(AT35:BE35)</f>
        <v>2006565.7150594404</v>
      </c>
      <c r="BG35" s="1047">
        <f>BF35-AR35</f>
        <v>131855.38172610709</v>
      </c>
      <c r="BH35" s="1044">
        <f>BH36+BH63</f>
        <v>152753</v>
      </c>
      <c r="BI35" s="1044">
        <f t="shared" ref="BI35:BN35" si="50">BI36+BI63</f>
        <v>146822.33333333331</v>
      </c>
      <c r="BJ35" s="1044">
        <f t="shared" si="50"/>
        <v>171546.07407407407</v>
      </c>
      <c r="BK35" s="1044">
        <f t="shared" si="50"/>
        <v>159771.74074074073</v>
      </c>
      <c r="BL35" s="1044">
        <f t="shared" si="50"/>
        <v>132496.85185185185</v>
      </c>
      <c r="BM35" s="1044">
        <f t="shared" si="50"/>
        <v>129906.25925925926</v>
      </c>
      <c r="BN35" s="1044">
        <f t="shared" si="50"/>
        <v>171383.55555555556</v>
      </c>
      <c r="BO35" s="1044">
        <f>BO36+BO64</f>
        <v>179550.37811111109</v>
      </c>
      <c r="BP35" s="1044">
        <f>BP36+BP64</f>
        <v>202053.74953703705</v>
      </c>
      <c r="BQ35" s="1044">
        <f>BQ36+BQ64</f>
        <v>163865</v>
      </c>
      <c r="BR35" s="1044">
        <f>BR36+BR64</f>
        <v>175620.6</v>
      </c>
      <c r="BS35" s="1044">
        <v>92285.6</v>
      </c>
      <c r="BT35" s="1044">
        <f t="shared" ref="BT35:BT37" si="51">SUM(BH35:BS35)</f>
        <v>1878055.142462963</v>
      </c>
      <c r="BU35" s="1049"/>
      <c r="BV35" s="1044">
        <f>BV39+(BV64)*$CI$35</f>
        <v>161157.867486095</v>
      </c>
      <c r="BW35" s="1044">
        <f t="shared" ref="BW35:CG35" si="52">BW39+(BW64)*$CI$35</f>
        <v>155966.83045180296</v>
      </c>
      <c r="BX35" s="1044">
        <f>BX39+(BX64)*$CI$35</f>
        <v>196111.53846153844</v>
      </c>
      <c r="BY35" s="1044">
        <f t="shared" si="52"/>
        <v>159169.23076923078</v>
      </c>
      <c r="BZ35" s="1044">
        <f>BZ39+(BZ64)*$CI$35</f>
        <v>151482.39341785663</v>
      </c>
      <c r="CA35" s="1044">
        <f t="shared" si="52"/>
        <v>141442.12910096842</v>
      </c>
      <c r="CB35" s="1044">
        <f>CB39+(CB64)*$CI$35</f>
        <v>176986.21444761599</v>
      </c>
      <c r="CC35" s="1044">
        <f t="shared" si="52"/>
        <v>201301.08944885107</v>
      </c>
      <c r="CD35" s="1044">
        <f t="shared" si="52"/>
        <v>212833.04013559342</v>
      </c>
      <c r="CE35" s="1044">
        <f t="shared" si="52"/>
        <v>215922.30386211892</v>
      </c>
      <c r="CF35" s="1044">
        <f>CF39+(CF64)*$CI$35</f>
        <v>171115.84223630186</v>
      </c>
      <c r="CG35" s="1044">
        <f t="shared" si="52"/>
        <v>87483.816691710366</v>
      </c>
      <c r="CH35" s="1044">
        <f t="shared" ref="CH35:CH36" si="53">SUM(BV35:CG35)</f>
        <v>2030972.2965096838</v>
      </c>
      <c r="CI35" s="1050">
        <v>0.95</v>
      </c>
      <c r="CJ35" s="1044">
        <f>CJ39+CJ73</f>
        <v>157916.36697726426</v>
      </c>
      <c r="CK35" s="1044">
        <f t="shared" ref="CK35:CU35" si="54">CK39+CK73</f>
        <v>174843.65981364145</v>
      </c>
      <c r="CL35" s="1044">
        <f t="shared" si="54"/>
        <v>166692.33329854641</v>
      </c>
      <c r="CM35" s="1044">
        <f t="shared" si="54"/>
        <v>165624.1587774879</v>
      </c>
      <c r="CN35" s="1044">
        <f>CN39+CN73</f>
        <v>167851.1120387626</v>
      </c>
      <c r="CO35" s="1044">
        <f>CO39+CO73</f>
        <v>134946.15490122998</v>
      </c>
      <c r="CP35" s="1044">
        <f t="shared" si="54"/>
        <v>212117.51046413503</v>
      </c>
      <c r="CQ35" s="1044">
        <f t="shared" si="54"/>
        <v>229905.6939240506</v>
      </c>
      <c r="CR35" s="1044">
        <f t="shared" si="54"/>
        <v>265658.19084388186</v>
      </c>
      <c r="CS35" s="1044">
        <f>CS39+CS73</f>
        <v>250292.95105485231</v>
      </c>
      <c r="CT35" s="1044">
        <f>CT39+CT73</f>
        <v>173363.6010970464</v>
      </c>
      <c r="CU35" s="1044">
        <f>CU39+CU73</f>
        <v>96311.392405063292</v>
      </c>
      <c r="CV35" s="1044">
        <f>SUM(CJ35:CU35)</f>
        <v>2195523.1255959622</v>
      </c>
      <c r="CW35" s="1051"/>
      <c r="CX35" s="1044">
        <f t="shared" ref="CX35:DD35" si="55">CX39+CX73</f>
        <v>200000</v>
      </c>
      <c r="CY35" s="1044">
        <f t="shared" si="55"/>
        <v>219000.00000000003</v>
      </c>
      <c r="CZ35" s="1044">
        <f t="shared" si="55"/>
        <v>167000</v>
      </c>
      <c r="DA35" s="1044">
        <f t="shared" si="55"/>
        <v>163800</v>
      </c>
      <c r="DB35" s="1044">
        <f t="shared" si="55"/>
        <v>160300</v>
      </c>
      <c r="DC35" s="1044">
        <f t="shared" si="55"/>
        <v>115300.00000000001</v>
      </c>
      <c r="DD35" s="1044">
        <f t="shared" si="55"/>
        <v>199906.54</v>
      </c>
      <c r="DE35" s="1044">
        <f>DE39+DE73</f>
        <v>212076.58000000002</v>
      </c>
      <c r="DF35" s="1044">
        <f>DF39+DF73</f>
        <v>272892.79000000004</v>
      </c>
      <c r="DG35" s="1044">
        <f>DG39+DG73</f>
        <v>222786.20000000004</v>
      </c>
      <c r="DH35" s="1044">
        <f t="shared" ref="DH35:DW35" si="56">DH39+DH73</f>
        <v>155428.18</v>
      </c>
      <c r="DI35" s="1044">
        <f t="shared" si="56"/>
        <v>89000</v>
      </c>
      <c r="DJ35" s="844">
        <f>SUM(CX35:DI35)</f>
        <v>2177490.29</v>
      </c>
      <c r="DK35" s="948"/>
      <c r="DL35" s="1044">
        <f t="shared" si="56"/>
        <v>229000</v>
      </c>
      <c r="DM35" s="1044">
        <f t="shared" si="56"/>
        <v>172000</v>
      </c>
      <c r="DN35" s="1044">
        <f t="shared" si="56"/>
        <v>209000</v>
      </c>
      <c r="DO35" s="1044">
        <f t="shared" si="56"/>
        <v>156000</v>
      </c>
      <c r="DP35" s="1044">
        <f t="shared" si="56"/>
        <v>138000</v>
      </c>
      <c r="DQ35" s="1044">
        <f t="shared" si="56"/>
        <v>120000</v>
      </c>
      <c r="DR35" s="1044">
        <f t="shared" si="56"/>
        <v>202506.54</v>
      </c>
      <c r="DS35" s="1044">
        <f t="shared" si="56"/>
        <v>230576.58000000002</v>
      </c>
      <c r="DT35" s="1044">
        <f t="shared" si="56"/>
        <v>296892.78999999998</v>
      </c>
      <c r="DU35" s="1044">
        <f t="shared" si="56"/>
        <v>241486.2</v>
      </c>
      <c r="DV35" s="1044">
        <f t="shared" si="56"/>
        <v>167228.58000000002</v>
      </c>
      <c r="DW35" s="1044">
        <f t="shared" si="56"/>
        <v>93000</v>
      </c>
      <c r="DX35" s="1044">
        <f>SUM(DL35:DW35)</f>
        <v>2255690.69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</row>
    <row r="36" spans="1:143" ht="18.75" hidden="1">
      <c r="A36" s="61"/>
      <c r="B36" s="914" t="s">
        <v>51</v>
      </c>
      <c r="C36" s="915"/>
      <c r="D36" s="294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295"/>
      <c r="Q36" s="64"/>
      <c r="R36" s="294"/>
      <c r="S36" s="65"/>
      <c r="T36" s="65"/>
      <c r="U36" s="65"/>
      <c r="V36" s="296"/>
      <c r="W36" s="297"/>
      <c r="X36" s="297"/>
      <c r="Y36" s="297"/>
      <c r="Z36" s="297"/>
      <c r="AA36" s="297"/>
      <c r="AB36" s="297"/>
      <c r="AC36" s="66"/>
      <c r="AD36" s="67"/>
      <c r="AE36" s="68"/>
      <c r="AF36" s="298"/>
      <c r="AG36" s="65"/>
      <c r="AH36" s="65"/>
      <c r="AI36" s="65"/>
      <c r="AJ36" s="296"/>
      <c r="AK36" s="296"/>
      <c r="AL36" s="296"/>
      <c r="AM36" s="296"/>
      <c r="AN36" s="65"/>
      <c r="AO36" s="65"/>
      <c r="AP36" s="65"/>
      <c r="AQ36" s="65"/>
      <c r="AR36" s="299"/>
      <c r="AS36" s="68"/>
      <c r="AT36" s="65"/>
      <c r="AU36" s="65"/>
      <c r="AV36" s="65"/>
      <c r="AW36" s="65"/>
      <c r="AX36" s="65"/>
      <c r="AY36" s="69">
        <f t="shared" ref="AY36:BA36" si="57">AY39+AY64</f>
        <v>119777.77777777778</v>
      </c>
      <c r="AZ36" s="69">
        <f t="shared" si="57"/>
        <v>150777.77777777778</v>
      </c>
      <c r="BA36" s="69">
        <f t="shared" si="57"/>
        <v>233098.4962962963</v>
      </c>
      <c r="BB36" s="69">
        <f>BB37/BB38</f>
        <v>210777.77777777778</v>
      </c>
      <c r="BC36" s="69">
        <f>BC39+BC64</f>
        <v>249806.29075565783</v>
      </c>
      <c r="BD36" s="69">
        <f t="shared" ref="BD36:BE36" si="58">BD39+BD64*0.85</f>
        <v>122960.58688147296</v>
      </c>
      <c r="BE36" s="69">
        <f t="shared" si="58"/>
        <v>66386.612965093984</v>
      </c>
      <c r="BF36" s="69">
        <f t="shared" si="49"/>
        <v>1153585.3202318544</v>
      </c>
      <c r="BG36" s="68"/>
      <c r="BH36" s="69">
        <f>BH37/BH38-0.1*BH37/BH38</f>
        <v>116600</v>
      </c>
      <c r="BI36" s="69">
        <f t="shared" ref="BI36" si="59">BI37/BI38-0.1*BI37/BI38</f>
        <v>111533.33333333333</v>
      </c>
      <c r="BJ36" s="69">
        <f t="shared" ref="BJ36:BP36" si="60">BJ37/BJ38-0.05*BJ37/BJ38</f>
        <v>135674.07407407407</v>
      </c>
      <c r="BK36" s="69">
        <f t="shared" si="60"/>
        <v>121740.74074074074</v>
      </c>
      <c r="BL36" s="69">
        <f t="shared" si="60"/>
        <v>93926.851851851854</v>
      </c>
      <c r="BM36" s="69">
        <f t="shared" si="60"/>
        <v>90679.259259259255</v>
      </c>
      <c r="BN36" s="69">
        <f t="shared" si="60"/>
        <v>130255.55555555556</v>
      </c>
      <c r="BO36" s="69">
        <f t="shared" si="60"/>
        <v>150550.37811111109</v>
      </c>
      <c r="BP36" s="69">
        <f t="shared" si="60"/>
        <v>161830.74953703705</v>
      </c>
      <c r="BQ36" s="69">
        <v>127130</v>
      </c>
      <c r="BR36" s="69">
        <v>138687.6</v>
      </c>
      <c r="BS36" s="69">
        <v>43639.199999999997</v>
      </c>
      <c r="BT36" s="69">
        <f t="shared" si="51"/>
        <v>1422247.7424629631</v>
      </c>
      <c r="BU36" s="54"/>
      <c r="BV36" s="69">
        <f>BV39+BV63</f>
        <v>166555.77995873816</v>
      </c>
      <c r="BW36" s="69">
        <f>BW39+BW63</f>
        <v>152835.36924465047</v>
      </c>
      <c r="BX36" s="69">
        <f t="shared" ref="BX36:CG36" si="61">BX39+BX63</f>
        <v>195319.2072937729</v>
      </c>
      <c r="BY36" s="69">
        <f t="shared" si="61"/>
        <v>158396.18906207831</v>
      </c>
      <c r="BZ36" s="69">
        <f t="shared" si="61"/>
        <v>152371.51475009107</v>
      </c>
      <c r="CA36" s="69">
        <f t="shared" si="61"/>
        <v>147696.01107361159</v>
      </c>
      <c r="CB36" s="69">
        <f t="shared" si="61"/>
        <v>189465.0513586243</v>
      </c>
      <c r="CC36" s="69">
        <f t="shared" si="61"/>
        <v>202914.10079748323</v>
      </c>
      <c r="CD36" s="69">
        <f t="shared" si="61"/>
        <v>214499.61628422557</v>
      </c>
      <c r="CE36" s="69">
        <f t="shared" si="61"/>
        <v>217682.99793575107</v>
      </c>
      <c r="CF36" s="69">
        <f t="shared" si="61"/>
        <v>179284.72030485788</v>
      </c>
      <c r="CG36" s="69">
        <f t="shared" si="61"/>
        <v>88389.319383536102</v>
      </c>
      <c r="CH36" s="69">
        <f t="shared" si="53"/>
        <v>2065409.8774474205</v>
      </c>
      <c r="CI36" s="395">
        <f>(CH36-BT70)/BT70</f>
        <v>0.48621753003500767</v>
      </c>
      <c r="CJ36" s="69"/>
      <c r="CK36" s="69"/>
      <c r="CL36" s="69"/>
      <c r="CM36" s="69"/>
      <c r="CN36" s="69"/>
      <c r="CO36" s="69"/>
      <c r="CP36" s="69"/>
      <c r="CQ36" s="69"/>
      <c r="CR36" s="69"/>
      <c r="CS36" s="69"/>
      <c r="CT36" s="69"/>
      <c r="CU36" s="69"/>
      <c r="CV36" s="69"/>
      <c r="CW36" s="758"/>
      <c r="CX36" s="881">
        <v>166555.77995873816</v>
      </c>
      <c r="CY36" s="881">
        <v>152835.36924465047</v>
      </c>
      <c r="CZ36" s="881">
        <v>195319.2072937729</v>
      </c>
      <c r="DA36" s="881">
        <v>158396.18906207831</v>
      </c>
      <c r="DB36" s="881">
        <v>152371.51475009107</v>
      </c>
      <c r="DC36" s="881">
        <v>147696.01107361159</v>
      </c>
      <c r="DD36" s="881">
        <v>189465.0513586243</v>
      </c>
      <c r="DE36" s="881">
        <v>202914.10079748323</v>
      </c>
      <c r="DF36" s="881">
        <v>214499.61628422557</v>
      </c>
      <c r="DG36" s="881">
        <v>217682.99793575107</v>
      </c>
      <c r="DH36" s="881">
        <v>179284.72030485788</v>
      </c>
      <c r="DI36" s="881">
        <v>88389.319383536102</v>
      </c>
      <c r="DJ36" s="69">
        <v>2065409.8774474205</v>
      </c>
      <c r="DK36" s="948"/>
      <c r="DL36" s="881">
        <f>DL111*1.1</f>
        <v>183211.357954612</v>
      </c>
      <c r="DM36" s="881">
        <f t="shared" ref="DM36:DX36" si="62">DM111*1.1</f>
        <v>168118.90616911554</v>
      </c>
      <c r="DN36" s="881">
        <f t="shared" si="62"/>
        <v>214851.1280231502</v>
      </c>
      <c r="DO36" s="881">
        <f t="shared" si="62"/>
        <v>174235.80796828616</v>
      </c>
      <c r="DP36" s="881">
        <f t="shared" si="62"/>
        <v>167608.6662251002</v>
      </c>
      <c r="DQ36" s="881">
        <f t="shared" si="62"/>
        <v>162465.61218097276</v>
      </c>
      <c r="DR36" s="881">
        <f t="shared" si="62"/>
        <v>208411.55649448675</v>
      </c>
      <c r="DS36" s="881">
        <f t="shared" si="62"/>
        <v>223205.51087723157</v>
      </c>
      <c r="DT36" s="881">
        <f t="shared" si="62"/>
        <v>235949.57791264815</v>
      </c>
      <c r="DU36" s="881">
        <f t="shared" si="62"/>
        <v>239451.29772932621</v>
      </c>
      <c r="DV36" s="881">
        <f t="shared" si="62"/>
        <v>197213.19233534369</v>
      </c>
      <c r="DW36" s="881">
        <f t="shared" si="62"/>
        <v>97228.251321889722</v>
      </c>
      <c r="DX36" s="881">
        <f t="shared" si="62"/>
        <v>2271950.8651921628</v>
      </c>
    </row>
    <row r="37" spans="1:143" ht="18.75" hidden="1">
      <c r="A37" s="61"/>
      <c r="B37" s="914" t="s">
        <v>52</v>
      </c>
      <c r="C37" s="915"/>
      <c r="D37" s="294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295"/>
      <c r="Q37" s="64"/>
      <c r="R37" s="294"/>
      <c r="S37" s="65"/>
      <c r="T37" s="65"/>
      <c r="U37" s="65"/>
      <c r="V37" s="296"/>
      <c r="W37" s="297"/>
      <c r="X37" s="297"/>
      <c r="Y37" s="297"/>
      <c r="Z37" s="297"/>
      <c r="AA37" s="297"/>
      <c r="AB37" s="297"/>
      <c r="AC37" s="66"/>
      <c r="AD37" s="67"/>
      <c r="AE37" s="68"/>
      <c r="AF37" s="298"/>
      <c r="AG37" s="65"/>
      <c r="AH37" s="65" t="s">
        <v>53</v>
      </c>
      <c r="AI37" s="65"/>
      <c r="AJ37" s="296"/>
      <c r="AK37" s="296"/>
      <c r="AL37" s="296"/>
      <c r="AM37" s="296"/>
      <c r="AN37" s="65">
        <v>6715000</v>
      </c>
      <c r="AO37" s="65">
        <v>6555000</v>
      </c>
      <c r="AP37" s="65">
        <v>2640000</v>
      </c>
      <c r="AQ37" s="65">
        <v>1302000</v>
      </c>
      <c r="AR37" s="299"/>
      <c r="AS37" s="68"/>
      <c r="AT37" s="65">
        <v>3264695</v>
      </c>
      <c r="AU37" s="65">
        <v>3863760</v>
      </c>
      <c r="AV37" s="65">
        <v>3429225</v>
      </c>
      <c r="AW37" s="65">
        <v>3525360</v>
      </c>
      <c r="AX37" s="65">
        <v>2509485</v>
      </c>
      <c r="AY37" s="65">
        <v>2829000</v>
      </c>
      <c r="AZ37" s="65">
        <v>3666000</v>
      </c>
      <c r="BA37" s="65">
        <v>5705000</v>
      </c>
      <c r="BB37" s="65">
        <v>5691000</v>
      </c>
      <c r="BC37" s="65">
        <v>5600000</v>
      </c>
      <c r="BD37" s="65">
        <v>2430000</v>
      </c>
      <c r="BE37" s="65">
        <v>800000</v>
      </c>
      <c r="BF37" s="69">
        <f t="shared" si="49"/>
        <v>43313525</v>
      </c>
      <c r="BG37" s="68"/>
      <c r="BH37" s="70">
        <v>3498000</v>
      </c>
      <c r="BI37" s="70">
        <v>3346000</v>
      </c>
      <c r="BJ37" s="70">
        <v>3856000</v>
      </c>
      <c r="BK37" s="70">
        <v>3460000</v>
      </c>
      <c r="BL37" s="70">
        <v>2669500</v>
      </c>
      <c r="BM37" s="70">
        <v>2577200</v>
      </c>
      <c r="BN37" s="70">
        <v>3702000</v>
      </c>
      <c r="BO37" s="70">
        <v>4278800.22</v>
      </c>
      <c r="BP37" s="70">
        <v>4599400.25</v>
      </c>
      <c r="BQ37" s="70">
        <f>BQ36*BQ38</f>
        <v>3432510</v>
      </c>
      <c r="BR37" s="70">
        <v>2954493.21</v>
      </c>
      <c r="BS37" s="70">
        <v>984831.07</v>
      </c>
      <c r="BT37" s="65">
        <f t="shared" si="51"/>
        <v>39358734.75</v>
      </c>
      <c r="BU37" s="54"/>
      <c r="BV37" s="70">
        <f>BV38*BV39</f>
        <v>3399704.5546384701</v>
      </c>
      <c r="BW37" s="70">
        <f t="shared" ref="BW37:CG37" si="63">BW38*BW39</f>
        <v>3264737.5917468769</v>
      </c>
      <c r="BX37" s="70">
        <f t="shared" si="63"/>
        <v>4184999.9999999995</v>
      </c>
      <c r="BY37" s="70">
        <f t="shared" si="63"/>
        <v>3348000.0000000005</v>
      </c>
      <c r="BZ37" s="70">
        <f t="shared" si="63"/>
        <v>3074042.2288642721</v>
      </c>
      <c r="CA37" s="70">
        <f t="shared" si="63"/>
        <v>2812995.3566251793</v>
      </c>
      <c r="CB37" s="70">
        <f t="shared" si="63"/>
        <v>3737141.5756380158</v>
      </c>
      <c r="CC37" s="70">
        <f t="shared" si="63"/>
        <v>4437000.7194458414</v>
      </c>
      <c r="CD37" s="70">
        <f t="shared" si="63"/>
        <v>4710370.4261011425</v>
      </c>
      <c r="CE37" s="70">
        <f t="shared" si="63"/>
        <v>4744197.0280408058</v>
      </c>
      <c r="CF37" s="70">
        <f t="shared" si="63"/>
        <v>3461011.8981438484</v>
      </c>
      <c r="CG37" s="70">
        <f t="shared" si="63"/>
        <v>792579.23398446955</v>
      </c>
      <c r="CH37" s="65">
        <f>SUM(BV37:CG37)</f>
        <v>41966780.613228925</v>
      </c>
      <c r="CJ37" s="70">
        <v>3470304</v>
      </c>
      <c r="CK37" s="70">
        <v>4047936</v>
      </c>
      <c r="CL37" s="70">
        <v>3793200</v>
      </c>
      <c r="CM37" s="70">
        <v>3664392</v>
      </c>
      <c r="CN37" s="70">
        <v>3656712</v>
      </c>
      <c r="CO37" s="70">
        <v>2773872</v>
      </c>
      <c r="CP37" s="70">
        <v>5165016</v>
      </c>
      <c r="CQ37" s="70">
        <v>5668920</v>
      </c>
      <c r="CR37" s="70">
        <v>6676728</v>
      </c>
      <c r="CS37" s="70">
        <v>6194424</v>
      </c>
      <c r="CT37" s="70">
        <v>3814800</v>
      </c>
      <c r="CU37" s="70">
        <v>1459296</v>
      </c>
      <c r="CV37" s="70">
        <f>SUM(CJ37:CU37)</f>
        <v>50385600</v>
      </c>
      <c r="CW37" s="758"/>
      <c r="CX37" s="882">
        <v>3399704.5546384701</v>
      </c>
      <c r="CY37" s="882">
        <v>3264737.5917468769</v>
      </c>
      <c r="CZ37" s="882">
        <v>4184999.9999999995</v>
      </c>
      <c r="DA37" s="882">
        <v>3348000.0000000005</v>
      </c>
      <c r="DB37" s="882">
        <v>3074042.2288642721</v>
      </c>
      <c r="DC37" s="882">
        <v>2812995.3566251793</v>
      </c>
      <c r="DD37" s="882">
        <v>3737141.5756380158</v>
      </c>
      <c r="DE37" s="882">
        <v>4437000.7194458414</v>
      </c>
      <c r="DF37" s="882">
        <v>4710370.4261011425</v>
      </c>
      <c r="DG37" s="882">
        <v>4744197.0280408058</v>
      </c>
      <c r="DH37" s="882">
        <v>3461011.8981438484</v>
      </c>
      <c r="DI37" s="882">
        <v>792579.23398446955</v>
      </c>
      <c r="DJ37" s="70">
        <v>41966780.613228925</v>
      </c>
      <c r="DK37" s="948"/>
      <c r="DL37" s="882">
        <v>3399704.5546384701</v>
      </c>
      <c r="DM37" s="882">
        <v>3264737.5917468769</v>
      </c>
      <c r="DN37" s="882">
        <v>4184999.9999999995</v>
      </c>
      <c r="DO37" s="882">
        <v>3348000.0000000005</v>
      </c>
      <c r="DP37" s="882">
        <v>3074042.2288642721</v>
      </c>
      <c r="DQ37" s="882">
        <v>2812995.3566251793</v>
      </c>
      <c r="DR37" s="882">
        <v>3737141.5756380158</v>
      </c>
      <c r="DS37" s="882">
        <v>4437000.7194458414</v>
      </c>
      <c r="DT37" s="882">
        <v>4710370.4261011425</v>
      </c>
      <c r="DU37" s="882">
        <v>4744197.0280408058</v>
      </c>
      <c r="DV37" s="882">
        <v>3461011.8981438484</v>
      </c>
      <c r="DW37" s="882">
        <v>792579.23398446955</v>
      </c>
      <c r="DX37" s="65">
        <v>41966780.613228925</v>
      </c>
    </row>
    <row r="38" spans="1:143" ht="18.75" hidden="1">
      <c r="A38" s="71"/>
      <c r="B38" s="916" t="s">
        <v>54</v>
      </c>
      <c r="C38" s="917"/>
      <c r="D38" s="301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302"/>
      <c r="Q38" s="74"/>
      <c r="R38" s="301"/>
      <c r="S38" s="69"/>
      <c r="T38" s="69"/>
      <c r="U38" s="69"/>
      <c r="V38" s="303"/>
      <c r="W38" s="304"/>
      <c r="X38" s="304"/>
      <c r="Y38" s="304"/>
      <c r="Z38" s="304"/>
      <c r="AA38" s="304"/>
      <c r="AB38" s="304"/>
      <c r="AC38" s="75"/>
      <c r="AD38" s="76"/>
      <c r="AE38" s="77"/>
      <c r="AF38" s="305"/>
      <c r="AG38" s="69"/>
      <c r="AH38" s="69"/>
      <c r="AI38" s="69"/>
      <c r="AJ38" s="303"/>
      <c r="AK38" s="303"/>
      <c r="AL38" s="303"/>
      <c r="AM38" s="303"/>
      <c r="AN38" s="69">
        <f t="shared" ref="AN38:AQ38" si="64">30</f>
        <v>30</v>
      </c>
      <c r="AO38" s="69">
        <f t="shared" si="64"/>
        <v>30</v>
      </c>
      <c r="AP38" s="69">
        <f t="shared" si="64"/>
        <v>30</v>
      </c>
      <c r="AQ38" s="69">
        <f t="shared" si="64"/>
        <v>30</v>
      </c>
      <c r="AR38" s="306"/>
      <c r="AS38" s="77"/>
      <c r="AT38" s="69">
        <v>28</v>
      </c>
      <c r="AU38" s="69">
        <v>29</v>
      </c>
      <c r="AV38" s="69">
        <v>29</v>
      </c>
      <c r="AW38" s="69">
        <v>29</v>
      </c>
      <c r="AX38" s="69">
        <v>29</v>
      </c>
      <c r="AY38" s="69">
        <v>27</v>
      </c>
      <c r="AZ38" s="69">
        <v>27</v>
      </c>
      <c r="BA38" s="69">
        <v>27</v>
      </c>
      <c r="BB38" s="69">
        <v>27</v>
      </c>
      <c r="BC38" s="69">
        <v>26.07</v>
      </c>
      <c r="BD38" s="69">
        <v>26.07</v>
      </c>
      <c r="BE38" s="69">
        <v>26.07</v>
      </c>
      <c r="BF38" s="305"/>
      <c r="BG38" s="78"/>
      <c r="BH38" s="69">
        <v>27</v>
      </c>
      <c r="BI38" s="69">
        <v>27</v>
      </c>
      <c r="BJ38" s="69">
        <v>27</v>
      </c>
      <c r="BK38" s="69">
        <v>27</v>
      </c>
      <c r="BL38" s="69">
        <v>27</v>
      </c>
      <c r="BM38" s="69">
        <v>27</v>
      </c>
      <c r="BN38" s="69">
        <v>27</v>
      </c>
      <c r="BO38" s="69">
        <v>27</v>
      </c>
      <c r="BP38" s="69">
        <v>27</v>
      </c>
      <c r="BQ38" s="69">
        <v>27</v>
      </c>
      <c r="BR38" s="69">
        <v>27</v>
      </c>
      <c r="BS38" s="69">
        <v>27</v>
      </c>
      <c r="BT38" s="69"/>
      <c r="BU38" s="54"/>
      <c r="BV38" s="69">
        <v>26</v>
      </c>
      <c r="BW38" s="69">
        <v>26</v>
      </c>
      <c r="BX38" s="69">
        <v>26</v>
      </c>
      <c r="BY38" s="69">
        <v>26</v>
      </c>
      <c r="BZ38" s="69">
        <v>26</v>
      </c>
      <c r="CA38" s="69">
        <v>26</v>
      </c>
      <c r="CB38" s="69">
        <v>26</v>
      </c>
      <c r="CC38" s="69">
        <v>26</v>
      </c>
      <c r="CD38" s="69">
        <v>26</v>
      </c>
      <c r="CE38" s="69">
        <v>26</v>
      </c>
      <c r="CF38" s="69">
        <v>26</v>
      </c>
      <c r="CG38" s="69">
        <v>26</v>
      </c>
      <c r="CH38" s="69"/>
      <c r="CJ38" s="751">
        <v>26.83</v>
      </c>
      <c r="CK38" s="751">
        <f>CJ38</f>
        <v>26.83</v>
      </c>
      <c r="CL38" s="751">
        <f t="shared" ref="CL38:CV38" si="65">CK38</f>
        <v>26.83</v>
      </c>
      <c r="CM38" s="751">
        <f t="shared" si="65"/>
        <v>26.83</v>
      </c>
      <c r="CN38" s="751">
        <f t="shared" si="65"/>
        <v>26.83</v>
      </c>
      <c r="CO38" s="751">
        <f t="shared" si="65"/>
        <v>26.83</v>
      </c>
      <c r="CP38" s="751">
        <v>28.44</v>
      </c>
      <c r="CQ38" s="751">
        <f t="shared" si="65"/>
        <v>28.44</v>
      </c>
      <c r="CR38" s="751">
        <f t="shared" si="65"/>
        <v>28.44</v>
      </c>
      <c r="CS38" s="751">
        <f t="shared" si="65"/>
        <v>28.44</v>
      </c>
      <c r="CT38" s="751">
        <f t="shared" si="65"/>
        <v>28.44</v>
      </c>
      <c r="CU38" s="751">
        <f t="shared" si="65"/>
        <v>28.44</v>
      </c>
      <c r="CV38" s="69">
        <f t="shared" si="65"/>
        <v>28.44</v>
      </c>
      <c r="CW38" s="758"/>
      <c r="CX38" s="881">
        <v>26</v>
      </c>
      <c r="CY38" s="881">
        <v>26</v>
      </c>
      <c r="CZ38" s="881">
        <v>26</v>
      </c>
      <c r="DA38" s="881">
        <v>26</v>
      </c>
      <c r="DB38" s="881">
        <v>26</v>
      </c>
      <c r="DC38" s="881">
        <v>26</v>
      </c>
      <c r="DD38" s="881">
        <v>26</v>
      </c>
      <c r="DE38" s="881">
        <v>26</v>
      </c>
      <c r="DF38" s="881">
        <v>26</v>
      </c>
      <c r="DG38" s="881">
        <v>26</v>
      </c>
      <c r="DH38" s="881">
        <v>26</v>
      </c>
      <c r="DI38" s="881">
        <v>26</v>
      </c>
      <c r="DJ38" s="69"/>
      <c r="DK38" s="948"/>
      <c r="DL38" s="881">
        <v>26</v>
      </c>
      <c r="DM38" s="881">
        <v>26</v>
      </c>
      <c r="DN38" s="881">
        <v>26</v>
      </c>
      <c r="DO38" s="881">
        <v>26</v>
      </c>
      <c r="DP38" s="881">
        <v>26</v>
      </c>
      <c r="DQ38" s="881">
        <v>26</v>
      </c>
      <c r="DR38" s="881">
        <v>26</v>
      </c>
      <c r="DS38" s="881">
        <v>26</v>
      </c>
      <c r="DT38" s="881">
        <v>26</v>
      </c>
      <c r="DU38" s="881">
        <v>26</v>
      </c>
      <c r="DV38" s="881">
        <v>26</v>
      </c>
      <c r="DW38" s="881">
        <v>26</v>
      </c>
      <c r="DX38" s="69"/>
    </row>
    <row r="39" spans="1:143" ht="18.75">
      <c r="A39" s="79"/>
      <c r="B39" s="80" t="s">
        <v>121</v>
      </c>
      <c r="C39" s="81"/>
      <c r="D39" s="288">
        <v>82250</v>
      </c>
      <c r="E39" s="57">
        <v>117000</v>
      </c>
      <c r="F39" s="57">
        <v>121750</v>
      </c>
      <c r="G39" s="57">
        <v>150000</v>
      </c>
      <c r="H39" s="57">
        <v>99500</v>
      </c>
      <c r="I39" s="57">
        <v>102000</v>
      </c>
      <c r="J39" s="57">
        <v>177632</v>
      </c>
      <c r="K39" s="57">
        <v>178158</v>
      </c>
      <c r="L39" s="57">
        <v>199211</v>
      </c>
      <c r="M39" s="57">
        <v>229474</v>
      </c>
      <c r="N39" s="57">
        <v>122368</v>
      </c>
      <c r="O39" s="57">
        <v>38421</v>
      </c>
      <c r="P39" s="289">
        <f>SUM(D39:O39)</f>
        <v>1617764</v>
      </c>
      <c r="Q39" s="39"/>
      <c r="R39" s="288">
        <v>115619.79612330014</v>
      </c>
      <c r="S39" s="58">
        <v>123327.78253152016</v>
      </c>
      <c r="T39" s="58">
        <v>128854</v>
      </c>
      <c r="U39" s="58">
        <f>126016*0.15</f>
        <v>18902.399999999998</v>
      </c>
      <c r="V39" s="58">
        <v>35234</v>
      </c>
      <c r="W39" s="290">
        <v>56469.381950239796</v>
      </c>
      <c r="X39" s="290">
        <v>118413.33333333299</v>
      </c>
      <c r="Y39" s="290">
        <v>198797.08333333331</v>
      </c>
      <c r="Z39" s="290">
        <v>242087.5</v>
      </c>
      <c r="AA39" s="290">
        <v>140000</v>
      </c>
      <c r="AB39" s="290">
        <v>0</v>
      </c>
      <c r="AC39" s="290">
        <v>-45300</v>
      </c>
      <c r="AD39" s="291">
        <f>SUM(R39:AC39)</f>
        <v>1132405.2772717264</v>
      </c>
      <c r="AE39" s="59"/>
      <c r="AF39" s="292">
        <v>90146</v>
      </c>
      <c r="AG39" s="58">
        <v>155577</v>
      </c>
      <c r="AH39" s="58">
        <v>62953</v>
      </c>
      <c r="AI39" s="58">
        <v>73261</v>
      </c>
      <c r="AJ39" s="58">
        <v>91856</v>
      </c>
      <c r="AK39" s="58">
        <v>120000</v>
      </c>
      <c r="AL39" s="58">
        <v>110295</v>
      </c>
      <c r="AM39" s="58">
        <v>200203</v>
      </c>
      <c r="AN39" s="58">
        <f t="shared" ref="AN39:AQ39" si="66">AN37/AN38</f>
        <v>223833.33333333334</v>
      </c>
      <c r="AO39" s="58">
        <f t="shared" si="66"/>
        <v>218500</v>
      </c>
      <c r="AP39" s="58">
        <f t="shared" si="66"/>
        <v>88000</v>
      </c>
      <c r="AQ39" s="58">
        <f t="shared" si="66"/>
        <v>43400</v>
      </c>
      <c r="AR39" s="58">
        <f>SUM(AF39:AQ39)</f>
        <v>1478024.3333333333</v>
      </c>
      <c r="AS39" s="59"/>
      <c r="AT39" s="58">
        <f t="shared" ref="AT39:BE39" si="67">AT37/AT38</f>
        <v>116596.25</v>
      </c>
      <c r="AU39" s="58">
        <f t="shared" si="67"/>
        <v>133233.10344827586</v>
      </c>
      <c r="AV39" s="58">
        <f t="shared" si="67"/>
        <v>118249.13793103448</v>
      </c>
      <c r="AW39" s="58">
        <f t="shared" si="67"/>
        <v>121564.13793103448</v>
      </c>
      <c r="AX39" s="58">
        <f t="shared" si="67"/>
        <v>86533.965517241377</v>
      </c>
      <c r="AY39" s="58">
        <f t="shared" si="67"/>
        <v>104777.77777777778</v>
      </c>
      <c r="AZ39" s="58">
        <f t="shared" si="67"/>
        <v>135777.77777777778</v>
      </c>
      <c r="BA39" s="58">
        <f t="shared" si="67"/>
        <v>211296.29629629629</v>
      </c>
      <c r="BB39" s="58">
        <f t="shared" si="67"/>
        <v>210777.77777777778</v>
      </c>
      <c r="BC39" s="58">
        <f t="shared" si="67"/>
        <v>214806.29075565783</v>
      </c>
      <c r="BD39" s="58">
        <f t="shared" si="67"/>
        <v>93210.586881472962</v>
      </c>
      <c r="BE39" s="58">
        <f t="shared" si="67"/>
        <v>30686.612965093977</v>
      </c>
      <c r="BF39" s="58">
        <f>SUM(AT39:BE39)</f>
        <v>1577509.7150594404</v>
      </c>
      <c r="BG39" s="59">
        <f>BF39-AR39</f>
        <v>99485.381726107094</v>
      </c>
      <c r="BH39" s="58">
        <f>BH36</f>
        <v>116600</v>
      </c>
      <c r="BI39" s="58">
        <f t="shared" ref="BI39:BT39" si="68">BI36</f>
        <v>111533.33333333333</v>
      </c>
      <c r="BJ39" s="58">
        <f t="shared" si="68"/>
        <v>135674.07407407407</v>
      </c>
      <c r="BK39" s="58">
        <f t="shared" si="68"/>
        <v>121740.74074074074</v>
      </c>
      <c r="BL39" s="58">
        <f t="shared" si="68"/>
        <v>93926.851851851854</v>
      </c>
      <c r="BM39" s="58">
        <f t="shared" si="68"/>
        <v>90679.259259259255</v>
      </c>
      <c r="BN39" s="58">
        <f t="shared" si="68"/>
        <v>130255.55555555556</v>
      </c>
      <c r="BO39" s="58">
        <f t="shared" si="68"/>
        <v>150550.37811111109</v>
      </c>
      <c r="BP39" s="58">
        <f t="shared" si="68"/>
        <v>161830.74953703705</v>
      </c>
      <c r="BQ39" s="58">
        <f t="shared" si="68"/>
        <v>127130</v>
      </c>
      <c r="BR39" s="58">
        <f>BR36</f>
        <v>138687.6</v>
      </c>
      <c r="BS39" s="58">
        <f t="shared" si="68"/>
        <v>43639.199999999997</v>
      </c>
      <c r="BT39" s="58">
        <f t="shared" si="68"/>
        <v>1422247.7424629631</v>
      </c>
      <c r="BU39" s="60"/>
      <c r="BV39" s="58">
        <f>'META  EM PEÇAS'!S73</f>
        <v>130757.867486095</v>
      </c>
      <c r="BW39" s="58">
        <f>'META  EM PEÇAS'!T73</f>
        <v>125566.83045180296</v>
      </c>
      <c r="BX39" s="58">
        <f>'META  EM PEÇAS'!U73</f>
        <v>160961.53846153844</v>
      </c>
      <c r="BY39" s="58">
        <f>'META  EM PEÇAS'!V73</f>
        <v>128769.23076923078</v>
      </c>
      <c r="BZ39" s="58">
        <f>'META  EM PEÇAS'!W73</f>
        <v>118232.39341785663</v>
      </c>
      <c r="CA39" s="58">
        <f>'META  EM PEÇAS'!X73</f>
        <v>108192.12910096844</v>
      </c>
      <c r="CB39" s="58">
        <f>'META  EM PEÇAS'!Y73</f>
        <v>143736.21444761599</v>
      </c>
      <c r="CC39" s="58">
        <f>'META  EM PEÇAS'!Z73</f>
        <v>170653.87382484006</v>
      </c>
      <c r="CD39" s="58">
        <f>'META  EM PEÇAS'!AA73</f>
        <v>181168.0933115824</v>
      </c>
      <c r="CE39" s="58">
        <f>'META  EM PEÇAS'!AB73</f>
        <v>182469.1164631079</v>
      </c>
      <c r="CF39" s="58">
        <f>'META  EM PEÇAS'!AC73</f>
        <v>133115.84223630186</v>
      </c>
      <c r="CG39" s="58">
        <f>'META  EM PEÇAS'!AD73</f>
        <v>30483.816691710366</v>
      </c>
      <c r="CH39" s="58">
        <v>45</v>
      </c>
      <c r="CI39">
        <f>CH39*26</f>
        <v>1170</v>
      </c>
      <c r="CJ39" s="58">
        <f>CJ37/CJ38</f>
        <v>129344.16697726426</v>
      </c>
      <c r="CK39" s="58">
        <f t="shared" ref="CK39:CU39" si="69">CK37/CK38</f>
        <v>150873.49981364145</v>
      </c>
      <c r="CL39" s="58">
        <f t="shared" si="69"/>
        <v>141379.05329854641</v>
      </c>
      <c r="CM39" s="58">
        <f t="shared" si="69"/>
        <v>136578.1587774879</v>
      </c>
      <c r="CN39" s="58">
        <f>CN37/CN38</f>
        <v>136291.91203876259</v>
      </c>
      <c r="CO39" s="58">
        <f t="shared" si="69"/>
        <v>103386.95490122997</v>
      </c>
      <c r="CP39" s="58">
        <f>CP37/CP38</f>
        <v>181610.97046413503</v>
      </c>
      <c r="CQ39" s="58">
        <f t="shared" si="69"/>
        <v>199329.11392405062</v>
      </c>
      <c r="CR39" s="58">
        <f>CR37/CR38</f>
        <v>234765.40084388186</v>
      </c>
      <c r="CS39" s="58">
        <f>CS37/CS38</f>
        <v>217806.7510548523</v>
      </c>
      <c r="CT39" s="58">
        <f t="shared" si="69"/>
        <v>134135.02109704641</v>
      </c>
      <c r="CU39" s="58">
        <f t="shared" si="69"/>
        <v>51311.392405063292</v>
      </c>
      <c r="CV39" s="58">
        <f>SUM(CJ39:CU39)</f>
        <v>1816812.3955959619</v>
      </c>
      <c r="CW39" s="758"/>
      <c r="CX39" s="880">
        <f>CX40*1.1</f>
        <v>176000</v>
      </c>
      <c r="CY39" s="880">
        <f t="shared" ref="CY39:DI39" si="70">CY40*1.1</f>
        <v>198000.00000000003</v>
      </c>
      <c r="CZ39" s="880">
        <f t="shared" si="70"/>
        <v>143000</v>
      </c>
      <c r="DA39" s="880">
        <f t="shared" si="70"/>
        <v>140800</v>
      </c>
      <c r="DB39" s="880">
        <f t="shared" si="70"/>
        <v>135300</v>
      </c>
      <c r="DC39" s="880">
        <f t="shared" si="70"/>
        <v>91300.000000000015</v>
      </c>
      <c r="DD39" s="880">
        <f t="shared" si="70"/>
        <v>169400</v>
      </c>
      <c r="DE39" s="880">
        <f>DE40*1.1</f>
        <v>181500.00000000003</v>
      </c>
      <c r="DF39" s="880">
        <f>DF40*1.1</f>
        <v>242000.00000000003</v>
      </c>
      <c r="DG39" s="880">
        <f>DG40*1.1</f>
        <v>190300.00000000003</v>
      </c>
      <c r="DH39" s="880">
        <f t="shared" si="70"/>
        <v>116199.6</v>
      </c>
      <c r="DI39" s="880">
        <f t="shared" si="70"/>
        <v>44000</v>
      </c>
      <c r="DJ39" s="58">
        <f>SUM(CX39:DI39)</f>
        <v>1827799.6</v>
      </c>
      <c r="DK39" s="948"/>
      <c r="DL39" s="880">
        <f>ROUND(DL123*1.1/1000,0)*1000</f>
        <v>205000</v>
      </c>
      <c r="DM39" s="880">
        <f>ROUND(DM123*1.1/1000,0)*1000</f>
        <v>151000</v>
      </c>
      <c r="DN39" s="880">
        <f t="shared" ref="DN39:DX39" si="71">ROUND(DN123*1.1/1000,0)*1000</f>
        <v>185000</v>
      </c>
      <c r="DO39" s="831">
        <f t="shared" si="71"/>
        <v>133000</v>
      </c>
      <c r="DP39" s="831">
        <f t="shared" si="71"/>
        <v>113000</v>
      </c>
      <c r="DQ39" s="880">
        <f t="shared" si="71"/>
        <v>96000</v>
      </c>
      <c r="DR39" s="880">
        <f t="shared" si="71"/>
        <v>172000</v>
      </c>
      <c r="DS39" s="880">
        <f t="shared" si="71"/>
        <v>200000</v>
      </c>
      <c r="DT39" s="880">
        <f t="shared" si="71"/>
        <v>266000</v>
      </c>
      <c r="DU39" s="880">
        <f t="shared" si="71"/>
        <v>209000</v>
      </c>
      <c r="DV39" s="880">
        <f t="shared" si="71"/>
        <v>128000</v>
      </c>
      <c r="DW39" s="880">
        <f t="shared" si="71"/>
        <v>48000</v>
      </c>
      <c r="DX39" s="58">
        <f>SUM(DL39:DW39)</f>
        <v>1906000</v>
      </c>
    </row>
    <row r="40" spans="1:143" ht="18.75" hidden="1">
      <c r="A40" s="307"/>
      <c r="B40" s="918"/>
      <c r="C40" s="919" t="s">
        <v>122</v>
      </c>
      <c r="D40" s="309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310"/>
      <c r="Q40" s="84"/>
      <c r="R40" s="309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311"/>
      <c r="AE40" s="23"/>
      <c r="AF40" s="312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6"/>
      <c r="AS40" s="23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2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54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J40" s="87">
        <f t="shared" ref="CJ40:CT40" si="72">(CJ39*0.95)-2000</f>
        <v>120876.95862840104</v>
      </c>
      <c r="CK40" s="87">
        <f t="shared" si="72"/>
        <v>141329.82482295937</v>
      </c>
      <c r="CL40" s="87">
        <f t="shared" si="72"/>
        <v>132310.10063361909</v>
      </c>
      <c r="CM40" s="87">
        <f t="shared" si="72"/>
        <v>127749.2508386135</v>
      </c>
      <c r="CN40" s="87">
        <f t="shared" si="72"/>
        <v>127477.31643682445</v>
      </c>
      <c r="CO40" s="87">
        <f t="shared" si="72"/>
        <v>96217.607156168466</v>
      </c>
      <c r="CP40" s="87">
        <f>(CP39*0.95)-2000</f>
        <v>170530.42194092827</v>
      </c>
      <c r="CQ40" s="87">
        <f t="shared" si="72"/>
        <v>187362.65822784806</v>
      </c>
      <c r="CR40" s="87">
        <f t="shared" si="72"/>
        <v>221027.13080168774</v>
      </c>
      <c r="CS40" s="87">
        <f t="shared" si="72"/>
        <v>204916.41350210967</v>
      </c>
      <c r="CT40" s="87">
        <f t="shared" si="72"/>
        <v>125428.27004219408</v>
      </c>
      <c r="CU40" s="87">
        <f>(CU39*0.95)-2000</f>
        <v>46745.822784810123</v>
      </c>
      <c r="CV40" s="87">
        <f>SUM(CJ40:CU40)</f>
        <v>1701971.775816164</v>
      </c>
      <c r="CW40" s="758"/>
      <c r="CX40" s="883">
        <v>160000</v>
      </c>
      <c r="CY40" s="883">
        <v>180000</v>
      </c>
      <c r="CZ40" s="883">
        <v>130000</v>
      </c>
      <c r="DA40" s="883">
        <v>128000</v>
      </c>
      <c r="DB40" s="883">
        <v>123000</v>
      </c>
      <c r="DC40" s="883">
        <v>83000</v>
      </c>
      <c r="DD40" s="883">
        <v>154000</v>
      </c>
      <c r="DE40" s="883">
        <v>165000</v>
      </c>
      <c r="DF40" s="883">
        <v>220000</v>
      </c>
      <c r="DG40" s="883">
        <v>173000</v>
      </c>
      <c r="DH40" s="883">
        <v>105636</v>
      </c>
      <c r="DI40" s="883">
        <v>40000</v>
      </c>
      <c r="DJ40" s="87">
        <f>SUM(CX40:DI40)</f>
        <v>1661636</v>
      </c>
      <c r="DK40" s="948"/>
      <c r="DL40" s="883">
        <v>169016.1</v>
      </c>
      <c r="DM40" s="883">
        <v>125000</v>
      </c>
      <c r="DN40" s="883">
        <v>153000</v>
      </c>
      <c r="DO40" s="975">
        <v>110000.00000000001</v>
      </c>
      <c r="DP40" s="975">
        <v>93500.000000000015</v>
      </c>
      <c r="DQ40" s="883">
        <v>79000</v>
      </c>
      <c r="DR40" s="883">
        <v>142000</v>
      </c>
      <c r="DS40" s="883">
        <f>DE39</f>
        <v>181500.00000000003</v>
      </c>
      <c r="DT40" s="883">
        <f t="shared" ref="DT40:DW40" si="73">DF39</f>
        <v>242000.00000000003</v>
      </c>
      <c r="DU40" s="883">
        <f t="shared" si="73"/>
        <v>190300.00000000003</v>
      </c>
      <c r="DV40" s="883">
        <f t="shared" si="73"/>
        <v>116199.6</v>
      </c>
      <c r="DW40" s="883">
        <f t="shared" si="73"/>
        <v>44000</v>
      </c>
      <c r="DX40" s="87">
        <f>SUM(DL40:DW40)</f>
        <v>1645515.7000000002</v>
      </c>
    </row>
    <row r="41" spans="1:143" ht="18.75" hidden="1">
      <c r="A41" s="709"/>
      <c r="B41" s="920"/>
      <c r="C41" s="920"/>
      <c r="D41" s="309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310"/>
      <c r="Q41" s="84"/>
      <c r="R41" s="309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311"/>
      <c r="AE41" s="23"/>
      <c r="AF41" s="312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6"/>
      <c r="AS41" s="23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2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7"/>
      <c r="BU41" s="54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J41" s="711">
        <f>(CJ39-CJ40)/CJ40</f>
        <v>7.0048158432683957E-2</v>
      </c>
      <c r="CK41" s="711">
        <f t="shared" ref="CK41:CU41" si="74">(CK39-CK40)/CK40</f>
        <v>6.7527678624361279E-2</v>
      </c>
      <c r="CL41" s="711">
        <f t="shared" si="74"/>
        <v>6.8543162022378201E-2</v>
      </c>
      <c r="CM41" s="711">
        <f t="shared" si="74"/>
        <v>6.911123064062441E-2</v>
      </c>
      <c r="CN41" s="711">
        <f t="shared" si="74"/>
        <v>6.9146385006516056E-2</v>
      </c>
      <c r="CO41" s="711">
        <f t="shared" si="74"/>
        <v>7.4511806694850649E-2</v>
      </c>
      <c r="CP41" s="711">
        <f t="shared" si="74"/>
        <v>6.4976960691770641E-2</v>
      </c>
      <c r="CQ41" s="711">
        <f t="shared" si="74"/>
        <v>6.3867879594504795E-2</v>
      </c>
      <c r="CR41" s="711">
        <f t="shared" si="74"/>
        <v>6.2156487270879454E-2</v>
      </c>
      <c r="CS41" s="711">
        <f t="shared" si="74"/>
        <v>6.2905344342316025E-2</v>
      </c>
      <c r="CT41" s="711">
        <f t="shared" si="74"/>
        <v>6.94161774847359E-2</v>
      </c>
      <c r="CU41" s="711">
        <f t="shared" si="74"/>
        <v>9.7667970061631554E-2</v>
      </c>
      <c r="CV41" s="87"/>
      <c r="CW41" s="758"/>
      <c r="CX41" s="883"/>
      <c r="CY41" s="883"/>
      <c r="CZ41" s="883"/>
      <c r="DA41" s="883"/>
      <c r="DB41" s="883"/>
      <c r="DC41" s="883"/>
      <c r="DD41" s="883"/>
      <c r="DE41" s="883"/>
      <c r="DF41" s="883"/>
      <c r="DG41" s="883"/>
      <c r="DH41" s="883"/>
      <c r="DI41" s="883"/>
      <c r="DJ41" s="87"/>
      <c r="DK41" s="948"/>
      <c r="DL41" s="883"/>
      <c r="DM41" s="883"/>
      <c r="DN41" s="883"/>
      <c r="DO41" s="883"/>
      <c r="DP41" s="883"/>
      <c r="DQ41" s="883"/>
      <c r="DR41" s="883"/>
      <c r="DS41" s="883"/>
      <c r="DT41" s="883"/>
      <c r="DU41" s="883"/>
      <c r="DV41" s="883"/>
      <c r="DW41" s="883"/>
      <c r="DX41" s="87"/>
    </row>
    <row r="42" spans="1:143" ht="15" hidden="1" customHeight="1" outlineLevel="1">
      <c r="A42" s="88">
        <v>1</v>
      </c>
      <c r="B42" s="1078" t="s">
        <v>56</v>
      </c>
      <c r="C42" s="1119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ref="P42:P54" si="75">SUM(D42:O42)</f>
        <v>0</v>
      </c>
      <c r="Q42" s="90"/>
      <c r="R42" s="313">
        <v>7017.5438596491231</v>
      </c>
      <c r="S42" s="91">
        <v>7017.5438596491231</v>
      </c>
      <c r="T42" s="91">
        <f>7017.54385964912/2</f>
        <v>3508.7719298245602</v>
      </c>
      <c r="U42" s="91">
        <f>96*U8</f>
        <v>96</v>
      </c>
      <c r="V42" s="91">
        <v>3000</v>
      </c>
      <c r="W42" s="91">
        <v>7200</v>
      </c>
      <c r="X42" s="91">
        <v>8500</v>
      </c>
      <c r="Y42" s="91">
        <v>8500</v>
      </c>
      <c r="Z42" s="91">
        <v>8500</v>
      </c>
      <c r="AA42" s="91">
        <v>9000</v>
      </c>
      <c r="AB42" s="91">
        <v>9500</v>
      </c>
      <c r="AC42" s="91">
        <v>8500</v>
      </c>
      <c r="AD42" s="315">
        <f t="shared" ref="AD42:AD56" si="76">SUM(R42:AC42)</f>
        <v>80339.859649122809</v>
      </c>
      <c r="AE42" s="23"/>
      <c r="AF42" s="316">
        <v>8000</v>
      </c>
      <c r="AG42" s="91">
        <v>4000</v>
      </c>
      <c r="AH42" s="91">
        <v>5673</v>
      </c>
      <c r="AI42" s="91">
        <v>4500</v>
      </c>
      <c r="AJ42" s="91">
        <v>7892</v>
      </c>
      <c r="AK42" s="91">
        <v>6400</v>
      </c>
      <c r="AL42" s="91">
        <v>8000</v>
      </c>
      <c r="AM42" s="91">
        <v>8000</v>
      </c>
      <c r="AN42" s="91">
        <v>8000</v>
      </c>
      <c r="AO42" s="91">
        <v>8000</v>
      </c>
      <c r="AP42" s="91">
        <v>8800</v>
      </c>
      <c r="AQ42" s="91">
        <v>6400</v>
      </c>
      <c r="AR42" s="92">
        <f t="shared" ref="AR42:AR60" si="77">SUM(AF42:AQ42)</f>
        <v>83665</v>
      </c>
      <c r="AS42" s="23"/>
      <c r="AT42" s="91">
        <v>4861</v>
      </c>
      <c r="AU42" s="91">
        <v>5809</v>
      </c>
      <c r="AV42" s="91">
        <v>5072</v>
      </c>
      <c r="AW42" s="91">
        <v>4725</v>
      </c>
      <c r="AX42" s="317">
        <v>5832</v>
      </c>
      <c r="AY42" s="317">
        <v>5832</v>
      </c>
      <c r="AZ42" s="317">
        <v>5567</v>
      </c>
      <c r="BA42" s="317">
        <v>5567</v>
      </c>
      <c r="BB42" s="317">
        <v>5832</v>
      </c>
      <c r="BC42" s="317">
        <v>6892</v>
      </c>
      <c r="BD42" s="317">
        <v>7422</v>
      </c>
      <c r="BE42" s="317">
        <v>4241</v>
      </c>
      <c r="BF42" s="91">
        <f t="shared" ref="BF42:BF74" si="78">SUM(AT42:BE42)</f>
        <v>67652</v>
      </c>
      <c r="BG42" s="93">
        <f t="shared" ref="BG42:BG60" si="79">BF42/AR42-1</f>
        <v>-0.19139425088149165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36051</v>
      </c>
      <c r="BU42" s="54"/>
      <c r="BV42" s="91">
        <v>4782.99</v>
      </c>
      <c r="BW42" s="91">
        <v>2945.31</v>
      </c>
      <c r="BX42" s="91">
        <f>'META  EM PEÇAS'!U26-('META  EM PEÇAS'!U26*0.05)</f>
        <v>7080.3689999999997</v>
      </c>
      <c r="BY42" s="91">
        <f>'META  EM PEÇAS'!V26-('META  EM PEÇAS'!V26*0.05)</f>
        <v>4355.6549999999997</v>
      </c>
      <c r="BZ42" s="91">
        <f>'META  EM PEÇAS'!W26-('META  EM PEÇAS'!W26*0.05)</f>
        <v>5839.9349999999995</v>
      </c>
      <c r="CA42" s="91">
        <f>'META  EM PEÇAS'!X26-('META  EM PEÇAS'!X26*0.05)</f>
        <v>5900.8964999999989</v>
      </c>
      <c r="CB42" s="91">
        <f>'META  EM PEÇAS'!Y26-('META  EM PEÇAS'!Y26*0.05)</f>
        <v>5279.7959999999994</v>
      </c>
      <c r="CC42" s="91">
        <f>'META  EM PEÇAS'!Z26-('META  EM PEÇAS'!Z26*0.05)</f>
        <v>4897.2404999999999</v>
      </c>
      <c r="CD42" s="91">
        <f>'META  EM PEÇAS'!AA26-('META  EM PEÇAS'!AA26*0.05)</f>
        <v>5018.28</v>
      </c>
      <c r="CE42" s="91">
        <f>'META  EM PEÇAS'!AB26-('META  EM PEÇAS'!AB26*0.05)</f>
        <v>4641.0254999999997</v>
      </c>
      <c r="CF42" s="91">
        <f>'META  EM PEÇAS'!AC26-('META  EM PEÇAS'!AC26*0.05)</f>
        <v>6521.1134999999995</v>
      </c>
      <c r="CG42" s="91">
        <f>'META  EM PEÇAS'!AD26-('META  EM PEÇAS'!AD26*0.05)</f>
        <v>3929.8079999999995</v>
      </c>
      <c r="CH42" s="91">
        <v>4136.6400000000003</v>
      </c>
      <c r="CJ42" s="91">
        <v>4782.99</v>
      </c>
      <c r="CK42" s="91">
        <v>2945.31</v>
      </c>
      <c r="CL42" s="91">
        <v>7080.3689999999997</v>
      </c>
      <c r="CM42" s="91">
        <v>4355.6549999999997</v>
      </c>
      <c r="CN42" s="91">
        <v>5839.9349999999995</v>
      </c>
      <c r="CO42" s="91">
        <v>5900.8964999999989</v>
      </c>
      <c r="CP42" s="91">
        <v>5279.7959999999994</v>
      </c>
      <c r="CQ42" s="91">
        <v>4897.2404999999999</v>
      </c>
      <c r="CR42" s="91">
        <v>5018.28</v>
      </c>
      <c r="CS42" s="91">
        <v>4641.0254999999997</v>
      </c>
      <c r="CT42" s="91">
        <v>6521.1134999999995</v>
      </c>
      <c r="CU42" s="91">
        <v>3929.8079999999995</v>
      </c>
      <c r="CV42" s="91">
        <v>4136.6400000000003</v>
      </c>
      <c r="CW42" s="758"/>
      <c r="CX42" s="884">
        <v>4782.99</v>
      </c>
      <c r="CY42" s="884">
        <v>2945.31</v>
      </c>
      <c r="CZ42" s="884">
        <v>7080.3689999999997</v>
      </c>
      <c r="DA42" s="884">
        <v>4355.6549999999997</v>
      </c>
      <c r="DB42" s="884">
        <v>5839.9349999999995</v>
      </c>
      <c r="DC42" s="884">
        <v>5900.8964999999989</v>
      </c>
      <c r="DD42" s="884">
        <v>5279.7959999999994</v>
      </c>
      <c r="DE42" s="884">
        <v>4897.2404999999999</v>
      </c>
      <c r="DF42" s="884">
        <v>5018.28</v>
      </c>
      <c r="DG42" s="884">
        <v>4641.0254999999997</v>
      </c>
      <c r="DH42" s="884">
        <v>6521.1134999999995</v>
      </c>
      <c r="DI42" s="884">
        <v>3929.8079999999995</v>
      </c>
      <c r="DJ42" s="91">
        <v>4136.6400000000003</v>
      </c>
      <c r="DK42" s="948"/>
      <c r="DL42" s="884">
        <v>4782.99</v>
      </c>
      <c r="DM42" s="884">
        <v>2945.31</v>
      </c>
      <c r="DN42" s="884">
        <v>7080.3689999999997</v>
      </c>
      <c r="DO42" s="884">
        <v>4355.6549999999997</v>
      </c>
      <c r="DP42" s="884">
        <v>5839.9349999999995</v>
      </c>
      <c r="DQ42" s="884">
        <v>5900.8964999999989</v>
      </c>
      <c r="DR42" s="884">
        <v>5279.7959999999994</v>
      </c>
      <c r="DS42" s="884">
        <v>4897.2404999999999</v>
      </c>
      <c r="DT42" s="884">
        <v>5018.28</v>
      </c>
      <c r="DU42" s="884">
        <v>4641.0254999999997</v>
      </c>
      <c r="DV42" s="884">
        <v>6521.1134999999995</v>
      </c>
      <c r="DW42" s="884">
        <v>3929.8079999999995</v>
      </c>
      <c r="DX42" s="91">
        <v>4136.6400000000003</v>
      </c>
    </row>
    <row r="43" spans="1:143" ht="15" hidden="1" customHeight="1" outlineLevel="1">
      <c r="A43" s="94">
        <v>2</v>
      </c>
      <c r="B43" s="1079" t="s">
        <v>57</v>
      </c>
      <c r="C43" s="1120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>
        <f t="shared" si="75"/>
        <v>0</v>
      </c>
      <c r="Q43" s="90"/>
      <c r="R43" s="313">
        <v>2909</v>
      </c>
      <c r="S43" s="91">
        <v>2545</v>
      </c>
      <c r="T43" s="91">
        <f>2727/1.2</f>
        <v>2272.5</v>
      </c>
      <c r="U43" s="91">
        <f>2*U8</f>
        <v>2</v>
      </c>
      <c r="V43" s="91">
        <v>500</v>
      </c>
      <c r="W43" s="91">
        <v>1300</v>
      </c>
      <c r="X43" s="91">
        <v>3200</v>
      </c>
      <c r="Y43" s="91">
        <v>3200</v>
      </c>
      <c r="Z43" s="91">
        <v>3600</v>
      </c>
      <c r="AA43" s="91">
        <v>3600</v>
      </c>
      <c r="AB43" s="91">
        <v>3600</v>
      </c>
      <c r="AC43" s="91">
        <v>4500</v>
      </c>
      <c r="AD43" s="315">
        <f t="shared" si="76"/>
        <v>31228.5</v>
      </c>
      <c r="AE43" s="23"/>
      <c r="AF43" s="316">
        <v>4000</v>
      </c>
      <c r="AG43" s="91">
        <v>1500</v>
      </c>
      <c r="AH43" s="91">
        <v>189</v>
      </c>
      <c r="AI43" s="91">
        <v>1842</v>
      </c>
      <c r="AJ43" s="91">
        <v>3764</v>
      </c>
      <c r="AK43" s="91">
        <v>3200</v>
      </c>
      <c r="AL43" s="91">
        <v>6000</v>
      </c>
      <c r="AM43" s="91">
        <v>5000</v>
      </c>
      <c r="AN43" s="91">
        <v>5000</v>
      </c>
      <c r="AO43" s="91">
        <v>5000</v>
      </c>
      <c r="AP43" s="91">
        <v>5000</v>
      </c>
      <c r="AQ43" s="91">
        <v>9000</v>
      </c>
      <c r="AR43" s="92">
        <f t="shared" si="77"/>
        <v>49495</v>
      </c>
      <c r="AS43" s="23"/>
      <c r="AT43" s="91">
        <v>5468</v>
      </c>
      <c r="AU43" s="91">
        <v>5468</v>
      </c>
      <c r="AV43" s="91">
        <v>6249</v>
      </c>
      <c r="AW43" s="91">
        <v>6249</v>
      </c>
      <c r="AX43" s="317">
        <v>3923</v>
      </c>
      <c r="AY43" s="317">
        <v>3923</v>
      </c>
      <c r="AZ43" s="317">
        <v>3745</v>
      </c>
      <c r="BA43" s="317">
        <v>3745</v>
      </c>
      <c r="BB43" s="317">
        <v>3923</v>
      </c>
      <c r="BC43" s="317">
        <v>4636</v>
      </c>
      <c r="BD43" s="317">
        <v>4993</v>
      </c>
      <c r="BE43" s="317">
        <v>7133</v>
      </c>
      <c r="BF43" s="91">
        <f t="shared" si="78"/>
        <v>59455</v>
      </c>
      <c r="BG43" s="93">
        <f t="shared" si="79"/>
        <v>0.20123244772199222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40562</v>
      </c>
      <c r="BU43" s="54"/>
      <c r="BV43" s="91">
        <v>4442.6099999999997</v>
      </c>
      <c r="BW43" s="91">
        <v>3433.56</v>
      </c>
      <c r="BX43" s="91">
        <f>'META  EM PEÇAS'!U27-('META  EM PEÇAS'!U27*0.05)</f>
        <v>3860.0114999999996</v>
      </c>
      <c r="BY43" s="91">
        <f>'META  EM PEÇAS'!V27-('META  EM PEÇAS'!V27*0.05)</f>
        <v>3578.1749999999997</v>
      </c>
      <c r="BZ43" s="91">
        <f>'META  EM PEÇAS'!W27-('META  EM PEÇAS'!W27*0.05)</f>
        <v>4015.5074999999997</v>
      </c>
      <c r="CA43" s="91">
        <f>'META  EM PEÇAS'!X27-('META  EM PEÇAS'!X27*0.05)</f>
        <v>4835.3954999999996</v>
      </c>
      <c r="CB43" s="91">
        <f>'META  EM PEÇAS'!Y27-('META  EM PEÇAS'!Y27*0.05)</f>
        <v>5815.1969999999992</v>
      </c>
      <c r="CC43" s="91">
        <f>'META  EM PEÇAS'!Z27-('META  EM PEÇAS'!Z27*0.05)</f>
        <v>3888.2835</v>
      </c>
      <c r="CD43" s="91">
        <f>'META  EM PEÇAS'!AA27-('META  EM PEÇAS'!AA27*0.05)</f>
        <v>4032.2939999999994</v>
      </c>
      <c r="CE43" s="91">
        <f>'META  EM PEÇAS'!AB27-('META  EM PEÇAS'!AB27*0.05)</f>
        <v>4375.0919999999996</v>
      </c>
      <c r="CF43" s="91">
        <f>'META  EM PEÇAS'!AC27-('META  EM PEÇAS'!AC27*0.05)</f>
        <v>5604.9239999999991</v>
      </c>
      <c r="CG43" s="91">
        <f>'META  EM PEÇAS'!AD27-('META  EM PEÇAS'!AD27*0.05)</f>
        <v>7897.606499999999</v>
      </c>
      <c r="CH43" s="91">
        <f>SUM(BV43:CG43)</f>
        <v>55778.656499999997</v>
      </c>
      <c r="CJ43" s="91">
        <v>4442.6099999999997</v>
      </c>
      <c r="CK43" s="91">
        <v>3433.56</v>
      </c>
      <c r="CL43" s="91">
        <v>3860.0114999999996</v>
      </c>
      <c r="CM43" s="91">
        <v>3578.1749999999997</v>
      </c>
      <c r="CN43" s="91">
        <v>4015.5074999999997</v>
      </c>
      <c r="CO43" s="91">
        <v>4835.3954999999996</v>
      </c>
      <c r="CP43" s="91">
        <v>5815.1969999999992</v>
      </c>
      <c r="CQ43" s="91">
        <v>3888.2835</v>
      </c>
      <c r="CR43" s="91">
        <v>4032.2939999999994</v>
      </c>
      <c r="CS43" s="91">
        <v>4375.0919999999996</v>
      </c>
      <c r="CT43" s="91">
        <v>5604.9239999999991</v>
      </c>
      <c r="CU43" s="91">
        <v>7897.606499999999</v>
      </c>
      <c r="CV43" s="91">
        <v>55778.656499999997</v>
      </c>
      <c r="CW43" s="758"/>
      <c r="CX43" s="884">
        <v>4442.6099999999997</v>
      </c>
      <c r="CY43" s="884">
        <v>3433.56</v>
      </c>
      <c r="CZ43" s="884">
        <v>3860.0114999999996</v>
      </c>
      <c r="DA43" s="884">
        <v>3578.1749999999997</v>
      </c>
      <c r="DB43" s="884">
        <v>4015.5074999999997</v>
      </c>
      <c r="DC43" s="884">
        <v>4835.3954999999996</v>
      </c>
      <c r="DD43" s="884">
        <v>5815.1969999999992</v>
      </c>
      <c r="DE43" s="884">
        <v>3888.2835</v>
      </c>
      <c r="DF43" s="884">
        <v>4032.2939999999994</v>
      </c>
      <c r="DG43" s="884">
        <v>4375.0919999999996</v>
      </c>
      <c r="DH43" s="884">
        <v>5604.9239999999991</v>
      </c>
      <c r="DI43" s="884">
        <v>7897.606499999999</v>
      </c>
      <c r="DJ43" s="91">
        <v>55778.656499999997</v>
      </c>
      <c r="DK43" s="948"/>
      <c r="DL43" s="884">
        <v>4442.6099999999997</v>
      </c>
      <c r="DM43" s="884">
        <v>3433.56</v>
      </c>
      <c r="DN43" s="884">
        <v>3860.0114999999996</v>
      </c>
      <c r="DO43" s="884">
        <v>3578.1749999999997</v>
      </c>
      <c r="DP43" s="884">
        <v>4015.5074999999997</v>
      </c>
      <c r="DQ43" s="884">
        <v>4835.3954999999996</v>
      </c>
      <c r="DR43" s="884">
        <v>5815.1969999999992</v>
      </c>
      <c r="DS43" s="884">
        <v>3888.2835</v>
      </c>
      <c r="DT43" s="884">
        <v>4032.2939999999994</v>
      </c>
      <c r="DU43" s="884">
        <v>4375.0919999999996</v>
      </c>
      <c r="DV43" s="884">
        <v>5604.9239999999991</v>
      </c>
      <c r="DW43" s="884">
        <v>7897.606499999999</v>
      </c>
      <c r="DX43" s="91">
        <v>55778.656499999997</v>
      </c>
    </row>
    <row r="44" spans="1:143" ht="15" hidden="1" customHeight="1" outlineLevel="1">
      <c r="A44" s="94">
        <v>3</v>
      </c>
      <c r="B44" s="1079" t="s">
        <v>58</v>
      </c>
      <c r="C44" s="1120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>
        <f t="shared" si="75"/>
        <v>0</v>
      </c>
      <c r="Q44" s="90"/>
      <c r="R44" s="313">
        <v>746</v>
      </c>
      <c r="S44" s="91">
        <v>653</v>
      </c>
      <c r="T44" s="91">
        <v>700</v>
      </c>
      <c r="U44" s="91">
        <v>0</v>
      </c>
      <c r="V44" s="91">
        <v>200</v>
      </c>
      <c r="W44" s="91">
        <v>400</v>
      </c>
      <c r="X44" s="91">
        <v>900</v>
      </c>
      <c r="Y44" s="91">
        <v>900</v>
      </c>
      <c r="Z44" s="91">
        <v>900</v>
      </c>
      <c r="AA44" s="91">
        <v>900</v>
      </c>
      <c r="AB44" s="91">
        <v>900</v>
      </c>
      <c r="AC44" s="91">
        <v>1200</v>
      </c>
      <c r="AD44" s="315">
        <f t="shared" si="76"/>
        <v>8399</v>
      </c>
      <c r="AE44" s="23"/>
      <c r="AF44" s="316">
        <v>1800</v>
      </c>
      <c r="AG44" s="91">
        <v>1200</v>
      </c>
      <c r="AH44" s="91">
        <v>230</v>
      </c>
      <c r="AI44" s="91">
        <v>472</v>
      </c>
      <c r="AJ44" s="91">
        <v>1495</v>
      </c>
      <c r="AK44" s="91">
        <v>1200</v>
      </c>
      <c r="AL44" s="91">
        <v>1500</v>
      </c>
      <c r="AM44" s="91">
        <v>1500</v>
      </c>
      <c r="AN44" s="91">
        <v>1500</v>
      </c>
      <c r="AO44" s="91">
        <v>1500</v>
      </c>
      <c r="AP44" s="91">
        <v>1650</v>
      </c>
      <c r="AQ44" s="91">
        <v>2400</v>
      </c>
      <c r="AR44" s="92">
        <f t="shared" si="77"/>
        <v>16447</v>
      </c>
      <c r="AS44" s="23"/>
      <c r="AT44" s="91">
        <v>2438</v>
      </c>
      <c r="AU44" s="91">
        <v>1501</v>
      </c>
      <c r="AV44" s="91">
        <v>1566</v>
      </c>
      <c r="AW44" s="91">
        <v>2127</v>
      </c>
      <c r="AX44" s="317">
        <v>1928</v>
      </c>
      <c r="AY44" s="317">
        <v>1928</v>
      </c>
      <c r="AZ44" s="317">
        <v>1840</v>
      </c>
      <c r="BA44" s="317">
        <v>1840</v>
      </c>
      <c r="BB44" s="317">
        <v>1928</v>
      </c>
      <c r="BC44" s="317">
        <v>2278</v>
      </c>
      <c r="BD44" s="317">
        <v>2454</v>
      </c>
      <c r="BE44" s="317">
        <v>3505</v>
      </c>
      <c r="BF44" s="91">
        <f t="shared" si="78"/>
        <v>25333</v>
      </c>
      <c r="BG44" s="93">
        <f t="shared" si="79"/>
        <v>0.54028090229221126</v>
      </c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>
        <v>7784</v>
      </c>
      <c r="BU44" s="54"/>
      <c r="BV44" s="91">
        <v>450.99999999999989</v>
      </c>
      <c r="BW44" s="91">
        <v>348.59999999999991</v>
      </c>
      <c r="BX44" s="91">
        <f>'META  EM PEÇAS'!U28-('META  EM PEÇAS'!U28*0.05)</f>
        <v>391.96999999999991</v>
      </c>
      <c r="BY44" s="91">
        <f>'META  EM PEÇAS'!V28-('META  EM PEÇAS'!V28*0.05)</f>
        <v>363.27999999999992</v>
      </c>
      <c r="BZ44" s="91">
        <f>'META  EM PEÇAS'!W28-('META  EM PEÇAS'!W28*0.05)</f>
        <v>407.5499999999999</v>
      </c>
      <c r="CA44" s="91">
        <f>'META  EM PEÇAS'!X28-('META  EM PEÇAS'!X28*0.05)</f>
        <v>490.76999999999992</v>
      </c>
      <c r="CB44" s="91">
        <f>'META  EM PEÇAS'!Y28-('META  EM PEÇAS'!Y28*0.05)</f>
        <v>590.32999999999993</v>
      </c>
      <c r="CC44" s="91">
        <f>'META  EM PEÇAS'!Z28-('META  EM PEÇAS'!Z28*0.05)</f>
        <v>394.62999999999994</v>
      </c>
      <c r="CD44" s="91">
        <f>'META  EM PEÇAS'!AA28-('META  EM PEÇAS'!AA28*0.05)</f>
        <v>409.25999999999988</v>
      </c>
      <c r="CE44" s="91">
        <f>'META  EM PEÇAS'!AB28-('META  EM PEÇAS'!AB28*0.05)</f>
        <v>444.21999999999991</v>
      </c>
      <c r="CF44" s="91">
        <f>'META  EM PEÇAS'!AC28-('META  EM PEÇAS'!AC28*0.05)</f>
        <v>569.04999999999984</v>
      </c>
      <c r="CG44" s="91">
        <f>'META  EM PEÇAS'!AD28-('META  EM PEÇAS'!AD28*0.05)</f>
        <v>801.79999999999973</v>
      </c>
      <c r="CH44" s="91">
        <f t="shared" ref="CH44:CH57" si="80">SUM(BV44:CG44)</f>
        <v>5662.4599999999991</v>
      </c>
      <c r="CJ44" s="91">
        <v>450.99999999999989</v>
      </c>
      <c r="CK44" s="91">
        <v>348.59999999999991</v>
      </c>
      <c r="CL44" s="91">
        <v>391.96999999999991</v>
      </c>
      <c r="CM44" s="91">
        <v>363.27999999999992</v>
      </c>
      <c r="CN44" s="91">
        <v>407.5499999999999</v>
      </c>
      <c r="CO44" s="91">
        <v>490.76999999999992</v>
      </c>
      <c r="CP44" s="91">
        <v>590.32999999999993</v>
      </c>
      <c r="CQ44" s="91">
        <v>394.62999999999994</v>
      </c>
      <c r="CR44" s="91">
        <v>409.25999999999988</v>
      </c>
      <c r="CS44" s="91">
        <v>444.21999999999991</v>
      </c>
      <c r="CT44" s="91">
        <v>569.04999999999984</v>
      </c>
      <c r="CU44" s="91">
        <v>801.79999999999973</v>
      </c>
      <c r="CV44" s="91">
        <v>5662.4599999999991</v>
      </c>
      <c r="CW44" s="758"/>
      <c r="CX44" s="884">
        <v>450.99999999999989</v>
      </c>
      <c r="CY44" s="884">
        <v>348.59999999999991</v>
      </c>
      <c r="CZ44" s="884">
        <v>391.96999999999991</v>
      </c>
      <c r="DA44" s="884">
        <v>363.27999999999992</v>
      </c>
      <c r="DB44" s="884">
        <v>407.5499999999999</v>
      </c>
      <c r="DC44" s="884">
        <v>490.76999999999992</v>
      </c>
      <c r="DD44" s="884">
        <v>590.32999999999993</v>
      </c>
      <c r="DE44" s="884">
        <v>394.62999999999994</v>
      </c>
      <c r="DF44" s="884">
        <v>409.25999999999988</v>
      </c>
      <c r="DG44" s="884">
        <v>444.21999999999991</v>
      </c>
      <c r="DH44" s="884">
        <v>569.04999999999984</v>
      </c>
      <c r="DI44" s="884">
        <v>801.79999999999973</v>
      </c>
      <c r="DJ44" s="91">
        <v>5662.4599999999991</v>
      </c>
      <c r="DK44" s="948"/>
      <c r="DL44" s="884">
        <v>450.99999999999989</v>
      </c>
      <c r="DM44" s="884">
        <v>348.59999999999991</v>
      </c>
      <c r="DN44" s="884">
        <v>391.96999999999991</v>
      </c>
      <c r="DO44" s="884">
        <v>363.27999999999992</v>
      </c>
      <c r="DP44" s="884">
        <v>407.5499999999999</v>
      </c>
      <c r="DQ44" s="884">
        <v>490.76999999999992</v>
      </c>
      <c r="DR44" s="884">
        <v>590.32999999999993</v>
      </c>
      <c r="DS44" s="884">
        <v>394.62999999999994</v>
      </c>
      <c r="DT44" s="884">
        <v>409.25999999999988</v>
      </c>
      <c r="DU44" s="884">
        <v>444.21999999999991</v>
      </c>
      <c r="DV44" s="884">
        <v>569.04999999999984</v>
      </c>
      <c r="DW44" s="884">
        <v>801.79999999999973</v>
      </c>
      <c r="DX44" s="91">
        <v>5662.4599999999991</v>
      </c>
    </row>
    <row r="45" spans="1:143" ht="15" hidden="1" customHeight="1" outlineLevel="1">
      <c r="A45" s="94">
        <v>4</v>
      </c>
      <c r="B45" s="1079" t="s">
        <v>59</v>
      </c>
      <c r="C45" s="1120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>
        <f t="shared" si="75"/>
        <v>0</v>
      </c>
      <c r="Q45" s="90"/>
      <c r="R45" s="313">
        <v>1455</v>
      </c>
      <c r="S45" s="91">
        <f>2036</f>
        <v>2036</v>
      </c>
      <c r="T45" s="91">
        <f>2182/2</f>
        <v>1091</v>
      </c>
      <c r="U45" s="91">
        <v>0</v>
      </c>
      <c r="V45" s="91">
        <v>200</v>
      </c>
      <c r="W45" s="91">
        <v>900</v>
      </c>
      <c r="X45" s="91">
        <v>1600</v>
      </c>
      <c r="Y45" s="91">
        <v>1600</v>
      </c>
      <c r="Z45" s="91">
        <v>1600</v>
      </c>
      <c r="AA45" s="91">
        <v>1600</v>
      </c>
      <c r="AB45" s="91">
        <v>2200</v>
      </c>
      <c r="AC45" s="91">
        <v>2500</v>
      </c>
      <c r="AD45" s="315">
        <f t="shared" si="76"/>
        <v>16782</v>
      </c>
      <c r="AE45" s="23"/>
      <c r="AF45" s="316">
        <v>2200</v>
      </c>
      <c r="AG45" s="91">
        <v>1500</v>
      </c>
      <c r="AH45" s="91">
        <v>121</v>
      </c>
      <c r="AI45" s="91">
        <v>565</v>
      </c>
      <c r="AJ45" s="91">
        <v>1514</v>
      </c>
      <c r="AK45" s="91">
        <v>1760</v>
      </c>
      <c r="AL45" s="91">
        <v>1800</v>
      </c>
      <c r="AM45" s="91">
        <v>2200</v>
      </c>
      <c r="AN45" s="91">
        <v>2200</v>
      </c>
      <c r="AO45" s="91">
        <v>2200</v>
      </c>
      <c r="AP45" s="91">
        <v>2420</v>
      </c>
      <c r="AQ45" s="91">
        <v>3520</v>
      </c>
      <c r="AR45" s="92">
        <f t="shared" si="77"/>
        <v>22000</v>
      </c>
      <c r="AS45" s="23"/>
      <c r="AT45" s="91">
        <v>1529</v>
      </c>
      <c r="AU45" s="91">
        <v>1516</v>
      </c>
      <c r="AV45" s="91">
        <v>1586</v>
      </c>
      <c r="AW45" s="91">
        <v>1979</v>
      </c>
      <c r="AX45" s="317">
        <v>1283</v>
      </c>
      <c r="AY45" s="317">
        <v>1283</v>
      </c>
      <c r="AZ45" s="317">
        <v>1224</v>
      </c>
      <c r="BA45" s="317">
        <v>1224</v>
      </c>
      <c r="BB45" s="317">
        <v>1283</v>
      </c>
      <c r="BC45" s="317">
        <v>1516</v>
      </c>
      <c r="BD45" s="317">
        <v>1632</v>
      </c>
      <c r="BE45" s="317">
        <v>2332</v>
      </c>
      <c r="BF45" s="91">
        <f t="shared" si="78"/>
        <v>18387</v>
      </c>
      <c r="BG45" s="93">
        <f t="shared" si="79"/>
        <v>-0.16422727272727278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>
        <v>9018</v>
      </c>
      <c r="BU45" s="54"/>
      <c r="BV45" s="91">
        <v>1143.8999999999999</v>
      </c>
      <c r="BW45" s="91">
        <v>884.43</v>
      </c>
      <c r="BX45" s="91">
        <f>'META  EM PEÇAS'!U29-('META  EM PEÇAS'!U29*0.05)</f>
        <v>993.9375</v>
      </c>
      <c r="BY45" s="91">
        <f>'META  EM PEÇAS'!V29-('META  EM PEÇAS'!V29*0.05)</f>
        <v>921.49049999999988</v>
      </c>
      <c r="BZ45" s="91">
        <f>'META  EM PEÇAS'!W29-('META  EM PEÇAS'!W29*0.05)</f>
        <v>1033.6949999999999</v>
      </c>
      <c r="CA45" s="91">
        <f>'META  EM PEÇAS'!X29-('META  EM PEÇAS'!X29*0.05)</f>
        <v>1244.8515</v>
      </c>
      <c r="CB45" s="91">
        <f>'META  EM PEÇAS'!Y29-('META  EM PEÇAS'!Y29*0.05)</f>
        <v>1497.5324999999998</v>
      </c>
      <c r="CC45" s="91">
        <f>'META  EM PEÇAS'!Z29-('META  EM PEÇAS'!Z29*0.05)</f>
        <v>1001.0054999999999</v>
      </c>
      <c r="CD45" s="91">
        <f>'META  EM PEÇAS'!AA29-('META  EM PEÇAS'!AA29*0.05)</f>
        <v>1038.1125</v>
      </c>
      <c r="CE45" s="91">
        <f>'META  EM PEÇAS'!AB29-('META  EM PEÇAS'!AB29*0.05)</f>
        <v>1126.4625000000001</v>
      </c>
      <c r="CF45" s="91">
        <f>'META  EM PEÇAS'!AC29-('META  EM PEÇAS'!AC29*0.05)</f>
        <v>1443.6389999999999</v>
      </c>
      <c r="CG45" s="91">
        <f>'META  EM PEÇAS'!AD29-('META  EM PEÇAS'!AD29*0.05)</f>
        <v>2033.8169999999998</v>
      </c>
      <c r="CH45" s="91">
        <f t="shared" si="80"/>
        <v>14362.873499999996</v>
      </c>
      <c r="CJ45" s="91">
        <v>1143.8999999999999</v>
      </c>
      <c r="CK45" s="91">
        <v>884.43</v>
      </c>
      <c r="CL45" s="91">
        <v>993.9375</v>
      </c>
      <c r="CM45" s="91">
        <v>921.49049999999988</v>
      </c>
      <c r="CN45" s="91">
        <v>1033.6949999999999</v>
      </c>
      <c r="CO45" s="91">
        <v>1244.8515</v>
      </c>
      <c r="CP45" s="91">
        <v>1497.5324999999998</v>
      </c>
      <c r="CQ45" s="91">
        <v>1001.0054999999999</v>
      </c>
      <c r="CR45" s="91">
        <v>1038.1125</v>
      </c>
      <c r="CS45" s="91">
        <v>1126.4625000000001</v>
      </c>
      <c r="CT45" s="91">
        <v>1443.6389999999999</v>
      </c>
      <c r="CU45" s="91">
        <v>2033.8169999999998</v>
      </c>
      <c r="CV45" s="91">
        <v>14362.873499999996</v>
      </c>
      <c r="CW45" s="758"/>
      <c r="CX45" s="884">
        <v>1143.8999999999999</v>
      </c>
      <c r="CY45" s="884">
        <v>884.43</v>
      </c>
      <c r="CZ45" s="884">
        <v>993.9375</v>
      </c>
      <c r="DA45" s="884">
        <v>921.49049999999988</v>
      </c>
      <c r="DB45" s="884">
        <v>1033.6949999999999</v>
      </c>
      <c r="DC45" s="884">
        <v>1244.8515</v>
      </c>
      <c r="DD45" s="884">
        <v>1497.5324999999998</v>
      </c>
      <c r="DE45" s="884">
        <v>1001.0054999999999</v>
      </c>
      <c r="DF45" s="884">
        <v>1038.1125</v>
      </c>
      <c r="DG45" s="884">
        <v>1126.4625000000001</v>
      </c>
      <c r="DH45" s="884">
        <v>1443.6389999999999</v>
      </c>
      <c r="DI45" s="884">
        <v>2033.8169999999998</v>
      </c>
      <c r="DJ45" s="91">
        <v>14362.873499999996</v>
      </c>
      <c r="DK45" s="948"/>
      <c r="DL45" s="884">
        <v>1143.8999999999999</v>
      </c>
      <c r="DM45" s="884">
        <v>884.43</v>
      </c>
      <c r="DN45" s="884">
        <v>993.9375</v>
      </c>
      <c r="DO45" s="884">
        <v>921.49049999999988</v>
      </c>
      <c r="DP45" s="884">
        <v>1033.6949999999999</v>
      </c>
      <c r="DQ45" s="884">
        <v>1244.8515</v>
      </c>
      <c r="DR45" s="884">
        <v>1497.5324999999998</v>
      </c>
      <c r="DS45" s="884">
        <v>1001.0054999999999</v>
      </c>
      <c r="DT45" s="884">
        <v>1038.1125</v>
      </c>
      <c r="DU45" s="884">
        <v>1126.4625000000001</v>
      </c>
      <c r="DV45" s="884">
        <v>1443.6389999999999</v>
      </c>
      <c r="DW45" s="884">
        <v>2033.8169999999998</v>
      </c>
      <c r="DX45" s="91">
        <v>14362.873499999996</v>
      </c>
    </row>
    <row r="46" spans="1:143" ht="15" hidden="1" customHeight="1" outlineLevel="1">
      <c r="A46" s="94">
        <v>5</v>
      </c>
      <c r="B46" s="1079" t="s">
        <v>60</v>
      </c>
      <c r="C46" s="1120"/>
      <c r="D46" s="313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314">
        <f t="shared" si="75"/>
        <v>0</v>
      </c>
      <c r="Q46" s="90"/>
      <c r="R46" s="313">
        <v>1353</v>
      </c>
      <c r="S46" s="91">
        <v>1184</v>
      </c>
      <c r="T46" s="91">
        <v>1268</v>
      </c>
      <c r="U46" s="91">
        <f t="shared" ref="U46:V46" si="81">10*U8</f>
        <v>10</v>
      </c>
      <c r="V46" s="91">
        <f t="shared" si="81"/>
        <v>120</v>
      </c>
      <c r="W46" s="91">
        <v>600</v>
      </c>
      <c r="X46" s="91">
        <v>1600</v>
      </c>
      <c r="Y46" s="91">
        <v>1600</v>
      </c>
      <c r="Z46" s="91">
        <v>1600</v>
      </c>
      <c r="AA46" s="91">
        <v>1600</v>
      </c>
      <c r="AB46" s="91">
        <v>1600</v>
      </c>
      <c r="AC46" s="91">
        <v>2200</v>
      </c>
      <c r="AD46" s="315">
        <f t="shared" si="76"/>
        <v>14735</v>
      </c>
      <c r="AE46" s="23"/>
      <c r="AF46" s="316">
        <v>1800</v>
      </c>
      <c r="AG46" s="91">
        <v>1200</v>
      </c>
      <c r="AH46" s="91">
        <v>181</v>
      </c>
      <c r="AI46" s="91">
        <v>628</v>
      </c>
      <c r="AJ46" s="91">
        <v>1169</v>
      </c>
      <c r="AK46" s="91">
        <v>960</v>
      </c>
      <c r="AL46" s="91">
        <v>1500</v>
      </c>
      <c r="AM46" s="91">
        <v>1200</v>
      </c>
      <c r="AN46" s="91">
        <v>1200</v>
      </c>
      <c r="AO46" s="91">
        <v>1200</v>
      </c>
      <c r="AP46" s="91">
        <v>1320</v>
      </c>
      <c r="AQ46" s="91">
        <v>1920</v>
      </c>
      <c r="AR46" s="92">
        <f t="shared" si="77"/>
        <v>14278</v>
      </c>
      <c r="AS46" s="23"/>
      <c r="AT46" s="91">
        <v>1496</v>
      </c>
      <c r="AU46" s="91">
        <v>1200</v>
      </c>
      <c r="AV46" s="91">
        <v>1227</v>
      </c>
      <c r="AW46" s="91">
        <v>1655</v>
      </c>
      <c r="AX46" s="317">
        <v>1141</v>
      </c>
      <c r="AY46" s="317">
        <v>1141</v>
      </c>
      <c r="AZ46" s="317">
        <v>1089</v>
      </c>
      <c r="BA46" s="317">
        <v>1089</v>
      </c>
      <c r="BB46" s="317">
        <v>1141</v>
      </c>
      <c r="BC46" s="317">
        <v>1349</v>
      </c>
      <c r="BD46" s="317">
        <v>1453</v>
      </c>
      <c r="BE46" s="317">
        <v>2075</v>
      </c>
      <c r="BF46" s="91">
        <f t="shared" si="78"/>
        <v>16056</v>
      </c>
      <c r="BG46" s="93">
        <f t="shared" si="79"/>
        <v>0.1245272447121446</v>
      </c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>
        <v>10591</v>
      </c>
      <c r="BU46" s="54"/>
      <c r="BV46" s="91">
        <v>1474.9799999999998</v>
      </c>
      <c r="BW46" s="91">
        <v>1140.1799999999998</v>
      </c>
      <c r="BX46" s="91">
        <f>'META  EM PEÇAS'!U30-('META  EM PEÇAS'!U30*0.05)</f>
        <v>1281.9584999999997</v>
      </c>
      <c r="BY46" s="91">
        <f>'META  EM PEÇAS'!V30-('META  EM PEÇAS'!V30*0.05)</f>
        <v>1188.3074999999999</v>
      </c>
      <c r="BZ46" s="91">
        <f>'META  EM PEÇAS'!W30-('META  EM PEÇAS'!W30*0.05)</f>
        <v>1333.2014999999999</v>
      </c>
      <c r="CA46" s="91">
        <f>'META  EM PEÇAS'!X30-('META  EM PEÇAS'!X30*0.05)</f>
        <v>1606.2029999999997</v>
      </c>
      <c r="CB46" s="91">
        <f>'META  EM PEÇAS'!Y30-('META  EM PEÇAS'!Y30*0.05)</f>
        <v>1931.3309999999997</v>
      </c>
      <c r="CC46" s="91">
        <f>'META  EM PEÇAS'!Z30-('META  EM PEÇAS'!Z30*0.05)</f>
        <v>1291.6769999999999</v>
      </c>
      <c r="CD46" s="91">
        <f>'META  EM PEÇAS'!AA30-('META  EM PEÇAS'!AA30*0.05)</f>
        <v>1339.386</v>
      </c>
      <c r="CE46" s="91">
        <f>'META  EM PEÇAS'!AB30-('META  EM PEÇAS'!AB30*0.05)</f>
        <v>1453.3574999999998</v>
      </c>
      <c r="CF46" s="91">
        <f>'META  EM PEÇAS'!AC30-('META  EM PEÇAS'!AC30*0.05)</f>
        <v>1861.5344999999998</v>
      </c>
      <c r="CG46" s="91">
        <f>'META  EM PEÇAS'!AD30-('META  EM PEÇAS'!AD30*0.05)</f>
        <v>2623.1114999999995</v>
      </c>
      <c r="CH46" s="91">
        <f t="shared" si="80"/>
        <v>18525.227999999999</v>
      </c>
      <c r="CI46" s="450"/>
      <c r="CJ46" s="91">
        <v>1474.9799999999998</v>
      </c>
      <c r="CK46" s="91">
        <v>1140.1799999999998</v>
      </c>
      <c r="CL46" s="91">
        <v>1281.9584999999997</v>
      </c>
      <c r="CM46" s="91">
        <v>1188.3074999999999</v>
      </c>
      <c r="CN46" s="91">
        <v>1333.2014999999999</v>
      </c>
      <c r="CO46" s="91">
        <v>1606.2029999999997</v>
      </c>
      <c r="CP46" s="91">
        <v>1931.3309999999997</v>
      </c>
      <c r="CQ46" s="91">
        <v>1291.6769999999999</v>
      </c>
      <c r="CR46" s="91">
        <v>1339.386</v>
      </c>
      <c r="CS46" s="91">
        <v>1453.3574999999998</v>
      </c>
      <c r="CT46" s="91">
        <v>1861.5344999999998</v>
      </c>
      <c r="CU46" s="91">
        <v>2623.1114999999995</v>
      </c>
      <c r="CV46" s="91">
        <v>18525.227999999999</v>
      </c>
      <c r="CW46" s="758"/>
      <c r="CX46" s="884">
        <v>1474.9799999999998</v>
      </c>
      <c r="CY46" s="884">
        <v>1140.1799999999998</v>
      </c>
      <c r="CZ46" s="884">
        <v>1281.9584999999997</v>
      </c>
      <c r="DA46" s="884">
        <v>1188.3074999999999</v>
      </c>
      <c r="DB46" s="884">
        <v>1333.2014999999999</v>
      </c>
      <c r="DC46" s="884">
        <v>1606.2029999999997</v>
      </c>
      <c r="DD46" s="884">
        <v>1931.3309999999997</v>
      </c>
      <c r="DE46" s="884">
        <v>1291.6769999999999</v>
      </c>
      <c r="DF46" s="884">
        <v>1339.386</v>
      </c>
      <c r="DG46" s="884">
        <v>1453.3574999999998</v>
      </c>
      <c r="DH46" s="884">
        <v>1861.5344999999998</v>
      </c>
      <c r="DI46" s="884">
        <v>2623.1114999999995</v>
      </c>
      <c r="DJ46" s="91">
        <v>18525.227999999999</v>
      </c>
      <c r="DK46" s="948"/>
      <c r="DL46" s="884">
        <v>1474.9799999999998</v>
      </c>
      <c r="DM46" s="884">
        <v>1140.1799999999998</v>
      </c>
      <c r="DN46" s="884">
        <v>1281.9584999999997</v>
      </c>
      <c r="DO46" s="884">
        <v>1188.3074999999999</v>
      </c>
      <c r="DP46" s="884">
        <v>1333.2014999999999</v>
      </c>
      <c r="DQ46" s="884">
        <v>1606.2029999999997</v>
      </c>
      <c r="DR46" s="884">
        <v>1931.3309999999997</v>
      </c>
      <c r="DS46" s="884">
        <v>1291.6769999999999</v>
      </c>
      <c r="DT46" s="884">
        <v>1339.386</v>
      </c>
      <c r="DU46" s="884">
        <v>1453.3574999999998</v>
      </c>
      <c r="DV46" s="884">
        <v>1861.5344999999998</v>
      </c>
      <c r="DW46" s="884">
        <v>2623.1114999999995</v>
      </c>
      <c r="DX46" s="91">
        <v>18525.227999999999</v>
      </c>
    </row>
    <row r="47" spans="1:143" ht="15" hidden="1" customHeight="1" outlineLevel="1">
      <c r="A47" s="94">
        <v>6</v>
      </c>
      <c r="B47" s="1079" t="s">
        <v>61</v>
      </c>
      <c r="C47" s="1120"/>
      <c r="D47" s="313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314">
        <f t="shared" si="75"/>
        <v>0</v>
      </c>
      <c r="Q47" s="90"/>
      <c r="R47" s="313">
        <v>1455</v>
      </c>
      <c r="S47" s="91">
        <v>1273</v>
      </c>
      <c r="T47" s="91">
        <v>1364</v>
      </c>
      <c r="U47" s="91">
        <v>0</v>
      </c>
      <c r="V47" s="91">
        <v>200</v>
      </c>
      <c r="W47" s="91">
        <v>800</v>
      </c>
      <c r="X47" s="91">
        <v>1600</v>
      </c>
      <c r="Y47" s="91">
        <v>1600</v>
      </c>
      <c r="Z47" s="91">
        <v>1600</v>
      </c>
      <c r="AA47" s="91">
        <v>1600</v>
      </c>
      <c r="AB47" s="91">
        <v>1800</v>
      </c>
      <c r="AC47" s="91">
        <v>2400</v>
      </c>
      <c r="AD47" s="315">
        <f t="shared" si="76"/>
        <v>15692</v>
      </c>
      <c r="AE47" s="23"/>
      <c r="AF47" s="316">
        <v>1500</v>
      </c>
      <c r="AG47" s="91">
        <v>1200</v>
      </c>
      <c r="AH47" s="91">
        <v>127</v>
      </c>
      <c r="AI47" s="91">
        <v>426</v>
      </c>
      <c r="AJ47" s="91">
        <v>1063</v>
      </c>
      <c r="AK47" s="91">
        <v>960</v>
      </c>
      <c r="AL47" s="91">
        <v>1500</v>
      </c>
      <c r="AM47" s="91">
        <v>1200</v>
      </c>
      <c r="AN47" s="91">
        <v>1200</v>
      </c>
      <c r="AO47" s="91">
        <v>1200</v>
      </c>
      <c r="AP47" s="91">
        <v>1320</v>
      </c>
      <c r="AQ47" s="91">
        <v>1920</v>
      </c>
      <c r="AR47" s="92">
        <f t="shared" si="77"/>
        <v>13616</v>
      </c>
      <c r="AS47" s="23"/>
      <c r="AT47" s="91">
        <v>1222</v>
      </c>
      <c r="AU47" s="91">
        <v>1200</v>
      </c>
      <c r="AV47" s="91">
        <v>1117</v>
      </c>
      <c r="AW47" s="91">
        <v>1463</v>
      </c>
      <c r="AX47" s="317">
        <v>1087</v>
      </c>
      <c r="AY47" s="317">
        <v>1087</v>
      </c>
      <c r="AZ47" s="317">
        <v>1038</v>
      </c>
      <c r="BA47" s="317">
        <v>1038</v>
      </c>
      <c r="BB47" s="317">
        <v>1087</v>
      </c>
      <c r="BC47" s="317">
        <v>1285</v>
      </c>
      <c r="BD47" s="317">
        <v>1384</v>
      </c>
      <c r="BE47" s="317">
        <v>1977</v>
      </c>
      <c r="BF47" s="91">
        <f t="shared" si="78"/>
        <v>14985</v>
      </c>
      <c r="BG47" s="93">
        <f t="shared" si="79"/>
        <v>0.10054347826086962</v>
      </c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>
        <v>10087</v>
      </c>
      <c r="BU47" s="54"/>
      <c r="BV47" s="91">
        <v>1214.58</v>
      </c>
      <c r="BW47" s="91">
        <v>939.3</v>
      </c>
      <c r="BX47" s="91">
        <f>'META  EM PEÇAS'!U31-('META  EM PEÇAS'!U31*0.05)</f>
        <v>1055.7824999999998</v>
      </c>
      <c r="BY47" s="91">
        <f>'META  EM PEÇAS'!V31-('META  EM PEÇAS'!V31*0.05)</f>
        <v>978.03449999999998</v>
      </c>
      <c r="BZ47" s="91">
        <f>'META  EM PEÇAS'!W31-('META  EM PEÇAS'!W31*0.05)</f>
        <v>1098.1904999999999</v>
      </c>
      <c r="CA47" s="91">
        <f>'META  EM PEÇAS'!X31-('META  EM PEÇAS'!X31*0.05)</f>
        <v>1322.5994999999998</v>
      </c>
      <c r="CB47" s="91">
        <f>'META  EM PEÇAS'!Y31-('META  EM PEÇAS'!Y31*0.05)</f>
        <v>1590.3</v>
      </c>
      <c r="CC47" s="91">
        <f>'META  EM PEÇAS'!Z31-('META  EM PEÇAS'!Z31*0.05)</f>
        <v>1062.8505</v>
      </c>
      <c r="CD47" s="91">
        <f>'META  EM PEÇAS'!AA31-('META  EM PEÇAS'!AA31*0.05)</f>
        <v>1102.6079999999999</v>
      </c>
      <c r="CE47" s="91">
        <f>'META  EM PEÇAS'!AB31-('META  EM PEÇAS'!AB31*0.05)</f>
        <v>1196.259</v>
      </c>
      <c r="CF47" s="91">
        <f>'META  EM PEÇAS'!AC31-('META  EM PEÇAS'!AC31*0.05)</f>
        <v>1532.8724999999999</v>
      </c>
      <c r="CG47" s="91">
        <f>'META  EM PEÇAS'!AD31-('META  EM PEÇAS'!AD31*0.05)</f>
        <v>2160.1574999999998</v>
      </c>
      <c r="CH47" s="91">
        <f t="shared" si="80"/>
        <v>15253.534499999998</v>
      </c>
      <c r="CJ47" s="91">
        <v>1214.58</v>
      </c>
      <c r="CK47" s="91">
        <v>939.3</v>
      </c>
      <c r="CL47" s="91">
        <v>1055.7824999999998</v>
      </c>
      <c r="CM47" s="91">
        <v>978.03449999999998</v>
      </c>
      <c r="CN47" s="91">
        <v>1098.1904999999999</v>
      </c>
      <c r="CO47" s="91">
        <v>1322.5994999999998</v>
      </c>
      <c r="CP47" s="91">
        <v>1590.3</v>
      </c>
      <c r="CQ47" s="91">
        <v>1062.8505</v>
      </c>
      <c r="CR47" s="91">
        <v>1102.6079999999999</v>
      </c>
      <c r="CS47" s="91">
        <v>1196.259</v>
      </c>
      <c r="CT47" s="91">
        <v>1532.8724999999999</v>
      </c>
      <c r="CU47" s="91">
        <v>2160.1574999999998</v>
      </c>
      <c r="CV47" s="91">
        <v>15253.534499999998</v>
      </c>
      <c r="CW47" s="758"/>
      <c r="CX47" s="884">
        <v>1214.58</v>
      </c>
      <c r="CY47" s="884">
        <v>939.3</v>
      </c>
      <c r="CZ47" s="884">
        <v>1055.7824999999998</v>
      </c>
      <c r="DA47" s="884">
        <v>978.03449999999998</v>
      </c>
      <c r="DB47" s="884">
        <v>1098.1904999999999</v>
      </c>
      <c r="DC47" s="884">
        <v>1322.5994999999998</v>
      </c>
      <c r="DD47" s="884">
        <v>1590.3</v>
      </c>
      <c r="DE47" s="884">
        <v>1062.8505</v>
      </c>
      <c r="DF47" s="884">
        <v>1102.6079999999999</v>
      </c>
      <c r="DG47" s="884">
        <v>1196.259</v>
      </c>
      <c r="DH47" s="884">
        <v>1532.8724999999999</v>
      </c>
      <c r="DI47" s="884">
        <v>2160.1574999999998</v>
      </c>
      <c r="DJ47" s="91">
        <v>15253.534499999998</v>
      </c>
      <c r="DK47" s="948"/>
      <c r="DL47" s="884">
        <v>1214.58</v>
      </c>
      <c r="DM47" s="884">
        <v>939.3</v>
      </c>
      <c r="DN47" s="884">
        <v>1055.7824999999998</v>
      </c>
      <c r="DO47" s="884">
        <v>978.03449999999998</v>
      </c>
      <c r="DP47" s="884">
        <v>1098.1904999999999</v>
      </c>
      <c r="DQ47" s="884">
        <v>1322.5994999999998</v>
      </c>
      <c r="DR47" s="884">
        <v>1590.3</v>
      </c>
      <c r="DS47" s="884">
        <v>1062.8505</v>
      </c>
      <c r="DT47" s="884">
        <v>1102.6079999999999</v>
      </c>
      <c r="DU47" s="884">
        <v>1196.259</v>
      </c>
      <c r="DV47" s="884">
        <v>1532.8724999999999</v>
      </c>
      <c r="DW47" s="884">
        <v>2160.1574999999998</v>
      </c>
      <c r="DX47" s="91">
        <v>15253.534499999998</v>
      </c>
    </row>
    <row r="48" spans="1:143" ht="15" hidden="1" customHeight="1" outlineLevel="1">
      <c r="A48" s="94">
        <v>7</v>
      </c>
      <c r="B48" s="1079" t="s">
        <v>62</v>
      </c>
      <c r="C48" s="1120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314">
        <f t="shared" si="75"/>
        <v>0</v>
      </c>
      <c r="Q48" s="90"/>
      <c r="R48" s="313">
        <v>2000</v>
      </c>
      <c r="S48" s="91">
        <f>2182</f>
        <v>2182</v>
      </c>
      <c r="T48" s="91">
        <f>2455/2</f>
        <v>1227.5</v>
      </c>
      <c r="U48" s="91">
        <f>4*U8</f>
        <v>4</v>
      </c>
      <c r="V48" s="91">
        <v>200</v>
      </c>
      <c r="W48" s="91">
        <v>700</v>
      </c>
      <c r="X48" s="91">
        <v>1600</v>
      </c>
      <c r="Y48" s="91">
        <v>1600</v>
      </c>
      <c r="Z48" s="91">
        <v>1600</v>
      </c>
      <c r="AA48" s="91">
        <v>1600</v>
      </c>
      <c r="AB48" s="91">
        <v>2500</v>
      </c>
      <c r="AC48" s="91">
        <v>3200</v>
      </c>
      <c r="AD48" s="315">
        <f t="shared" si="76"/>
        <v>18413.5</v>
      </c>
      <c r="AE48" s="23"/>
      <c r="AF48" s="316">
        <v>2600</v>
      </c>
      <c r="AG48" s="91">
        <v>1000</v>
      </c>
      <c r="AH48" s="91">
        <v>195</v>
      </c>
      <c r="AI48" s="91">
        <v>844</v>
      </c>
      <c r="AJ48" s="91">
        <v>1973</v>
      </c>
      <c r="AK48" s="91">
        <v>1840</v>
      </c>
      <c r="AL48" s="91">
        <v>2000</v>
      </c>
      <c r="AM48" s="91">
        <v>2300</v>
      </c>
      <c r="AN48" s="91">
        <v>2300</v>
      </c>
      <c r="AO48" s="91">
        <v>2300</v>
      </c>
      <c r="AP48" s="91">
        <v>2530</v>
      </c>
      <c r="AQ48" s="91">
        <v>3680</v>
      </c>
      <c r="AR48" s="92">
        <f t="shared" si="77"/>
        <v>23562</v>
      </c>
      <c r="AS48" s="23"/>
      <c r="AT48" s="91">
        <v>1888</v>
      </c>
      <c r="AU48" s="91">
        <v>1414</v>
      </c>
      <c r="AV48" s="91">
        <v>2073</v>
      </c>
      <c r="AW48" s="91">
        <v>2338</v>
      </c>
      <c r="AX48" s="317">
        <v>1857</v>
      </c>
      <c r="AY48" s="317">
        <v>1857</v>
      </c>
      <c r="AZ48" s="317">
        <v>1772</v>
      </c>
      <c r="BA48" s="317">
        <v>1772</v>
      </c>
      <c r="BB48" s="317">
        <v>1857</v>
      </c>
      <c r="BC48" s="317">
        <v>2194</v>
      </c>
      <c r="BD48" s="317">
        <v>2363</v>
      </c>
      <c r="BE48" s="317">
        <v>3376</v>
      </c>
      <c r="BF48" s="91">
        <f t="shared" si="78"/>
        <v>24761</v>
      </c>
      <c r="BG48" s="93">
        <f t="shared" si="79"/>
        <v>5.0887021475256811E-2</v>
      </c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>
        <v>22941</v>
      </c>
      <c r="BU48" s="54"/>
      <c r="BV48" s="91">
        <v>3211.29</v>
      </c>
      <c r="BW48" s="91">
        <v>2482.1699999999996</v>
      </c>
      <c r="BX48" s="91">
        <f>'META  EM PEÇAS'!U32-('META  EM PEÇAS'!U32*0.05)</f>
        <v>2790.0929999999998</v>
      </c>
      <c r="BY48" s="91">
        <f>'META  EM PEÇAS'!V32-('META  EM PEÇAS'!V32*0.05)</f>
        <v>2586.0044999999996</v>
      </c>
      <c r="BZ48" s="91">
        <f>'META  EM PEÇAS'!W32-('META  EM PEÇAS'!W32*0.05)</f>
        <v>2902.2974999999997</v>
      </c>
      <c r="CA48" s="91">
        <f>'META  EM PEÇAS'!X32-('META  EM PEÇAS'!X32*0.05)</f>
        <v>3495.1259999999997</v>
      </c>
      <c r="CB48" s="91">
        <f>'META  EM PEÇAS'!Y32-('META  EM PEÇAS'!Y32*0.05)</f>
        <v>4203.6929999999993</v>
      </c>
      <c r="CC48" s="91">
        <f>'META  EM PEÇAS'!Z32-('META  EM PEÇAS'!Z32*0.05)</f>
        <v>2810.4135000000001</v>
      </c>
      <c r="CD48" s="91">
        <f>'META  EM PEÇAS'!AA32-('META  EM PEÇAS'!AA32*0.05)</f>
        <v>2914.6664999999998</v>
      </c>
      <c r="CE48" s="91">
        <f>'META  EM PEÇAS'!AB32-('META  EM PEÇAS'!AB32*0.05)</f>
        <v>3162.93</v>
      </c>
      <c r="CF48" s="91">
        <f>'META  EM PEÇAS'!AC32-('META  EM PEÇAS'!AC32*0.05)</f>
        <v>4051.7309999999998</v>
      </c>
      <c r="CG48" s="91">
        <f>'META  EM PEÇAS'!AD32-('META  EM PEÇAS'!AD32*0.05)</f>
        <v>5709.1769999999997</v>
      </c>
      <c r="CH48" s="91">
        <f t="shared" si="80"/>
        <v>40319.59199999999</v>
      </c>
      <c r="CJ48" s="91">
        <v>3211.29</v>
      </c>
      <c r="CK48" s="91">
        <v>2482.1699999999996</v>
      </c>
      <c r="CL48" s="91">
        <v>2790.0929999999998</v>
      </c>
      <c r="CM48" s="91">
        <v>2586.0044999999996</v>
      </c>
      <c r="CN48" s="91">
        <v>2902.2974999999997</v>
      </c>
      <c r="CO48" s="91">
        <v>3495.1259999999997</v>
      </c>
      <c r="CP48" s="91">
        <v>4203.6929999999993</v>
      </c>
      <c r="CQ48" s="91">
        <v>2810.4135000000001</v>
      </c>
      <c r="CR48" s="91">
        <v>2914.6664999999998</v>
      </c>
      <c r="CS48" s="91">
        <v>3162.93</v>
      </c>
      <c r="CT48" s="91">
        <v>4051.7309999999998</v>
      </c>
      <c r="CU48" s="91">
        <v>5709.1769999999997</v>
      </c>
      <c r="CV48" s="91">
        <v>40319.59199999999</v>
      </c>
      <c r="CW48" s="758"/>
      <c r="CX48" s="884">
        <v>3211.29</v>
      </c>
      <c r="CY48" s="884">
        <v>2482.1699999999996</v>
      </c>
      <c r="CZ48" s="884">
        <v>2790.0929999999998</v>
      </c>
      <c r="DA48" s="884">
        <v>2586.0044999999996</v>
      </c>
      <c r="DB48" s="884">
        <v>2902.2974999999997</v>
      </c>
      <c r="DC48" s="884">
        <v>3495.1259999999997</v>
      </c>
      <c r="DD48" s="884">
        <v>4203.6929999999993</v>
      </c>
      <c r="DE48" s="884">
        <v>2810.4135000000001</v>
      </c>
      <c r="DF48" s="884">
        <v>2914.6664999999998</v>
      </c>
      <c r="DG48" s="884">
        <v>3162.93</v>
      </c>
      <c r="DH48" s="884">
        <v>4051.7309999999998</v>
      </c>
      <c r="DI48" s="884">
        <v>5709.1769999999997</v>
      </c>
      <c r="DJ48" s="91">
        <v>40319.59199999999</v>
      </c>
      <c r="DK48" s="948"/>
      <c r="DL48" s="884">
        <v>3211.29</v>
      </c>
      <c r="DM48" s="884">
        <v>2482.1699999999996</v>
      </c>
      <c r="DN48" s="884">
        <v>2790.0929999999998</v>
      </c>
      <c r="DO48" s="884">
        <v>2586.0044999999996</v>
      </c>
      <c r="DP48" s="884">
        <v>2902.2974999999997</v>
      </c>
      <c r="DQ48" s="884">
        <v>3495.1259999999997</v>
      </c>
      <c r="DR48" s="884">
        <v>4203.6929999999993</v>
      </c>
      <c r="DS48" s="884">
        <v>2810.4135000000001</v>
      </c>
      <c r="DT48" s="884">
        <v>2914.6664999999998</v>
      </c>
      <c r="DU48" s="884">
        <v>3162.93</v>
      </c>
      <c r="DV48" s="884">
        <v>4051.7309999999998</v>
      </c>
      <c r="DW48" s="884">
        <v>5709.1769999999997</v>
      </c>
      <c r="DX48" s="91">
        <v>40319.59199999999</v>
      </c>
    </row>
    <row r="49" spans="1:128" ht="15" hidden="1" customHeight="1" outlineLevel="1">
      <c r="A49" s="94">
        <v>9</v>
      </c>
      <c r="B49" s="1079" t="s">
        <v>63</v>
      </c>
      <c r="C49" s="1120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>
        <f t="shared" si="75"/>
        <v>0</v>
      </c>
      <c r="Q49" s="90"/>
      <c r="R49" s="313">
        <v>1636</v>
      </c>
      <c r="S49" s="91">
        <v>1636</v>
      </c>
      <c r="T49" s="91">
        <f t="shared" ref="T49:T50" si="82">1818/2</f>
        <v>909</v>
      </c>
      <c r="U49" s="91">
        <v>0</v>
      </c>
      <c r="V49" s="91">
        <v>200</v>
      </c>
      <c r="W49" s="91">
        <v>300</v>
      </c>
      <c r="X49" s="91">
        <v>1000</v>
      </c>
      <c r="Y49" s="91">
        <v>1200</v>
      </c>
      <c r="Z49" s="91">
        <v>1600</v>
      </c>
      <c r="AA49" s="91">
        <v>1600</v>
      </c>
      <c r="AB49" s="91">
        <v>1800</v>
      </c>
      <c r="AC49" s="91">
        <v>2300</v>
      </c>
      <c r="AD49" s="315">
        <f t="shared" si="76"/>
        <v>14181</v>
      </c>
      <c r="AE49" s="23"/>
      <c r="AF49" s="316">
        <v>1500</v>
      </c>
      <c r="AG49" s="91">
        <v>1000</v>
      </c>
      <c r="AH49" s="91">
        <v>126</v>
      </c>
      <c r="AI49" s="91">
        <v>387</v>
      </c>
      <c r="AJ49" s="91">
        <v>895</v>
      </c>
      <c r="AK49" s="91">
        <v>800</v>
      </c>
      <c r="AL49" s="91">
        <v>1500</v>
      </c>
      <c r="AM49" s="91">
        <v>1000</v>
      </c>
      <c r="AN49" s="91">
        <v>1000</v>
      </c>
      <c r="AO49" s="91">
        <v>1000</v>
      </c>
      <c r="AP49" s="91">
        <v>1100</v>
      </c>
      <c r="AQ49" s="91">
        <v>1600</v>
      </c>
      <c r="AR49" s="92">
        <f t="shared" si="77"/>
        <v>11908</v>
      </c>
      <c r="AS49" s="23"/>
      <c r="AT49" s="91">
        <v>1182</v>
      </c>
      <c r="AU49" s="91">
        <v>1200</v>
      </c>
      <c r="AV49" s="91">
        <v>932</v>
      </c>
      <c r="AW49" s="91">
        <v>1020</v>
      </c>
      <c r="AX49" s="317">
        <v>0</v>
      </c>
      <c r="AY49" s="317">
        <v>0</v>
      </c>
      <c r="AZ49" s="317">
        <v>0</v>
      </c>
      <c r="BA49" s="317">
        <v>0</v>
      </c>
      <c r="BB49" s="317">
        <v>0</v>
      </c>
      <c r="BC49" s="317">
        <v>0</v>
      </c>
      <c r="BD49" s="317">
        <v>0</v>
      </c>
      <c r="BE49" s="317">
        <v>0</v>
      </c>
      <c r="BF49" s="91">
        <f t="shared" si="78"/>
        <v>4334</v>
      </c>
      <c r="BG49" s="93">
        <f t="shared" si="79"/>
        <v>-0.63604299630500505</v>
      </c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>
        <v>7070</v>
      </c>
      <c r="BU49" s="54"/>
      <c r="BV49" s="91">
        <v>928.14</v>
      </c>
      <c r="BW49" s="91">
        <v>717.95999999999992</v>
      </c>
      <c r="BX49" s="91">
        <f>'META  EM PEÇAS'!U37-('META  EM PEÇAS'!U37*0.05)</f>
        <v>806.63549999999987</v>
      </c>
      <c r="BY49" s="91">
        <f>'META  EM PEÇAS'!V37-('META  EM PEÇAS'!V37*0.05)</f>
        <v>747.44100000000003</v>
      </c>
      <c r="BZ49" s="91">
        <f>'META  EM PEÇAS'!W37-('META  EM PEÇAS'!W37*0.05)</f>
        <v>839.32499999999993</v>
      </c>
      <c r="CA49" s="91">
        <f>'META  EM PEÇAS'!X37-('META  EM PEÇAS'!X37*0.05)</f>
        <v>1010.7239999999998</v>
      </c>
      <c r="CB49" s="91">
        <f>'META  EM PEÇAS'!Y37-('META  EM PEÇAS'!Y37*0.05)</f>
        <v>1214.8125</v>
      </c>
      <c r="CC49" s="91">
        <f>'META  EM PEÇAS'!Z37-('META  EM PEÇAS'!Z37*0.05)</f>
        <v>812.81999999999994</v>
      </c>
      <c r="CD49" s="91">
        <f>'META  EM PEÇAS'!AA37-('META  EM PEÇAS'!AA37*0.05)</f>
        <v>842.85899999999992</v>
      </c>
      <c r="CE49" s="91">
        <f>'META  EM PEÇAS'!AB37-('META  EM PEÇAS'!AB37*0.05)</f>
        <v>914.4224999999999</v>
      </c>
      <c r="CF49" s="91">
        <f>'META  EM PEÇAS'!AC37-('META  EM PEÇAS'!AC37*0.05)</f>
        <v>1171.5209999999997</v>
      </c>
      <c r="CG49" s="91">
        <f>'META  EM PEÇAS'!AD37-('META  EM PEÇAS'!AD37*0.05)</f>
        <v>1650.3779999999997</v>
      </c>
      <c r="CH49" s="91">
        <f t="shared" si="80"/>
        <v>11657.038499999999</v>
      </c>
      <c r="CJ49" s="91">
        <v>928.14</v>
      </c>
      <c r="CK49" s="91">
        <v>717.95999999999992</v>
      </c>
      <c r="CL49" s="91">
        <v>806.63549999999987</v>
      </c>
      <c r="CM49" s="91">
        <v>747.44100000000003</v>
      </c>
      <c r="CN49" s="91">
        <v>839.32499999999993</v>
      </c>
      <c r="CO49" s="91">
        <v>1010.7239999999998</v>
      </c>
      <c r="CP49" s="91">
        <v>1214.8125</v>
      </c>
      <c r="CQ49" s="91">
        <v>812.81999999999994</v>
      </c>
      <c r="CR49" s="91">
        <v>842.85899999999992</v>
      </c>
      <c r="CS49" s="91">
        <v>914.4224999999999</v>
      </c>
      <c r="CT49" s="91">
        <v>1171.5209999999997</v>
      </c>
      <c r="CU49" s="91">
        <v>1650.3779999999997</v>
      </c>
      <c r="CV49" s="91">
        <v>11657.038499999999</v>
      </c>
      <c r="CW49" s="758"/>
      <c r="CX49" s="884">
        <v>928.14</v>
      </c>
      <c r="CY49" s="884">
        <v>717.95999999999992</v>
      </c>
      <c r="CZ49" s="884">
        <v>806.63549999999987</v>
      </c>
      <c r="DA49" s="884">
        <v>747.44100000000003</v>
      </c>
      <c r="DB49" s="884">
        <v>839.32499999999993</v>
      </c>
      <c r="DC49" s="884">
        <v>1010.7239999999998</v>
      </c>
      <c r="DD49" s="884">
        <v>1214.8125</v>
      </c>
      <c r="DE49" s="884">
        <v>812.81999999999994</v>
      </c>
      <c r="DF49" s="884">
        <v>842.85899999999992</v>
      </c>
      <c r="DG49" s="884">
        <v>914.4224999999999</v>
      </c>
      <c r="DH49" s="884">
        <v>1171.5209999999997</v>
      </c>
      <c r="DI49" s="884">
        <v>1650.3779999999997</v>
      </c>
      <c r="DJ49" s="91">
        <v>11657.038499999999</v>
      </c>
      <c r="DK49" s="948"/>
      <c r="DL49" s="884">
        <v>928.14</v>
      </c>
      <c r="DM49" s="884">
        <v>717.95999999999992</v>
      </c>
      <c r="DN49" s="884">
        <v>806.63549999999987</v>
      </c>
      <c r="DO49" s="884">
        <v>747.44100000000003</v>
      </c>
      <c r="DP49" s="884">
        <v>839.32499999999993</v>
      </c>
      <c r="DQ49" s="884">
        <v>1010.7239999999998</v>
      </c>
      <c r="DR49" s="884">
        <v>1214.8125</v>
      </c>
      <c r="DS49" s="884">
        <v>812.81999999999994</v>
      </c>
      <c r="DT49" s="884">
        <v>842.85899999999992</v>
      </c>
      <c r="DU49" s="884">
        <v>914.4224999999999</v>
      </c>
      <c r="DV49" s="884">
        <v>1171.5209999999997</v>
      </c>
      <c r="DW49" s="884">
        <v>1650.3779999999997</v>
      </c>
      <c r="DX49" s="91">
        <v>11657.038499999999</v>
      </c>
    </row>
    <row r="50" spans="1:128" ht="15" hidden="1" customHeight="1" outlineLevel="1">
      <c r="A50" s="94">
        <v>10</v>
      </c>
      <c r="B50" s="1079" t="s">
        <v>64</v>
      </c>
      <c r="C50" s="1120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>
        <f t="shared" si="75"/>
        <v>0</v>
      </c>
      <c r="Q50" s="90"/>
      <c r="R50" s="313">
        <v>1636</v>
      </c>
      <c r="S50" s="91">
        <v>1636</v>
      </c>
      <c r="T50" s="91">
        <f t="shared" si="82"/>
        <v>909</v>
      </c>
      <c r="U50" s="91">
        <f>0.5*U8</f>
        <v>0.5</v>
      </c>
      <c r="V50" s="91">
        <v>200</v>
      </c>
      <c r="W50" s="91">
        <v>300</v>
      </c>
      <c r="X50" s="91">
        <v>1000</v>
      </c>
      <c r="Y50" s="91">
        <v>1200</v>
      </c>
      <c r="Z50" s="91">
        <v>1600</v>
      </c>
      <c r="AA50" s="91">
        <v>1600</v>
      </c>
      <c r="AB50" s="91">
        <v>1800</v>
      </c>
      <c r="AC50" s="91">
        <v>2300</v>
      </c>
      <c r="AD50" s="315">
        <f t="shared" si="76"/>
        <v>14181.5</v>
      </c>
      <c r="AE50" s="23"/>
      <c r="AF50" s="316">
        <v>1500</v>
      </c>
      <c r="AG50" s="91">
        <v>1000</v>
      </c>
      <c r="AH50" s="91">
        <v>764</v>
      </c>
      <c r="AI50" s="91">
        <v>561</v>
      </c>
      <c r="AJ50" s="91">
        <v>1353</v>
      </c>
      <c r="AK50" s="91">
        <v>960</v>
      </c>
      <c r="AL50" s="91">
        <v>1500</v>
      </c>
      <c r="AM50" s="91">
        <v>1200</v>
      </c>
      <c r="AN50" s="91">
        <v>1200</v>
      </c>
      <c r="AO50" s="91">
        <v>1200</v>
      </c>
      <c r="AP50" s="91">
        <v>1320</v>
      </c>
      <c r="AQ50" s="91">
        <v>1920</v>
      </c>
      <c r="AR50" s="92">
        <f t="shared" si="77"/>
        <v>14478</v>
      </c>
      <c r="AS50" s="23"/>
      <c r="AT50" s="91">
        <v>1285</v>
      </c>
      <c r="AU50" s="91">
        <v>957</v>
      </c>
      <c r="AV50" s="91">
        <v>1426</v>
      </c>
      <c r="AW50" s="91">
        <v>1595</v>
      </c>
      <c r="AX50" s="317">
        <v>1767</v>
      </c>
      <c r="AY50" s="317">
        <v>1767</v>
      </c>
      <c r="AZ50" s="317">
        <v>1686</v>
      </c>
      <c r="BA50" s="317">
        <v>1686</v>
      </c>
      <c r="BB50" s="317">
        <v>1767</v>
      </c>
      <c r="BC50" s="317">
        <v>2088</v>
      </c>
      <c r="BD50" s="317">
        <v>2248</v>
      </c>
      <c r="BE50" s="317">
        <v>3212</v>
      </c>
      <c r="BF50" s="91">
        <f t="shared" si="78"/>
        <v>21484</v>
      </c>
      <c r="BG50" s="93">
        <f t="shared" si="79"/>
        <v>0.48390661693604087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>
        <v>16952</v>
      </c>
      <c r="BU50" s="54"/>
      <c r="BV50" s="91">
        <v>2631.8999999999996</v>
      </c>
      <c r="BW50" s="91">
        <v>2034.84</v>
      </c>
      <c r="BX50" s="91">
        <f>'META  EM PEÇAS'!U33-('META  EM PEÇAS'!U33*0.05)</f>
        <v>2287.3815</v>
      </c>
      <c r="BY50" s="91">
        <f>'META  EM PEÇAS'!V33-('META  EM PEÇAS'!V33*0.05)</f>
        <v>2119.5164999999997</v>
      </c>
      <c r="BZ50" s="91">
        <f>'META  EM PEÇAS'!W33-('META  EM PEÇAS'!W33*0.05)</f>
        <v>2379.2655</v>
      </c>
      <c r="CA50" s="91">
        <f>'META  EM PEÇAS'!X33-('META  EM PEÇAS'!X33*0.05)</f>
        <v>2865.1904999999997</v>
      </c>
      <c r="CB50" s="91">
        <f>'META  EM PEÇAS'!Y33-('META  EM PEÇAS'!Y33*0.05)</f>
        <v>3445.6499999999996</v>
      </c>
      <c r="CC50" s="91">
        <f>'META  EM PEÇAS'!Z33-('META  EM PEÇAS'!Z33*0.05)</f>
        <v>2303.2844999999998</v>
      </c>
      <c r="CD50" s="91">
        <f>'META  EM PEÇAS'!AA33-('META  EM PEÇAS'!AA33*0.05)</f>
        <v>2388.9839999999999</v>
      </c>
      <c r="CE50" s="91">
        <f>'META  EM PEÇAS'!AB33-('META  EM PEÇAS'!AB33*0.05)</f>
        <v>2592.1889999999999</v>
      </c>
      <c r="CF50" s="91">
        <f>'META  EM PEÇAS'!AC33-('META  EM PEÇAS'!AC33*0.05)</f>
        <v>3321.0765000000001</v>
      </c>
      <c r="CG50" s="91">
        <f>'META  EM PEÇAS'!AD33-('META  EM PEÇAS'!AD33*0.05)</f>
        <v>4679.8995000000004</v>
      </c>
      <c r="CH50" s="91">
        <f t="shared" si="80"/>
        <v>33049.177499999998</v>
      </c>
      <c r="CJ50" s="91">
        <v>2631.8999999999996</v>
      </c>
      <c r="CK50" s="91">
        <v>2034.84</v>
      </c>
      <c r="CL50" s="91">
        <v>2287.3815</v>
      </c>
      <c r="CM50" s="91">
        <v>2119.5164999999997</v>
      </c>
      <c r="CN50" s="91">
        <v>2379.2655</v>
      </c>
      <c r="CO50" s="91">
        <v>2865.1904999999997</v>
      </c>
      <c r="CP50" s="91">
        <v>3445.6499999999996</v>
      </c>
      <c r="CQ50" s="91">
        <v>2303.2844999999998</v>
      </c>
      <c r="CR50" s="91">
        <v>2388.9839999999999</v>
      </c>
      <c r="CS50" s="91">
        <v>2592.1889999999999</v>
      </c>
      <c r="CT50" s="91">
        <v>3321.0765000000001</v>
      </c>
      <c r="CU50" s="91">
        <v>4679.8995000000004</v>
      </c>
      <c r="CV50" s="91">
        <v>33049.177499999998</v>
      </c>
      <c r="CW50" s="758"/>
      <c r="CX50" s="884">
        <v>2631.8999999999996</v>
      </c>
      <c r="CY50" s="884">
        <v>2034.84</v>
      </c>
      <c r="CZ50" s="884">
        <v>2287.3815</v>
      </c>
      <c r="DA50" s="884">
        <v>2119.5164999999997</v>
      </c>
      <c r="DB50" s="884">
        <v>2379.2655</v>
      </c>
      <c r="DC50" s="884">
        <v>2865.1904999999997</v>
      </c>
      <c r="DD50" s="884">
        <v>3445.6499999999996</v>
      </c>
      <c r="DE50" s="884">
        <v>2303.2844999999998</v>
      </c>
      <c r="DF50" s="884">
        <v>2388.9839999999999</v>
      </c>
      <c r="DG50" s="884">
        <v>2592.1889999999999</v>
      </c>
      <c r="DH50" s="884">
        <v>3321.0765000000001</v>
      </c>
      <c r="DI50" s="884">
        <v>4679.8995000000004</v>
      </c>
      <c r="DJ50" s="91">
        <v>33049.177499999998</v>
      </c>
      <c r="DK50" s="948"/>
      <c r="DL50" s="884">
        <v>2631.8999999999996</v>
      </c>
      <c r="DM50" s="884">
        <v>2034.84</v>
      </c>
      <c r="DN50" s="884">
        <v>2287.3815</v>
      </c>
      <c r="DO50" s="884">
        <v>2119.5164999999997</v>
      </c>
      <c r="DP50" s="884">
        <v>2379.2655</v>
      </c>
      <c r="DQ50" s="884">
        <v>2865.1904999999997</v>
      </c>
      <c r="DR50" s="884">
        <v>3445.6499999999996</v>
      </c>
      <c r="DS50" s="884">
        <v>2303.2844999999998</v>
      </c>
      <c r="DT50" s="884">
        <v>2388.9839999999999</v>
      </c>
      <c r="DU50" s="884">
        <v>2592.1889999999999</v>
      </c>
      <c r="DV50" s="884">
        <v>3321.0765000000001</v>
      </c>
      <c r="DW50" s="884">
        <v>4679.8995000000004</v>
      </c>
      <c r="DX50" s="91">
        <v>33049.177499999998</v>
      </c>
    </row>
    <row r="51" spans="1:128" ht="15" hidden="1" customHeight="1" outlineLevel="1">
      <c r="A51" s="94">
        <v>10</v>
      </c>
      <c r="B51" s="1079" t="s">
        <v>65</v>
      </c>
      <c r="C51" s="1120"/>
      <c r="D51" s="313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314">
        <f t="shared" si="75"/>
        <v>0</v>
      </c>
      <c r="Q51" s="90"/>
      <c r="R51" s="313">
        <v>0</v>
      </c>
      <c r="S51" s="91">
        <v>0</v>
      </c>
      <c r="T51" s="91">
        <v>0</v>
      </c>
      <c r="U51" s="91">
        <v>0</v>
      </c>
      <c r="V51" s="91">
        <v>3500</v>
      </c>
      <c r="W51" s="91">
        <v>350</v>
      </c>
      <c r="X51" s="91">
        <v>800</v>
      </c>
      <c r="Y51" s="91">
        <v>1000</v>
      </c>
      <c r="Z51" s="91">
        <v>1600</v>
      </c>
      <c r="AA51" s="91">
        <v>2000</v>
      </c>
      <c r="AB51" s="91">
        <v>2400</v>
      </c>
      <c r="AC51" s="91">
        <v>3000</v>
      </c>
      <c r="AD51" s="315">
        <f t="shared" si="76"/>
        <v>14650</v>
      </c>
      <c r="AE51" s="23"/>
      <c r="AF51" s="316">
        <v>2500</v>
      </c>
      <c r="AG51" s="91">
        <v>1000</v>
      </c>
      <c r="AH51" s="91">
        <f>2500*0.15</f>
        <v>375</v>
      </c>
      <c r="AI51" s="91">
        <v>787</v>
      </c>
      <c r="AJ51" s="91">
        <v>1569</v>
      </c>
      <c r="AK51" s="91">
        <v>2000</v>
      </c>
      <c r="AL51" s="91">
        <v>2500</v>
      </c>
      <c r="AM51" s="91">
        <v>2500</v>
      </c>
      <c r="AN51" s="91">
        <v>2500</v>
      </c>
      <c r="AO51" s="91">
        <v>2500</v>
      </c>
      <c r="AP51" s="91">
        <v>2750</v>
      </c>
      <c r="AQ51" s="91">
        <v>4000</v>
      </c>
      <c r="AR51" s="92">
        <f t="shared" si="77"/>
        <v>24981</v>
      </c>
      <c r="AS51" s="23"/>
      <c r="AT51" s="91">
        <v>1806</v>
      </c>
      <c r="AU51" s="91">
        <v>2046</v>
      </c>
      <c r="AV51" s="91">
        <v>1646</v>
      </c>
      <c r="AW51" s="91">
        <v>1902</v>
      </c>
      <c r="AX51" s="317">
        <v>1545</v>
      </c>
      <c r="AY51" s="317">
        <v>1545</v>
      </c>
      <c r="AZ51" s="317">
        <v>1475</v>
      </c>
      <c r="BA51" s="317">
        <v>1475</v>
      </c>
      <c r="BB51" s="317">
        <v>1545</v>
      </c>
      <c r="BC51" s="317">
        <v>1826</v>
      </c>
      <c r="BD51" s="317">
        <v>0</v>
      </c>
      <c r="BE51" s="317">
        <v>0</v>
      </c>
      <c r="BF51" s="91">
        <f t="shared" si="78"/>
        <v>16811</v>
      </c>
      <c r="BG51" s="93">
        <f t="shared" si="79"/>
        <v>-0.32704855690324641</v>
      </c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>
        <v>10230</v>
      </c>
      <c r="BU51" s="54"/>
      <c r="BV51" s="91">
        <v>1335.48</v>
      </c>
      <c r="BW51" s="91">
        <v>1032.3</v>
      </c>
      <c r="BX51" s="91">
        <f>'META  EM PEÇAS'!U39-('META  EM PEÇAS'!U39*0.05)</f>
        <v>1160.0355</v>
      </c>
      <c r="BY51" s="91">
        <f>'META  EM PEÇAS'!V39-('META  EM PEÇAS'!V39*0.05)</f>
        <v>1075.2194999999999</v>
      </c>
      <c r="BZ51" s="91">
        <f>'META  EM PEÇAS'!W39-('META  EM PEÇAS'!W39*0.05)</f>
        <v>1206.8609999999999</v>
      </c>
      <c r="CA51" s="91">
        <f>'META  EM PEÇAS'!X39-('META  EM PEÇAS'!X39*0.05)</f>
        <v>1453.3574999999998</v>
      </c>
      <c r="CB51" s="91">
        <f>'META  EM PEÇAS'!Y39-('META  EM PEÇAS'!Y39*0.05)</f>
        <v>1747.5629999999999</v>
      </c>
      <c r="CC51" s="91">
        <f>'META  EM PEÇAS'!Z39-('META  EM PEÇAS'!Z39*0.05)</f>
        <v>1168.8705</v>
      </c>
      <c r="CD51" s="91">
        <f>'META  EM PEÇAS'!AA39-('META  EM PEÇAS'!AA39*0.05)</f>
        <v>1212.1619999999998</v>
      </c>
      <c r="CE51" s="91">
        <f>'META  EM PEÇAS'!AB39-('META  EM PEÇAS'!AB39*0.05)</f>
        <v>1314.6479999999999</v>
      </c>
      <c r="CF51" s="91">
        <f>'META  EM PEÇAS'!AC39-('META  EM PEÇAS'!AC39*0.05)</f>
        <v>1684.8344999999999</v>
      </c>
      <c r="CG51" s="91">
        <f>'META  EM PEÇAS'!AD39-('META  EM PEÇAS'!AD39*0.05)</f>
        <v>2373.9645</v>
      </c>
      <c r="CH51" s="91">
        <f t="shared" si="80"/>
        <v>16765.295999999995</v>
      </c>
      <c r="CJ51" s="91">
        <v>1335.48</v>
      </c>
      <c r="CK51" s="91">
        <v>1032.3</v>
      </c>
      <c r="CL51" s="91">
        <v>1160.0355</v>
      </c>
      <c r="CM51" s="91">
        <v>1075.2194999999999</v>
      </c>
      <c r="CN51" s="91">
        <v>1206.8609999999999</v>
      </c>
      <c r="CO51" s="91">
        <v>1453.3574999999998</v>
      </c>
      <c r="CP51" s="91">
        <v>1747.5629999999999</v>
      </c>
      <c r="CQ51" s="91">
        <v>1168.8705</v>
      </c>
      <c r="CR51" s="91">
        <v>1212.1619999999998</v>
      </c>
      <c r="CS51" s="91">
        <v>1314.6479999999999</v>
      </c>
      <c r="CT51" s="91">
        <v>1684.8344999999999</v>
      </c>
      <c r="CU51" s="91">
        <v>2373.9645</v>
      </c>
      <c r="CV51" s="91">
        <v>16765.295999999995</v>
      </c>
      <c r="CW51" s="758"/>
      <c r="CX51" s="884">
        <v>1335.48</v>
      </c>
      <c r="CY51" s="884">
        <v>1032.3</v>
      </c>
      <c r="CZ51" s="884">
        <v>1160.0355</v>
      </c>
      <c r="DA51" s="884">
        <v>1075.2194999999999</v>
      </c>
      <c r="DB51" s="884">
        <v>1206.8609999999999</v>
      </c>
      <c r="DC51" s="884">
        <v>1453.3574999999998</v>
      </c>
      <c r="DD51" s="884">
        <v>1747.5629999999999</v>
      </c>
      <c r="DE51" s="884">
        <v>1168.8705</v>
      </c>
      <c r="DF51" s="884">
        <v>1212.1619999999998</v>
      </c>
      <c r="DG51" s="884">
        <v>1314.6479999999999</v>
      </c>
      <c r="DH51" s="884">
        <v>1684.8344999999999</v>
      </c>
      <c r="DI51" s="884">
        <v>2373.9645</v>
      </c>
      <c r="DJ51" s="91">
        <v>16765.295999999995</v>
      </c>
      <c r="DK51" s="948"/>
      <c r="DL51" s="884">
        <v>1335.48</v>
      </c>
      <c r="DM51" s="884">
        <v>1032.3</v>
      </c>
      <c r="DN51" s="884">
        <v>1160.0355</v>
      </c>
      <c r="DO51" s="884">
        <v>1075.2194999999999</v>
      </c>
      <c r="DP51" s="884">
        <v>1206.8609999999999</v>
      </c>
      <c r="DQ51" s="884">
        <v>1453.3574999999998</v>
      </c>
      <c r="DR51" s="884">
        <v>1747.5629999999999</v>
      </c>
      <c r="DS51" s="884">
        <v>1168.8705</v>
      </c>
      <c r="DT51" s="884">
        <v>1212.1619999999998</v>
      </c>
      <c r="DU51" s="884">
        <v>1314.6479999999999</v>
      </c>
      <c r="DV51" s="884">
        <v>1684.8344999999999</v>
      </c>
      <c r="DW51" s="884">
        <v>2373.9645</v>
      </c>
      <c r="DX51" s="91">
        <v>16765.295999999995</v>
      </c>
    </row>
    <row r="52" spans="1:128" ht="15" hidden="1" customHeight="1" outlineLevel="1">
      <c r="A52" s="94">
        <v>11</v>
      </c>
      <c r="B52" s="921" t="s">
        <v>66</v>
      </c>
      <c r="C52" s="922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>
        <f t="shared" si="75"/>
        <v>0</v>
      </c>
      <c r="Q52" s="90"/>
      <c r="R52" s="313">
        <v>0</v>
      </c>
      <c r="S52" s="91">
        <v>0</v>
      </c>
      <c r="T52" s="91">
        <v>0</v>
      </c>
      <c r="U52" s="91">
        <v>0</v>
      </c>
      <c r="V52" s="91">
        <v>4000</v>
      </c>
      <c r="W52" s="91">
        <v>100</v>
      </c>
      <c r="X52" s="91">
        <v>800</v>
      </c>
      <c r="Y52" s="91">
        <v>800</v>
      </c>
      <c r="Z52" s="91">
        <v>1200</v>
      </c>
      <c r="AA52" s="91">
        <v>1200</v>
      </c>
      <c r="AB52" s="91">
        <v>1800</v>
      </c>
      <c r="AC52" s="91">
        <v>2300</v>
      </c>
      <c r="AD52" s="315">
        <f t="shared" si="76"/>
        <v>12200</v>
      </c>
      <c r="AE52" s="23"/>
      <c r="AF52" s="316">
        <v>1500</v>
      </c>
      <c r="AG52" s="91">
        <v>1000</v>
      </c>
      <c r="AH52" s="91">
        <f t="shared" ref="AH52:AH53" si="83">1500*0.15</f>
        <v>225</v>
      </c>
      <c r="AI52" s="91">
        <v>324</v>
      </c>
      <c r="AJ52" s="91">
        <v>869</v>
      </c>
      <c r="AK52" s="91">
        <v>800</v>
      </c>
      <c r="AL52" s="91">
        <v>1500</v>
      </c>
      <c r="AM52" s="91">
        <v>1000</v>
      </c>
      <c r="AN52" s="91">
        <v>1000</v>
      </c>
      <c r="AO52" s="91">
        <v>1000</v>
      </c>
      <c r="AP52" s="91">
        <v>1100</v>
      </c>
      <c r="AQ52" s="91">
        <v>1600</v>
      </c>
      <c r="AR52" s="92">
        <f t="shared" si="77"/>
        <v>11918</v>
      </c>
      <c r="AS52" s="23"/>
      <c r="AT52" s="91">
        <v>1191</v>
      </c>
      <c r="AU52" s="91">
        <v>1191</v>
      </c>
      <c r="AV52" s="91">
        <v>1191</v>
      </c>
      <c r="AW52" s="91">
        <v>1191</v>
      </c>
      <c r="AX52" s="317">
        <v>876</v>
      </c>
      <c r="AY52" s="317">
        <v>876</v>
      </c>
      <c r="AZ52" s="317">
        <v>836</v>
      </c>
      <c r="BA52" s="317">
        <v>836</v>
      </c>
      <c r="BB52" s="317">
        <v>876</v>
      </c>
      <c r="BC52" s="317">
        <v>1035</v>
      </c>
      <c r="BD52" s="317">
        <v>0</v>
      </c>
      <c r="BE52" s="317">
        <v>0</v>
      </c>
      <c r="BF52" s="91">
        <f t="shared" si="78"/>
        <v>10099</v>
      </c>
      <c r="BG52" s="93">
        <f t="shared" si="79"/>
        <v>-0.15262627957711028</v>
      </c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>
        <v>7342</v>
      </c>
      <c r="BU52" s="54"/>
      <c r="BV52" s="91">
        <v>1643.31</v>
      </c>
      <c r="BW52" s="91">
        <v>1270.3799999999999</v>
      </c>
      <c r="BX52" s="91">
        <f>'META  EM PEÇAS'!U40-('META  EM PEÇAS'!U40*0.05)</f>
        <v>1427.7359999999999</v>
      </c>
      <c r="BY52" s="91">
        <f>'META  EM PEÇAS'!V40-('META  EM PEÇAS'!V40*0.05)</f>
        <v>1323.4829999999999</v>
      </c>
      <c r="BZ52" s="91">
        <f>'META  EM PEÇAS'!W40-('META  EM PEÇAS'!W40*0.05)</f>
        <v>1485.1634999999999</v>
      </c>
      <c r="CA52" s="91">
        <f>'META  EM PEÇAS'!X40-('META  EM PEÇAS'!X40*0.05)</f>
        <v>1788.204</v>
      </c>
      <c r="CB52" s="91">
        <f>'META  EM PEÇAS'!Y40-('META  EM PEÇAS'!Y40*0.05)</f>
        <v>2151.3224999999998</v>
      </c>
      <c r="CC52" s="91">
        <f>'META  EM PEÇAS'!Z40-('META  EM PEÇAS'!Z40*0.05)</f>
        <v>1438.338</v>
      </c>
      <c r="CD52" s="91">
        <f>'META  EM PEÇAS'!AA40-('META  EM PEÇAS'!AA40*0.05)</f>
        <v>1491.348</v>
      </c>
      <c r="CE52" s="91">
        <f>'META  EM PEÇAS'!AB40-('META  EM PEÇAS'!AB40*0.05)</f>
        <v>1618.5719999999999</v>
      </c>
      <c r="CF52" s="91">
        <f>'META  EM PEÇAS'!AC40-('META  EM PEÇAS'!AC40*0.05)</f>
        <v>2073.5745000000002</v>
      </c>
      <c r="CG52" s="91">
        <f>'META  EM PEÇAS'!AD40-('META  EM PEÇAS'!AD40*0.05)</f>
        <v>2921.7344999999996</v>
      </c>
      <c r="CH52" s="91">
        <f t="shared" si="80"/>
        <v>20633.165999999997</v>
      </c>
      <c r="CJ52" s="91">
        <v>1643.31</v>
      </c>
      <c r="CK52" s="91">
        <v>1270.3799999999999</v>
      </c>
      <c r="CL52" s="91">
        <v>1427.7359999999999</v>
      </c>
      <c r="CM52" s="91">
        <v>1323.4829999999999</v>
      </c>
      <c r="CN52" s="91">
        <v>1485.1634999999999</v>
      </c>
      <c r="CO52" s="91">
        <v>1788.204</v>
      </c>
      <c r="CP52" s="91">
        <v>2151.3224999999998</v>
      </c>
      <c r="CQ52" s="91">
        <v>1438.338</v>
      </c>
      <c r="CR52" s="91">
        <v>1491.348</v>
      </c>
      <c r="CS52" s="91">
        <v>1618.5719999999999</v>
      </c>
      <c r="CT52" s="91">
        <v>2073.5745000000002</v>
      </c>
      <c r="CU52" s="91">
        <v>2921.7344999999996</v>
      </c>
      <c r="CV52" s="91">
        <v>20633.165999999997</v>
      </c>
      <c r="CW52" s="758"/>
      <c r="CX52" s="884">
        <v>1643.31</v>
      </c>
      <c r="CY52" s="884">
        <v>1270.3799999999999</v>
      </c>
      <c r="CZ52" s="884">
        <v>1427.7359999999999</v>
      </c>
      <c r="DA52" s="884">
        <v>1323.4829999999999</v>
      </c>
      <c r="DB52" s="884">
        <v>1485.1634999999999</v>
      </c>
      <c r="DC52" s="884">
        <v>1788.204</v>
      </c>
      <c r="DD52" s="884">
        <v>2151.3224999999998</v>
      </c>
      <c r="DE52" s="884">
        <v>1438.338</v>
      </c>
      <c r="DF52" s="884">
        <v>1491.348</v>
      </c>
      <c r="DG52" s="884">
        <v>1618.5719999999999</v>
      </c>
      <c r="DH52" s="884">
        <v>2073.5745000000002</v>
      </c>
      <c r="DI52" s="884">
        <v>2921.7344999999996</v>
      </c>
      <c r="DJ52" s="91">
        <v>20633.165999999997</v>
      </c>
      <c r="DK52" s="948"/>
      <c r="DL52" s="884">
        <v>1643.31</v>
      </c>
      <c r="DM52" s="884">
        <v>1270.3799999999999</v>
      </c>
      <c r="DN52" s="884">
        <v>1427.7359999999999</v>
      </c>
      <c r="DO52" s="884">
        <v>1323.4829999999999</v>
      </c>
      <c r="DP52" s="884">
        <v>1485.1634999999999</v>
      </c>
      <c r="DQ52" s="884">
        <v>1788.204</v>
      </c>
      <c r="DR52" s="884">
        <v>2151.3224999999998</v>
      </c>
      <c r="DS52" s="884">
        <v>1438.338</v>
      </c>
      <c r="DT52" s="884">
        <v>1491.348</v>
      </c>
      <c r="DU52" s="884">
        <v>1618.5719999999999</v>
      </c>
      <c r="DV52" s="884">
        <v>2073.5745000000002</v>
      </c>
      <c r="DW52" s="884">
        <v>2921.7344999999996</v>
      </c>
      <c r="DX52" s="91">
        <v>20633.165999999997</v>
      </c>
    </row>
    <row r="53" spans="1:128" ht="15" hidden="1" customHeight="1" outlineLevel="1">
      <c r="A53" s="94">
        <v>12</v>
      </c>
      <c r="B53" s="921" t="s">
        <v>67</v>
      </c>
      <c r="C53" s="922"/>
      <c r="D53" s="313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314">
        <f t="shared" si="75"/>
        <v>0</v>
      </c>
      <c r="Q53" s="90"/>
      <c r="R53" s="313">
        <v>0</v>
      </c>
      <c r="S53" s="91">
        <v>0</v>
      </c>
      <c r="T53" s="91">
        <v>0</v>
      </c>
      <c r="U53" s="91">
        <v>0</v>
      </c>
      <c r="V53" s="91">
        <v>4000</v>
      </c>
      <c r="W53" s="91">
        <v>0</v>
      </c>
      <c r="X53" s="91">
        <v>800</v>
      </c>
      <c r="Y53" s="91">
        <v>1000</v>
      </c>
      <c r="Z53" s="91">
        <v>1200</v>
      </c>
      <c r="AA53" s="91">
        <v>1200</v>
      </c>
      <c r="AB53" s="91">
        <v>1800</v>
      </c>
      <c r="AC53" s="91">
        <v>2300</v>
      </c>
      <c r="AD53" s="315">
        <f t="shared" si="76"/>
        <v>12300</v>
      </c>
      <c r="AE53" s="23"/>
      <c r="AF53" s="316">
        <v>1500</v>
      </c>
      <c r="AG53" s="91">
        <v>1200</v>
      </c>
      <c r="AH53" s="91">
        <f t="shared" si="83"/>
        <v>225</v>
      </c>
      <c r="AI53" s="91">
        <v>332</v>
      </c>
      <c r="AJ53" s="91">
        <v>945</v>
      </c>
      <c r="AK53" s="91">
        <v>960</v>
      </c>
      <c r="AL53" s="91">
        <v>1500</v>
      </c>
      <c r="AM53" s="91">
        <v>1200</v>
      </c>
      <c r="AN53" s="91">
        <v>1200</v>
      </c>
      <c r="AO53" s="91">
        <v>1200</v>
      </c>
      <c r="AP53" s="91">
        <v>1320</v>
      </c>
      <c r="AQ53" s="91">
        <v>1920</v>
      </c>
      <c r="AR53" s="92">
        <f t="shared" si="77"/>
        <v>13502</v>
      </c>
      <c r="AS53" s="23"/>
      <c r="AT53" s="91">
        <v>1254</v>
      </c>
      <c r="AU53" s="91">
        <v>1254</v>
      </c>
      <c r="AV53" s="91">
        <v>1254</v>
      </c>
      <c r="AW53" s="91">
        <v>1254</v>
      </c>
      <c r="AX53" s="317">
        <v>1236</v>
      </c>
      <c r="AY53" s="317">
        <v>1236</v>
      </c>
      <c r="AZ53" s="317">
        <v>0</v>
      </c>
      <c r="BA53" s="317">
        <v>0</v>
      </c>
      <c r="BB53" s="317">
        <v>0</v>
      </c>
      <c r="BC53" s="317">
        <v>0</v>
      </c>
      <c r="BD53" s="317">
        <v>0</v>
      </c>
      <c r="BE53" s="317">
        <v>0</v>
      </c>
      <c r="BF53" s="91">
        <f t="shared" si="78"/>
        <v>7488</v>
      </c>
      <c r="BG53" s="93">
        <f t="shared" si="79"/>
        <v>-0.44541549400088876</v>
      </c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>
        <v>16899</v>
      </c>
      <c r="BU53" s="54"/>
      <c r="BV53" s="91">
        <v>2552.85</v>
      </c>
      <c r="BW53" s="91">
        <v>1973.4599999999998</v>
      </c>
      <c r="BX53" s="91">
        <f>'META  EM PEÇAS'!U34-('META  EM PEÇAS'!U34*0.05)</f>
        <v>2218.4684999999999</v>
      </c>
      <c r="BY53" s="91">
        <f>'META  EM PEÇAS'!V34-('META  EM PEÇAS'!V34*0.05)</f>
        <v>2056.788</v>
      </c>
      <c r="BZ53" s="91">
        <f>'META  EM PEÇAS'!W34-('META  EM PEÇAS'!W34*0.05)</f>
        <v>2307.7019999999998</v>
      </c>
      <c r="CA53" s="91">
        <f>'META  EM PEÇAS'!X34-('META  EM PEÇAS'!X34*0.05)</f>
        <v>2778.6075000000001</v>
      </c>
      <c r="CB53" s="91">
        <f>'META  EM PEÇAS'!Y34-('META  EM PEÇAS'!Y34*0.05)</f>
        <v>3342.2804999999998</v>
      </c>
      <c r="CC53" s="91">
        <f>'META  EM PEÇAS'!Z34-('META  EM PEÇAS'!Z34*0.05)</f>
        <v>2234.3714999999997</v>
      </c>
      <c r="CD53" s="91">
        <f>'META  EM PEÇAS'!AA34-('META  EM PEÇAS'!AA34*0.05)</f>
        <v>2317.4204999999997</v>
      </c>
      <c r="CE53" s="91">
        <f>'META  EM PEÇAS'!AB34-('META  EM PEÇAS'!AB34*0.05)</f>
        <v>2514.4409999999998</v>
      </c>
      <c r="CF53" s="91">
        <f>'META  EM PEÇAS'!AC34-('META  EM PEÇAS'!AC34*0.05)</f>
        <v>3221.241</v>
      </c>
      <c r="CG53" s="91">
        <f>'META  EM PEÇAS'!AD34-('META  EM PEÇAS'!AD34*0.05)</f>
        <v>4539.4229999999989</v>
      </c>
      <c r="CH53" s="91">
        <f t="shared" si="80"/>
        <v>32057.053499999998</v>
      </c>
      <c r="CJ53" s="91">
        <v>2552.85</v>
      </c>
      <c r="CK53" s="91">
        <v>1973.4599999999998</v>
      </c>
      <c r="CL53" s="91">
        <v>2218.4684999999999</v>
      </c>
      <c r="CM53" s="91">
        <v>2056.788</v>
      </c>
      <c r="CN53" s="91">
        <v>2307.7019999999998</v>
      </c>
      <c r="CO53" s="91">
        <v>2778.6075000000001</v>
      </c>
      <c r="CP53" s="91">
        <v>3342.2804999999998</v>
      </c>
      <c r="CQ53" s="91">
        <v>2234.3714999999997</v>
      </c>
      <c r="CR53" s="91">
        <v>2317.4204999999997</v>
      </c>
      <c r="CS53" s="91">
        <v>2514.4409999999998</v>
      </c>
      <c r="CT53" s="91">
        <v>3221.241</v>
      </c>
      <c r="CU53" s="91">
        <v>4539.4229999999989</v>
      </c>
      <c r="CV53" s="91">
        <v>32057.053499999998</v>
      </c>
      <c r="CW53" s="758"/>
      <c r="CX53" s="884">
        <v>2552.85</v>
      </c>
      <c r="CY53" s="884">
        <v>1973.4599999999998</v>
      </c>
      <c r="CZ53" s="884">
        <v>2218.4684999999999</v>
      </c>
      <c r="DA53" s="884">
        <v>2056.788</v>
      </c>
      <c r="DB53" s="884">
        <v>2307.7019999999998</v>
      </c>
      <c r="DC53" s="884">
        <v>2778.6075000000001</v>
      </c>
      <c r="DD53" s="884">
        <v>3342.2804999999998</v>
      </c>
      <c r="DE53" s="884">
        <v>2234.3714999999997</v>
      </c>
      <c r="DF53" s="884">
        <v>2317.4204999999997</v>
      </c>
      <c r="DG53" s="884">
        <v>2514.4409999999998</v>
      </c>
      <c r="DH53" s="884">
        <v>3221.241</v>
      </c>
      <c r="DI53" s="884">
        <v>4539.4229999999989</v>
      </c>
      <c r="DJ53" s="91">
        <v>32057.053499999998</v>
      </c>
      <c r="DK53" s="948"/>
      <c r="DL53" s="884">
        <v>2552.85</v>
      </c>
      <c r="DM53" s="884">
        <v>1973.4599999999998</v>
      </c>
      <c r="DN53" s="884">
        <v>2218.4684999999999</v>
      </c>
      <c r="DO53" s="884">
        <v>2056.788</v>
      </c>
      <c r="DP53" s="884">
        <v>2307.7019999999998</v>
      </c>
      <c r="DQ53" s="884">
        <v>2778.6075000000001</v>
      </c>
      <c r="DR53" s="884">
        <v>3342.2804999999998</v>
      </c>
      <c r="DS53" s="884">
        <v>2234.3714999999997</v>
      </c>
      <c r="DT53" s="884">
        <v>2317.4204999999997</v>
      </c>
      <c r="DU53" s="884">
        <v>2514.4409999999998</v>
      </c>
      <c r="DV53" s="884">
        <v>3221.241</v>
      </c>
      <c r="DW53" s="884">
        <v>4539.4229999999989</v>
      </c>
      <c r="DX53" s="91">
        <v>32057.053499999998</v>
      </c>
    </row>
    <row r="54" spans="1:128" ht="15" hidden="1" customHeight="1" outlineLevel="1">
      <c r="A54" s="94">
        <v>13</v>
      </c>
      <c r="B54" s="921" t="s">
        <v>68</v>
      </c>
      <c r="C54" s="923"/>
      <c r="D54" s="313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314">
        <f t="shared" si="75"/>
        <v>0</v>
      </c>
      <c r="Q54" s="90"/>
      <c r="R54" s="313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2000</v>
      </c>
      <c r="Y54" s="91">
        <v>800</v>
      </c>
      <c r="Z54" s="91">
        <v>800</v>
      </c>
      <c r="AA54" s="91">
        <v>1200</v>
      </c>
      <c r="AB54" s="91">
        <v>1800</v>
      </c>
      <c r="AC54" s="91">
        <v>2300</v>
      </c>
      <c r="AD54" s="315">
        <f t="shared" si="76"/>
        <v>8900</v>
      </c>
      <c r="AE54" s="23"/>
      <c r="AF54" s="316">
        <v>1800</v>
      </c>
      <c r="AG54" s="91">
        <v>1200</v>
      </c>
      <c r="AH54" s="91">
        <f>1800*0.15</f>
        <v>270</v>
      </c>
      <c r="AI54" s="91">
        <v>896</v>
      </c>
      <c r="AJ54" s="91">
        <v>1339</v>
      </c>
      <c r="AK54" s="91">
        <v>1600</v>
      </c>
      <c r="AL54" s="91">
        <v>1800</v>
      </c>
      <c r="AM54" s="91">
        <v>2000</v>
      </c>
      <c r="AN54" s="91">
        <v>2000</v>
      </c>
      <c r="AO54" s="91">
        <v>2000</v>
      </c>
      <c r="AP54" s="91">
        <v>2200</v>
      </c>
      <c r="AQ54" s="91">
        <v>3200</v>
      </c>
      <c r="AR54" s="92">
        <f t="shared" si="77"/>
        <v>20305</v>
      </c>
      <c r="AS54" s="23"/>
      <c r="AT54" s="91">
        <v>1980</v>
      </c>
      <c r="AU54" s="91">
        <v>1980</v>
      </c>
      <c r="AV54" s="91">
        <v>1980</v>
      </c>
      <c r="AW54" s="91">
        <v>1980</v>
      </c>
      <c r="AX54" s="317">
        <v>1409</v>
      </c>
      <c r="AY54" s="317">
        <v>1409</v>
      </c>
      <c r="AZ54" s="317">
        <v>1345</v>
      </c>
      <c r="BA54" s="317">
        <v>1345</v>
      </c>
      <c r="BB54" s="317">
        <v>1409</v>
      </c>
      <c r="BC54" s="317">
        <v>1665</v>
      </c>
      <c r="BD54" s="317">
        <v>1793</v>
      </c>
      <c r="BE54" s="317">
        <v>2562</v>
      </c>
      <c r="BF54" s="91">
        <f t="shared" si="78"/>
        <v>20857</v>
      </c>
      <c r="BG54" s="93">
        <f t="shared" si="79"/>
        <v>2.7185422309775831E-2</v>
      </c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>
        <v>11555</v>
      </c>
      <c r="BU54" s="54"/>
      <c r="BV54" s="91">
        <v>1903.7099999999998</v>
      </c>
      <c r="BW54" s="91">
        <v>1471.26</v>
      </c>
      <c r="BX54" s="91">
        <f>'META  EM PEÇAS'!U35-('META  EM PEÇAS'!U35*0.05)</f>
        <v>1654.7954999999999</v>
      </c>
      <c r="BY54" s="91">
        <f>'META  EM PEÇAS'!V35-('META  EM PEÇAS'!V35*0.05)</f>
        <v>1533.7559999999999</v>
      </c>
      <c r="BZ54" s="91">
        <f>'META  EM PEÇAS'!W35-('META  EM PEÇAS'!W35*0.05)</f>
        <v>1721.058</v>
      </c>
      <c r="CA54" s="91">
        <f>'META  EM PEÇAS'!X35-('META  EM PEÇAS'!X35*0.05)</f>
        <v>2071.8074999999999</v>
      </c>
      <c r="CB54" s="91">
        <f>'META  EM PEÇAS'!Y35-('META  EM PEÇAS'!Y35*0.05)</f>
        <v>2492.3534999999997</v>
      </c>
      <c r="CC54" s="91">
        <f>'META  EM PEÇAS'!Z35-('META  EM PEÇAS'!Z35*0.05)</f>
        <v>1666.2809999999997</v>
      </c>
      <c r="CD54" s="91">
        <f>'META  EM PEÇAS'!AA35-('META  EM PEÇAS'!AA35*0.05)</f>
        <v>1728.126</v>
      </c>
      <c r="CE54" s="91">
        <f>'META  EM PEÇAS'!AB35-('META  EM PEÇAS'!AB35*0.05)</f>
        <v>1874.7869999999998</v>
      </c>
      <c r="CF54" s="91">
        <f>'META  EM PEÇAS'!AC35-('META  EM PEÇAS'!AC35*0.05)</f>
        <v>2402.2364999999995</v>
      </c>
      <c r="CG54" s="91">
        <f>'META  EM PEÇAS'!AD35-('META  EM PEÇAS'!AD35*0.05)</f>
        <v>3384.6884999999997</v>
      </c>
      <c r="CH54" s="91">
        <f t="shared" si="80"/>
        <v>23904.859499999995</v>
      </c>
      <c r="CJ54" s="91">
        <v>1903.7099999999998</v>
      </c>
      <c r="CK54" s="91">
        <v>1471.26</v>
      </c>
      <c r="CL54" s="91">
        <v>1654.7954999999999</v>
      </c>
      <c r="CM54" s="91">
        <v>1533.7559999999999</v>
      </c>
      <c r="CN54" s="91">
        <v>1721.058</v>
      </c>
      <c r="CO54" s="91">
        <v>2071.8074999999999</v>
      </c>
      <c r="CP54" s="91">
        <v>2492.3534999999997</v>
      </c>
      <c r="CQ54" s="91">
        <v>1666.2809999999997</v>
      </c>
      <c r="CR54" s="91">
        <v>1728.126</v>
      </c>
      <c r="CS54" s="91">
        <v>1874.7869999999998</v>
      </c>
      <c r="CT54" s="91">
        <v>2402.2364999999995</v>
      </c>
      <c r="CU54" s="91">
        <v>3384.6884999999997</v>
      </c>
      <c r="CV54" s="91">
        <v>23904.859499999995</v>
      </c>
      <c r="CW54" s="758"/>
      <c r="CX54" s="884">
        <v>1903.7099999999998</v>
      </c>
      <c r="CY54" s="884">
        <v>1471.26</v>
      </c>
      <c r="CZ54" s="884">
        <v>1654.7954999999999</v>
      </c>
      <c r="DA54" s="884">
        <v>1533.7559999999999</v>
      </c>
      <c r="DB54" s="884">
        <v>1721.058</v>
      </c>
      <c r="DC54" s="884">
        <v>2071.8074999999999</v>
      </c>
      <c r="DD54" s="884">
        <v>2492.3534999999997</v>
      </c>
      <c r="DE54" s="884">
        <v>1666.2809999999997</v>
      </c>
      <c r="DF54" s="884">
        <v>1728.126</v>
      </c>
      <c r="DG54" s="884">
        <v>1874.7869999999998</v>
      </c>
      <c r="DH54" s="884">
        <v>2402.2364999999995</v>
      </c>
      <c r="DI54" s="884">
        <v>3384.6884999999997</v>
      </c>
      <c r="DJ54" s="91">
        <v>23904.859499999995</v>
      </c>
      <c r="DK54" s="948"/>
      <c r="DL54" s="884">
        <v>1903.7099999999998</v>
      </c>
      <c r="DM54" s="884">
        <v>1471.26</v>
      </c>
      <c r="DN54" s="884">
        <v>1654.7954999999999</v>
      </c>
      <c r="DO54" s="884">
        <v>1533.7559999999999</v>
      </c>
      <c r="DP54" s="884">
        <v>1721.058</v>
      </c>
      <c r="DQ54" s="884">
        <v>2071.8074999999999</v>
      </c>
      <c r="DR54" s="884">
        <v>2492.3534999999997</v>
      </c>
      <c r="DS54" s="884">
        <v>1666.2809999999997</v>
      </c>
      <c r="DT54" s="884">
        <v>1728.126</v>
      </c>
      <c r="DU54" s="884">
        <v>1874.7869999999998</v>
      </c>
      <c r="DV54" s="884">
        <v>2402.2364999999995</v>
      </c>
      <c r="DW54" s="884">
        <v>3384.6884999999997</v>
      </c>
      <c r="DX54" s="91">
        <v>23904.859499999995</v>
      </c>
    </row>
    <row r="55" spans="1:128" ht="15" hidden="1" customHeight="1" outlineLevel="1">
      <c r="A55" s="94">
        <v>14</v>
      </c>
      <c r="B55" s="921" t="s">
        <v>69</v>
      </c>
      <c r="C55" s="923"/>
      <c r="D55" s="313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314"/>
      <c r="Q55" s="90"/>
      <c r="R55" s="313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2000</v>
      </c>
      <c r="Z55" s="91">
        <v>800</v>
      </c>
      <c r="AA55" s="91">
        <v>800</v>
      </c>
      <c r="AB55" s="91">
        <v>1200</v>
      </c>
      <c r="AC55" s="91">
        <v>1800</v>
      </c>
      <c r="AD55" s="315">
        <f t="shared" si="76"/>
        <v>6600</v>
      </c>
      <c r="AE55" s="23"/>
      <c r="AF55" s="316">
        <v>1500</v>
      </c>
      <c r="AG55" s="91">
        <v>1200</v>
      </c>
      <c r="AH55" s="91">
        <f>1500*0.15</f>
        <v>225</v>
      </c>
      <c r="AI55" s="91">
        <v>374</v>
      </c>
      <c r="AJ55" s="91">
        <v>990</v>
      </c>
      <c r="AK55" s="91">
        <v>960</v>
      </c>
      <c r="AL55" s="91">
        <v>1800</v>
      </c>
      <c r="AM55" s="91">
        <v>1200</v>
      </c>
      <c r="AN55" s="91">
        <v>1200</v>
      </c>
      <c r="AO55" s="91">
        <v>1200</v>
      </c>
      <c r="AP55" s="91">
        <v>1320</v>
      </c>
      <c r="AQ55" s="91">
        <v>1920</v>
      </c>
      <c r="AR55" s="92">
        <f t="shared" si="77"/>
        <v>13889</v>
      </c>
      <c r="AS55" s="23"/>
      <c r="AT55" s="91">
        <v>1518</v>
      </c>
      <c r="AU55" s="91">
        <v>1518</v>
      </c>
      <c r="AV55" s="91">
        <v>1518</v>
      </c>
      <c r="AW55" s="91">
        <v>1518</v>
      </c>
      <c r="AX55" s="317">
        <v>1276</v>
      </c>
      <c r="AY55" s="317">
        <v>1276</v>
      </c>
      <c r="AZ55" s="317">
        <v>1218</v>
      </c>
      <c r="BA55" s="317">
        <v>1218</v>
      </c>
      <c r="BB55" s="317">
        <v>1276</v>
      </c>
      <c r="BC55" s="317">
        <v>1508</v>
      </c>
      <c r="BD55" s="317">
        <v>1624</v>
      </c>
      <c r="BE55" s="317">
        <v>2320</v>
      </c>
      <c r="BF55" s="91">
        <f t="shared" si="78"/>
        <v>17788</v>
      </c>
      <c r="BG55" s="93">
        <f t="shared" si="79"/>
        <v>0.2807257541939665</v>
      </c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>
        <v>19018</v>
      </c>
      <c r="BU55" s="54"/>
      <c r="BV55" s="91">
        <v>2737.9199999999996</v>
      </c>
      <c r="BW55" s="91">
        <v>2116.6799999999998</v>
      </c>
      <c r="BX55" s="91">
        <f>'META  EM PEÇAS'!U36-('META  EM PEÇAS'!U36*0.05)</f>
        <v>2379.2655</v>
      </c>
      <c r="BY55" s="91">
        <f>'META  EM PEÇAS'!V36-('META  EM PEÇAS'!V36*0.05)</f>
        <v>2205.2159999999999</v>
      </c>
      <c r="BZ55" s="91">
        <f>'META  EM PEÇAS'!W36-('META  EM PEÇAS'!W36*0.05)</f>
        <v>2474.6834999999996</v>
      </c>
      <c r="CA55" s="91">
        <f>'META  EM PEÇAS'!X36-('META  EM PEÇAS'!X36*0.05)</f>
        <v>2980.0454999999997</v>
      </c>
      <c r="CB55" s="91">
        <f>'META  EM PEÇAS'!Y36-('META  EM PEÇAS'!Y36*0.05)</f>
        <v>3584.3594999999996</v>
      </c>
      <c r="CC55" s="91">
        <f>'META  EM PEÇAS'!Z36-('META  EM PEÇAS'!Z36*0.05)</f>
        <v>2396.0519999999997</v>
      </c>
      <c r="CD55" s="91">
        <f>'META  EM PEÇAS'!AA36-('META  EM PEÇAS'!AA36*0.05)</f>
        <v>2485.2854999999995</v>
      </c>
      <c r="CE55" s="91">
        <f>'META  EM PEÇAS'!AB36-('META  EM PEÇAS'!AB36*0.05)</f>
        <v>2696.4419999999996</v>
      </c>
      <c r="CF55" s="91">
        <f>'META  EM PEÇAS'!AC36-('META  EM PEÇAS'!AC36*0.05)</f>
        <v>3454.4849999999997</v>
      </c>
      <c r="CG55" s="91">
        <f>'META  EM PEÇAS'!AD36-('META  EM PEÇAS'!AD36*0.05)</f>
        <v>4868.0849999999991</v>
      </c>
      <c r="CH55" s="91">
        <f t="shared" si="80"/>
        <v>34378.519499999995</v>
      </c>
      <c r="CJ55" s="91">
        <v>2737.9199999999996</v>
      </c>
      <c r="CK55" s="91">
        <v>2116.6799999999998</v>
      </c>
      <c r="CL55" s="91">
        <v>2379.2655</v>
      </c>
      <c r="CM55" s="91">
        <v>2205.2159999999999</v>
      </c>
      <c r="CN55" s="91">
        <v>2474.6834999999996</v>
      </c>
      <c r="CO55" s="91">
        <v>2980.0454999999997</v>
      </c>
      <c r="CP55" s="91">
        <v>3584.3594999999996</v>
      </c>
      <c r="CQ55" s="91">
        <v>2396.0519999999997</v>
      </c>
      <c r="CR55" s="91">
        <v>2485.2854999999995</v>
      </c>
      <c r="CS55" s="91">
        <v>2696.4419999999996</v>
      </c>
      <c r="CT55" s="91">
        <v>3454.4849999999997</v>
      </c>
      <c r="CU55" s="91">
        <v>4868.0849999999991</v>
      </c>
      <c r="CV55" s="91">
        <v>34378.519499999995</v>
      </c>
      <c r="CW55" s="758"/>
      <c r="CX55" s="884">
        <v>2737.9199999999996</v>
      </c>
      <c r="CY55" s="884">
        <v>2116.6799999999998</v>
      </c>
      <c r="CZ55" s="884">
        <v>2379.2655</v>
      </c>
      <c r="DA55" s="884">
        <v>2205.2159999999999</v>
      </c>
      <c r="DB55" s="884">
        <v>2474.6834999999996</v>
      </c>
      <c r="DC55" s="884">
        <v>2980.0454999999997</v>
      </c>
      <c r="DD55" s="884">
        <v>3584.3594999999996</v>
      </c>
      <c r="DE55" s="884">
        <v>2396.0519999999997</v>
      </c>
      <c r="DF55" s="884">
        <v>2485.2854999999995</v>
      </c>
      <c r="DG55" s="884">
        <v>2696.4419999999996</v>
      </c>
      <c r="DH55" s="884">
        <v>3454.4849999999997</v>
      </c>
      <c r="DI55" s="884">
        <v>4868.0849999999991</v>
      </c>
      <c r="DJ55" s="91">
        <v>34378.519499999995</v>
      </c>
      <c r="DK55" s="948"/>
      <c r="DL55" s="884">
        <v>2737.9199999999996</v>
      </c>
      <c r="DM55" s="884">
        <v>2116.6799999999998</v>
      </c>
      <c r="DN55" s="884">
        <v>2379.2655</v>
      </c>
      <c r="DO55" s="884">
        <v>2205.2159999999999</v>
      </c>
      <c r="DP55" s="884">
        <v>2474.6834999999996</v>
      </c>
      <c r="DQ55" s="884">
        <v>2980.0454999999997</v>
      </c>
      <c r="DR55" s="884">
        <v>3584.3594999999996</v>
      </c>
      <c r="DS55" s="884">
        <v>2396.0519999999997</v>
      </c>
      <c r="DT55" s="884">
        <v>2485.2854999999995</v>
      </c>
      <c r="DU55" s="884">
        <v>2696.4419999999996</v>
      </c>
      <c r="DV55" s="884">
        <v>3454.4849999999997</v>
      </c>
      <c r="DW55" s="884">
        <v>4868.0849999999991</v>
      </c>
      <c r="DX55" s="91">
        <v>34378.519499999995</v>
      </c>
    </row>
    <row r="56" spans="1:128" ht="15" hidden="1" customHeight="1" outlineLevel="1">
      <c r="A56" s="94">
        <v>15</v>
      </c>
      <c r="B56" s="921" t="s">
        <v>70</v>
      </c>
      <c r="C56" s="923"/>
      <c r="D56" s="313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314"/>
      <c r="Q56" s="90"/>
      <c r="R56" s="313">
        <v>0</v>
      </c>
      <c r="S56" s="91">
        <v>0</v>
      </c>
      <c r="T56" s="91">
        <v>0</v>
      </c>
      <c r="U56" s="91">
        <v>0</v>
      </c>
      <c r="V56" s="91">
        <v>0</v>
      </c>
      <c r="W56" s="91">
        <v>0</v>
      </c>
      <c r="X56" s="91">
        <v>0</v>
      </c>
      <c r="Y56" s="91">
        <v>0</v>
      </c>
      <c r="Z56" s="91">
        <v>2000</v>
      </c>
      <c r="AA56" s="91">
        <v>800</v>
      </c>
      <c r="AB56" s="91">
        <v>800</v>
      </c>
      <c r="AC56" s="91">
        <v>1500</v>
      </c>
      <c r="AD56" s="315">
        <f t="shared" si="76"/>
        <v>5100</v>
      </c>
      <c r="AE56" s="23"/>
      <c r="AF56" s="316">
        <v>1800</v>
      </c>
      <c r="AG56" s="91">
        <v>1200</v>
      </c>
      <c r="AH56" s="91">
        <f>1800*0.4</f>
        <v>720</v>
      </c>
      <c r="AI56" s="91">
        <v>1147</v>
      </c>
      <c r="AJ56" s="91">
        <v>1155</v>
      </c>
      <c r="AK56" s="91">
        <v>1600</v>
      </c>
      <c r="AL56" s="91">
        <v>1800</v>
      </c>
      <c r="AM56" s="91">
        <v>2000</v>
      </c>
      <c r="AN56" s="91">
        <v>2000</v>
      </c>
      <c r="AO56" s="91">
        <v>2000</v>
      </c>
      <c r="AP56" s="91">
        <v>2200</v>
      </c>
      <c r="AQ56" s="91">
        <v>3200</v>
      </c>
      <c r="AR56" s="92">
        <f t="shared" si="77"/>
        <v>20822</v>
      </c>
      <c r="AS56" s="23"/>
      <c r="AT56" s="91">
        <v>1544</v>
      </c>
      <c r="AU56" s="91">
        <v>1544</v>
      </c>
      <c r="AV56" s="91">
        <v>1544</v>
      </c>
      <c r="AW56" s="91">
        <v>1544</v>
      </c>
      <c r="AX56" s="317">
        <v>862</v>
      </c>
      <c r="AY56" s="317">
        <v>862</v>
      </c>
      <c r="AZ56" s="317">
        <v>823</v>
      </c>
      <c r="BA56" s="317">
        <v>823</v>
      </c>
      <c r="BB56" s="317">
        <v>862</v>
      </c>
      <c r="BC56" s="317">
        <v>1019</v>
      </c>
      <c r="BD56" s="317">
        <v>1098</v>
      </c>
      <c r="BE56" s="317">
        <v>1568</v>
      </c>
      <c r="BF56" s="91">
        <f t="shared" si="78"/>
        <v>14093</v>
      </c>
      <c r="BG56" s="93">
        <f t="shared" si="79"/>
        <v>-0.32316780328498707</v>
      </c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>
        <v>21133</v>
      </c>
      <c r="BU56" s="54"/>
      <c r="BV56" s="91">
        <v>3593.52</v>
      </c>
      <c r="BW56" s="91">
        <v>2776.98</v>
      </c>
      <c r="BX56" s="91">
        <f>'META  EM PEÇAS'!U38-('META  EM PEÇAS'!U38*0.05)</f>
        <v>3122.2889999999998</v>
      </c>
      <c r="BY56" s="91">
        <f>'META  EM PEÇAS'!V38-('META  EM PEÇAS'!V38*0.05)</f>
        <v>2893.4625000000001</v>
      </c>
      <c r="BZ56" s="91">
        <f>'META  EM PEÇAS'!W38-('META  EM PEÇAS'!W38*0.05)</f>
        <v>3247.7459999999996</v>
      </c>
      <c r="CA56" s="91">
        <f>'META  EM PEÇAS'!X38-('META  EM PEÇAS'!X38*0.05)</f>
        <v>3910.3709999999992</v>
      </c>
      <c r="CB56" s="91">
        <f>'META  EM PEÇAS'!Y38-('META  EM PEÇAS'!Y38*0.05)</f>
        <v>4703.7539999999999</v>
      </c>
      <c r="CC56" s="91">
        <f>'META  EM PEÇAS'!Z38-('META  EM PEÇAS'!Z38*0.05)</f>
        <v>3144.3764999999999</v>
      </c>
      <c r="CD56" s="91">
        <f>'META  EM PEÇAS'!AA38-('META  EM PEÇAS'!AA38*0.05)</f>
        <v>3260.9984999999997</v>
      </c>
      <c r="CE56" s="91">
        <f>'META  EM PEÇAS'!AB38-('META  EM PEÇAS'!AB38*0.05)</f>
        <v>3539.3009999999999</v>
      </c>
      <c r="CF56" s="91">
        <f>'META  EM PEÇAS'!AC38-('META  EM PEÇAS'!AC38*0.05)</f>
        <v>4533.2384999999995</v>
      </c>
      <c r="CG56" s="91">
        <f>'META  EM PEÇAS'!AD38-('META  EM PEÇAS'!AD38*0.05)</f>
        <v>6387.7049999999999</v>
      </c>
      <c r="CH56" s="91">
        <f t="shared" si="80"/>
        <v>45113.741999999998</v>
      </c>
      <c r="CJ56" s="91">
        <v>3593.52</v>
      </c>
      <c r="CK56" s="91">
        <v>2776.98</v>
      </c>
      <c r="CL56" s="91">
        <v>3122.2889999999998</v>
      </c>
      <c r="CM56" s="91">
        <v>2893.4625000000001</v>
      </c>
      <c r="CN56" s="91">
        <v>3247.7459999999996</v>
      </c>
      <c r="CO56" s="91">
        <v>3910.3709999999992</v>
      </c>
      <c r="CP56" s="91">
        <v>4703.7539999999999</v>
      </c>
      <c r="CQ56" s="91">
        <v>3144.3764999999999</v>
      </c>
      <c r="CR56" s="91">
        <v>3260.9984999999997</v>
      </c>
      <c r="CS56" s="91">
        <v>3539.3009999999999</v>
      </c>
      <c r="CT56" s="91">
        <v>4533.2384999999995</v>
      </c>
      <c r="CU56" s="91">
        <v>6387.7049999999999</v>
      </c>
      <c r="CV56" s="91">
        <v>45113.741999999998</v>
      </c>
      <c r="CW56" s="758"/>
      <c r="CX56" s="884">
        <v>3593.52</v>
      </c>
      <c r="CY56" s="884">
        <v>2776.98</v>
      </c>
      <c r="CZ56" s="884">
        <v>3122.2889999999998</v>
      </c>
      <c r="DA56" s="884">
        <v>2893.4625000000001</v>
      </c>
      <c r="DB56" s="884">
        <v>3247.7459999999996</v>
      </c>
      <c r="DC56" s="884">
        <v>3910.3709999999992</v>
      </c>
      <c r="DD56" s="884">
        <v>4703.7539999999999</v>
      </c>
      <c r="DE56" s="884">
        <v>3144.3764999999999</v>
      </c>
      <c r="DF56" s="884">
        <v>3260.9984999999997</v>
      </c>
      <c r="DG56" s="884">
        <v>3539.3009999999999</v>
      </c>
      <c r="DH56" s="884">
        <v>4533.2384999999995</v>
      </c>
      <c r="DI56" s="884">
        <v>6387.7049999999999</v>
      </c>
      <c r="DJ56" s="91">
        <v>45113.741999999998</v>
      </c>
      <c r="DK56" s="948"/>
      <c r="DL56" s="884">
        <v>3593.52</v>
      </c>
      <c r="DM56" s="884">
        <v>2776.98</v>
      </c>
      <c r="DN56" s="884">
        <v>3122.2889999999998</v>
      </c>
      <c r="DO56" s="884">
        <v>2893.4625000000001</v>
      </c>
      <c r="DP56" s="884">
        <v>3247.7459999999996</v>
      </c>
      <c r="DQ56" s="884">
        <v>3910.3709999999992</v>
      </c>
      <c r="DR56" s="884">
        <v>4703.7539999999999</v>
      </c>
      <c r="DS56" s="884">
        <v>3144.3764999999999</v>
      </c>
      <c r="DT56" s="884">
        <v>3260.9984999999997</v>
      </c>
      <c r="DU56" s="884">
        <v>3539.3009999999999</v>
      </c>
      <c r="DV56" s="884">
        <v>4533.2384999999995</v>
      </c>
      <c r="DW56" s="884">
        <v>6387.7049999999999</v>
      </c>
      <c r="DX56" s="91">
        <v>45113.741999999998</v>
      </c>
    </row>
    <row r="57" spans="1:128" ht="15" hidden="1" customHeight="1" outlineLevel="1">
      <c r="A57" s="94">
        <v>16</v>
      </c>
      <c r="B57" s="924" t="s">
        <v>71</v>
      </c>
      <c r="C57" s="923"/>
      <c r="D57" s="313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314"/>
      <c r="Q57" s="90"/>
      <c r="R57" s="313"/>
      <c r="S57" s="91"/>
      <c r="T57" s="91"/>
      <c r="U57" s="91"/>
      <c r="V57" s="91"/>
      <c r="W57" s="91"/>
      <c r="X57" s="91"/>
      <c r="Y57" s="91"/>
      <c r="Z57" s="91"/>
      <c r="AA57" s="91">
        <v>800</v>
      </c>
      <c r="AB57" s="91">
        <v>800</v>
      </c>
      <c r="AC57" s="91">
        <v>1500</v>
      </c>
      <c r="AD57" s="315"/>
      <c r="AE57" s="23"/>
      <c r="AF57" s="316">
        <v>1500</v>
      </c>
      <c r="AG57" s="91">
        <v>1200</v>
      </c>
      <c r="AH57" s="91">
        <f>1500*0.15</f>
        <v>225</v>
      </c>
      <c r="AI57" s="91">
        <v>192</v>
      </c>
      <c r="AJ57" s="91">
        <v>663</v>
      </c>
      <c r="AK57" s="91">
        <v>800</v>
      </c>
      <c r="AL57" s="91">
        <v>1500</v>
      </c>
      <c r="AM57" s="91">
        <v>1000</v>
      </c>
      <c r="AN57" s="91">
        <v>1000</v>
      </c>
      <c r="AO57" s="91">
        <v>1000</v>
      </c>
      <c r="AP57" s="91">
        <v>1100</v>
      </c>
      <c r="AQ57" s="91">
        <v>1600</v>
      </c>
      <c r="AR57" s="92">
        <f t="shared" si="77"/>
        <v>11780</v>
      </c>
      <c r="AS57" s="23"/>
      <c r="AT57" s="91">
        <v>960</v>
      </c>
      <c r="AU57" s="91">
        <v>960</v>
      </c>
      <c r="AV57" s="91">
        <v>960</v>
      </c>
      <c r="AW57" s="91">
        <v>960</v>
      </c>
      <c r="AX57" s="317">
        <v>1414</v>
      </c>
      <c r="AY57" s="317">
        <v>1414</v>
      </c>
      <c r="AZ57" s="317">
        <v>1350</v>
      </c>
      <c r="BA57" s="317">
        <v>1350</v>
      </c>
      <c r="BB57" s="317">
        <v>1414</v>
      </c>
      <c r="BC57" s="317">
        <v>1671</v>
      </c>
      <c r="BD57" s="317">
        <v>1800</v>
      </c>
      <c r="BE57" s="317">
        <v>2571</v>
      </c>
      <c r="BF57" s="91">
        <f t="shared" si="78"/>
        <v>16824</v>
      </c>
      <c r="BG57" s="93">
        <f t="shared" si="79"/>
        <v>0.42818336162988113</v>
      </c>
      <c r="BH57" s="91">
        <v>900</v>
      </c>
      <c r="BI57" s="91">
        <v>643</v>
      </c>
      <c r="BJ57" s="91">
        <v>891</v>
      </c>
      <c r="BK57" s="91">
        <v>679</v>
      </c>
      <c r="BL57" s="91">
        <v>940</v>
      </c>
      <c r="BM57" s="91">
        <v>948</v>
      </c>
      <c r="BN57" s="91">
        <v>1124</v>
      </c>
      <c r="BO57" s="91">
        <v>913</v>
      </c>
      <c r="BP57" s="91">
        <v>911</v>
      </c>
      <c r="BQ57" s="91">
        <v>898</v>
      </c>
      <c r="BR57" s="91">
        <v>1465</v>
      </c>
      <c r="BS57" s="91">
        <v>1278</v>
      </c>
      <c r="BT57" s="91">
        <f>SUM(BH57:BS57)</f>
        <v>11590</v>
      </c>
      <c r="BU57" s="54"/>
      <c r="BV57" s="91">
        <f>'META  EM PEÇAS'!T47</f>
        <v>1749.7324726431702</v>
      </c>
      <c r="BW57" s="91">
        <f>'META  EM PEÇAS'!T48</f>
        <v>1701.1287928475265</v>
      </c>
      <c r="BX57" s="91">
        <f>'META  EM PEÇAS'!T49</f>
        <v>1846.9398322344578</v>
      </c>
      <c r="BY57" s="91">
        <f>'META  EM PEÇAS'!T50</f>
        <v>1701.1287928475265</v>
      </c>
      <c r="BZ57" s="91">
        <f>'META  EM PEÇAS'!T51</f>
        <v>1846.9398322344578</v>
      </c>
      <c r="CA57" s="91">
        <f>'META  EM PEÇAS'!T52</f>
        <v>1749.7324726431702</v>
      </c>
      <c r="CB57" s="91">
        <f>'META  EM PEÇAS'!T53</f>
        <v>2138.5619110083194</v>
      </c>
      <c r="CC57" s="91">
        <f>'META  EM PEÇAS'!T54</f>
        <v>1749.7324726431702</v>
      </c>
      <c r="CD57" s="91">
        <f>'META  EM PEÇAS'!T55</f>
        <v>1749.7324726431702</v>
      </c>
      <c r="CE57" s="91">
        <f>'META  EM PEÇAS'!T56</f>
        <v>1749.7324726431702</v>
      </c>
      <c r="CF57" s="91">
        <f>'META  EM PEÇAS'!T57</f>
        <v>2721.8060685560426</v>
      </c>
      <c r="CG57" s="91">
        <f>'META  EM PEÇAS'!T58</f>
        <v>1944.1471918257448</v>
      </c>
      <c r="CH57" s="91">
        <f t="shared" si="80"/>
        <v>22649.314784769926</v>
      </c>
      <c r="CJ57" s="91">
        <v>1749.7324726431702</v>
      </c>
      <c r="CK57" s="91">
        <v>1701.1287928475265</v>
      </c>
      <c r="CL57" s="91">
        <v>1846.9398322344578</v>
      </c>
      <c r="CM57" s="91">
        <v>1701.1287928475265</v>
      </c>
      <c r="CN57" s="91">
        <v>1846.9398322344578</v>
      </c>
      <c r="CO57" s="91">
        <v>1749.7324726431702</v>
      </c>
      <c r="CP57" s="91">
        <v>2138.5619110083194</v>
      </c>
      <c r="CQ57" s="91">
        <v>1749.7324726431702</v>
      </c>
      <c r="CR57" s="91">
        <v>1749.7324726431702</v>
      </c>
      <c r="CS57" s="91">
        <v>1749.7324726431702</v>
      </c>
      <c r="CT57" s="91">
        <v>2721.8060685560426</v>
      </c>
      <c r="CU57" s="91">
        <v>1944.1471918257448</v>
      </c>
      <c r="CV57" s="91">
        <v>22649.314784769926</v>
      </c>
      <c r="CW57" s="758"/>
      <c r="CX57" s="884">
        <v>1749.7324726431702</v>
      </c>
      <c r="CY57" s="884">
        <v>1701.1287928475265</v>
      </c>
      <c r="CZ57" s="884">
        <v>1846.9398322344578</v>
      </c>
      <c r="DA57" s="884">
        <v>1701.1287928475265</v>
      </c>
      <c r="DB57" s="884">
        <v>1846.9398322344578</v>
      </c>
      <c r="DC57" s="884">
        <v>1749.7324726431702</v>
      </c>
      <c r="DD57" s="884">
        <v>2138.5619110083194</v>
      </c>
      <c r="DE57" s="884">
        <v>1749.7324726431702</v>
      </c>
      <c r="DF57" s="884">
        <v>1749.7324726431702</v>
      </c>
      <c r="DG57" s="884">
        <v>1749.7324726431702</v>
      </c>
      <c r="DH57" s="884">
        <v>2721.8060685560426</v>
      </c>
      <c r="DI57" s="884">
        <v>1944.1471918257448</v>
      </c>
      <c r="DJ57" s="91">
        <v>22649.314784769926</v>
      </c>
      <c r="DK57" s="948"/>
      <c r="DL57" s="884">
        <v>1749.7324726431702</v>
      </c>
      <c r="DM57" s="884">
        <v>1701.1287928475265</v>
      </c>
      <c r="DN57" s="884">
        <v>1846.9398322344578</v>
      </c>
      <c r="DO57" s="884">
        <v>1701.1287928475265</v>
      </c>
      <c r="DP57" s="884">
        <v>1846.9398322344578</v>
      </c>
      <c r="DQ57" s="884">
        <v>1749.7324726431702</v>
      </c>
      <c r="DR57" s="884">
        <v>2138.5619110083194</v>
      </c>
      <c r="DS57" s="884">
        <v>1749.7324726431702</v>
      </c>
      <c r="DT57" s="884">
        <v>1749.7324726431702</v>
      </c>
      <c r="DU57" s="884">
        <v>1749.7324726431702</v>
      </c>
      <c r="DV57" s="884">
        <v>2721.8060685560426</v>
      </c>
      <c r="DW57" s="884">
        <v>1944.1471918257448</v>
      </c>
      <c r="DX57" s="91">
        <v>22649.314784769926</v>
      </c>
    </row>
    <row r="58" spans="1:128" ht="15" hidden="1" customHeight="1" outlineLevel="1">
      <c r="A58" s="94"/>
      <c r="B58" s="921"/>
      <c r="C58" s="925"/>
      <c r="D58" s="313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314"/>
      <c r="Q58" s="90"/>
      <c r="R58" s="313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315"/>
      <c r="AE58" s="23"/>
      <c r="AF58" s="316">
        <v>0</v>
      </c>
      <c r="AG58" s="91">
        <v>0</v>
      </c>
      <c r="AH58" s="91">
        <v>0</v>
      </c>
      <c r="AI58" s="91">
        <v>0</v>
      </c>
      <c r="AJ58" s="91">
        <v>0</v>
      </c>
      <c r="AK58" s="91">
        <v>400</v>
      </c>
      <c r="AL58" s="91">
        <v>500</v>
      </c>
      <c r="AM58" s="91">
        <v>500</v>
      </c>
      <c r="AN58" s="91">
        <v>600</v>
      </c>
      <c r="AO58" s="91">
        <v>600</v>
      </c>
      <c r="AP58" s="91">
        <v>660</v>
      </c>
      <c r="AQ58" s="91">
        <v>960</v>
      </c>
      <c r="AR58" s="92">
        <f t="shared" si="77"/>
        <v>4220</v>
      </c>
      <c r="AS58" s="23"/>
      <c r="AT58" s="91">
        <v>960</v>
      </c>
      <c r="AU58" s="91">
        <v>960</v>
      </c>
      <c r="AV58" s="91">
        <v>960</v>
      </c>
      <c r="AW58" s="91">
        <v>960</v>
      </c>
      <c r="AX58" s="317">
        <v>580</v>
      </c>
      <c r="AY58" s="317">
        <v>580</v>
      </c>
      <c r="AZ58" s="317">
        <v>554</v>
      </c>
      <c r="BA58" s="317">
        <v>554</v>
      </c>
      <c r="BB58" s="317">
        <v>580</v>
      </c>
      <c r="BC58" s="317">
        <v>686</v>
      </c>
      <c r="BD58" s="317">
        <v>739</v>
      </c>
      <c r="BE58" s="317">
        <v>1055</v>
      </c>
      <c r="BF58" s="91">
        <f t="shared" si="78"/>
        <v>9168</v>
      </c>
      <c r="BG58" s="93">
        <f t="shared" si="79"/>
        <v>1.172511848341232</v>
      </c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U58" s="54"/>
      <c r="BV58" s="91"/>
      <c r="BW58" s="91"/>
      <c r="BX58" s="91"/>
      <c r="BY58" s="91"/>
      <c r="BZ58" s="91"/>
      <c r="CA58" s="91"/>
      <c r="CB58" s="91"/>
      <c r="CC58" s="91"/>
      <c r="CD58" s="91"/>
      <c r="CE58" s="91"/>
      <c r="CF58" s="91"/>
      <c r="CG58" s="91"/>
      <c r="CH58" s="91"/>
      <c r="CJ58" s="91"/>
      <c r="CK58" s="91"/>
      <c r="CL58" s="91"/>
      <c r="CM58" s="91"/>
      <c r="CN58" s="91"/>
      <c r="CO58" s="91"/>
      <c r="CP58" s="91"/>
      <c r="CQ58" s="91"/>
      <c r="CR58" s="91"/>
      <c r="CS58" s="91"/>
      <c r="CT58" s="91"/>
      <c r="CU58" s="91"/>
      <c r="CV58" s="91"/>
      <c r="CW58" s="758"/>
      <c r="CX58" s="884"/>
      <c r="CY58" s="884"/>
      <c r="CZ58" s="884"/>
      <c r="DA58" s="884"/>
      <c r="DB58" s="884"/>
      <c r="DC58" s="884"/>
      <c r="DD58" s="884"/>
      <c r="DE58" s="884"/>
      <c r="DF58" s="884"/>
      <c r="DG58" s="884"/>
      <c r="DH58" s="884"/>
      <c r="DI58" s="884"/>
      <c r="DJ58" s="91"/>
      <c r="DK58" s="948"/>
      <c r="DL58" s="884"/>
      <c r="DM58" s="884"/>
      <c r="DN58" s="884"/>
      <c r="DO58" s="884"/>
      <c r="DP58" s="884"/>
      <c r="DQ58" s="884"/>
      <c r="DR58" s="884"/>
      <c r="DS58" s="884"/>
      <c r="DT58" s="884"/>
      <c r="DU58" s="884"/>
      <c r="DV58" s="884"/>
      <c r="DW58" s="884"/>
      <c r="DX58" s="91"/>
    </row>
    <row r="59" spans="1:128" ht="15" hidden="1" customHeight="1" outlineLevel="1">
      <c r="A59" s="95"/>
      <c r="B59" s="924"/>
      <c r="C59" s="926"/>
      <c r="D59" s="421"/>
      <c r="E59" s="422"/>
      <c r="F59" s="422"/>
      <c r="G59" s="422"/>
      <c r="H59" s="422"/>
      <c r="I59" s="422"/>
      <c r="J59" s="422"/>
      <c r="K59" s="422"/>
      <c r="L59" s="422"/>
      <c r="M59" s="422"/>
      <c r="N59" s="422"/>
      <c r="O59" s="422"/>
      <c r="P59" s="423"/>
      <c r="Q59" s="424"/>
      <c r="R59" s="421"/>
      <c r="S59" s="425"/>
      <c r="T59" s="425"/>
      <c r="U59" s="425"/>
      <c r="V59" s="425"/>
      <c r="W59" s="425"/>
      <c r="X59" s="425"/>
      <c r="Y59" s="425"/>
      <c r="Z59" s="425"/>
      <c r="AA59" s="425"/>
      <c r="AB59" s="425"/>
      <c r="AC59" s="425"/>
      <c r="AD59" s="426"/>
      <c r="AE59" s="427"/>
      <c r="AF59" s="428">
        <v>0</v>
      </c>
      <c r="AG59" s="425">
        <v>0</v>
      </c>
      <c r="AH59" s="425">
        <v>0</v>
      </c>
      <c r="AI59" s="425">
        <v>0</v>
      </c>
      <c r="AJ59" s="425">
        <v>0</v>
      </c>
      <c r="AK59" s="425">
        <v>0</v>
      </c>
      <c r="AL59" s="425">
        <v>2500</v>
      </c>
      <c r="AM59" s="425">
        <v>2000</v>
      </c>
      <c r="AN59" s="425">
        <v>500</v>
      </c>
      <c r="AO59" s="425">
        <v>600</v>
      </c>
      <c r="AP59" s="425">
        <v>660</v>
      </c>
      <c r="AQ59" s="425">
        <v>960</v>
      </c>
      <c r="AR59" s="429">
        <f t="shared" si="77"/>
        <v>7220</v>
      </c>
      <c r="AS59" s="23"/>
      <c r="AT59" s="425">
        <v>1518</v>
      </c>
      <c r="AU59" s="425">
        <v>1518</v>
      </c>
      <c r="AV59" s="425">
        <v>1518</v>
      </c>
      <c r="AW59" s="425">
        <v>1518</v>
      </c>
      <c r="AX59" s="317">
        <v>1943</v>
      </c>
      <c r="AY59" s="317">
        <v>1943</v>
      </c>
      <c r="AZ59" s="317">
        <v>1854</v>
      </c>
      <c r="BA59" s="317">
        <v>1854</v>
      </c>
      <c r="BB59" s="317">
        <v>1943</v>
      </c>
      <c r="BC59" s="317">
        <v>2296</v>
      </c>
      <c r="BD59" s="317">
        <v>2472</v>
      </c>
      <c r="BE59" s="317">
        <v>3532</v>
      </c>
      <c r="BF59" s="425">
        <f t="shared" si="78"/>
        <v>23909</v>
      </c>
      <c r="BG59" s="93">
        <f t="shared" si="79"/>
        <v>2.3114958448753464</v>
      </c>
      <c r="BH59" s="425"/>
      <c r="BI59" s="425"/>
      <c r="BJ59" s="425"/>
      <c r="BK59" s="425"/>
      <c r="BL59" s="91"/>
      <c r="BM59" s="91"/>
      <c r="BN59" s="91"/>
      <c r="BO59" s="91"/>
      <c r="BP59" s="91"/>
      <c r="BQ59" s="91"/>
      <c r="BR59" s="91"/>
      <c r="BS59" s="91"/>
      <c r="BT59" s="91"/>
      <c r="BU59" s="54"/>
      <c r="BV59" s="425"/>
      <c r="BW59" s="425"/>
      <c r="BX59" s="425"/>
      <c r="BY59" s="425"/>
      <c r="BZ59" s="91"/>
      <c r="CA59" s="91"/>
      <c r="CB59" s="91"/>
      <c r="CC59" s="91"/>
      <c r="CD59" s="91"/>
      <c r="CE59" s="91"/>
      <c r="CF59" s="91"/>
      <c r="CG59" s="91"/>
      <c r="CH59" s="91"/>
      <c r="CJ59" s="425"/>
      <c r="CK59" s="425"/>
      <c r="CL59" s="425"/>
      <c r="CM59" s="425"/>
      <c r="CN59" s="91"/>
      <c r="CO59" s="91"/>
      <c r="CP59" s="91"/>
      <c r="CQ59" s="91"/>
      <c r="CR59" s="91"/>
      <c r="CS59" s="91"/>
      <c r="CT59" s="91"/>
      <c r="CU59" s="91"/>
      <c r="CV59" s="91"/>
      <c r="CW59" s="758"/>
      <c r="CX59" s="885"/>
      <c r="CY59" s="885"/>
      <c r="CZ59" s="885"/>
      <c r="DA59" s="885"/>
      <c r="DB59" s="884"/>
      <c r="DC59" s="884"/>
      <c r="DD59" s="884"/>
      <c r="DE59" s="884"/>
      <c r="DF59" s="884"/>
      <c r="DG59" s="884"/>
      <c r="DH59" s="884"/>
      <c r="DI59" s="884"/>
      <c r="DJ59" s="91"/>
      <c r="DK59" s="948"/>
      <c r="DL59" s="885"/>
      <c r="DM59" s="885"/>
      <c r="DN59" s="885"/>
      <c r="DO59" s="885"/>
      <c r="DP59" s="884"/>
      <c r="DQ59" s="884"/>
      <c r="DR59" s="884"/>
      <c r="DS59" s="884"/>
      <c r="DT59" s="884"/>
      <c r="DU59" s="884"/>
      <c r="DV59" s="884"/>
      <c r="DW59" s="884"/>
      <c r="DX59" s="91"/>
    </row>
    <row r="60" spans="1:128" ht="15" hidden="1" customHeight="1" outlineLevel="1">
      <c r="A60" s="434"/>
      <c r="B60" s="1075"/>
      <c r="C60" s="1076"/>
      <c r="D60" s="435"/>
      <c r="E60" s="435"/>
      <c r="F60" s="435"/>
      <c r="G60" s="435"/>
      <c r="H60" s="435"/>
      <c r="I60" s="435"/>
      <c r="J60" s="435"/>
      <c r="K60" s="435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  <c r="Y60" s="435"/>
      <c r="Z60" s="435"/>
      <c r="AA60" s="435"/>
      <c r="AB60" s="435"/>
      <c r="AC60" s="435"/>
      <c r="AD60" s="435"/>
      <c r="AE60" s="436"/>
      <c r="AF60" s="437">
        <v>0</v>
      </c>
      <c r="AG60" s="437">
        <v>0</v>
      </c>
      <c r="AH60" s="437">
        <v>0</v>
      </c>
      <c r="AI60" s="437">
        <v>0</v>
      </c>
      <c r="AJ60" s="437">
        <v>0</v>
      </c>
      <c r="AK60" s="437">
        <v>0</v>
      </c>
      <c r="AL60" s="437">
        <v>0</v>
      </c>
      <c r="AM60" s="437">
        <v>0</v>
      </c>
      <c r="AN60" s="437">
        <v>0</v>
      </c>
      <c r="AO60" s="437">
        <v>0</v>
      </c>
      <c r="AP60" s="437">
        <v>0</v>
      </c>
      <c r="AQ60" s="437">
        <v>0</v>
      </c>
      <c r="AR60" s="438">
        <f t="shared" si="77"/>
        <v>0</v>
      </c>
      <c r="AS60" s="322"/>
      <c r="AT60" s="437">
        <v>0</v>
      </c>
      <c r="AU60" s="437">
        <v>0</v>
      </c>
      <c r="AV60" s="437">
        <v>0</v>
      </c>
      <c r="AW60" s="437">
        <v>0</v>
      </c>
      <c r="AX60" s="439">
        <v>800</v>
      </c>
      <c r="AY60" s="317">
        <v>800</v>
      </c>
      <c r="AZ60" s="317">
        <v>800</v>
      </c>
      <c r="BA60" s="317">
        <v>1050</v>
      </c>
      <c r="BB60" s="317">
        <v>1100</v>
      </c>
      <c r="BC60" s="317">
        <v>1300</v>
      </c>
      <c r="BD60" s="317">
        <v>1400</v>
      </c>
      <c r="BE60" s="440">
        <v>2000</v>
      </c>
      <c r="BF60" s="437">
        <f t="shared" si="78"/>
        <v>9250</v>
      </c>
      <c r="BG60" s="325" t="e">
        <f t="shared" si="79"/>
        <v>#DIV/0!</v>
      </c>
      <c r="BH60" s="437"/>
      <c r="BI60" s="437"/>
      <c r="BJ60" s="437"/>
      <c r="BK60" s="437"/>
      <c r="BL60" s="439"/>
      <c r="BM60" s="317"/>
      <c r="BN60" s="317"/>
      <c r="BO60" s="317"/>
      <c r="BP60" s="317"/>
      <c r="BQ60" s="317"/>
      <c r="BR60" s="317"/>
      <c r="BS60" s="317"/>
      <c r="BT60" s="317"/>
      <c r="BU60" s="326"/>
      <c r="BV60" s="443"/>
      <c r="BW60" s="443"/>
      <c r="BX60" s="443"/>
      <c r="BY60" s="443"/>
      <c r="BZ60" s="444"/>
      <c r="CA60" s="317"/>
      <c r="CB60" s="317"/>
      <c r="CC60" s="317"/>
      <c r="CD60" s="317"/>
      <c r="CE60" s="317"/>
      <c r="CF60" s="317"/>
      <c r="CG60" s="317"/>
      <c r="CH60" s="317"/>
      <c r="CJ60" s="443"/>
      <c r="CK60" s="443"/>
      <c r="CL60" s="443"/>
      <c r="CM60" s="443"/>
      <c r="CN60" s="444"/>
      <c r="CO60" s="317"/>
      <c r="CP60" s="317"/>
      <c r="CQ60" s="317"/>
      <c r="CR60" s="317"/>
      <c r="CS60" s="317"/>
      <c r="CT60" s="317"/>
      <c r="CU60" s="317"/>
      <c r="CV60" s="317"/>
      <c r="CW60" s="758"/>
      <c r="CX60" s="886"/>
      <c r="CY60" s="886"/>
      <c r="CZ60" s="886"/>
      <c r="DA60" s="886"/>
      <c r="DB60" s="887"/>
      <c r="DC60" s="888"/>
      <c r="DD60" s="888"/>
      <c r="DE60" s="888"/>
      <c r="DF60" s="888"/>
      <c r="DG60" s="888"/>
      <c r="DH60" s="888"/>
      <c r="DI60" s="888"/>
      <c r="DJ60" s="317"/>
      <c r="DK60" s="948"/>
      <c r="DL60" s="886"/>
      <c r="DM60" s="886"/>
      <c r="DN60" s="886"/>
      <c r="DO60" s="886"/>
      <c r="DP60" s="887"/>
      <c r="DQ60" s="888"/>
      <c r="DR60" s="888"/>
      <c r="DS60" s="888"/>
      <c r="DT60" s="888"/>
      <c r="DU60" s="888"/>
      <c r="DV60" s="888"/>
      <c r="DW60" s="888"/>
      <c r="DX60" s="317"/>
    </row>
    <row r="61" spans="1:128" ht="15" hidden="1" customHeight="1" outlineLevel="1">
      <c r="A61" s="430"/>
      <c r="B61" s="927"/>
      <c r="C61" s="928"/>
      <c r="D61" s="424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32"/>
      <c r="T61" s="432"/>
      <c r="U61" s="432"/>
      <c r="V61" s="432"/>
      <c r="W61" s="432"/>
      <c r="X61" s="432"/>
      <c r="Y61" s="432"/>
      <c r="Z61" s="432"/>
      <c r="AA61" s="432"/>
      <c r="AB61" s="432"/>
      <c r="AC61" s="432"/>
      <c r="AD61" s="432"/>
      <c r="AE61" s="427"/>
      <c r="AF61" s="432"/>
      <c r="AG61" s="432"/>
      <c r="AH61" s="432"/>
      <c r="AI61" s="432"/>
      <c r="AJ61" s="432"/>
      <c r="AK61" s="432"/>
      <c r="AL61" s="432"/>
      <c r="AM61" s="432"/>
      <c r="AN61" s="432"/>
      <c r="AO61" s="432"/>
      <c r="AP61" s="432"/>
      <c r="AQ61" s="432"/>
      <c r="AR61" s="433"/>
      <c r="AS61" s="23"/>
      <c r="AT61" s="97"/>
      <c r="AU61" s="97"/>
      <c r="AV61" s="97"/>
      <c r="AW61" s="97"/>
      <c r="AX61" s="91"/>
      <c r="AY61" s="91"/>
      <c r="AZ61" s="91"/>
      <c r="BA61" s="91"/>
      <c r="BB61" s="91"/>
      <c r="BC61" s="91"/>
      <c r="BD61" s="91">
        <v>600</v>
      </c>
      <c r="BE61" s="315">
        <v>700</v>
      </c>
      <c r="BF61" s="437">
        <f t="shared" si="78"/>
        <v>1300</v>
      </c>
      <c r="BG61" s="93"/>
      <c r="BH61" s="442"/>
      <c r="BI61" s="442"/>
      <c r="BJ61" s="442"/>
      <c r="BK61" s="442"/>
      <c r="BL61" s="316"/>
      <c r="BM61" s="91"/>
      <c r="BN61" s="91"/>
      <c r="BO61" s="91"/>
      <c r="BP61" s="91"/>
      <c r="BQ61" s="91"/>
      <c r="BR61" s="91"/>
      <c r="BS61" s="91"/>
      <c r="BT61" s="91"/>
      <c r="BU61" s="54"/>
      <c r="BV61" s="442"/>
      <c r="BW61" s="442"/>
      <c r="BX61" s="442"/>
      <c r="BY61" s="442"/>
      <c r="BZ61" s="442"/>
      <c r="CA61" s="316"/>
      <c r="CB61" s="91">
        <v>60</v>
      </c>
      <c r="CC61" s="91"/>
      <c r="CD61" s="91"/>
      <c r="CE61" s="91"/>
      <c r="CF61" s="91"/>
      <c r="CG61" s="91"/>
      <c r="CH61" s="91"/>
      <c r="CJ61" s="708">
        <f>(CJ63-CJ62)/CJ62</f>
        <v>0.03</v>
      </c>
      <c r="CK61" s="708">
        <f t="shared" ref="CK61:CU61" si="84">(CK63-CK62)/CK62</f>
        <v>3.0000000000000079E-2</v>
      </c>
      <c r="CL61" s="708">
        <f t="shared" si="84"/>
        <v>3.0000000000000058E-2</v>
      </c>
      <c r="CM61" s="708">
        <f t="shared" si="84"/>
        <v>3.0000000000000034E-2</v>
      </c>
      <c r="CN61" s="708">
        <f t="shared" si="84"/>
        <v>3.000000000000011E-2</v>
      </c>
      <c r="CO61" s="708">
        <f t="shared" si="84"/>
        <v>3.000000000000012E-2</v>
      </c>
      <c r="CP61" s="708">
        <f t="shared" si="84"/>
        <v>3.0000000000000113E-2</v>
      </c>
      <c r="CQ61" s="708">
        <f t="shared" si="84"/>
        <v>3.0000000000000127E-2</v>
      </c>
      <c r="CR61" s="708">
        <f t="shared" si="84"/>
        <v>3.0000000000000068E-2</v>
      </c>
      <c r="CS61" s="708">
        <f t="shared" si="84"/>
        <v>2.9999999999999982E-2</v>
      </c>
      <c r="CT61" s="708">
        <f t="shared" si="84"/>
        <v>2.9999999999999961E-2</v>
      </c>
      <c r="CU61" s="708">
        <f t="shared" si="84"/>
        <v>0.03</v>
      </c>
      <c r="CV61" s="91"/>
      <c r="CW61" s="758"/>
      <c r="CX61" s="889"/>
      <c r="CY61" s="889"/>
      <c r="CZ61" s="889"/>
      <c r="DA61" s="889"/>
      <c r="DB61" s="889"/>
      <c r="DC61" s="890"/>
      <c r="DD61" s="884"/>
      <c r="DE61" s="884"/>
      <c r="DF61" s="884"/>
      <c r="DG61" s="884"/>
      <c r="DH61" s="884"/>
      <c r="DI61" s="884"/>
      <c r="DJ61" s="91"/>
      <c r="DK61" s="948"/>
      <c r="DL61" s="889"/>
      <c r="DM61" s="889"/>
      <c r="DN61" s="889"/>
      <c r="DO61" s="889"/>
      <c r="DP61" s="889"/>
      <c r="DQ61" s="890"/>
      <c r="DR61" s="884"/>
      <c r="DS61" s="884"/>
      <c r="DT61" s="884"/>
      <c r="DU61" s="884"/>
      <c r="DV61" s="884"/>
      <c r="DW61" s="884"/>
      <c r="DX61" s="91"/>
    </row>
    <row r="62" spans="1:128" ht="15" hidden="1" customHeight="1" outlineLevel="1">
      <c r="A62" s="95"/>
      <c r="B62" s="924" t="s">
        <v>71</v>
      </c>
      <c r="C62" s="922"/>
      <c r="D62" s="313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>
        <f t="shared" ref="P62:P63" si="85">SUM(D62:O62)</f>
        <v>0</v>
      </c>
      <c r="Q62" s="90"/>
      <c r="R62" s="313">
        <v>350</v>
      </c>
      <c r="S62" s="91">
        <v>350</v>
      </c>
      <c r="T62" s="91">
        <v>450</v>
      </c>
      <c r="U62" s="91">
        <v>800</v>
      </c>
      <c r="V62" s="91">
        <v>531</v>
      </c>
      <c r="W62" s="91">
        <v>750</v>
      </c>
      <c r="X62" s="91">
        <v>650</v>
      </c>
      <c r="Y62" s="91">
        <v>750</v>
      </c>
      <c r="Z62" s="91">
        <v>900</v>
      </c>
      <c r="AA62" s="91">
        <v>1000</v>
      </c>
      <c r="AB62" s="91">
        <v>1200</v>
      </c>
      <c r="AC62" s="91">
        <v>1500</v>
      </c>
      <c r="AD62" s="315">
        <f t="shared" ref="AD62:AD63" si="86">SUM(R62:AC62)</f>
        <v>9231</v>
      </c>
      <c r="AE62" s="23"/>
      <c r="AF62" s="316">
        <v>1500</v>
      </c>
      <c r="AG62" s="91">
        <v>800</v>
      </c>
      <c r="AH62" s="91">
        <v>800</v>
      </c>
      <c r="AI62" s="91">
        <v>1820</v>
      </c>
      <c r="AJ62" s="91">
        <v>1630</v>
      </c>
      <c r="AK62" s="91">
        <v>1360</v>
      </c>
      <c r="AL62" s="91">
        <v>1000</v>
      </c>
      <c r="AM62" s="91">
        <v>1700</v>
      </c>
      <c r="AN62" s="91">
        <v>1700</v>
      </c>
      <c r="AO62" s="91">
        <v>1700</v>
      </c>
      <c r="AP62" s="91">
        <v>1870</v>
      </c>
      <c r="AQ62" s="91">
        <v>2720</v>
      </c>
      <c r="AR62" s="92">
        <f t="shared" ref="AR62:AR63" si="87">SUM(AF62:AQ62)</f>
        <v>18600</v>
      </c>
      <c r="AS62" s="23"/>
      <c r="AT62" s="91">
        <v>2053</v>
      </c>
      <c r="AU62" s="91">
        <v>2053</v>
      </c>
      <c r="AV62" s="91">
        <v>2053</v>
      </c>
      <c r="AW62" s="91">
        <v>2053</v>
      </c>
      <c r="AX62" s="91">
        <v>2807</v>
      </c>
      <c r="AY62" s="91">
        <v>2807</v>
      </c>
      <c r="AZ62" s="91">
        <v>2680</v>
      </c>
      <c r="BA62" s="91">
        <v>2680</v>
      </c>
      <c r="BB62" s="91">
        <v>2807</v>
      </c>
      <c r="BC62" s="91">
        <v>3318</v>
      </c>
      <c r="BD62" s="91">
        <v>5870</v>
      </c>
      <c r="BE62" s="91">
        <v>5104</v>
      </c>
      <c r="BF62" s="441">
        <f t="shared" si="78"/>
        <v>36285</v>
      </c>
      <c r="BG62" s="93">
        <f>BF62/AR62-1</f>
        <v>0.95080645161290334</v>
      </c>
      <c r="BH62" s="441"/>
      <c r="BI62" s="441"/>
      <c r="BJ62" s="441"/>
      <c r="BK62" s="441"/>
      <c r="BL62" s="91"/>
      <c r="BM62" s="91"/>
      <c r="BN62" s="91"/>
      <c r="BO62" s="91"/>
      <c r="BP62" s="91"/>
      <c r="BQ62" s="91"/>
      <c r="BR62" s="91"/>
      <c r="BS62" s="91"/>
      <c r="BT62" s="91">
        <f>SUM(BH62:BS62)</f>
        <v>0</v>
      </c>
      <c r="BU62" s="54"/>
      <c r="BV62" s="441"/>
      <c r="BW62" s="441"/>
      <c r="BX62" s="441"/>
      <c r="BY62" s="441"/>
      <c r="BZ62" s="441"/>
      <c r="CA62" s="91"/>
      <c r="CB62" s="91"/>
      <c r="CC62" s="91"/>
      <c r="CD62" s="91"/>
      <c r="CE62" s="91"/>
      <c r="CF62" s="91"/>
      <c r="CG62" s="91"/>
      <c r="CH62" s="91"/>
      <c r="CJ62" s="441">
        <f>BV72</f>
        <v>38900</v>
      </c>
      <c r="CK62" s="441">
        <f t="shared" ref="CK62:CU62" si="88">BW72</f>
        <v>31376</v>
      </c>
      <c r="CL62" s="441">
        <f t="shared" si="88"/>
        <v>29886</v>
      </c>
      <c r="CM62" s="441">
        <f t="shared" si="88"/>
        <v>30671</v>
      </c>
      <c r="CN62" s="441">
        <f t="shared" si="88"/>
        <v>34553</v>
      </c>
      <c r="CO62" s="441">
        <f t="shared" si="88"/>
        <v>36515</v>
      </c>
      <c r="CP62" s="441">
        <f t="shared" si="88"/>
        <v>38915</v>
      </c>
      <c r="CQ62" s="441">
        <f t="shared" si="88"/>
        <v>34615</v>
      </c>
      <c r="CR62" s="441">
        <f t="shared" si="88"/>
        <v>29617</v>
      </c>
      <c r="CS62" s="441">
        <f t="shared" si="88"/>
        <v>34538</v>
      </c>
      <c r="CT62" s="441">
        <f t="shared" si="88"/>
        <v>45914</v>
      </c>
      <c r="CU62" s="441">
        <f t="shared" si="88"/>
        <v>60875</v>
      </c>
      <c r="CV62" s="91"/>
      <c r="CW62" s="758"/>
      <c r="CX62" s="891"/>
      <c r="CY62" s="891"/>
      <c r="CZ62" s="891"/>
      <c r="DA62" s="891"/>
      <c r="DB62" s="891"/>
      <c r="DC62" s="884"/>
      <c r="DD62" s="884"/>
      <c r="DE62" s="884"/>
      <c r="DF62" s="884"/>
      <c r="DG62" s="884"/>
      <c r="DH62" s="884"/>
      <c r="DI62" s="884"/>
      <c r="DJ62" s="91"/>
      <c r="DK62" s="948"/>
      <c r="DL62" s="891"/>
      <c r="DM62" s="891"/>
      <c r="DN62" s="891"/>
      <c r="DO62" s="891"/>
      <c r="DP62" s="891"/>
      <c r="DQ62" s="884"/>
      <c r="DR62" s="884"/>
      <c r="DS62" s="884"/>
      <c r="DT62" s="884"/>
      <c r="DU62" s="884"/>
      <c r="DV62" s="884"/>
      <c r="DW62" s="884"/>
      <c r="DX62" s="91"/>
    </row>
    <row r="63" spans="1:128" ht="18.75" hidden="1" collapsed="1">
      <c r="A63" s="55"/>
      <c r="B63" s="56" t="s">
        <v>123</v>
      </c>
      <c r="C63" s="753"/>
      <c r="D63" s="288">
        <f t="shared" ref="D63:O63" si="89">SUM(D42:D62)</f>
        <v>0</v>
      </c>
      <c r="E63" s="57">
        <f t="shared" si="89"/>
        <v>0</v>
      </c>
      <c r="F63" s="57">
        <f t="shared" si="89"/>
        <v>0</v>
      </c>
      <c r="G63" s="57">
        <f t="shared" si="89"/>
        <v>0</v>
      </c>
      <c r="H63" s="57">
        <f t="shared" si="89"/>
        <v>0</v>
      </c>
      <c r="I63" s="57">
        <f t="shared" si="89"/>
        <v>0</v>
      </c>
      <c r="J63" s="57">
        <f t="shared" si="89"/>
        <v>0</v>
      </c>
      <c r="K63" s="57">
        <f t="shared" si="89"/>
        <v>0</v>
      </c>
      <c r="L63" s="57">
        <f t="shared" si="89"/>
        <v>0</v>
      </c>
      <c r="M63" s="57">
        <f t="shared" si="89"/>
        <v>0</v>
      </c>
      <c r="N63" s="57">
        <f t="shared" si="89"/>
        <v>0</v>
      </c>
      <c r="O63" s="57">
        <f t="shared" si="89"/>
        <v>0</v>
      </c>
      <c r="P63" s="289">
        <f t="shared" si="85"/>
        <v>0</v>
      </c>
      <c r="Q63" s="39"/>
      <c r="R63" s="288">
        <f t="shared" ref="R63:AC63" si="90">SUM(R42:R62)</f>
        <v>20557.543859649122</v>
      </c>
      <c r="S63" s="58">
        <f t="shared" si="90"/>
        <v>20512.543859649122</v>
      </c>
      <c r="T63" s="58">
        <f t="shared" si="90"/>
        <v>13699.771929824561</v>
      </c>
      <c r="U63" s="58">
        <f t="shared" si="90"/>
        <v>912.5</v>
      </c>
      <c r="V63" s="58">
        <f t="shared" si="90"/>
        <v>16851</v>
      </c>
      <c r="W63" s="290">
        <f t="shared" si="90"/>
        <v>13700</v>
      </c>
      <c r="X63" s="290">
        <f t="shared" si="90"/>
        <v>26050</v>
      </c>
      <c r="Y63" s="290">
        <f t="shared" si="90"/>
        <v>27750</v>
      </c>
      <c r="Z63" s="290">
        <f t="shared" si="90"/>
        <v>31100</v>
      </c>
      <c r="AA63" s="290">
        <f t="shared" si="90"/>
        <v>32100</v>
      </c>
      <c r="AB63" s="290">
        <f t="shared" si="90"/>
        <v>37500</v>
      </c>
      <c r="AC63" s="290">
        <f t="shared" si="90"/>
        <v>45300</v>
      </c>
      <c r="AD63" s="291">
        <f t="shared" si="86"/>
        <v>286033.35964912281</v>
      </c>
      <c r="AE63" s="59"/>
      <c r="AF63" s="292">
        <f>SUM(AF42:AF62)</f>
        <v>38500</v>
      </c>
      <c r="AG63" s="58">
        <f t="shared" ref="AG63:AQ63" si="91">SUM(AG42:AG62)</f>
        <v>22400</v>
      </c>
      <c r="AH63" s="58">
        <f t="shared" si="91"/>
        <v>10671</v>
      </c>
      <c r="AI63" s="58">
        <f t="shared" si="91"/>
        <v>16097</v>
      </c>
      <c r="AJ63" s="58">
        <f t="shared" si="91"/>
        <v>30278</v>
      </c>
      <c r="AK63" s="58">
        <f t="shared" si="91"/>
        <v>28560</v>
      </c>
      <c r="AL63" s="58">
        <f t="shared" si="91"/>
        <v>41700</v>
      </c>
      <c r="AM63" s="58">
        <f t="shared" si="91"/>
        <v>38700</v>
      </c>
      <c r="AN63" s="58">
        <f t="shared" si="91"/>
        <v>37300</v>
      </c>
      <c r="AO63" s="58">
        <f t="shared" si="91"/>
        <v>37400</v>
      </c>
      <c r="AP63" s="58">
        <f t="shared" si="91"/>
        <v>40640</v>
      </c>
      <c r="AQ63" s="58">
        <f t="shared" si="91"/>
        <v>54440</v>
      </c>
      <c r="AR63" s="58">
        <f t="shared" si="87"/>
        <v>396686</v>
      </c>
      <c r="AS63" s="59"/>
      <c r="AT63" s="58">
        <f t="shared" ref="AT63:BE63" si="92">SUM(AT42:AT62)</f>
        <v>36153</v>
      </c>
      <c r="AU63" s="58">
        <f>SUM(AU42:AU62)</f>
        <v>35289</v>
      </c>
      <c r="AV63" s="58">
        <f t="shared" si="92"/>
        <v>35872</v>
      </c>
      <c r="AW63" s="58">
        <f t="shared" si="92"/>
        <v>38031</v>
      </c>
      <c r="AX63" s="58">
        <f t="shared" si="92"/>
        <v>33566</v>
      </c>
      <c r="AY63" s="58">
        <f t="shared" si="92"/>
        <v>33566</v>
      </c>
      <c r="AZ63" s="58">
        <f t="shared" si="92"/>
        <v>30896</v>
      </c>
      <c r="BA63" s="58">
        <f t="shared" si="92"/>
        <v>31146</v>
      </c>
      <c r="BB63" s="58">
        <f t="shared" si="92"/>
        <v>32630</v>
      </c>
      <c r="BC63" s="58">
        <f t="shared" si="92"/>
        <v>38562</v>
      </c>
      <c r="BD63" s="58">
        <f t="shared" si="92"/>
        <v>41345</v>
      </c>
      <c r="BE63" s="58">
        <f t="shared" si="92"/>
        <v>49263</v>
      </c>
      <c r="BF63" s="58">
        <f>SUM(AT63:BE63)</f>
        <v>436319</v>
      </c>
      <c r="BG63" s="59">
        <f>BF63-AR63</f>
        <v>39633</v>
      </c>
      <c r="BH63" s="58">
        <v>36153</v>
      </c>
      <c r="BI63" s="58">
        <v>35289</v>
      </c>
      <c r="BJ63" s="58">
        <v>35872</v>
      </c>
      <c r="BK63" s="58">
        <v>38031</v>
      </c>
      <c r="BL63" s="58">
        <v>38570</v>
      </c>
      <c r="BM63" s="58">
        <v>39227</v>
      </c>
      <c r="BN63" s="58">
        <v>41128</v>
      </c>
      <c r="BO63" s="58">
        <v>38191</v>
      </c>
      <c r="BP63" s="58">
        <v>38191</v>
      </c>
      <c r="BQ63" s="58">
        <v>40225</v>
      </c>
      <c r="BR63" s="58">
        <v>43272</v>
      </c>
      <c r="BS63" s="58">
        <v>60327</v>
      </c>
      <c r="BT63" s="58">
        <f t="shared" ref="BT63:BT67" si="93">SUM(BH63:BS63)</f>
        <v>484476</v>
      </c>
      <c r="BU63" s="60"/>
      <c r="BV63" s="58">
        <f>SUM(BV42:BV59)</f>
        <v>35797.912472643162</v>
      </c>
      <c r="BW63" s="58">
        <f t="shared" ref="BW63:CG63" si="94">SUM(BW42:BW59)</f>
        <v>27268.538792847521</v>
      </c>
      <c r="BX63" s="58">
        <f t="shared" si="94"/>
        <v>34357.668832234456</v>
      </c>
      <c r="BY63" s="58">
        <f t="shared" si="94"/>
        <v>29626.958292847525</v>
      </c>
      <c r="BZ63" s="58">
        <f t="shared" si="94"/>
        <v>34139.121332234456</v>
      </c>
      <c r="CA63" s="58">
        <f t="shared" si="94"/>
        <v>39503.881972643161</v>
      </c>
      <c r="CB63" s="58">
        <f t="shared" si="94"/>
        <v>45728.836911008315</v>
      </c>
      <c r="CC63" s="58">
        <f t="shared" si="94"/>
        <v>32260.226972643166</v>
      </c>
      <c r="CD63" s="58">
        <f t="shared" si="94"/>
        <v>33331.522972643164</v>
      </c>
      <c r="CE63" s="58">
        <f t="shared" si="94"/>
        <v>35213.881472643166</v>
      </c>
      <c r="CF63" s="58">
        <f t="shared" si="94"/>
        <v>46168.878068556034</v>
      </c>
      <c r="CG63" s="58">
        <f t="shared" si="94"/>
        <v>57905.502691825735</v>
      </c>
      <c r="CH63" s="58">
        <f>SUM(BV63:CG63)</f>
        <v>451302.93078476982</v>
      </c>
      <c r="CI63" s="395">
        <f>(CH63-BT72)/BT72</f>
        <v>5.1833718555945915E-2</v>
      </c>
      <c r="CJ63" s="58">
        <f>BV72*1.03</f>
        <v>40067</v>
      </c>
      <c r="CK63" s="58">
        <f t="shared" ref="CK63:CU63" si="95">BW72*1.03</f>
        <v>32317.280000000002</v>
      </c>
      <c r="CL63" s="58">
        <f t="shared" si="95"/>
        <v>30782.58</v>
      </c>
      <c r="CM63" s="58">
        <f>BY72*1.03</f>
        <v>31591.13</v>
      </c>
      <c r="CN63" s="58">
        <f t="shared" si="95"/>
        <v>35589.590000000004</v>
      </c>
      <c r="CO63" s="58">
        <f t="shared" si="95"/>
        <v>37610.450000000004</v>
      </c>
      <c r="CP63" s="58">
        <f t="shared" si="95"/>
        <v>40082.450000000004</v>
      </c>
      <c r="CQ63" s="58">
        <f t="shared" si="95"/>
        <v>35653.450000000004</v>
      </c>
      <c r="CR63" s="58">
        <f t="shared" si="95"/>
        <v>30505.510000000002</v>
      </c>
      <c r="CS63" s="58">
        <f>CE72*1.03</f>
        <v>35574.14</v>
      </c>
      <c r="CT63" s="58">
        <f t="shared" si="95"/>
        <v>47291.42</v>
      </c>
      <c r="CU63" s="58">
        <f t="shared" si="95"/>
        <v>62701.25</v>
      </c>
      <c r="CV63" s="58">
        <f>SUM(CJ63:CU63)</f>
        <v>459766.25</v>
      </c>
      <c r="CW63" s="758"/>
      <c r="CX63" s="880">
        <v>34000</v>
      </c>
      <c r="CY63" s="880">
        <v>26000</v>
      </c>
      <c r="CZ63" s="880">
        <v>27000</v>
      </c>
      <c r="DA63" s="880">
        <v>27000</v>
      </c>
      <c r="DB63" s="880">
        <v>29000</v>
      </c>
      <c r="DC63" s="880">
        <v>32772.54</v>
      </c>
      <c r="DD63" s="880">
        <v>34046.649999999994</v>
      </c>
      <c r="DE63" s="880">
        <v>30567.31</v>
      </c>
      <c r="DF63" s="880">
        <v>29170.629999999997</v>
      </c>
      <c r="DG63" s="880">
        <v>33460.786</v>
      </c>
      <c r="DH63" s="880">
        <v>40405.437400000003</v>
      </c>
      <c r="DI63" s="880">
        <v>57291.782700000003</v>
      </c>
      <c r="DJ63" s="58">
        <f>SUM(CX63:DI63)</f>
        <v>400715.1361</v>
      </c>
      <c r="DK63" s="948"/>
      <c r="DL63" s="880">
        <f>CX63</f>
        <v>34000</v>
      </c>
      <c r="DM63" s="880">
        <v>21658.84</v>
      </c>
      <c r="DN63" s="880">
        <v>25209.25</v>
      </c>
      <c r="DO63" s="880">
        <v>27828.54</v>
      </c>
      <c r="DP63" s="880">
        <v>32049.480000000003</v>
      </c>
      <c r="DQ63" s="880">
        <v>32772.54</v>
      </c>
      <c r="DR63" s="880">
        <v>34046.649999999994</v>
      </c>
      <c r="DS63" s="880">
        <v>30567.31</v>
      </c>
      <c r="DT63" s="880">
        <v>29170.629999999997</v>
      </c>
      <c r="DU63" s="880">
        <v>33460.786</v>
      </c>
      <c r="DV63" s="880">
        <v>40405.437400000003</v>
      </c>
      <c r="DW63" s="880">
        <v>57291.782700000003</v>
      </c>
      <c r="DX63" s="58">
        <f>SUM(DL63:DW63)</f>
        <v>398461.24609999999</v>
      </c>
    </row>
    <row r="64" spans="1:128" ht="18.75" hidden="1">
      <c r="A64" s="99"/>
      <c r="B64" s="929" t="s">
        <v>73</v>
      </c>
      <c r="C64" s="930"/>
      <c r="D64" s="301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302"/>
      <c r="Q64" s="74"/>
      <c r="R64" s="301"/>
      <c r="S64" s="69"/>
      <c r="T64" s="69"/>
      <c r="U64" s="69"/>
      <c r="V64" s="303"/>
      <c r="W64" s="304"/>
      <c r="X64" s="304"/>
      <c r="Y64" s="304"/>
      <c r="Z64" s="304"/>
      <c r="AA64" s="304"/>
      <c r="AB64" s="304"/>
      <c r="AC64" s="75"/>
      <c r="AD64" s="76"/>
      <c r="AE64" s="77"/>
      <c r="AF64" s="305"/>
      <c r="AG64" s="69"/>
      <c r="AH64" s="69"/>
      <c r="AI64" s="69"/>
      <c r="AJ64" s="303"/>
      <c r="AK64" s="303"/>
      <c r="AL64" s="303"/>
      <c r="AM64" s="303"/>
      <c r="AN64" s="69"/>
      <c r="AO64" s="69"/>
      <c r="AP64" s="69"/>
      <c r="AQ64" s="69"/>
      <c r="AR64" s="306"/>
      <c r="AS64" s="77"/>
      <c r="AT64" s="69"/>
      <c r="AU64" s="69"/>
      <c r="AV64" s="69"/>
      <c r="AW64" s="69"/>
      <c r="AX64" s="69"/>
      <c r="AY64" s="69">
        <v>15000</v>
      </c>
      <c r="AZ64" s="69">
        <v>15000</v>
      </c>
      <c r="BA64" s="69">
        <f t="shared" ref="BA64:BB64" si="96">BA63*70%</f>
        <v>21802.199999999997</v>
      </c>
      <c r="BB64" s="69">
        <f t="shared" si="96"/>
        <v>22841</v>
      </c>
      <c r="BC64" s="69">
        <v>35000</v>
      </c>
      <c r="BD64" s="69">
        <v>35000</v>
      </c>
      <c r="BE64" s="69">
        <v>42000</v>
      </c>
      <c r="BF64" s="69">
        <f t="shared" si="78"/>
        <v>186643.20000000001</v>
      </c>
      <c r="BG64" s="77"/>
      <c r="BH64" s="69">
        <f t="shared" ref="BH64:BM64" si="97">BH63*0.8</f>
        <v>28922.400000000001</v>
      </c>
      <c r="BI64" s="69">
        <f t="shared" si="97"/>
        <v>28231.200000000001</v>
      </c>
      <c r="BJ64" s="69">
        <f t="shared" si="97"/>
        <v>28697.600000000002</v>
      </c>
      <c r="BK64" s="69">
        <f t="shared" si="97"/>
        <v>30424.800000000003</v>
      </c>
      <c r="BL64" s="69">
        <f t="shared" si="97"/>
        <v>30856</v>
      </c>
      <c r="BM64" s="69">
        <f t="shared" si="97"/>
        <v>31381.600000000002</v>
      </c>
      <c r="BN64" s="69">
        <f>BN63*0.85</f>
        <v>34958.799999999996</v>
      </c>
      <c r="BO64" s="69">
        <v>29000</v>
      </c>
      <c r="BP64" s="69">
        <v>40223</v>
      </c>
      <c r="BQ64" s="69">
        <v>36735</v>
      </c>
      <c r="BR64" s="69">
        <v>36933</v>
      </c>
      <c r="BS64" s="69">
        <v>52283</v>
      </c>
      <c r="BT64" s="69">
        <f t="shared" si="93"/>
        <v>408646.40000000002</v>
      </c>
      <c r="BU64" s="28"/>
      <c r="BV64" s="69">
        <v>32000</v>
      </c>
      <c r="BW64" s="69">
        <v>32000</v>
      </c>
      <c r="BX64" s="69">
        <v>37000</v>
      </c>
      <c r="BY64" s="69">
        <v>32000</v>
      </c>
      <c r="BZ64" s="69">
        <v>35000</v>
      </c>
      <c r="CA64" s="69">
        <v>35000</v>
      </c>
      <c r="CB64" s="69">
        <v>35000</v>
      </c>
      <c r="CC64" s="69">
        <f>CC63*1</f>
        <v>32260.226972643166</v>
      </c>
      <c r="CD64" s="69">
        <f>CD63*1</f>
        <v>33331.522972643164</v>
      </c>
      <c r="CE64" s="69">
        <f>CE63</f>
        <v>35213.881472643166</v>
      </c>
      <c r="CF64" s="69">
        <v>40000</v>
      </c>
      <c r="CG64" s="69">
        <v>60000</v>
      </c>
      <c r="CH64" s="69"/>
      <c r="CI64" s="395"/>
      <c r="CJ64" s="69">
        <v>32000</v>
      </c>
      <c r="CK64" s="69">
        <v>30000</v>
      </c>
      <c r="CL64" s="69">
        <v>31500</v>
      </c>
      <c r="CM64" s="69">
        <v>32000</v>
      </c>
      <c r="CN64" s="69">
        <v>45000</v>
      </c>
      <c r="CO64" s="69">
        <v>35000</v>
      </c>
      <c r="CP64" s="69">
        <v>36000</v>
      </c>
      <c r="CQ64" s="69">
        <v>35000</v>
      </c>
      <c r="CR64" s="69">
        <v>35000</v>
      </c>
      <c r="CS64" s="69">
        <v>40000</v>
      </c>
      <c r="CT64" s="69">
        <v>51000</v>
      </c>
      <c r="CU64" s="69">
        <v>60000</v>
      </c>
      <c r="CV64" s="69">
        <f>SUM(CJ64:CU64)</f>
        <v>462500</v>
      </c>
      <c r="CW64" s="758"/>
      <c r="CX64" s="881">
        <v>28638.329978114532</v>
      </c>
      <c r="CY64" s="881">
        <v>21814.831034278017</v>
      </c>
      <c r="CZ64" s="881">
        <v>27486.135065787566</v>
      </c>
      <c r="DA64" s="881">
        <v>23701.566634278021</v>
      </c>
      <c r="DB64" s="881">
        <v>27311.297065787567</v>
      </c>
      <c r="DC64" s="881">
        <v>31603.10557811453</v>
      </c>
      <c r="DD64" s="881">
        <v>36583.069528806656</v>
      </c>
      <c r="DE64" s="881">
        <v>25808.181578114534</v>
      </c>
      <c r="DF64" s="881">
        <v>26665.218378114532</v>
      </c>
      <c r="DG64" s="881">
        <v>28171.105178114536</v>
      </c>
      <c r="DH64" s="881">
        <v>36935.102454844826</v>
      </c>
      <c r="DI64" s="881">
        <v>46324.402153460593</v>
      </c>
      <c r="DJ64" s="69"/>
      <c r="DK64" s="948"/>
      <c r="DL64" s="881">
        <v>28638.329978114532</v>
      </c>
      <c r="DM64" s="881">
        <v>21814.831034278017</v>
      </c>
      <c r="DN64" s="881">
        <v>27486.135065787566</v>
      </c>
      <c r="DO64" s="881">
        <v>23701.566634278021</v>
      </c>
      <c r="DP64" s="881">
        <v>27311.297065787567</v>
      </c>
      <c r="DQ64" s="881">
        <v>31603.10557811453</v>
      </c>
      <c r="DR64" s="881">
        <v>36583.069528806656</v>
      </c>
      <c r="DS64" s="881">
        <v>25808.181578114534</v>
      </c>
      <c r="DT64" s="881">
        <v>26665.218378114532</v>
      </c>
      <c r="DU64" s="881">
        <v>28171.105178114536</v>
      </c>
      <c r="DV64" s="881">
        <v>36935.102454844826</v>
      </c>
      <c r="DW64" s="881">
        <v>46324.402153460593</v>
      </c>
      <c r="DX64" s="69"/>
    </row>
    <row r="65" spans="1:128" ht="14.25" hidden="1" customHeight="1">
      <c r="A65" s="55" t="s">
        <v>74</v>
      </c>
      <c r="B65" s="56"/>
      <c r="C65" s="280"/>
      <c r="D65" s="288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289"/>
      <c r="Q65" s="39"/>
      <c r="R65" s="288"/>
      <c r="S65" s="58"/>
      <c r="T65" s="58"/>
      <c r="U65" s="58"/>
      <c r="V65" s="58"/>
      <c r="W65" s="290"/>
      <c r="X65" s="290"/>
      <c r="Y65" s="290"/>
      <c r="Z65" s="290"/>
      <c r="AA65" s="290"/>
      <c r="AB65" s="290"/>
      <c r="AC65" s="290"/>
      <c r="AD65" s="291"/>
      <c r="AE65" s="59"/>
      <c r="AF65" s="292"/>
      <c r="AG65" s="58"/>
      <c r="AH65" s="58"/>
      <c r="AI65" s="58"/>
      <c r="AJ65" s="58"/>
      <c r="AK65" s="58"/>
      <c r="AL65" s="58">
        <f>AL63/AVERAGE($AF$63:$AQ$63)</f>
        <v>1.2614511225503295</v>
      </c>
      <c r="AM65" s="58"/>
      <c r="AN65" s="58"/>
      <c r="AO65" s="58"/>
      <c r="AP65" s="58">
        <f t="shared" ref="AP65:AQ65" si="98">AP63/AVERAGE($AF$63:$AQ$63)</f>
        <v>1.2293854585238704</v>
      </c>
      <c r="AQ65" s="58">
        <f t="shared" si="98"/>
        <v>1.6468441033966412</v>
      </c>
      <c r="AR65" s="58"/>
      <c r="AS65" s="59"/>
      <c r="AT65" s="58">
        <v>109190</v>
      </c>
      <c r="AU65" s="58">
        <v>153667</v>
      </c>
      <c r="AV65" s="58">
        <v>178778</v>
      </c>
      <c r="AW65" s="58">
        <v>151970</v>
      </c>
      <c r="AX65" s="58">
        <v>142416</v>
      </c>
      <c r="AY65" s="58">
        <v>177335</v>
      </c>
      <c r="AZ65" s="58">
        <v>152230</v>
      </c>
      <c r="BA65" s="58">
        <v>245527</v>
      </c>
      <c r="BB65" s="58">
        <f>5261504/27</f>
        <v>194870.51851851851</v>
      </c>
      <c r="BC65" s="58">
        <f>5784000/27</f>
        <v>214222.22222222222</v>
      </c>
      <c r="BD65" s="58">
        <f>3224000/27</f>
        <v>119407.4074074074</v>
      </c>
      <c r="BE65" s="58">
        <f>909800/27</f>
        <v>33696.296296296299</v>
      </c>
      <c r="BF65" s="58">
        <f t="shared" si="78"/>
        <v>1873309.4444444445</v>
      </c>
      <c r="BG65" s="59"/>
      <c r="BH65" s="58">
        <v>156208</v>
      </c>
      <c r="BI65" s="58">
        <v>147340</v>
      </c>
      <c r="BJ65" s="58">
        <v>166759</v>
      </c>
      <c r="BK65" s="58">
        <v>152352</v>
      </c>
      <c r="BL65" s="58">
        <v>128446</v>
      </c>
      <c r="BM65" s="58">
        <v>126790</v>
      </c>
      <c r="BN65" s="58">
        <v>173761</v>
      </c>
      <c r="BO65" s="58">
        <f>144510.599073001+BO64</f>
        <v>173510.59907300101</v>
      </c>
      <c r="BP65" s="58">
        <f>162574.422556972+BP64</f>
        <v>202797.42255697199</v>
      </c>
      <c r="BQ65" s="58">
        <f>166187.186558517+BQ64</f>
        <v>202922.18655851699</v>
      </c>
      <c r="BR65" s="58">
        <f>BQ39+BR35*0.6</f>
        <v>232502.36</v>
      </c>
      <c r="BS65" s="58">
        <f>BR35*0.4+BS35*0.5</f>
        <v>116391.04000000001</v>
      </c>
      <c r="BT65" s="58">
        <f t="shared" si="93"/>
        <v>1979779.6081884899</v>
      </c>
      <c r="BU65" s="60"/>
      <c r="BV65" s="58">
        <f t="shared" ref="BV65:CC65" si="99">BV39+BV64</f>
        <v>162757.867486095</v>
      </c>
      <c r="BW65" s="58">
        <f t="shared" si="99"/>
        <v>157566.83045180296</v>
      </c>
      <c r="BX65" s="58">
        <f t="shared" si="99"/>
        <v>197961.53846153844</v>
      </c>
      <c r="BY65" s="58">
        <f t="shared" si="99"/>
        <v>160769.23076923078</v>
      </c>
      <c r="BZ65" s="58">
        <f t="shared" si="99"/>
        <v>153232.39341785663</v>
      </c>
      <c r="CA65" s="58">
        <f t="shared" si="99"/>
        <v>143192.12910096842</v>
      </c>
      <c r="CB65" s="58">
        <f t="shared" si="99"/>
        <v>178736.21444761599</v>
      </c>
      <c r="CC65" s="58">
        <f t="shared" si="99"/>
        <v>202914.10079748323</v>
      </c>
      <c r="CD65" s="58">
        <f>CD39+CD64</f>
        <v>214499.61628422557</v>
      </c>
      <c r="CE65" s="58">
        <f>CE39+CE64</f>
        <v>217682.99793575107</v>
      </c>
      <c r="CF65" s="58">
        <f>CF39+CF64</f>
        <v>173115.84223630186</v>
      </c>
      <c r="CG65" s="58">
        <f t="shared" ref="CG65" si="100">BS65</f>
        <v>116391.04000000001</v>
      </c>
      <c r="CH65" s="58"/>
      <c r="CJ65" s="58">
        <f>CJ39+CJ64</f>
        <v>161344.16697726428</v>
      </c>
      <c r="CK65" s="58">
        <f t="shared" ref="CK65:CU65" si="101">CK39+CK64</f>
        <v>180873.49981364145</v>
      </c>
      <c r="CL65" s="58">
        <f t="shared" si="101"/>
        <v>172879.05329854641</v>
      </c>
      <c r="CM65" s="58">
        <f t="shared" si="101"/>
        <v>168578.1587774879</v>
      </c>
      <c r="CN65" s="58">
        <f t="shared" si="101"/>
        <v>181291.91203876259</v>
      </c>
      <c r="CO65" s="58">
        <f t="shared" si="101"/>
        <v>138386.95490122997</v>
      </c>
      <c r="CP65" s="58">
        <f t="shared" si="101"/>
        <v>217610.97046413503</v>
      </c>
      <c r="CQ65" s="58">
        <f>CQ39+CQ64</f>
        <v>234329.11392405062</v>
      </c>
      <c r="CR65" s="58">
        <f t="shared" si="101"/>
        <v>269765.40084388189</v>
      </c>
      <c r="CS65" s="58">
        <f t="shared" si="101"/>
        <v>257806.7510548523</v>
      </c>
      <c r="CT65" s="58">
        <f>CT39+CT64</f>
        <v>185135.02109704641</v>
      </c>
      <c r="CU65" s="58">
        <f t="shared" si="101"/>
        <v>111311.39240506329</v>
      </c>
      <c r="CV65" s="58">
        <f>SUM(CJ65:CU65)</f>
        <v>2279312.3955959622</v>
      </c>
      <c r="CW65" s="758"/>
      <c r="CX65" s="880">
        <v>98000</v>
      </c>
      <c r="CY65" s="880">
        <v>147381.66148608096</v>
      </c>
      <c r="CZ65" s="880">
        <v>188447.673527326</v>
      </c>
      <c r="DA65" s="880">
        <v>152352</v>
      </c>
      <c r="DB65" s="880">
        <v>177308</v>
      </c>
      <c r="DC65" s="880">
        <v>126790</v>
      </c>
      <c r="DD65" s="880">
        <v>173761</v>
      </c>
      <c r="DE65" s="880">
        <v>173510.59907300101</v>
      </c>
      <c r="DF65" s="880">
        <v>202797.42255697199</v>
      </c>
      <c r="DG65" s="880">
        <v>202922.18655851699</v>
      </c>
      <c r="DH65" s="880">
        <v>232502.36</v>
      </c>
      <c r="DI65" s="880">
        <v>116391.04000000001</v>
      </c>
      <c r="DJ65" s="58"/>
      <c r="DK65" s="948"/>
      <c r="DL65" s="880">
        <v>98000</v>
      </c>
      <c r="DM65" s="880">
        <v>147381.66148608096</v>
      </c>
      <c r="DN65" s="880">
        <v>188447.673527326</v>
      </c>
      <c r="DO65" s="880">
        <v>152352</v>
      </c>
      <c r="DP65" s="880">
        <v>128446</v>
      </c>
      <c r="DQ65" s="880">
        <v>126790</v>
      </c>
      <c r="DR65" s="880">
        <v>173761</v>
      </c>
      <c r="DS65" s="880">
        <v>173510.59907300101</v>
      </c>
      <c r="DT65" s="880">
        <v>202797.42255697199</v>
      </c>
      <c r="DU65" s="880">
        <v>202922.18655851699</v>
      </c>
      <c r="DV65" s="880">
        <v>232502.36</v>
      </c>
      <c r="DW65" s="880">
        <v>116391.04000000001</v>
      </c>
      <c r="DX65" s="58"/>
    </row>
    <row r="66" spans="1:128" ht="18.75" hidden="1">
      <c r="A66" s="101" t="s">
        <v>75</v>
      </c>
      <c r="B66" s="931"/>
      <c r="C66" s="909"/>
      <c r="D66" s="277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262"/>
      <c r="Q66" s="15"/>
      <c r="R66" s="277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263"/>
      <c r="AE66" s="16"/>
      <c r="AF66" s="261">
        <v>133791</v>
      </c>
      <c r="AG66" s="14">
        <v>166459</v>
      </c>
      <c r="AH66" s="14">
        <v>149450</v>
      </c>
      <c r="AI66" s="14">
        <v>151073</v>
      </c>
      <c r="AJ66" s="14">
        <v>192944</v>
      </c>
      <c r="AK66" s="14">
        <v>166139</v>
      </c>
      <c r="AL66" s="14">
        <v>151874</v>
      </c>
      <c r="AM66" s="14">
        <v>157771</v>
      </c>
      <c r="AN66" s="14">
        <v>200312</v>
      </c>
      <c r="AO66" s="14">
        <v>202691</v>
      </c>
      <c r="AP66" s="14">
        <v>207768</v>
      </c>
      <c r="AQ66" s="14">
        <v>113286</v>
      </c>
      <c r="AR66" s="14">
        <f>SUM(AF66:AK66)</f>
        <v>959856</v>
      </c>
      <c r="AS66" s="17"/>
      <c r="AT66" s="14">
        <v>89680</v>
      </c>
      <c r="AU66" s="14">
        <v>128308</v>
      </c>
      <c r="AV66" s="14">
        <v>144871</v>
      </c>
      <c r="AW66" s="32">
        <v>161772</v>
      </c>
      <c r="AX66" s="32">
        <v>144516</v>
      </c>
      <c r="AY66" s="32">
        <v>103667</v>
      </c>
      <c r="AZ66" s="32">
        <v>141023</v>
      </c>
      <c r="BA66" s="32">
        <v>172093</v>
      </c>
      <c r="BB66" s="32">
        <f>166606+10000</f>
        <v>176606</v>
      </c>
      <c r="BC66" s="32">
        <v>181091</v>
      </c>
      <c r="BD66" s="32">
        <v>169802</v>
      </c>
      <c r="BE66" s="32">
        <v>120406</v>
      </c>
      <c r="BF66" s="32">
        <f t="shared" si="78"/>
        <v>1733835</v>
      </c>
      <c r="BG66" s="17">
        <f>BG63/AR63</f>
        <v>9.9910256474894502E-2</v>
      </c>
      <c r="BH66" s="14">
        <v>78906</v>
      </c>
      <c r="BI66" s="14">
        <v>119296</v>
      </c>
      <c r="BJ66" s="14">
        <v>165286</v>
      </c>
      <c r="BK66" s="14">
        <v>144532</v>
      </c>
      <c r="BL66" s="32">
        <v>157691</v>
      </c>
      <c r="BM66" s="32">
        <v>129096</v>
      </c>
      <c r="BN66" s="32">
        <v>125800</v>
      </c>
      <c r="BO66" s="32">
        <v>176354</v>
      </c>
      <c r="BP66" s="32">
        <v>173554</v>
      </c>
      <c r="BQ66" s="32">
        <v>185766</v>
      </c>
      <c r="BR66" s="32"/>
      <c r="BS66" s="32"/>
      <c r="BT66" s="32">
        <f t="shared" si="93"/>
        <v>1456281</v>
      </c>
      <c r="BU66" s="28"/>
      <c r="BV66" s="14"/>
      <c r="BW66" s="14"/>
      <c r="BX66" s="14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J66" s="14"/>
      <c r="CK66" s="14"/>
      <c r="CL66" s="14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758"/>
      <c r="CX66" s="873"/>
      <c r="CY66" s="873"/>
      <c r="CZ66" s="873"/>
      <c r="DA66" s="872"/>
      <c r="DB66" s="872"/>
      <c r="DC66" s="872"/>
      <c r="DD66" s="872"/>
      <c r="DE66" s="872"/>
      <c r="DF66" s="872"/>
      <c r="DG66" s="872"/>
      <c r="DH66" s="872"/>
      <c r="DI66" s="872"/>
      <c r="DJ66" s="32"/>
      <c r="DK66" s="948"/>
      <c r="DL66" s="873"/>
      <c r="DM66" s="873"/>
      <c r="DN66" s="873"/>
      <c r="DO66" s="872"/>
      <c r="DP66" s="872"/>
      <c r="DQ66" s="872"/>
      <c r="DR66" s="872"/>
      <c r="DS66" s="872"/>
      <c r="DT66" s="872"/>
      <c r="DU66" s="872"/>
      <c r="DV66" s="872"/>
      <c r="DW66" s="872"/>
      <c r="DX66" s="32"/>
    </row>
    <row r="67" spans="1:128" ht="18.75" hidden="1">
      <c r="A67" s="103"/>
      <c r="B67" s="932" t="s">
        <v>76</v>
      </c>
      <c r="C67" s="933"/>
      <c r="D67" s="331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332"/>
      <c r="Q67" s="105"/>
      <c r="R67" s="333"/>
      <c r="S67" s="333"/>
      <c r="T67" s="333"/>
      <c r="U67" s="333"/>
      <c r="V67" s="333"/>
      <c r="W67" s="333"/>
      <c r="X67" s="333"/>
      <c r="Y67" s="333"/>
      <c r="Z67" s="333"/>
      <c r="AA67" s="333"/>
      <c r="AB67" s="333"/>
      <c r="AC67" s="333"/>
      <c r="AD67" s="334"/>
      <c r="AE67" s="106"/>
      <c r="AF67" s="333">
        <f t="shared" ref="AF67:AQ67" si="102">AF66-AF33</f>
        <v>133789.5653258567</v>
      </c>
      <c r="AG67" s="333">
        <f t="shared" si="102"/>
        <v>166455.02546723894</v>
      </c>
      <c r="AH67" s="333">
        <f t="shared" si="102"/>
        <v>149445.54627453614</v>
      </c>
      <c r="AI67" s="333">
        <f t="shared" si="102"/>
        <v>151069.82181047046</v>
      </c>
      <c r="AJ67" s="333">
        <f t="shared" si="102"/>
        <v>192941.24487749056</v>
      </c>
      <c r="AK67" s="333">
        <f t="shared" si="102"/>
        <v>166135.77020296719</v>
      </c>
      <c r="AL67" s="333">
        <f t="shared" si="102"/>
        <v>151871.64243647002</v>
      </c>
      <c r="AM67" s="333">
        <f t="shared" si="102"/>
        <v>157768.8586839418</v>
      </c>
      <c r="AN67" s="333">
        <f t="shared" si="102"/>
        <v>200310.09576397031</v>
      </c>
      <c r="AO67" s="333">
        <f t="shared" si="102"/>
        <v>202687.83135883085</v>
      </c>
      <c r="AP67" s="333">
        <f t="shared" si="102"/>
        <v>207762.85122649223</v>
      </c>
      <c r="AQ67" s="333">
        <f t="shared" si="102"/>
        <v>113282.51926932538</v>
      </c>
      <c r="AR67" s="107">
        <f t="shared" ref="AR67:AR75" si="103">SUM(AF67:AQ67)</f>
        <v>1993520.772697591</v>
      </c>
      <c r="AS67" s="106"/>
      <c r="AT67" s="333">
        <f t="shared" ref="AT67:BE67" si="104">AT66-AT65</f>
        <v>-19510</v>
      </c>
      <c r="AU67" s="333">
        <f t="shared" si="104"/>
        <v>-25359</v>
      </c>
      <c r="AV67" s="333">
        <f t="shared" si="104"/>
        <v>-33907</v>
      </c>
      <c r="AW67" s="333">
        <f t="shared" si="104"/>
        <v>9802</v>
      </c>
      <c r="AX67" s="333">
        <f t="shared" si="104"/>
        <v>2100</v>
      </c>
      <c r="AY67" s="333">
        <f t="shared" si="104"/>
        <v>-73668</v>
      </c>
      <c r="AZ67" s="333">
        <f t="shared" si="104"/>
        <v>-11207</v>
      </c>
      <c r="BA67" s="333">
        <f t="shared" si="104"/>
        <v>-73434</v>
      </c>
      <c r="BB67" s="333">
        <f t="shared" si="104"/>
        <v>-18264.518518518511</v>
      </c>
      <c r="BC67" s="333">
        <f t="shared" si="104"/>
        <v>-33131.222222222219</v>
      </c>
      <c r="BD67" s="333">
        <f t="shared" si="104"/>
        <v>50394.592592592599</v>
      </c>
      <c r="BE67" s="333">
        <f t="shared" si="104"/>
        <v>86709.703703703708</v>
      </c>
      <c r="BF67" s="108">
        <f t="shared" si="78"/>
        <v>-139474.44444444444</v>
      </c>
      <c r="BG67" s="106"/>
      <c r="BH67" s="333">
        <f t="shared" ref="BH67:BQ67" si="105">BH66-BH65</f>
        <v>-77302</v>
      </c>
      <c r="BI67" s="333">
        <f t="shared" si="105"/>
        <v>-28044</v>
      </c>
      <c r="BJ67" s="333">
        <f t="shared" si="105"/>
        <v>-1473</v>
      </c>
      <c r="BK67" s="333">
        <f t="shared" si="105"/>
        <v>-7820</v>
      </c>
      <c r="BL67" s="333">
        <f t="shared" si="105"/>
        <v>29245</v>
      </c>
      <c r="BM67" s="333">
        <f t="shared" si="105"/>
        <v>2306</v>
      </c>
      <c r="BN67" s="333">
        <f t="shared" si="105"/>
        <v>-47961</v>
      </c>
      <c r="BO67" s="333">
        <f t="shared" si="105"/>
        <v>2843.4009269989911</v>
      </c>
      <c r="BP67" s="333">
        <f t="shared" si="105"/>
        <v>-29243.422556971986</v>
      </c>
      <c r="BQ67" s="333">
        <f t="shared" si="105"/>
        <v>-17156.186558516987</v>
      </c>
      <c r="BR67" s="108"/>
      <c r="BS67" s="108"/>
      <c r="BT67" s="108">
        <f t="shared" si="93"/>
        <v>-174605.20818848998</v>
      </c>
      <c r="BU67" s="28"/>
      <c r="BV67" s="333"/>
      <c r="BW67" s="333"/>
      <c r="BX67" s="333"/>
      <c r="BY67" s="333"/>
      <c r="BZ67" s="108"/>
      <c r="CA67" s="108"/>
      <c r="CB67" s="108"/>
      <c r="CC67" s="108"/>
      <c r="CD67" s="108"/>
      <c r="CE67" s="108"/>
      <c r="CF67" s="108"/>
      <c r="CG67" s="108"/>
      <c r="CH67" s="108"/>
      <c r="CJ67" s="333"/>
      <c r="CK67" s="333"/>
      <c r="CL67" s="333"/>
      <c r="CM67" s="333"/>
      <c r="CN67" s="108"/>
      <c r="CO67" s="108"/>
      <c r="CP67" s="108"/>
      <c r="CQ67" s="108"/>
      <c r="CR67" s="108"/>
      <c r="CS67" s="108"/>
      <c r="CT67" s="108"/>
      <c r="CU67" s="108"/>
      <c r="CV67" s="108"/>
      <c r="CW67" s="758"/>
      <c r="CX67" s="892"/>
      <c r="CY67" s="892"/>
      <c r="CZ67" s="892"/>
      <c r="DA67" s="892"/>
      <c r="DB67" s="893"/>
      <c r="DC67" s="893"/>
      <c r="DD67" s="893"/>
      <c r="DE67" s="893"/>
      <c r="DF67" s="893"/>
      <c r="DG67" s="893"/>
      <c r="DH67" s="893"/>
      <c r="DI67" s="893"/>
      <c r="DJ67" s="108"/>
      <c r="DK67" s="948"/>
      <c r="DL67" s="892"/>
      <c r="DM67" s="892"/>
      <c r="DN67" s="892"/>
      <c r="DO67" s="892"/>
      <c r="DP67" s="893"/>
      <c r="DQ67" s="893"/>
      <c r="DR67" s="893"/>
      <c r="DS67" s="893"/>
      <c r="DT67" s="893"/>
      <c r="DU67" s="893"/>
      <c r="DV67" s="893"/>
      <c r="DW67" s="893"/>
      <c r="DX67" s="108"/>
    </row>
    <row r="68" spans="1:128" ht="15.75" hidden="1" customHeight="1">
      <c r="A68" s="94">
        <v>5</v>
      </c>
      <c r="B68" s="921" t="s">
        <v>77</v>
      </c>
      <c r="C68" s="934"/>
      <c r="D68" s="313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>
        <v>0</v>
      </c>
      <c r="P68" s="314">
        <f>SUM(D68:O68)</f>
        <v>0</v>
      </c>
      <c r="Q68" s="90"/>
      <c r="R68" s="313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315">
        <f>SUM(R68:AC68)</f>
        <v>0</v>
      </c>
      <c r="AE68" s="23"/>
      <c r="AF68" s="316">
        <v>0</v>
      </c>
      <c r="AG68" s="91">
        <v>0</v>
      </c>
      <c r="AH68" s="91">
        <v>0</v>
      </c>
      <c r="AI68" s="91">
        <v>0</v>
      </c>
      <c r="AJ68" s="91">
        <v>0</v>
      </c>
      <c r="AK68" s="91">
        <v>0</v>
      </c>
      <c r="AL68" s="91">
        <v>0</v>
      </c>
      <c r="AM68" s="91">
        <v>0</v>
      </c>
      <c r="AN68" s="91">
        <v>0</v>
      </c>
      <c r="AO68" s="91">
        <v>0</v>
      </c>
      <c r="AP68" s="91"/>
      <c r="AQ68" s="91">
        <v>8938</v>
      </c>
      <c r="AR68" s="92">
        <f t="shared" si="103"/>
        <v>8938</v>
      </c>
      <c r="AS68" s="23"/>
      <c r="AT68" s="91">
        <v>106642</v>
      </c>
      <c r="AU68" s="91">
        <v>90699</v>
      </c>
      <c r="AV68" s="91">
        <v>89681</v>
      </c>
      <c r="AW68" s="91">
        <v>58790</v>
      </c>
      <c r="AX68" s="91">
        <v>35520</v>
      </c>
      <c r="AY68" s="91">
        <v>61551</v>
      </c>
      <c r="AZ68" s="91">
        <v>71511</v>
      </c>
      <c r="BA68" s="91">
        <v>63617</v>
      </c>
      <c r="BB68" s="91">
        <v>66748</v>
      </c>
      <c r="BC68" s="91">
        <v>75532</v>
      </c>
      <c r="BD68" s="91">
        <v>37786</v>
      </c>
      <c r="BE68" s="91">
        <v>4503</v>
      </c>
      <c r="BF68" s="91">
        <f t="shared" si="78"/>
        <v>762580</v>
      </c>
      <c r="BG68" s="27"/>
      <c r="BH68" s="91">
        <v>69404</v>
      </c>
      <c r="BI68" s="91">
        <v>80412</v>
      </c>
      <c r="BJ68" s="91">
        <v>94386</v>
      </c>
      <c r="BK68" s="91">
        <v>78313</v>
      </c>
      <c r="BL68" s="91">
        <v>47034</v>
      </c>
      <c r="BM68" s="91">
        <v>50851</v>
      </c>
      <c r="BN68" s="91">
        <v>93202</v>
      </c>
      <c r="BO68" s="91">
        <v>100687</v>
      </c>
      <c r="BP68" s="91">
        <v>127995</v>
      </c>
      <c r="BQ68" s="91">
        <v>122686</v>
      </c>
      <c r="BR68" s="91"/>
      <c r="BS68" s="91"/>
      <c r="BT68" s="91"/>
      <c r="BU68" s="28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758"/>
      <c r="CX68" s="884"/>
      <c r="CY68" s="884"/>
      <c r="CZ68" s="884"/>
      <c r="DA68" s="884"/>
      <c r="DB68" s="884"/>
      <c r="DC68" s="884"/>
      <c r="DD68" s="884"/>
      <c r="DE68" s="884"/>
      <c r="DF68" s="884"/>
      <c r="DG68" s="884"/>
      <c r="DH68" s="884"/>
      <c r="DI68" s="884"/>
      <c r="DJ68" s="91"/>
      <c r="DK68" s="948"/>
      <c r="DL68" s="884"/>
      <c r="DM68" s="884"/>
      <c r="DN68" s="884"/>
      <c r="DO68" s="884"/>
      <c r="DP68" s="884"/>
      <c r="DQ68" s="884"/>
      <c r="DR68" s="884"/>
      <c r="DS68" s="884"/>
      <c r="DT68" s="884"/>
      <c r="DU68" s="884"/>
      <c r="DV68" s="884"/>
      <c r="DW68" s="884"/>
      <c r="DX68" s="91"/>
    </row>
    <row r="69" spans="1:128" ht="18.75" hidden="1">
      <c r="A69" s="13" t="s">
        <v>78</v>
      </c>
      <c r="B69" s="908"/>
      <c r="C69" s="909"/>
      <c r="D69" s="277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262"/>
      <c r="Q69" s="15"/>
      <c r="R69" s="277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263"/>
      <c r="AE69" s="16"/>
      <c r="AF69" s="261">
        <f t="shared" ref="AF69:AQ69" si="106">AF70+AF72</f>
        <v>118364</v>
      </c>
      <c r="AG69" s="261">
        <f t="shared" si="106"/>
        <v>173742</v>
      </c>
      <c r="AH69" s="261">
        <f t="shared" si="106"/>
        <v>73470</v>
      </c>
      <c r="AI69" s="261">
        <f t="shared" si="106"/>
        <v>87377</v>
      </c>
      <c r="AJ69" s="261">
        <f t="shared" si="106"/>
        <v>119657</v>
      </c>
      <c r="AK69" s="261">
        <f t="shared" si="106"/>
        <v>154747</v>
      </c>
      <c r="AL69" s="261">
        <f t="shared" si="106"/>
        <v>138073</v>
      </c>
      <c r="AM69" s="261">
        <f t="shared" si="106"/>
        <v>180773</v>
      </c>
      <c r="AN69" s="261">
        <f t="shared" si="106"/>
        <v>194598</v>
      </c>
      <c r="AO69" s="261">
        <f t="shared" si="106"/>
        <v>242931</v>
      </c>
      <c r="AP69" s="261">
        <f t="shared" si="106"/>
        <v>107346</v>
      </c>
      <c r="AQ69" s="261">
        <f t="shared" si="106"/>
        <v>87384</v>
      </c>
      <c r="AR69" s="14">
        <f t="shared" si="103"/>
        <v>1678462</v>
      </c>
      <c r="AS69" s="17"/>
      <c r="AT69" s="261">
        <f t="shared" ref="AT69:BE69" si="107">AT70+AT72</f>
        <v>155346</v>
      </c>
      <c r="AU69" s="261">
        <f t="shared" si="107"/>
        <v>123370</v>
      </c>
      <c r="AV69" s="261">
        <f t="shared" si="107"/>
        <v>144065</v>
      </c>
      <c r="AW69" s="261">
        <f t="shared" si="107"/>
        <v>127865</v>
      </c>
      <c r="AX69" s="261">
        <f t="shared" si="107"/>
        <v>123461</v>
      </c>
      <c r="AY69" s="261">
        <f t="shared" si="107"/>
        <v>121196</v>
      </c>
      <c r="AZ69" s="261">
        <f t="shared" si="107"/>
        <v>168029</v>
      </c>
      <c r="BA69" s="261">
        <f t="shared" si="107"/>
        <v>164268</v>
      </c>
      <c r="BB69" s="261">
        <f t="shared" si="107"/>
        <v>185112</v>
      </c>
      <c r="BC69" s="261">
        <f t="shared" si="107"/>
        <v>147235</v>
      </c>
      <c r="BD69" s="261">
        <f t="shared" si="107"/>
        <v>135608</v>
      </c>
      <c r="BE69" s="261">
        <f t="shared" si="107"/>
        <v>90194</v>
      </c>
      <c r="BF69" s="32">
        <f t="shared" si="78"/>
        <v>1685749</v>
      </c>
      <c r="BG69" s="35">
        <f t="shared" ref="BG69:BG70" si="108">BF69/AR69-1</f>
        <v>4.3414745165515356E-3</v>
      </c>
      <c r="BH69" s="261">
        <f>BH70+BH72</f>
        <v>144332</v>
      </c>
      <c r="BI69" s="261">
        <f t="shared" ref="BI69:BQ69" si="109">BI70+BI72</f>
        <v>128781</v>
      </c>
      <c r="BJ69" s="261">
        <f t="shared" si="109"/>
        <v>193129</v>
      </c>
      <c r="BK69" s="261">
        <f t="shared" si="109"/>
        <v>106092</v>
      </c>
      <c r="BL69" s="261">
        <f t="shared" si="109"/>
        <v>132638</v>
      </c>
      <c r="BM69" s="261">
        <f t="shared" si="109"/>
        <v>139193</v>
      </c>
      <c r="BN69" s="261">
        <f t="shared" si="109"/>
        <v>173703</v>
      </c>
      <c r="BO69" s="261">
        <f t="shared" si="109"/>
        <v>186902</v>
      </c>
      <c r="BP69" s="261">
        <f t="shared" si="109"/>
        <v>200686</v>
      </c>
      <c r="BQ69" s="261">
        <f t="shared" si="109"/>
        <v>191324</v>
      </c>
      <c r="BR69" s="14"/>
      <c r="BS69" s="14"/>
      <c r="BT69" s="14">
        <f t="shared" ref="BT69:BT74" si="110">SUM(BH69:BS69)</f>
        <v>1596780</v>
      </c>
      <c r="BU69" s="18"/>
      <c r="BV69" s="261"/>
      <c r="BW69" s="261"/>
      <c r="BX69" s="261"/>
      <c r="BY69" s="261"/>
      <c r="BZ69" s="14"/>
      <c r="CA69" s="14"/>
      <c r="CB69" s="14"/>
      <c r="CC69" s="14"/>
      <c r="CD69" s="14"/>
      <c r="CE69" s="14"/>
      <c r="CF69" s="14"/>
      <c r="CG69" s="14"/>
      <c r="CH69" s="14"/>
      <c r="CJ69" s="261">
        <f>CJ70+CJ72</f>
        <v>204853</v>
      </c>
      <c r="CK69" s="261">
        <f t="shared" ref="CK69:CM69" si="111">CK70+CK72</f>
        <v>0</v>
      </c>
      <c r="CL69" s="261">
        <f t="shared" si="111"/>
        <v>0</v>
      </c>
      <c r="CM69" s="261">
        <f t="shared" si="111"/>
        <v>0</v>
      </c>
      <c r="CN69" s="14"/>
      <c r="CO69" s="14"/>
      <c r="CP69" s="14"/>
      <c r="CQ69" s="14"/>
      <c r="CR69" s="14"/>
      <c r="CS69" s="14"/>
      <c r="CT69" s="14"/>
      <c r="CU69" s="14"/>
      <c r="CV69" s="14"/>
      <c r="CW69" s="758"/>
      <c r="CX69" s="874"/>
      <c r="CY69" s="874"/>
      <c r="CZ69" s="874"/>
      <c r="DA69" s="874"/>
      <c r="DB69" s="873"/>
      <c r="DC69" s="873"/>
      <c r="DD69" s="873"/>
      <c r="DE69" s="873"/>
      <c r="DF69" s="873"/>
      <c r="DG69" s="873"/>
      <c r="DH69" s="873"/>
      <c r="DI69" s="873"/>
      <c r="DJ69" s="14"/>
      <c r="DK69" s="948"/>
      <c r="DL69" s="874"/>
      <c r="DM69" s="874"/>
      <c r="DN69" s="874"/>
      <c r="DO69" s="874"/>
      <c r="DP69" s="873"/>
      <c r="DQ69" s="873"/>
      <c r="DR69" s="873"/>
      <c r="DS69" s="873"/>
      <c r="DT69" s="873"/>
      <c r="DU69" s="873"/>
      <c r="DV69" s="873"/>
      <c r="DW69" s="873"/>
      <c r="DX69" s="14"/>
    </row>
    <row r="70" spans="1:128" ht="15.75" hidden="1" customHeight="1">
      <c r="A70" s="210"/>
      <c r="B70" s="921" t="s">
        <v>79</v>
      </c>
      <c r="C70" s="890"/>
      <c r="D70" s="313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314"/>
      <c r="Q70" s="90"/>
      <c r="R70" s="313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315"/>
      <c r="AE70" s="23"/>
      <c r="AF70" s="316">
        <v>92193</v>
      </c>
      <c r="AG70" s="91">
        <v>152006</v>
      </c>
      <c r="AH70" s="91">
        <v>62734</v>
      </c>
      <c r="AI70" s="91">
        <v>71526</v>
      </c>
      <c r="AJ70" s="91">
        <v>89409</v>
      </c>
      <c r="AK70" s="91">
        <v>120675</v>
      </c>
      <c r="AL70" s="91">
        <v>100592</v>
      </c>
      <c r="AM70" s="91">
        <v>148128</v>
      </c>
      <c r="AN70" s="91">
        <v>164346</v>
      </c>
      <c r="AO70" s="91">
        <v>203437</v>
      </c>
      <c r="AP70" s="91">
        <v>64957</v>
      </c>
      <c r="AQ70" s="91">
        <v>31837</v>
      </c>
      <c r="AR70" s="92">
        <f t="shared" si="103"/>
        <v>1301840</v>
      </c>
      <c r="AS70" s="23"/>
      <c r="AT70" s="91">
        <v>125048</v>
      </c>
      <c r="AU70" s="91">
        <v>96006</v>
      </c>
      <c r="AV70" s="91">
        <v>111470</v>
      </c>
      <c r="AW70" s="91">
        <v>99222</v>
      </c>
      <c r="AX70" s="91">
        <v>91253</v>
      </c>
      <c r="AY70" s="91">
        <v>90595</v>
      </c>
      <c r="AZ70" s="91">
        <v>129147</v>
      </c>
      <c r="BA70" s="91">
        <v>133525</v>
      </c>
      <c r="BB70" s="91">
        <v>159291</v>
      </c>
      <c r="BC70" s="91">
        <v>115573</v>
      </c>
      <c r="BD70" s="91">
        <v>98386</v>
      </c>
      <c r="BE70" s="91">
        <v>36527</v>
      </c>
      <c r="BF70" s="91">
        <f t="shared" si="78"/>
        <v>1286043</v>
      </c>
      <c r="BG70" s="93">
        <f t="shared" si="108"/>
        <v>-1.2134363669882631E-2</v>
      </c>
      <c r="BH70" s="91">
        <v>110235</v>
      </c>
      <c r="BI70" s="91">
        <v>103047</v>
      </c>
      <c r="BJ70" s="91">
        <v>158855</v>
      </c>
      <c r="BK70" s="91">
        <v>77254</v>
      </c>
      <c r="BL70" s="91">
        <v>99853</v>
      </c>
      <c r="BM70" s="91">
        <v>100723</v>
      </c>
      <c r="BN70" s="91">
        <v>125338</v>
      </c>
      <c r="BO70" s="91">
        <v>153622</v>
      </c>
      <c r="BP70" s="91">
        <v>166483</v>
      </c>
      <c r="BQ70" s="91">
        <v>156140</v>
      </c>
      <c r="BR70" s="91">
        <v>111391</v>
      </c>
      <c r="BS70" s="91">
        <v>26768</v>
      </c>
      <c r="BT70" s="91">
        <f t="shared" si="110"/>
        <v>1389709</v>
      </c>
      <c r="BU70" s="28"/>
      <c r="BV70" s="91">
        <v>128446</v>
      </c>
      <c r="BW70" s="91">
        <v>119229</v>
      </c>
      <c r="BX70" s="91">
        <v>134860</v>
      </c>
      <c r="BY70" s="91">
        <v>111992</v>
      </c>
      <c r="BZ70" s="91">
        <v>102725</v>
      </c>
      <c r="CA70" s="91">
        <v>74472</v>
      </c>
      <c r="CB70" s="91">
        <v>164045</v>
      </c>
      <c r="CC70" s="91">
        <v>148167</v>
      </c>
      <c r="CD70" s="91">
        <v>189715</v>
      </c>
      <c r="CE70" s="91">
        <v>165488</v>
      </c>
      <c r="CF70" s="91">
        <v>103829</v>
      </c>
      <c r="CG70" s="91">
        <v>39967</v>
      </c>
      <c r="CH70" s="91">
        <f t="shared" ref="CH70:CH73" si="112">SUM(BV70:CG70)</f>
        <v>1482935</v>
      </c>
      <c r="CJ70" s="91">
        <v>167136</v>
      </c>
      <c r="CK70" s="91"/>
      <c r="CL70" s="91"/>
      <c r="CM70" s="91"/>
      <c r="CN70" s="91"/>
      <c r="CO70" s="91"/>
      <c r="CP70" s="91"/>
      <c r="CQ70" s="91"/>
      <c r="CR70" s="91"/>
      <c r="CS70" s="91"/>
      <c r="CT70" s="91"/>
      <c r="CU70" s="91"/>
      <c r="CV70" s="91"/>
      <c r="CW70" s="758"/>
      <c r="CX70" s="884">
        <v>54245</v>
      </c>
      <c r="CY70" s="884"/>
      <c r="CZ70" s="884"/>
      <c r="DA70" s="884"/>
      <c r="DB70" s="884"/>
      <c r="DC70" s="884"/>
      <c r="DD70" s="884"/>
      <c r="DE70" s="884"/>
      <c r="DF70" s="884"/>
      <c r="DG70" s="884"/>
      <c r="DH70" s="884"/>
      <c r="DI70" s="884"/>
      <c r="DJ70" s="91"/>
      <c r="DK70" s="948"/>
      <c r="DL70" s="884">
        <v>54245</v>
      </c>
      <c r="DM70" s="884"/>
      <c r="DN70" s="884"/>
      <c r="DO70" s="884"/>
      <c r="DP70" s="884"/>
      <c r="DQ70" s="884"/>
      <c r="DR70" s="884"/>
      <c r="DS70" s="884"/>
      <c r="DT70" s="884"/>
      <c r="DU70" s="884"/>
      <c r="DV70" s="884"/>
      <c r="DW70" s="884"/>
      <c r="DX70" s="91"/>
    </row>
    <row r="71" spans="1:128" ht="18.75" hidden="1">
      <c r="A71" s="103"/>
      <c r="B71" s="932" t="s">
        <v>80</v>
      </c>
      <c r="C71" s="933"/>
      <c r="D71" s="331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332"/>
      <c r="Q71" s="105"/>
      <c r="R71" s="333"/>
      <c r="S71" s="333"/>
      <c r="T71" s="333"/>
      <c r="U71" s="333"/>
      <c r="V71" s="333"/>
      <c r="W71" s="333"/>
      <c r="X71" s="333"/>
      <c r="Y71" s="333"/>
      <c r="Z71" s="333"/>
      <c r="AA71" s="333"/>
      <c r="AB71" s="333"/>
      <c r="AC71" s="333"/>
      <c r="AD71" s="334"/>
      <c r="AE71" s="106"/>
      <c r="AF71" s="333">
        <f t="shared" ref="AF71:AQ71" si="113">AF70-AF39</f>
        <v>2047</v>
      </c>
      <c r="AG71" s="333">
        <f t="shared" si="113"/>
        <v>-3571</v>
      </c>
      <c r="AH71" s="333">
        <f t="shared" si="113"/>
        <v>-219</v>
      </c>
      <c r="AI71" s="333">
        <f t="shared" si="113"/>
        <v>-1735</v>
      </c>
      <c r="AJ71" s="333">
        <f t="shared" si="113"/>
        <v>-2447</v>
      </c>
      <c r="AK71" s="333">
        <f t="shared" si="113"/>
        <v>675</v>
      </c>
      <c r="AL71" s="333">
        <f t="shared" si="113"/>
        <v>-9703</v>
      </c>
      <c r="AM71" s="333">
        <f t="shared" si="113"/>
        <v>-52075</v>
      </c>
      <c r="AN71" s="333">
        <f t="shared" si="113"/>
        <v>-59487.333333333343</v>
      </c>
      <c r="AO71" s="333">
        <f t="shared" si="113"/>
        <v>-15063</v>
      </c>
      <c r="AP71" s="333">
        <f t="shared" si="113"/>
        <v>-23043</v>
      </c>
      <c r="AQ71" s="333">
        <f t="shared" si="113"/>
        <v>-11563</v>
      </c>
      <c r="AR71" s="107">
        <f t="shared" si="103"/>
        <v>-176184.33333333334</v>
      </c>
      <c r="AS71" s="106"/>
      <c r="AT71" s="333">
        <f t="shared" ref="AT71:BE71" si="114">AT70-AT39</f>
        <v>8451.75</v>
      </c>
      <c r="AU71" s="333">
        <f t="shared" si="114"/>
        <v>-37227.103448275855</v>
      </c>
      <c r="AV71" s="333">
        <f t="shared" si="114"/>
        <v>-6779.1379310344782</v>
      </c>
      <c r="AW71" s="333">
        <f t="shared" si="114"/>
        <v>-22342.137931034478</v>
      </c>
      <c r="AX71" s="333">
        <f t="shared" si="114"/>
        <v>4719.0344827586232</v>
      </c>
      <c r="AY71" s="333">
        <f t="shared" si="114"/>
        <v>-14182.777777777781</v>
      </c>
      <c r="AZ71" s="333">
        <f t="shared" si="114"/>
        <v>-6630.777777777781</v>
      </c>
      <c r="BA71" s="333">
        <f t="shared" si="114"/>
        <v>-77771.296296296292</v>
      </c>
      <c r="BB71" s="333">
        <f t="shared" si="114"/>
        <v>-51486.777777777781</v>
      </c>
      <c r="BC71" s="333">
        <f t="shared" si="114"/>
        <v>-99233.290755657828</v>
      </c>
      <c r="BD71" s="333">
        <f t="shared" si="114"/>
        <v>5175.413118527038</v>
      </c>
      <c r="BE71" s="333">
        <f t="shared" si="114"/>
        <v>5840.3870349060235</v>
      </c>
      <c r="BF71" s="108">
        <f t="shared" si="78"/>
        <v>-291466.71505944064</v>
      </c>
      <c r="BG71" s="106"/>
      <c r="BH71" s="333">
        <f t="shared" ref="BH71:BQ71" si="115">BH70-BH36</f>
        <v>-6365</v>
      </c>
      <c r="BI71" s="333">
        <f t="shared" si="115"/>
        <v>-8486.3333333333285</v>
      </c>
      <c r="BJ71" s="333">
        <f t="shared" si="115"/>
        <v>23180.925925925927</v>
      </c>
      <c r="BK71" s="333">
        <f t="shared" si="115"/>
        <v>-44486.740740740745</v>
      </c>
      <c r="BL71" s="333">
        <f t="shared" si="115"/>
        <v>5926.148148148146</v>
      </c>
      <c r="BM71" s="333">
        <f t="shared" si="115"/>
        <v>10043.740740740745</v>
      </c>
      <c r="BN71" s="333">
        <f t="shared" si="115"/>
        <v>-4917.555555555562</v>
      </c>
      <c r="BO71" s="333">
        <f t="shared" si="115"/>
        <v>3071.6218888889125</v>
      </c>
      <c r="BP71" s="333">
        <f t="shared" si="115"/>
        <v>4652.2504629629548</v>
      </c>
      <c r="BQ71" s="333">
        <f t="shared" si="115"/>
        <v>29010</v>
      </c>
      <c r="BR71" s="108"/>
      <c r="BS71" s="108"/>
      <c r="BT71" s="108">
        <f t="shared" si="110"/>
        <v>11629.05753703705</v>
      </c>
      <c r="BU71" s="28"/>
      <c r="BV71" s="333">
        <v>124435</v>
      </c>
      <c r="BW71" s="333">
        <v>117564</v>
      </c>
      <c r="BX71" s="333">
        <v>133262</v>
      </c>
      <c r="BY71" s="333">
        <v>110312</v>
      </c>
      <c r="BZ71" s="108">
        <v>101441</v>
      </c>
      <c r="CA71" s="108">
        <v>67535</v>
      </c>
      <c r="CB71" s="108">
        <v>155594</v>
      </c>
      <c r="CC71" s="108"/>
      <c r="CD71" s="108"/>
      <c r="CE71" s="108"/>
      <c r="CF71" s="108"/>
      <c r="CG71" s="108"/>
      <c r="CH71" s="108">
        <f t="shared" si="112"/>
        <v>810143</v>
      </c>
      <c r="CJ71" s="333">
        <v>159683</v>
      </c>
      <c r="CK71" s="333">
        <v>182683</v>
      </c>
      <c r="CL71" s="333">
        <v>137562</v>
      </c>
      <c r="CM71" s="333">
        <v>131937</v>
      </c>
      <c r="CN71" s="108"/>
      <c r="CO71" s="108"/>
      <c r="CP71" s="108"/>
      <c r="CQ71" s="108"/>
      <c r="CR71" s="108"/>
      <c r="CS71" s="108"/>
      <c r="CT71" s="108"/>
      <c r="CU71" s="108"/>
      <c r="CV71" s="108"/>
      <c r="CW71" s="758"/>
      <c r="CX71" s="892"/>
      <c r="CY71" s="892"/>
      <c r="CZ71" s="892"/>
      <c r="DA71" s="892"/>
      <c r="DB71" s="893"/>
      <c r="DC71" s="893"/>
      <c r="DD71" s="893"/>
      <c r="DE71" s="893"/>
      <c r="DF71" s="893"/>
      <c r="DG71" s="893"/>
      <c r="DH71" s="893"/>
      <c r="DI71" s="893"/>
      <c r="DJ71" s="108"/>
      <c r="DK71" s="948"/>
      <c r="DL71" s="892"/>
      <c r="DM71" s="892"/>
      <c r="DN71" s="892"/>
      <c r="DO71" s="892"/>
      <c r="DP71" s="893"/>
      <c r="DQ71" s="893"/>
      <c r="DR71" s="893"/>
      <c r="DS71" s="893"/>
      <c r="DT71" s="893"/>
      <c r="DU71" s="893"/>
      <c r="DV71" s="893"/>
      <c r="DW71" s="893"/>
      <c r="DX71" s="108"/>
    </row>
    <row r="72" spans="1:128" ht="15.75" hidden="1" customHeight="1">
      <c r="A72" s="94"/>
      <c r="B72" s="935" t="s">
        <v>81</v>
      </c>
      <c r="C72" s="934"/>
      <c r="D72" s="313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314"/>
      <c r="Q72" s="90"/>
      <c r="R72" s="316"/>
      <c r="S72" s="316"/>
      <c r="T72" s="316"/>
      <c r="U72" s="316"/>
      <c r="V72" s="316"/>
      <c r="W72" s="316"/>
      <c r="X72" s="316"/>
      <c r="Y72" s="316"/>
      <c r="Z72" s="316"/>
      <c r="AA72" s="316"/>
      <c r="AB72" s="316"/>
      <c r="AC72" s="316"/>
      <c r="AD72" s="315"/>
      <c r="AE72" s="23"/>
      <c r="AF72" s="316">
        <v>26171</v>
      </c>
      <c r="AG72" s="316">
        <v>21736</v>
      </c>
      <c r="AH72" s="316">
        <v>10736</v>
      </c>
      <c r="AI72" s="316">
        <v>15851</v>
      </c>
      <c r="AJ72" s="316">
        <v>30248</v>
      </c>
      <c r="AK72" s="316">
        <v>34072</v>
      </c>
      <c r="AL72" s="316">
        <v>37481</v>
      </c>
      <c r="AM72" s="91">
        <v>32645</v>
      </c>
      <c r="AN72" s="91">
        <v>30252</v>
      </c>
      <c r="AO72" s="91">
        <v>39494</v>
      </c>
      <c r="AP72" s="91">
        <v>42389</v>
      </c>
      <c r="AQ72" s="91">
        <v>55547</v>
      </c>
      <c r="AR72" s="92">
        <f t="shared" si="103"/>
        <v>376622</v>
      </c>
      <c r="AS72" s="23"/>
      <c r="AT72" s="91">
        <v>30298</v>
      </c>
      <c r="AU72" s="91">
        <v>27364</v>
      </c>
      <c r="AV72" s="91">
        <v>32595</v>
      </c>
      <c r="AW72" s="91">
        <v>28643</v>
      </c>
      <c r="AX72" s="91">
        <v>32208</v>
      </c>
      <c r="AY72" s="91">
        <v>30601</v>
      </c>
      <c r="AZ72" s="91">
        <v>38882</v>
      </c>
      <c r="BA72" s="91">
        <v>30743</v>
      </c>
      <c r="BB72" s="91">
        <f>24621+1200</f>
        <v>25821</v>
      </c>
      <c r="BC72" s="91">
        <v>31662</v>
      </c>
      <c r="BD72" s="91">
        <v>37222</v>
      </c>
      <c r="BE72" s="91">
        <v>53667</v>
      </c>
      <c r="BF72" s="91">
        <f t="shared" si="78"/>
        <v>399706</v>
      </c>
      <c r="BG72" s="93">
        <f>BF72/AR72-1</f>
        <v>6.1292224033646425E-2</v>
      </c>
      <c r="BH72" s="91">
        <v>34097</v>
      </c>
      <c r="BI72" s="91">
        <v>25734</v>
      </c>
      <c r="BJ72" s="91">
        <v>34274</v>
      </c>
      <c r="BK72" s="91">
        <v>28838</v>
      </c>
      <c r="BL72" s="91">
        <v>32785</v>
      </c>
      <c r="BM72" s="91">
        <v>38470</v>
      </c>
      <c r="BN72" s="91">
        <v>48365</v>
      </c>
      <c r="BO72" s="91">
        <v>33280</v>
      </c>
      <c r="BP72" s="91">
        <v>34203</v>
      </c>
      <c r="BQ72" s="91">
        <v>35184</v>
      </c>
      <c r="BR72" s="91">
        <v>34873</v>
      </c>
      <c r="BS72" s="91">
        <v>48960</v>
      </c>
      <c r="BT72" s="91">
        <f t="shared" si="110"/>
        <v>429063</v>
      </c>
      <c r="BU72" s="28"/>
      <c r="BV72" s="91">
        <v>38900</v>
      </c>
      <c r="BW72" s="91">
        <v>31376</v>
      </c>
      <c r="BX72" s="91">
        <v>29886</v>
      </c>
      <c r="BY72" s="91">
        <v>30671</v>
      </c>
      <c r="BZ72" s="91">
        <v>34553</v>
      </c>
      <c r="CA72" s="91">
        <v>36515</v>
      </c>
      <c r="CB72" s="91">
        <v>38915</v>
      </c>
      <c r="CC72" s="91">
        <v>34615</v>
      </c>
      <c r="CD72" s="91">
        <v>29617</v>
      </c>
      <c r="CE72" s="91">
        <v>34538</v>
      </c>
      <c r="CF72" s="91">
        <v>45914</v>
      </c>
      <c r="CG72" s="91">
        <v>60875</v>
      </c>
      <c r="CH72" s="91">
        <f t="shared" si="112"/>
        <v>446375</v>
      </c>
      <c r="CJ72" s="91">
        <v>37717</v>
      </c>
      <c r="CK72" s="91"/>
      <c r="CL72" s="91"/>
      <c r="CM72" s="91"/>
      <c r="CN72" s="91"/>
      <c r="CO72" s="91"/>
      <c r="CP72" s="91"/>
      <c r="CQ72" s="91"/>
      <c r="CR72" s="91"/>
      <c r="CS72" s="91"/>
      <c r="CT72" s="91"/>
      <c r="CU72" s="91"/>
      <c r="CV72" s="91"/>
      <c r="CW72" s="758"/>
      <c r="CX72" s="884">
        <v>22115</v>
      </c>
      <c r="CY72" s="884"/>
      <c r="CZ72" s="884"/>
      <c r="DA72" s="884"/>
      <c r="DB72" s="884"/>
      <c r="DC72" s="884"/>
      <c r="DD72" s="884"/>
      <c r="DE72" s="884"/>
      <c r="DF72" s="884"/>
      <c r="DG72" s="884"/>
      <c r="DH72" s="884"/>
      <c r="DI72" s="884"/>
      <c r="DJ72" s="91"/>
      <c r="DK72" s="948"/>
      <c r="DL72" s="884">
        <v>22115</v>
      </c>
      <c r="DM72" s="884"/>
      <c r="DN72" s="884"/>
      <c r="DO72" s="884"/>
      <c r="DP72" s="884"/>
      <c r="DQ72" s="884"/>
      <c r="DR72" s="884"/>
      <c r="DS72" s="884"/>
      <c r="DT72" s="884"/>
      <c r="DU72" s="884"/>
      <c r="DV72" s="884"/>
      <c r="DW72" s="884"/>
      <c r="DX72" s="91"/>
    </row>
    <row r="73" spans="1:128" ht="18.75">
      <c r="A73" s="103"/>
      <c r="B73" s="1063" t="s">
        <v>176</v>
      </c>
      <c r="C73" s="933"/>
      <c r="D73" s="331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332"/>
      <c r="Q73" s="105"/>
      <c r="R73" s="333"/>
      <c r="S73" s="333"/>
      <c r="T73" s="333"/>
      <c r="U73" s="333"/>
      <c r="V73" s="333"/>
      <c r="W73" s="333"/>
      <c r="X73" s="333"/>
      <c r="Y73" s="333"/>
      <c r="Z73" s="333"/>
      <c r="AA73" s="333"/>
      <c r="AB73" s="333"/>
      <c r="AC73" s="333"/>
      <c r="AD73" s="334"/>
      <c r="AE73" s="106"/>
      <c r="AF73" s="333">
        <f t="shared" ref="AF73:AQ73" si="116">AF72-AF63</f>
        <v>-12329</v>
      </c>
      <c r="AG73" s="333">
        <f t="shared" si="116"/>
        <v>-664</v>
      </c>
      <c r="AH73" s="333">
        <f t="shared" si="116"/>
        <v>65</v>
      </c>
      <c r="AI73" s="333">
        <f t="shared" si="116"/>
        <v>-246</v>
      </c>
      <c r="AJ73" s="333">
        <f t="shared" si="116"/>
        <v>-30</v>
      </c>
      <c r="AK73" s="333">
        <f t="shared" si="116"/>
        <v>5512</v>
      </c>
      <c r="AL73" s="333">
        <f t="shared" si="116"/>
        <v>-4219</v>
      </c>
      <c r="AM73" s="333">
        <f t="shared" si="116"/>
        <v>-6055</v>
      </c>
      <c r="AN73" s="333">
        <f t="shared" si="116"/>
        <v>-7048</v>
      </c>
      <c r="AO73" s="333">
        <f t="shared" si="116"/>
        <v>2094</v>
      </c>
      <c r="AP73" s="333">
        <f t="shared" si="116"/>
        <v>1749</v>
      </c>
      <c r="AQ73" s="333">
        <f t="shared" si="116"/>
        <v>1107</v>
      </c>
      <c r="AR73" s="107">
        <f t="shared" si="103"/>
        <v>-20064</v>
      </c>
      <c r="AS73" s="106"/>
      <c r="AT73" s="333">
        <f t="shared" ref="AT73:BE73" si="117">AT72-AT63</f>
        <v>-5855</v>
      </c>
      <c r="AU73" s="333">
        <f t="shared" si="117"/>
        <v>-7925</v>
      </c>
      <c r="AV73" s="333">
        <f t="shared" si="117"/>
        <v>-3277</v>
      </c>
      <c r="AW73" s="333">
        <f t="shared" si="117"/>
        <v>-9388</v>
      </c>
      <c r="AX73" s="333">
        <f t="shared" si="117"/>
        <v>-1358</v>
      </c>
      <c r="AY73" s="333">
        <f t="shared" si="117"/>
        <v>-2965</v>
      </c>
      <c r="AZ73" s="333">
        <f t="shared" si="117"/>
        <v>7986</v>
      </c>
      <c r="BA73" s="333">
        <f t="shared" si="117"/>
        <v>-403</v>
      </c>
      <c r="BB73" s="333">
        <f t="shared" si="117"/>
        <v>-6809</v>
      </c>
      <c r="BC73" s="333">
        <f t="shared" si="117"/>
        <v>-6900</v>
      </c>
      <c r="BD73" s="333">
        <f t="shared" si="117"/>
        <v>-4123</v>
      </c>
      <c r="BE73" s="333">
        <f t="shared" si="117"/>
        <v>4404</v>
      </c>
      <c r="BF73" s="108">
        <f t="shared" si="78"/>
        <v>-36613</v>
      </c>
      <c r="BG73" s="106"/>
      <c r="BH73" s="333">
        <f t="shared" ref="BH73:BQ73" si="118">BH72-BH63</f>
        <v>-2056</v>
      </c>
      <c r="BI73" s="333">
        <f t="shared" si="118"/>
        <v>-9555</v>
      </c>
      <c r="BJ73" s="333">
        <f t="shared" si="118"/>
        <v>-1598</v>
      </c>
      <c r="BK73" s="333">
        <f t="shared" si="118"/>
        <v>-9193</v>
      </c>
      <c r="BL73" s="333">
        <f t="shared" si="118"/>
        <v>-5785</v>
      </c>
      <c r="BM73" s="333">
        <f t="shared" si="118"/>
        <v>-757</v>
      </c>
      <c r="BN73" s="333">
        <f t="shared" si="118"/>
        <v>7237</v>
      </c>
      <c r="BO73" s="333">
        <f t="shared" si="118"/>
        <v>-4911</v>
      </c>
      <c r="BP73" s="333">
        <f t="shared" si="118"/>
        <v>-3988</v>
      </c>
      <c r="BQ73" s="333">
        <f t="shared" si="118"/>
        <v>-5041</v>
      </c>
      <c r="BR73" s="108"/>
      <c r="BS73" s="108"/>
      <c r="BT73" s="108">
        <f t="shared" si="110"/>
        <v>-35647</v>
      </c>
      <c r="BU73" s="28"/>
      <c r="BV73" s="333">
        <v>27740</v>
      </c>
      <c r="BW73" s="333">
        <v>23272</v>
      </c>
      <c r="BX73" s="333">
        <v>24576</v>
      </c>
      <c r="BY73" s="108">
        <v>26006</v>
      </c>
      <c r="BZ73" s="108">
        <v>30640</v>
      </c>
      <c r="CA73" s="108">
        <v>30640</v>
      </c>
      <c r="CB73" s="108">
        <v>29618</v>
      </c>
      <c r="CC73" s="108">
        <v>29686</v>
      </c>
      <c r="CD73" s="108">
        <v>29993</v>
      </c>
      <c r="CE73" s="108">
        <v>31540</v>
      </c>
      <c r="CF73" s="108">
        <v>38086</v>
      </c>
      <c r="CG73" s="108">
        <v>54003</v>
      </c>
      <c r="CH73" s="108">
        <f t="shared" si="112"/>
        <v>375800</v>
      </c>
      <c r="CJ73" s="333">
        <f>BV73*1.03</f>
        <v>28572.2</v>
      </c>
      <c r="CK73" s="333">
        <f>BW73*1.03</f>
        <v>23970.16</v>
      </c>
      <c r="CL73" s="333">
        <f t="shared" ref="CL73:CT73" si="119">BX73*1.03</f>
        <v>25313.279999999999</v>
      </c>
      <c r="CM73" s="333">
        <v>29046</v>
      </c>
      <c r="CN73" s="333">
        <f t="shared" si="119"/>
        <v>31559.200000000001</v>
      </c>
      <c r="CO73" s="333">
        <f t="shared" si="119"/>
        <v>31559.200000000001</v>
      </c>
      <c r="CP73" s="333">
        <f t="shared" si="119"/>
        <v>30506.54</v>
      </c>
      <c r="CQ73" s="333">
        <f t="shared" si="119"/>
        <v>30576.58</v>
      </c>
      <c r="CR73" s="333">
        <f t="shared" si="119"/>
        <v>30892.79</v>
      </c>
      <c r="CS73" s="333">
        <f t="shared" si="119"/>
        <v>32486.2</v>
      </c>
      <c r="CT73" s="333">
        <f t="shared" si="119"/>
        <v>39228.58</v>
      </c>
      <c r="CU73" s="333">
        <v>45000</v>
      </c>
      <c r="CV73" s="108">
        <f>SUM(CJ73:CU73)</f>
        <v>378710.73000000004</v>
      </c>
      <c r="CW73" s="758"/>
      <c r="CX73" s="892">
        <v>24000</v>
      </c>
      <c r="CY73" s="892">
        <v>21000</v>
      </c>
      <c r="CZ73" s="892">
        <v>24000</v>
      </c>
      <c r="DA73" s="892">
        <v>23000</v>
      </c>
      <c r="DB73" s="892">
        <v>25000</v>
      </c>
      <c r="DC73" s="892">
        <v>24000</v>
      </c>
      <c r="DD73" s="892">
        <f t="shared" ref="DD73:DI73" si="120">CP73</f>
        <v>30506.54</v>
      </c>
      <c r="DE73" s="892">
        <f t="shared" si="120"/>
        <v>30576.58</v>
      </c>
      <c r="DF73" s="892">
        <f t="shared" si="120"/>
        <v>30892.79</v>
      </c>
      <c r="DG73" s="892">
        <f>CS73</f>
        <v>32486.2</v>
      </c>
      <c r="DH73" s="892">
        <f t="shared" si="120"/>
        <v>39228.58</v>
      </c>
      <c r="DI73" s="892">
        <f t="shared" si="120"/>
        <v>45000</v>
      </c>
      <c r="DJ73" s="108">
        <f>SUM(CX73:DI73)</f>
        <v>349690.69</v>
      </c>
      <c r="DK73" s="948"/>
      <c r="DL73" s="892">
        <f>CX73*1</f>
        <v>24000</v>
      </c>
      <c r="DM73" s="892">
        <f t="shared" ref="DM73:DW73" si="121">CY73*1</f>
        <v>21000</v>
      </c>
      <c r="DN73" s="892">
        <f t="shared" si="121"/>
        <v>24000</v>
      </c>
      <c r="DO73" s="892">
        <f t="shared" si="121"/>
        <v>23000</v>
      </c>
      <c r="DP73" s="892">
        <f t="shared" si="121"/>
        <v>25000</v>
      </c>
      <c r="DQ73" s="892">
        <f t="shared" si="121"/>
        <v>24000</v>
      </c>
      <c r="DR73" s="892">
        <f t="shared" si="121"/>
        <v>30506.54</v>
      </c>
      <c r="DS73" s="892">
        <f t="shared" si="121"/>
        <v>30576.58</v>
      </c>
      <c r="DT73" s="892">
        <f t="shared" si="121"/>
        <v>30892.79</v>
      </c>
      <c r="DU73" s="892">
        <f t="shared" si="121"/>
        <v>32486.2</v>
      </c>
      <c r="DV73" s="892">
        <f t="shared" si="121"/>
        <v>39228.58</v>
      </c>
      <c r="DW73" s="892">
        <f t="shared" si="121"/>
        <v>45000</v>
      </c>
      <c r="DX73" s="108">
        <f>SUM(DL73:DW73)</f>
        <v>349690.69</v>
      </c>
    </row>
    <row r="74" spans="1:128" ht="18.75" hidden="1">
      <c r="A74" s="103" t="s">
        <v>83</v>
      </c>
      <c r="B74" s="932" t="s">
        <v>84</v>
      </c>
      <c r="C74" s="933"/>
      <c r="D74" s="331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332"/>
      <c r="Q74" s="105"/>
      <c r="R74" s="333"/>
      <c r="S74" s="333"/>
      <c r="T74" s="333"/>
      <c r="U74" s="333"/>
      <c r="V74" s="333"/>
      <c r="W74" s="333"/>
      <c r="X74" s="333"/>
      <c r="Y74" s="333"/>
      <c r="Z74" s="333"/>
      <c r="AA74" s="333"/>
      <c r="AB74" s="333"/>
      <c r="AC74" s="333"/>
      <c r="AD74" s="334"/>
      <c r="AE74" s="106"/>
      <c r="AF74" s="333">
        <f>AF69-AF35</f>
        <v>-10282</v>
      </c>
      <c r="AG74" s="333">
        <f>AG69-AG35</f>
        <v>-4235</v>
      </c>
      <c r="AH74" s="333">
        <f>AH69-AH35</f>
        <v>-154</v>
      </c>
      <c r="AI74" s="333">
        <f>AI69-AI35</f>
        <v>-1981</v>
      </c>
      <c r="AJ74" s="333">
        <f>AJ69-AJ35</f>
        <v>-2477</v>
      </c>
      <c r="AK74" s="333">
        <f>AK69-AK35</f>
        <v>6187</v>
      </c>
      <c r="AL74" s="333">
        <f>AL69-AL35</f>
        <v>-13922</v>
      </c>
      <c r="AM74" s="333">
        <f>AM69-AM35</f>
        <v>-58130</v>
      </c>
      <c r="AN74" s="333">
        <f>AN69-AN35</f>
        <v>-66535.333333333343</v>
      </c>
      <c r="AO74" s="333">
        <f>AO69-AO35</f>
        <v>-12969</v>
      </c>
      <c r="AP74" s="333">
        <f>AP69-AP35</f>
        <v>-21294</v>
      </c>
      <c r="AQ74" s="333">
        <f>AQ69-AQ35</f>
        <v>-10456</v>
      </c>
      <c r="AR74" s="107">
        <f t="shared" si="103"/>
        <v>-196248.33333333334</v>
      </c>
      <c r="AS74" s="106"/>
      <c r="AT74" s="333">
        <f t="shared" ref="AT74:BE74" si="122">AT69-AT35</f>
        <v>2596.75</v>
      </c>
      <c r="AU74" s="333">
        <f t="shared" si="122"/>
        <v>-45152.103448275855</v>
      </c>
      <c r="AV74" s="333">
        <f t="shared" si="122"/>
        <v>-10056.137931034493</v>
      </c>
      <c r="AW74" s="333">
        <f t="shared" si="122"/>
        <v>-31730.137931034493</v>
      </c>
      <c r="AX74" s="333">
        <f t="shared" si="122"/>
        <v>3361.0344827586232</v>
      </c>
      <c r="AY74" s="333">
        <f t="shared" si="122"/>
        <v>-17147.777777777781</v>
      </c>
      <c r="AZ74" s="333">
        <f t="shared" si="122"/>
        <v>1355.222222222219</v>
      </c>
      <c r="BA74" s="333">
        <f t="shared" si="122"/>
        <v>-78174.296296296292</v>
      </c>
      <c r="BB74" s="333">
        <f t="shared" si="122"/>
        <v>-58295.777777777781</v>
      </c>
      <c r="BC74" s="333">
        <f t="shared" si="122"/>
        <v>-106133.29075565783</v>
      </c>
      <c r="BD74" s="333">
        <f t="shared" si="122"/>
        <v>1052.413118527038</v>
      </c>
      <c r="BE74" s="333">
        <f t="shared" si="122"/>
        <v>17507.387034906016</v>
      </c>
      <c r="BF74" s="108">
        <f t="shared" si="78"/>
        <v>-320816.71505944064</v>
      </c>
      <c r="BG74" s="106"/>
      <c r="BH74" s="333">
        <f t="shared" ref="BH74:BQ74" si="123">BH69-BH35</f>
        <v>-8421</v>
      </c>
      <c r="BI74" s="333">
        <f t="shared" si="123"/>
        <v>-18041.333333333314</v>
      </c>
      <c r="BJ74" s="333">
        <f t="shared" si="123"/>
        <v>21582.925925925927</v>
      </c>
      <c r="BK74" s="333">
        <f t="shared" si="123"/>
        <v>-53679.74074074073</v>
      </c>
      <c r="BL74" s="333">
        <f t="shared" si="123"/>
        <v>141.14814814814599</v>
      </c>
      <c r="BM74" s="333">
        <f t="shared" si="123"/>
        <v>9286.7407407407445</v>
      </c>
      <c r="BN74" s="333">
        <f t="shared" si="123"/>
        <v>2319.444444444438</v>
      </c>
      <c r="BO74" s="333">
        <f t="shared" si="123"/>
        <v>7351.6218888889125</v>
      </c>
      <c r="BP74" s="333">
        <f t="shared" si="123"/>
        <v>-1367.7495370370452</v>
      </c>
      <c r="BQ74" s="333">
        <f t="shared" si="123"/>
        <v>27459</v>
      </c>
      <c r="BR74" s="108"/>
      <c r="BS74" s="108"/>
      <c r="BT74" s="108">
        <f t="shared" si="110"/>
        <v>-13368.942462962921</v>
      </c>
      <c r="BU74" s="28"/>
      <c r="BV74" s="333"/>
      <c r="BW74" s="333"/>
      <c r="BX74" s="333"/>
      <c r="BY74" s="333"/>
      <c r="BZ74" s="108"/>
      <c r="CA74" s="108"/>
      <c r="CB74" s="108">
        <f>CB73+CB70</f>
        <v>193663</v>
      </c>
      <c r="CC74" s="108">
        <f>CC73+CC70</f>
        <v>177853</v>
      </c>
      <c r="CD74" s="108">
        <f t="shared" ref="CD74:CH74" si="124">CD73+CD70</f>
        <v>219708</v>
      </c>
      <c r="CE74" s="108">
        <f t="shared" si="124"/>
        <v>197028</v>
      </c>
      <c r="CF74" s="108">
        <f t="shared" si="124"/>
        <v>141915</v>
      </c>
      <c r="CG74" s="108">
        <f t="shared" si="124"/>
        <v>93970</v>
      </c>
      <c r="CH74" s="108"/>
      <c r="CJ74" s="333">
        <v>27785</v>
      </c>
      <c r="CK74" s="333">
        <v>23447</v>
      </c>
      <c r="CL74" s="333">
        <v>26944</v>
      </c>
      <c r="CM74" s="333"/>
      <c r="CN74" s="108"/>
      <c r="CO74" s="108"/>
      <c r="CP74" s="108"/>
      <c r="CQ74" s="108"/>
      <c r="CR74" s="108"/>
      <c r="CS74" s="108"/>
      <c r="CT74" s="108"/>
      <c r="CU74" s="108"/>
      <c r="CV74" s="108"/>
      <c r="CW74" s="758"/>
      <c r="CX74" s="892"/>
      <c r="CY74" s="892"/>
      <c r="CZ74" s="892"/>
      <c r="DA74" s="892"/>
      <c r="DB74" s="893"/>
      <c r="DC74" s="893"/>
      <c r="DD74" s="893"/>
      <c r="DE74" s="893"/>
      <c r="DF74" s="893"/>
      <c r="DG74" s="893"/>
      <c r="DH74" s="893"/>
      <c r="DI74" s="893"/>
      <c r="DJ74" s="108"/>
      <c r="DK74" s="948"/>
      <c r="DL74" s="892"/>
      <c r="DM74" s="892"/>
      <c r="DN74" s="892"/>
      <c r="DO74" s="892"/>
      <c r="DP74" s="893"/>
      <c r="DQ74" s="893"/>
      <c r="DR74" s="893"/>
      <c r="DS74" s="893"/>
      <c r="DT74" s="893"/>
      <c r="DU74" s="893"/>
      <c r="DV74" s="893"/>
      <c r="DW74" s="893"/>
      <c r="DX74" s="108"/>
    </row>
    <row r="75" spans="1:128" ht="18.75" hidden="1">
      <c r="A75" s="103" t="s">
        <v>85</v>
      </c>
      <c r="B75" s="932"/>
      <c r="C75" s="933"/>
      <c r="D75" s="331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332"/>
      <c r="Q75" s="105"/>
      <c r="R75" s="333"/>
      <c r="S75" s="333"/>
      <c r="T75" s="333"/>
      <c r="U75" s="333"/>
      <c r="V75" s="333"/>
      <c r="W75" s="333"/>
      <c r="X75" s="333"/>
      <c r="Y75" s="333"/>
      <c r="Z75" s="333"/>
      <c r="AA75" s="333"/>
      <c r="AB75" s="333"/>
      <c r="AC75" s="333"/>
      <c r="AD75" s="334"/>
      <c r="AE75" s="106"/>
      <c r="AF75" s="333">
        <f>AF70-AF36</f>
        <v>92193</v>
      </c>
      <c r="AG75" s="333">
        <f>AG70-AG36</f>
        <v>152006</v>
      </c>
      <c r="AH75" s="333">
        <f>AH70-AH36</f>
        <v>62734</v>
      </c>
      <c r="AI75" s="333">
        <f>AI70-AI36</f>
        <v>71526</v>
      </c>
      <c r="AJ75" s="333">
        <f>AJ70-AJ36</f>
        <v>89409</v>
      </c>
      <c r="AK75" s="333">
        <f>AK70-AK36</f>
        <v>120675</v>
      </c>
      <c r="AL75" s="333">
        <f>AL70-AL36</f>
        <v>100592</v>
      </c>
      <c r="AM75" s="333">
        <f>AM70-AM36</f>
        <v>148128</v>
      </c>
      <c r="AN75" s="333">
        <f>AN70-AN36</f>
        <v>164346</v>
      </c>
      <c r="AO75" s="333">
        <f>AO70-AO36</f>
        <v>203437</v>
      </c>
      <c r="AP75" s="333">
        <f>AP70-AP36</f>
        <v>64957</v>
      </c>
      <c r="AQ75" s="333">
        <f>AQ70-AQ36</f>
        <v>31837</v>
      </c>
      <c r="AR75" s="107">
        <f t="shared" si="103"/>
        <v>1301840</v>
      </c>
      <c r="AS75" s="106"/>
      <c r="AT75" s="338">
        <f t="shared" ref="AT75:BE75" si="125">AT74/AT35</f>
        <v>1.7000083470131603E-2</v>
      </c>
      <c r="AU75" s="338">
        <f t="shared" si="125"/>
        <v>-0.26792985919579565</v>
      </c>
      <c r="AV75" s="338">
        <f t="shared" si="125"/>
        <v>-6.5248272015318062E-2</v>
      </c>
      <c r="AW75" s="338">
        <f t="shared" si="125"/>
        <v>-0.19881644480138216</v>
      </c>
      <c r="AX75" s="338">
        <f t="shared" si="125"/>
        <v>2.798530764170884E-2</v>
      </c>
      <c r="AY75" s="338">
        <f t="shared" si="125"/>
        <v>-0.12395048084722922</v>
      </c>
      <c r="AZ75" s="338">
        <f t="shared" si="125"/>
        <v>8.1309864112464342E-3</v>
      </c>
      <c r="BA75" s="338">
        <f t="shared" si="125"/>
        <v>-0.32244495902957893</v>
      </c>
      <c r="BB75" s="338">
        <f t="shared" si="125"/>
        <v>-0.23949841829212068</v>
      </c>
      <c r="BC75" s="338">
        <f t="shared" si="125"/>
        <v>-0.41888939787658819</v>
      </c>
      <c r="BD75" s="338">
        <f t="shared" si="125"/>
        <v>7.8214003811977375E-3</v>
      </c>
      <c r="BE75" s="338">
        <f t="shared" si="125"/>
        <v>0.24086123043473662</v>
      </c>
      <c r="BF75" s="109">
        <f>AVERAGE(AT75:BE75)</f>
        <v>-0.11124823530991597</v>
      </c>
      <c r="BG75" s="106"/>
      <c r="BH75" s="338">
        <f t="shared" ref="BH75:BQ75" si="126">BH74/BH35</f>
        <v>-5.512821352117471E-2</v>
      </c>
      <c r="BI75" s="338">
        <f t="shared" si="126"/>
        <v>-0.12287867195499311</v>
      </c>
      <c r="BJ75" s="338">
        <f t="shared" si="126"/>
        <v>0.12581416416796784</v>
      </c>
      <c r="BK75" s="338">
        <f t="shared" si="126"/>
        <v>-0.33597769224938256</v>
      </c>
      <c r="BL75" s="338">
        <f t="shared" si="126"/>
        <v>1.0652943536044719E-3</v>
      </c>
      <c r="BM75" s="338">
        <f t="shared" si="126"/>
        <v>7.1488016002422286E-2</v>
      </c>
      <c r="BN75" s="338">
        <f t="shared" si="126"/>
        <v>1.3533646427895287E-2</v>
      </c>
      <c r="BO75" s="338">
        <f t="shared" si="126"/>
        <v>4.0944619366602007E-2</v>
      </c>
      <c r="BP75" s="338">
        <f t="shared" si="126"/>
        <v>-6.7692361075750926E-3</v>
      </c>
      <c r="BQ75" s="338">
        <f t="shared" si="126"/>
        <v>0.16757086626186191</v>
      </c>
      <c r="BR75" s="109"/>
      <c r="BS75" s="109"/>
      <c r="BT75" s="338">
        <f>BT74/BT35</f>
        <v>-7.1185036907011742E-3</v>
      </c>
      <c r="BU75" s="54"/>
      <c r="BV75" s="338"/>
      <c r="BW75" s="338"/>
      <c r="BX75" s="338"/>
      <c r="BY75" s="338"/>
      <c r="BZ75" s="109"/>
      <c r="CA75" s="109"/>
      <c r="CB75" s="109"/>
      <c r="CC75" s="109"/>
      <c r="CD75" s="109"/>
      <c r="CE75" s="109"/>
      <c r="CF75" s="109"/>
      <c r="CG75" s="109"/>
      <c r="CH75" s="109"/>
      <c r="CJ75" s="338"/>
      <c r="CK75" s="338"/>
      <c r="CL75" s="338"/>
      <c r="CM75" s="338"/>
      <c r="CN75" s="109"/>
      <c r="CO75" s="109"/>
      <c r="CP75" s="109"/>
      <c r="CQ75" s="109"/>
      <c r="CR75" s="109"/>
      <c r="CS75" s="109"/>
      <c r="CT75" s="109"/>
      <c r="CU75" s="109"/>
      <c r="CV75" s="109"/>
      <c r="CW75" s="758"/>
      <c r="CX75" s="894"/>
      <c r="CY75" s="894"/>
      <c r="CZ75" s="894"/>
      <c r="DA75" s="894"/>
      <c r="DB75" s="895"/>
      <c r="DC75" s="895"/>
      <c r="DD75" s="895"/>
      <c r="DE75" s="895"/>
      <c r="DF75" s="895"/>
      <c r="DG75" s="895"/>
      <c r="DH75" s="895"/>
      <c r="DI75" s="895"/>
      <c r="DJ75" s="109"/>
      <c r="DK75" s="948"/>
      <c r="DL75" s="894"/>
      <c r="DM75" s="894"/>
      <c r="DN75" s="894"/>
      <c r="DO75" s="894"/>
      <c r="DP75" s="895"/>
      <c r="DQ75" s="895"/>
      <c r="DR75" s="895"/>
      <c r="DS75" s="895"/>
      <c r="DT75" s="895"/>
      <c r="DU75" s="895"/>
      <c r="DV75" s="895"/>
      <c r="DW75" s="895"/>
      <c r="DX75" s="109"/>
    </row>
    <row r="76" spans="1:128" ht="14.25" hidden="1" customHeight="1">
      <c r="A76" s="55" t="s">
        <v>86</v>
      </c>
      <c r="B76" s="958" t="s">
        <v>124</v>
      </c>
      <c r="C76" s="959"/>
      <c r="D76" s="960"/>
      <c r="E76" s="961"/>
      <c r="F76" s="961"/>
      <c r="G76" s="961"/>
      <c r="H76" s="961"/>
      <c r="I76" s="961"/>
      <c r="J76" s="961"/>
      <c r="K76" s="961"/>
      <c r="L76" s="961"/>
      <c r="M76" s="961"/>
      <c r="N76" s="961"/>
      <c r="O76" s="961"/>
      <c r="P76" s="962"/>
      <c r="Q76" s="963"/>
      <c r="R76" s="960"/>
      <c r="S76" s="964"/>
      <c r="T76" s="964"/>
      <c r="U76" s="964"/>
      <c r="V76" s="964"/>
      <c r="W76" s="965"/>
      <c r="X76" s="965"/>
      <c r="Y76" s="965"/>
      <c r="Z76" s="965"/>
      <c r="AA76" s="965"/>
      <c r="AB76" s="965"/>
      <c r="AC76" s="965"/>
      <c r="AD76" s="966"/>
      <c r="AE76" s="967"/>
      <c r="AF76" s="599"/>
      <c r="AG76" s="964"/>
      <c r="AH76" s="964"/>
      <c r="AI76" s="964"/>
      <c r="AJ76" s="964"/>
      <c r="AK76" s="964"/>
      <c r="AL76" s="964"/>
      <c r="AM76" s="964"/>
      <c r="AN76" s="964"/>
      <c r="AO76" s="964"/>
      <c r="AP76" s="964"/>
      <c r="AQ76" s="964"/>
      <c r="AR76" s="964"/>
      <c r="AS76" s="967"/>
      <c r="AT76" s="964"/>
      <c r="AU76" s="964"/>
      <c r="AV76" s="964"/>
      <c r="AW76" s="964"/>
      <c r="AX76" s="964"/>
      <c r="AY76" s="964"/>
      <c r="AZ76" s="964"/>
      <c r="BA76" s="964"/>
      <c r="BB76" s="964"/>
      <c r="BC76" s="964"/>
      <c r="BD76" s="964"/>
      <c r="BE76" s="964"/>
      <c r="BF76" s="964"/>
      <c r="BG76" s="967"/>
      <c r="BH76" s="964"/>
      <c r="BI76" s="964"/>
      <c r="BJ76" s="964"/>
      <c r="BK76" s="964"/>
      <c r="BL76" s="964"/>
      <c r="BM76" s="964"/>
      <c r="BN76" s="964"/>
      <c r="BO76" s="964"/>
      <c r="BP76" s="964"/>
      <c r="BQ76" s="964"/>
      <c r="BR76" s="964"/>
      <c r="BS76" s="964"/>
      <c r="BT76" s="964"/>
      <c r="BU76" s="968"/>
      <c r="BV76" s="964"/>
      <c r="BW76" s="964"/>
      <c r="BX76" s="964"/>
      <c r="BY76" s="964"/>
      <c r="BZ76" s="964"/>
      <c r="CA76" s="964"/>
      <c r="CB76" s="964"/>
      <c r="CC76" s="964"/>
      <c r="CD76" s="964"/>
      <c r="CE76" s="964"/>
      <c r="CF76" s="964"/>
      <c r="CG76" s="964"/>
      <c r="CH76" s="964"/>
      <c r="CI76" s="969"/>
      <c r="CJ76" s="964"/>
      <c r="CK76" s="964"/>
      <c r="CL76" s="964"/>
      <c r="CM76" s="964"/>
      <c r="CN76" s="964"/>
      <c r="CO76" s="964"/>
      <c r="CP76" s="964"/>
      <c r="CQ76" s="964"/>
      <c r="CR76" s="964"/>
      <c r="CS76" s="964"/>
      <c r="CT76" s="964">
        <f>SUM(CT78:CT80)</f>
        <v>164656.85004219407</v>
      </c>
      <c r="CU76" s="964">
        <f>SUM(CU78:CU80)</f>
        <v>91745.822784810123</v>
      </c>
      <c r="CV76" s="964"/>
      <c r="CW76" s="956">
        <f>SUM(CX76:DC76)</f>
        <v>996971.73999999987</v>
      </c>
      <c r="CX76" s="964">
        <f>SUM(CX78:CX80)</f>
        <v>194469.46000000002</v>
      </c>
      <c r="CY76" s="964">
        <f t="shared" ref="CY76:DJ76" si="127">SUM(CY78:CY80)</f>
        <v>159466.88999999998</v>
      </c>
      <c r="CZ76" s="964">
        <f t="shared" si="127"/>
        <v>208203.57</v>
      </c>
      <c r="DA76" s="964">
        <f t="shared" si="127"/>
        <v>158532.44</v>
      </c>
      <c r="DB76" s="964">
        <f t="shared" si="127"/>
        <v>157404.75999999998</v>
      </c>
      <c r="DC76" s="964">
        <f t="shared" si="127"/>
        <v>118894.62</v>
      </c>
      <c r="DD76" s="964">
        <f t="shared" si="127"/>
        <v>211625.73</v>
      </c>
      <c r="DE76" s="964">
        <f t="shared" si="127"/>
        <v>208193.11</v>
      </c>
      <c r="DF76" s="964">
        <f t="shared" si="127"/>
        <v>269889.13</v>
      </c>
      <c r="DG76" s="964">
        <f>SUM(DG78:DG80)</f>
        <v>258868.84085232066</v>
      </c>
      <c r="DH76" s="964">
        <f t="shared" si="127"/>
        <v>178376.53444641351</v>
      </c>
      <c r="DI76" s="964">
        <f t="shared" si="127"/>
        <v>114212.18776329115</v>
      </c>
      <c r="DJ76" s="599">
        <f>SUM(CX76:DI76)</f>
        <v>2238137.2730620252</v>
      </c>
      <c r="DK76" s="948"/>
      <c r="DL76" s="896">
        <f>SUM(DL78:DL80)</f>
        <v>213916.40600000005</v>
      </c>
      <c r="DM76" s="896">
        <f t="shared" ref="DM76:DX76" si="128">SUM(DM78:DM80)</f>
        <v>175413.579</v>
      </c>
      <c r="DN76" s="896">
        <f t="shared" si="128"/>
        <v>229023.92700000003</v>
      </c>
      <c r="DO76" s="896">
        <f t="shared" si="128"/>
        <v>174385.68400000001</v>
      </c>
      <c r="DP76" s="896">
        <f t="shared" si="128"/>
        <v>173145.236</v>
      </c>
      <c r="DQ76" s="896">
        <f t="shared" si="128"/>
        <v>130784.08200000001</v>
      </c>
      <c r="DR76" s="896">
        <f t="shared" si="128"/>
        <v>232788.30300000004</v>
      </c>
      <c r="DS76" s="896">
        <f t="shared" si="128"/>
        <v>229012.421</v>
      </c>
      <c r="DT76" s="896">
        <f t="shared" si="128"/>
        <v>296878.04300000001</v>
      </c>
      <c r="DU76" s="896">
        <f t="shared" si="128"/>
        <v>284755.72493755276</v>
      </c>
      <c r="DV76" s="896">
        <f t="shared" si="128"/>
        <v>196214.18789105487</v>
      </c>
      <c r="DW76" s="896">
        <f t="shared" si="128"/>
        <v>125633.40653962028</v>
      </c>
      <c r="DX76" s="778">
        <f>SUM(DL76:DW76)</f>
        <v>2461951.0003682282</v>
      </c>
    </row>
    <row r="77" spans="1:128" ht="21" hidden="1" customHeight="1">
      <c r="A77" s="55"/>
      <c r="B77" s="766" t="s">
        <v>87</v>
      </c>
      <c r="C77" s="767"/>
      <c r="D77" s="768"/>
      <c r="E77" s="769"/>
      <c r="F77" s="769"/>
      <c r="G77" s="769"/>
      <c r="H77" s="769"/>
      <c r="I77" s="769"/>
      <c r="J77" s="769"/>
      <c r="K77" s="769"/>
      <c r="L77" s="769"/>
      <c r="M77" s="769"/>
      <c r="N77" s="769"/>
      <c r="O77" s="769"/>
      <c r="P77" s="770"/>
      <c r="Q77" s="771"/>
      <c r="R77" s="768"/>
      <c r="S77" s="772"/>
      <c r="T77" s="772"/>
      <c r="U77" s="772"/>
      <c r="V77" s="772"/>
      <c r="W77" s="773"/>
      <c r="X77" s="773"/>
      <c r="Y77" s="773"/>
      <c r="Z77" s="773"/>
      <c r="AA77" s="773"/>
      <c r="AB77" s="773"/>
      <c r="AC77" s="773"/>
      <c r="AD77" s="774"/>
      <c r="AE77" s="775"/>
      <c r="AF77" s="776"/>
      <c r="AG77" s="776"/>
      <c r="AH77" s="776"/>
      <c r="AI77" s="776"/>
      <c r="AJ77" s="776"/>
      <c r="AK77" s="776"/>
      <c r="AL77" s="776"/>
      <c r="AM77" s="776"/>
      <c r="AN77" s="776"/>
      <c r="AO77" s="776"/>
      <c r="AP77" s="776"/>
      <c r="AQ77" s="776"/>
      <c r="AR77" s="772"/>
      <c r="AS77" s="775"/>
      <c r="AT77" s="776"/>
      <c r="AU77" s="776"/>
      <c r="AV77" s="776"/>
      <c r="AW77" s="776"/>
      <c r="AX77" s="776"/>
      <c r="AY77" s="776"/>
      <c r="AZ77" s="776"/>
      <c r="BA77" s="776"/>
      <c r="BB77" s="776"/>
      <c r="BC77" s="776"/>
      <c r="BD77" s="776"/>
      <c r="BE77" s="776"/>
      <c r="BF77" s="772"/>
      <c r="BG77" s="775"/>
      <c r="BH77" s="776"/>
      <c r="BI77" s="776"/>
      <c r="BJ77" s="776"/>
      <c r="BK77" s="776"/>
      <c r="BL77" s="776"/>
      <c r="BM77" s="776"/>
      <c r="BN77" s="776"/>
      <c r="BO77" s="776"/>
      <c r="BP77" s="776"/>
      <c r="BQ77" s="776"/>
      <c r="BR77" s="776"/>
      <c r="BS77" s="776"/>
      <c r="BT77" s="776"/>
      <c r="BU77" s="777"/>
      <c r="BV77" s="778">
        <v>152642</v>
      </c>
      <c r="BW77" s="778">
        <v>141495</v>
      </c>
      <c r="BX77" s="778">
        <v>158268</v>
      </c>
      <c r="BY77" s="778">
        <v>135742</v>
      </c>
      <c r="BZ77" s="778">
        <v>130614</v>
      </c>
      <c r="CA77" s="778">
        <v>97296</v>
      </c>
      <c r="CB77" s="778">
        <v>180319</v>
      </c>
      <c r="CC77" s="778">
        <v>175137</v>
      </c>
      <c r="CD77" s="778">
        <v>216035</v>
      </c>
      <c r="CE77" s="778">
        <v>188049</v>
      </c>
      <c r="CF77" s="778">
        <v>139782</v>
      </c>
      <c r="CG77" s="778">
        <v>90604</v>
      </c>
      <c r="CH77" s="776">
        <f>SUM(BV77:CG77)</f>
        <v>1805983</v>
      </c>
      <c r="CI77" s="779"/>
      <c r="CJ77" s="778" t="s">
        <v>88</v>
      </c>
      <c r="CK77" s="778">
        <f t="shared" ref="CK77:CV77" si="129">BW77</f>
        <v>141495</v>
      </c>
      <c r="CL77" s="778">
        <f t="shared" si="129"/>
        <v>158268</v>
      </c>
      <c r="CM77" s="778">
        <f t="shared" si="129"/>
        <v>135742</v>
      </c>
      <c r="CN77" s="778">
        <f t="shared" si="129"/>
        <v>130614</v>
      </c>
      <c r="CO77" s="778">
        <f t="shared" si="129"/>
        <v>97296</v>
      </c>
      <c r="CP77" s="778">
        <f t="shared" si="129"/>
        <v>180319</v>
      </c>
      <c r="CQ77" s="778">
        <f t="shared" si="129"/>
        <v>175137</v>
      </c>
      <c r="CR77" s="778">
        <f t="shared" si="129"/>
        <v>216035</v>
      </c>
      <c r="CS77" s="778">
        <f>CS78</f>
        <v>237402.61350210969</v>
      </c>
      <c r="CT77" s="778">
        <f>CT78</f>
        <v>113946.85004219407</v>
      </c>
      <c r="CU77" s="778">
        <f t="shared" ref="CU77:CV77" si="130">CU78</f>
        <v>79742.822784810123</v>
      </c>
      <c r="CV77" s="778">
        <f t="shared" si="129"/>
        <v>1805983</v>
      </c>
      <c r="CW77" s="758"/>
      <c r="CX77" s="897"/>
      <c r="CY77" s="897"/>
      <c r="CZ77" s="897"/>
      <c r="DA77" s="897"/>
      <c r="DB77" s="897"/>
      <c r="DC77" s="897"/>
      <c r="DD77" s="897"/>
      <c r="DE77" s="897"/>
      <c r="DF77" s="897"/>
      <c r="DG77" s="897"/>
      <c r="DH77" s="897"/>
      <c r="DI77" s="897">
        <v>114212.18776329115</v>
      </c>
      <c r="DJ77" s="778"/>
      <c r="DK77" s="948"/>
      <c r="DL77" s="897"/>
      <c r="DM77" s="897"/>
      <c r="DN77" s="897"/>
      <c r="DO77" s="897"/>
      <c r="DP77" s="897"/>
      <c r="DQ77" s="897"/>
      <c r="DR77" s="897"/>
      <c r="DS77" s="897"/>
      <c r="DT77" s="897"/>
      <c r="DU77" s="897"/>
      <c r="DV77" s="897"/>
      <c r="DW77" s="897">
        <v>114212.18776329115</v>
      </c>
      <c r="DX77" s="778"/>
    </row>
    <row r="78" spans="1:128" ht="22.5" hidden="1" customHeight="1">
      <c r="A78" s="765"/>
      <c r="B78" s="766" t="s">
        <v>125</v>
      </c>
      <c r="C78" s="767"/>
      <c r="D78" s="768"/>
      <c r="E78" s="769"/>
      <c r="F78" s="769"/>
      <c r="G78" s="769"/>
      <c r="H78" s="769"/>
      <c r="I78" s="769"/>
      <c r="J78" s="769"/>
      <c r="K78" s="769"/>
      <c r="L78" s="769"/>
      <c r="M78" s="769"/>
      <c r="N78" s="769"/>
      <c r="O78" s="769"/>
      <c r="P78" s="770"/>
      <c r="Q78" s="771"/>
      <c r="R78" s="768"/>
      <c r="S78" s="772"/>
      <c r="T78" s="772"/>
      <c r="U78" s="772"/>
      <c r="V78" s="772"/>
      <c r="W78" s="773"/>
      <c r="X78" s="773"/>
      <c r="Y78" s="773"/>
      <c r="Z78" s="773"/>
      <c r="AA78" s="773"/>
      <c r="AB78" s="773"/>
      <c r="AC78" s="773"/>
      <c r="AD78" s="774"/>
      <c r="AE78" s="775"/>
      <c r="AF78" s="776"/>
      <c r="AG78" s="776"/>
      <c r="AH78" s="776"/>
      <c r="AI78" s="776"/>
      <c r="AJ78" s="776"/>
      <c r="AK78" s="776"/>
      <c r="AL78" s="776"/>
      <c r="AM78" s="776"/>
      <c r="AN78" s="776"/>
      <c r="AO78" s="776"/>
      <c r="AP78" s="776"/>
      <c r="AQ78" s="776"/>
      <c r="AR78" s="772"/>
      <c r="AS78" s="775"/>
      <c r="AT78" s="776"/>
      <c r="AU78" s="776"/>
      <c r="AV78" s="776"/>
      <c r="AW78" s="776"/>
      <c r="AX78" s="776"/>
      <c r="AY78" s="776"/>
      <c r="AZ78" s="776"/>
      <c r="BA78" s="776"/>
      <c r="BB78" s="776"/>
      <c r="BC78" s="776"/>
      <c r="BD78" s="776"/>
      <c r="BE78" s="776"/>
      <c r="BF78" s="772"/>
      <c r="BG78" s="775"/>
      <c r="BH78" s="776"/>
      <c r="BI78" s="776"/>
      <c r="BJ78" s="776"/>
      <c r="BK78" s="776"/>
      <c r="BL78" s="776"/>
      <c r="BM78" s="776"/>
      <c r="BN78" s="776"/>
      <c r="BO78" s="776"/>
      <c r="BP78" s="776"/>
      <c r="BQ78" s="776"/>
      <c r="BR78" s="776"/>
      <c r="BS78" s="776"/>
      <c r="BT78" s="776"/>
      <c r="BU78" s="777"/>
      <c r="BV78" s="778">
        <f>BV35</f>
        <v>161157.867486095</v>
      </c>
      <c r="BW78" s="778">
        <f>BW35</f>
        <v>155966.83045180296</v>
      </c>
      <c r="BX78" s="778">
        <f t="shared" ref="BX78:CH78" si="131">BX35</f>
        <v>196111.53846153844</v>
      </c>
      <c r="BY78" s="778">
        <f t="shared" si="131"/>
        <v>159169.23076923078</v>
      </c>
      <c r="BZ78" s="778">
        <f t="shared" si="131"/>
        <v>151482.39341785663</v>
      </c>
      <c r="CA78" s="778">
        <f t="shared" si="131"/>
        <v>141442.12910096842</v>
      </c>
      <c r="CB78" s="778">
        <f t="shared" si="131"/>
        <v>176986.21444761599</v>
      </c>
      <c r="CC78" s="778">
        <f t="shared" si="131"/>
        <v>201301.08944885107</v>
      </c>
      <c r="CD78" s="778">
        <f t="shared" si="131"/>
        <v>212833.04013559342</v>
      </c>
      <c r="CE78" s="778">
        <f t="shared" si="131"/>
        <v>215922.30386211892</v>
      </c>
      <c r="CF78" s="778">
        <f t="shared" si="131"/>
        <v>171115.84223630186</v>
      </c>
      <c r="CG78" s="778">
        <f t="shared" si="131"/>
        <v>87483.816691710366</v>
      </c>
      <c r="CH78" s="776">
        <f>SUM(BV78:CG78)</f>
        <v>2030972.2965096838</v>
      </c>
      <c r="CI78" s="779"/>
      <c r="CJ78" s="778">
        <f>CJ73+CJ40</f>
        <v>149449.15862840106</v>
      </c>
      <c r="CK78" s="778">
        <f t="shared" ref="CK78:CU78" si="132">CK73+CK40</f>
        <v>165299.98482295938</v>
      </c>
      <c r="CL78" s="778">
        <f t="shared" si="132"/>
        <v>157623.38063361909</v>
      </c>
      <c r="CM78" s="778">
        <f t="shared" si="132"/>
        <v>156795.25083861349</v>
      </c>
      <c r="CN78" s="778">
        <f>CN73+CN40</f>
        <v>159036.51643682446</v>
      </c>
      <c r="CO78" s="778">
        <f t="shared" si="132"/>
        <v>127776.80715616846</v>
      </c>
      <c r="CP78" s="778">
        <f t="shared" si="132"/>
        <v>201036.96194092827</v>
      </c>
      <c r="CQ78" s="778">
        <f t="shared" si="132"/>
        <v>217939.23822784808</v>
      </c>
      <c r="CR78" s="778">
        <f>CR73+CR40</f>
        <v>251919.92080168775</v>
      </c>
      <c r="CS78" s="778">
        <f>CS73+CS40</f>
        <v>237402.61350210969</v>
      </c>
      <c r="CT78" s="778">
        <f>CT73+CT40-CT80-CT79</f>
        <v>113946.85004219407</v>
      </c>
      <c r="CU78" s="778">
        <f>CU73+CU40-CU80-CU79</f>
        <v>79742.822784810123</v>
      </c>
      <c r="CV78" s="778"/>
      <c r="CW78" s="758"/>
      <c r="CX78" s="897">
        <f>CX98-CX101-CX79</f>
        <v>137996.46000000002</v>
      </c>
      <c r="CY78" s="897">
        <f t="shared" ref="CY78:DI78" si="133">CY98-CY101-CY79</f>
        <v>109115.58999999998</v>
      </c>
      <c r="CZ78" s="897">
        <f t="shared" si="133"/>
        <v>159971.47</v>
      </c>
      <c r="DA78" s="897">
        <f t="shared" si="133"/>
        <v>111340.64</v>
      </c>
      <c r="DB78" s="897">
        <f t="shared" si="133"/>
        <v>119915.75999999998</v>
      </c>
      <c r="DC78" s="897">
        <f t="shared" si="133"/>
        <v>92130.62</v>
      </c>
      <c r="DD78" s="897">
        <f t="shared" si="133"/>
        <v>136939.83000000002</v>
      </c>
      <c r="DE78" s="897">
        <f t="shared" si="133"/>
        <v>135607.21</v>
      </c>
      <c r="DF78" s="897">
        <f>DF98-DF101-DF79</f>
        <v>183966.23</v>
      </c>
      <c r="DG78" s="897">
        <f t="shared" si="133"/>
        <v>212260.74085232065</v>
      </c>
      <c r="DH78" s="897">
        <f t="shared" si="133"/>
        <v>147017.18444641351</v>
      </c>
      <c r="DI78" s="897">
        <f t="shared" si="133"/>
        <v>100014.48776329115</v>
      </c>
      <c r="DJ78" s="778">
        <f>SUM(CX78:DI78)</f>
        <v>1646276.2230620254</v>
      </c>
      <c r="DK78" s="948"/>
      <c r="DL78" s="897">
        <f>DL98-DL101-DL79</f>
        <v>157443.40600000005</v>
      </c>
      <c r="DM78" s="897">
        <f t="shared" ref="DM78:DW78" si="134">DM98-DM101-DM79</f>
        <v>125062.27899999999</v>
      </c>
      <c r="DN78" s="897">
        <f t="shared" si="134"/>
        <v>180791.82700000002</v>
      </c>
      <c r="DO78" s="897">
        <f t="shared" si="134"/>
        <v>127193.88400000001</v>
      </c>
      <c r="DP78" s="897">
        <f t="shared" si="134"/>
        <v>138872.236</v>
      </c>
      <c r="DQ78" s="897">
        <f t="shared" si="134"/>
        <v>105431.482</v>
      </c>
      <c r="DR78" s="897">
        <f t="shared" si="134"/>
        <v>164765.40300000005</v>
      </c>
      <c r="DS78" s="897">
        <f t="shared" si="134"/>
        <v>160399.921</v>
      </c>
      <c r="DT78" s="897">
        <f t="shared" si="134"/>
        <v>212905.14300000001</v>
      </c>
      <c r="DU78" s="897">
        <f t="shared" si="134"/>
        <v>238147.62493755276</v>
      </c>
      <c r="DV78" s="897">
        <f t="shared" si="134"/>
        <v>164854.83789105486</v>
      </c>
      <c r="DW78" s="897">
        <f t="shared" si="134"/>
        <v>111435.70653962028</v>
      </c>
      <c r="DX78" s="778">
        <f>SUM(DL78:DW78)</f>
        <v>1887303.7503682277</v>
      </c>
    </row>
    <row r="79" spans="1:128" ht="22.5" hidden="1" customHeight="1">
      <c r="A79" s="765"/>
      <c r="B79" s="766" t="s">
        <v>126</v>
      </c>
      <c r="C79" s="767"/>
      <c r="D79" s="768"/>
      <c r="E79" s="769"/>
      <c r="F79" s="769"/>
      <c r="G79" s="769"/>
      <c r="H79" s="769"/>
      <c r="I79" s="769"/>
      <c r="J79" s="769"/>
      <c r="K79" s="769"/>
      <c r="L79" s="769"/>
      <c r="M79" s="769"/>
      <c r="N79" s="769"/>
      <c r="O79" s="769"/>
      <c r="P79" s="770"/>
      <c r="Q79" s="771"/>
      <c r="R79" s="768"/>
      <c r="S79" s="772"/>
      <c r="T79" s="772"/>
      <c r="U79" s="772"/>
      <c r="V79" s="772"/>
      <c r="W79" s="773"/>
      <c r="X79" s="773"/>
      <c r="Y79" s="773"/>
      <c r="Z79" s="773"/>
      <c r="AA79" s="773"/>
      <c r="AB79" s="773"/>
      <c r="AC79" s="773"/>
      <c r="AD79" s="774"/>
      <c r="AE79" s="775"/>
      <c r="AF79" s="776"/>
      <c r="AG79" s="776"/>
      <c r="AH79" s="776"/>
      <c r="AI79" s="776"/>
      <c r="AJ79" s="776"/>
      <c r="AK79" s="776"/>
      <c r="AL79" s="776"/>
      <c r="AM79" s="776"/>
      <c r="AN79" s="776"/>
      <c r="AO79" s="776"/>
      <c r="AP79" s="776"/>
      <c r="AQ79" s="776"/>
      <c r="AR79" s="772"/>
      <c r="AS79" s="775"/>
      <c r="AT79" s="776"/>
      <c r="AU79" s="776"/>
      <c r="AV79" s="776"/>
      <c r="AW79" s="776"/>
      <c r="AX79" s="776"/>
      <c r="AY79" s="776"/>
      <c r="AZ79" s="776"/>
      <c r="BA79" s="776"/>
      <c r="BB79" s="776"/>
      <c r="BC79" s="776"/>
      <c r="BD79" s="776"/>
      <c r="BE79" s="776"/>
      <c r="BF79" s="772"/>
      <c r="BG79" s="775"/>
      <c r="BH79" s="776"/>
      <c r="BI79" s="776"/>
      <c r="BJ79" s="776"/>
      <c r="BK79" s="776"/>
      <c r="BL79" s="776"/>
      <c r="BM79" s="776"/>
      <c r="BN79" s="776"/>
      <c r="BO79" s="776"/>
      <c r="BP79" s="776"/>
      <c r="BQ79" s="776"/>
      <c r="BR79" s="776"/>
      <c r="BS79" s="776"/>
      <c r="BT79" s="776"/>
      <c r="BU79" s="777"/>
      <c r="BV79" s="778"/>
      <c r="BW79" s="778"/>
      <c r="BX79" s="778"/>
      <c r="BY79" s="778"/>
      <c r="BZ79" s="778"/>
      <c r="CA79" s="778"/>
      <c r="CB79" s="778"/>
      <c r="CC79" s="778"/>
      <c r="CD79" s="778"/>
      <c r="CE79" s="778"/>
      <c r="CF79" s="778"/>
      <c r="CG79" s="778"/>
      <c r="CH79" s="776"/>
      <c r="CI79" s="779"/>
      <c r="CJ79" s="778"/>
      <c r="CK79" s="778"/>
      <c r="CL79" s="778"/>
      <c r="CM79" s="778"/>
      <c r="CN79" s="778"/>
      <c r="CO79" s="778"/>
      <c r="CP79" s="778"/>
      <c r="CQ79" s="778"/>
      <c r="CR79" s="778"/>
      <c r="CS79" s="778"/>
      <c r="CT79" s="778">
        <v>15710</v>
      </c>
      <c r="CU79" s="778">
        <v>9907</v>
      </c>
      <c r="CV79" s="778"/>
      <c r="CW79" s="758">
        <f>CW80/6</f>
        <v>-10764.339999999987</v>
      </c>
      <c r="CX79" s="897">
        <f>CX110*1.1</f>
        <v>16863</v>
      </c>
      <c r="CY79" s="897">
        <f t="shared" ref="CY79:DI79" si="135">CY110*1.1</f>
        <v>13357.300000000001</v>
      </c>
      <c r="CZ79" s="897">
        <f t="shared" si="135"/>
        <v>18888.100000000002</v>
      </c>
      <c r="DA79" s="897">
        <f t="shared" si="135"/>
        <v>13813.800000000001</v>
      </c>
      <c r="DB79" s="897">
        <v>18000</v>
      </c>
      <c r="DC79" s="897">
        <v>12000</v>
      </c>
      <c r="DD79" s="897">
        <v>25000</v>
      </c>
      <c r="DE79" s="897">
        <v>24000</v>
      </c>
      <c r="DF79" s="897">
        <v>30000</v>
      </c>
      <c r="DG79" s="897">
        <f t="shared" si="135"/>
        <v>18451.400000000001</v>
      </c>
      <c r="DH79" s="897">
        <f t="shared" si="135"/>
        <v>17281</v>
      </c>
      <c r="DI79" s="897">
        <f t="shared" si="135"/>
        <v>10897.7</v>
      </c>
      <c r="DJ79" s="778">
        <f>SUM(CX79:DI79)</f>
        <v>218552.30000000002</v>
      </c>
      <c r="DK79" s="948"/>
      <c r="DL79" s="897">
        <f>DL110*1.1</f>
        <v>16863</v>
      </c>
      <c r="DM79" s="897">
        <f t="shared" ref="DM79:DW79" si="136">DM110*1.1</f>
        <v>13357.300000000001</v>
      </c>
      <c r="DN79" s="897">
        <f t="shared" si="136"/>
        <v>18888.100000000002</v>
      </c>
      <c r="DO79" s="897">
        <f t="shared" si="136"/>
        <v>13813.800000000001</v>
      </c>
      <c r="DP79" s="897">
        <f t="shared" si="136"/>
        <v>14784.000000000002</v>
      </c>
      <c r="DQ79" s="897">
        <f t="shared" si="136"/>
        <v>10588.6</v>
      </c>
      <c r="DR79" s="897">
        <f t="shared" si="136"/>
        <v>18337</v>
      </c>
      <c r="DS79" s="897">
        <f t="shared" si="136"/>
        <v>20026.600000000002</v>
      </c>
      <c r="DT79" s="897">
        <f>DT110*1.1</f>
        <v>28050.000000000004</v>
      </c>
      <c r="DU79" s="897">
        <f t="shared" ref="DU79:DY79" si="137">DU110*1.1</f>
        <v>18451.400000000001</v>
      </c>
      <c r="DV79" s="897">
        <f t="shared" si="137"/>
        <v>17281</v>
      </c>
      <c r="DW79" s="897">
        <f t="shared" si="137"/>
        <v>10897.7</v>
      </c>
      <c r="DX79" s="778">
        <f>SUM(DL79:DW79)</f>
        <v>201338.50000000003</v>
      </c>
    </row>
    <row r="80" spans="1:128" ht="18" hidden="1" customHeight="1">
      <c r="A80" s="765"/>
      <c r="B80" s="766" t="s">
        <v>127</v>
      </c>
      <c r="C80" s="767"/>
      <c r="D80" s="768"/>
      <c r="E80" s="769"/>
      <c r="F80" s="769"/>
      <c r="G80" s="769"/>
      <c r="H80" s="769"/>
      <c r="I80" s="769"/>
      <c r="J80" s="769"/>
      <c r="K80" s="769"/>
      <c r="L80" s="769"/>
      <c r="M80" s="769"/>
      <c r="N80" s="769"/>
      <c r="O80" s="769"/>
      <c r="P80" s="770"/>
      <c r="Q80" s="771"/>
      <c r="R80" s="768"/>
      <c r="S80" s="772"/>
      <c r="T80" s="772"/>
      <c r="U80" s="772"/>
      <c r="V80" s="772"/>
      <c r="W80" s="773"/>
      <c r="X80" s="773"/>
      <c r="Y80" s="773"/>
      <c r="Z80" s="773"/>
      <c r="AA80" s="773"/>
      <c r="AB80" s="773"/>
      <c r="AC80" s="773"/>
      <c r="AD80" s="774"/>
      <c r="AE80" s="775"/>
      <c r="AF80" s="776"/>
      <c r="AG80" s="776"/>
      <c r="AH80" s="776"/>
      <c r="AI80" s="776"/>
      <c r="AJ80" s="776"/>
      <c r="AK80" s="776"/>
      <c r="AL80" s="776"/>
      <c r="AM80" s="776"/>
      <c r="AN80" s="776"/>
      <c r="AO80" s="776"/>
      <c r="AP80" s="776"/>
      <c r="AQ80" s="776"/>
      <c r="AR80" s="772"/>
      <c r="AS80" s="775"/>
      <c r="AT80" s="776"/>
      <c r="AU80" s="776"/>
      <c r="AV80" s="776"/>
      <c r="AW80" s="776"/>
      <c r="AX80" s="776"/>
      <c r="AY80" s="776"/>
      <c r="AZ80" s="776"/>
      <c r="BA80" s="776"/>
      <c r="BB80" s="776"/>
      <c r="BC80" s="776"/>
      <c r="BD80" s="776"/>
      <c r="BE80" s="776"/>
      <c r="BF80" s="772"/>
      <c r="BG80" s="775"/>
      <c r="BH80" s="776"/>
      <c r="BI80" s="776"/>
      <c r="BJ80" s="776"/>
      <c r="BK80" s="776"/>
      <c r="BL80" s="776"/>
      <c r="BM80" s="776"/>
      <c r="BN80" s="776"/>
      <c r="BO80" s="776"/>
      <c r="BP80" s="776"/>
      <c r="BQ80" s="776"/>
      <c r="BR80" s="776"/>
      <c r="BS80" s="776"/>
      <c r="BT80" s="776"/>
      <c r="BU80" s="777"/>
      <c r="BV80" s="778"/>
      <c r="BW80" s="778"/>
      <c r="BX80" s="778"/>
      <c r="BY80" s="778"/>
      <c r="BZ80" s="778"/>
      <c r="CA80" s="778"/>
      <c r="CB80" s="778"/>
      <c r="CC80" s="778"/>
      <c r="CD80" s="778"/>
      <c r="CE80" s="778"/>
      <c r="CF80" s="778"/>
      <c r="CG80" s="778"/>
      <c r="CH80" s="776"/>
      <c r="CI80" s="779"/>
      <c r="CJ80" s="778"/>
      <c r="CK80" s="778"/>
      <c r="CL80" s="778"/>
      <c r="CM80" s="778"/>
      <c r="CN80" s="778"/>
      <c r="CO80" s="778"/>
      <c r="CP80" s="778"/>
      <c r="CQ80" s="778"/>
      <c r="CR80" s="778"/>
      <c r="CS80" s="778">
        <v>28812</v>
      </c>
      <c r="CT80" s="778">
        <f>CT101</f>
        <v>35000</v>
      </c>
      <c r="CU80" s="778">
        <f>CU101</f>
        <v>2096</v>
      </c>
      <c r="CV80" s="778"/>
      <c r="CW80" s="869">
        <f>CW81-CW76</f>
        <v>-64586.039999999921</v>
      </c>
      <c r="CX80" s="897">
        <f>CX101</f>
        <v>39610</v>
      </c>
      <c r="CY80" s="897">
        <f t="shared" ref="CY80:DC80" si="138">CY101</f>
        <v>36994</v>
      </c>
      <c r="CZ80" s="897">
        <f t="shared" si="138"/>
        <v>29344</v>
      </c>
      <c r="DA80" s="897">
        <f t="shared" si="138"/>
        <v>33378</v>
      </c>
      <c r="DB80" s="897">
        <f t="shared" si="138"/>
        <v>19489</v>
      </c>
      <c r="DC80" s="897">
        <f t="shared" si="138"/>
        <v>14764</v>
      </c>
      <c r="DD80" s="897">
        <f>DD101</f>
        <v>49685.9</v>
      </c>
      <c r="DE80" s="897">
        <f t="shared" ref="DE80:DJ80" si="139">DE101</f>
        <v>48585.9</v>
      </c>
      <c r="DF80" s="897">
        <f t="shared" si="139"/>
        <v>55922.9</v>
      </c>
      <c r="DG80" s="897">
        <f t="shared" si="139"/>
        <v>28156.7</v>
      </c>
      <c r="DH80" s="897">
        <f t="shared" si="139"/>
        <v>14078.35</v>
      </c>
      <c r="DI80" s="897">
        <f t="shared" si="139"/>
        <v>3300.0000000000005</v>
      </c>
      <c r="DJ80" s="778">
        <f>SUM(CX80:DI80)</f>
        <v>373308.75</v>
      </c>
      <c r="DK80" s="948"/>
      <c r="DL80" s="897">
        <f>DL101</f>
        <v>39610</v>
      </c>
      <c r="DM80" s="897">
        <f t="shared" ref="DM80:DQ80" si="140">DM101</f>
        <v>36994</v>
      </c>
      <c r="DN80" s="897">
        <f t="shared" si="140"/>
        <v>29344</v>
      </c>
      <c r="DO80" s="897">
        <f t="shared" si="140"/>
        <v>33378</v>
      </c>
      <c r="DP80" s="897">
        <f t="shared" si="140"/>
        <v>19489</v>
      </c>
      <c r="DQ80" s="897">
        <f t="shared" si="140"/>
        <v>14764</v>
      </c>
      <c r="DR80" s="897">
        <f>DR101</f>
        <v>49685.9</v>
      </c>
      <c r="DS80" s="897">
        <f t="shared" ref="DS80:DX80" si="141">DS101</f>
        <v>48585.9</v>
      </c>
      <c r="DT80" s="897">
        <f t="shared" si="141"/>
        <v>55922.9</v>
      </c>
      <c r="DU80" s="897">
        <f t="shared" si="141"/>
        <v>28156.7</v>
      </c>
      <c r="DV80" s="897">
        <f t="shared" si="141"/>
        <v>14078.35</v>
      </c>
      <c r="DW80" s="897">
        <f t="shared" si="141"/>
        <v>3300.0000000000005</v>
      </c>
      <c r="DX80" s="778">
        <f>SUM(DL80:DW80)</f>
        <v>373308.75</v>
      </c>
    </row>
    <row r="81" spans="1:143" s="1004" customFormat="1" ht="15" customHeight="1">
      <c r="A81" s="1003"/>
      <c r="B81" s="990" t="s">
        <v>128</v>
      </c>
      <c r="C81" s="991"/>
      <c r="D81" s="992"/>
      <c r="E81" s="993"/>
      <c r="F81" s="993"/>
      <c r="G81" s="993"/>
      <c r="H81" s="993"/>
      <c r="I81" s="993"/>
      <c r="J81" s="993"/>
      <c r="K81" s="993"/>
      <c r="L81" s="993"/>
      <c r="M81" s="993"/>
      <c r="N81" s="993"/>
      <c r="O81" s="993"/>
      <c r="P81" s="994"/>
      <c r="Q81" s="995"/>
      <c r="R81" s="992"/>
      <c r="S81" s="836"/>
      <c r="T81" s="836"/>
      <c r="U81" s="836"/>
      <c r="V81" s="836"/>
      <c r="W81" s="996"/>
      <c r="X81" s="996"/>
      <c r="Y81" s="996"/>
      <c r="Z81" s="996"/>
      <c r="AA81" s="996"/>
      <c r="AB81" s="996"/>
      <c r="AC81" s="996"/>
      <c r="AD81" s="997"/>
      <c r="AE81" s="998"/>
      <c r="AF81" s="999"/>
      <c r="AG81" s="836"/>
      <c r="AH81" s="836"/>
      <c r="AI81" s="836"/>
      <c r="AJ81" s="836"/>
      <c r="AK81" s="836"/>
      <c r="AL81" s="836"/>
      <c r="AM81" s="836"/>
      <c r="AN81" s="836"/>
      <c r="AO81" s="836"/>
      <c r="AP81" s="836"/>
      <c r="AQ81" s="836"/>
      <c r="AR81" s="836"/>
      <c r="AS81" s="998"/>
      <c r="AT81" s="836"/>
      <c r="AU81" s="836"/>
      <c r="AV81" s="836"/>
      <c r="AW81" s="836"/>
      <c r="AX81" s="836"/>
      <c r="AY81" s="836"/>
      <c r="AZ81" s="836"/>
      <c r="BA81" s="836"/>
      <c r="BB81" s="836"/>
      <c r="BC81" s="836"/>
      <c r="BD81" s="836"/>
      <c r="BE81" s="836"/>
      <c r="BF81" s="836"/>
      <c r="BG81" s="998"/>
      <c r="BH81" s="836"/>
      <c r="BI81" s="836"/>
      <c r="BJ81" s="836"/>
      <c r="BK81" s="836"/>
      <c r="BL81" s="836"/>
      <c r="BM81" s="836"/>
      <c r="BN81" s="836"/>
      <c r="BO81" s="836"/>
      <c r="BP81" s="836"/>
      <c r="BQ81" s="836"/>
      <c r="BR81" s="836"/>
      <c r="BS81" s="836"/>
      <c r="BT81" s="836"/>
      <c r="BU81" s="1000"/>
      <c r="BV81" s="836"/>
      <c r="BW81" s="836"/>
      <c r="BX81" s="836"/>
      <c r="BY81" s="836"/>
      <c r="BZ81" s="836"/>
      <c r="CA81" s="836"/>
      <c r="CB81" s="836"/>
      <c r="CC81" s="836"/>
      <c r="CD81" s="836"/>
      <c r="CE81" s="836"/>
      <c r="CF81" s="836"/>
      <c r="CG81" s="836"/>
      <c r="CH81" s="836"/>
      <c r="CI81" s="1001"/>
      <c r="CJ81" s="836"/>
      <c r="CK81" s="836"/>
      <c r="CL81" s="836"/>
      <c r="CM81" s="836"/>
      <c r="CN81" s="836"/>
      <c r="CO81" s="836"/>
      <c r="CP81" s="836"/>
      <c r="CQ81" s="836"/>
      <c r="CR81" s="836"/>
      <c r="CS81" s="836"/>
      <c r="CT81" s="836">
        <f>SUM(CT82:CT84)</f>
        <v>210269</v>
      </c>
      <c r="CU81" s="836">
        <f>SUM(CU82:CU84)</f>
        <v>172780</v>
      </c>
      <c r="CV81" s="836"/>
      <c r="CW81" s="1002">
        <f>SUM(CX81:DC81)</f>
        <v>932385.7</v>
      </c>
      <c r="CX81" s="836">
        <f>SUM(CX82:CX84)</f>
        <v>194767.09999999998</v>
      </c>
      <c r="CY81" s="836">
        <f t="shared" ref="CY81:DE81" si="142">SUM(CY82:CY84)</f>
        <v>161944.6</v>
      </c>
      <c r="CZ81" s="836">
        <f>SUM(CZ82:CZ84)</f>
        <v>53400</v>
      </c>
      <c r="DA81" s="836">
        <v>162000</v>
      </c>
      <c r="DB81" s="836">
        <f>SUM(DB82:DB84)</f>
        <v>181104</v>
      </c>
      <c r="DC81" s="836">
        <f>SUM(DC82:DC84)</f>
        <v>179170</v>
      </c>
      <c r="DD81" s="836">
        <f t="shared" si="142"/>
        <v>213585.12</v>
      </c>
      <c r="DE81" s="836">
        <f t="shared" si="142"/>
        <v>181165.94999999998</v>
      </c>
      <c r="DF81" s="836">
        <f>SUM(DF82:DF84)</f>
        <v>186886.98</v>
      </c>
      <c r="DG81" s="836">
        <f t="shared" ref="DG81:DI81" si="143">SUM(DG82:DG84)</f>
        <v>186886.98</v>
      </c>
      <c r="DH81" s="836">
        <f t="shared" si="143"/>
        <v>169088.22</v>
      </c>
      <c r="DI81" s="836">
        <f>SUM(DI82:DI84)</f>
        <v>106792.56</v>
      </c>
      <c r="DJ81" s="999">
        <f>SUM(DA81:DI81)</f>
        <v>1566679.81</v>
      </c>
      <c r="DK81" s="948"/>
      <c r="DL81" s="831">
        <f>SUM(DL82:DL84)</f>
        <v>172539</v>
      </c>
      <c r="DM81" s="831">
        <f t="shared" ref="DM81:DQ81" si="144">SUM(DM82:DM84)</f>
        <v>146658.15</v>
      </c>
      <c r="DN81" s="831">
        <f>SUM(DN82:DN84)</f>
        <v>199782</v>
      </c>
      <c r="DO81" s="831">
        <f>SUM(DO82:DO84)</f>
        <v>199782</v>
      </c>
      <c r="DP81" s="831">
        <f t="shared" ref="DP81:DW81" si="145">SUM(DP82:DP84)</f>
        <v>177987.6</v>
      </c>
      <c r="DQ81" s="831">
        <f t="shared" si="145"/>
        <v>181165.94999999998</v>
      </c>
      <c r="DR81" s="831">
        <f t="shared" si="145"/>
        <v>204685.74</v>
      </c>
      <c r="DS81" s="831">
        <f t="shared" si="145"/>
        <v>181165.94999999998</v>
      </c>
      <c r="DT81" s="831">
        <f t="shared" si="145"/>
        <v>186886.98</v>
      </c>
      <c r="DU81" s="831">
        <f t="shared" si="145"/>
        <v>186886.98</v>
      </c>
      <c r="DV81" s="831">
        <f t="shared" si="145"/>
        <v>169088.22</v>
      </c>
      <c r="DW81" s="831">
        <f t="shared" si="145"/>
        <v>142390.07999999999</v>
      </c>
      <c r="DX81" s="999">
        <f>SUM(DL81:DW81)</f>
        <v>2149018.65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</row>
    <row r="82" spans="1:143" ht="15.75" hidden="1" customHeight="1" outlineLevel="1">
      <c r="A82" s="719">
        <v>7</v>
      </c>
      <c r="B82" s="936" t="s">
        <v>129</v>
      </c>
      <c r="C82" s="781"/>
      <c r="D82" s="793">
        <v>98048</v>
      </c>
      <c r="E82" s="794">
        <v>128688</v>
      </c>
      <c r="F82" s="794">
        <v>124704</v>
      </c>
      <c r="G82" s="794">
        <v>157500</v>
      </c>
      <c r="H82" s="794">
        <v>182600</v>
      </c>
      <c r="I82" s="794">
        <v>157700</v>
      </c>
      <c r="J82" s="794">
        <v>181700</v>
      </c>
      <c r="K82" s="794">
        <v>165900</v>
      </c>
      <c r="L82" s="794">
        <v>174300</v>
      </c>
      <c r="M82" s="794">
        <v>215800</v>
      </c>
      <c r="N82" s="794">
        <v>180000</v>
      </c>
      <c r="O82" s="794">
        <v>112500</v>
      </c>
      <c r="P82" s="795">
        <f t="shared" ref="P82:P85" si="146">SUM(D82:O82)</f>
        <v>1879440</v>
      </c>
      <c r="Q82" s="796"/>
      <c r="R82" s="793">
        <v>158400</v>
      </c>
      <c r="S82" s="797">
        <v>161000</v>
      </c>
      <c r="T82" s="797">
        <v>117800</v>
      </c>
      <c r="U82" s="797">
        <v>2000</v>
      </c>
      <c r="V82" s="797">
        <v>53800</v>
      </c>
      <c r="W82" s="797">
        <v>190600</v>
      </c>
      <c r="X82" s="797">
        <v>187900</v>
      </c>
      <c r="Y82" s="797">
        <v>196800</v>
      </c>
      <c r="Z82" s="797">
        <v>192300</v>
      </c>
      <c r="AA82" s="797">
        <v>182300</v>
      </c>
      <c r="AB82" s="797">
        <v>175000</v>
      </c>
      <c r="AC82" s="797">
        <v>134100</v>
      </c>
      <c r="AD82" s="798">
        <f>SUM(R82:AC82)</f>
        <v>1752000</v>
      </c>
      <c r="AE82" s="799"/>
      <c r="AF82" s="800">
        <f t="shared" ref="AF82:AL82" si="147">SUM(AF85,AF87)</f>
        <v>161400</v>
      </c>
      <c r="AG82" s="800">
        <f t="shared" si="147"/>
        <v>166000</v>
      </c>
      <c r="AH82" s="800">
        <f t="shared" si="147"/>
        <v>150471</v>
      </c>
      <c r="AI82" s="800">
        <f t="shared" si="147"/>
        <v>149040</v>
      </c>
      <c r="AJ82" s="800">
        <f t="shared" si="147"/>
        <v>196360</v>
      </c>
      <c r="AK82" s="800">
        <f t="shared" si="147"/>
        <v>163300</v>
      </c>
      <c r="AL82" s="800">
        <f t="shared" si="147"/>
        <v>190000</v>
      </c>
      <c r="AM82" s="800">
        <f t="shared" ref="AM82:AQ82" si="148">SUM(AM85,AM87,AM88)</f>
        <v>167000</v>
      </c>
      <c r="AN82" s="800">
        <f t="shared" si="148"/>
        <v>170500</v>
      </c>
      <c r="AO82" s="800">
        <f t="shared" si="148"/>
        <v>140000</v>
      </c>
      <c r="AP82" s="800">
        <f t="shared" si="148"/>
        <v>130000</v>
      </c>
      <c r="AQ82" s="800">
        <f t="shared" si="148"/>
        <v>100000</v>
      </c>
      <c r="AR82" s="786">
        <f t="shared" ref="AR82:AR85" si="149">SUM(AF82:AQ82)</f>
        <v>1884071</v>
      </c>
      <c r="AS82" s="799"/>
      <c r="AT82" s="800">
        <f t="shared" ref="AT82:BC82" si="150">SUM(AT85,AT87,AT88)</f>
        <v>133000</v>
      </c>
      <c r="AU82" s="800">
        <f t="shared" si="150"/>
        <v>125180</v>
      </c>
      <c r="AV82" s="800">
        <f t="shared" si="150"/>
        <v>117228</v>
      </c>
      <c r="AW82" s="800">
        <f t="shared" si="150"/>
        <v>127500</v>
      </c>
      <c r="AX82" s="800">
        <f t="shared" si="150"/>
        <v>140000</v>
      </c>
      <c r="AY82" s="800">
        <f t="shared" si="150"/>
        <v>158342.99999899999</v>
      </c>
      <c r="AZ82" s="800">
        <f t="shared" si="150"/>
        <v>152409</v>
      </c>
      <c r="BA82" s="800">
        <f t="shared" si="150"/>
        <v>173520</v>
      </c>
      <c r="BB82" s="800">
        <f t="shared" si="150"/>
        <v>165000</v>
      </c>
      <c r="BC82" s="800">
        <f t="shared" si="150"/>
        <v>157500</v>
      </c>
      <c r="BD82" s="800">
        <v>129431</v>
      </c>
      <c r="BE82" s="800">
        <v>61700</v>
      </c>
      <c r="BF82" s="797">
        <f t="shared" ref="BF82:BF85" si="151">SUM(AT82:BE82)</f>
        <v>1640810.999999</v>
      </c>
      <c r="BG82" s="799">
        <f>BF82-AR82</f>
        <v>-243260.00000100001</v>
      </c>
      <c r="BH82" s="790">
        <f>SUM(BH85,BH87,BH88)</f>
        <v>139760</v>
      </c>
      <c r="BI82" s="790">
        <f t="shared" ref="BI82:BP82" si="152">SUM(BI85,BI87,BI88)</f>
        <v>116580</v>
      </c>
      <c r="BJ82" s="790">
        <f t="shared" si="152"/>
        <v>148340</v>
      </c>
      <c r="BK82" s="790">
        <f t="shared" si="152"/>
        <v>112360</v>
      </c>
      <c r="BL82" s="790">
        <f t="shared" si="152"/>
        <v>108660</v>
      </c>
      <c r="BM82" s="790">
        <f t="shared" si="152"/>
        <v>153416</v>
      </c>
      <c r="BN82" s="790">
        <f t="shared" si="152"/>
        <v>137676</v>
      </c>
      <c r="BO82" s="790">
        <f t="shared" si="152"/>
        <v>160654</v>
      </c>
      <c r="BP82" s="790">
        <f t="shared" si="152"/>
        <v>157000</v>
      </c>
      <c r="BQ82" s="790">
        <v>156725</v>
      </c>
      <c r="BR82" s="790">
        <v>182069</v>
      </c>
      <c r="BS82" s="790">
        <f>BS85+BS88</f>
        <v>156420</v>
      </c>
      <c r="BT82" s="790">
        <f t="shared" ref="BT82:BT85" si="153">SUM(BH82:BS82)</f>
        <v>1729660</v>
      </c>
      <c r="BU82" s="791"/>
      <c r="BV82" s="801">
        <f>BV8*BV86</f>
        <v>133000</v>
      </c>
      <c r="BW82" s="801">
        <f>BW8*BW86</f>
        <v>133000</v>
      </c>
      <c r="BX82" s="801">
        <f>BX8*BX86</f>
        <v>147000</v>
      </c>
      <c r="BY82" s="801">
        <f>BY8*BY86</f>
        <v>172800</v>
      </c>
      <c r="BZ82" s="801">
        <f>BZ8*BZ86</f>
        <v>165600</v>
      </c>
      <c r="CA82" s="801">
        <f>CA8*CA86</f>
        <v>158400</v>
      </c>
      <c r="CB82" s="801">
        <f>CB8*CB86</f>
        <v>180000</v>
      </c>
      <c r="CC82" s="801">
        <f>CC8*CC86</f>
        <v>172800</v>
      </c>
      <c r="CD82" s="801">
        <f>CD8*CD86</f>
        <v>172800</v>
      </c>
      <c r="CE82" s="801">
        <f>CE8*CE86</f>
        <v>172800</v>
      </c>
      <c r="CF82" s="801">
        <f>CF8*CF86</f>
        <v>167200</v>
      </c>
      <c r="CG82" s="801">
        <f>CG8*CG86</f>
        <v>98800</v>
      </c>
      <c r="CH82" s="801">
        <f t="shared" ref="CH82:CH87" si="154">SUM(BV82:CG82)</f>
        <v>1874200</v>
      </c>
      <c r="CI82" s="801"/>
      <c r="CJ82" s="801">
        <f>CJ8*CJ86</f>
        <v>165000</v>
      </c>
      <c r="CK82" s="801">
        <f>CK8*CK86</f>
        <v>188600</v>
      </c>
      <c r="CL82" s="801">
        <f>CL8*CL86</f>
        <v>171000</v>
      </c>
      <c r="CM82" s="801">
        <f>CM8*CM86</f>
        <v>200000</v>
      </c>
      <c r="CN82" s="801">
        <f>CN8*CN86</f>
        <v>178290</v>
      </c>
      <c r="CO82" s="801">
        <f>CO8*CO86</f>
        <v>198000</v>
      </c>
      <c r="CP82" s="801">
        <f>CP8*CP86</f>
        <v>245000</v>
      </c>
      <c r="CQ82" s="801">
        <f>CQ8*CQ86</f>
        <v>207900</v>
      </c>
      <c r="CR82" s="801">
        <f>CR8*CR86</f>
        <v>217800</v>
      </c>
      <c r="CS82" s="801">
        <v>205579</v>
      </c>
      <c r="CT82" s="801">
        <f>(CT8*CT86)-CT84</f>
        <v>164340</v>
      </c>
      <c r="CU82" s="801">
        <f>(CU8*CU86)-CU84</f>
        <v>118660</v>
      </c>
      <c r="CV82" s="790">
        <f>SUM(CJ82:CU82)</f>
        <v>2260169</v>
      </c>
      <c r="CW82" s="758"/>
      <c r="CX82" s="899">
        <f>(CX8*CX86)*0.95-CX84-CX83</f>
        <v>131887.09999999998</v>
      </c>
      <c r="CY82" s="899">
        <f>(CY8*CY86)*0.95-CY84-CY83</f>
        <v>117864.6</v>
      </c>
      <c r="CZ82" s="899">
        <f>(CZ8*CZ86)*1-CZ84-CZ83</f>
        <v>1380</v>
      </c>
      <c r="DA82" s="899">
        <f>(DA8*DA86)*1-DA84-DA83</f>
        <v>40840</v>
      </c>
      <c r="DB82" s="899">
        <f>(DB8*DB86)*0.98-DB84-DB83</f>
        <v>152104</v>
      </c>
      <c r="DC82" s="899">
        <f>(DC8*DC86)*0.95-DC84-DC83</f>
        <v>115170</v>
      </c>
      <c r="DD82" s="899">
        <f>(DD8*DD86)*0.98-DD84-DD83</f>
        <v>148585.12</v>
      </c>
      <c r="DE82" s="899">
        <f>(DE8*DE86)*0.95-DE84-DE83</f>
        <v>116165.94999999998</v>
      </c>
      <c r="DF82" s="899">
        <f>(DF8*DF86)*0.98-DF84-DF83</f>
        <v>121886.98000000001</v>
      </c>
      <c r="DG82" s="899">
        <f>(DG8*DG86)*0.98-DG84-DG83</f>
        <v>146886.98000000001</v>
      </c>
      <c r="DH82" s="899">
        <f>(DH8*DH86)*0.98-DH84-DH83</f>
        <v>140088.22</v>
      </c>
      <c r="DI82" s="899">
        <f>(DI8*DI86)*0.98-DI84-DI83</f>
        <v>46792.56</v>
      </c>
      <c r="DJ82" s="801">
        <f>SUM(CX82:DI82)</f>
        <v>1279651.51</v>
      </c>
      <c r="DK82" s="948"/>
      <c r="DL82" s="899">
        <f>(DL8*DL86)*0.95-DL84-DL83</f>
        <v>109659</v>
      </c>
      <c r="DM82" s="899">
        <f>(DM8*DM86)*0.95-DM84-DM83</f>
        <v>102578.15</v>
      </c>
      <c r="DN82" s="899">
        <f>(DN8*DN86)*1-DN84-DN83</f>
        <v>147762</v>
      </c>
      <c r="DO82" s="899">
        <f>(DO8*DO86)*1-DO84-DO83</f>
        <v>160622</v>
      </c>
      <c r="DP82" s="899">
        <f>(DP8*DP86)*0.98-DP84-DP83</f>
        <v>148987.6</v>
      </c>
      <c r="DQ82" s="899">
        <f>(DQ8*DQ86)*0.95-DQ84-DQ83</f>
        <v>117165.94999999998</v>
      </c>
      <c r="DR82" s="899">
        <f>(DR8*DR86)*0.98-DR84-DR83</f>
        <v>144685.74</v>
      </c>
      <c r="DS82" s="899">
        <f>(DS8*DS86)*0.95-DS84-DS83</f>
        <v>123165.94999999998</v>
      </c>
      <c r="DT82" s="899">
        <f>(DT8*DT86)*0.98-DT84-DT83</f>
        <v>127886.98000000001</v>
      </c>
      <c r="DU82" s="899">
        <f>(DU8*DU86)*0.98-DU84-DU83</f>
        <v>152886.98000000001</v>
      </c>
      <c r="DV82" s="899">
        <f>(DV8*DV86)*0.98-DV84-DV83</f>
        <v>140088.22</v>
      </c>
      <c r="DW82" s="899">
        <f>(DW8*DW86)*0.98-DW84-DW83</f>
        <v>82390.079999999987</v>
      </c>
      <c r="DX82" s="801">
        <f>SUM(DL82:DW82)</f>
        <v>1557878.65</v>
      </c>
    </row>
    <row r="83" spans="1:143" ht="15.75" hidden="1" customHeight="1" outlineLevel="1">
      <c r="A83" s="719"/>
      <c r="B83" s="936" t="s">
        <v>130</v>
      </c>
      <c r="C83" s="781"/>
      <c r="D83" s="793"/>
      <c r="E83" s="794"/>
      <c r="F83" s="794"/>
      <c r="G83" s="794"/>
      <c r="H83" s="794"/>
      <c r="I83" s="794"/>
      <c r="J83" s="794"/>
      <c r="K83" s="794"/>
      <c r="L83" s="794"/>
      <c r="M83" s="794"/>
      <c r="N83" s="794"/>
      <c r="O83" s="794"/>
      <c r="P83" s="795"/>
      <c r="Q83" s="796"/>
      <c r="R83" s="793"/>
      <c r="S83" s="797"/>
      <c r="T83" s="797"/>
      <c r="U83" s="797"/>
      <c r="V83" s="797"/>
      <c r="W83" s="797"/>
      <c r="X83" s="797"/>
      <c r="Y83" s="797"/>
      <c r="Z83" s="797"/>
      <c r="AA83" s="797"/>
      <c r="AB83" s="797"/>
      <c r="AC83" s="797"/>
      <c r="AD83" s="798"/>
      <c r="AE83" s="799"/>
      <c r="AF83" s="800"/>
      <c r="AG83" s="800"/>
      <c r="AH83" s="800"/>
      <c r="AI83" s="800"/>
      <c r="AJ83" s="800"/>
      <c r="AK83" s="800"/>
      <c r="AL83" s="800"/>
      <c r="AM83" s="800"/>
      <c r="AN83" s="800"/>
      <c r="AO83" s="800"/>
      <c r="AP83" s="800"/>
      <c r="AQ83" s="800"/>
      <c r="AR83" s="786"/>
      <c r="AS83" s="799"/>
      <c r="AT83" s="800"/>
      <c r="AU83" s="800"/>
      <c r="AV83" s="800"/>
      <c r="AW83" s="800"/>
      <c r="AX83" s="800"/>
      <c r="AY83" s="800"/>
      <c r="AZ83" s="800"/>
      <c r="BA83" s="800"/>
      <c r="BB83" s="800"/>
      <c r="BC83" s="800"/>
      <c r="BD83" s="800"/>
      <c r="BE83" s="800"/>
      <c r="BF83" s="797"/>
      <c r="BG83" s="799"/>
      <c r="BH83" s="790"/>
      <c r="BI83" s="790"/>
      <c r="BJ83" s="790"/>
      <c r="BK83" s="790"/>
      <c r="BL83" s="790"/>
      <c r="BM83" s="790"/>
      <c r="BN83" s="790"/>
      <c r="BO83" s="790"/>
      <c r="BP83" s="790"/>
      <c r="BQ83" s="790"/>
      <c r="BR83" s="790"/>
      <c r="BS83" s="790"/>
      <c r="BT83" s="790"/>
      <c r="BU83" s="791"/>
      <c r="BV83" s="801"/>
      <c r="BW83" s="801"/>
      <c r="BX83" s="801"/>
      <c r="BY83" s="801"/>
      <c r="BZ83" s="801"/>
      <c r="CA83" s="801"/>
      <c r="CB83" s="801"/>
      <c r="CC83" s="801"/>
      <c r="CD83" s="801"/>
      <c r="CE83" s="801"/>
      <c r="CF83" s="801"/>
      <c r="CG83" s="801"/>
      <c r="CH83" s="801"/>
      <c r="CI83" s="802"/>
      <c r="CJ83" s="801"/>
      <c r="CK83" s="801"/>
      <c r="CL83" s="801"/>
      <c r="CM83" s="801"/>
      <c r="CN83" s="801"/>
      <c r="CO83" s="801"/>
      <c r="CP83" s="801"/>
      <c r="CQ83" s="801"/>
      <c r="CR83" s="801"/>
      <c r="CS83" s="801"/>
      <c r="CT83" s="801">
        <v>25469</v>
      </c>
      <c r="CU83" s="801">
        <v>14680</v>
      </c>
      <c r="CV83" s="790"/>
      <c r="CW83" s="758"/>
      <c r="CX83" s="900">
        <v>9000</v>
      </c>
      <c r="CY83" s="900">
        <v>14000</v>
      </c>
      <c r="CZ83" s="900">
        <v>18000</v>
      </c>
      <c r="DA83" s="900">
        <v>18000</v>
      </c>
      <c r="DB83" s="900">
        <v>19000</v>
      </c>
      <c r="DC83" s="900">
        <v>14000</v>
      </c>
      <c r="DD83" s="900">
        <v>25000</v>
      </c>
      <c r="DE83" s="900">
        <v>25000</v>
      </c>
      <c r="DF83" s="900">
        <v>30000</v>
      </c>
      <c r="DG83" s="900">
        <v>20000</v>
      </c>
      <c r="DH83" s="900">
        <v>19000</v>
      </c>
      <c r="DI83" s="900">
        <v>10000</v>
      </c>
      <c r="DJ83" s="801">
        <f t="shared" ref="DJ83:DJ84" si="155">SUM(CX83:DI83)</f>
        <v>221000</v>
      </c>
      <c r="DK83" s="948"/>
      <c r="DL83" s="900">
        <v>9000</v>
      </c>
      <c r="DM83" s="900">
        <v>14000</v>
      </c>
      <c r="DN83" s="900">
        <v>18000</v>
      </c>
      <c r="DO83" s="900">
        <v>18000</v>
      </c>
      <c r="DP83" s="900">
        <v>19000</v>
      </c>
      <c r="DQ83" s="900">
        <v>14000</v>
      </c>
      <c r="DR83" s="900">
        <v>20000</v>
      </c>
      <c r="DS83" s="900">
        <v>18000</v>
      </c>
      <c r="DT83" s="900">
        <v>24000</v>
      </c>
      <c r="DU83" s="900">
        <v>14000</v>
      </c>
      <c r="DV83" s="900">
        <v>19000</v>
      </c>
      <c r="DW83" s="900">
        <v>10000</v>
      </c>
      <c r="DX83" s="801">
        <f t="shared" ref="DX83:DX84" si="156">SUM(DL83:DW83)</f>
        <v>197000</v>
      </c>
    </row>
    <row r="84" spans="1:143" ht="15.75" hidden="1" customHeight="1" outlineLevel="1">
      <c r="A84" s="719"/>
      <c r="B84" s="936" t="s">
        <v>131</v>
      </c>
      <c r="C84" s="781"/>
      <c r="D84" s="793"/>
      <c r="E84" s="794"/>
      <c r="F84" s="794"/>
      <c r="G84" s="794"/>
      <c r="H84" s="794"/>
      <c r="I84" s="794"/>
      <c r="J84" s="794"/>
      <c r="K84" s="794"/>
      <c r="L84" s="794"/>
      <c r="M84" s="794"/>
      <c r="N84" s="794"/>
      <c r="O84" s="794"/>
      <c r="P84" s="795"/>
      <c r="Q84" s="796"/>
      <c r="R84" s="793"/>
      <c r="S84" s="797"/>
      <c r="T84" s="797"/>
      <c r="U84" s="797"/>
      <c r="V84" s="797"/>
      <c r="W84" s="797"/>
      <c r="X84" s="797"/>
      <c r="Y84" s="797"/>
      <c r="Z84" s="797"/>
      <c r="AA84" s="797"/>
      <c r="AB84" s="797"/>
      <c r="AC84" s="797"/>
      <c r="AD84" s="798"/>
      <c r="AE84" s="799"/>
      <c r="AF84" s="800"/>
      <c r="AG84" s="800"/>
      <c r="AH84" s="800"/>
      <c r="AI84" s="800"/>
      <c r="AJ84" s="800"/>
      <c r="AK84" s="800"/>
      <c r="AL84" s="800"/>
      <c r="AM84" s="800"/>
      <c r="AN84" s="800"/>
      <c r="AO84" s="800"/>
      <c r="AP84" s="800"/>
      <c r="AQ84" s="800"/>
      <c r="AR84" s="786"/>
      <c r="AS84" s="799"/>
      <c r="AT84" s="800"/>
      <c r="AU84" s="800"/>
      <c r="AV84" s="800"/>
      <c r="AW84" s="800"/>
      <c r="AX84" s="800"/>
      <c r="AY84" s="800"/>
      <c r="AZ84" s="800"/>
      <c r="BA84" s="800"/>
      <c r="BB84" s="800"/>
      <c r="BC84" s="800"/>
      <c r="BD84" s="800"/>
      <c r="BE84" s="800"/>
      <c r="BF84" s="797"/>
      <c r="BG84" s="799"/>
      <c r="BH84" s="790"/>
      <c r="BI84" s="790"/>
      <c r="BJ84" s="790"/>
      <c r="BK84" s="790"/>
      <c r="BL84" s="790"/>
      <c r="BM84" s="790"/>
      <c r="BN84" s="790"/>
      <c r="BO84" s="790"/>
      <c r="BP84" s="790"/>
      <c r="BQ84" s="790"/>
      <c r="BR84" s="790"/>
      <c r="BS84" s="790"/>
      <c r="BT84" s="790"/>
      <c r="BU84" s="791"/>
      <c r="BV84" s="801"/>
      <c r="BW84" s="801"/>
      <c r="BX84" s="801"/>
      <c r="BY84" s="801"/>
      <c r="BZ84" s="801"/>
      <c r="CA84" s="801"/>
      <c r="CB84" s="801"/>
      <c r="CC84" s="801"/>
      <c r="CD84" s="801"/>
      <c r="CE84" s="801"/>
      <c r="CF84" s="801"/>
      <c r="CG84" s="801"/>
      <c r="CH84" s="801"/>
      <c r="CI84" s="802"/>
      <c r="CJ84" s="801"/>
      <c r="CK84" s="801"/>
      <c r="CL84" s="801"/>
      <c r="CM84" s="801"/>
      <c r="CN84" s="801"/>
      <c r="CO84" s="801"/>
      <c r="CP84" s="801"/>
      <c r="CQ84" s="801"/>
      <c r="CR84" s="801"/>
      <c r="CS84" s="801"/>
      <c r="CT84" s="801">
        <f>CT100</f>
        <v>20460</v>
      </c>
      <c r="CU84" s="801">
        <f>CU100</f>
        <v>39440</v>
      </c>
      <c r="CV84" s="790"/>
      <c r="CW84" s="758"/>
      <c r="CX84" s="900">
        <f>CX100</f>
        <v>53880</v>
      </c>
      <c r="CY84" s="900">
        <f t="shared" ref="CY84:DI84" si="157">CY100</f>
        <v>30080</v>
      </c>
      <c r="CZ84" s="900">
        <f t="shared" si="157"/>
        <v>34020</v>
      </c>
      <c r="DA84" s="900">
        <f t="shared" si="157"/>
        <v>21160</v>
      </c>
      <c r="DB84" s="900">
        <f t="shared" si="157"/>
        <v>10000</v>
      </c>
      <c r="DC84" s="900">
        <f t="shared" si="157"/>
        <v>50000</v>
      </c>
      <c r="DD84" s="900">
        <f t="shared" si="157"/>
        <v>40000</v>
      </c>
      <c r="DE84" s="900">
        <f t="shared" si="157"/>
        <v>40000</v>
      </c>
      <c r="DF84" s="900">
        <f>DF100</f>
        <v>35000</v>
      </c>
      <c r="DG84" s="900">
        <f t="shared" si="157"/>
        <v>20000</v>
      </c>
      <c r="DH84" s="900">
        <f t="shared" si="157"/>
        <v>10000</v>
      </c>
      <c r="DI84" s="900">
        <f t="shared" si="157"/>
        <v>50000</v>
      </c>
      <c r="DJ84" s="801">
        <f t="shared" si="155"/>
        <v>394140</v>
      </c>
      <c r="DK84" s="948"/>
      <c r="DL84" s="900">
        <f>DL100</f>
        <v>53880</v>
      </c>
      <c r="DM84" s="900">
        <f t="shared" ref="DM84:DW84" si="158">DM100</f>
        <v>30080</v>
      </c>
      <c r="DN84" s="900">
        <f t="shared" si="158"/>
        <v>34020</v>
      </c>
      <c r="DO84" s="900">
        <f t="shared" si="158"/>
        <v>21160</v>
      </c>
      <c r="DP84" s="900">
        <f t="shared" si="158"/>
        <v>10000</v>
      </c>
      <c r="DQ84" s="900">
        <f t="shared" si="158"/>
        <v>50000</v>
      </c>
      <c r="DR84" s="900">
        <f t="shared" si="158"/>
        <v>40000</v>
      </c>
      <c r="DS84" s="900">
        <f t="shared" si="158"/>
        <v>40000</v>
      </c>
      <c r="DT84" s="900">
        <f t="shared" si="158"/>
        <v>35000</v>
      </c>
      <c r="DU84" s="900">
        <f t="shared" si="158"/>
        <v>20000</v>
      </c>
      <c r="DV84" s="900">
        <f t="shared" si="158"/>
        <v>10000</v>
      </c>
      <c r="DW84" s="900">
        <f t="shared" si="158"/>
        <v>50000</v>
      </c>
      <c r="DX84" s="801">
        <f t="shared" si="156"/>
        <v>394140</v>
      </c>
    </row>
    <row r="85" spans="1:143" ht="18.75" hidden="1" outlineLevel="1">
      <c r="A85" s="94"/>
      <c r="B85" s="921" t="s">
        <v>91</v>
      </c>
      <c r="C85" s="934"/>
      <c r="D85" s="313">
        <v>98048</v>
      </c>
      <c r="E85" s="89">
        <v>128688</v>
      </c>
      <c r="F85" s="89">
        <v>124704</v>
      </c>
      <c r="G85" s="89">
        <v>157500</v>
      </c>
      <c r="H85" s="89">
        <v>182600</v>
      </c>
      <c r="I85" s="89">
        <v>157700</v>
      </c>
      <c r="J85" s="89">
        <v>181700</v>
      </c>
      <c r="K85" s="89">
        <v>165900</v>
      </c>
      <c r="L85" s="89">
        <v>174300</v>
      </c>
      <c r="M85" s="89">
        <v>215800</v>
      </c>
      <c r="N85" s="89">
        <v>180000</v>
      </c>
      <c r="O85" s="89">
        <v>112500</v>
      </c>
      <c r="P85" s="314">
        <f t="shared" si="146"/>
        <v>1879440</v>
      </c>
      <c r="Q85" s="90"/>
      <c r="R85" s="313">
        <v>158400</v>
      </c>
      <c r="S85" s="91">
        <v>146000</v>
      </c>
      <c r="T85" s="91">
        <v>102200</v>
      </c>
      <c r="U85" s="91">
        <v>0</v>
      </c>
      <c r="V85" s="91">
        <v>43800</v>
      </c>
      <c r="W85" s="91">
        <v>160600</v>
      </c>
      <c r="X85" s="91">
        <v>167900</v>
      </c>
      <c r="Y85" s="91">
        <v>153300</v>
      </c>
      <c r="Z85" s="91">
        <v>153300</v>
      </c>
      <c r="AA85" s="91">
        <v>153300</v>
      </c>
      <c r="AB85" s="91">
        <v>146000</v>
      </c>
      <c r="AC85" s="91">
        <v>124100</v>
      </c>
      <c r="AD85" s="315"/>
      <c r="AE85" s="23"/>
      <c r="AF85" s="316">
        <v>131400</v>
      </c>
      <c r="AG85" s="91">
        <v>146000</v>
      </c>
      <c r="AH85" s="91">
        <v>125511</v>
      </c>
      <c r="AI85" s="91">
        <v>135000</v>
      </c>
      <c r="AJ85" s="91">
        <v>177320</v>
      </c>
      <c r="AK85" s="91">
        <v>151300</v>
      </c>
      <c r="AL85" s="91">
        <v>176000</v>
      </c>
      <c r="AM85" s="91">
        <f>AM86*AM8</f>
        <v>154000</v>
      </c>
      <c r="AN85" s="91">
        <f>AN86*AN8</f>
        <v>157500</v>
      </c>
      <c r="AO85" s="91">
        <f>AO86*AO8</f>
        <v>140000</v>
      </c>
      <c r="AP85" s="91">
        <f>AP86*AP8</f>
        <v>130000</v>
      </c>
      <c r="AQ85" s="91">
        <f>AQ86*AQ8+16000</f>
        <v>100000</v>
      </c>
      <c r="AR85" s="92">
        <f t="shared" si="149"/>
        <v>1724031</v>
      </c>
      <c r="AS85" s="23"/>
      <c r="AT85" s="91">
        <f>AT86*AT8</f>
        <v>133000</v>
      </c>
      <c r="AU85" s="91">
        <f>125180</f>
        <v>125180</v>
      </c>
      <c r="AV85" s="91">
        <f>AV86*AV8+7428</f>
        <v>117228</v>
      </c>
      <c r="AW85" s="91">
        <f>AW86*AW8</f>
        <v>123500</v>
      </c>
      <c r="AX85" s="91">
        <f>AX86*AX8</f>
        <v>132000</v>
      </c>
      <c r="AY85" s="91">
        <f>AY86*AY8</f>
        <v>153342.99999899999</v>
      </c>
      <c r="AZ85" s="91">
        <v>142409</v>
      </c>
      <c r="BA85" s="91">
        <v>163520</v>
      </c>
      <c r="BB85" s="91">
        <f>BB86*BB8</f>
        <v>165000</v>
      </c>
      <c r="BC85" s="91">
        <f>BC86*BC8</f>
        <v>157500</v>
      </c>
      <c r="BD85" s="316">
        <v>129431</v>
      </c>
      <c r="BE85" s="316">
        <v>61700</v>
      </c>
      <c r="BF85" s="91">
        <f t="shared" si="151"/>
        <v>1603810.999999</v>
      </c>
      <c r="BG85" s="27">
        <f>BF85+BF88-AR85-AR88</f>
        <v>-113040.00000100001</v>
      </c>
      <c r="BH85" s="91">
        <v>136760</v>
      </c>
      <c r="BI85" s="91">
        <v>116580</v>
      </c>
      <c r="BJ85" s="91">
        <v>148340</v>
      </c>
      <c r="BK85" s="91">
        <v>112360</v>
      </c>
      <c r="BL85" s="91">
        <v>108660</v>
      </c>
      <c r="BM85" s="91">
        <v>153416</v>
      </c>
      <c r="BN85" s="91">
        <v>137676</v>
      </c>
      <c r="BO85" s="91">
        <v>150654</v>
      </c>
      <c r="BP85" s="91">
        <f>7100*BP8</f>
        <v>142000</v>
      </c>
      <c r="BQ85" s="91">
        <f t="shared" ref="BQ85:BR85" si="159">BQ82-BQ88</f>
        <v>136725</v>
      </c>
      <c r="BR85" s="91">
        <f t="shared" si="159"/>
        <v>167069</v>
      </c>
      <c r="BS85" s="91">
        <v>124020</v>
      </c>
      <c r="BT85" s="91">
        <f t="shared" si="153"/>
        <v>1634260</v>
      </c>
      <c r="BU85" s="28"/>
      <c r="BV85" s="397">
        <f>BV86*BV87-24551</f>
        <v>108449</v>
      </c>
      <c r="BW85" s="397">
        <f>BW86*BW87</f>
        <v>133000</v>
      </c>
      <c r="BX85" s="397">
        <f t="shared" ref="BX85:CG85" si="160">BX86*BX87</f>
        <v>147000</v>
      </c>
      <c r="BY85" s="397">
        <f>BY86*BY87</f>
        <v>172800</v>
      </c>
      <c r="BZ85" s="397">
        <f>BZ86*BZ87</f>
        <v>165600</v>
      </c>
      <c r="CA85" s="397">
        <f>CA86*CA87</f>
        <v>158400</v>
      </c>
      <c r="CB85" s="397">
        <f>CB86*CB87</f>
        <v>180000</v>
      </c>
      <c r="CC85" s="397">
        <f t="shared" si="160"/>
        <v>172800</v>
      </c>
      <c r="CD85" s="397">
        <f t="shared" si="160"/>
        <v>172800</v>
      </c>
      <c r="CE85" s="397">
        <f t="shared" si="160"/>
        <v>172800</v>
      </c>
      <c r="CF85" s="397">
        <f t="shared" si="160"/>
        <v>167200</v>
      </c>
      <c r="CG85" s="397">
        <f t="shared" si="160"/>
        <v>98800</v>
      </c>
      <c r="CH85" s="91">
        <f t="shared" si="154"/>
        <v>1849649</v>
      </c>
      <c r="CI85" s="395">
        <f>(CH85-BT91)/BT91</f>
        <v>0.29391868731173409</v>
      </c>
      <c r="CJ85" s="397">
        <f>CJ82</f>
        <v>165000</v>
      </c>
      <c r="CK85" s="397">
        <f t="shared" ref="CK85:CO85" si="161">CK82</f>
        <v>188600</v>
      </c>
      <c r="CL85" s="397">
        <f t="shared" si="161"/>
        <v>171000</v>
      </c>
      <c r="CM85" s="397">
        <f t="shared" si="161"/>
        <v>200000</v>
      </c>
      <c r="CN85" s="397">
        <f t="shared" si="161"/>
        <v>178290</v>
      </c>
      <c r="CO85" s="397">
        <f t="shared" si="161"/>
        <v>198000</v>
      </c>
      <c r="CP85" s="397">
        <v>168760</v>
      </c>
      <c r="CQ85" s="397">
        <v>194340</v>
      </c>
      <c r="CR85" s="397">
        <v>208000</v>
      </c>
      <c r="CS85" s="397">
        <v>201780</v>
      </c>
      <c r="CT85" s="397">
        <v>154060</v>
      </c>
      <c r="CU85" s="397">
        <v>96720</v>
      </c>
      <c r="CV85" s="91">
        <v>1949109</v>
      </c>
      <c r="CW85" s="758"/>
      <c r="CX85" s="397">
        <f>CX82</f>
        <v>131887.09999999998</v>
      </c>
      <c r="CY85" s="397">
        <f t="shared" ref="CY85:DC85" si="162">CY82</f>
        <v>117864.6</v>
      </c>
      <c r="CZ85" s="397">
        <f t="shared" si="162"/>
        <v>1380</v>
      </c>
      <c r="DA85" s="397">
        <f t="shared" si="162"/>
        <v>40840</v>
      </c>
      <c r="DB85" s="397">
        <f>DB82</f>
        <v>152104</v>
      </c>
      <c r="DC85" s="397">
        <f t="shared" si="162"/>
        <v>115170</v>
      </c>
      <c r="DD85" s="397">
        <v>168760</v>
      </c>
      <c r="DE85" s="397">
        <v>194340</v>
      </c>
      <c r="DF85" s="397">
        <v>208000</v>
      </c>
      <c r="DG85" s="397">
        <v>201780</v>
      </c>
      <c r="DH85" s="397">
        <v>154060</v>
      </c>
      <c r="DI85" s="397">
        <v>96720</v>
      </c>
      <c r="DJ85" s="91">
        <v>1949109</v>
      </c>
      <c r="DK85" s="948"/>
      <c r="DL85" s="397">
        <f>DL82</f>
        <v>109659</v>
      </c>
      <c r="DM85" s="397">
        <f t="shared" ref="DM85:DQ85" si="163">DM82</f>
        <v>102578.15</v>
      </c>
      <c r="DN85" s="397">
        <f t="shared" si="163"/>
        <v>147762</v>
      </c>
      <c r="DO85" s="397">
        <f t="shared" si="163"/>
        <v>160622</v>
      </c>
      <c r="DP85" s="397">
        <f t="shared" si="163"/>
        <v>148987.6</v>
      </c>
      <c r="DQ85" s="397">
        <f t="shared" si="163"/>
        <v>117165.94999999998</v>
      </c>
      <c r="DR85" s="397">
        <v>168760</v>
      </c>
      <c r="DS85" s="397">
        <v>194340</v>
      </c>
      <c r="DT85" s="397">
        <v>208000</v>
      </c>
      <c r="DU85" s="397">
        <v>201780</v>
      </c>
      <c r="DV85" s="397">
        <v>154060</v>
      </c>
      <c r="DW85" s="397">
        <v>96720</v>
      </c>
      <c r="DX85" s="91">
        <v>1949109</v>
      </c>
    </row>
    <row r="86" spans="1:143" ht="15.75" customHeight="1" outlineLevel="1">
      <c r="A86" s="821"/>
      <c r="B86" s="937" t="s">
        <v>92</v>
      </c>
      <c r="C86" s="902"/>
      <c r="D86" s="804"/>
      <c r="E86" s="805"/>
      <c r="F86" s="805"/>
      <c r="G86" s="805"/>
      <c r="H86" s="805"/>
      <c r="I86" s="805"/>
      <c r="J86" s="805"/>
      <c r="K86" s="805"/>
      <c r="L86" s="805"/>
      <c r="M86" s="805"/>
      <c r="N86" s="805"/>
      <c r="O86" s="805"/>
      <c r="P86" s="806"/>
      <c r="Q86" s="807"/>
      <c r="R86" s="808">
        <f>R85/R8</f>
        <v>7200</v>
      </c>
      <c r="S86" s="808">
        <f>S85/S8</f>
        <v>7300</v>
      </c>
      <c r="T86" s="808">
        <f>T85/T8</f>
        <v>7300</v>
      </c>
      <c r="U86" s="808">
        <f>U85/U8</f>
        <v>0</v>
      </c>
      <c r="V86" s="808">
        <f>V85/V8</f>
        <v>3650</v>
      </c>
      <c r="W86" s="808">
        <f>W85/W8</f>
        <v>7300</v>
      </c>
      <c r="X86" s="808">
        <f>X85/X8</f>
        <v>7300</v>
      </c>
      <c r="Y86" s="808">
        <f>Y85/Y8</f>
        <v>7300</v>
      </c>
      <c r="Z86" s="808">
        <f>Z85/Z8</f>
        <v>7300</v>
      </c>
      <c r="AA86" s="808">
        <f>AA85/AA8</f>
        <v>7300</v>
      </c>
      <c r="AB86" s="808">
        <f>AB85/AB8</f>
        <v>7300</v>
      </c>
      <c r="AC86" s="808">
        <f>AC85/AC8</f>
        <v>7300</v>
      </c>
      <c r="AD86" s="809"/>
      <c r="AE86" s="28"/>
      <c r="AF86" s="808">
        <f>AF85/AF8</f>
        <v>7300</v>
      </c>
      <c r="AG86" s="808">
        <f>AG85/AG8</f>
        <v>7300</v>
      </c>
      <c r="AH86" s="808">
        <f>AH85/AH8</f>
        <v>6275.55</v>
      </c>
      <c r="AI86" s="808">
        <f>AI85/AI8</f>
        <v>6750</v>
      </c>
      <c r="AJ86" s="808">
        <f>AJ85/AJ8</f>
        <v>8060</v>
      </c>
      <c r="AK86" s="808">
        <f>AK85/AK8</f>
        <v>7565</v>
      </c>
      <c r="AL86" s="808">
        <f>AL85/AL8</f>
        <v>8000</v>
      </c>
      <c r="AM86" s="596">
        <v>7000</v>
      </c>
      <c r="AN86" s="596">
        <v>7500</v>
      </c>
      <c r="AO86" s="596">
        <v>7000</v>
      </c>
      <c r="AP86" s="596">
        <v>6500</v>
      </c>
      <c r="AQ86" s="596">
        <v>7000</v>
      </c>
      <c r="AR86" s="810">
        <f>AVERAGE(AF86:AQ86)</f>
        <v>7187.5458333333336</v>
      </c>
      <c r="AS86" s="28"/>
      <c r="AT86" s="596">
        <v>7000</v>
      </c>
      <c r="AU86" s="596">
        <f>AU85/AU8</f>
        <v>6588.4210526315792</v>
      </c>
      <c r="AV86" s="596">
        <v>6100</v>
      </c>
      <c r="AW86" s="596">
        <v>6500</v>
      </c>
      <c r="AX86" s="596">
        <v>6000</v>
      </c>
      <c r="AY86" s="596">
        <v>7302.0476189999999</v>
      </c>
      <c r="AZ86" s="596">
        <v>7000</v>
      </c>
      <c r="BA86" s="596">
        <f>BA85/BA8</f>
        <v>7432.727272727273</v>
      </c>
      <c r="BB86" s="596">
        <v>7500</v>
      </c>
      <c r="BC86" s="596">
        <v>7500</v>
      </c>
      <c r="BD86" s="596">
        <f>BD85/BD8</f>
        <v>6471.55</v>
      </c>
      <c r="BE86" s="596">
        <f>BE85/BE8</f>
        <v>6170</v>
      </c>
      <c r="BF86" s="596">
        <f>AVERAGE(AT86:BE86)</f>
        <v>6797.0621620299053</v>
      </c>
      <c r="BG86" s="28"/>
      <c r="BH86" s="596">
        <f>BH85/BH8</f>
        <v>6838</v>
      </c>
      <c r="BI86" s="596">
        <f>BI85/BI8</f>
        <v>6857.6470588235297</v>
      </c>
      <c r="BJ86" s="596">
        <f>BJ85/BJ8</f>
        <v>6449.565217391304</v>
      </c>
      <c r="BK86" s="596">
        <f>BK85/BK8</f>
        <v>6242.2222222222226</v>
      </c>
      <c r="BL86" s="596">
        <f>BL85/BL8</f>
        <v>4939.090909090909</v>
      </c>
      <c r="BM86" s="596">
        <f>BM85/BM8</f>
        <v>6670.260869565217</v>
      </c>
      <c r="BN86" s="596">
        <f>BN85/BN8</f>
        <v>6556</v>
      </c>
      <c r="BO86" s="596">
        <f>BO85/BO8</f>
        <v>7174</v>
      </c>
      <c r="BP86" s="596">
        <f>BP85/BP8</f>
        <v>7100</v>
      </c>
      <c r="BQ86" s="596">
        <f>BQ85/BQ8</f>
        <v>6510.7142857142853</v>
      </c>
      <c r="BR86" s="596">
        <f>BR85/BR8</f>
        <v>8353.4500000000007</v>
      </c>
      <c r="BS86" s="596">
        <f>BS85/BS8</f>
        <v>8858.5714285714294</v>
      </c>
      <c r="BT86" s="596">
        <f>AVERAGE(BH86:BS86)</f>
        <v>6879.1268326149084</v>
      </c>
      <c r="BU86" s="28"/>
      <c r="BV86" s="596">
        <v>7000</v>
      </c>
      <c r="BW86" s="596">
        <v>7000</v>
      </c>
      <c r="BX86" s="596">
        <v>7000</v>
      </c>
      <c r="BY86" s="596">
        <v>7200</v>
      </c>
      <c r="BZ86" s="596">
        <v>7200</v>
      </c>
      <c r="CA86" s="596">
        <v>7200</v>
      </c>
      <c r="CB86" s="596">
        <v>7200</v>
      </c>
      <c r="CC86" s="596">
        <f t="shared" ref="CC86" si="164">CB86</f>
        <v>7200</v>
      </c>
      <c r="CD86" s="596">
        <v>7200</v>
      </c>
      <c r="CE86" s="596">
        <v>7200</v>
      </c>
      <c r="CF86" s="596">
        <v>7600</v>
      </c>
      <c r="CG86" s="596">
        <v>7600</v>
      </c>
      <c r="CH86" s="596"/>
      <c r="CI86" s="596"/>
      <c r="CJ86" s="596">
        <v>7500</v>
      </c>
      <c r="CK86" s="596">
        <v>8200</v>
      </c>
      <c r="CL86" s="596">
        <v>9000</v>
      </c>
      <c r="CM86" s="596">
        <v>10000</v>
      </c>
      <c r="CN86" s="596">
        <v>8490</v>
      </c>
      <c r="CO86" s="596">
        <v>9000</v>
      </c>
      <c r="CP86" s="596">
        <v>9800</v>
      </c>
      <c r="CQ86" s="596">
        <v>9900</v>
      </c>
      <c r="CR86" s="596">
        <f t="shared" ref="CR86" si="165">CQ86</f>
        <v>9900</v>
      </c>
      <c r="CS86" s="596">
        <v>9300</v>
      </c>
      <c r="CT86" s="596">
        <v>8400</v>
      </c>
      <c r="CU86" s="596">
        <v>9300</v>
      </c>
      <c r="CV86" s="596"/>
      <c r="CW86" s="758"/>
      <c r="CX86" s="596">
        <v>9319</v>
      </c>
      <c r="CY86" s="596">
        <v>8972</v>
      </c>
      <c r="CZ86" s="596">
        <v>8900</v>
      </c>
      <c r="DA86" s="596">
        <v>8000</v>
      </c>
      <c r="DB86" s="596">
        <v>8400</v>
      </c>
      <c r="DC86" s="596">
        <v>8200</v>
      </c>
      <c r="DD86" s="596">
        <v>9081</v>
      </c>
      <c r="DE86" s="596">
        <f>DD86</f>
        <v>9081</v>
      </c>
      <c r="DF86" s="596">
        <f t="shared" ref="DF86:DI86" si="166">DE86</f>
        <v>9081</v>
      </c>
      <c r="DG86" s="596">
        <f t="shared" si="166"/>
        <v>9081</v>
      </c>
      <c r="DH86" s="596">
        <f t="shared" si="166"/>
        <v>9081</v>
      </c>
      <c r="DI86" s="596">
        <f t="shared" si="166"/>
        <v>9081</v>
      </c>
      <c r="DJ86" s="596"/>
      <c r="DK86" s="948"/>
      <c r="DL86" s="596">
        <f>DI86</f>
        <v>9081</v>
      </c>
      <c r="DM86" s="596">
        <f>DL86</f>
        <v>9081</v>
      </c>
      <c r="DN86" s="596">
        <f t="shared" ref="DN86:DW86" si="167">DM86</f>
        <v>9081</v>
      </c>
      <c r="DO86" s="596">
        <f t="shared" si="167"/>
        <v>9081</v>
      </c>
      <c r="DP86" s="596">
        <f t="shared" si="167"/>
        <v>9081</v>
      </c>
      <c r="DQ86" s="596">
        <f t="shared" si="167"/>
        <v>9081</v>
      </c>
      <c r="DR86" s="596">
        <f t="shared" si="167"/>
        <v>9081</v>
      </c>
      <c r="DS86" s="596">
        <f t="shared" si="167"/>
        <v>9081</v>
      </c>
      <c r="DT86" s="596">
        <f t="shared" si="167"/>
        <v>9081</v>
      </c>
      <c r="DU86" s="596">
        <f t="shared" si="167"/>
        <v>9081</v>
      </c>
      <c r="DV86" s="596">
        <f t="shared" si="167"/>
        <v>9081</v>
      </c>
      <c r="DW86" s="596">
        <f t="shared" si="167"/>
        <v>9081</v>
      </c>
      <c r="DX86" s="596"/>
    </row>
    <row r="87" spans="1:143" ht="15.75" hidden="1" customHeight="1" outlineLevel="1">
      <c r="A87" s="821"/>
      <c r="B87" s="822" t="s">
        <v>93</v>
      </c>
      <c r="C87" s="803"/>
      <c r="D87" s="804"/>
      <c r="E87" s="805"/>
      <c r="F87" s="805"/>
      <c r="G87" s="805"/>
      <c r="H87" s="805"/>
      <c r="I87" s="805"/>
      <c r="J87" s="805"/>
      <c r="K87" s="805"/>
      <c r="L87" s="805"/>
      <c r="M87" s="805"/>
      <c r="N87" s="805"/>
      <c r="O87" s="805"/>
      <c r="P87" s="806"/>
      <c r="Q87" s="807"/>
      <c r="R87" s="804"/>
      <c r="S87" s="596">
        <v>15000</v>
      </c>
      <c r="T87" s="596">
        <v>15600</v>
      </c>
      <c r="U87" s="596">
        <v>2000</v>
      </c>
      <c r="V87" s="596">
        <v>10000</v>
      </c>
      <c r="W87" s="596">
        <v>30000</v>
      </c>
      <c r="X87" s="596">
        <v>20000</v>
      </c>
      <c r="Y87" s="596">
        <v>30000</v>
      </c>
      <c r="Z87" s="596">
        <v>30000</v>
      </c>
      <c r="AA87" s="596">
        <v>20000</v>
      </c>
      <c r="AB87" s="596">
        <v>20000</v>
      </c>
      <c r="AC87" s="596">
        <v>10000</v>
      </c>
      <c r="AD87" s="809"/>
      <c r="AE87" s="28"/>
      <c r="AF87" s="808">
        <v>30000</v>
      </c>
      <c r="AG87" s="596">
        <v>20000</v>
      </c>
      <c r="AH87" s="596">
        <v>24960</v>
      </c>
      <c r="AI87" s="596">
        <v>14040</v>
      </c>
      <c r="AJ87" s="596">
        <v>19040</v>
      </c>
      <c r="AK87" s="596">
        <v>12000</v>
      </c>
      <c r="AL87" s="596">
        <v>14000</v>
      </c>
      <c r="AM87" s="596">
        <v>13000</v>
      </c>
      <c r="AN87" s="596">
        <v>13000</v>
      </c>
      <c r="AO87" s="596">
        <v>0</v>
      </c>
      <c r="AP87" s="596">
        <v>0</v>
      </c>
      <c r="AQ87" s="596">
        <v>0</v>
      </c>
      <c r="AR87" s="810">
        <f t="shared" ref="AR87:AR88" si="168">SUM(AF87:AQ87)</f>
        <v>160040</v>
      </c>
      <c r="AS87" s="28"/>
      <c r="AT87" s="596">
        <v>0</v>
      </c>
      <c r="AU87" s="596">
        <v>0</v>
      </c>
      <c r="AV87" s="596"/>
      <c r="AW87" s="596"/>
      <c r="AX87" s="596"/>
      <c r="AY87" s="596"/>
      <c r="AZ87" s="596"/>
      <c r="BA87" s="596"/>
      <c r="BB87" s="596"/>
      <c r="BC87" s="596"/>
      <c r="BD87" s="596"/>
      <c r="BE87" s="596"/>
      <c r="BF87" s="596">
        <f t="shared" ref="BF87:BF88" si="169">SUM(AT87:BE87)</f>
        <v>0</v>
      </c>
      <c r="BG87" s="28">
        <f>BF87-AR87</f>
        <v>-160040</v>
      </c>
      <c r="BH87" s="596"/>
      <c r="BI87" s="596"/>
      <c r="BJ87" s="596"/>
      <c r="BK87" s="596"/>
      <c r="BL87" s="596"/>
      <c r="BM87" s="596"/>
      <c r="BN87" s="596"/>
      <c r="BO87" s="596"/>
      <c r="BP87" s="596"/>
      <c r="BQ87" s="596"/>
      <c r="BR87" s="596"/>
      <c r="BS87" s="596"/>
      <c r="BT87" s="596">
        <f t="shared" ref="BT87" si="170">SUM(BH87:BS87)</f>
        <v>0</v>
      </c>
      <c r="BU87" s="28"/>
      <c r="BV87" s="811">
        <f t="shared" ref="BV87:BZ87" si="171">BV8</f>
        <v>19</v>
      </c>
      <c r="BW87" s="811">
        <f t="shared" si="171"/>
        <v>19</v>
      </c>
      <c r="BX87" s="811">
        <f t="shared" si="171"/>
        <v>21</v>
      </c>
      <c r="BY87" s="811">
        <f t="shared" si="171"/>
        <v>24</v>
      </c>
      <c r="BZ87" s="811">
        <f t="shared" si="171"/>
        <v>23</v>
      </c>
      <c r="CA87" s="811">
        <f>CA8</f>
        <v>22</v>
      </c>
      <c r="CB87" s="811">
        <f t="shared" ref="CB87:CG87" si="172">CB8</f>
        <v>25</v>
      </c>
      <c r="CC87" s="811">
        <f t="shared" si="172"/>
        <v>24</v>
      </c>
      <c r="CD87" s="811">
        <f t="shared" si="172"/>
        <v>24</v>
      </c>
      <c r="CE87" s="811">
        <f t="shared" si="172"/>
        <v>24</v>
      </c>
      <c r="CF87" s="811">
        <f t="shared" si="172"/>
        <v>22</v>
      </c>
      <c r="CG87" s="811">
        <f t="shared" si="172"/>
        <v>13</v>
      </c>
      <c r="CH87" s="596">
        <f t="shared" ref="CH87" si="173">SUM(BV87:CG87)</f>
        <v>260</v>
      </c>
      <c r="CJ87" s="812">
        <f>CJ8</f>
        <v>22</v>
      </c>
      <c r="CK87" s="812">
        <f t="shared" ref="CK87:CO87" si="174">CK8</f>
        <v>23</v>
      </c>
      <c r="CL87" s="812">
        <f t="shared" si="174"/>
        <v>19</v>
      </c>
      <c r="CM87" s="812">
        <f t="shared" si="174"/>
        <v>20</v>
      </c>
      <c r="CN87" s="812">
        <f t="shared" si="174"/>
        <v>21</v>
      </c>
      <c r="CO87" s="812">
        <f t="shared" si="174"/>
        <v>22</v>
      </c>
      <c r="CP87" s="596"/>
      <c r="CQ87" s="596"/>
      <c r="CR87" s="596"/>
      <c r="CS87" s="596"/>
      <c r="CT87" s="596"/>
      <c r="CU87" s="596"/>
      <c r="CV87" s="596">
        <v>131</v>
      </c>
      <c r="CW87" s="758"/>
      <c r="CX87" s="812">
        <f>CX8</f>
        <v>22</v>
      </c>
      <c r="CY87" s="812">
        <f t="shared" ref="CY87:DC87" si="175">CY8</f>
        <v>19</v>
      </c>
      <c r="CZ87" s="812">
        <f t="shared" si="175"/>
        <v>6</v>
      </c>
      <c r="DA87" s="812">
        <f>21-6</f>
        <v>15</v>
      </c>
      <c r="DB87" s="812">
        <f t="shared" si="175"/>
        <v>22</v>
      </c>
      <c r="DC87" s="812">
        <f>DC8</f>
        <v>23</v>
      </c>
      <c r="DD87" s="812">
        <f t="shared" ref="DD87:DI87" si="176">DD8</f>
        <v>24</v>
      </c>
      <c r="DE87" s="812">
        <f t="shared" si="176"/>
        <v>21</v>
      </c>
      <c r="DF87" s="812">
        <f t="shared" si="176"/>
        <v>21</v>
      </c>
      <c r="DG87" s="812">
        <f t="shared" si="176"/>
        <v>21</v>
      </c>
      <c r="DH87" s="812">
        <f t="shared" si="176"/>
        <v>19</v>
      </c>
      <c r="DI87" s="812">
        <f t="shared" si="176"/>
        <v>12</v>
      </c>
      <c r="DJ87" s="596">
        <v>131</v>
      </c>
      <c r="DK87" s="948"/>
      <c r="DL87" s="812">
        <f>DL8</f>
        <v>20</v>
      </c>
      <c r="DM87" s="812">
        <f t="shared" ref="DM87:DQ87" si="177">DM8</f>
        <v>17</v>
      </c>
      <c r="DN87" s="812">
        <f t="shared" si="177"/>
        <v>22</v>
      </c>
      <c r="DO87" s="812">
        <f t="shared" si="177"/>
        <v>22</v>
      </c>
      <c r="DP87" s="812">
        <f t="shared" si="177"/>
        <v>20</v>
      </c>
      <c r="DQ87" s="812">
        <f>DQ8</f>
        <v>21</v>
      </c>
      <c r="DR87" s="812">
        <f t="shared" ref="DR87:DW87" si="178">DR8</f>
        <v>23</v>
      </c>
      <c r="DS87" s="812">
        <f t="shared" si="178"/>
        <v>21</v>
      </c>
      <c r="DT87" s="812">
        <f t="shared" si="178"/>
        <v>21</v>
      </c>
      <c r="DU87" s="812">
        <f t="shared" si="178"/>
        <v>21</v>
      </c>
      <c r="DV87" s="812">
        <f t="shared" si="178"/>
        <v>19</v>
      </c>
      <c r="DW87" s="812">
        <f t="shared" si="178"/>
        <v>16</v>
      </c>
      <c r="DX87" s="596">
        <v>131</v>
      </c>
    </row>
    <row r="88" spans="1:143" ht="15.75" customHeight="1" outlineLevel="1">
      <c r="A88" s="821"/>
      <c r="B88" s="937" t="s">
        <v>132</v>
      </c>
      <c r="C88" s="902"/>
      <c r="D88" s="1026"/>
      <c r="E88" s="1027"/>
      <c r="F88" s="1027"/>
      <c r="G88" s="1027"/>
      <c r="H88" s="1027"/>
      <c r="I88" s="1027"/>
      <c r="J88" s="1027"/>
      <c r="K88" s="1027"/>
      <c r="L88" s="1027"/>
      <c r="M88" s="1027"/>
      <c r="N88" s="1027"/>
      <c r="O88" s="1027"/>
      <c r="P88" s="1028"/>
      <c r="Q88" s="1029"/>
      <c r="R88" s="1026"/>
      <c r="S88" s="1030"/>
      <c r="T88" s="1030">
        <v>0</v>
      </c>
      <c r="U88" s="1030">
        <v>0</v>
      </c>
      <c r="V88" s="1030">
        <v>0</v>
      </c>
      <c r="W88" s="1030">
        <v>0</v>
      </c>
      <c r="X88" s="1030">
        <v>0</v>
      </c>
      <c r="Y88" s="1030">
        <v>13500</v>
      </c>
      <c r="Z88" s="1030">
        <v>9000</v>
      </c>
      <c r="AA88" s="1030">
        <v>9000</v>
      </c>
      <c r="AB88" s="1030">
        <v>9000</v>
      </c>
      <c r="AC88" s="1030">
        <v>0</v>
      </c>
      <c r="AD88" s="1031"/>
      <c r="AE88" s="1032"/>
      <c r="AF88" s="1030">
        <v>13500</v>
      </c>
      <c r="AG88" s="1030">
        <v>13500</v>
      </c>
      <c r="AH88" s="1030">
        <v>2820</v>
      </c>
      <c r="AI88" s="1030">
        <v>0</v>
      </c>
      <c r="AJ88" s="1030">
        <v>0</v>
      </c>
      <c r="AK88" s="1030">
        <v>0</v>
      </c>
      <c r="AL88" s="1030">
        <v>0</v>
      </c>
      <c r="AM88" s="1030"/>
      <c r="AN88" s="1030"/>
      <c r="AO88" s="1030"/>
      <c r="AP88" s="1030"/>
      <c r="AQ88" s="1030"/>
      <c r="AR88" s="1033">
        <f t="shared" si="168"/>
        <v>29820</v>
      </c>
      <c r="AS88" s="1032"/>
      <c r="AT88" s="1030"/>
      <c r="AU88" s="1030"/>
      <c r="AV88" s="1030"/>
      <c r="AW88" s="1030">
        <v>4000</v>
      </c>
      <c r="AX88" s="1030">
        <v>8000</v>
      </c>
      <c r="AY88" s="1030">
        <v>5000</v>
      </c>
      <c r="AZ88" s="1030">
        <v>10000</v>
      </c>
      <c r="BA88" s="1030">
        <v>10000</v>
      </c>
      <c r="BB88" s="1030">
        <v>0</v>
      </c>
      <c r="BC88" s="1030">
        <v>0</v>
      </c>
      <c r="BD88" s="1030">
        <v>0</v>
      </c>
      <c r="BE88" s="1030"/>
      <c r="BF88" s="1030">
        <f t="shared" si="169"/>
        <v>37000</v>
      </c>
      <c r="BG88" s="1032"/>
      <c r="BH88" s="1030">
        <v>3000</v>
      </c>
      <c r="BI88" s="1030"/>
      <c r="BJ88" s="1030"/>
      <c r="BK88" s="1030"/>
      <c r="BL88" s="1030"/>
      <c r="BM88" s="1030"/>
      <c r="BN88" s="1030"/>
      <c r="BO88" s="1030">
        <v>10000</v>
      </c>
      <c r="BP88" s="1030">
        <v>15000</v>
      </c>
      <c r="BQ88" s="1030">
        <v>20000</v>
      </c>
      <c r="BR88" s="1030">
        <v>15000</v>
      </c>
      <c r="BS88" s="1030">
        <f>7200*9/2</f>
        <v>32400</v>
      </c>
      <c r="BT88" s="1030">
        <f>SUM(BH88:BS88)</f>
        <v>95400</v>
      </c>
      <c r="BU88" s="1032"/>
      <c r="BV88" s="1030">
        <f>BV91-BV82</f>
        <v>21584</v>
      </c>
      <c r="BW88" s="1030">
        <f t="shared" ref="BW88:CG88" si="179">BW91-BW82</f>
        <v>18963</v>
      </c>
      <c r="BX88" s="1030">
        <f t="shared" si="179"/>
        <v>-2354</v>
      </c>
      <c r="BY88" s="1030">
        <f t="shared" si="179"/>
        <v>5998</v>
      </c>
      <c r="BZ88" s="1030">
        <f t="shared" si="179"/>
        <v>-13737</v>
      </c>
      <c r="CA88" s="1030">
        <f t="shared" si="179"/>
        <v>-6090</v>
      </c>
      <c r="CB88" s="1030">
        <f t="shared" si="179"/>
        <v>-2176</v>
      </c>
      <c r="CC88" s="1030">
        <f t="shared" si="179"/>
        <v>-17344</v>
      </c>
      <c r="CD88" s="1030">
        <f t="shared" si="179"/>
        <v>-13369</v>
      </c>
      <c r="CE88" s="1030">
        <f t="shared" si="179"/>
        <v>793</v>
      </c>
      <c r="CF88" s="1030">
        <f t="shared" si="179"/>
        <v>-12350</v>
      </c>
      <c r="CG88" s="1030">
        <f t="shared" si="179"/>
        <v>-98800</v>
      </c>
      <c r="CH88" s="1033">
        <f>SUM(CD88:CG88)</f>
        <v>-123726</v>
      </c>
      <c r="CI88" s="707"/>
      <c r="CJ88" s="1030">
        <f>BV91</f>
        <v>154584</v>
      </c>
      <c r="CK88" s="1030">
        <f t="shared" ref="CK88:CS88" si="180">BW91</f>
        <v>151963</v>
      </c>
      <c r="CL88" s="1030">
        <f>BX91</f>
        <v>144646</v>
      </c>
      <c r="CM88" s="1030">
        <f t="shared" si="180"/>
        <v>178798</v>
      </c>
      <c r="CN88" s="1030">
        <f t="shared" si="180"/>
        <v>151863</v>
      </c>
      <c r="CO88" s="1030">
        <f t="shared" si="180"/>
        <v>152310</v>
      </c>
      <c r="CP88" s="1030">
        <f t="shared" si="180"/>
        <v>177824</v>
      </c>
      <c r="CQ88" s="1030">
        <f t="shared" si="180"/>
        <v>155456</v>
      </c>
      <c r="CR88" s="1030">
        <f t="shared" si="180"/>
        <v>159431</v>
      </c>
      <c r="CS88" s="1030">
        <f t="shared" si="180"/>
        <v>173593</v>
      </c>
      <c r="CT88" s="1030">
        <v>146546</v>
      </c>
      <c r="CU88" s="1030">
        <v>111901</v>
      </c>
      <c r="CV88" s="1030">
        <v>127800</v>
      </c>
      <c r="CW88" s="698"/>
      <c r="CX88" s="1030">
        <v>155428</v>
      </c>
      <c r="CY88" s="1030">
        <v>182691</v>
      </c>
      <c r="CZ88" s="1030">
        <v>176747</v>
      </c>
      <c r="DA88" s="1030">
        <v>190424</v>
      </c>
      <c r="DB88" s="1030">
        <v>214788</v>
      </c>
      <c r="DC88" s="1030">
        <v>150000</v>
      </c>
      <c r="DD88" s="1030">
        <v>191217</v>
      </c>
      <c r="DE88" s="1030">
        <v>180648</v>
      </c>
      <c r="DF88" s="1030">
        <v>180874</v>
      </c>
      <c r="DG88" s="1030">
        <v>208228</v>
      </c>
      <c r="DH88" s="1030">
        <v>184911</v>
      </c>
      <c r="DI88" s="1030">
        <v>135942</v>
      </c>
      <c r="DJ88" s="595">
        <f>SUM(CX88:DI88)</f>
        <v>2151898</v>
      </c>
      <c r="DK88" s="948"/>
      <c r="DL88" s="596">
        <f>CX88</f>
        <v>155428</v>
      </c>
      <c r="DM88" s="596">
        <f t="shared" ref="DM88:DW88" si="181">CY88</f>
        <v>182691</v>
      </c>
      <c r="DN88" s="596">
        <f t="shared" si="181"/>
        <v>176747</v>
      </c>
      <c r="DO88" s="596">
        <f t="shared" si="181"/>
        <v>190424</v>
      </c>
      <c r="DP88" s="596">
        <f t="shared" si="181"/>
        <v>214788</v>
      </c>
      <c r="DQ88" s="596">
        <f t="shared" si="181"/>
        <v>150000</v>
      </c>
      <c r="DR88" s="596">
        <f t="shared" si="181"/>
        <v>191217</v>
      </c>
      <c r="DS88" s="596">
        <f t="shared" si="181"/>
        <v>180648</v>
      </c>
      <c r="DT88" s="596">
        <f t="shared" si="181"/>
        <v>180874</v>
      </c>
      <c r="DU88" s="596">
        <f t="shared" si="181"/>
        <v>208228</v>
      </c>
      <c r="DV88" s="596">
        <f t="shared" si="181"/>
        <v>184911</v>
      </c>
      <c r="DW88" s="596">
        <f t="shared" si="181"/>
        <v>135942</v>
      </c>
      <c r="DX88" s="596">
        <v>127800</v>
      </c>
    </row>
    <row r="89" spans="1:143" ht="15.75" hidden="1" customHeight="1" outlineLevel="1">
      <c r="A89" s="821"/>
      <c r="B89" s="822" t="s">
        <v>105</v>
      </c>
      <c r="C89" s="803"/>
      <c r="D89" s="804"/>
      <c r="E89" s="805"/>
      <c r="F89" s="805"/>
      <c r="G89" s="805"/>
      <c r="H89" s="805"/>
      <c r="I89" s="805"/>
      <c r="J89" s="805"/>
      <c r="K89" s="805"/>
      <c r="L89" s="805"/>
      <c r="M89" s="805"/>
      <c r="N89" s="805"/>
      <c r="O89" s="805"/>
      <c r="P89" s="806"/>
      <c r="Q89" s="807"/>
      <c r="R89" s="804"/>
      <c r="S89" s="596"/>
      <c r="T89" s="596"/>
      <c r="U89" s="596"/>
      <c r="V89" s="596"/>
      <c r="W89" s="596"/>
      <c r="X89" s="596"/>
      <c r="Y89" s="596"/>
      <c r="Z89" s="596"/>
      <c r="AA89" s="596"/>
      <c r="AB89" s="596"/>
      <c r="AC89" s="596"/>
      <c r="AD89" s="809"/>
      <c r="AE89" s="28"/>
      <c r="AF89" s="596"/>
      <c r="AG89" s="596"/>
      <c r="AH89" s="596"/>
      <c r="AI89" s="596"/>
      <c r="AJ89" s="596"/>
      <c r="AK89" s="596"/>
      <c r="AL89" s="596"/>
      <c r="AM89" s="596"/>
      <c r="AN89" s="596"/>
      <c r="AO89" s="596">
        <f t="shared" ref="AO89:AQ89" si="182">AO82*9.68</f>
        <v>1355200</v>
      </c>
      <c r="AP89" s="596">
        <f t="shared" si="182"/>
        <v>1258400</v>
      </c>
      <c r="AQ89" s="596">
        <f t="shared" si="182"/>
        <v>968000</v>
      </c>
      <c r="AR89" s="810"/>
      <c r="AS89" s="28"/>
      <c r="AT89" s="596">
        <f t="shared" ref="AT89:BF89" si="183">AT82*9.68</f>
        <v>1287440</v>
      </c>
      <c r="AU89" s="596">
        <f t="shared" si="183"/>
        <v>1211742.3999999999</v>
      </c>
      <c r="AV89" s="596">
        <f t="shared" si="183"/>
        <v>1134767.04</v>
      </c>
      <c r="AW89" s="596">
        <f t="shared" si="183"/>
        <v>1234200</v>
      </c>
      <c r="AX89" s="596">
        <f t="shared" si="183"/>
        <v>1355200</v>
      </c>
      <c r="AY89" s="596">
        <f t="shared" si="183"/>
        <v>1532760.2399903198</v>
      </c>
      <c r="AZ89" s="596">
        <f t="shared" si="183"/>
        <v>1475319.1199999999</v>
      </c>
      <c r="BA89" s="596">
        <f t="shared" si="183"/>
        <v>1679673.5999999999</v>
      </c>
      <c r="BB89" s="596">
        <f t="shared" si="183"/>
        <v>1597200</v>
      </c>
      <c r="BC89" s="596">
        <f t="shared" si="183"/>
        <v>1524600</v>
      </c>
      <c r="BD89" s="596">
        <f t="shared" si="183"/>
        <v>1252892.08</v>
      </c>
      <c r="BE89" s="596">
        <f t="shared" si="183"/>
        <v>597256</v>
      </c>
      <c r="BF89" s="596">
        <f t="shared" si="183"/>
        <v>15883050.47999032</v>
      </c>
      <c r="BG89" s="28"/>
      <c r="BH89" s="596"/>
      <c r="BI89" s="596"/>
      <c r="BJ89" s="596"/>
      <c r="BK89" s="596"/>
      <c r="BL89" s="596"/>
      <c r="BM89" s="596"/>
      <c r="BN89" s="596"/>
      <c r="BO89" s="596"/>
      <c r="BP89" s="596"/>
      <c r="BQ89" s="596"/>
      <c r="BR89" s="596"/>
      <c r="BS89" s="596"/>
      <c r="BT89" s="596"/>
      <c r="BU89" s="28"/>
      <c r="BV89" s="596"/>
      <c r="BW89" s="596"/>
      <c r="BX89" s="596"/>
      <c r="BY89" s="596"/>
      <c r="BZ89" s="596"/>
      <c r="CA89" s="596"/>
      <c r="CB89" s="596"/>
      <c r="CC89" s="596"/>
      <c r="CD89" s="596" t="s">
        <v>96</v>
      </c>
      <c r="CE89" s="596"/>
      <c r="CF89" s="813" t="s">
        <v>97</v>
      </c>
      <c r="CG89" s="596"/>
      <c r="CH89" s="596"/>
      <c r="CJ89" s="596"/>
      <c r="CK89" s="596"/>
      <c r="CL89" s="596"/>
      <c r="CM89" s="596">
        <v>61884.012959999985</v>
      </c>
      <c r="CN89" s="596">
        <f>CM89</f>
        <v>61884.012959999985</v>
      </c>
      <c r="CO89" s="596">
        <f t="shared" ref="CO89:CU89" si="184">CN89</f>
        <v>61884.012959999985</v>
      </c>
      <c r="CP89" s="596">
        <f t="shared" si="184"/>
        <v>61884.012959999985</v>
      </c>
      <c r="CQ89" s="596">
        <f t="shared" si="184"/>
        <v>61884.012959999985</v>
      </c>
      <c r="CR89" s="596">
        <f t="shared" si="184"/>
        <v>61884.012959999985</v>
      </c>
      <c r="CS89" s="596">
        <f t="shared" si="184"/>
        <v>61884.012959999985</v>
      </c>
      <c r="CT89" s="596">
        <f t="shared" si="184"/>
        <v>61884.012959999985</v>
      </c>
      <c r="CU89" s="596">
        <f t="shared" si="184"/>
        <v>61884.012959999985</v>
      </c>
      <c r="CV89" s="596"/>
      <c r="CW89" s="758"/>
      <c r="CX89" s="596" t="s">
        <v>133</v>
      </c>
      <c r="CY89" s="596"/>
      <c r="CZ89" s="596"/>
      <c r="DA89" s="596"/>
      <c r="DB89" s="596"/>
      <c r="DC89" s="596"/>
      <c r="DD89" s="596"/>
      <c r="DE89" s="596"/>
      <c r="DF89" s="596"/>
      <c r="DG89" s="596"/>
      <c r="DH89" s="596"/>
      <c r="DI89" s="596"/>
      <c r="DJ89" s="596"/>
      <c r="DK89" s="948"/>
      <c r="DL89" s="596" t="s">
        <v>133</v>
      </c>
      <c r="DM89" s="596"/>
      <c r="DN89" s="596"/>
      <c r="DO89" s="596"/>
      <c r="DP89" s="596"/>
      <c r="DQ89" s="596"/>
      <c r="DR89" s="596"/>
      <c r="DS89" s="596"/>
      <c r="DT89" s="596"/>
      <c r="DU89" s="596"/>
      <c r="DV89" s="596"/>
      <c r="DW89" s="596"/>
      <c r="DX89" s="596"/>
    </row>
    <row r="90" spans="1:143" ht="15.75" hidden="1" customHeight="1" outlineLevel="1">
      <c r="A90" s="821"/>
      <c r="B90" s="822" t="s">
        <v>98</v>
      </c>
      <c r="C90" s="803"/>
      <c r="D90" s="804"/>
      <c r="E90" s="805"/>
      <c r="F90" s="805"/>
      <c r="G90" s="805"/>
      <c r="H90" s="805"/>
      <c r="I90" s="805"/>
      <c r="J90" s="805"/>
      <c r="K90" s="805"/>
      <c r="L90" s="805"/>
      <c r="M90" s="805"/>
      <c r="N90" s="805"/>
      <c r="O90" s="805"/>
      <c r="P90" s="806"/>
      <c r="Q90" s="807"/>
      <c r="R90" s="804"/>
      <c r="S90" s="596"/>
      <c r="T90" s="596"/>
      <c r="U90" s="596"/>
      <c r="V90" s="596"/>
      <c r="W90" s="596"/>
      <c r="X90" s="596"/>
      <c r="Y90" s="596"/>
      <c r="Z90" s="596"/>
      <c r="AA90" s="596"/>
      <c r="AB90" s="596"/>
      <c r="AC90" s="596"/>
      <c r="AD90" s="809"/>
      <c r="AE90" s="28"/>
      <c r="AF90" s="808"/>
      <c r="AG90" s="596"/>
      <c r="AH90" s="596"/>
      <c r="AI90" s="596"/>
      <c r="AJ90" s="596"/>
      <c r="AK90" s="596"/>
      <c r="AL90" s="596"/>
      <c r="AM90" s="596"/>
      <c r="AN90" s="596"/>
      <c r="AO90" s="596"/>
      <c r="AP90" s="596"/>
      <c r="AQ90" s="596"/>
      <c r="AR90" s="810"/>
      <c r="AS90" s="28"/>
      <c r="AT90" s="596"/>
      <c r="AU90" s="596"/>
      <c r="AV90" s="596"/>
      <c r="AW90" s="596"/>
      <c r="AX90" s="596"/>
      <c r="AY90" s="596"/>
      <c r="AZ90" s="596"/>
      <c r="BA90" s="596"/>
      <c r="BB90" s="596"/>
      <c r="BC90" s="596"/>
      <c r="BD90" s="596"/>
      <c r="BE90" s="596"/>
      <c r="BF90" s="596"/>
      <c r="BG90" s="28"/>
      <c r="BH90" s="596"/>
      <c r="BI90" s="596"/>
      <c r="BJ90" s="596"/>
      <c r="BK90" s="596"/>
      <c r="BL90" s="596"/>
      <c r="BM90" s="596"/>
      <c r="BN90" s="596"/>
      <c r="BO90" s="596"/>
      <c r="BP90" s="596"/>
      <c r="BQ90" s="596"/>
      <c r="BR90" s="596"/>
      <c r="BS90" s="596"/>
      <c r="BT90" s="596"/>
      <c r="BU90" s="28"/>
      <c r="BV90" s="596"/>
      <c r="BW90" s="596"/>
      <c r="BX90" s="596"/>
      <c r="BY90" s="596"/>
      <c r="BZ90" s="596"/>
      <c r="CA90" s="596"/>
      <c r="CB90" s="596"/>
      <c r="CC90" s="596"/>
      <c r="CD90" s="596"/>
      <c r="CE90" s="596"/>
      <c r="CF90" s="813"/>
      <c r="CG90" s="596"/>
      <c r="CH90" s="596"/>
      <c r="CJ90" s="596"/>
      <c r="CK90" s="596"/>
      <c r="CL90" s="596"/>
      <c r="CM90" s="596">
        <f>CM89*CM8</f>
        <v>1237680.2591999997</v>
      </c>
      <c r="CN90" s="596">
        <f>CN89*CN8</f>
        <v>1299564.2721599997</v>
      </c>
      <c r="CO90" s="596">
        <f>CO89*CO8</f>
        <v>1361448.2851199997</v>
      </c>
      <c r="CP90" s="596">
        <f>CP89*CP8</f>
        <v>1547100.3239999996</v>
      </c>
      <c r="CQ90" s="596">
        <f>CQ89*CQ8</f>
        <v>1299564.2721599997</v>
      </c>
      <c r="CR90" s="596">
        <f>CR89*CR8</f>
        <v>1361448.2851199997</v>
      </c>
      <c r="CS90" s="596">
        <f>CS89*CS8</f>
        <v>1423332.2980799996</v>
      </c>
      <c r="CT90" s="596">
        <f>CT89*CT8</f>
        <v>1361448.2851199997</v>
      </c>
      <c r="CU90" s="596">
        <f>CU89*CU8</f>
        <v>1052028.2203199998</v>
      </c>
      <c r="CV90" s="596"/>
      <c r="CW90" s="758"/>
      <c r="CX90" s="596"/>
      <c r="CY90" s="596"/>
      <c r="CZ90" s="596"/>
      <c r="DA90" s="596"/>
      <c r="DB90" s="596"/>
      <c r="DC90" s="596"/>
      <c r="DD90" s="596"/>
      <c r="DE90" s="596"/>
      <c r="DF90" s="596"/>
      <c r="DG90" s="596"/>
      <c r="DH90" s="596"/>
      <c r="DI90" s="596"/>
      <c r="DJ90" s="596"/>
      <c r="DK90" s="948"/>
      <c r="DL90" s="596"/>
      <c r="DM90" s="596"/>
      <c r="DN90" s="596"/>
      <c r="DO90" s="596"/>
      <c r="DP90" s="596"/>
      <c r="DQ90" s="596"/>
      <c r="DR90" s="596"/>
      <c r="DS90" s="596"/>
      <c r="DT90" s="596"/>
      <c r="DU90" s="596"/>
      <c r="DV90" s="596"/>
      <c r="DW90" s="596"/>
      <c r="DX90" s="596"/>
    </row>
    <row r="91" spans="1:143" ht="18.75" hidden="1">
      <c r="A91" s="821" t="s">
        <v>99</v>
      </c>
      <c r="B91" s="823" t="s">
        <v>100</v>
      </c>
      <c r="C91" s="814"/>
      <c r="D91" s="815">
        <v>95972</v>
      </c>
      <c r="E91" s="816">
        <v>130805</v>
      </c>
      <c r="F91" s="816">
        <v>121914</v>
      </c>
      <c r="G91" s="816">
        <v>165455</v>
      </c>
      <c r="H91" s="816">
        <v>192013</v>
      </c>
      <c r="I91" s="816">
        <v>167281</v>
      </c>
      <c r="J91" s="816">
        <v>181409</v>
      </c>
      <c r="K91" s="816">
        <v>163138</v>
      </c>
      <c r="L91" s="816">
        <v>169051</v>
      </c>
      <c r="M91" s="816">
        <v>183254</v>
      </c>
      <c r="N91" s="816"/>
      <c r="O91" s="816"/>
      <c r="P91" s="817">
        <f>SUM(D91:O91)</f>
        <v>1570292</v>
      </c>
      <c r="Q91" s="818"/>
      <c r="R91" s="815">
        <v>149582</v>
      </c>
      <c r="S91" s="810">
        <v>152735</v>
      </c>
      <c r="T91" s="810">
        <v>107681</v>
      </c>
      <c r="U91" s="810">
        <v>2974</v>
      </c>
      <c r="V91" s="810">
        <v>32639</v>
      </c>
      <c r="W91" s="810">
        <v>153121</v>
      </c>
      <c r="X91" s="810">
        <v>198635</v>
      </c>
      <c r="Y91" s="810">
        <v>160489</v>
      </c>
      <c r="Z91" s="810">
        <v>160893</v>
      </c>
      <c r="AA91" s="810">
        <v>180999</v>
      </c>
      <c r="AB91" s="810">
        <v>167265</v>
      </c>
      <c r="AC91" s="810">
        <v>135424</v>
      </c>
      <c r="AD91" s="819">
        <f>SUM(R91:AC91)</f>
        <v>1602437</v>
      </c>
      <c r="AE91" s="18"/>
      <c r="AF91" s="820">
        <v>145616</v>
      </c>
      <c r="AG91" s="810">
        <v>168450</v>
      </c>
      <c r="AH91" s="810">
        <v>153291</v>
      </c>
      <c r="AI91" s="810">
        <v>149378</v>
      </c>
      <c r="AJ91" s="810">
        <v>196360</v>
      </c>
      <c r="AK91" s="810">
        <v>170558</v>
      </c>
      <c r="AL91" s="810">
        <v>171758</v>
      </c>
      <c r="AM91" s="810">
        <f t="shared" ref="AM91:AQ91" si="185">SUM(AM92:AM93)</f>
        <v>168974</v>
      </c>
      <c r="AN91" s="810">
        <f t="shared" si="185"/>
        <v>144792</v>
      </c>
      <c r="AO91" s="810">
        <f t="shared" si="185"/>
        <v>141375</v>
      </c>
      <c r="AP91" s="810">
        <f t="shared" si="185"/>
        <v>143221</v>
      </c>
      <c r="AQ91" s="810">
        <f t="shared" si="185"/>
        <v>85543</v>
      </c>
      <c r="AR91" s="810">
        <f t="shared" ref="AR91:AR95" si="186">SUM(AF91:AQ91)</f>
        <v>1839316</v>
      </c>
      <c r="AS91" s="28"/>
      <c r="AT91" s="810">
        <f t="shared" ref="AT91:BE91" si="187">SUM(AT92:AT93)</f>
        <v>120211</v>
      </c>
      <c r="AU91" s="810">
        <f t="shared" si="187"/>
        <v>120216</v>
      </c>
      <c r="AV91" s="810">
        <f t="shared" si="187"/>
        <v>101053</v>
      </c>
      <c r="AW91" s="810">
        <f t="shared" si="187"/>
        <v>137388</v>
      </c>
      <c r="AX91" s="810">
        <f t="shared" si="187"/>
        <v>137400</v>
      </c>
      <c r="AY91" s="810">
        <f t="shared" si="187"/>
        <v>135412</v>
      </c>
      <c r="AZ91" s="810">
        <f t="shared" si="187"/>
        <v>157032</v>
      </c>
      <c r="BA91" s="810">
        <f t="shared" si="187"/>
        <v>173287</v>
      </c>
      <c r="BB91" s="596">
        <f t="shared" si="187"/>
        <v>166815</v>
      </c>
      <c r="BC91" s="596">
        <f t="shared" si="187"/>
        <v>153816</v>
      </c>
      <c r="BD91" s="596">
        <f t="shared" si="187"/>
        <v>138051</v>
      </c>
      <c r="BE91" s="596">
        <f t="shared" si="187"/>
        <v>55950</v>
      </c>
      <c r="BF91" s="596">
        <f t="shared" ref="BF91:BF95" si="188">SUM(AT91:BE91)</f>
        <v>1596631</v>
      </c>
      <c r="BG91" s="54">
        <f>BF91/AR91-1</f>
        <v>-0.1319430701412917</v>
      </c>
      <c r="BH91" s="810">
        <f t="shared" ref="BH91:BQ91" si="189">SUM(BH92:BH93)</f>
        <v>138562</v>
      </c>
      <c r="BI91" s="810">
        <f t="shared" si="189"/>
        <v>109391</v>
      </c>
      <c r="BJ91" s="810">
        <f t="shared" si="189"/>
        <v>160056</v>
      </c>
      <c r="BK91" s="810">
        <f t="shared" si="189"/>
        <v>124826</v>
      </c>
      <c r="BL91" s="810">
        <f t="shared" si="189"/>
        <v>151185</v>
      </c>
      <c r="BM91" s="810">
        <f t="shared" si="189"/>
        <v>134688</v>
      </c>
      <c r="BN91" s="810">
        <f t="shared" si="189"/>
        <v>157005</v>
      </c>
      <c r="BO91" s="810">
        <f t="shared" si="189"/>
        <v>151231</v>
      </c>
      <c r="BP91" s="810">
        <f t="shared" si="189"/>
        <v>143335</v>
      </c>
      <c r="BQ91" s="810">
        <f t="shared" si="189"/>
        <v>159215</v>
      </c>
      <c r="BR91" s="810"/>
      <c r="BS91" s="810"/>
      <c r="BT91" s="810">
        <f t="shared" ref="BT91:BT95" si="190">SUM(BH91:BS91)</f>
        <v>1429494</v>
      </c>
      <c r="BU91" s="18"/>
      <c r="BV91" s="810">
        <v>154584</v>
      </c>
      <c r="BW91" s="810">
        <v>151963</v>
      </c>
      <c r="BX91" s="810">
        <v>144646</v>
      </c>
      <c r="BY91" s="810">
        <v>178798</v>
      </c>
      <c r="BZ91" s="810">
        <v>151863</v>
      </c>
      <c r="CA91" s="810">
        <v>152310</v>
      </c>
      <c r="CB91" s="810">
        <f>CB92+CB93</f>
        <v>177824</v>
      </c>
      <c r="CC91" s="810">
        <f t="shared" ref="CC91:CJ91" si="191">CC92+CC93</f>
        <v>155456</v>
      </c>
      <c r="CD91" s="810">
        <f t="shared" si="191"/>
        <v>159431</v>
      </c>
      <c r="CE91" s="810">
        <v>173593</v>
      </c>
      <c r="CF91" s="810">
        <v>154850</v>
      </c>
      <c r="CG91" s="810">
        <f t="shared" si="191"/>
        <v>0</v>
      </c>
      <c r="CH91" s="810">
        <f t="shared" ref="CH91" si="192">SUM(BV91:CG91)</f>
        <v>1755318</v>
      </c>
      <c r="CJ91" s="810">
        <v>155428</v>
      </c>
      <c r="CK91" s="810">
        <f>SUM(CK92:CK93)</f>
        <v>182595</v>
      </c>
      <c r="CL91" s="810">
        <f>SUM(CL92:CL93)</f>
        <v>175111</v>
      </c>
      <c r="CM91" s="810">
        <f>SUM(CM92:CM93)</f>
        <v>192052</v>
      </c>
      <c r="CN91" s="810">
        <v>214788</v>
      </c>
      <c r="CO91" s="810">
        <v>143727</v>
      </c>
      <c r="CP91" s="810">
        <v>191217</v>
      </c>
      <c r="CQ91" s="810">
        <v>180648</v>
      </c>
      <c r="CR91" s="810">
        <v>180874</v>
      </c>
      <c r="CS91" s="810"/>
      <c r="CT91" s="810"/>
      <c r="CU91" s="810"/>
      <c r="CV91" s="810"/>
      <c r="CW91" s="758"/>
      <c r="CX91" s="810">
        <v>191345</v>
      </c>
      <c r="CY91" s="810">
        <v>145396</v>
      </c>
      <c r="CZ91" s="810">
        <f t="shared" ref="CZ91:DI91" si="193">CL91</f>
        <v>175111</v>
      </c>
      <c r="DA91" s="810">
        <f t="shared" si="193"/>
        <v>192052</v>
      </c>
      <c r="DB91" s="810">
        <f t="shared" si="193"/>
        <v>214788</v>
      </c>
      <c r="DC91" s="810">
        <f t="shared" si="193"/>
        <v>143727</v>
      </c>
      <c r="DD91" s="810">
        <f t="shared" si="193"/>
        <v>191217</v>
      </c>
      <c r="DE91" s="810">
        <f t="shared" si="193"/>
        <v>180648</v>
      </c>
      <c r="DF91" s="810">
        <f t="shared" si="193"/>
        <v>180874</v>
      </c>
      <c r="DG91" s="810">
        <f t="shared" si="193"/>
        <v>0</v>
      </c>
      <c r="DH91" s="810">
        <f t="shared" si="193"/>
        <v>0</v>
      </c>
      <c r="DI91" s="810">
        <f t="shared" si="193"/>
        <v>0</v>
      </c>
      <c r="DJ91" s="810"/>
      <c r="DK91" s="948"/>
      <c r="DL91" s="810">
        <f>CX91</f>
        <v>191345</v>
      </c>
      <c r="DM91" s="810">
        <f t="shared" ref="DM91:DW91" si="194">CY91</f>
        <v>145396</v>
      </c>
      <c r="DN91" s="810">
        <f t="shared" si="194"/>
        <v>175111</v>
      </c>
      <c r="DO91" s="810">
        <f t="shared" si="194"/>
        <v>192052</v>
      </c>
      <c r="DP91" s="810">
        <f t="shared" si="194"/>
        <v>214788</v>
      </c>
      <c r="DQ91" s="810">
        <f t="shared" si="194"/>
        <v>143727</v>
      </c>
      <c r="DR91" s="810">
        <f t="shared" si="194"/>
        <v>191217</v>
      </c>
      <c r="DS91" s="810">
        <f t="shared" si="194"/>
        <v>180648</v>
      </c>
      <c r="DT91" s="810">
        <f t="shared" si="194"/>
        <v>180874</v>
      </c>
      <c r="DU91" s="810">
        <f t="shared" si="194"/>
        <v>0</v>
      </c>
      <c r="DV91" s="810">
        <f t="shared" si="194"/>
        <v>0</v>
      </c>
      <c r="DW91" s="810">
        <f t="shared" si="194"/>
        <v>0</v>
      </c>
      <c r="DX91" s="810"/>
    </row>
    <row r="92" spans="1:143" ht="15.75" hidden="1" customHeight="1">
      <c r="A92" s="821"/>
      <c r="B92" s="823" t="s">
        <v>134</v>
      </c>
      <c r="C92" s="814"/>
      <c r="D92" s="804"/>
      <c r="E92" s="805"/>
      <c r="F92" s="805"/>
      <c r="G92" s="805"/>
      <c r="H92" s="805"/>
      <c r="I92" s="805"/>
      <c r="J92" s="805"/>
      <c r="K92" s="805"/>
      <c r="L92" s="805"/>
      <c r="M92" s="805"/>
      <c r="N92" s="805"/>
      <c r="O92" s="805"/>
      <c r="P92" s="806"/>
      <c r="Q92" s="807"/>
      <c r="R92" s="804"/>
      <c r="S92" s="596"/>
      <c r="T92" s="596"/>
      <c r="U92" s="596"/>
      <c r="V92" s="596"/>
      <c r="W92" s="596"/>
      <c r="X92" s="596"/>
      <c r="Y92" s="596"/>
      <c r="Z92" s="596"/>
      <c r="AA92" s="596"/>
      <c r="AB92" s="596"/>
      <c r="AC92" s="596"/>
      <c r="AD92" s="809"/>
      <c r="AE92" s="28"/>
      <c r="AF92" s="808">
        <v>126362</v>
      </c>
      <c r="AG92" s="596">
        <v>153970</v>
      </c>
      <c r="AH92" s="596">
        <v>128331</v>
      </c>
      <c r="AI92" s="596">
        <v>135338</v>
      </c>
      <c r="AJ92" s="596">
        <v>177312</v>
      </c>
      <c r="AK92" s="596">
        <v>150818</v>
      </c>
      <c r="AL92" s="596">
        <v>158858</v>
      </c>
      <c r="AM92" s="596">
        <v>153933</v>
      </c>
      <c r="AN92" s="596">
        <v>134244</v>
      </c>
      <c r="AO92" s="596">
        <v>137435</v>
      </c>
      <c r="AP92" s="596">
        <v>143221</v>
      </c>
      <c r="AQ92" s="596">
        <v>85543</v>
      </c>
      <c r="AR92" s="810">
        <f t="shared" si="186"/>
        <v>1685365</v>
      </c>
      <c r="AS92" s="28"/>
      <c r="AT92" s="596">
        <v>120211</v>
      </c>
      <c r="AU92" s="596">
        <v>120216</v>
      </c>
      <c r="AV92" s="596">
        <v>101053</v>
      </c>
      <c r="AW92" s="596">
        <v>137388</v>
      </c>
      <c r="AX92" s="596">
        <v>137400</v>
      </c>
      <c r="AY92" s="596">
        <v>135412</v>
      </c>
      <c r="AZ92" s="596">
        <v>157032</v>
      </c>
      <c r="BA92" s="596">
        <v>172227</v>
      </c>
      <c r="BB92" s="596">
        <f>157995+8500</f>
        <v>166495</v>
      </c>
      <c r="BC92" s="596">
        <v>153816</v>
      </c>
      <c r="BD92" s="596">
        <v>138051</v>
      </c>
      <c r="BE92" s="596">
        <v>55950</v>
      </c>
      <c r="BF92" s="596">
        <f t="shared" si="188"/>
        <v>1595251</v>
      </c>
      <c r="BG92" s="28"/>
      <c r="BH92" s="596">
        <v>138562</v>
      </c>
      <c r="BI92" s="596">
        <v>109391</v>
      </c>
      <c r="BJ92" s="596">
        <v>160056</v>
      </c>
      <c r="BK92" s="596">
        <v>124826</v>
      </c>
      <c r="BL92" s="596">
        <v>151185</v>
      </c>
      <c r="BM92" s="596">
        <v>134688</v>
      </c>
      <c r="BN92" s="596">
        <v>157005</v>
      </c>
      <c r="BO92" s="596">
        <v>151231</v>
      </c>
      <c r="BP92" s="596">
        <v>143335</v>
      </c>
      <c r="BQ92" s="596">
        <v>159215</v>
      </c>
      <c r="BR92" s="596"/>
      <c r="BS92" s="596"/>
      <c r="BT92" s="596">
        <f t="shared" si="190"/>
        <v>1429494</v>
      </c>
      <c r="BU92" s="28"/>
      <c r="BV92" s="596">
        <v>154584</v>
      </c>
      <c r="BW92" s="596">
        <v>151963</v>
      </c>
      <c r="BX92" s="596">
        <v>144646</v>
      </c>
      <c r="BY92" s="596">
        <v>178798</v>
      </c>
      <c r="BZ92" s="596">
        <v>151863</v>
      </c>
      <c r="CA92" s="596">
        <v>152310</v>
      </c>
      <c r="CB92" s="596">
        <v>177824</v>
      </c>
      <c r="CC92" s="596">
        <v>155456</v>
      </c>
      <c r="CD92" s="596">
        <v>159431</v>
      </c>
      <c r="CE92" s="596"/>
      <c r="CF92" s="596"/>
      <c r="CG92" s="596"/>
      <c r="CH92" s="596"/>
      <c r="CJ92" s="596">
        <v>145276</v>
      </c>
      <c r="CK92" s="596">
        <v>157921</v>
      </c>
      <c r="CL92" s="596">
        <v>147905</v>
      </c>
      <c r="CM92" s="596">
        <v>157807</v>
      </c>
      <c r="CN92" s="596"/>
      <c r="CO92" s="596"/>
      <c r="CP92" s="596"/>
      <c r="CQ92" s="596"/>
      <c r="CR92" s="596"/>
      <c r="CS92" s="596"/>
      <c r="CT92" s="596"/>
      <c r="CU92" s="596"/>
      <c r="CV92" s="596"/>
      <c r="CW92" s="758"/>
      <c r="CX92" s="940"/>
      <c r="CY92" s="940"/>
      <c r="CZ92" s="596">
        <v>6339</v>
      </c>
      <c r="DA92" s="940"/>
      <c r="DB92" s="940"/>
      <c r="DC92" s="940"/>
      <c r="DD92" s="940"/>
      <c r="DE92" s="940"/>
      <c r="DF92" s="940"/>
      <c r="DG92" s="940"/>
      <c r="DH92" s="940"/>
      <c r="DI92" s="940"/>
      <c r="DJ92" s="596"/>
      <c r="DK92" s="948"/>
      <c r="DL92" s="940" t="e">
        <f>DL19-DL18</f>
        <v>#DIV/0!</v>
      </c>
      <c r="DM92" s="940" t="e">
        <f t="shared" ref="DM92:DW92" si="195">DM19-DM18</f>
        <v>#DIV/0!</v>
      </c>
      <c r="DN92" s="940" t="e">
        <f t="shared" si="195"/>
        <v>#DIV/0!</v>
      </c>
      <c r="DO92" s="940" t="e">
        <f t="shared" si="195"/>
        <v>#DIV/0!</v>
      </c>
      <c r="DP92" s="940" t="e">
        <f t="shared" si="195"/>
        <v>#DIV/0!</v>
      </c>
      <c r="DQ92" s="940" t="e">
        <f t="shared" si="195"/>
        <v>#DIV/0!</v>
      </c>
      <c r="DR92" s="940" t="e">
        <f t="shared" si="195"/>
        <v>#DIV/0!</v>
      </c>
      <c r="DS92" s="940" t="e">
        <f t="shared" si="195"/>
        <v>#DIV/0!</v>
      </c>
      <c r="DT92" s="940" t="e">
        <f t="shared" si="195"/>
        <v>#DIV/0!</v>
      </c>
      <c r="DU92" s="940" t="e">
        <f t="shared" si="195"/>
        <v>#DIV/0!</v>
      </c>
      <c r="DV92" s="940" t="e">
        <f t="shared" si="195"/>
        <v>#DIV/0!</v>
      </c>
      <c r="DW92" s="940">
        <f t="shared" si="195"/>
        <v>3.5408817155950119</v>
      </c>
      <c r="DX92" s="596"/>
    </row>
    <row r="93" spans="1:143" ht="15.75" hidden="1" customHeight="1">
      <c r="A93" s="821"/>
      <c r="B93" s="823" t="s">
        <v>135</v>
      </c>
      <c r="C93" s="814"/>
      <c r="D93" s="804"/>
      <c r="E93" s="805"/>
      <c r="F93" s="805"/>
      <c r="G93" s="805"/>
      <c r="H93" s="805"/>
      <c r="I93" s="805"/>
      <c r="J93" s="805"/>
      <c r="K93" s="805"/>
      <c r="L93" s="805"/>
      <c r="M93" s="805"/>
      <c r="N93" s="805"/>
      <c r="O93" s="805"/>
      <c r="P93" s="806"/>
      <c r="Q93" s="807"/>
      <c r="R93" s="804"/>
      <c r="S93" s="596"/>
      <c r="T93" s="596"/>
      <c r="U93" s="596"/>
      <c r="V93" s="596"/>
      <c r="W93" s="596"/>
      <c r="X93" s="596"/>
      <c r="Y93" s="596"/>
      <c r="Z93" s="596"/>
      <c r="AA93" s="596"/>
      <c r="AB93" s="596"/>
      <c r="AC93" s="596"/>
      <c r="AD93" s="809"/>
      <c r="AE93" s="28"/>
      <c r="AF93" s="596">
        <f t="shared" ref="AF93:AL93" si="196">AF91-AF92</f>
        <v>19254</v>
      </c>
      <c r="AG93" s="596">
        <f t="shared" si="196"/>
        <v>14480</v>
      </c>
      <c r="AH93" s="596">
        <f t="shared" si="196"/>
        <v>24960</v>
      </c>
      <c r="AI93" s="596">
        <f t="shared" si="196"/>
        <v>14040</v>
      </c>
      <c r="AJ93" s="596">
        <f t="shared" si="196"/>
        <v>19048</v>
      </c>
      <c r="AK93" s="596">
        <f t="shared" si="196"/>
        <v>19740</v>
      </c>
      <c r="AL93" s="596">
        <f t="shared" si="196"/>
        <v>12900</v>
      </c>
      <c r="AM93" s="596">
        <v>15041</v>
      </c>
      <c r="AN93" s="596">
        <v>10548</v>
      </c>
      <c r="AO93" s="596">
        <v>3940</v>
      </c>
      <c r="AP93" s="596">
        <v>0</v>
      </c>
      <c r="AQ93" s="596">
        <v>0</v>
      </c>
      <c r="AR93" s="810">
        <f t="shared" si="186"/>
        <v>153951</v>
      </c>
      <c r="AS93" s="28"/>
      <c r="AT93" s="596">
        <v>0</v>
      </c>
      <c r="AU93" s="596">
        <v>0</v>
      </c>
      <c r="AV93" s="596">
        <v>0</v>
      </c>
      <c r="AW93" s="596">
        <v>0</v>
      </c>
      <c r="AX93" s="596">
        <v>0</v>
      </c>
      <c r="AY93" s="596">
        <v>0</v>
      </c>
      <c r="AZ93" s="596">
        <v>0</v>
      </c>
      <c r="BA93" s="596">
        <v>1060</v>
      </c>
      <c r="BB93" s="596">
        <v>320</v>
      </c>
      <c r="BC93" s="596">
        <v>0</v>
      </c>
      <c r="BD93" s="596">
        <v>0</v>
      </c>
      <c r="BE93" s="596"/>
      <c r="BF93" s="596">
        <f t="shared" si="188"/>
        <v>1380</v>
      </c>
      <c r="BG93" s="28"/>
      <c r="BH93" s="596"/>
      <c r="BI93" s="596"/>
      <c r="BJ93" s="596"/>
      <c r="BK93" s="596"/>
      <c r="BL93" s="596"/>
      <c r="BM93" s="596"/>
      <c r="BN93" s="596"/>
      <c r="BO93" s="596"/>
      <c r="BP93" s="596"/>
      <c r="BQ93" s="596"/>
      <c r="BR93" s="596"/>
      <c r="BS93" s="596"/>
      <c r="BT93" s="596">
        <f t="shared" si="190"/>
        <v>0</v>
      </c>
      <c r="BU93" s="28"/>
      <c r="BV93" s="596"/>
      <c r="BW93" s="596"/>
      <c r="BX93" s="596"/>
      <c r="BY93" s="596"/>
      <c r="BZ93" s="596"/>
      <c r="CA93" s="596"/>
      <c r="CB93" s="596"/>
      <c r="CC93" s="596"/>
      <c r="CD93" s="596"/>
      <c r="CE93" s="596"/>
      <c r="CF93" s="596"/>
      <c r="CG93" s="596"/>
      <c r="CH93" s="596"/>
      <c r="CJ93" s="596">
        <v>14444</v>
      </c>
      <c r="CK93" s="596">
        <v>24674</v>
      </c>
      <c r="CL93" s="596">
        <v>27206</v>
      </c>
      <c r="CM93" s="596">
        <v>34245</v>
      </c>
      <c r="CN93" s="596"/>
      <c r="CO93" s="596"/>
      <c r="CP93" s="596"/>
      <c r="CQ93" s="596"/>
      <c r="CR93" s="596"/>
      <c r="CS93" s="596"/>
      <c r="CT93" s="596"/>
      <c r="CU93" s="596"/>
      <c r="CV93" s="596"/>
      <c r="CW93" s="758"/>
      <c r="CX93" s="596">
        <v>2341</v>
      </c>
      <c r="CY93" s="596">
        <v>2341</v>
      </c>
      <c r="CZ93" s="596">
        <v>2469</v>
      </c>
      <c r="DA93" s="596"/>
      <c r="DB93" s="596"/>
      <c r="DC93" s="596"/>
      <c r="DD93" s="596"/>
      <c r="DE93" s="596"/>
      <c r="DF93" s="596"/>
      <c r="DG93" s="596"/>
      <c r="DH93" s="596"/>
      <c r="DI93" s="596"/>
      <c r="DJ93" s="596"/>
      <c r="DK93" s="948"/>
      <c r="DL93" s="596"/>
      <c r="DM93" s="596"/>
      <c r="DN93" s="596"/>
      <c r="DO93" s="596"/>
      <c r="DP93" s="596"/>
      <c r="DQ93" s="596"/>
      <c r="DR93" s="596"/>
      <c r="DS93" s="596"/>
      <c r="DT93" s="596"/>
      <c r="DU93" s="596"/>
      <c r="DV93" s="596"/>
      <c r="DW93" s="596"/>
      <c r="DX93" s="596"/>
    </row>
    <row r="94" spans="1:143" ht="18.75" hidden="1">
      <c r="A94" s="103" t="s">
        <v>103</v>
      </c>
      <c r="B94" s="337"/>
      <c r="C94" s="330"/>
      <c r="D94" s="331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332"/>
      <c r="Q94" s="105"/>
      <c r="R94" s="333"/>
      <c r="S94" s="333"/>
      <c r="T94" s="333"/>
      <c r="U94" s="333"/>
      <c r="V94" s="333"/>
      <c r="W94" s="333"/>
      <c r="X94" s="333"/>
      <c r="Y94" s="333"/>
      <c r="Z94" s="333"/>
      <c r="AA94" s="333"/>
      <c r="AB94" s="333"/>
      <c r="AC94" s="333"/>
      <c r="AD94" s="334"/>
      <c r="AE94" s="106"/>
      <c r="AF94" s="333">
        <f t="shared" ref="AF94:AQ94" si="197">AF91-AF82</f>
        <v>-15784</v>
      </c>
      <c r="AG94" s="333">
        <f t="shared" si="197"/>
        <v>2450</v>
      </c>
      <c r="AH94" s="333">
        <f t="shared" si="197"/>
        <v>2820</v>
      </c>
      <c r="AI94" s="333">
        <f t="shared" si="197"/>
        <v>338</v>
      </c>
      <c r="AJ94" s="333">
        <f t="shared" si="197"/>
        <v>0</v>
      </c>
      <c r="AK94" s="333">
        <f t="shared" si="197"/>
        <v>7258</v>
      </c>
      <c r="AL94" s="333">
        <f t="shared" si="197"/>
        <v>-18242</v>
      </c>
      <c r="AM94" s="333">
        <f t="shared" si="197"/>
        <v>1974</v>
      </c>
      <c r="AN94" s="333">
        <f t="shared" si="197"/>
        <v>-25708</v>
      </c>
      <c r="AO94" s="333">
        <f t="shared" si="197"/>
        <v>1375</v>
      </c>
      <c r="AP94" s="333">
        <f t="shared" si="197"/>
        <v>13221</v>
      </c>
      <c r="AQ94" s="333">
        <f t="shared" si="197"/>
        <v>-14457</v>
      </c>
      <c r="AR94" s="107">
        <f t="shared" si="186"/>
        <v>-44755</v>
      </c>
      <c r="AS94" s="106"/>
      <c r="AT94" s="333">
        <f t="shared" ref="AT94:BE94" si="198">AT91-AT82</f>
        <v>-12789</v>
      </c>
      <c r="AU94" s="333">
        <f t="shared" si="198"/>
        <v>-4964</v>
      </c>
      <c r="AV94" s="333">
        <f t="shared" si="198"/>
        <v>-16175</v>
      </c>
      <c r="AW94" s="333">
        <f t="shared" si="198"/>
        <v>9888</v>
      </c>
      <c r="AX94" s="333">
        <f t="shared" si="198"/>
        <v>-2600</v>
      </c>
      <c r="AY94" s="333">
        <f t="shared" si="198"/>
        <v>-22930.999998999992</v>
      </c>
      <c r="AZ94" s="333">
        <f t="shared" si="198"/>
        <v>4623</v>
      </c>
      <c r="BA94" s="333">
        <f t="shared" si="198"/>
        <v>-233</v>
      </c>
      <c r="BB94" s="333">
        <f t="shared" si="198"/>
        <v>1815</v>
      </c>
      <c r="BC94" s="333">
        <f t="shared" si="198"/>
        <v>-3684</v>
      </c>
      <c r="BD94" s="333">
        <f t="shared" si="198"/>
        <v>8620</v>
      </c>
      <c r="BE94" s="333">
        <f t="shared" si="198"/>
        <v>-5750</v>
      </c>
      <c r="BF94" s="108">
        <f t="shared" si="188"/>
        <v>-44179.999998999992</v>
      </c>
      <c r="BG94" s="106"/>
      <c r="BH94" s="333">
        <f t="shared" ref="BH94:BQ94" si="199">BH91-BH82</f>
        <v>-1198</v>
      </c>
      <c r="BI94" s="333">
        <f t="shared" si="199"/>
        <v>-7189</v>
      </c>
      <c r="BJ94" s="333">
        <f t="shared" si="199"/>
        <v>11716</v>
      </c>
      <c r="BK94" s="333">
        <f t="shared" si="199"/>
        <v>12466</v>
      </c>
      <c r="BL94" s="333">
        <f t="shared" si="199"/>
        <v>42525</v>
      </c>
      <c r="BM94" s="333">
        <f t="shared" si="199"/>
        <v>-18728</v>
      </c>
      <c r="BN94" s="333">
        <f t="shared" si="199"/>
        <v>19329</v>
      </c>
      <c r="BO94" s="333">
        <f t="shared" si="199"/>
        <v>-9423</v>
      </c>
      <c r="BP94" s="333">
        <f t="shared" si="199"/>
        <v>-13665</v>
      </c>
      <c r="BQ94" s="333">
        <f t="shared" si="199"/>
        <v>2490</v>
      </c>
      <c r="BR94" s="108"/>
      <c r="BS94" s="108"/>
      <c r="BT94" s="108">
        <f t="shared" si="190"/>
        <v>38323</v>
      </c>
      <c r="BU94" s="28"/>
      <c r="BV94" s="333"/>
      <c r="BW94" s="333"/>
      <c r="BX94" s="333"/>
      <c r="BY94" s="333">
        <f>BY91-BY82</f>
        <v>5998</v>
      </c>
      <c r="BZ94" s="333">
        <f t="shared" ref="BZ94:CG94" si="200">BZ91-BZ82</f>
        <v>-13737</v>
      </c>
      <c r="CA94" s="333">
        <f t="shared" si="200"/>
        <v>-6090</v>
      </c>
      <c r="CB94" s="333">
        <f t="shared" si="200"/>
        <v>-2176</v>
      </c>
      <c r="CC94" s="333">
        <f t="shared" si="200"/>
        <v>-17344</v>
      </c>
      <c r="CD94" s="333">
        <f t="shared" si="200"/>
        <v>-13369</v>
      </c>
      <c r="CE94" s="333">
        <f t="shared" si="200"/>
        <v>793</v>
      </c>
      <c r="CF94" s="333">
        <f t="shared" si="200"/>
        <v>-12350</v>
      </c>
      <c r="CG94" s="333">
        <f t="shared" si="200"/>
        <v>-98800</v>
      </c>
      <c r="CH94" s="333">
        <f>CH91-CH82</f>
        <v>-118882</v>
      </c>
      <c r="CJ94" s="333">
        <f t="shared" ref="CJ94:CV94" si="201">CJ91-CJ82</f>
        <v>-9572</v>
      </c>
      <c r="CK94" s="333">
        <f>CK91-CK82</f>
        <v>-6005</v>
      </c>
      <c r="CL94" s="333">
        <f t="shared" si="201"/>
        <v>4111</v>
      </c>
      <c r="CM94" s="333">
        <f t="shared" si="201"/>
        <v>-7948</v>
      </c>
      <c r="CN94" s="333">
        <f t="shared" si="201"/>
        <v>36498</v>
      </c>
      <c r="CO94" s="333">
        <f t="shared" si="201"/>
        <v>-54273</v>
      </c>
      <c r="CP94" s="333">
        <f t="shared" si="201"/>
        <v>-53783</v>
      </c>
      <c r="CQ94" s="333">
        <f t="shared" si="201"/>
        <v>-27252</v>
      </c>
      <c r="CR94" s="333">
        <f t="shared" si="201"/>
        <v>-36926</v>
      </c>
      <c r="CS94" s="333">
        <f t="shared" si="201"/>
        <v>-205579</v>
      </c>
      <c r="CT94" s="333">
        <f t="shared" si="201"/>
        <v>-164340</v>
      </c>
      <c r="CU94" s="333">
        <f t="shared" si="201"/>
        <v>-118660</v>
      </c>
      <c r="CV94" s="333">
        <f t="shared" si="201"/>
        <v>-2260169</v>
      </c>
      <c r="CW94" s="758"/>
      <c r="CX94" s="333">
        <f>CX91-CX81</f>
        <v>-3422.0999999999767</v>
      </c>
      <c r="CY94" s="333">
        <f t="shared" ref="CY94:DK94" si="202">CY91-CY82</f>
        <v>27531.399999999994</v>
      </c>
      <c r="CZ94" s="333">
        <f t="shared" si="202"/>
        <v>173731</v>
      </c>
      <c r="DA94" s="333">
        <f t="shared" si="202"/>
        <v>151212</v>
      </c>
      <c r="DB94" s="333">
        <f t="shared" si="202"/>
        <v>62684</v>
      </c>
      <c r="DC94" s="333">
        <f t="shared" si="202"/>
        <v>28557</v>
      </c>
      <c r="DD94" s="333">
        <f t="shared" si="202"/>
        <v>42631.880000000005</v>
      </c>
      <c r="DE94" s="333">
        <f t="shared" si="202"/>
        <v>64482.050000000017</v>
      </c>
      <c r="DF94" s="333">
        <f t="shared" si="202"/>
        <v>58987.01999999999</v>
      </c>
      <c r="DG94" s="333">
        <f t="shared" si="202"/>
        <v>-146886.98000000001</v>
      </c>
      <c r="DH94" s="333">
        <f t="shared" si="202"/>
        <v>-140088.22</v>
      </c>
      <c r="DI94" s="333">
        <f t="shared" si="202"/>
        <v>-46792.56</v>
      </c>
      <c r="DJ94" s="333">
        <f t="shared" si="202"/>
        <v>-1279651.51</v>
      </c>
      <c r="DK94" s="948"/>
      <c r="DL94" s="333">
        <f t="shared" ref="DL94:DX94" si="203">DL91-DL82</f>
        <v>81686</v>
      </c>
      <c r="DM94" s="333">
        <f t="shared" si="203"/>
        <v>42817.850000000006</v>
      </c>
      <c r="DN94" s="333">
        <f t="shared" si="203"/>
        <v>27349</v>
      </c>
      <c r="DO94" s="333">
        <f t="shared" si="203"/>
        <v>31430</v>
      </c>
      <c r="DP94" s="333">
        <f t="shared" si="203"/>
        <v>65800.399999999994</v>
      </c>
      <c r="DQ94" s="333">
        <f t="shared" si="203"/>
        <v>26561.050000000017</v>
      </c>
      <c r="DR94" s="333">
        <f t="shared" si="203"/>
        <v>46531.260000000009</v>
      </c>
      <c r="DS94" s="333">
        <f t="shared" si="203"/>
        <v>57482.050000000017</v>
      </c>
      <c r="DT94" s="333">
        <f t="shared" si="203"/>
        <v>52987.01999999999</v>
      </c>
      <c r="DU94" s="333">
        <f t="shared" si="203"/>
        <v>-152886.98000000001</v>
      </c>
      <c r="DV94" s="333">
        <f t="shared" si="203"/>
        <v>-140088.22</v>
      </c>
      <c r="DW94" s="333">
        <f t="shared" si="203"/>
        <v>-82390.079999999987</v>
      </c>
      <c r="DX94" s="333">
        <f t="shared" si="203"/>
        <v>-1557878.65</v>
      </c>
    </row>
    <row r="95" spans="1:143" ht="14.25" hidden="1" customHeight="1">
      <c r="A95" s="55" t="s">
        <v>104</v>
      </c>
      <c r="B95" s="56"/>
      <c r="C95" s="280"/>
      <c r="D95" s="288" t="e">
        <f t="shared" ref="D95:F95" si="204">#REF!-#REF!</f>
        <v>#REF!</v>
      </c>
      <c r="E95" s="57" t="e">
        <f t="shared" si="204"/>
        <v>#REF!</v>
      </c>
      <c r="F95" s="57" t="e">
        <f t="shared" si="204"/>
        <v>#REF!</v>
      </c>
      <c r="G95" s="57" t="e">
        <f t="shared" ref="G95:I95" si="205">G82-#REF!</f>
        <v>#REF!</v>
      </c>
      <c r="H95" s="57" t="e">
        <f t="shared" si="205"/>
        <v>#REF!</v>
      </c>
      <c r="I95" s="57" t="e">
        <f t="shared" si="205"/>
        <v>#REF!</v>
      </c>
      <c r="J95" s="57" t="e">
        <f t="shared" ref="J95:K95" si="206">#REF!-#REF!</f>
        <v>#REF!</v>
      </c>
      <c r="K95" s="57" t="e">
        <f t="shared" si="206"/>
        <v>#REF!</v>
      </c>
      <c r="L95" s="57">
        <f>L82-L35</f>
        <v>-24911</v>
      </c>
      <c r="M95" s="57">
        <f>M82-M35</f>
        <v>-13674</v>
      </c>
      <c r="N95" s="57">
        <f>N82-N35</f>
        <v>57632</v>
      </c>
      <c r="O95" s="57">
        <f>O82-O35</f>
        <v>74079</v>
      </c>
      <c r="P95" s="289" t="e">
        <f>SUM(D95:O95)</f>
        <v>#REF!</v>
      </c>
      <c r="Q95" s="39"/>
      <c r="R95" s="288">
        <f t="shared" ref="R95:AD95" si="207">R82-R35</f>
        <v>22222.660017050745</v>
      </c>
      <c r="S95" s="58">
        <f t="shared" si="207"/>
        <v>17159.673608830723</v>
      </c>
      <c r="T95" s="58">
        <f t="shared" si="207"/>
        <v>-24753.77192982455</v>
      </c>
      <c r="U95" s="58">
        <f t="shared" si="207"/>
        <v>-17814.899999999998</v>
      </c>
      <c r="V95" s="58">
        <f t="shared" si="207"/>
        <v>1715</v>
      </c>
      <c r="W95" s="290">
        <f t="shared" si="207"/>
        <v>120430.6180497602</v>
      </c>
      <c r="X95" s="290">
        <f t="shared" si="207"/>
        <v>43436.666666667006</v>
      </c>
      <c r="Y95" s="290">
        <f t="shared" si="207"/>
        <v>-29747.083333333314</v>
      </c>
      <c r="Z95" s="290">
        <f t="shared" si="207"/>
        <v>-80887.5</v>
      </c>
      <c r="AA95" s="290">
        <f t="shared" si="207"/>
        <v>10200</v>
      </c>
      <c r="AB95" s="290">
        <f t="shared" si="207"/>
        <v>137500</v>
      </c>
      <c r="AC95" s="290">
        <f t="shared" si="207"/>
        <v>134100</v>
      </c>
      <c r="AD95" s="291">
        <f t="shared" si="207"/>
        <v>333561.36307915067</v>
      </c>
      <c r="AE95" s="59"/>
      <c r="AF95" s="292">
        <f t="shared" ref="AF95:AQ95" si="208">AF82-AF35</f>
        <v>32754</v>
      </c>
      <c r="AG95" s="58">
        <f t="shared" si="208"/>
        <v>-11977</v>
      </c>
      <c r="AH95" s="58">
        <f t="shared" si="208"/>
        <v>76847</v>
      </c>
      <c r="AI95" s="58">
        <f t="shared" si="208"/>
        <v>59682</v>
      </c>
      <c r="AJ95" s="58">
        <f t="shared" si="208"/>
        <v>74226</v>
      </c>
      <c r="AK95" s="58">
        <f t="shared" si="208"/>
        <v>14740</v>
      </c>
      <c r="AL95" s="58">
        <f t="shared" si="208"/>
        <v>38005</v>
      </c>
      <c r="AM95" s="58">
        <f t="shared" si="208"/>
        <v>-71903</v>
      </c>
      <c r="AN95" s="58">
        <f t="shared" si="208"/>
        <v>-90633.333333333343</v>
      </c>
      <c r="AO95" s="58">
        <f t="shared" si="208"/>
        <v>-115900</v>
      </c>
      <c r="AP95" s="58">
        <f t="shared" si="208"/>
        <v>1360</v>
      </c>
      <c r="AQ95" s="58">
        <f t="shared" si="208"/>
        <v>2160</v>
      </c>
      <c r="AR95" s="58">
        <f t="shared" si="186"/>
        <v>9360.666666666657</v>
      </c>
      <c r="AS95" s="59"/>
      <c r="AT95" s="58">
        <f t="shared" ref="AT95:BE95" si="209">AT82-AT35</f>
        <v>-19749.25</v>
      </c>
      <c r="AU95" s="58">
        <f t="shared" si="209"/>
        <v>-43342.103448275855</v>
      </c>
      <c r="AV95" s="58">
        <f t="shared" si="209"/>
        <v>-36893.137931034493</v>
      </c>
      <c r="AW95" s="58">
        <f t="shared" si="209"/>
        <v>-32095.137931034493</v>
      </c>
      <c r="AX95" s="58">
        <f t="shared" si="209"/>
        <v>19900.034482758623</v>
      </c>
      <c r="AY95" s="58">
        <f t="shared" si="209"/>
        <v>19999.222221222211</v>
      </c>
      <c r="AZ95" s="58">
        <f t="shared" si="209"/>
        <v>-14264.777777777781</v>
      </c>
      <c r="BA95" s="58">
        <f t="shared" si="209"/>
        <v>-68922.296296296292</v>
      </c>
      <c r="BB95" s="58">
        <f t="shared" si="209"/>
        <v>-78407.777777777781</v>
      </c>
      <c r="BC95" s="58">
        <f t="shared" si="209"/>
        <v>-95868.290755657828</v>
      </c>
      <c r="BD95" s="58">
        <f t="shared" si="209"/>
        <v>-5124.586881472962</v>
      </c>
      <c r="BE95" s="58">
        <f t="shared" si="209"/>
        <v>-10986.612965093984</v>
      </c>
      <c r="BF95" s="58">
        <f t="shared" si="188"/>
        <v>-365754.71506044065</v>
      </c>
      <c r="BG95" s="59"/>
      <c r="BH95" s="58">
        <f t="shared" ref="BH95:BQ95" si="210">BH82-BH35</f>
        <v>-12993</v>
      </c>
      <c r="BI95" s="58">
        <f t="shared" si="210"/>
        <v>-30242.333333333314</v>
      </c>
      <c r="BJ95" s="58">
        <f t="shared" si="210"/>
        <v>-23206.074074074073</v>
      </c>
      <c r="BK95" s="58">
        <f t="shared" si="210"/>
        <v>-47411.74074074073</v>
      </c>
      <c r="BL95" s="58">
        <f t="shared" si="210"/>
        <v>-23836.851851851854</v>
      </c>
      <c r="BM95" s="58">
        <f t="shared" si="210"/>
        <v>23509.740740740745</v>
      </c>
      <c r="BN95" s="58">
        <f t="shared" si="210"/>
        <v>-33707.555555555562</v>
      </c>
      <c r="BO95" s="58">
        <f t="shared" si="210"/>
        <v>-18896.378111111087</v>
      </c>
      <c r="BP95" s="58">
        <f t="shared" si="210"/>
        <v>-45053.749537037045</v>
      </c>
      <c r="BQ95" s="58">
        <f t="shared" si="210"/>
        <v>-7140</v>
      </c>
      <c r="BR95" s="58"/>
      <c r="BS95" s="58"/>
      <c r="BT95" s="58">
        <f t="shared" si="190"/>
        <v>-218977.94246296291</v>
      </c>
      <c r="BU95" s="60"/>
      <c r="BV95" s="58"/>
      <c r="BW95" s="58"/>
      <c r="BX95" s="58"/>
      <c r="BY95" s="58">
        <f>BY82-BY35</f>
        <v>13630.76923076922</v>
      </c>
      <c r="BZ95" s="58">
        <f t="shared" ref="BZ95:CG95" si="211">BZ82-BZ35</f>
        <v>14117.606582143373</v>
      </c>
      <c r="CA95" s="58">
        <f t="shared" si="211"/>
        <v>16957.870899031579</v>
      </c>
      <c r="CB95" s="58">
        <f t="shared" si="211"/>
        <v>3013.7855523840117</v>
      </c>
      <c r="CC95" s="58">
        <f t="shared" si="211"/>
        <v>-28501.089448851068</v>
      </c>
      <c r="CD95" s="58">
        <f t="shared" si="211"/>
        <v>-40033.040135593415</v>
      </c>
      <c r="CE95" s="58">
        <f t="shared" si="211"/>
        <v>-43122.303862118919</v>
      </c>
      <c r="CF95" s="58">
        <f t="shared" si="211"/>
        <v>-3915.8422363018617</v>
      </c>
      <c r="CG95" s="58">
        <f t="shared" si="211"/>
        <v>11316.183308289634</v>
      </c>
      <c r="CH95" s="58">
        <f>CH91-CH77</f>
        <v>-50665</v>
      </c>
      <c r="CJ95" s="58">
        <f t="shared" ref="CJ95:CV95" si="212">CJ82-CJ35</f>
        <v>7083.6330227357394</v>
      </c>
      <c r="CK95" s="58">
        <f t="shared" si="212"/>
        <v>13756.340186358546</v>
      </c>
      <c r="CL95" s="58">
        <f t="shared" si="212"/>
        <v>4307.6667014535924</v>
      </c>
      <c r="CM95" s="58">
        <f t="shared" si="212"/>
        <v>34375.841222512099</v>
      </c>
      <c r="CN95" s="58">
        <f t="shared" si="212"/>
        <v>10438.8879612374</v>
      </c>
      <c r="CO95" s="58">
        <f t="shared" si="212"/>
        <v>63053.84509877002</v>
      </c>
      <c r="CP95" s="58">
        <f t="shared" si="212"/>
        <v>32882.489535864966</v>
      </c>
      <c r="CQ95" s="58">
        <f t="shared" si="212"/>
        <v>-22005.693924050604</v>
      </c>
      <c r="CR95" s="58">
        <f t="shared" si="212"/>
        <v>-47858.190843881865</v>
      </c>
      <c r="CS95" s="58">
        <f t="shared" si="212"/>
        <v>-44713.95105485231</v>
      </c>
      <c r="CT95" s="58">
        <f t="shared" si="212"/>
        <v>-9023.6010970463976</v>
      </c>
      <c r="CU95" s="58">
        <f t="shared" si="212"/>
        <v>22348.607594936708</v>
      </c>
      <c r="CV95" s="58">
        <f t="shared" si="212"/>
        <v>64645.874404037837</v>
      </c>
      <c r="CW95" s="758"/>
      <c r="CX95" s="58">
        <f>CX82-CX35</f>
        <v>-68112.900000000023</v>
      </c>
      <c r="CY95" s="58">
        <f t="shared" ref="CY95:DK95" si="213">CY82-CY35</f>
        <v>-101135.40000000002</v>
      </c>
      <c r="CZ95" s="58">
        <f t="shared" si="213"/>
        <v>-165620</v>
      </c>
      <c r="DA95" s="58">
        <f t="shared" si="213"/>
        <v>-122960</v>
      </c>
      <c r="DB95" s="58">
        <f t="shared" si="213"/>
        <v>-8196</v>
      </c>
      <c r="DC95" s="58">
        <f t="shared" si="213"/>
        <v>-130.00000000001455</v>
      </c>
      <c r="DD95" s="58">
        <f t="shared" si="213"/>
        <v>-51321.420000000013</v>
      </c>
      <c r="DE95" s="58">
        <f t="shared" si="213"/>
        <v>-95910.630000000034</v>
      </c>
      <c r="DF95" s="58">
        <f t="shared" si="213"/>
        <v>-151005.81000000003</v>
      </c>
      <c r="DG95" s="58">
        <f t="shared" si="213"/>
        <v>-75899.22000000003</v>
      </c>
      <c r="DH95" s="58">
        <f t="shared" si="213"/>
        <v>-15339.959999999992</v>
      </c>
      <c r="DI95" s="58">
        <f t="shared" si="213"/>
        <v>-42207.44</v>
      </c>
      <c r="DJ95" s="58">
        <f t="shared" si="213"/>
        <v>-897838.78</v>
      </c>
      <c r="DK95" s="948"/>
      <c r="DL95" s="58">
        <f>DL82-DL35</f>
        <v>-119341</v>
      </c>
      <c r="DM95" s="58">
        <f t="shared" ref="DM95:DY95" si="214">DM82-DM35</f>
        <v>-69421.850000000006</v>
      </c>
      <c r="DN95" s="58">
        <f t="shared" si="214"/>
        <v>-61238</v>
      </c>
      <c r="DO95" s="58">
        <f t="shared" si="214"/>
        <v>4622</v>
      </c>
      <c r="DP95" s="58">
        <f t="shared" si="214"/>
        <v>10987.600000000006</v>
      </c>
      <c r="DQ95" s="58">
        <f t="shared" si="214"/>
        <v>-2834.0500000000175</v>
      </c>
      <c r="DR95" s="58">
        <f t="shared" si="214"/>
        <v>-57820.800000000017</v>
      </c>
      <c r="DS95" s="58">
        <f t="shared" si="214"/>
        <v>-107410.63000000003</v>
      </c>
      <c r="DT95" s="58">
        <f t="shared" si="214"/>
        <v>-169005.80999999997</v>
      </c>
      <c r="DU95" s="58">
        <f t="shared" si="214"/>
        <v>-88599.22</v>
      </c>
      <c r="DV95" s="58">
        <f t="shared" si="214"/>
        <v>-27140.360000000015</v>
      </c>
      <c r="DW95" s="58">
        <f t="shared" si="214"/>
        <v>-10609.920000000013</v>
      </c>
      <c r="DX95" s="58">
        <f t="shared" si="214"/>
        <v>-697812.04</v>
      </c>
    </row>
    <row r="96" spans="1:143" ht="15" hidden="1" customHeight="1">
      <c r="B96" t="s">
        <v>106</v>
      </c>
      <c r="BZ96" s="598"/>
      <c r="CA96" s="598">
        <f>BZ96+CA95</f>
        <v>16957.870899031579</v>
      </c>
      <c r="CB96" s="598">
        <f t="shared" ref="CB96:CG96" si="215">CA96+CB95</f>
        <v>19971.656451415591</v>
      </c>
      <c r="CC96" s="598">
        <f t="shared" si="215"/>
        <v>-8529.4329974354769</v>
      </c>
      <c r="CD96" s="598">
        <f t="shared" si="215"/>
        <v>-48562.473133028892</v>
      </c>
      <c r="CE96" s="598">
        <f t="shared" si="215"/>
        <v>-91684.776995147811</v>
      </c>
      <c r="CF96" s="598">
        <f t="shared" si="215"/>
        <v>-95600.619231449673</v>
      </c>
      <c r="CG96" s="598">
        <f t="shared" si="215"/>
        <v>-84284.435923160039</v>
      </c>
      <c r="CN96">
        <v>147</v>
      </c>
      <c r="CO96">
        <v>147</v>
      </c>
      <c r="CP96">
        <v>147</v>
      </c>
      <c r="CQ96">
        <v>147</v>
      </c>
      <c r="CR96">
        <v>147</v>
      </c>
      <c r="CS96">
        <v>147</v>
      </c>
      <c r="CT96">
        <v>147</v>
      </c>
      <c r="CU96">
        <v>147</v>
      </c>
      <c r="CW96" s="758"/>
      <c r="CX96">
        <f>CX79/(CX78+CX79)</f>
        <v>0.10889228207304867</v>
      </c>
      <c r="CY96">
        <f t="shared" ref="CY96:DI96" si="216">CY79/(CY78+CY79)</f>
        <v>0.10906332005393196</v>
      </c>
      <c r="CZ96">
        <f t="shared" si="216"/>
        <v>0.10560295990871499</v>
      </c>
      <c r="DA96">
        <f t="shared" si="216"/>
        <v>0.1103740306776172</v>
      </c>
      <c r="DB96">
        <f t="shared" si="216"/>
        <v>0.13051445317054414</v>
      </c>
      <c r="DC96">
        <f t="shared" si="216"/>
        <v>0.11523987852948538</v>
      </c>
      <c r="DD96">
        <f t="shared" si="216"/>
        <v>0.15437832681434827</v>
      </c>
      <c r="DE96">
        <f t="shared" si="216"/>
        <v>0.15036914685746341</v>
      </c>
      <c r="DF96">
        <f t="shared" si="216"/>
        <v>0.14020904139872914</v>
      </c>
      <c r="DG96">
        <f t="shared" si="216"/>
        <v>7.9975851863863481E-2</v>
      </c>
      <c r="DH96">
        <f t="shared" si="216"/>
        <v>0.10518071187595056</v>
      </c>
      <c r="DI96">
        <f t="shared" si="216"/>
        <v>9.825520729297918E-2</v>
      </c>
      <c r="DK96" s="948"/>
      <c r="DL96">
        <f>DL79/(DL78+DL79)</f>
        <v>9.6743432367023818E-2</v>
      </c>
      <c r="DM96">
        <f t="shared" ref="DM96:DW96" si="217">DM79/(DM78+DM79)</f>
        <v>9.6498631887906555E-2</v>
      </c>
      <c r="DN96">
        <f t="shared" si="217"/>
        <v>9.4591881536495157E-2</v>
      </c>
      <c r="DO96">
        <f t="shared" si="217"/>
        <v>9.7964874027716115E-2</v>
      </c>
      <c r="DP96">
        <f t="shared" si="217"/>
        <v>9.6214773867036557E-2</v>
      </c>
      <c r="DQ96">
        <f t="shared" si="217"/>
        <v>9.1265234582406166E-2</v>
      </c>
      <c r="DR96">
        <f t="shared" si="217"/>
        <v>0.10014614608853602</v>
      </c>
      <c r="DS96">
        <f t="shared" si="217"/>
        <v>0.11099587737436893</v>
      </c>
      <c r="DT96">
        <f t="shared" si="217"/>
        <v>0.1164117090457787</v>
      </c>
      <c r="DU96">
        <f t="shared" si="217"/>
        <v>7.1907521879673655E-2</v>
      </c>
      <c r="DV96">
        <f t="shared" si="217"/>
        <v>9.4879734818233225E-2</v>
      </c>
      <c r="DW96">
        <f t="shared" si="217"/>
        <v>8.908196304065602E-2</v>
      </c>
    </row>
    <row r="97" spans="1:128" ht="15" hidden="1" customHeight="1">
      <c r="B97" t="s">
        <v>107</v>
      </c>
      <c r="CN97" s="735">
        <f>CN90/CN96</f>
        <v>8840.5732799999987</v>
      </c>
      <c r="CO97" s="735">
        <f t="shared" ref="CO97:CU97" si="218">CO90/CO96</f>
        <v>9261.5529599999973</v>
      </c>
      <c r="CP97" s="735">
        <f t="shared" si="218"/>
        <v>10524.491999999997</v>
      </c>
      <c r="CQ97" s="735">
        <f t="shared" si="218"/>
        <v>8840.5732799999987</v>
      </c>
      <c r="CR97" s="735">
        <f t="shared" si="218"/>
        <v>9261.5529599999973</v>
      </c>
      <c r="CS97" s="735">
        <f t="shared" si="218"/>
        <v>9682.5326399999976</v>
      </c>
      <c r="CT97" s="735">
        <f t="shared" si="218"/>
        <v>9261.5529599999973</v>
      </c>
      <c r="CU97" s="735">
        <f t="shared" si="218"/>
        <v>7156.654559999999</v>
      </c>
      <c r="CW97" s="758"/>
      <c r="CX97">
        <f>ROUND(CX96*CX82,0)</f>
        <v>14361</v>
      </c>
      <c r="CY97">
        <f t="shared" ref="CY97:DI97" si="219">ROUND(CY96*CY82,0)</f>
        <v>12855</v>
      </c>
      <c r="CZ97">
        <f t="shared" si="219"/>
        <v>146</v>
      </c>
      <c r="DA97">
        <f t="shared" si="219"/>
        <v>4508</v>
      </c>
      <c r="DB97">
        <f t="shared" si="219"/>
        <v>19852</v>
      </c>
      <c r="DC97">
        <f t="shared" si="219"/>
        <v>13272</v>
      </c>
      <c r="DD97">
        <f t="shared" si="219"/>
        <v>22938</v>
      </c>
      <c r="DE97">
        <f t="shared" si="219"/>
        <v>17468</v>
      </c>
      <c r="DF97">
        <f t="shared" si="219"/>
        <v>17090</v>
      </c>
      <c r="DG97">
        <f t="shared" si="219"/>
        <v>11747</v>
      </c>
      <c r="DH97">
        <f t="shared" si="219"/>
        <v>14735</v>
      </c>
      <c r="DI97">
        <f t="shared" si="219"/>
        <v>4598</v>
      </c>
      <c r="DK97" s="948"/>
      <c r="DL97">
        <f>ROUND(DL96*DL82,0)</f>
        <v>10609</v>
      </c>
      <c r="DM97">
        <f t="shared" ref="DM97:DW97" si="220">ROUND(DM96*DM82,0)</f>
        <v>9899</v>
      </c>
      <c r="DN97">
        <f t="shared" si="220"/>
        <v>13977</v>
      </c>
      <c r="DO97">
        <f t="shared" si="220"/>
        <v>15735</v>
      </c>
      <c r="DP97">
        <f t="shared" si="220"/>
        <v>14335</v>
      </c>
      <c r="DQ97">
        <f t="shared" si="220"/>
        <v>10693</v>
      </c>
      <c r="DR97">
        <f t="shared" si="220"/>
        <v>14490</v>
      </c>
      <c r="DS97">
        <f t="shared" si="220"/>
        <v>13671</v>
      </c>
      <c r="DT97">
        <f t="shared" si="220"/>
        <v>14888</v>
      </c>
      <c r="DU97">
        <f t="shared" si="220"/>
        <v>10994</v>
      </c>
      <c r="DV97">
        <f t="shared" si="220"/>
        <v>13292</v>
      </c>
      <c r="DW97">
        <f t="shared" si="220"/>
        <v>7339</v>
      </c>
    </row>
    <row r="98" spans="1:128" ht="15" hidden="1" customHeight="1">
      <c r="CO98" s="598">
        <f>CO86</f>
        <v>9000</v>
      </c>
      <c r="CP98" s="598">
        <f t="shared" ref="CP98:CU98" si="221">CP86</f>
        <v>9800</v>
      </c>
      <c r="CQ98" s="598">
        <f t="shared" si="221"/>
        <v>9900</v>
      </c>
      <c r="CR98" s="598">
        <f t="shared" si="221"/>
        <v>9900</v>
      </c>
      <c r="CS98" s="598">
        <f t="shared" si="221"/>
        <v>9300</v>
      </c>
      <c r="CT98" s="598">
        <f t="shared" si="221"/>
        <v>8400</v>
      </c>
      <c r="CU98" s="598">
        <f t="shared" si="221"/>
        <v>9300</v>
      </c>
      <c r="CW98" s="758"/>
      <c r="CX98" s="413">
        <v>194469.46000000002</v>
      </c>
      <c r="CY98" s="413">
        <v>159466.88999999998</v>
      </c>
      <c r="CZ98" s="413">
        <v>208203.57</v>
      </c>
      <c r="DA98" s="413">
        <v>158532.44</v>
      </c>
      <c r="DB98" s="413">
        <v>157404.75999999998</v>
      </c>
      <c r="DC98" s="413">
        <v>118894.62</v>
      </c>
      <c r="DD98" s="413">
        <v>211625.73</v>
      </c>
      <c r="DE98" s="413">
        <v>208193.11</v>
      </c>
      <c r="DF98" s="413">
        <v>269889.13</v>
      </c>
      <c r="DG98" s="413">
        <v>258868.84085232066</v>
      </c>
      <c r="DH98" s="413">
        <v>178376.53444641351</v>
      </c>
      <c r="DI98" s="413">
        <v>114212.18776329115</v>
      </c>
      <c r="DK98" s="948"/>
      <c r="DL98" s="413">
        <f>DL99*1.1</f>
        <v>213916.40600000005</v>
      </c>
      <c r="DM98" s="413">
        <f t="shared" ref="DM98:DW98" si="222">DM99*1.1</f>
        <v>175413.579</v>
      </c>
      <c r="DN98" s="413">
        <f t="shared" si="222"/>
        <v>229023.92700000003</v>
      </c>
      <c r="DO98" s="413">
        <f t="shared" si="222"/>
        <v>174385.68400000001</v>
      </c>
      <c r="DP98" s="413">
        <f t="shared" si="222"/>
        <v>173145.236</v>
      </c>
      <c r="DQ98" s="413">
        <f t="shared" si="222"/>
        <v>130784.08200000001</v>
      </c>
      <c r="DR98" s="413">
        <f t="shared" si="222"/>
        <v>232788.30300000004</v>
      </c>
      <c r="DS98" s="413">
        <f t="shared" si="222"/>
        <v>229012.421</v>
      </c>
      <c r="DT98" s="413">
        <f t="shared" si="222"/>
        <v>296878.04300000001</v>
      </c>
      <c r="DU98" s="413">
        <f t="shared" si="222"/>
        <v>284755.72493755276</v>
      </c>
      <c r="DV98" s="413">
        <f t="shared" si="222"/>
        <v>196214.18789105487</v>
      </c>
      <c r="DW98" s="413">
        <f t="shared" si="222"/>
        <v>125633.40653962028</v>
      </c>
    </row>
    <row r="99" spans="1:128" ht="15" hidden="1" customHeight="1">
      <c r="B99" s="576"/>
      <c r="C99" s="576"/>
      <c r="D99" s="576"/>
      <c r="E99" s="576"/>
      <c r="F99" s="576"/>
      <c r="G99" s="576"/>
      <c r="H99" s="576"/>
      <c r="I99" s="576"/>
      <c r="J99" s="576"/>
      <c r="K99" s="576"/>
      <c r="L99" s="576"/>
      <c r="M99" s="576"/>
      <c r="N99" s="576"/>
      <c r="O99" s="576"/>
      <c r="P99" s="576"/>
      <c r="Q99" s="576"/>
      <c r="R99" s="576"/>
      <c r="S99" s="576"/>
      <c r="T99" s="576"/>
      <c r="U99" s="576"/>
      <c r="V99" s="576"/>
      <c r="W99" s="576"/>
      <c r="X99" s="576"/>
      <c r="Y99" s="576"/>
      <c r="Z99" s="576"/>
      <c r="AA99" s="576"/>
      <c r="AB99" s="576"/>
      <c r="AC99" s="576"/>
      <c r="AD99" s="576"/>
      <c r="AE99" s="576"/>
      <c r="AF99" s="576"/>
      <c r="AG99" s="576"/>
      <c r="AH99" s="576"/>
      <c r="AI99" s="576"/>
      <c r="AJ99" s="576"/>
      <c r="AK99" s="576"/>
      <c r="AL99" s="576"/>
      <c r="AM99" s="576"/>
      <c r="AN99" s="576"/>
      <c r="AO99" s="576"/>
      <c r="AP99" s="576"/>
      <c r="AQ99" s="576"/>
      <c r="AR99" s="576"/>
      <c r="AS99" s="576"/>
      <c r="AT99" s="576"/>
      <c r="AU99" s="576"/>
      <c r="AV99" s="576"/>
      <c r="AW99" s="576"/>
      <c r="AX99" s="576"/>
      <c r="AY99" s="576"/>
      <c r="AZ99" s="576"/>
      <c r="BA99" s="576"/>
      <c r="BB99" s="576"/>
      <c r="BC99" s="576"/>
      <c r="BD99" s="576"/>
      <c r="BE99" s="576"/>
      <c r="BF99" s="576"/>
      <c r="BG99" s="576"/>
      <c r="BH99" s="576"/>
      <c r="BI99" s="576"/>
      <c r="BJ99" s="576"/>
      <c r="BK99" s="576"/>
      <c r="BL99" s="576"/>
      <c r="BM99" s="576"/>
      <c r="BN99" s="576"/>
      <c r="BO99" s="576"/>
      <c r="BP99" s="576"/>
      <c r="BQ99" s="576"/>
      <c r="BR99" s="576"/>
      <c r="BS99" s="576"/>
      <c r="BT99" s="576"/>
      <c r="BU99" s="576"/>
      <c r="BV99" s="576"/>
      <c r="BW99" s="576"/>
      <c r="BX99" s="576"/>
      <c r="BY99" s="576"/>
      <c r="BZ99" s="576"/>
      <c r="CA99" s="576"/>
      <c r="CB99" s="576"/>
      <c r="CC99" s="576"/>
      <c r="CD99" s="576"/>
      <c r="CE99" s="576"/>
      <c r="CF99" s="576"/>
      <c r="CG99" s="576"/>
      <c r="CH99" s="576"/>
      <c r="CI99" s="576"/>
      <c r="CJ99" s="576"/>
      <c r="CK99" s="576"/>
      <c r="CL99" s="576"/>
      <c r="CM99" s="576"/>
      <c r="CN99" s="576"/>
      <c r="CO99" s="576">
        <f>CO82*0.95</f>
        <v>188100</v>
      </c>
      <c r="CP99" s="576">
        <f t="shared" ref="CP99:CU99" si="223">CP82*0.95</f>
        <v>232750</v>
      </c>
      <c r="CQ99" s="576">
        <f t="shared" si="223"/>
        <v>197505</v>
      </c>
      <c r="CR99" s="576">
        <f t="shared" si="223"/>
        <v>206910</v>
      </c>
      <c r="CS99" s="576">
        <f t="shared" si="223"/>
        <v>195300.05</v>
      </c>
      <c r="CT99" s="576">
        <f t="shared" si="223"/>
        <v>156123</v>
      </c>
      <c r="CU99" s="576">
        <f t="shared" si="223"/>
        <v>112727</v>
      </c>
      <c r="CV99" s="576"/>
      <c r="CW99" s="758"/>
      <c r="CX99" s="576"/>
      <c r="CY99" s="576"/>
      <c r="CZ99" s="576"/>
      <c r="DA99" s="576"/>
      <c r="DB99" s="576"/>
      <c r="DC99" s="576"/>
      <c r="DD99" s="576"/>
      <c r="DE99" s="576"/>
      <c r="DF99" s="576"/>
      <c r="DG99" s="576"/>
      <c r="DH99" s="576"/>
      <c r="DI99" s="576"/>
      <c r="DK99" s="948"/>
      <c r="DL99" s="413">
        <v>194469.46000000002</v>
      </c>
      <c r="DM99" s="413">
        <v>159466.88999999998</v>
      </c>
      <c r="DN99" s="413">
        <v>208203.57</v>
      </c>
      <c r="DO99" s="413">
        <v>158532.44</v>
      </c>
      <c r="DP99" s="413">
        <v>157404.75999999998</v>
      </c>
      <c r="DQ99" s="413">
        <v>118894.62</v>
      </c>
      <c r="DR99" s="413">
        <v>211625.73</v>
      </c>
      <c r="DS99" s="413">
        <v>208193.11</v>
      </c>
      <c r="DT99" s="413">
        <v>269889.13</v>
      </c>
      <c r="DU99" s="413">
        <v>258868.84085232066</v>
      </c>
      <c r="DV99" s="413">
        <v>178376.53444641351</v>
      </c>
      <c r="DW99" s="413">
        <v>114212.18776329115</v>
      </c>
    </row>
    <row r="100" spans="1:128" ht="15" hidden="1" customHeight="1">
      <c r="A100" s="576"/>
      <c r="B100" s="760" t="s">
        <v>136</v>
      </c>
      <c r="C100" s="761"/>
      <c r="D100" s="761"/>
      <c r="E100" s="761"/>
      <c r="F100" s="761"/>
      <c r="G100" s="761"/>
      <c r="H100" s="761"/>
      <c r="I100" s="761"/>
      <c r="J100" s="761"/>
      <c r="K100" s="761"/>
      <c r="L100" s="761"/>
      <c r="M100" s="761"/>
      <c r="N100" s="761"/>
      <c r="O100" s="761"/>
      <c r="P100" s="761"/>
      <c r="Q100" s="761"/>
      <c r="R100" s="761"/>
      <c r="S100" s="761"/>
      <c r="T100" s="761"/>
      <c r="U100" s="761"/>
      <c r="V100" s="761"/>
      <c r="W100" s="761"/>
      <c r="X100" s="761"/>
      <c r="Y100" s="761"/>
      <c r="Z100" s="761"/>
      <c r="AA100" s="761"/>
      <c r="AB100" s="761"/>
      <c r="AC100" s="761"/>
      <c r="AD100" s="761"/>
      <c r="AE100" s="761"/>
      <c r="AF100" s="761"/>
      <c r="AG100" s="761"/>
      <c r="AH100" s="761"/>
      <c r="AI100" s="761"/>
      <c r="AJ100" s="761"/>
      <c r="AK100" s="761"/>
      <c r="AL100" s="761"/>
      <c r="AM100" s="761"/>
      <c r="AN100" s="761"/>
      <c r="AO100" s="761"/>
      <c r="AP100" s="761"/>
      <c r="AQ100" s="761"/>
      <c r="AR100" s="761"/>
      <c r="AS100" s="761"/>
      <c r="AT100" s="761"/>
      <c r="AU100" s="761"/>
      <c r="AV100" s="761"/>
      <c r="AW100" s="761"/>
      <c r="AX100" s="761"/>
      <c r="AY100" s="761"/>
      <c r="AZ100" s="761"/>
      <c r="BA100" s="761"/>
      <c r="BB100" s="761"/>
      <c r="BC100" s="761"/>
      <c r="BD100" s="761"/>
      <c r="BE100" s="761"/>
      <c r="BF100" s="761"/>
      <c r="BG100" s="761"/>
      <c r="BH100" s="761"/>
      <c r="BI100" s="761"/>
      <c r="BJ100" s="761"/>
      <c r="BK100" s="761"/>
      <c r="BL100" s="761"/>
      <c r="BM100" s="761"/>
      <c r="BN100" s="761"/>
      <c r="BO100" s="761"/>
      <c r="BP100" s="761"/>
      <c r="BQ100" s="761"/>
      <c r="BR100" s="761"/>
      <c r="BS100" s="761"/>
      <c r="BT100" s="761"/>
      <c r="BU100" s="761"/>
      <c r="BV100" s="761"/>
      <c r="BW100" s="761"/>
      <c r="BX100" s="761"/>
      <c r="BY100" s="761"/>
      <c r="BZ100" s="761"/>
      <c r="CA100" s="761"/>
      <c r="CB100" s="761"/>
      <c r="CC100" s="761"/>
      <c r="CD100" s="761"/>
      <c r="CE100" s="761"/>
      <c r="CF100" s="761"/>
      <c r="CG100" s="761"/>
      <c r="CH100" s="761"/>
      <c r="CI100" s="761"/>
      <c r="CJ100" s="761"/>
      <c r="CK100" s="761"/>
      <c r="CL100" s="761"/>
      <c r="CM100" s="761"/>
      <c r="CN100" s="761"/>
      <c r="CO100" s="761"/>
      <c r="CP100" s="761"/>
      <c r="CQ100" s="761"/>
      <c r="CR100" s="761"/>
      <c r="CS100" s="761">
        <v>0</v>
      </c>
      <c r="CT100" s="761">
        <v>20460</v>
      </c>
      <c r="CU100" s="761">
        <f>CU106-CU105</f>
        <v>39440</v>
      </c>
      <c r="CV100" s="761"/>
      <c r="CW100" s="758"/>
      <c r="CX100" s="761">
        <f>CX106-CX105</f>
        <v>53880</v>
      </c>
      <c r="CY100" s="761">
        <f t="shared" ref="CY100:DB100" si="224">CY106-CY105</f>
        <v>30080</v>
      </c>
      <c r="CZ100" s="761">
        <f t="shared" si="224"/>
        <v>34020</v>
      </c>
      <c r="DA100" s="761">
        <f t="shared" si="224"/>
        <v>21160</v>
      </c>
      <c r="DB100" s="761">
        <v>10000</v>
      </c>
      <c r="DC100" s="761">
        <v>50000</v>
      </c>
      <c r="DD100" s="761">
        <v>40000</v>
      </c>
      <c r="DE100" s="761">
        <v>40000</v>
      </c>
      <c r="DF100" s="761">
        <v>35000</v>
      </c>
      <c r="DG100" s="761">
        <v>20000</v>
      </c>
      <c r="DH100" s="761">
        <v>10000</v>
      </c>
      <c r="DI100" s="761">
        <f>DC100</f>
        <v>50000</v>
      </c>
      <c r="DJ100" s="576"/>
      <c r="DK100" s="948"/>
      <c r="DL100" s="761">
        <f>DL106-DL105</f>
        <v>53880</v>
      </c>
      <c r="DM100" s="761">
        <f t="shared" ref="DM100:DP100" si="225">DM106-DM105</f>
        <v>30080</v>
      </c>
      <c r="DN100" s="761">
        <f t="shared" si="225"/>
        <v>34020</v>
      </c>
      <c r="DO100" s="761">
        <f t="shared" si="225"/>
        <v>21160</v>
      </c>
      <c r="DP100" s="761">
        <v>10000</v>
      </c>
      <c r="DQ100" s="761">
        <v>50000</v>
      </c>
      <c r="DR100" s="761">
        <v>40000</v>
      </c>
      <c r="DS100" s="761">
        <v>40000</v>
      </c>
      <c r="DT100" s="761">
        <v>35000</v>
      </c>
      <c r="DU100" s="761">
        <v>20000</v>
      </c>
      <c r="DV100" s="761">
        <v>10000</v>
      </c>
      <c r="DW100" s="761">
        <f>DQ100</f>
        <v>50000</v>
      </c>
      <c r="DX100" s="576"/>
    </row>
    <row r="101" spans="1:128" ht="15" hidden="1" customHeight="1">
      <c r="A101" s="576"/>
      <c r="B101" s="762" t="s">
        <v>137</v>
      </c>
      <c r="C101" s="763"/>
      <c r="D101" s="763"/>
      <c r="E101" s="763"/>
      <c r="F101" s="763"/>
      <c r="G101" s="763"/>
      <c r="H101" s="763"/>
      <c r="I101" s="763"/>
      <c r="J101" s="763"/>
      <c r="K101" s="763"/>
      <c r="L101" s="763"/>
      <c r="M101" s="763"/>
      <c r="N101" s="763"/>
      <c r="O101" s="763"/>
      <c r="P101" s="763"/>
      <c r="Q101" s="763"/>
      <c r="R101" s="763"/>
      <c r="S101" s="763"/>
      <c r="T101" s="763"/>
      <c r="U101" s="763"/>
      <c r="V101" s="763"/>
      <c r="W101" s="763"/>
      <c r="X101" s="763"/>
      <c r="Y101" s="763"/>
      <c r="Z101" s="763"/>
      <c r="AA101" s="763"/>
      <c r="AB101" s="763"/>
      <c r="AC101" s="763"/>
      <c r="AD101" s="763"/>
      <c r="AE101" s="763"/>
      <c r="AF101" s="763"/>
      <c r="AG101" s="763"/>
      <c r="AH101" s="763"/>
      <c r="AI101" s="763"/>
      <c r="AJ101" s="763"/>
      <c r="AK101" s="763"/>
      <c r="AL101" s="763"/>
      <c r="AM101" s="763"/>
      <c r="AN101" s="763"/>
      <c r="AO101" s="763"/>
      <c r="AP101" s="763"/>
      <c r="AQ101" s="763"/>
      <c r="AR101" s="763"/>
      <c r="AS101" s="763"/>
      <c r="AT101" s="763"/>
      <c r="AU101" s="763"/>
      <c r="AV101" s="763"/>
      <c r="AW101" s="763"/>
      <c r="AX101" s="763"/>
      <c r="AY101" s="763"/>
      <c r="AZ101" s="763"/>
      <c r="BA101" s="763"/>
      <c r="BB101" s="763"/>
      <c r="BC101" s="763"/>
      <c r="BD101" s="763"/>
      <c r="BE101" s="763"/>
      <c r="BF101" s="763"/>
      <c r="BG101" s="763"/>
      <c r="BH101" s="763"/>
      <c r="BI101" s="763"/>
      <c r="BJ101" s="763"/>
      <c r="BK101" s="763"/>
      <c r="BL101" s="763"/>
      <c r="BM101" s="763"/>
      <c r="BN101" s="763"/>
      <c r="BO101" s="763"/>
      <c r="BP101" s="763"/>
      <c r="BQ101" s="763"/>
      <c r="BR101" s="763"/>
      <c r="BS101" s="763"/>
      <c r="BT101" s="763"/>
      <c r="BU101" s="763"/>
      <c r="BV101" s="763"/>
      <c r="BW101" s="763"/>
      <c r="BX101" s="763"/>
      <c r="BY101" s="763"/>
      <c r="BZ101" s="763"/>
      <c r="CA101" s="763"/>
      <c r="CB101" s="763"/>
      <c r="CC101" s="763"/>
      <c r="CD101" s="763"/>
      <c r="CE101" s="763"/>
      <c r="CF101" s="763"/>
      <c r="CG101" s="763"/>
      <c r="CH101" s="763"/>
      <c r="CI101" s="763"/>
      <c r="CJ101" s="763"/>
      <c r="CK101" s="763"/>
      <c r="CL101" s="763"/>
      <c r="CM101" s="763"/>
      <c r="CN101" s="763"/>
      <c r="CO101" s="763"/>
      <c r="CP101" s="763"/>
      <c r="CQ101" s="763"/>
      <c r="CR101" s="763"/>
      <c r="CS101" s="763"/>
      <c r="CT101" s="763">
        <v>35000</v>
      </c>
      <c r="CU101" s="763">
        <v>2096</v>
      </c>
      <c r="CV101" s="763"/>
      <c r="CW101" s="758"/>
      <c r="CX101" s="764">
        <f>CX108-CX107</f>
        <v>39610</v>
      </c>
      <c r="CY101" s="764">
        <f t="shared" ref="CY101:DC101" si="226">CY108-CY107</f>
        <v>36994</v>
      </c>
      <c r="CZ101" s="764">
        <f t="shared" si="226"/>
        <v>29344</v>
      </c>
      <c r="DA101" s="764">
        <f t="shared" si="226"/>
        <v>33378</v>
      </c>
      <c r="DB101" s="764">
        <f t="shared" si="226"/>
        <v>19489</v>
      </c>
      <c r="DC101" s="764">
        <f t="shared" si="226"/>
        <v>14764</v>
      </c>
      <c r="DD101" s="763">
        <f>DD102*1.1</f>
        <v>49685.9</v>
      </c>
      <c r="DE101" s="763">
        <f t="shared" ref="DE101:DI101" si="227">DE102*1.1</f>
        <v>48585.9</v>
      </c>
      <c r="DF101" s="763">
        <f t="shared" si="227"/>
        <v>55922.9</v>
      </c>
      <c r="DG101" s="763">
        <f t="shared" si="227"/>
        <v>28156.7</v>
      </c>
      <c r="DH101" s="763">
        <f t="shared" si="227"/>
        <v>14078.35</v>
      </c>
      <c r="DI101" s="763">
        <f t="shared" si="227"/>
        <v>3300.0000000000005</v>
      </c>
      <c r="DJ101" s="576"/>
      <c r="DK101" s="948"/>
      <c r="DL101" s="764">
        <f>DL108-DL107</f>
        <v>39610</v>
      </c>
      <c r="DM101" s="764">
        <f t="shared" ref="DM101:DQ101" si="228">DM108-DM107</f>
        <v>36994</v>
      </c>
      <c r="DN101" s="764">
        <f t="shared" si="228"/>
        <v>29344</v>
      </c>
      <c r="DO101" s="764">
        <f t="shared" si="228"/>
        <v>33378</v>
      </c>
      <c r="DP101" s="764">
        <f t="shared" si="228"/>
        <v>19489</v>
      </c>
      <c r="DQ101" s="764">
        <f t="shared" si="228"/>
        <v>14764</v>
      </c>
      <c r="DR101" s="763">
        <f>DR102*1.1</f>
        <v>49685.9</v>
      </c>
      <c r="DS101" s="763">
        <f t="shared" ref="DS101:DW101" si="229">DS102*1.1</f>
        <v>48585.9</v>
      </c>
      <c r="DT101" s="763">
        <f t="shared" si="229"/>
        <v>55922.9</v>
      </c>
      <c r="DU101" s="763">
        <f t="shared" si="229"/>
        <v>28156.7</v>
      </c>
      <c r="DV101" s="763">
        <f t="shared" si="229"/>
        <v>14078.35</v>
      </c>
      <c r="DW101" s="763">
        <f t="shared" si="229"/>
        <v>3300.0000000000005</v>
      </c>
      <c r="DX101" s="576"/>
    </row>
    <row r="102" spans="1:128" ht="15" hidden="1" customHeight="1">
      <c r="B102" s="576"/>
      <c r="C102" s="576"/>
      <c r="D102" s="576"/>
      <c r="E102" s="576"/>
      <c r="F102" s="576"/>
      <c r="G102" s="576"/>
      <c r="H102" s="576"/>
      <c r="I102" s="576"/>
      <c r="J102" s="576"/>
      <c r="K102" s="576"/>
      <c r="L102" s="576"/>
      <c r="M102" s="576"/>
      <c r="N102" s="576"/>
      <c r="O102" s="576"/>
      <c r="P102" s="576"/>
      <c r="Q102" s="576"/>
      <c r="R102" s="576"/>
      <c r="S102" s="576"/>
      <c r="T102" s="576"/>
      <c r="U102" s="576"/>
      <c r="V102" s="576"/>
      <c r="W102" s="576"/>
      <c r="X102" s="576"/>
      <c r="Y102" s="576"/>
      <c r="Z102" s="576"/>
      <c r="AA102" s="576"/>
      <c r="AB102" s="576"/>
      <c r="AC102" s="576"/>
      <c r="AD102" s="576"/>
      <c r="AE102" s="576"/>
      <c r="AF102" s="576"/>
      <c r="AG102" s="576"/>
      <c r="AH102" s="576"/>
      <c r="AI102" s="576"/>
      <c r="AJ102" s="576"/>
      <c r="AK102" s="576"/>
      <c r="AL102" s="576"/>
      <c r="AM102" s="576"/>
      <c r="AN102" s="576"/>
      <c r="AO102" s="576"/>
      <c r="AP102" s="576"/>
      <c r="AQ102" s="576"/>
      <c r="AR102" s="576"/>
      <c r="AS102" s="576"/>
      <c r="AT102" s="576"/>
      <c r="AU102" s="576"/>
      <c r="AV102" s="576"/>
      <c r="AW102" s="576"/>
      <c r="AX102" s="576"/>
      <c r="AY102" s="576"/>
      <c r="AZ102" s="576"/>
      <c r="BA102" s="576"/>
      <c r="BB102" s="576"/>
      <c r="BC102" s="576"/>
      <c r="BD102" s="576"/>
      <c r="BE102" s="576"/>
      <c r="BF102" s="576"/>
      <c r="BG102" s="576"/>
      <c r="BH102" s="576"/>
      <c r="BI102" s="576"/>
      <c r="BJ102" s="576"/>
      <c r="BK102" s="576"/>
      <c r="BL102" s="576"/>
      <c r="BM102" s="576"/>
      <c r="BN102" s="576"/>
      <c r="BO102" s="576"/>
      <c r="BP102" s="576"/>
      <c r="BQ102" s="576"/>
      <c r="BR102" s="576"/>
      <c r="BS102" s="576"/>
      <c r="BT102" s="576"/>
      <c r="BU102" s="576"/>
      <c r="BV102" s="576"/>
      <c r="BW102" s="576"/>
      <c r="BX102" s="576"/>
      <c r="BY102" s="576"/>
      <c r="BZ102" s="576"/>
      <c r="CA102" s="576"/>
      <c r="CB102" s="576"/>
      <c r="CC102" s="576"/>
      <c r="CD102" s="576"/>
      <c r="CE102" s="576"/>
      <c r="CF102" s="576"/>
      <c r="CG102" s="576"/>
      <c r="CH102" s="576"/>
      <c r="CI102" s="576"/>
      <c r="CJ102" s="576"/>
      <c r="CK102" s="576"/>
      <c r="CL102" s="576"/>
      <c r="CM102" s="576"/>
      <c r="CN102" s="576"/>
      <c r="CO102" s="576"/>
      <c r="CP102" s="576"/>
      <c r="CQ102" s="576"/>
      <c r="CR102" s="576"/>
      <c r="CS102" s="576"/>
      <c r="CT102" s="576"/>
      <c r="CU102" s="576"/>
      <c r="CV102" s="576"/>
      <c r="CW102" s="758"/>
      <c r="CX102" s="576"/>
      <c r="CY102" s="576"/>
      <c r="CZ102" s="576"/>
      <c r="DA102" s="576"/>
      <c r="DB102" s="576"/>
      <c r="DC102" s="576"/>
      <c r="DD102" s="576">
        <v>45169</v>
      </c>
      <c r="DE102" s="576">
        <v>44169</v>
      </c>
      <c r="DF102" s="576">
        <v>50839</v>
      </c>
      <c r="DG102" s="576">
        <v>25597</v>
      </c>
      <c r="DH102" s="763">
        <f>DG102/2</f>
        <v>12798.5</v>
      </c>
      <c r="DI102" s="763">
        <v>3000</v>
      </c>
      <c r="DK102" s="948"/>
      <c r="DL102" s="576"/>
      <c r="DM102" s="576"/>
      <c r="DN102" s="576"/>
      <c r="DO102" s="576"/>
      <c r="DP102" s="576"/>
      <c r="DQ102" s="576"/>
      <c r="DR102" s="576">
        <v>45169</v>
      </c>
      <c r="DS102" s="576">
        <v>44169</v>
      </c>
      <c r="DT102" s="576">
        <v>50839</v>
      </c>
      <c r="DU102" s="576">
        <v>25597</v>
      </c>
      <c r="DV102" s="763">
        <f>DU102/2</f>
        <v>12798.5</v>
      </c>
      <c r="DW102" s="763">
        <v>3000</v>
      </c>
    </row>
    <row r="103" spans="1:128" ht="15" hidden="1" customHeight="1">
      <c r="CU103">
        <v>50000</v>
      </c>
      <c r="CX103">
        <v>40000</v>
      </c>
      <c r="CY103">
        <v>40000</v>
      </c>
      <c r="CZ103">
        <v>35000</v>
      </c>
      <c r="DA103">
        <v>20000</v>
      </c>
      <c r="DL103">
        <v>40000</v>
      </c>
      <c r="DM103">
        <v>40000</v>
      </c>
      <c r="DN103">
        <v>35000</v>
      </c>
      <c r="DO103">
        <v>20000</v>
      </c>
    </row>
    <row r="104" spans="1:128" ht="15" hidden="1" customHeight="1"/>
    <row r="105" spans="1:128" ht="15" hidden="1" customHeight="1">
      <c r="CT105" s="682" t="s">
        <v>138</v>
      </c>
      <c r="CU105">
        <v>31560</v>
      </c>
      <c r="CX105">
        <v>26320</v>
      </c>
      <c r="CY105">
        <v>21280</v>
      </c>
      <c r="CZ105">
        <v>19180</v>
      </c>
      <c r="DA105">
        <v>14700</v>
      </c>
      <c r="DL105">
        <v>26320</v>
      </c>
      <c r="DM105">
        <v>21280</v>
      </c>
      <c r="DN105">
        <v>19180</v>
      </c>
      <c r="DO105">
        <v>14700</v>
      </c>
    </row>
    <row r="106" spans="1:128" ht="15" hidden="1" customHeight="1">
      <c r="CU106" s="761">
        <v>71000</v>
      </c>
      <c r="CV106" s="761"/>
      <c r="CW106" s="761"/>
      <c r="CX106" s="761">
        <v>80200</v>
      </c>
      <c r="CY106" s="761">
        <v>51360</v>
      </c>
      <c r="CZ106" s="761">
        <v>53200</v>
      </c>
      <c r="DA106" s="761">
        <v>35860</v>
      </c>
      <c r="DL106" s="761">
        <v>80200</v>
      </c>
      <c r="DM106" s="761">
        <v>51360</v>
      </c>
      <c r="DN106" s="761">
        <v>53200</v>
      </c>
      <c r="DO106" s="761">
        <v>35860</v>
      </c>
    </row>
    <row r="107" spans="1:128" ht="15" hidden="1" customHeight="1">
      <c r="B107" s="576"/>
      <c r="C107" s="576"/>
      <c r="CT107" t="s">
        <v>139</v>
      </c>
      <c r="CX107" s="764">
        <v>24332</v>
      </c>
      <c r="CY107" s="764">
        <v>18419</v>
      </c>
      <c r="CZ107" s="764">
        <v>19179</v>
      </c>
      <c r="DA107" s="764">
        <v>17338</v>
      </c>
      <c r="DB107" s="764">
        <v>12064</v>
      </c>
      <c r="DC107" s="764">
        <v>9136</v>
      </c>
      <c r="DL107" s="764">
        <v>24332</v>
      </c>
      <c r="DM107" s="764">
        <v>18419</v>
      </c>
      <c r="DN107" s="764">
        <v>19179</v>
      </c>
      <c r="DO107" s="764">
        <v>17338</v>
      </c>
      <c r="DP107" s="764">
        <v>12064</v>
      </c>
      <c r="DQ107" s="764">
        <v>9136</v>
      </c>
    </row>
    <row r="108" spans="1:128" ht="15" hidden="1" customHeight="1">
      <c r="A108" s="576"/>
      <c r="B108" s="946" t="s">
        <v>140</v>
      </c>
      <c r="C108" s="947" t="s">
        <v>141</v>
      </c>
      <c r="D108" s="576"/>
      <c r="CX108" s="764">
        <v>63942</v>
      </c>
      <c r="CY108" s="764">
        <v>55413</v>
      </c>
      <c r="CZ108" s="764">
        <v>48523</v>
      </c>
      <c r="DA108" s="764">
        <v>50716</v>
      </c>
      <c r="DB108" s="764">
        <v>31553</v>
      </c>
      <c r="DC108" s="764">
        <v>23900</v>
      </c>
      <c r="DL108" s="764">
        <v>63942</v>
      </c>
      <c r="DM108" s="764">
        <v>55413</v>
      </c>
      <c r="DN108" s="764">
        <v>48523</v>
      </c>
      <c r="DO108" s="764">
        <v>50716</v>
      </c>
      <c r="DP108" s="764">
        <v>31553</v>
      </c>
      <c r="DQ108" s="764">
        <v>23900</v>
      </c>
    </row>
    <row r="109" spans="1:128" ht="15" hidden="1" customHeight="1">
      <c r="A109" s="576"/>
      <c r="B109" s="944" t="s">
        <v>142</v>
      </c>
      <c r="C109" s="945">
        <f>COUNTIFS(grupos!C:C,B109)</f>
        <v>1</v>
      </c>
      <c r="D109" s="576"/>
    </row>
    <row r="110" spans="1:128" ht="15" hidden="1" customHeight="1">
      <c r="A110" s="576"/>
      <c r="B110" s="941" t="s">
        <v>143</v>
      </c>
      <c r="C110" s="942">
        <v>12</v>
      </c>
      <c r="D110" s="576"/>
      <c r="CV110" t="s">
        <v>144</v>
      </c>
      <c r="CX110">
        <v>15330</v>
      </c>
      <c r="CY110">
        <v>12143</v>
      </c>
      <c r="CZ110">
        <v>17171</v>
      </c>
      <c r="DA110">
        <v>12558</v>
      </c>
      <c r="DB110">
        <v>13440</v>
      </c>
      <c r="DC110">
        <v>9626</v>
      </c>
      <c r="DD110">
        <v>16670</v>
      </c>
      <c r="DE110">
        <v>18206</v>
      </c>
      <c r="DF110">
        <v>25500</v>
      </c>
      <c r="DG110">
        <v>16774</v>
      </c>
      <c r="DH110">
        <v>15710</v>
      </c>
      <c r="DI110">
        <v>9907</v>
      </c>
      <c r="DL110">
        <v>15330</v>
      </c>
      <c r="DM110">
        <v>12143</v>
      </c>
      <c r="DN110">
        <v>17171</v>
      </c>
      <c r="DO110">
        <v>12558</v>
      </c>
      <c r="DP110">
        <v>13440</v>
      </c>
      <c r="DQ110">
        <v>9626</v>
      </c>
      <c r="DR110">
        <v>16670</v>
      </c>
      <c r="DS110">
        <v>18206</v>
      </c>
      <c r="DT110">
        <v>25500</v>
      </c>
      <c r="DU110">
        <v>16774</v>
      </c>
      <c r="DV110">
        <v>15710</v>
      </c>
      <c r="DW110">
        <v>9907</v>
      </c>
    </row>
    <row r="111" spans="1:128" ht="15" hidden="1" customHeight="1">
      <c r="A111" s="576"/>
      <c r="B111" s="941" t="s">
        <v>145</v>
      </c>
      <c r="C111" s="942">
        <f>COUNTIFS(grupos!C:C,B111)</f>
        <v>1</v>
      </c>
      <c r="D111" s="576"/>
      <c r="DL111" s="881">
        <v>166555.77995873816</v>
      </c>
      <c r="DM111" s="881">
        <v>152835.36924465047</v>
      </c>
      <c r="DN111" s="881">
        <v>195319.2072937729</v>
      </c>
      <c r="DO111" s="881">
        <v>158396.18906207831</v>
      </c>
      <c r="DP111" s="881">
        <v>152371.51475009107</v>
      </c>
      <c r="DQ111" s="881">
        <v>147696.01107361159</v>
      </c>
      <c r="DR111" s="881">
        <v>189465.0513586243</v>
      </c>
      <c r="DS111" s="881">
        <v>202914.10079748323</v>
      </c>
      <c r="DT111" s="881">
        <v>214499.61628422557</v>
      </c>
      <c r="DU111" s="881">
        <v>217682.99793575107</v>
      </c>
      <c r="DV111" s="881">
        <v>179284.72030485788</v>
      </c>
      <c r="DW111" s="881">
        <v>88389.319383536102</v>
      </c>
      <c r="DX111" s="69">
        <v>2065409.8774474205</v>
      </c>
    </row>
    <row r="112" spans="1:128" ht="15" hidden="1" customHeight="1">
      <c r="A112" s="576"/>
      <c r="B112" s="941" t="s">
        <v>146</v>
      </c>
      <c r="C112" s="942">
        <v>3</v>
      </c>
      <c r="D112" s="576"/>
    </row>
    <row r="113" spans="1:143" ht="15" hidden="1" customHeight="1">
      <c r="A113" s="576"/>
      <c r="B113" s="762" t="s">
        <v>147</v>
      </c>
      <c r="C113" s="943">
        <v>5</v>
      </c>
      <c r="D113" s="576"/>
    </row>
    <row r="114" spans="1:143" ht="15" hidden="1" customHeight="1">
      <c r="B114" s="576"/>
      <c r="C114" s="602">
        <f>SUM(C109:C113)</f>
        <v>22</v>
      </c>
    </row>
    <row r="115" spans="1:143" s="594" customFormat="1" ht="15" hidden="1" customHeight="1">
      <c r="B115" s="594" t="s">
        <v>148</v>
      </c>
      <c r="CX115" s="953">
        <v>191345</v>
      </c>
      <c r="CY115" s="953">
        <v>145396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</row>
    <row r="116" spans="1:143" ht="15" hidden="1" customHeight="1">
      <c r="B116" t="s">
        <v>149</v>
      </c>
      <c r="CX116" s="862">
        <v>27823</v>
      </c>
      <c r="CY116" s="862">
        <v>27550</v>
      </c>
    </row>
    <row r="117" spans="1:143" ht="15" hidden="1" customHeight="1">
      <c r="B117" t="s">
        <v>150</v>
      </c>
      <c r="CX117" s="862">
        <v>14235</v>
      </c>
      <c r="CY117" s="862">
        <v>15739</v>
      </c>
    </row>
    <row r="118" spans="1:143" ht="15" hidden="1" customHeight="1"/>
    <row r="119" spans="1:143" ht="10.5" hidden="1" customHeight="1">
      <c r="B119" t="s">
        <v>165</v>
      </c>
      <c r="CX119" s="1062">
        <f>CX120/CX35</f>
        <v>1.0149999999999999</v>
      </c>
      <c r="CY119" s="1062">
        <f t="shared" ref="CY119:DI119" si="230">CY120/CY35</f>
        <v>0.68493150684931503</v>
      </c>
      <c r="CZ119" s="1062">
        <f t="shared" si="230"/>
        <v>1.0778443113772456</v>
      </c>
      <c r="DA119" s="1062">
        <f t="shared" si="230"/>
        <v>0.76923076923076927</v>
      </c>
      <c r="DB119" s="1062">
        <f t="shared" si="230"/>
        <v>0.71116656269494694</v>
      </c>
      <c r="DC119" s="1062">
        <f t="shared" si="230"/>
        <v>0.93668690372940144</v>
      </c>
      <c r="DD119" s="1062">
        <f t="shared" si="230"/>
        <v>0.90042076662424342</v>
      </c>
      <c r="DE119" s="1062">
        <f t="shared" si="230"/>
        <v>0</v>
      </c>
      <c r="DF119" s="1062">
        <f t="shared" si="230"/>
        <v>0</v>
      </c>
      <c r="DG119" s="1062">
        <f t="shared" si="230"/>
        <v>0</v>
      </c>
      <c r="DH119" s="1062">
        <f t="shared" si="230"/>
        <v>0</v>
      </c>
      <c r="DI119" s="1062">
        <f t="shared" si="230"/>
        <v>0</v>
      </c>
    </row>
    <row r="120" spans="1:143" ht="15" hidden="1" customHeight="1">
      <c r="B120" t="s">
        <v>166</v>
      </c>
      <c r="CX120" s="615">
        <v>203000</v>
      </c>
      <c r="CY120" s="615">
        <v>150000</v>
      </c>
      <c r="CZ120" s="615">
        <v>180000</v>
      </c>
      <c r="DA120" s="615">
        <v>126000</v>
      </c>
      <c r="DB120" s="615">
        <v>114000</v>
      </c>
      <c r="DC120" s="615">
        <v>108000</v>
      </c>
      <c r="DD120" s="615">
        <v>180000</v>
      </c>
      <c r="DE120" s="615"/>
      <c r="DF120" s="615"/>
      <c r="DG120" s="615"/>
      <c r="DH120" s="615"/>
      <c r="DI120" s="615"/>
      <c r="DJ120" s="615"/>
    </row>
    <row r="121" spans="1:143" ht="15" hidden="1" customHeight="1">
      <c r="B121" t="s">
        <v>148</v>
      </c>
      <c r="CX121" s="615">
        <v>195000</v>
      </c>
      <c r="CY121" s="615">
        <v>147000</v>
      </c>
      <c r="CZ121" s="615">
        <v>152000</v>
      </c>
      <c r="DA121" s="615">
        <v>162000</v>
      </c>
      <c r="DB121" s="615">
        <v>166000</v>
      </c>
      <c r="DC121" s="615">
        <v>175000</v>
      </c>
      <c r="DD121" s="615">
        <v>215000</v>
      </c>
      <c r="DE121" s="615"/>
      <c r="DF121" s="615"/>
      <c r="DG121" s="615"/>
      <c r="DH121" s="615"/>
      <c r="DI121" s="615"/>
      <c r="DJ121" s="615"/>
    </row>
    <row r="122" spans="1:143" ht="15" hidden="1" customHeight="1">
      <c r="B122" t="s">
        <v>167</v>
      </c>
      <c r="CX122" s="862">
        <f>CX121-CX120</f>
        <v>-8000</v>
      </c>
      <c r="CY122" s="862">
        <f t="shared" ref="CY122:DD122" si="231">CY121-CY120</f>
        <v>-3000</v>
      </c>
      <c r="CZ122" s="862">
        <f t="shared" si="231"/>
        <v>-28000</v>
      </c>
      <c r="DA122" s="862">
        <f t="shared" si="231"/>
        <v>36000</v>
      </c>
      <c r="DB122" s="862">
        <f t="shared" si="231"/>
        <v>52000</v>
      </c>
      <c r="DC122" s="862">
        <f t="shared" si="231"/>
        <v>67000</v>
      </c>
      <c r="DD122" s="862">
        <f t="shared" si="231"/>
        <v>35000</v>
      </c>
      <c r="DI122">
        <f>DI86*16</f>
        <v>145296</v>
      </c>
      <c r="DL122" t="s">
        <v>177</v>
      </c>
    </row>
    <row r="123" spans="1:143" ht="15" hidden="1" customHeight="1">
      <c r="CX123" t="s">
        <v>168</v>
      </c>
      <c r="DA123" t="s">
        <v>169</v>
      </c>
      <c r="DL123" s="880">
        <v>185917.71000000002</v>
      </c>
      <c r="DM123" s="880">
        <v>137500</v>
      </c>
      <c r="DN123" s="880">
        <v>168300</v>
      </c>
      <c r="DO123" s="831">
        <v>121000.00000000003</v>
      </c>
      <c r="DP123" s="831">
        <v>102850.00000000003</v>
      </c>
      <c r="DQ123" s="880">
        <v>86900</v>
      </c>
      <c r="DR123" s="880">
        <v>156200</v>
      </c>
      <c r="DS123" s="880">
        <v>181500.00000000003</v>
      </c>
      <c r="DT123" s="880">
        <v>242000.00000000003</v>
      </c>
      <c r="DU123" s="880">
        <v>190300.00000000003</v>
      </c>
      <c r="DV123" s="880">
        <v>116199.6</v>
      </c>
      <c r="DW123" s="880">
        <v>44000</v>
      </c>
    </row>
    <row r="124" spans="1:143" ht="15" hidden="1" customHeight="1"/>
    <row r="125" spans="1:143" ht="15" customHeight="1">
      <c r="DC125" s="1025" t="s">
        <v>170</v>
      </c>
      <c r="DH125" s="1025" t="s">
        <v>170</v>
      </c>
    </row>
  </sheetData>
  <mergeCells count="28">
    <mergeCell ref="B60:C60"/>
    <mergeCell ref="DL2:DW2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CX1:DI1"/>
    <mergeCell ref="DL1:DW1"/>
    <mergeCell ref="D2:P2"/>
    <mergeCell ref="R2:AD2"/>
    <mergeCell ref="AF2:AR2"/>
    <mergeCell ref="AT2:BF2"/>
    <mergeCell ref="BH2:BS2"/>
    <mergeCell ref="BV2:CG2"/>
    <mergeCell ref="CJ2:CU2"/>
    <mergeCell ref="CX2:DI2"/>
    <mergeCell ref="R1:AD1"/>
    <mergeCell ref="AF1:AR1"/>
    <mergeCell ref="AT1:BF1"/>
    <mergeCell ref="BH1:BS1"/>
    <mergeCell ref="BV1:CG1"/>
    <mergeCell ref="CJ1:CU1"/>
  </mergeCells>
  <conditionalFormatting sqref="CX122:DD122">
    <cfRule type="cellIs" dxfId="1" priority="1" operator="lessThan">
      <formula>0</formula>
    </cfRule>
  </conditionalFormatting>
  <pageMargins left="0.25" right="0.25" top="0.75" bottom="0.75" header="0" footer="0"/>
  <pageSetup paperSize="9" scale="55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F4BE-8348-46E3-A1DC-35AE409D17BB}">
  <sheetPr>
    <tabColor rgb="FFFFFF00"/>
  </sheetPr>
  <dimension ref="A1:EM127"/>
  <sheetViews>
    <sheetView showGridLines="0" tabSelected="1" zoomScale="80" zoomScaleNormal="80" workbookViewId="0">
      <pane xSplit="3" ySplit="10" topLeftCell="DJ65" activePane="bottomRight" state="frozen"/>
      <selection pane="bottomRight" activeCell="A41" sqref="A41:XFD72"/>
      <selection pane="bottomLeft"/>
      <selection pane="topRight"/>
    </sheetView>
  </sheetViews>
  <sheetFormatPr defaultColWidth="14.42578125" defaultRowHeight="15" customHeight="1" outlineLevelRow="1" outlineLevelCol="1"/>
  <cols>
    <col min="1" max="1" width="1.140625" customWidth="1"/>
    <col min="2" max="2" width="17.85546875" customWidth="1"/>
    <col min="3" max="3" width="35.8554687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3.140625" hidden="1" customWidth="1" collapsed="1"/>
    <col min="74" max="86" width="12.28515625" hidden="1" customWidth="1" outlineLevel="1"/>
    <col min="87" max="87" width="12.28515625" hidden="1" customWidth="1" collapsed="1"/>
    <col min="88" max="88" width="12.28515625" hidden="1" customWidth="1" outlineLevel="1" collapsed="1"/>
    <col min="89" max="99" width="12.28515625" hidden="1" customWidth="1" outlineLevel="1"/>
    <col min="100" max="100" width="16.85546875" hidden="1" customWidth="1" outlineLevel="1"/>
    <col min="101" max="101" width="2.140625" customWidth="1" collapsed="1"/>
    <col min="102" max="103" width="13" hidden="1" customWidth="1"/>
    <col min="104" max="104" width="12.140625" hidden="1" customWidth="1"/>
    <col min="105" max="105" width="13.5703125" hidden="1" customWidth="1"/>
    <col min="106" max="106" width="12.28515625" hidden="1" customWidth="1"/>
    <col min="107" max="107" width="12.85546875" hidden="1" customWidth="1"/>
    <col min="108" max="108" width="13.5703125" customWidth="1"/>
    <col min="109" max="109" width="12.42578125" customWidth="1"/>
    <col min="110" max="110" width="13.28515625" customWidth="1"/>
    <col min="111" max="111" width="13.140625" customWidth="1"/>
    <col min="112" max="112" width="13.85546875" customWidth="1"/>
    <col min="113" max="113" width="14.42578125" customWidth="1"/>
    <col min="114" max="114" width="12.5703125" customWidth="1"/>
    <col min="115" max="115" width="2.7109375" customWidth="1"/>
    <col min="116" max="116" width="10.5703125" customWidth="1"/>
    <col min="117" max="117" width="15.7109375" customWidth="1"/>
    <col min="118" max="118" width="10.5703125" customWidth="1"/>
    <col min="119" max="119" width="11.85546875" customWidth="1"/>
    <col min="120" max="127" width="10.5703125" customWidth="1"/>
    <col min="128" max="128" width="14.7109375" customWidth="1"/>
  </cols>
  <sheetData>
    <row r="1" spans="1:128" ht="2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s="699" t="s">
        <v>1</v>
      </c>
      <c r="CJ1" s="1089" t="s">
        <v>2</v>
      </c>
      <c r="CK1" s="1090"/>
      <c r="CL1" s="1090"/>
      <c r="CM1" s="1090"/>
      <c r="CN1" s="1090"/>
      <c r="CO1" s="1090"/>
      <c r="CP1" s="1090"/>
      <c r="CQ1" s="1090"/>
      <c r="CR1" s="1090"/>
      <c r="CS1" s="1090"/>
      <c r="CT1" s="1090"/>
      <c r="CU1" s="1091"/>
      <c r="CX1" s="1080" t="s">
        <v>171</v>
      </c>
      <c r="CY1" s="1121"/>
      <c r="CZ1" s="1121"/>
      <c r="DA1" s="1121"/>
      <c r="DB1" s="1121"/>
      <c r="DC1" s="1121"/>
      <c r="DD1" s="1121"/>
      <c r="DE1" s="1121"/>
      <c r="DF1" s="1121"/>
      <c r="DG1" s="1121"/>
      <c r="DH1" s="1121"/>
      <c r="DI1" s="1122"/>
      <c r="DJ1" t="s">
        <v>178</v>
      </c>
      <c r="DK1" s="948"/>
      <c r="DL1" s="1081" t="s">
        <v>179</v>
      </c>
      <c r="DM1" s="1113"/>
      <c r="DN1" s="1113"/>
      <c r="DO1" s="1113"/>
      <c r="DP1" s="1113"/>
      <c r="DQ1" s="1113"/>
      <c r="DR1" s="1113"/>
      <c r="DS1" s="1113"/>
      <c r="DT1" s="1113"/>
      <c r="DU1" s="1113"/>
      <c r="DV1" s="1113"/>
      <c r="DW1" s="1114"/>
    </row>
    <row r="2" spans="1:128" ht="17.25" customHeight="1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H2" s="700" t="s">
        <v>3</v>
      </c>
      <c r="CJ2" s="1085" t="s">
        <v>4</v>
      </c>
      <c r="CK2" s="1086"/>
      <c r="CL2" s="1086"/>
      <c r="CM2" s="1086"/>
      <c r="CN2" s="1086"/>
      <c r="CO2" s="1086"/>
      <c r="CP2" s="1086"/>
      <c r="CQ2" s="1086"/>
      <c r="CR2" s="1086"/>
      <c r="CS2" s="1086"/>
      <c r="CT2" s="1086"/>
      <c r="CU2" s="1087"/>
      <c r="CX2" s="1088">
        <v>2026</v>
      </c>
      <c r="CY2" s="1123"/>
      <c r="CZ2" s="1123"/>
      <c r="DA2" s="1123"/>
      <c r="DB2" s="1123"/>
      <c r="DC2" s="1123"/>
      <c r="DD2" s="1123"/>
      <c r="DE2" s="1123"/>
      <c r="DF2" s="1123"/>
      <c r="DG2" s="1123"/>
      <c r="DH2" s="1123"/>
      <c r="DI2" s="1124"/>
      <c r="DK2" s="948"/>
      <c r="DL2" s="1077" t="s">
        <v>173</v>
      </c>
      <c r="DM2" s="1115"/>
      <c r="DN2" s="1115"/>
      <c r="DO2" s="1115"/>
      <c r="DP2" s="1115"/>
      <c r="DQ2" s="1115"/>
      <c r="DR2" s="1115"/>
      <c r="DS2" s="1115"/>
      <c r="DT2" s="1115"/>
      <c r="DU2" s="1115"/>
      <c r="DV2" s="1115"/>
      <c r="DW2" s="1116"/>
    </row>
    <row r="3" spans="1:128" ht="32.25" customHeight="1">
      <c r="A3" s="4"/>
      <c r="B3" s="4"/>
      <c r="C3" s="4"/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H3" s="700"/>
      <c r="CJ3" s="1064"/>
      <c r="CK3" s="1065"/>
      <c r="CL3" s="1065"/>
      <c r="CM3" s="1065"/>
      <c r="CN3" s="1065"/>
      <c r="CO3" s="1065"/>
      <c r="CP3" s="1065"/>
      <c r="CQ3" s="1065"/>
      <c r="CR3" s="1065"/>
      <c r="CS3" s="1065"/>
      <c r="CT3" s="1065"/>
      <c r="CU3" s="1065"/>
      <c r="CX3" s="1066"/>
      <c r="CY3" s="1067"/>
      <c r="CZ3" s="1067"/>
      <c r="DA3" s="1067"/>
      <c r="DB3" s="1067"/>
      <c r="DC3" s="1067"/>
      <c r="DD3" s="1067"/>
      <c r="DE3" s="1067"/>
      <c r="DF3" s="1067"/>
      <c r="DG3" s="1067"/>
      <c r="DH3" s="1067"/>
      <c r="DI3" s="1068" t="s">
        <v>180</v>
      </c>
      <c r="DK3" s="948"/>
      <c r="DL3" s="644"/>
      <c r="DM3" s="1069" t="s">
        <v>181</v>
      </c>
      <c r="DN3" s="643"/>
      <c r="DO3" s="643"/>
      <c r="DP3" s="643"/>
      <c r="DQ3" s="643"/>
      <c r="DR3" s="643"/>
      <c r="DS3" s="643"/>
      <c r="DT3" s="643"/>
      <c r="DU3" s="643"/>
      <c r="DV3" s="643"/>
      <c r="DW3" s="643"/>
    </row>
    <row r="4" spans="1:128" ht="15.75">
      <c r="A4" s="703" t="s">
        <v>5</v>
      </c>
      <c r="B4" s="4"/>
      <c r="C4" s="4" t="str">
        <f>A4</f>
        <v>Dias Uteis Produção</v>
      </c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H4" t="s">
        <v>6</v>
      </c>
      <c r="CJ4" s="253">
        <v>23</v>
      </c>
      <c r="CK4" s="566">
        <v>20</v>
      </c>
      <c r="CL4" s="566">
        <v>21</v>
      </c>
      <c r="CM4" s="252">
        <v>22</v>
      </c>
      <c r="CN4" s="248">
        <v>22</v>
      </c>
      <c r="CO4" s="248">
        <v>21</v>
      </c>
      <c r="CP4" s="248">
        <v>23</v>
      </c>
      <c r="CQ4" s="248">
        <v>21</v>
      </c>
      <c r="CR4" s="248">
        <v>22</v>
      </c>
      <c r="CS4" s="248">
        <v>23</v>
      </c>
      <c r="CT4" s="248">
        <v>20</v>
      </c>
      <c r="CU4" s="248">
        <v>13</v>
      </c>
      <c r="CX4" s="253">
        <v>22</v>
      </c>
      <c r="CY4" s="252">
        <v>20</v>
      </c>
      <c r="CZ4" s="252">
        <v>22</v>
      </c>
      <c r="DA4" s="252">
        <v>21</v>
      </c>
      <c r="DB4" s="248">
        <v>21</v>
      </c>
      <c r="DC4" s="248">
        <v>22</v>
      </c>
      <c r="DD4" s="248">
        <v>23</v>
      </c>
      <c r="DE4" s="248">
        <v>21</v>
      </c>
      <c r="DF4" s="248">
        <v>22</v>
      </c>
      <c r="DG4" s="248">
        <v>22</v>
      </c>
      <c r="DH4" s="248">
        <v>21</v>
      </c>
      <c r="DI4" s="248">
        <v>23</v>
      </c>
      <c r="DK4" s="948"/>
      <c r="DL4" s="253">
        <v>21</v>
      </c>
      <c r="DM4" s="252">
        <v>20</v>
      </c>
      <c r="DN4" s="252">
        <v>22</v>
      </c>
      <c r="DO4" s="252">
        <v>22</v>
      </c>
      <c r="DP4" s="248">
        <v>21</v>
      </c>
      <c r="DQ4" s="248">
        <v>22</v>
      </c>
      <c r="DR4" s="248">
        <v>23</v>
      </c>
      <c r="DS4" s="248">
        <v>21</v>
      </c>
      <c r="DT4" s="248">
        <v>22</v>
      </c>
      <c r="DU4" s="248">
        <v>22</v>
      </c>
      <c r="DV4" s="248">
        <v>21</v>
      </c>
      <c r="DW4" s="248">
        <v>21</v>
      </c>
    </row>
    <row r="5" spans="1:128" ht="11.25" customHeight="1">
      <c r="A5" s="703" t="s">
        <v>7</v>
      </c>
      <c r="B5" s="4"/>
      <c r="C5" s="4" t="str">
        <f t="shared" ref="C5:C8" si="0">A5</f>
        <v>(-) FÉRIAS</v>
      </c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H5" t="s">
        <v>8</v>
      </c>
      <c r="CJ5" s="253">
        <v>3</v>
      </c>
      <c r="CK5" s="566"/>
      <c r="CL5" s="566">
        <v>1.5</v>
      </c>
      <c r="CM5" s="252"/>
      <c r="CN5" s="248"/>
      <c r="CO5" s="248"/>
      <c r="CP5" s="248" t="s">
        <v>109</v>
      </c>
      <c r="CQ5" s="248"/>
      <c r="CR5" s="248"/>
      <c r="CS5" s="248"/>
      <c r="CT5" s="248" t="s">
        <v>110</v>
      </c>
      <c r="CU5" s="248"/>
      <c r="CX5" s="253">
        <v>2</v>
      </c>
      <c r="CY5" s="252">
        <v>0</v>
      </c>
      <c r="CZ5" s="252"/>
      <c r="DA5" s="252"/>
      <c r="DB5" s="248"/>
      <c r="DC5" s="248"/>
      <c r="DD5" s="248"/>
      <c r="DE5" s="248"/>
      <c r="DF5" s="248"/>
      <c r="DG5" s="248"/>
      <c r="DH5" s="248"/>
      <c r="DI5" s="1070">
        <v>12</v>
      </c>
      <c r="DK5" s="948"/>
      <c r="DL5" s="1071">
        <v>3</v>
      </c>
      <c r="DM5" s="1072">
        <v>0</v>
      </c>
      <c r="DN5" s="252"/>
      <c r="DO5" s="252"/>
      <c r="DP5" s="248"/>
      <c r="DQ5" s="248"/>
      <c r="DR5" s="248"/>
      <c r="DS5" s="248"/>
      <c r="DT5" s="248"/>
      <c r="DU5" s="248"/>
      <c r="DV5" s="248"/>
      <c r="DW5" s="248">
        <v>5</v>
      </c>
    </row>
    <row r="6" spans="1:128" ht="15.75" customHeight="1">
      <c r="A6" s="703" t="s">
        <v>9</v>
      </c>
      <c r="B6" s="4"/>
      <c r="C6" s="4" t="str">
        <f t="shared" si="0"/>
        <v>(+) SABADO</v>
      </c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/>
      <c r="CH6" t="s">
        <v>10</v>
      </c>
      <c r="CJ6" s="701">
        <v>2</v>
      </c>
      <c r="CK6" s="701">
        <v>3</v>
      </c>
      <c r="CL6" s="701">
        <v>1.5</v>
      </c>
      <c r="CM6" s="733">
        <v>0</v>
      </c>
      <c r="CN6" s="733">
        <v>0</v>
      </c>
      <c r="CO6" s="733">
        <v>2</v>
      </c>
      <c r="CP6" s="750">
        <v>2</v>
      </c>
      <c r="CQ6" s="679">
        <v>0</v>
      </c>
      <c r="CR6" s="679">
        <v>0</v>
      </c>
      <c r="CS6" s="679">
        <v>0</v>
      </c>
      <c r="CT6" s="679">
        <v>3</v>
      </c>
      <c r="CU6" s="643"/>
      <c r="CV6" s="682" t="s">
        <v>111</v>
      </c>
      <c r="CX6" s="701">
        <v>2</v>
      </c>
      <c r="CY6" s="733">
        <v>2</v>
      </c>
      <c r="CZ6" s="733">
        <v>2</v>
      </c>
      <c r="DA6" s="938">
        <v>2</v>
      </c>
      <c r="DB6" s="938">
        <v>2</v>
      </c>
      <c r="DC6" s="938">
        <v>2</v>
      </c>
      <c r="DD6" s="938">
        <v>1</v>
      </c>
      <c r="DE6" s="938">
        <v>0</v>
      </c>
      <c r="DF6" s="938">
        <v>0</v>
      </c>
      <c r="DG6" s="938">
        <v>0</v>
      </c>
      <c r="DH6" s="938">
        <v>0</v>
      </c>
      <c r="DI6" s="938">
        <v>2</v>
      </c>
      <c r="DK6" s="948"/>
      <c r="DL6" s="644">
        <v>2</v>
      </c>
      <c r="DM6" s="644">
        <v>0</v>
      </c>
      <c r="DN6" s="644">
        <v>1</v>
      </c>
      <c r="DO6" s="644">
        <v>0</v>
      </c>
      <c r="DP6" s="644">
        <v>0</v>
      </c>
      <c r="DQ6" s="644">
        <v>0</v>
      </c>
      <c r="DR6" s="644">
        <v>0</v>
      </c>
      <c r="DS6" s="644">
        <v>0</v>
      </c>
      <c r="DT6" s="644">
        <v>0</v>
      </c>
      <c r="DU6" s="644">
        <v>0</v>
      </c>
      <c r="DV6" s="644">
        <v>0</v>
      </c>
      <c r="DW6" s="644">
        <v>0</v>
      </c>
    </row>
    <row r="7" spans="1:128" ht="9.75" customHeight="1">
      <c r="A7" s="703" t="s">
        <v>11</v>
      </c>
      <c r="B7" s="4"/>
      <c r="C7" s="4" t="str">
        <f t="shared" si="0"/>
        <v>(-)FERIADO</v>
      </c>
      <c r="D7" s="642"/>
      <c r="E7" s="643"/>
      <c r="F7" s="643"/>
      <c r="G7" s="643"/>
      <c r="H7" s="643"/>
      <c r="I7" s="643"/>
      <c r="J7" s="643"/>
      <c r="K7" s="643"/>
      <c r="L7" s="643"/>
      <c r="M7" s="643"/>
      <c r="N7" s="643"/>
      <c r="O7" s="643"/>
      <c r="P7" s="643"/>
      <c r="Q7" s="247"/>
      <c r="R7" s="642"/>
      <c r="S7" s="643"/>
      <c r="T7" s="643"/>
      <c r="U7" s="643"/>
      <c r="V7" s="643"/>
      <c r="W7" s="643"/>
      <c r="X7" s="643"/>
      <c r="Y7" s="643"/>
      <c r="Z7" s="643"/>
      <c r="AA7" s="643"/>
      <c r="AB7" s="643"/>
      <c r="AC7" s="643"/>
      <c r="AD7" s="643"/>
      <c r="AE7" s="248"/>
      <c r="AF7" s="642"/>
      <c r="AG7" s="642"/>
      <c r="AH7" s="642"/>
      <c r="AI7" s="642"/>
      <c r="AJ7" s="642"/>
      <c r="AK7" s="642"/>
      <c r="AL7" s="642"/>
      <c r="AM7" s="642"/>
      <c r="AN7" s="642"/>
      <c r="AO7" s="642"/>
      <c r="AP7" s="642"/>
      <c r="AQ7" s="642"/>
      <c r="AR7" s="642"/>
      <c r="AS7" s="124"/>
      <c r="AT7" s="644"/>
      <c r="AU7" s="643"/>
      <c r="AV7" s="643"/>
      <c r="AW7" s="643"/>
      <c r="AX7" s="643"/>
      <c r="AY7" s="643"/>
      <c r="AZ7" s="643"/>
      <c r="BA7" s="643"/>
      <c r="BB7" s="643"/>
      <c r="BC7" s="643"/>
      <c r="BD7" s="643"/>
      <c r="BE7" s="643"/>
      <c r="BF7" s="643"/>
      <c r="BG7" s="7"/>
      <c r="BH7" s="644"/>
      <c r="BI7" s="643"/>
      <c r="BJ7" s="643"/>
      <c r="BK7" s="643"/>
      <c r="BL7" s="643"/>
      <c r="BM7" s="643"/>
      <c r="BN7" s="643"/>
      <c r="BO7" s="643"/>
      <c r="BP7" s="643"/>
      <c r="BQ7" s="643"/>
      <c r="BR7" s="643"/>
      <c r="BS7" s="643"/>
      <c r="BU7" s="6"/>
      <c r="BV7" s="644"/>
      <c r="BW7" s="643"/>
      <c r="BX7" s="643"/>
      <c r="BY7" s="643"/>
      <c r="BZ7" s="643"/>
      <c r="CA7" s="643"/>
      <c r="CB7" s="643"/>
      <c r="CC7" s="643"/>
      <c r="CD7" s="643"/>
      <c r="CE7" s="643"/>
      <c r="CF7" s="643"/>
      <c r="CG7" s="643" t="s">
        <v>12</v>
      </c>
      <c r="CJ7" s="644"/>
      <c r="CK7" s="679"/>
      <c r="CL7" s="679">
        <v>2</v>
      </c>
      <c r="CM7" s="679">
        <v>2</v>
      </c>
      <c r="CN7" s="679">
        <v>1</v>
      </c>
      <c r="CO7" s="679">
        <v>1</v>
      </c>
      <c r="CP7" s="679"/>
      <c r="CQ7" s="679"/>
      <c r="CR7" s="679">
        <v>0</v>
      </c>
      <c r="CS7" s="643">
        <v>0</v>
      </c>
      <c r="CT7" s="643">
        <v>1</v>
      </c>
      <c r="CU7" s="643"/>
      <c r="CX7" s="644"/>
      <c r="CY7" s="938">
        <v>3</v>
      </c>
      <c r="CZ7" s="938">
        <v>2</v>
      </c>
      <c r="DA7" s="938">
        <v>3</v>
      </c>
      <c r="DB7" s="938">
        <v>1</v>
      </c>
      <c r="DC7" s="938">
        <v>1</v>
      </c>
      <c r="DD7" s="938"/>
      <c r="DE7" s="938">
        <v>0</v>
      </c>
      <c r="DF7" s="938">
        <v>1</v>
      </c>
      <c r="DG7" s="938">
        <v>1</v>
      </c>
      <c r="DH7" s="938">
        <v>2</v>
      </c>
      <c r="DI7" s="938">
        <v>0</v>
      </c>
      <c r="DK7" s="948"/>
      <c r="DL7" s="644">
        <v>0</v>
      </c>
      <c r="DM7" s="938">
        <v>3</v>
      </c>
      <c r="DN7" s="938">
        <v>2</v>
      </c>
      <c r="DO7" s="938">
        <v>2</v>
      </c>
      <c r="DP7" s="938">
        <v>1</v>
      </c>
      <c r="DQ7" s="938">
        <v>1</v>
      </c>
      <c r="DR7" s="938"/>
      <c r="DS7" s="938">
        <v>0</v>
      </c>
      <c r="DT7" s="938">
        <v>1</v>
      </c>
      <c r="DU7" s="938">
        <v>1</v>
      </c>
      <c r="DV7" s="938">
        <v>2</v>
      </c>
      <c r="DW7" s="939">
        <v>5</v>
      </c>
    </row>
    <row r="8" spans="1:128">
      <c r="A8" s="704" t="s">
        <v>13</v>
      </c>
      <c r="B8" s="3"/>
      <c r="C8" s="3" t="str">
        <f t="shared" si="0"/>
        <v>Dias Trabalhados</v>
      </c>
      <c r="D8" s="252">
        <v>16</v>
      </c>
      <c r="E8" s="252">
        <v>21</v>
      </c>
      <c r="F8" s="252">
        <v>18</v>
      </c>
      <c r="G8" s="252">
        <v>21</v>
      </c>
      <c r="H8" s="252">
        <v>22</v>
      </c>
      <c r="I8" s="252">
        <v>19</v>
      </c>
      <c r="J8" s="252">
        <v>23</v>
      </c>
      <c r="K8" s="252">
        <v>21</v>
      </c>
      <c r="L8" s="252">
        <v>21</v>
      </c>
      <c r="M8" s="252">
        <v>26</v>
      </c>
      <c r="N8" s="252">
        <v>24</v>
      </c>
      <c r="O8" s="252">
        <v>15</v>
      </c>
      <c r="P8" s="4"/>
      <c r="Q8" s="247"/>
      <c r="R8" s="252">
        <v>22</v>
      </c>
      <c r="S8" s="252">
        <v>20</v>
      </c>
      <c r="T8" s="252">
        <v>14</v>
      </c>
      <c r="U8" s="252">
        <v>1</v>
      </c>
      <c r="V8" s="252">
        <v>12</v>
      </c>
      <c r="W8" s="252">
        <v>22</v>
      </c>
      <c r="X8" s="252">
        <v>23</v>
      </c>
      <c r="Y8" s="252">
        <v>21</v>
      </c>
      <c r="Z8" s="252">
        <v>21</v>
      </c>
      <c r="AA8" s="252">
        <v>21</v>
      </c>
      <c r="AB8" s="252">
        <v>20</v>
      </c>
      <c r="AC8" s="252">
        <v>17</v>
      </c>
      <c r="AD8" s="2"/>
      <c r="AE8" s="253"/>
      <c r="AF8" s="254">
        <v>18</v>
      </c>
      <c r="AG8" s="252">
        <v>20</v>
      </c>
      <c r="AH8" s="248">
        <v>20</v>
      </c>
      <c r="AI8" s="248">
        <v>20</v>
      </c>
      <c r="AJ8" s="252">
        <v>22</v>
      </c>
      <c r="AK8" s="252">
        <v>20</v>
      </c>
      <c r="AL8" s="252">
        <v>22</v>
      </c>
      <c r="AM8" s="252">
        <v>22</v>
      </c>
      <c r="AN8" s="252">
        <v>21</v>
      </c>
      <c r="AO8" s="252">
        <v>20</v>
      </c>
      <c r="AP8" s="252">
        <v>20</v>
      </c>
      <c r="AQ8" s="248">
        <v>12</v>
      </c>
      <c r="AR8" s="2"/>
      <c r="AS8" s="124"/>
      <c r="AT8" s="253">
        <v>19</v>
      </c>
      <c r="AU8" s="248">
        <v>19</v>
      </c>
      <c r="AV8" s="248">
        <v>18</v>
      </c>
      <c r="AW8" s="248">
        <v>19</v>
      </c>
      <c r="AX8" s="248">
        <v>22</v>
      </c>
      <c r="AY8" s="248">
        <v>21</v>
      </c>
      <c r="AZ8" s="248">
        <v>21</v>
      </c>
      <c r="BA8" s="248">
        <v>22</v>
      </c>
      <c r="BB8" s="248">
        <v>22</v>
      </c>
      <c r="BC8" s="248">
        <v>21</v>
      </c>
      <c r="BD8" s="248">
        <v>20</v>
      </c>
      <c r="BE8" s="248">
        <v>10</v>
      </c>
      <c r="BF8" s="2"/>
      <c r="BG8" s="125"/>
      <c r="BH8" s="253">
        <v>20</v>
      </c>
      <c r="BI8" s="248">
        <v>17</v>
      </c>
      <c r="BJ8" s="248">
        <v>23</v>
      </c>
      <c r="BK8" s="248">
        <v>18</v>
      </c>
      <c r="BL8" s="248">
        <v>22</v>
      </c>
      <c r="BM8" s="248">
        <v>23</v>
      </c>
      <c r="BN8" s="248">
        <v>21</v>
      </c>
      <c r="BO8" s="248">
        <v>21</v>
      </c>
      <c r="BP8" s="248">
        <v>20</v>
      </c>
      <c r="BQ8" s="248">
        <v>21</v>
      </c>
      <c r="BR8" s="248">
        <v>20</v>
      </c>
      <c r="BS8" s="248">
        <v>14</v>
      </c>
      <c r="BT8" s="253">
        <v>20</v>
      </c>
      <c r="BU8" s="252"/>
      <c r="BV8" s="253">
        <v>19</v>
      </c>
      <c r="BW8" s="248">
        <v>19</v>
      </c>
      <c r="BX8" s="566">
        <v>21</v>
      </c>
      <c r="BY8" s="566">
        <f>22+2</f>
        <v>24</v>
      </c>
      <c r="BZ8" s="248">
        <f>21+2</f>
        <v>23</v>
      </c>
      <c r="CA8" s="567">
        <f>20+2</f>
        <v>22</v>
      </c>
      <c r="CB8" s="567">
        <f>23+2</f>
        <v>25</v>
      </c>
      <c r="CC8" s="252">
        <f>21+3</f>
        <v>24</v>
      </c>
      <c r="CD8" s="252">
        <f>21+3</f>
        <v>24</v>
      </c>
      <c r="CE8" s="248">
        <f>23+1</f>
        <v>24</v>
      </c>
      <c r="CF8" s="248">
        <f>19+3</f>
        <v>22</v>
      </c>
      <c r="CG8" s="248">
        <f>12+1</f>
        <v>13</v>
      </c>
      <c r="CH8" s="248"/>
      <c r="CJ8" s="253">
        <f>CJ4+CJ6-CJ7-CJ5</f>
        <v>22</v>
      </c>
      <c r="CK8" s="253">
        <f>CK4+CK6-CK7-CK5</f>
        <v>23</v>
      </c>
      <c r="CL8" s="253">
        <v>19</v>
      </c>
      <c r="CM8" s="734">
        <f t="shared" ref="CM8:CQ8" si="1">CM4+CM6-CM7-CM5</f>
        <v>20</v>
      </c>
      <c r="CN8" s="734">
        <f>CN4+CN6-CN7-CN5</f>
        <v>21</v>
      </c>
      <c r="CO8" s="734">
        <f>CO4+CO6-CO7-CO5</f>
        <v>22</v>
      </c>
      <c r="CP8" s="734">
        <f t="shared" ref="CP8:CU8" si="2">CP4+CP6-CP7</f>
        <v>25</v>
      </c>
      <c r="CQ8" s="734">
        <f>CQ4+CQ6-CQ7</f>
        <v>21</v>
      </c>
      <c r="CR8" s="734">
        <f t="shared" si="2"/>
        <v>22</v>
      </c>
      <c r="CS8" s="734">
        <f>CS4+CS6-CS7</f>
        <v>23</v>
      </c>
      <c r="CT8" s="734">
        <f>CT4+CT6-CT7</f>
        <v>22</v>
      </c>
      <c r="CU8" s="734">
        <v>17</v>
      </c>
      <c r="CV8" s="248"/>
      <c r="CX8" s="253">
        <f>CX4+CX6-CX7-CX5</f>
        <v>22</v>
      </c>
      <c r="CY8" s="253">
        <f t="shared" ref="CY8:DC8" si="3">CY4+CY6-CY7-CY5</f>
        <v>19</v>
      </c>
      <c r="CZ8" s="253">
        <v>6</v>
      </c>
      <c r="DA8" s="253">
        <v>10</v>
      </c>
      <c r="DB8" s="253">
        <f t="shared" si="3"/>
        <v>22</v>
      </c>
      <c r="DC8" s="253">
        <f>DC4+DC6-DC7-DC5</f>
        <v>23</v>
      </c>
      <c r="DD8" s="253">
        <f t="shared" ref="DD8:DI8" si="4">DD4+DD6-DD7</f>
        <v>24</v>
      </c>
      <c r="DE8" s="253">
        <f>DE4+DE6-DE7</f>
        <v>21</v>
      </c>
      <c r="DF8" s="253">
        <f>DF4+DF6-DF7</f>
        <v>21</v>
      </c>
      <c r="DG8" s="253">
        <f>DG4+DG6-DG7</f>
        <v>21</v>
      </c>
      <c r="DH8" s="253">
        <f>DH4+DH6-DH7</f>
        <v>19</v>
      </c>
      <c r="DI8" s="253">
        <v>18</v>
      </c>
      <c r="DJ8" s="248"/>
      <c r="DK8" s="948"/>
      <c r="DL8" s="253">
        <f>DL4+DL6-DL7-DL5</f>
        <v>20</v>
      </c>
      <c r="DM8" s="253">
        <v>17</v>
      </c>
      <c r="DN8" s="253">
        <f>DN4+DN6-DN7-DN5</f>
        <v>21</v>
      </c>
      <c r="DO8" s="253">
        <f>DO4+DO6-DO7-DO5</f>
        <v>20</v>
      </c>
      <c r="DP8" s="253">
        <f t="shared" ref="DP8:DT8" si="5">DP4+DP6-DP7-DP5</f>
        <v>20</v>
      </c>
      <c r="DQ8" s="253">
        <f t="shared" si="5"/>
        <v>21</v>
      </c>
      <c r="DR8" s="253">
        <f t="shared" ref="DR8:DW8" si="6">DR4+DR6-DR7</f>
        <v>23</v>
      </c>
      <c r="DS8" s="253">
        <f>DS4+DS6-DS7</f>
        <v>21</v>
      </c>
      <c r="DT8" s="253">
        <f>DT4+DT6-DT7</f>
        <v>21</v>
      </c>
      <c r="DU8" s="253">
        <f>DU4+DU6-DU7</f>
        <v>21</v>
      </c>
      <c r="DV8" s="253">
        <f>DV4+DV6-DV7</f>
        <v>19</v>
      </c>
      <c r="DW8" s="253">
        <f>DW4+DW6-DW7</f>
        <v>16</v>
      </c>
      <c r="DX8" s="248"/>
    </row>
    <row r="9" spans="1:128">
      <c r="A9" s="8"/>
      <c r="B9" s="255"/>
      <c r="C9" s="256"/>
      <c r="D9" s="257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9" t="s">
        <v>25</v>
      </c>
      <c r="P9" s="258" t="s">
        <v>26</v>
      </c>
      <c r="Q9" s="10"/>
      <c r="R9" s="257" t="s">
        <v>14</v>
      </c>
      <c r="S9" s="9" t="s">
        <v>15</v>
      </c>
      <c r="T9" s="9" t="s">
        <v>16</v>
      </c>
      <c r="U9" s="9" t="s">
        <v>17</v>
      </c>
      <c r="V9" s="9" t="s">
        <v>18</v>
      </c>
      <c r="W9" s="9" t="s">
        <v>19</v>
      </c>
      <c r="X9" s="9" t="s">
        <v>20</v>
      </c>
      <c r="Y9" s="9" t="s">
        <v>21</v>
      </c>
      <c r="Z9" s="9" t="s">
        <v>22</v>
      </c>
      <c r="AA9" s="9" t="s">
        <v>23</v>
      </c>
      <c r="AB9" s="9" t="s">
        <v>24</v>
      </c>
      <c r="AC9" s="9" t="s">
        <v>25</v>
      </c>
      <c r="AD9" s="258" t="s">
        <v>26</v>
      </c>
      <c r="AE9" s="11"/>
      <c r="AF9" s="257" t="s">
        <v>14</v>
      </c>
      <c r="AG9" s="9" t="s">
        <v>15</v>
      </c>
      <c r="AH9" s="9" t="s">
        <v>16</v>
      </c>
      <c r="AI9" s="9" t="s">
        <v>17</v>
      </c>
      <c r="AJ9" s="9" t="s">
        <v>18</v>
      </c>
      <c r="AK9" s="9" t="s">
        <v>19</v>
      </c>
      <c r="AL9" s="9" t="s">
        <v>20</v>
      </c>
      <c r="AM9" s="9" t="s">
        <v>21</v>
      </c>
      <c r="AN9" s="9" t="s">
        <v>22</v>
      </c>
      <c r="AO9" s="9" t="s">
        <v>23</v>
      </c>
      <c r="AP9" s="9" t="s">
        <v>24</v>
      </c>
      <c r="AQ9" s="9" t="s">
        <v>25</v>
      </c>
      <c r="AR9" s="9" t="s">
        <v>26</v>
      </c>
      <c r="AS9" s="11"/>
      <c r="AT9" s="9" t="s">
        <v>14</v>
      </c>
      <c r="AU9" s="9" t="s">
        <v>15</v>
      </c>
      <c r="AV9" s="9" t="s">
        <v>16</v>
      </c>
      <c r="AW9" s="9" t="s">
        <v>17</v>
      </c>
      <c r="AX9" s="9" t="s">
        <v>18</v>
      </c>
      <c r="AY9" s="9" t="s">
        <v>19</v>
      </c>
      <c r="AZ9" s="9" t="s">
        <v>20</v>
      </c>
      <c r="BA9" s="9" t="s">
        <v>21</v>
      </c>
      <c r="BB9" s="9" t="s">
        <v>22</v>
      </c>
      <c r="BC9" s="9" t="s">
        <v>23</v>
      </c>
      <c r="BD9" s="9" t="s">
        <v>24</v>
      </c>
      <c r="BE9" s="9" t="s">
        <v>25</v>
      </c>
      <c r="BF9" s="9" t="s">
        <v>26</v>
      </c>
      <c r="BG9" s="10"/>
      <c r="BH9" s="9" t="s">
        <v>14</v>
      </c>
      <c r="BI9" s="9" t="s">
        <v>15</v>
      </c>
      <c r="BJ9" s="9" t="s">
        <v>16</v>
      </c>
      <c r="BK9" s="9" t="s">
        <v>17</v>
      </c>
      <c r="BL9" s="9" t="s">
        <v>18</v>
      </c>
      <c r="BM9" s="9" t="s">
        <v>19</v>
      </c>
      <c r="BN9" s="9" t="s">
        <v>20</v>
      </c>
      <c r="BO9" s="9" t="s">
        <v>21</v>
      </c>
      <c r="BP9" s="9" t="s">
        <v>22</v>
      </c>
      <c r="BQ9" s="9" t="s">
        <v>23</v>
      </c>
      <c r="BR9" s="9" t="s">
        <v>24</v>
      </c>
      <c r="BS9" s="9" t="s">
        <v>25</v>
      </c>
      <c r="BT9" s="9" t="s">
        <v>26</v>
      </c>
      <c r="BU9" s="12"/>
      <c r="BV9" s="9" t="s">
        <v>14</v>
      </c>
      <c r="BW9" s="9" t="s">
        <v>15</v>
      </c>
      <c r="BX9" s="9" t="s">
        <v>16</v>
      </c>
      <c r="BY9" s="9" t="s">
        <v>17</v>
      </c>
      <c r="BZ9" s="9" t="s">
        <v>18</v>
      </c>
      <c r="CA9" s="9" t="s">
        <v>19</v>
      </c>
      <c r="CB9" s="9" t="s">
        <v>20</v>
      </c>
      <c r="CC9" s="9" t="s">
        <v>21</v>
      </c>
      <c r="CD9" s="9" t="s">
        <v>22</v>
      </c>
      <c r="CE9" s="9" t="s">
        <v>23</v>
      </c>
      <c r="CF9" s="9" t="s">
        <v>24</v>
      </c>
      <c r="CG9" s="9" t="s">
        <v>25</v>
      </c>
      <c r="CH9" s="9" t="s">
        <v>26</v>
      </c>
      <c r="CJ9" s="9" t="s">
        <v>14</v>
      </c>
      <c r="CK9" s="9" t="s">
        <v>15</v>
      </c>
      <c r="CL9" s="9" t="s">
        <v>16</v>
      </c>
      <c r="CM9" s="9" t="s">
        <v>17</v>
      </c>
      <c r="CN9" s="9" t="s">
        <v>18</v>
      </c>
      <c r="CO9" s="9" t="s">
        <v>19</v>
      </c>
      <c r="CP9" s="9" t="s">
        <v>20</v>
      </c>
      <c r="CQ9" s="9" t="s">
        <v>21</v>
      </c>
      <c r="CR9" s="9" t="s">
        <v>22</v>
      </c>
      <c r="CS9" s="9" t="s">
        <v>23</v>
      </c>
      <c r="CT9" s="9" t="s">
        <v>24</v>
      </c>
      <c r="CU9" s="9" t="s">
        <v>25</v>
      </c>
      <c r="CV9" s="9" t="s">
        <v>26</v>
      </c>
      <c r="CX9" s="9" t="s">
        <v>14</v>
      </c>
      <c r="CY9" s="9" t="s">
        <v>15</v>
      </c>
      <c r="CZ9" s="9" t="s">
        <v>16</v>
      </c>
      <c r="DA9" s="9" t="s">
        <v>17</v>
      </c>
      <c r="DB9" s="9" t="s">
        <v>18</v>
      </c>
      <c r="DC9" s="9" t="s">
        <v>19</v>
      </c>
      <c r="DD9" s="9" t="s">
        <v>20</v>
      </c>
      <c r="DE9" s="980" t="s">
        <v>21</v>
      </c>
      <c r="DF9" s="980" t="s">
        <v>22</v>
      </c>
      <c r="DG9" s="980" t="s">
        <v>23</v>
      </c>
      <c r="DH9" s="9" t="s">
        <v>24</v>
      </c>
      <c r="DI9" s="9" t="s">
        <v>25</v>
      </c>
      <c r="DJ9" s="9" t="s">
        <v>26</v>
      </c>
      <c r="DK9" s="948"/>
      <c r="DL9" s="9" t="s">
        <v>14</v>
      </c>
      <c r="DM9" s="9" t="s">
        <v>15</v>
      </c>
      <c r="DN9" s="9" t="s">
        <v>16</v>
      </c>
      <c r="DO9" s="9" t="s">
        <v>17</v>
      </c>
      <c r="DP9" s="9" t="s">
        <v>18</v>
      </c>
      <c r="DQ9" s="9" t="s">
        <v>19</v>
      </c>
      <c r="DR9" s="9" t="s">
        <v>20</v>
      </c>
      <c r="DS9" s="9" t="s">
        <v>21</v>
      </c>
      <c r="DT9" s="9" t="s">
        <v>22</v>
      </c>
      <c r="DU9" s="9" t="s">
        <v>23</v>
      </c>
      <c r="DV9" s="9" t="s">
        <v>24</v>
      </c>
      <c r="DW9" s="9" t="s">
        <v>25</v>
      </c>
      <c r="DX9" s="9" t="s">
        <v>26</v>
      </c>
    </row>
    <row r="10" spans="1:128" ht="18.75" customHeight="1">
      <c r="A10" s="13"/>
      <c r="B10" s="1024" t="s">
        <v>159</v>
      </c>
      <c r="C10" s="260"/>
      <c r="D10" s="261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62"/>
      <c r="Q10" s="15"/>
      <c r="R10" s="261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263"/>
      <c r="AE10" s="16"/>
      <c r="AF10" s="261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7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7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8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682" t="s">
        <v>27</v>
      </c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682" t="s">
        <v>27</v>
      </c>
      <c r="CX10" s="14"/>
      <c r="CY10" s="14"/>
      <c r="CZ10" s="14">
        <v>0</v>
      </c>
      <c r="DA10" s="14">
        <v>19</v>
      </c>
      <c r="DB10" s="14">
        <v>19</v>
      </c>
      <c r="DC10" s="14">
        <v>19</v>
      </c>
      <c r="DD10" s="14">
        <v>19</v>
      </c>
      <c r="DE10" s="14">
        <v>19</v>
      </c>
      <c r="DF10" s="14">
        <v>19</v>
      </c>
      <c r="DG10" s="14">
        <v>19</v>
      </c>
      <c r="DH10" s="14">
        <v>19</v>
      </c>
      <c r="DI10" s="14">
        <v>19</v>
      </c>
      <c r="DJ10" s="14"/>
      <c r="DK10" s="948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</row>
    <row r="11" spans="1:128" ht="30.75" hidden="1">
      <c r="A11" s="13" t="s">
        <v>28</v>
      </c>
      <c r="B11" s="706" t="s">
        <v>29</v>
      </c>
      <c r="C11" s="260"/>
      <c r="D11" s="261">
        <f t="shared" ref="D11:O11" si="7">SUM(D21:D25)</f>
        <v>304786</v>
      </c>
      <c r="E11" s="14">
        <f t="shared" si="7"/>
        <v>311986</v>
      </c>
      <c r="F11" s="14">
        <f t="shared" si="7"/>
        <v>328231</v>
      </c>
      <c r="G11" s="14">
        <f t="shared" si="7"/>
        <v>317873</v>
      </c>
      <c r="H11" s="14">
        <f t="shared" si="7"/>
        <v>347196</v>
      </c>
      <c r="I11" s="14">
        <f t="shared" si="7"/>
        <v>402253</v>
      </c>
      <c r="J11" s="14">
        <f t="shared" si="7"/>
        <v>454488</v>
      </c>
      <c r="K11" s="14">
        <f t="shared" si="7"/>
        <v>447182</v>
      </c>
      <c r="L11" s="14">
        <f t="shared" si="7"/>
        <v>416931</v>
      </c>
      <c r="M11" s="14">
        <f t="shared" si="7"/>
        <v>304402</v>
      </c>
      <c r="N11" s="14">
        <f t="shared" si="7"/>
        <v>0</v>
      </c>
      <c r="O11" s="14">
        <f t="shared" si="7"/>
        <v>188264</v>
      </c>
      <c r="P11" s="262"/>
      <c r="Q11" s="15"/>
      <c r="R11" s="14">
        <f t="shared" ref="R11:AC11" si="8">SUM(R21:R25)</f>
        <v>283359</v>
      </c>
      <c r="S11" s="14">
        <f t="shared" si="8"/>
        <v>342718</v>
      </c>
      <c r="T11" s="14">
        <f t="shared" si="8"/>
        <v>313212</v>
      </c>
      <c r="U11" s="14">
        <f t="shared" si="8"/>
        <v>298093</v>
      </c>
      <c r="V11" s="14">
        <f t="shared" si="8"/>
        <v>206617</v>
      </c>
      <c r="W11" s="14">
        <f t="shared" si="8"/>
        <v>235875</v>
      </c>
      <c r="X11" s="14">
        <f t="shared" si="8"/>
        <v>360135</v>
      </c>
      <c r="Y11" s="14">
        <f t="shared" si="8"/>
        <v>361665</v>
      </c>
      <c r="Z11" s="14">
        <f t="shared" si="8"/>
        <v>353400</v>
      </c>
      <c r="AA11" s="14">
        <f t="shared" si="8"/>
        <v>272097</v>
      </c>
      <c r="AB11" s="14">
        <f t="shared" si="8"/>
        <v>170626</v>
      </c>
      <c r="AC11" s="14">
        <f t="shared" si="8"/>
        <v>197551</v>
      </c>
      <c r="AD11" s="263"/>
      <c r="AE11" s="16"/>
      <c r="AF11" s="14">
        <f t="shared" ref="AF11:AQ11" si="9">SUM(AF21:AF27)</f>
        <v>255339</v>
      </c>
      <c r="AG11" s="14">
        <f t="shared" si="9"/>
        <v>292621</v>
      </c>
      <c r="AH11" s="14">
        <f t="shared" si="9"/>
        <v>397976</v>
      </c>
      <c r="AI11" s="14">
        <f t="shared" si="9"/>
        <v>388165</v>
      </c>
      <c r="AJ11" s="14">
        <f t="shared" si="9"/>
        <v>409301</v>
      </c>
      <c r="AK11" s="14">
        <f t="shared" si="9"/>
        <v>490913</v>
      </c>
      <c r="AL11" s="14">
        <f t="shared" si="9"/>
        <v>563229</v>
      </c>
      <c r="AM11" s="14">
        <f t="shared" si="9"/>
        <v>559169</v>
      </c>
      <c r="AN11" s="14">
        <f t="shared" si="9"/>
        <v>487294</v>
      </c>
      <c r="AO11" s="14">
        <f t="shared" si="9"/>
        <v>407614</v>
      </c>
      <c r="AP11" s="14">
        <f t="shared" si="9"/>
        <v>503756</v>
      </c>
      <c r="AQ11" s="14">
        <f t="shared" si="9"/>
        <v>531679</v>
      </c>
      <c r="AR11" s="14">
        <f t="shared" ref="AR11:AR32" si="10">AQ11</f>
        <v>531679</v>
      </c>
      <c r="AS11" s="17"/>
      <c r="AT11" s="14">
        <f t="shared" ref="AT11:BE11" si="11">SUM(AT21:AT27)</f>
        <v>471378</v>
      </c>
      <c r="AU11" s="14">
        <f t="shared" si="11"/>
        <v>473307</v>
      </c>
      <c r="AV11" s="14">
        <f t="shared" si="11"/>
        <v>412518</v>
      </c>
      <c r="AW11" s="14">
        <f t="shared" si="11"/>
        <v>398039</v>
      </c>
      <c r="AX11" s="14">
        <f t="shared" si="11"/>
        <v>417827</v>
      </c>
      <c r="AY11" s="14">
        <f t="shared" si="11"/>
        <v>507968</v>
      </c>
      <c r="AZ11" s="14">
        <f t="shared" si="11"/>
        <v>477530</v>
      </c>
      <c r="BA11" s="14">
        <f t="shared" si="11"/>
        <v>520708</v>
      </c>
      <c r="BB11" s="14">
        <f t="shared" si="11"/>
        <v>505851</v>
      </c>
      <c r="BC11" s="14">
        <f t="shared" si="11"/>
        <v>454245</v>
      </c>
      <c r="BD11" s="14">
        <f t="shared" si="11"/>
        <v>405700</v>
      </c>
      <c r="BE11" s="14">
        <f t="shared" si="11"/>
        <v>356505</v>
      </c>
      <c r="BF11" s="14">
        <f t="shared" ref="BF11:BF27" si="12">BE11</f>
        <v>356505</v>
      </c>
      <c r="BG11" s="17"/>
      <c r="BH11" s="14">
        <f t="shared" ref="BH11:BQ11" si="13">SUM(BH21:BH27)</f>
        <v>357143</v>
      </c>
      <c r="BI11" s="14">
        <f t="shared" si="13"/>
        <v>355011</v>
      </c>
      <c r="BJ11" s="14">
        <f t="shared" si="13"/>
        <v>344281</v>
      </c>
      <c r="BK11" s="14">
        <f t="shared" si="13"/>
        <v>389628</v>
      </c>
      <c r="BL11" s="14">
        <f t="shared" si="13"/>
        <v>324889</v>
      </c>
      <c r="BM11" s="14">
        <f t="shared" si="13"/>
        <v>352666</v>
      </c>
      <c r="BN11" s="14">
        <f t="shared" si="13"/>
        <v>418721</v>
      </c>
      <c r="BO11" s="14">
        <f t="shared" si="13"/>
        <v>356602</v>
      </c>
      <c r="BP11" s="14">
        <f t="shared" si="13"/>
        <v>326706</v>
      </c>
      <c r="BQ11" s="14">
        <f t="shared" si="13"/>
        <v>304987</v>
      </c>
      <c r="BR11" s="14">
        <f>SUM(BR21:BR27)</f>
        <v>228035</v>
      </c>
      <c r="BS11" s="14">
        <f>BS21+BS24+BS27</f>
        <v>201165</v>
      </c>
      <c r="BT11" s="14">
        <f>BS11</f>
        <v>201165</v>
      </c>
      <c r="BU11" s="18"/>
      <c r="BV11" s="14">
        <f>BV12+BV24+BV27</f>
        <v>247713</v>
      </c>
      <c r="BW11" s="14">
        <f t="shared" ref="BW11:CF11" si="14">BW12+BW24+BW27</f>
        <v>278707</v>
      </c>
      <c r="BX11" s="14">
        <f t="shared" si="14"/>
        <v>281829</v>
      </c>
      <c r="BY11" s="14">
        <f t="shared" si="14"/>
        <v>317753</v>
      </c>
      <c r="BZ11" s="14">
        <f t="shared" si="14"/>
        <v>270339</v>
      </c>
      <c r="CA11" s="14">
        <f t="shared" si="14"/>
        <v>310383</v>
      </c>
      <c r="CB11" s="14">
        <f t="shared" si="14"/>
        <v>328365</v>
      </c>
      <c r="CC11" s="14">
        <f t="shared" si="14"/>
        <v>333476</v>
      </c>
      <c r="CD11" s="14">
        <f>CD12+CD24+CD27</f>
        <v>306264</v>
      </c>
      <c r="CE11" s="14">
        <f t="shared" si="14"/>
        <v>270370</v>
      </c>
      <c r="CF11" s="14">
        <f t="shared" si="14"/>
        <v>194014</v>
      </c>
      <c r="CG11" s="14">
        <f>CG12+CG24+CG27</f>
        <v>182266</v>
      </c>
      <c r="CH11" s="14">
        <f t="shared" ref="CH11" si="15">CH21+CH24+CH27</f>
        <v>161447</v>
      </c>
      <c r="CJ11" s="14">
        <f>CH11+CJ82-CJ35</f>
        <v>168530.63302273574</v>
      </c>
      <c r="CK11" s="14">
        <f>CJ11+CK82-CK35</f>
        <v>182286.97320909426</v>
      </c>
      <c r="CL11" s="14">
        <f>CL21+CL24</f>
        <v>127909</v>
      </c>
      <c r="CM11" s="14">
        <f>CM21+CM24</f>
        <v>174007</v>
      </c>
      <c r="CN11" s="14">
        <f>CM11+CN82-CN35</f>
        <v>184445.8879612374</v>
      </c>
      <c r="CO11" s="14">
        <f>CN11+CO82-CO35</f>
        <v>247499.73306000742</v>
      </c>
      <c r="CP11" s="14">
        <f>CO11+CP82-CP35</f>
        <v>280382.22259587242</v>
      </c>
      <c r="CQ11" s="14">
        <f>CP11+CQ82-CQ35</f>
        <v>258376.52867182181</v>
      </c>
      <c r="CR11" s="14">
        <f>CQ11+CR82-CR35</f>
        <v>210518.33782793995</v>
      </c>
      <c r="CS11" s="14">
        <f>CR11+CS82-CS35</f>
        <v>165804.38677308764</v>
      </c>
      <c r="CT11" s="14">
        <f>CS11+CT82-CT35</f>
        <v>156780.78567604127</v>
      </c>
      <c r="CU11" s="14">
        <f>CT11+CU82-CU35</f>
        <v>179129.39327097798</v>
      </c>
      <c r="CV11" s="14">
        <v>116080.10690622788</v>
      </c>
      <c r="CX11" s="14">
        <f>CU11+CX82-CX35</f>
        <v>111016.49327097798</v>
      </c>
      <c r="CY11" s="14">
        <f>CX11+CY82-CY35</f>
        <v>9881.093270977959</v>
      </c>
      <c r="CZ11" s="14">
        <f>CY11+CZ82-CZ35</f>
        <v>-155738.90672902204</v>
      </c>
      <c r="DA11" s="14">
        <f>CZ11+DA82-DA35</f>
        <v>-278698.90672902204</v>
      </c>
      <c r="DB11" s="14">
        <f>DA11+DB82-DB35</f>
        <v>-286894.90672902204</v>
      </c>
      <c r="DC11" s="14">
        <f>DB11+DC82-DC35</f>
        <v>-287024.90672902204</v>
      </c>
      <c r="DD11" s="14">
        <f>DC11+DD82-DD35</f>
        <v>-338346.32672902208</v>
      </c>
      <c r="DE11" s="14">
        <f>DD11+DE82-DE35</f>
        <v>-434256.95672902209</v>
      </c>
      <c r="DF11" s="14">
        <f>DE11+DF82-DF35</f>
        <v>-585262.76672902214</v>
      </c>
      <c r="DG11" s="14">
        <f>DF11+DG82-DG35</f>
        <v>-661161.98672902223</v>
      </c>
      <c r="DH11" s="14">
        <f>DG11+DH82-DH35</f>
        <v>-676501.94672902231</v>
      </c>
      <c r="DI11" s="14">
        <f>DH11+DI82-DI35</f>
        <v>-665313.10672902234</v>
      </c>
      <c r="DJ11" s="14">
        <v>116080.10690622788</v>
      </c>
      <c r="DK11" s="948"/>
      <c r="DL11" s="14">
        <f>DI11+DL82-DL35</f>
        <v>-776754.10672902234</v>
      </c>
      <c r="DM11" s="14">
        <f>DL11+DM82-DM35</f>
        <v>-841575.95672902232</v>
      </c>
      <c r="DN11" s="14">
        <f>DM11+DN82-DN35</f>
        <v>-905694.95672902232</v>
      </c>
      <c r="DO11" s="14">
        <f>DN11+DO82-DO35</f>
        <v>-897834.95672902232</v>
      </c>
      <c r="DP11" s="14">
        <f>DO11+DP82-DP35</f>
        <v>-874647.35672902234</v>
      </c>
      <c r="DQ11" s="14">
        <f>DP11+DQ82-DQ35</f>
        <v>-875481.40672902239</v>
      </c>
      <c r="DR11" s="14">
        <f>DQ11+DR82-DR35</f>
        <v>-927795.6667290224</v>
      </c>
      <c r="DS11" s="14">
        <f>DR11+DS82-DS35</f>
        <v>-1055206.2967290224</v>
      </c>
      <c r="DT11" s="14">
        <f>DS11+DT82-DT35</f>
        <v>-1251212.1067290225</v>
      </c>
      <c r="DU11" s="14">
        <f>DT11+DU82-DU35</f>
        <v>-1360811.3267290224</v>
      </c>
      <c r="DV11" s="14">
        <f>DU11+DV82-DV35</f>
        <v>-1400951.6867290225</v>
      </c>
      <c r="DW11" s="14">
        <f>DV11+DW82-DW35</f>
        <v>-1416561.6067290225</v>
      </c>
      <c r="DX11" s="14">
        <v>116080.10690622788</v>
      </c>
    </row>
    <row r="12" spans="1:128" ht="18.75">
      <c r="A12" s="19">
        <v>0</v>
      </c>
      <c r="B12" s="1034" t="s">
        <v>30</v>
      </c>
      <c r="C12" s="1035"/>
      <c r="D12" s="793"/>
      <c r="E12" s="794"/>
      <c r="F12" s="794"/>
      <c r="G12" s="794"/>
      <c r="H12" s="794"/>
      <c r="I12" s="794"/>
      <c r="J12" s="794"/>
      <c r="K12" s="794"/>
      <c r="L12" s="794"/>
      <c r="M12" s="794"/>
      <c r="N12" s="794"/>
      <c r="O12" s="794"/>
      <c r="P12" s="795"/>
      <c r="Q12" s="796"/>
      <c r="R12" s="793"/>
      <c r="S12" s="797"/>
      <c r="T12" s="797"/>
      <c r="U12" s="797"/>
      <c r="V12" s="797"/>
      <c r="W12" s="797"/>
      <c r="X12" s="797"/>
      <c r="Y12" s="797"/>
      <c r="Z12" s="797"/>
      <c r="AA12" s="797"/>
      <c r="AB12" s="797"/>
      <c r="AC12" s="797"/>
      <c r="AD12" s="798"/>
      <c r="AE12" s="799"/>
      <c r="AF12" s="797"/>
      <c r="AG12" s="797"/>
      <c r="AH12" s="797"/>
      <c r="AI12" s="797"/>
      <c r="AJ12" s="799"/>
      <c r="AK12" s="797"/>
      <c r="AL12" s="797"/>
      <c r="AM12" s="797"/>
      <c r="AN12" s="797"/>
      <c r="AO12" s="797"/>
      <c r="AP12" s="797"/>
      <c r="AQ12" s="797"/>
      <c r="AR12" s="797"/>
      <c r="AS12" s="799"/>
      <c r="AT12" s="797"/>
      <c r="AU12" s="797"/>
      <c r="AV12" s="797"/>
      <c r="AW12" s="797"/>
      <c r="AX12" s="797"/>
      <c r="AY12" s="797"/>
      <c r="AZ12" s="797"/>
      <c r="BA12" s="797"/>
      <c r="BB12" s="1036"/>
      <c r="BC12" s="797"/>
      <c r="BD12" s="797"/>
      <c r="BE12" s="797"/>
      <c r="BF12" s="797"/>
      <c r="BG12" s="799"/>
      <c r="BH12" s="797"/>
      <c r="BI12" s="797"/>
      <c r="BJ12" s="797"/>
      <c r="BK12" s="797"/>
      <c r="BL12" s="797"/>
      <c r="BM12" s="797"/>
      <c r="BN12" s="797"/>
      <c r="BO12" s="797"/>
      <c r="BP12" s="797"/>
      <c r="BQ12" s="797"/>
      <c r="BR12" s="797"/>
      <c r="BS12" s="797"/>
      <c r="BT12" s="797"/>
      <c r="BU12" s="799"/>
      <c r="BV12" s="797">
        <v>204006</v>
      </c>
      <c r="BW12" s="797">
        <v>241182</v>
      </c>
      <c r="BX12" s="797">
        <v>245950</v>
      </c>
      <c r="BY12" s="797">
        <v>281974</v>
      </c>
      <c r="BZ12" s="797">
        <v>202865</v>
      </c>
      <c r="CA12" s="797">
        <v>240895</v>
      </c>
      <c r="CB12" s="797">
        <v>273565</v>
      </c>
      <c r="CC12" s="797">
        <v>288981</v>
      </c>
      <c r="CD12" s="797">
        <v>273990</v>
      </c>
      <c r="CE12" s="797">
        <v>237556</v>
      </c>
      <c r="CF12" s="797">
        <v>168313</v>
      </c>
      <c r="CG12" s="797">
        <v>150819</v>
      </c>
      <c r="CH12" s="797">
        <f>CG12</f>
        <v>150819</v>
      </c>
      <c r="CI12" s="792"/>
      <c r="CJ12" s="797">
        <v>205037</v>
      </c>
      <c r="CK12" s="797">
        <v>230430</v>
      </c>
      <c r="CL12" s="797">
        <v>234343</v>
      </c>
      <c r="CM12" s="797">
        <v>266388</v>
      </c>
      <c r="CN12" s="797"/>
      <c r="CO12" s="797"/>
      <c r="CP12" s="797"/>
      <c r="CQ12" s="797"/>
      <c r="CR12" s="797"/>
      <c r="CS12" s="797">
        <v>278269</v>
      </c>
      <c r="CT12" s="797"/>
      <c r="CU12" s="797"/>
      <c r="CV12" s="797"/>
      <c r="CW12" s="792"/>
      <c r="CX12" s="1019">
        <v>315473</v>
      </c>
      <c r="CY12" s="1019">
        <v>340292</v>
      </c>
      <c r="CZ12" s="1019">
        <v>246000</v>
      </c>
      <c r="DA12" s="1019">
        <v>258432</v>
      </c>
      <c r="DB12" s="1019">
        <v>238000</v>
      </c>
      <c r="DC12" s="1019">
        <f>DB12-DC35+DC81</f>
        <v>301870</v>
      </c>
      <c r="DD12" s="1019">
        <v>336000</v>
      </c>
      <c r="DE12" s="1019">
        <f>DD12-DE35+DE81</f>
        <v>305089.37</v>
      </c>
      <c r="DF12" s="1019">
        <f>DE12-DF35+DF81</f>
        <v>219083.55999999997</v>
      </c>
      <c r="DG12" s="1019">
        <f t="shared" ref="DF12:DI12" si="16">DF12-DG35+DG81</f>
        <v>183184.33999999994</v>
      </c>
      <c r="DH12" s="1019">
        <f t="shared" si="16"/>
        <v>196844.37999999995</v>
      </c>
      <c r="DI12" s="1019">
        <f t="shared" si="16"/>
        <v>268033.21999999997</v>
      </c>
      <c r="DJ12" s="22"/>
      <c r="DK12" s="948"/>
      <c r="DL12" s="1019">
        <f>DI12-DL35+DL81</f>
        <v>219472.21999999997</v>
      </c>
      <c r="DM12" s="1019">
        <f>DL12-DM35+DM81</f>
        <v>198730.36999999997</v>
      </c>
      <c r="DN12" s="1019">
        <f t="shared" ref="DN12:DW12" si="17">DM12-DN35+DN81</f>
        <v>186631.36999999997</v>
      </c>
      <c r="DO12" s="1019">
        <f>DN12-DO35+DO81</f>
        <v>233651.36999999997</v>
      </c>
      <c r="DP12" s="1019">
        <f t="shared" si="17"/>
        <v>285838.96999999997</v>
      </c>
      <c r="DQ12" s="1019">
        <f t="shared" si="17"/>
        <v>349004.91999999993</v>
      </c>
      <c r="DR12" s="1019">
        <f t="shared" si="17"/>
        <v>356690.65999999992</v>
      </c>
      <c r="DS12" s="1019">
        <f t="shared" si="17"/>
        <v>287280.02999999991</v>
      </c>
      <c r="DT12" s="1019">
        <f t="shared" si="17"/>
        <v>150274.21999999994</v>
      </c>
      <c r="DU12" s="1019">
        <f t="shared" si="17"/>
        <v>74674.999999999942</v>
      </c>
      <c r="DV12" s="1019">
        <f t="shared" si="17"/>
        <v>63534.639999999927</v>
      </c>
      <c r="DW12" s="1019">
        <f t="shared" si="17"/>
        <v>107924.71999999991</v>
      </c>
      <c r="DX12" s="22"/>
    </row>
    <row r="13" spans="1:128" hidden="1">
      <c r="A13" s="19"/>
      <c r="B13" s="158" t="s">
        <v>162</v>
      </c>
      <c r="C13" s="264"/>
      <c r="D13" s="26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66"/>
      <c r="Q13" s="21"/>
      <c r="R13" s="265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67"/>
      <c r="AE13" s="23"/>
      <c r="AF13" s="22"/>
      <c r="AG13" s="22"/>
      <c r="AH13" s="22"/>
      <c r="AI13" s="22"/>
      <c r="AJ13" s="24"/>
      <c r="AK13" s="22"/>
      <c r="AL13" s="22"/>
      <c r="AM13" s="22"/>
      <c r="AN13" s="22"/>
      <c r="AO13" s="22"/>
      <c r="AP13" s="25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6"/>
      <c r="BC13" s="22"/>
      <c r="BD13" s="22"/>
      <c r="BE13" s="22"/>
      <c r="BF13" s="22"/>
      <c r="BG13" s="27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8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>
        <v>40000</v>
      </c>
      <c r="CT13" s="22"/>
      <c r="CU13" s="22"/>
      <c r="CV13" s="22"/>
      <c r="CX13" s="22">
        <v>27585</v>
      </c>
      <c r="CY13" s="22">
        <v>35241</v>
      </c>
      <c r="CZ13" s="22">
        <v>33500</v>
      </c>
      <c r="DA13" s="22">
        <v>46702</v>
      </c>
      <c r="DB13" s="22">
        <v>24000</v>
      </c>
      <c r="DC13" s="22">
        <v>25000</v>
      </c>
      <c r="DD13" s="22">
        <v>38300</v>
      </c>
      <c r="DE13" s="22">
        <v>0</v>
      </c>
      <c r="DF13" s="22"/>
      <c r="DG13" s="22"/>
      <c r="DH13" s="22"/>
      <c r="DI13" s="22"/>
      <c r="DJ13" s="22"/>
      <c r="DK13" s="948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</row>
    <row r="14" spans="1:128" hidden="1">
      <c r="A14" s="19"/>
      <c r="B14" s="158" t="s">
        <v>113</v>
      </c>
      <c r="C14" s="264"/>
      <c r="D14" s="26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66"/>
      <c r="Q14" s="21"/>
      <c r="R14" s="265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67"/>
      <c r="AE14" s="23"/>
      <c r="AF14" s="22"/>
      <c r="AG14" s="22"/>
      <c r="AH14" s="22"/>
      <c r="AI14" s="22"/>
      <c r="AJ14" s="24"/>
      <c r="AK14" s="22"/>
      <c r="AL14" s="22"/>
      <c r="AM14" s="22"/>
      <c r="AN14" s="22"/>
      <c r="AO14" s="22"/>
      <c r="AP14" s="25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6"/>
      <c r="BC14" s="22"/>
      <c r="BD14" s="22"/>
      <c r="BE14" s="22"/>
      <c r="BF14" s="22"/>
      <c r="BG14" s="27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8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>
        <v>25428</v>
      </c>
      <c r="CT14" s="22"/>
      <c r="CU14" s="22"/>
      <c r="CV14" s="22"/>
      <c r="CX14" s="22">
        <v>47014</v>
      </c>
      <c r="CY14" s="22">
        <v>54401</v>
      </c>
      <c r="CZ14" s="22">
        <v>68100</v>
      </c>
      <c r="DA14" s="22">
        <v>64687</v>
      </c>
      <c r="DB14" s="22"/>
      <c r="DC14" s="22"/>
      <c r="DD14" s="22"/>
      <c r="DE14" s="22"/>
      <c r="DF14" s="22"/>
      <c r="DG14" s="22"/>
      <c r="DH14" s="22"/>
      <c r="DI14" s="22"/>
      <c r="DJ14" s="22"/>
      <c r="DK14" s="948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</row>
    <row r="15" spans="1:128" hidden="1">
      <c r="A15" s="19">
        <v>0</v>
      </c>
      <c r="B15" s="158" t="s">
        <v>163</v>
      </c>
      <c r="C15" s="264"/>
      <c r="D15" s="26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66"/>
      <c r="Q15" s="21"/>
      <c r="R15" s="265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67"/>
      <c r="AE15" s="23"/>
      <c r="AF15" s="22"/>
      <c r="AG15" s="22"/>
      <c r="AH15" s="22"/>
      <c r="AI15" s="22"/>
      <c r="AJ15" s="24"/>
      <c r="AK15" s="22"/>
      <c r="AL15" s="22"/>
      <c r="AM15" s="22"/>
      <c r="AN15" s="22"/>
      <c r="AO15" s="22"/>
      <c r="AP15" s="25"/>
      <c r="AQ15" s="22"/>
      <c r="AR15" s="22"/>
      <c r="AS15" s="23"/>
      <c r="AT15" s="22"/>
      <c r="AU15" s="22"/>
      <c r="AV15" s="22"/>
      <c r="AW15" s="22"/>
      <c r="AX15" s="22"/>
      <c r="AY15" s="22"/>
      <c r="AZ15" s="22"/>
      <c r="BA15" s="22"/>
      <c r="BB15" s="26"/>
      <c r="BC15" s="22"/>
      <c r="BD15" s="22"/>
      <c r="BE15" s="22"/>
      <c r="BF15" s="22"/>
      <c r="BG15" s="27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8"/>
      <c r="BV15" s="22">
        <v>80956</v>
      </c>
      <c r="BW15" s="22">
        <v>110544</v>
      </c>
      <c r="BX15" s="22">
        <v>134506</v>
      </c>
      <c r="BY15" s="22">
        <v>127959</v>
      </c>
      <c r="BZ15" s="22">
        <v>66136</v>
      </c>
      <c r="CA15" s="22">
        <v>72582</v>
      </c>
      <c r="CB15" s="22">
        <v>94286</v>
      </c>
      <c r="CC15" s="22">
        <v>133081</v>
      </c>
      <c r="CD15" s="22">
        <v>148174</v>
      </c>
      <c r="CE15" s="22">
        <v>154201</v>
      </c>
      <c r="CF15" s="22">
        <v>97365</v>
      </c>
      <c r="CG15" s="22">
        <v>30184</v>
      </c>
      <c r="CH15" s="22"/>
      <c r="CJ15" s="22">
        <v>132209</v>
      </c>
      <c r="CK15" s="22">
        <v>180000</v>
      </c>
      <c r="CL15" s="22">
        <v>177643</v>
      </c>
      <c r="CM15" s="22">
        <v>153210</v>
      </c>
      <c r="CN15" s="22"/>
      <c r="CO15" s="22"/>
      <c r="CP15" s="22"/>
      <c r="CQ15" s="22"/>
      <c r="CR15" s="22"/>
      <c r="CS15" s="22">
        <v>189875</v>
      </c>
      <c r="CT15" s="22"/>
      <c r="CU15" s="22"/>
      <c r="CV15" s="22"/>
      <c r="CX15" s="22">
        <v>101210</v>
      </c>
      <c r="CY15" s="22">
        <v>105819</v>
      </c>
      <c r="CZ15" s="22">
        <v>120500</v>
      </c>
      <c r="DA15" s="22">
        <v>110395</v>
      </c>
      <c r="DB15" s="22">
        <v>120000</v>
      </c>
      <c r="DC15" s="22">
        <v>75000</v>
      </c>
      <c r="DD15" s="22">
        <v>150000</v>
      </c>
      <c r="DE15" s="22"/>
      <c r="DF15" s="22"/>
      <c r="DG15" s="22"/>
      <c r="DH15" s="22"/>
      <c r="DI15" s="22"/>
      <c r="DJ15" s="22"/>
      <c r="DK15" s="948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</row>
    <row r="16" spans="1:128" hidden="1">
      <c r="A16" s="19">
        <v>0</v>
      </c>
      <c r="B16" s="158" t="s">
        <v>32</v>
      </c>
      <c r="C16" s="264"/>
      <c r="D16" s="265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66"/>
      <c r="Q16" s="21"/>
      <c r="R16" s="265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67"/>
      <c r="AE16" s="23"/>
      <c r="AF16" s="22"/>
      <c r="AG16" s="22"/>
      <c r="AH16" s="22"/>
      <c r="AI16" s="22"/>
      <c r="AJ16" s="24"/>
      <c r="AK16" s="22"/>
      <c r="AL16" s="22"/>
      <c r="AM16" s="22"/>
      <c r="AN16" s="22"/>
      <c r="AO16" s="22"/>
      <c r="AP16" s="25"/>
      <c r="AQ16" s="22"/>
      <c r="AR16" s="22"/>
      <c r="AS16" s="23"/>
      <c r="AT16" s="22"/>
      <c r="AU16" s="22"/>
      <c r="AV16" s="22"/>
      <c r="AW16" s="22"/>
      <c r="AX16" s="22"/>
      <c r="AY16" s="22"/>
      <c r="AZ16" s="22"/>
      <c r="BA16" s="22"/>
      <c r="BB16" s="26"/>
      <c r="BC16" s="22"/>
      <c r="BD16" s="22"/>
      <c r="BE16" s="22"/>
      <c r="BF16" s="22"/>
      <c r="BG16" s="27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8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J16" s="22">
        <v>150321</v>
      </c>
      <c r="CK16" s="22">
        <v>133602</v>
      </c>
      <c r="CL16" s="22">
        <v>135672</v>
      </c>
      <c r="CM16" s="22">
        <v>133268</v>
      </c>
      <c r="CN16" s="22"/>
      <c r="CO16" s="22"/>
      <c r="CP16" s="22"/>
      <c r="CQ16" s="22"/>
      <c r="CR16" s="22"/>
      <c r="CS16" s="22">
        <v>113875</v>
      </c>
      <c r="CT16" s="22"/>
      <c r="CU16" s="22"/>
      <c r="CV16" s="22"/>
      <c r="CX16" s="22">
        <v>109268</v>
      </c>
      <c r="CY16" s="22">
        <v>114943</v>
      </c>
      <c r="CZ16" s="22">
        <v>133000</v>
      </c>
      <c r="DA16" s="22">
        <v>136960</v>
      </c>
      <c r="DB16" s="22">
        <v>139000</v>
      </c>
      <c r="DC16" s="22"/>
      <c r="DD16" s="22">
        <v>106000</v>
      </c>
      <c r="DE16" s="22"/>
      <c r="DF16" s="22"/>
      <c r="DG16" s="22"/>
      <c r="DH16" s="22"/>
      <c r="DI16" s="22"/>
      <c r="DJ16" s="22"/>
      <c r="DK16" s="948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>
        <f t="shared" ref="DW16" si="18">DV16</f>
        <v>0</v>
      </c>
      <c r="DX16" s="22"/>
    </row>
    <row r="17" spans="1:143" hidden="1">
      <c r="A17" s="19">
        <v>0</v>
      </c>
      <c r="B17" s="717" t="s">
        <v>33</v>
      </c>
      <c r="C17" s="264"/>
      <c r="D17" s="265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66"/>
      <c r="Q17" s="21"/>
      <c r="R17" s="265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67"/>
      <c r="AE17" s="23"/>
      <c r="AF17" s="22"/>
      <c r="AG17" s="22"/>
      <c r="AH17" s="22"/>
      <c r="AI17" s="22"/>
      <c r="AJ17" s="24"/>
      <c r="AK17" s="22"/>
      <c r="AL17" s="22"/>
      <c r="AM17" s="22"/>
      <c r="AN17" s="22"/>
      <c r="AO17" s="22"/>
      <c r="AP17" s="25"/>
      <c r="AQ17" s="22"/>
      <c r="AR17" s="22"/>
      <c r="AS17" s="23"/>
      <c r="AT17" s="22"/>
      <c r="AU17" s="22"/>
      <c r="AV17" s="22"/>
      <c r="AW17" s="22"/>
      <c r="AX17" s="22"/>
      <c r="AY17" s="22"/>
      <c r="AZ17" s="22"/>
      <c r="BA17" s="22"/>
      <c r="BB17" s="26"/>
      <c r="BC17" s="22"/>
      <c r="BD17" s="22"/>
      <c r="BE17" s="22"/>
      <c r="BF17" s="22"/>
      <c r="BG17" s="27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8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J17" s="718">
        <v>36757</v>
      </c>
      <c r="CK17" s="718">
        <v>55826</v>
      </c>
      <c r="CL17" s="718">
        <v>60438</v>
      </c>
      <c r="CM17" s="718">
        <v>52291</v>
      </c>
      <c r="CN17" s="22"/>
      <c r="CO17" s="22"/>
      <c r="CP17" s="22"/>
      <c r="CQ17" s="22"/>
      <c r="CR17" s="22"/>
      <c r="CS17" s="718">
        <v>35740</v>
      </c>
      <c r="CT17" s="22"/>
      <c r="CU17" s="22"/>
      <c r="CV17" s="22"/>
      <c r="CX17" s="22">
        <v>-44963</v>
      </c>
      <c r="CY17" s="22">
        <v>-45395</v>
      </c>
      <c r="CZ17" s="22">
        <v>89000</v>
      </c>
      <c r="DA17" s="22">
        <v>59000</v>
      </c>
      <c r="DB17" s="22">
        <v>23000</v>
      </c>
      <c r="DC17" s="718">
        <v>9000</v>
      </c>
      <c r="DD17" s="22"/>
      <c r="DE17" s="22"/>
      <c r="DF17" s="22"/>
      <c r="DG17" s="22"/>
      <c r="DH17" s="22"/>
      <c r="DI17" s="22"/>
      <c r="DJ17" s="22"/>
      <c r="DK17" s="948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</row>
    <row r="18" spans="1:143" s="758" customFormat="1" ht="18.75" hidden="1">
      <c r="A18" s="839"/>
      <c r="B18" s="901" t="s">
        <v>115</v>
      </c>
      <c r="C18" s="902"/>
      <c r="D18" s="840"/>
      <c r="E18" s="841"/>
      <c r="F18" s="841"/>
      <c r="G18" s="841"/>
      <c r="H18" s="841"/>
      <c r="I18" s="841"/>
      <c r="J18" s="841"/>
      <c r="K18" s="841"/>
      <c r="L18" s="841"/>
      <c r="M18" s="841"/>
      <c r="N18" s="841"/>
      <c r="O18" s="841"/>
      <c r="P18" s="842"/>
      <c r="Q18" s="843"/>
      <c r="R18" s="840"/>
      <c r="S18" s="844"/>
      <c r="T18" s="844"/>
      <c r="U18" s="844"/>
      <c r="V18" s="844"/>
      <c r="W18" s="844"/>
      <c r="X18" s="844"/>
      <c r="Y18" s="844"/>
      <c r="Z18" s="844"/>
      <c r="AA18" s="844"/>
      <c r="AB18" s="844"/>
      <c r="AC18" s="844"/>
      <c r="AD18" s="845"/>
      <c r="AE18" s="846"/>
      <c r="AF18" s="844"/>
      <c r="AG18" s="844"/>
      <c r="AH18" s="844"/>
      <c r="AI18" s="844"/>
      <c r="AJ18" s="846"/>
      <c r="AK18" s="844"/>
      <c r="AL18" s="844"/>
      <c r="AM18" s="844"/>
      <c r="AN18" s="844"/>
      <c r="AO18" s="844"/>
      <c r="AP18" s="844"/>
      <c r="AQ18" s="844"/>
      <c r="AR18" s="844"/>
      <c r="AS18" s="846"/>
      <c r="AT18" s="844"/>
      <c r="AU18" s="844"/>
      <c r="AV18" s="844"/>
      <c r="AW18" s="844"/>
      <c r="AX18" s="844"/>
      <c r="AY18" s="844"/>
      <c r="AZ18" s="844"/>
      <c r="BA18" s="844"/>
      <c r="BB18" s="847"/>
      <c r="BC18" s="844"/>
      <c r="BD18" s="844"/>
      <c r="BE18" s="844"/>
      <c r="BF18" s="844"/>
      <c r="BG18" s="846"/>
      <c r="BH18" s="844"/>
      <c r="BI18" s="844"/>
      <c r="BJ18" s="844"/>
      <c r="BK18" s="844"/>
      <c r="BL18" s="844"/>
      <c r="BM18" s="844"/>
      <c r="BN18" s="844"/>
      <c r="BO18" s="844"/>
      <c r="BP18" s="844"/>
      <c r="BQ18" s="844"/>
      <c r="BR18" s="844"/>
      <c r="BS18" s="844"/>
      <c r="BT18" s="844"/>
      <c r="BU18" s="846"/>
      <c r="BV18" s="844"/>
      <c r="BW18" s="844"/>
      <c r="BX18" s="844"/>
      <c r="BY18" s="844"/>
      <c r="BZ18" s="844"/>
      <c r="CA18" s="844"/>
      <c r="CB18" s="844"/>
      <c r="CC18" s="844"/>
      <c r="CD18" s="844"/>
      <c r="CE18" s="844"/>
      <c r="CF18" s="844"/>
      <c r="CG18" s="844"/>
      <c r="CH18" s="844"/>
      <c r="CJ18" s="848"/>
      <c r="CK18" s="848"/>
      <c r="CL18" s="848"/>
      <c r="CM18" s="848"/>
      <c r="CN18" s="844"/>
      <c r="CO18" s="844"/>
      <c r="CP18" s="844"/>
      <c r="CQ18" s="844"/>
      <c r="CR18" s="844"/>
      <c r="CS18" s="849" t="e">
        <f>CS21/$DK$78</f>
        <v>#DIV/0!</v>
      </c>
      <c r="CT18" s="849" t="e">
        <f>CT21/$DK$78</f>
        <v>#DIV/0!</v>
      </c>
      <c r="CU18" s="849" t="e">
        <f>CU21/$DK$78</f>
        <v>#DIV/0!</v>
      </c>
      <c r="CV18" s="844"/>
      <c r="CX18" s="849" t="e">
        <f>CX21/$DK$78</f>
        <v>#DIV/0!</v>
      </c>
      <c r="CY18" s="849" t="e">
        <f t="shared" ref="CY18:DH18" si="19">CY21/$DK$78</f>
        <v>#DIV/0!</v>
      </c>
      <c r="CZ18" s="849" t="e">
        <f t="shared" si="19"/>
        <v>#DIV/0!</v>
      </c>
      <c r="DA18" s="849" t="e">
        <f t="shared" si="19"/>
        <v>#DIV/0!</v>
      </c>
      <c r="DB18" s="849" t="e">
        <f t="shared" si="19"/>
        <v>#DIV/0!</v>
      </c>
      <c r="DC18" s="849" t="e">
        <f t="shared" si="19"/>
        <v>#DIV/0!</v>
      </c>
      <c r="DD18" s="849" t="e">
        <f t="shared" si="19"/>
        <v>#DIV/0!</v>
      </c>
      <c r="DE18" s="849" t="e">
        <f t="shared" si="19"/>
        <v>#DIV/0!</v>
      </c>
      <c r="DF18" s="849" t="e">
        <f t="shared" si="19"/>
        <v>#DIV/0!</v>
      </c>
      <c r="DG18" s="849" t="e">
        <f t="shared" si="19"/>
        <v>#DIV/0!</v>
      </c>
      <c r="DH18" s="849" t="e">
        <f t="shared" si="19"/>
        <v>#DIV/0!</v>
      </c>
      <c r="DI18" s="849">
        <f t="shared" ref="DI18:DS18" si="20">DI21/138624</f>
        <v>0.22597837991960043</v>
      </c>
      <c r="DJ18" s="844"/>
      <c r="DK18" s="948"/>
      <c r="DL18" s="849" t="e">
        <f>DL21/$DK$78</f>
        <v>#DIV/0!</v>
      </c>
      <c r="DM18" s="849" t="e">
        <f t="shared" ref="DM18:DV18" si="21">DM21/$DK$78</f>
        <v>#DIV/0!</v>
      </c>
      <c r="DN18" s="849" t="e">
        <f t="shared" si="21"/>
        <v>#DIV/0!</v>
      </c>
      <c r="DO18" s="849" t="e">
        <f t="shared" si="21"/>
        <v>#DIV/0!</v>
      </c>
      <c r="DP18" s="849" t="e">
        <f t="shared" si="21"/>
        <v>#DIV/0!</v>
      </c>
      <c r="DQ18" s="849" t="e">
        <f t="shared" si="21"/>
        <v>#DIV/0!</v>
      </c>
      <c r="DR18" s="849" t="e">
        <f t="shared" si="21"/>
        <v>#DIV/0!</v>
      </c>
      <c r="DS18" s="849" t="e">
        <f t="shared" si="21"/>
        <v>#DIV/0!</v>
      </c>
      <c r="DT18" s="849" t="e">
        <f t="shared" si="21"/>
        <v>#DIV/0!</v>
      </c>
      <c r="DU18" s="849" t="e">
        <f t="shared" si="21"/>
        <v>#DIV/0!</v>
      </c>
      <c r="DV18" s="849" t="e">
        <f t="shared" si="21"/>
        <v>#DIV/0!</v>
      </c>
      <c r="DW18" s="849">
        <f t="shared" ref="DW18:DY18" si="22">DW21/138624</f>
        <v>-2.3469390107791823</v>
      </c>
      <c r="DX18" s="844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</row>
    <row r="19" spans="1:143" s="758" customFormat="1" ht="18.75" hidden="1">
      <c r="A19" s="839"/>
      <c r="B19" s="901" t="s">
        <v>116</v>
      </c>
      <c r="C19" s="902"/>
      <c r="D19" s="840"/>
      <c r="E19" s="841"/>
      <c r="F19" s="841"/>
      <c r="G19" s="841"/>
      <c r="H19" s="841"/>
      <c r="I19" s="841"/>
      <c r="J19" s="841"/>
      <c r="K19" s="841"/>
      <c r="L19" s="841"/>
      <c r="M19" s="841"/>
      <c r="N19" s="841"/>
      <c r="O19" s="841"/>
      <c r="P19" s="842"/>
      <c r="Q19" s="843"/>
      <c r="R19" s="840"/>
      <c r="S19" s="844"/>
      <c r="T19" s="844"/>
      <c r="U19" s="844"/>
      <c r="V19" s="844"/>
      <c r="W19" s="844"/>
      <c r="X19" s="844"/>
      <c r="Y19" s="844"/>
      <c r="Z19" s="844"/>
      <c r="AA19" s="844"/>
      <c r="AB19" s="844"/>
      <c r="AC19" s="844"/>
      <c r="AD19" s="845"/>
      <c r="AE19" s="846"/>
      <c r="AF19" s="844"/>
      <c r="AG19" s="844"/>
      <c r="AH19" s="844"/>
      <c r="AI19" s="844"/>
      <c r="AJ19" s="846"/>
      <c r="AK19" s="844"/>
      <c r="AL19" s="844"/>
      <c r="AM19" s="844"/>
      <c r="AN19" s="844"/>
      <c r="AO19" s="844"/>
      <c r="AP19" s="844"/>
      <c r="AQ19" s="844"/>
      <c r="AR19" s="844"/>
      <c r="AS19" s="846"/>
      <c r="AT19" s="844"/>
      <c r="AU19" s="844"/>
      <c r="AV19" s="844"/>
      <c r="AW19" s="844"/>
      <c r="AX19" s="844"/>
      <c r="AY19" s="844"/>
      <c r="AZ19" s="844"/>
      <c r="BA19" s="844"/>
      <c r="BB19" s="847"/>
      <c r="BC19" s="844"/>
      <c r="BD19" s="844"/>
      <c r="BE19" s="844"/>
      <c r="BF19" s="844"/>
      <c r="BG19" s="846"/>
      <c r="BH19" s="844"/>
      <c r="BI19" s="844"/>
      <c r="BJ19" s="844"/>
      <c r="BK19" s="844"/>
      <c r="BL19" s="844"/>
      <c r="BM19" s="844"/>
      <c r="BN19" s="844"/>
      <c r="BO19" s="844"/>
      <c r="BP19" s="844"/>
      <c r="BQ19" s="844"/>
      <c r="BR19" s="844"/>
      <c r="BS19" s="844"/>
      <c r="BT19" s="844"/>
      <c r="BU19" s="846"/>
      <c r="BV19" s="844"/>
      <c r="BW19" s="844"/>
      <c r="BX19" s="844"/>
      <c r="BY19" s="844"/>
      <c r="BZ19" s="844"/>
      <c r="CA19" s="844"/>
      <c r="CB19" s="844"/>
      <c r="CC19" s="844"/>
      <c r="CD19" s="844"/>
      <c r="CE19" s="844"/>
      <c r="CF19" s="844"/>
      <c r="CG19" s="844"/>
      <c r="CH19" s="844"/>
      <c r="CJ19" s="848"/>
      <c r="CK19" s="848"/>
      <c r="CL19" s="848"/>
      <c r="CM19" s="848"/>
      <c r="CN19" s="844"/>
      <c r="CO19" s="844"/>
      <c r="CP19" s="844"/>
      <c r="CQ19" s="844"/>
      <c r="CR19" s="844"/>
      <c r="CS19" s="849" t="e">
        <f>CS22/$DK$79</f>
        <v>#DIV/0!</v>
      </c>
      <c r="CT19" s="849" t="e">
        <f>CT22/$DK$79</f>
        <v>#DIV/0!</v>
      </c>
      <c r="CU19" s="849" t="e">
        <f>CU22/$DK$79</f>
        <v>#DIV/0!</v>
      </c>
      <c r="CV19" s="844"/>
      <c r="CX19" s="849" t="e">
        <f>CX22/$DK$79</f>
        <v>#DIV/0!</v>
      </c>
      <c r="CY19" s="849" t="e">
        <f t="shared" ref="CY19:DH19" si="23">CY22/$DK$79</f>
        <v>#DIV/0!</v>
      </c>
      <c r="CZ19" s="849" t="e">
        <f t="shared" si="23"/>
        <v>#DIV/0!</v>
      </c>
      <c r="DA19" s="849" t="e">
        <f t="shared" si="23"/>
        <v>#DIV/0!</v>
      </c>
      <c r="DB19" s="849" t="e">
        <f t="shared" si="23"/>
        <v>#DIV/0!</v>
      </c>
      <c r="DC19" s="849" t="e">
        <f t="shared" si="23"/>
        <v>#DIV/0!</v>
      </c>
      <c r="DD19" s="849" t="e">
        <f t="shared" si="23"/>
        <v>#DIV/0!</v>
      </c>
      <c r="DE19" s="849" t="e">
        <f t="shared" si="23"/>
        <v>#DIV/0!</v>
      </c>
      <c r="DF19" s="849" t="e">
        <f>DF22/$DK$79</f>
        <v>#DIV/0!</v>
      </c>
      <c r="DG19" s="849" t="e">
        <f t="shared" si="23"/>
        <v>#DIV/0!</v>
      </c>
      <c r="DH19" s="849" t="e">
        <f t="shared" si="23"/>
        <v>#DIV/0!</v>
      </c>
      <c r="DI19" s="849">
        <f t="shared" ref="DI19:DS19" si="24">DI22/17313</f>
        <v>1.2558713105758676</v>
      </c>
      <c r="DJ19" s="844"/>
      <c r="DK19" s="948"/>
      <c r="DL19" s="849" t="e">
        <f>DL22/$DK$79</f>
        <v>#DIV/0!</v>
      </c>
      <c r="DM19" s="849" t="e">
        <f t="shared" ref="DM19:DV19" si="25">DM22/$DK$79</f>
        <v>#DIV/0!</v>
      </c>
      <c r="DN19" s="849" t="e">
        <f t="shared" si="25"/>
        <v>#DIV/0!</v>
      </c>
      <c r="DO19" s="849" t="e">
        <f t="shared" si="25"/>
        <v>#DIV/0!</v>
      </c>
      <c r="DP19" s="849" t="e">
        <f t="shared" si="25"/>
        <v>#DIV/0!</v>
      </c>
      <c r="DQ19" s="849" t="e">
        <f t="shared" si="25"/>
        <v>#DIV/0!</v>
      </c>
      <c r="DR19" s="849" t="e">
        <f t="shared" si="25"/>
        <v>#DIV/0!</v>
      </c>
      <c r="DS19" s="849" t="e">
        <f t="shared" si="25"/>
        <v>#DIV/0!</v>
      </c>
      <c r="DT19" s="849" t="e">
        <f>DT22/$DK$79</f>
        <v>#DIV/0!</v>
      </c>
      <c r="DU19" s="849" t="e">
        <f t="shared" ref="DU19:DY19" si="26">DU22/$DK$79</f>
        <v>#DIV/0!</v>
      </c>
      <c r="DV19" s="849" t="e">
        <f t="shared" si="26"/>
        <v>#DIV/0!</v>
      </c>
      <c r="DW19" s="849">
        <f t="shared" ref="DW19:DY19" si="27">DW22/17313</f>
        <v>1.0052792699127822</v>
      </c>
      <c r="DX19" s="844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</row>
    <row r="20" spans="1:143" s="758" customFormat="1" ht="18.75" hidden="1">
      <c r="A20" s="839"/>
      <c r="B20" s="1037" t="s">
        <v>155</v>
      </c>
      <c r="C20" s="1023"/>
      <c r="D20" s="840"/>
      <c r="E20" s="841"/>
      <c r="F20" s="841"/>
      <c r="G20" s="841"/>
      <c r="H20" s="841"/>
      <c r="I20" s="841"/>
      <c r="J20" s="841"/>
      <c r="K20" s="841"/>
      <c r="L20" s="841"/>
      <c r="M20" s="841"/>
      <c r="N20" s="841"/>
      <c r="O20" s="841"/>
      <c r="P20" s="842"/>
      <c r="Q20" s="843"/>
      <c r="R20" s="840"/>
      <c r="S20" s="844"/>
      <c r="T20" s="844"/>
      <c r="U20" s="844"/>
      <c r="V20" s="844"/>
      <c r="W20" s="844"/>
      <c r="X20" s="844"/>
      <c r="Y20" s="844"/>
      <c r="Z20" s="844"/>
      <c r="AA20" s="844"/>
      <c r="AB20" s="844"/>
      <c r="AC20" s="844"/>
      <c r="AD20" s="845"/>
      <c r="AE20" s="846"/>
      <c r="AF20" s="844"/>
      <c r="AG20" s="844"/>
      <c r="AH20" s="844"/>
      <c r="AI20" s="844"/>
      <c r="AJ20" s="846"/>
      <c r="AK20" s="844"/>
      <c r="AL20" s="844"/>
      <c r="AM20" s="844"/>
      <c r="AN20" s="844"/>
      <c r="AO20" s="844"/>
      <c r="AP20" s="844"/>
      <c r="AQ20" s="844"/>
      <c r="AR20" s="844"/>
      <c r="AS20" s="846"/>
      <c r="AT20" s="844"/>
      <c r="AU20" s="844"/>
      <c r="AV20" s="844"/>
      <c r="AW20" s="844"/>
      <c r="AX20" s="844"/>
      <c r="AY20" s="844"/>
      <c r="AZ20" s="844"/>
      <c r="BA20" s="844"/>
      <c r="BB20" s="847"/>
      <c r="BC20" s="844"/>
      <c r="BD20" s="844"/>
      <c r="BE20" s="844"/>
      <c r="BF20" s="844"/>
      <c r="BG20" s="846"/>
      <c r="BH20" s="844"/>
      <c r="BI20" s="844"/>
      <c r="BJ20" s="844"/>
      <c r="BK20" s="844"/>
      <c r="BL20" s="844"/>
      <c r="BM20" s="844"/>
      <c r="BN20" s="844"/>
      <c r="BO20" s="844"/>
      <c r="BP20" s="844"/>
      <c r="BQ20" s="844"/>
      <c r="BR20" s="844"/>
      <c r="BS20" s="844"/>
      <c r="BT20" s="844"/>
      <c r="BU20" s="846"/>
      <c r="BV20" s="844"/>
      <c r="BW20" s="844"/>
      <c r="BX20" s="844"/>
      <c r="BY20" s="844"/>
      <c r="BZ20" s="844"/>
      <c r="CA20" s="844"/>
      <c r="CB20" s="844"/>
      <c r="CC20" s="844"/>
      <c r="CD20" s="844"/>
      <c r="CE20" s="844"/>
      <c r="CF20" s="844"/>
      <c r="CG20" s="844"/>
      <c r="CH20" s="844"/>
      <c r="CJ20" s="848"/>
      <c r="CK20" s="848"/>
      <c r="CL20" s="848"/>
      <c r="CM20" s="848"/>
      <c r="CN20" s="844"/>
      <c r="CO20" s="844"/>
      <c r="CP20" s="844"/>
      <c r="CQ20" s="844"/>
      <c r="CR20" s="844"/>
      <c r="CS20" s="849"/>
      <c r="CT20" s="849"/>
      <c r="CU20" s="849"/>
      <c r="CV20" s="844"/>
      <c r="CX20" s="849"/>
      <c r="CY20" s="849"/>
      <c r="CZ20" s="844">
        <f>CZ21+CZ22</f>
        <v>203000</v>
      </c>
      <c r="DA20" s="844">
        <v>142475</v>
      </c>
      <c r="DB20" s="844">
        <v>164000</v>
      </c>
      <c r="DC20" s="844">
        <f>DC21+DC22</f>
        <v>191702.62</v>
      </c>
      <c r="DD20" s="844">
        <f t="shared" ref="DD20:DK20" si="28">DD21+DD22</f>
        <v>203347.90999999997</v>
      </c>
      <c r="DE20" s="844">
        <f>DE21+DE22</f>
        <v>184906.65</v>
      </c>
      <c r="DF20" s="844">
        <f t="shared" si="28"/>
        <v>122827.4</v>
      </c>
      <c r="DG20" s="844">
        <f t="shared" si="28"/>
        <v>59002.239147679349</v>
      </c>
      <c r="DH20" s="844">
        <f t="shared" si="28"/>
        <v>53792.274701265844</v>
      </c>
      <c r="DI20" s="844">
        <f>DI21+DI22</f>
        <v>53068.926937974684</v>
      </c>
      <c r="DJ20" s="844"/>
      <c r="DK20" s="948"/>
      <c r="DL20" s="844">
        <f>DL21+DL22</f>
        <v>-2578.4790620253734</v>
      </c>
      <c r="DM20" s="844">
        <f t="shared" ref="DM20:DW20" si="29">DM21+DM22</f>
        <v>-24419.908062025374</v>
      </c>
      <c r="DN20" s="844">
        <f t="shared" si="29"/>
        <v>-67418.835062025391</v>
      </c>
      <c r="DO20" s="844">
        <f t="shared" si="29"/>
        <v>-47966.5190620254</v>
      </c>
      <c r="DP20" s="844">
        <f t="shared" si="29"/>
        <v>-33635.155062025398</v>
      </c>
      <c r="DQ20" s="844">
        <f t="shared" si="29"/>
        <v>-18489.287062025418</v>
      </c>
      <c r="DR20" s="844">
        <f t="shared" si="29"/>
        <v>-36905.950062025477</v>
      </c>
      <c r="DS20" s="844">
        <f t="shared" si="29"/>
        <v>-76166.521062025495</v>
      </c>
      <c r="DT20" s="844">
        <f t="shared" si="29"/>
        <v>-165234.68406202551</v>
      </c>
      <c r="DU20" s="844">
        <f t="shared" si="29"/>
        <v>-254946.72899957825</v>
      </c>
      <c r="DV20" s="844">
        <f t="shared" si="29"/>
        <v>-277994.34689063311</v>
      </c>
      <c r="DW20" s="844">
        <f t="shared" si="29"/>
        <v>-307937.67343025334</v>
      </c>
      <c r="DX20" s="844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</row>
    <row r="21" spans="1:143" s="1008" customFormat="1" ht="18.75" hidden="1">
      <c r="A21" s="1007">
        <v>1</v>
      </c>
      <c r="B21" s="1009" t="s">
        <v>117</v>
      </c>
      <c r="C21" s="1010"/>
      <c r="D21" s="1011">
        <v>197000</v>
      </c>
      <c r="E21" s="1012">
        <v>223027</v>
      </c>
      <c r="F21" s="1012">
        <v>230513</v>
      </c>
      <c r="G21" s="1012">
        <v>231174</v>
      </c>
      <c r="H21" s="1012">
        <v>255028</v>
      </c>
      <c r="I21" s="1012">
        <f>316386+3241</f>
        <v>319627</v>
      </c>
      <c r="J21" s="1012">
        <v>377712</v>
      </c>
      <c r="K21" s="1012">
        <v>382411</v>
      </c>
      <c r="L21" s="1012">
        <v>394107</v>
      </c>
      <c r="M21" s="1012">
        <v>267954</v>
      </c>
      <c r="N21" s="1012"/>
      <c r="O21" s="1012">
        <v>143875</v>
      </c>
      <c r="P21" s="1013"/>
      <c r="Q21" s="1014"/>
      <c r="R21" s="1011">
        <v>208084</v>
      </c>
      <c r="S21" s="1015">
        <v>268431</v>
      </c>
      <c r="T21" s="1015">
        <v>250616</v>
      </c>
      <c r="U21" s="1015">
        <v>237088</v>
      </c>
      <c r="V21" s="1015">
        <v>147777</v>
      </c>
      <c r="W21" s="1015">
        <v>215818</v>
      </c>
      <c r="X21" s="1015">
        <v>273510</v>
      </c>
      <c r="Y21" s="1015">
        <v>299059</v>
      </c>
      <c r="Z21" s="1015">
        <v>304980</v>
      </c>
      <c r="AA21" s="1015">
        <v>231197</v>
      </c>
      <c r="AB21" s="1015">
        <v>143086</v>
      </c>
      <c r="AC21" s="1015">
        <v>172491</v>
      </c>
      <c r="AD21" s="1016"/>
      <c r="AE21" s="1017"/>
      <c r="AF21" s="1015">
        <v>198695</v>
      </c>
      <c r="AG21" s="1015">
        <v>234210</v>
      </c>
      <c r="AH21" s="1015">
        <v>327560</v>
      </c>
      <c r="AI21" s="1015">
        <v>332523</v>
      </c>
      <c r="AJ21" s="1017">
        <v>356667</v>
      </c>
      <c r="AK21" s="1015">
        <v>384165</v>
      </c>
      <c r="AL21" s="1015">
        <v>317268</v>
      </c>
      <c r="AM21" s="1015">
        <v>370708</v>
      </c>
      <c r="AN21" s="1015">
        <v>354503</v>
      </c>
      <c r="AO21" s="1015">
        <v>314605</v>
      </c>
      <c r="AP21" s="1015">
        <v>90490</v>
      </c>
      <c r="AQ21" s="1015">
        <v>58348</v>
      </c>
      <c r="AR21" s="1015">
        <f t="shared" si="10"/>
        <v>58348</v>
      </c>
      <c r="AS21" s="1017"/>
      <c r="AT21" s="1015">
        <v>158701</v>
      </c>
      <c r="AU21" s="1015">
        <v>115369</v>
      </c>
      <c r="AV21" s="1015">
        <v>142379</v>
      </c>
      <c r="AW21" s="1015">
        <v>118765</v>
      </c>
      <c r="AX21" s="1015">
        <v>113246</v>
      </c>
      <c r="AY21" s="1015">
        <v>106776</v>
      </c>
      <c r="AZ21" s="1015">
        <v>175234</v>
      </c>
      <c r="BA21" s="1015">
        <v>151553</v>
      </c>
      <c r="BB21" s="1018">
        <v>167082</v>
      </c>
      <c r="BC21" s="1015">
        <v>150959</v>
      </c>
      <c r="BD21" s="1015">
        <v>119787</v>
      </c>
      <c r="BE21" s="1015">
        <v>65426</v>
      </c>
      <c r="BF21" s="1015">
        <f t="shared" si="12"/>
        <v>65426</v>
      </c>
      <c r="BG21" s="1017"/>
      <c r="BH21" s="1015">
        <v>166918</v>
      </c>
      <c r="BI21" s="1015">
        <v>167160</v>
      </c>
      <c r="BJ21" s="1015">
        <v>204571</v>
      </c>
      <c r="BK21" s="1015">
        <v>153197</v>
      </c>
      <c r="BL21" s="1015">
        <v>196798</v>
      </c>
      <c r="BM21" s="1015">
        <v>145596</v>
      </c>
      <c r="BN21" s="1015">
        <v>166021</v>
      </c>
      <c r="BO21" s="1015">
        <v>211305</v>
      </c>
      <c r="BP21" s="1015">
        <v>201071</v>
      </c>
      <c r="BQ21" s="1015">
        <v>177743</v>
      </c>
      <c r="BR21" s="1015">
        <v>144020</v>
      </c>
      <c r="BS21" s="1015">
        <v>154347</v>
      </c>
      <c r="BT21" s="1015">
        <f>BS21</f>
        <v>154347</v>
      </c>
      <c r="BU21" s="1017"/>
      <c r="BV21" s="1015">
        <v>151471</v>
      </c>
      <c r="BW21" s="1015">
        <v>155653</v>
      </c>
      <c r="BX21" s="1015">
        <v>151611</v>
      </c>
      <c r="BY21" s="1015">
        <v>177044</v>
      </c>
      <c r="BZ21" s="1015">
        <v>170481</v>
      </c>
      <c r="CA21" s="1015">
        <v>221665</v>
      </c>
      <c r="CB21" s="1015">
        <v>218105</v>
      </c>
      <c r="CC21" s="1015">
        <v>188153</v>
      </c>
      <c r="CD21" s="1015">
        <v>147751</v>
      </c>
      <c r="CE21" s="1015">
        <v>112996</v>
      </c>
      <c r="CF21" s="1015">
        <v>135968</v>
      </c>
      <c r="CG21" s="1015">
        <v>130000</v>
      </c>
      <c r="CH21" s="1015">
        <f t="shared" ref="CH21:CH32" si="30">CG21</f>
        <v>130000</v>
      </c>
      <c r="CI21" s="988">
        <v>114000</v>
      </c>
      <c r="CJ21" s="1015">
        <v>109585</v>
      </c>
      <c r="CK21" s="1015">
        <v>103815</v>
      </c>
      <c r="CL21" s="1015">
        <v>117138</v>
      </c>
      <c r="CM21" s="1015">
        <v>165469</v>
      </c>
      <c r="CN21" s="1015">
        <f>CM21+CN82-CN35</f>
        <v>175907.8879612374</v>
      </c>
      <c r="CO21" s="1015">
        <f>CN21+CO82-CO35</f>
        <v>238961.73306000742</v>
      </c>
      <c r="CP21" s="1015">
        <f>CO21+CP82-CP35</f>
        <v>271844.22259587242</v>
      </c>
      <c r="CQ21" s="1015">
        <f>CP21+CQ82-CQ35</f>
        <v>249838.52867182181</v>
      </c>
      <c r="CR21" s="1015">
        <f>CQ21+CR82-CR35</f>
        <v>201980.33782793995</v>
      </c>
      <c r="CS21" s="1019">
        <f>91286-CS22</f>
        <v>76250</v>
      </c>
      <c r="CT21" s="1019">
        <f>CS21+CT82-CT78-CT22</f>
        <v>101848.14995780593</v>
      </c>
      <c r="CU21" s="1019">
        <f>CT21+CU82-CU78-CU22</f>
        <v>111197.32717299581</v>
      </c>
      <c r="CV21" s="1020"/>
      <c r="CW21" s="1021"/>
      <c r="CX21" s="1015">
        <v>205563</v>
      </c>
      <c r="CY21" s="1015">
        <v>222075</v>
      </c>
      <c r="CZ21" s="1015">
        <v>174000</v>
      </c>
      <c r="DA21" s="1015">
        <v>127102</v>
      </c>
      <c r="DB21" s="1015">
        <f>DA21+DB82-DB78</f>
        <v>159290.24000000002</v>
      </c>
      <c r="DC21" s="1015">
        <f>DB21+DC82-DC78-DC17</f>
        <v>173329.62</v>
      </c>
      <c r="DD21" s="1015">
        <f t="shared" ref="DD21:DI21" si="31">DC21+DD82-DD78-DD17</f>
        <v>184974.90999999997</v>
      </c>
      <c r="DE21" s="1015">
        <f t="shared" si="31"/>
        <v>165533.65</v>
      </c>
      <c r="DF21" s="1015">
        <f t="shared" si="31"/>
        <v>103454.39999999999</v>
      </c>
      <c r="DG21" s="1015">
        <f t="shared" si="31"/>
        <v>38080.639147679351</v>
      </c>
      <c r="DH21" s="1015">
        <f t="shared" si="31"/>
        <v>31151.674701265845</v>
      </c>
      <c r="DI21" s="1015">
        <f t="shared" si="31"/>
        <v>31326.02693797469</v>
      </c>
      <c r="DJ21" s="989"/>
      <c r="DK21" s="948"/>
      <c r="DL21" s="898">
        <f>DI21+DL82-DL78</f>
        <v>-16458.379062025371</v>
      </c>
      <c r="DM21" s="898">
        <f>DL21+DM82-DM78+DM16-DM17</f>
        <v>-38942.508062025372</v>
      </c>
      <c r="DN21" s="898">
        <f>DM21+DN82-DN78+DN16-DN17</f>
        <v>-81053.335062025391</v>
      </c>
      <c r="DO21" s="898">
        <f>DN21+DO82-DO78+DO16-DO17</f>
        <v>-65787.219062025397</v>
      </c>
      <c r="DP21" s="898">
        <f>DO21+DP82-DP78+DP16-DP17</f>
        <v>-55671.855062025395</v>
      </c>
      <c r="DQ21" s="898">
        <f>DP21+DQ82-DQ78+DQ16-DQ17</f>
        <v>-43937.387062025417</v>
      </c>
      <c r="DR21" s="898">
        <f>DQ21+DR82-DR78+DR16</f>
        <v>-64017.050062025475</v>
      </c>
      <c r="DS21" s="898">
        <f>DR21+DS82-DS78+DS16</f>
        <v>-101251.02106202549</v>
      </c>
      <c r="DT21" s="898">
        <f>DS21+DT82-DT78+DT16</f>
        <v>-186269.18406202551</v>
      </c>
      <c r="DU21" s="898">
        <f>DT21+DU82-DU78+DU16</f>
        <v>-271529.82899957825</v>
      </c>
      <c r="DV21" s="898">
        <f>DU21+DV82-DV78+DV16</f>
        <v>-296296.44689063309</v>
      </c>
      <c r="DW21" s="898">
        <f>DV21+DW82-DW78+DW16</f>
        <v>-325342.07343025337</v>
      </c>
      <c r="DX21" s="989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</row>
    <row r="22" spans="1:143" s="1008" customFormat="1" ht="18.75" hidden="1">
      <c r="A22" s="1007"/>
      <c r="B22" s="1009" t="s">
        <v>118</v>
      </c>
      <c r="C22" s="1010"/>
      <c r="D22" s="1011"/>
      <c r="E22" s="1012"/>
      <c r="F22" s="1012"/>
      <c r="G22" s="1012"/>
      <c r="H22" s="1012"/>
      <c r="I22" s="1012"/>
      <c r="J22" s="1012"/>
      <c r="K22" s="1012"/>
      <c r="L22" s="1012"/>
      <c r="M22" s="1012"/>
      <c r="N22" s="1012"/>
      <c r="O22" s="1012"/>
      <c r="P22" s="1013"/>
      <c r="Q22" s="1014"/>
      <c r="R22" s="1011"/>
      <c r="S22" s="1015"/>
      <c r="T22" s="1015"/>
      <c r="U22" s="1015"/>
      <c r="V22" s="1015"/>
      <c r="W22" s="1015"/>
      <c r="X22" s="1015"/>
      <c r="Y22" s="1015"/>
      <c r="Z22" s="1015"/>
      <c r="AA22" s="1015"/>
      <c r="AB22" s="1015"/>
      <c r="AC22" s="1015"/>
      <c r="AD22" s="1016"/>
      <c r="AE22" s="1017"/>
      <c r="AF22" s="1015"/>
      <c r="AG22" s="1015"/>
      <c r="AH22" s="1015"/>
      <c r="AI22" s="1015"/>
      <c r="AJ22" s="1017"/>
      <c r="AK22" s="1015"/>
      <c r="AL22" s="1015"/>
      <c r="AM22" s="1015"/>
      <c r="AN22" s="1015"/>
      <c r="AO22" s="1015"/>
      <c r="AP22" s="1015"/>
      <c r="AQ22" s="1015"/>
      <c r="AR22" s="1015"/>
      <c r="AS22" s="1017"/>
      <c r="AT22" s="1015"/>
      <c r="AU22" s="1015"/>
      <c r="AV22" s="1015"/>
      <c r="AW22" s="1015"/>
      <c r="AX22" s="1015"/>
      <c r="AY22" s="1015"/>
      <c r="AZ22" s="1015"/>
      <c r="BA22" s="1015"/>
      <c r="BB22" s="1018"/>
      <c r="BC22" s="1015"/>
      <c r="BD22" s="1015"/>
      <c r="BE22" s="1015"/>
      <c r="BF22" s="1015"/>
      <c r="BG22" s="1017"/>
      <c r="BH22" s="1015"/>
      <c r="BI22" s="1015"/>
      <c r="BJ22" s="1015"/>
      <c r="BK22" s="1015"/>
      <c r="BL22" s="1015"/>
      <c r="BM22" s="1015"/>
      <c r="BN22" s="1015"/>
      <c r="BO22" s="1015"/>
      <c r="BP22" s="1015"/>
      <c r="BQ22" s="1015"/>
      <c r="BR22" s="1015"/>
      <c r="BS22" s="1015"/>
      <c r="BT22" s="1015"/>
      <c r="BU22" s="1017"/>
      <c r="BV22" s="1015"/>
      <c r="BW22" s="1015"/>
      <c r="BX22" s="1015"/>
      <c r="BY22" s="1015"/>
      <c r="BZ22" s="1015"/>
      <c r="CA22" s="1015"/>
      <c r="CB22" s="1015"/>
      <c r="CC22" s="1015"/>
      <c r="CD22" s="1015"/>
      <c r="CE22" s="1015"/>
      <c r="CF22" s="1015"/>
      <c r="CG22" s="1015"/>
      <c r="CH22" s="1015"/>
      <c r="CI22" s="988"/>
      <c r="CJ22" s="1015"/>
      <c r="CK22" s="1015"/>
      <c r="CL22" s="1015"/>
      <c r="CM22" s="1015"/>
      <c r="CN22" s="1015"/>
      <c r="CO22" s="1015"/>
      <c r="CP22" s="1015"/>
      <c r="CQ22" s="1015"/>
      <c r="CR22" s="1015"/>
      <c r="CS22" s="1019">
        <v>15036</v>
      </c>
      <c r="CT22" s="1019">
        <f>CS22+CT83-CT79</f>
        <v>24795</v>
      </c>
      <c r="CU22" s="1019">
        <f>CT22+CU83-CU79</f>
        <v>29568</v>
      </c>
      <c r="CV22" s="1020"/>
      <c r="CW22" s="1021"/>
      <c r="CX22" s="1015">
        <v>25049</v>
      </c>
      <c r="CY22" s="1015">
        <v>24195</v>
      </c>
      <c r="CZ22" s="1015">
        <v>29000</v>
      </c>
      <c r="DA22" s="1015">
        <v>15373</v>
      </c>
      <c r="DB22" s="1015">
        <f>DA22+DB83-DB79</f>
        <v>16373</v>
      </c>
      <c r="DC22" s="1015">
        <f>DB22+DC83-DC79</f>
        <v>18373</v>
      </c>
      <c r="DD22" s="1015">
        <f>DC22+DD83-DD79</f>
        <v>18373</v>
      </c>
      <c r="DE22" s="1015">
        <f>DD22+DE83-DE79</f>
        <v>19373</v>
      </c>
      <c r="DF22" s="1015">
        <f>DE22+DF83-DF79</f>
        <v>19373</v>
      </c>
      <c r="DG22" s="1015">
        <f>DF22+DG83-DG79</f>
        <v>20921.599999999999</v>
      </c>
      <c r="DH22" s="1015">
        <f>DG22+DH83-DH79</f>
        <v>22640.6</v>
      </c>
      <c r="DI22" s="1015">
        <f>DH22+DI83-DI79</f>
        <v>21742.899999999998</v>
      </c>
      <c r="DJ22" s="989"/>
      <c r="DK22" s="948"/>
      <c r="DL22" s="898">
        <f>DI22+DL83-DL79</f>
        <v>13879.899999999998</v>
      </c>
      <c r="DM22" s="898">
        <f>DL22+DM83-DM79</f>
        <v>14522.599999999997</v>
      </c>
      <c r="DN22" s="898">
        <f>DM22+DN83-DN79</f>
        <v>13634.499999999996</v>
      </c>
      <c r="DO22" s="898">
        <f>DN22+DO83-DO79</f>
        <v>17820.699999999997</v>
      </c>
      <c r="DP22" s="898">
        <f>DO22+DP83-DP79</f>
        <v>22036.699999999997</v>
      </c>
      <c r="DQ22" s="898">
        <f>DP22+DQ83-DQ79</f>
        <v>25448.1</v>
      </c>
      <c r="DR22" s="898">
        <f>DQ22+DR83-DR79</f>
        <v>27111.1</v>
      </c>
      <c r="DS22" s="898">
        <f>DR22+DS83-DS79</f>
        <v>25084.499999999996</v>
      </c>
      <c r="DT22" s="898">
        <f>DS22+DT83-DT79</f>
        <v>21034.499999999996</v>
      </c>
      <c r="DU22" s="898">
        <f>DT22+DU83-DU79</f>
        <v>16583.099999999999</v>
      </c>
      <c r="DV22" s="898">
        <f>DU22+DV83-DV79</f>
        <v>18302.099999999999</v>
      </c>
      <c r="DW22" s="898">
        <f>DV22+DW83-DW79</f>
        <v>17404.399999999998</v>
      </c>
      <c r="DX22" s="989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</row>
    <row r="23" spans="1:143" s="698" customFormat="1" ht="18.75" hidden="1">
      <c r="A23" s="683"/>
      <c r="B23" s="684" t="s">
        <v>119</v>
      </c>
      <c r="C23" s="685"/>
      <c r="D23" s="686"/>
      <c r="E23" s="687"/>
      <c r="F23" s="687"/>
      <c r="G23" s="687"/>
      <c r="H23" s="687"/>
      <c r="I23" s="687"/>
      <c r="J23" s="687"/>
      <c r="K23" s="687"/>
      <c r="L23" s="687"/>
      <c r="M23" s="687"/>
      <c r="N23" s="687"/>
      <c r="O23" s="687"/>
      <c r="P23" s="688"/>
      <c r="Q23" s="689"/>
      <c r="R23" s="686"/>
      <c r="S23" s="690"/>
      <c r="T23" s="690"/>
      <c r="U23" s="690"/>
      <c r="V23" s="690"/>
      <c r="W23" s="690"/>
      <c r="X23" s="690"/>
      <c r="Y23" s="690"/>
      <c r="Z23" s="690"/>
      <c r="AA23" s="690"/>
      <c r="AB23" s="690"/>
      <c r="AC23" s="690"/>
      <c r="AD23" s="691"/>
      <c r="AE23" s="692"/>
      <c r="AF23" s="690"/>
      <c r="AG23" s="690"/>
      <c r="AH23" s="690"/>
      <c r="AI23" s="690"/>
      <c r="AJ23" s="693"/>
      <c r="AK23" s="690"/>
      <c r="AL23" s="690"/>
      <c r="AM23" s="690"/>
      <c r="AN23" s="690"/>
      <c r="AO23" s="690"/>
      <c r="AP23" s="694"/>
      <c r="AQ23" s="690"/>
      <c r="AR23" s="690"/>
      <c r="AS23" s="692"/>
      <c r="AT23" s="690"/>
      <c r="AU23" s="690"/>
      <c r="AV23" s="690"/>
      <c r="AW23" s="690"/>
      <c r="AX23" s="690"/>
      <c r="AY23" s="690"/>
      <c r="AZ23" s="690"/>
      <c r="BA23" s="690"/>
      <c r="BB23" s="695"/>
      <c r="BC23" s="690"/>
      <c r="BD23" s="690"/>
      <c r="BE23" s="690"/>
      <c r="BF23" s="690"/>
      <c r="BG23" s="696"/>
      <c r="BH23" s="690"/>
      <c r="BI23" s="690"/>
      <c r="BJ23" s="690"/>
      <c r="BK23" s="690"/>
      <c r="BL23" s="690"/>
      <c r="BM23" s="690"/>
      <c r="BN23" s="690"/>
      <c r="BO23" s="690"/>
      <c r="BP23" s="690"/>
      <c r="BQ23" s="690"/>
      <c r="BR23" s="690"/>
      <c r="BS23" s="690"/>
      <c r="BT23" s="690"/>
      <c r="BU23" s="697"/>
      <c r="BV23" s="690"/>
      <c r="BW23" s="690"/>
      <c r="BX23" s="690"/>
      <c r="BY23" s="690"/>
      <c r="BZ23" s="690"/>
      <c r="CA23" s="690"/>
      <c r="CB23" s="690"/>
      <c r="CC23" s="690"/>
      <c r="CD23" s="690"/>
      <c r="CE23" s="690"/>
      <c r="CF23" s="690"/>
      <c r="CG23" s="690"/>
      <c r="CH23" s="690"/>
      <c r="CI23" s="707"/>
      <c r="CJ23" s="690"/>
      <c r="CK23" s="690"/>
      <c r="CL23" s="690"/>
      <c r="CM23" s="690"/>
      <c r="CN23" s="690"/>
      <c r="CO23" s="690"/>
      <c r="CP23" s="690"/>
      <c r="CQ23" s="690"/>
      <c r="CR23" s="690"/>
      <c r="CS23" s="756">
        <v>28927</v>
      </c>
      <c r="CT23" s="756">
        <f>CS23+CT84-CT80</f>
        <v>14387</v>
      </c>
      <c r="CU23" s="756">
        <f>CT23+CU84-CU80</f>
        <v>51731</v>
      </c>
      <c r="CV23" s="757"/>
      <c r="CW23" s="758"/>
      <c r="CX23" s="690">
        <v>6272</v>
      </c>
      <c r="CY23" s="690">
        <v>6499</v>
      </c>
      <c r="CZ23" s="690">
        <f>CY23+CZ84-CZ80+CZ17</f>
        <v>100175</v>
      </c>
      <c r="DA23" s="690">
        <f>CZ23+DA84-DA80+DA17</f>
        <v>146957</v>
      </c>
      <c r="DB23" s="690">
        <f>DA23+DB84-DB80+DB17</f>
        <v>160468</v>
      </c>
      <c r="DC23" s="690">
        <f>DB23+DC84-DC80+DC17</f>
        <v>204704</v>
      </c>
      <c r="DD23" s="690">
        <f>DC23+DD84-DD80+DD17</f>
        <v>195018.1</v>
      </c>
      <c r="DE23" s="690">
        <f>DD23+DE84-DE80+DE17</f>
        <v>186432.2</v>
      </c>
      <c r="DF23" s="690">
        <f>DE23+DF84-DF80+DF17</f>
        <v>165509.30000000002</v>
      </c>
      <c r="DG23" s="690">
        <f>DF23+DG84-DG80+DG17</f>
        <v>157352.6</v>
      </c>
      <c r="DH23" s="690">
        <f>DG23+DH84-DH80+DH17</f>
        <v>153274.25</v>
      </c>
      <c r="DI23" s="690">
        <f>DH23+DI84-DI80+DI17</f>
        <v>199974.25</v>
      </c>
      <c r="DJ23" s="756"/>
      <c r="DK23" s="948"/>
      <c r="DL23" s="690">
        <f>DI23+DL84-DL80+DL17</f>
        <v>214244.25</v>
      </c>
      <c r="DM23" s="690">
        <f>DL23+DM84-DM80+DM17</f>
        <v>207330.25</v>
      </c>
      <c r="DN23" s="690">
        <f>DM23+DN84-DN80+DN17</f>
        <v>212006.25</v>
      </c>
      <c r="DO23" s="690">
        <f>DN23+DO84-DO80+DO17</f>
        <v>199788.25</v>
      </c>
      <c r="DP23" s="690">
        <f>DO23+DP84-DP80+DP17</f>
        <v>190299.25</v>
      </c>
      <c r="DQ23" s="690">
        <f>DP23+DQ84-DQ80+DQ17</f>
        <v>225535.25</v>
      </c>
      <c r="DR23" s="690">
        <f>DQ23+DR84-DR80+DR17</f>
        <v>215849.35</v>
      </c>
      <c r="DS23" s="690">
        <f>DR23+DS84-DS80+DS17</f>
        <v>207263.45</v>
      </c>
      <c r="DT23" s="690">
        <f>DS23+DT84-DT80+DT17</f>
        <v>186340.55000000002</v>
      </c>
      <c r="DU23" s="690">
        <f>DT23+DU84-DU80+DU17</f>
        <v>178183.85</v>
      </c>
      <c r="DV23" s="690">
        <f>DU23+DV84-DV80+DV17</f>
        <v>174105.5</v>
      </c>
      <c r="DW23" s="690">
        <f>DV23+DW84-DW80+DW17</f>
        <v>220805.5</v>
      </c>
      <c r="DX23" s="756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</row>
    <row r="24" spans="1:143" ht="18.75" hidden="1">
      <c r="A24" s="19">
        <v>2</v>
      </c>
      <c r="B24" s="684" t="s">
        <v>35</v>
      </c>
      <c r="C24" s="903"/>
      <c r="D24" s="265">
        <v>73670</v>
      </c>
      <c r="E24" s="20">
        <v>59682</v>
      </c>
      <c r="F24" s="20">
        <v>54710</v>
      </c>
      <c r="G24" s="20">
        <v>56175</v>
      </c>
      <c r="H24" s="20">
        <v>58933</v>
      </c>
      <c r="I24" s="20">
        <v>42784</v>
      </c>
      <c r="J24" s="20">
        <v>35755</v>
      </c>
      <c r="K24" s="20">
        <v>33547</v>
      </c>
      <c r="L24" s="20">
        <v>22824</v>
      </c>
      <c r="M24" s="20">
        <v>26162</v>
      </c>
      <c r="N24" s="20"/>
      <c r="O24" s="20">
        <v>44389</v>
      </c>
      <c r="P24" s="266"/>
      <c r="Q24" s="21"/>
      <c r="R24" s="265">
        <v>39759</v>
      </c>
      <c r="S24" s="22">
        <v>38325</v>
      </c>
      <c r="T24" s="22">
        <v>26634</v>
      </c>
      <c r="U24" s="22">
        <f>14430+2754+7859</f>
        <v>25043</v>
      </c>
      <c r="V24" s="22">
        <v>23840</v>
      </c>
      <c r="W24" s="22">
        <v>20057</v>
      </c>
      <c r="X24" s="22">
        <v>80502</v>
      </c>
      <c r="Y24" s="22">
        <v>56483</v>
      </c>
      <c r="Z24" s="22">
        <v>44233</v>
      </c>
      <c r="AA24" s="22">
        <v>38155</v>
      </c>
      <c r="AB24" s="22">
        <v>27540</v>
      </c>
      <c r="AC24" s="22">
        <v>25060</v>
      </c>
      <c r="AD24" s="267"/>
      <c r="AE24" s="23"/>
      <c r="AF24" s="22">
        <v>21326</v>
      </c>
      <c r="AG24" s="22">
        <v>17804</v>
      </c>
      <c r="AH24" s="22">
        <v>27157</v>
      </c>
      <c r="AI24" s="22">
        <v>19677</v>
      </c>
      <c r="AJ24" s="22">
        <v>18817</v>
      </c>
      <c r="AK24" s="22">
        <v>25034</v>
      </c>
      <c r="AL24" s="22">
        <v>28090</v>
      </c>
      <c r="AM24" s="22">
        <v>25660</v>
      </c>
      <c r="AN24" s="22">
        <v>33752</v>
      </c>
      <c r="AO24" s="22">
        <v>24699</v>
      </c>
      <c r="AP24" s="25">
        <v>19340</v>
      </c>
      <c r="AQ24" s="22">
        <v>29842</v>
      </c>
      <c r="AR24" s="22">
        <f t="shared" si="10"/>
        <v>29842</v>
      </c>
      <c r="AS24" s="23"/>
      <c r="AT24" s="22">
        <v>46493</v>
      </c>
      <c r="AU24" s="22">
        <v>37125</v>
      </c>
      <c r="AV24" s="22">
        <v>38574</v>
      </c>
      <c r="AW24" s="22">
        <v>43626</v>
      </c>
      <c r="AX24" s="22">
        <v>39641</v>
      </c>
      <c r="AY24" s="22">
        <v>55553</v>
      </c>
      <c r="AZ24" s="22">
        <v>48023</v>
      </c>
      <c r="BA24" s="22">
        <v>55043</v>
      </c>
      <c r="BB24" s="26">
        <v>50383</v>
      </c>
      <c r="BC24" s="22">
        <v>54355</v>
      </c>
      <c r="BD24" s="22">
        <v>82473</v>
      </c>
      <c r="BE24" s="22">
        <v>65398</v>
      </c>
      <c r="BF24" s="22">
        <f t="shared" si="12"/>
        <v>65398</v>
      </c>
      <c r="BG24" s="27"/>
      <c r="BH24" s="22">
        <v>68747</v>
      </c>
      <c r="BI24" s="22">
        <v>62843</v>
      </c>
      <c r="BJ24" s="22">
        <v>62154</v>
      </c>
      <c r="BK24" s="22">
        <v>49337</v>
      </c>
      <c r="BL24" s="22">
        <v>27730</v>
      </c>
      <c r="BM24" s="22">
        <v>42459</v>
      </c>
      <c r="BN24" s="22">
        <v>44049</v>
      </c>
      <c r="BO24" s="22">
        <v>29196</v>
      </c>
      <c r="BP24" s="22">
        <v>36882</v>
      </c>
      <c r="BQ24" s="22">
        <v>35965</v>
      </c>
      <c r="BR24" s="22">
        <v>31343</v>
      </c>
      <c r="BS24" s="22">
        <v>23087</v>
      </c>
      <c r="BT24" s="22">
        <f t="shared" ref="BT24:BT32" si="32">BS24</f>
        <v>23087</v>
      </c>
      <c r="BU24" s="28"/>
      <c r="BV24" s="22">
        <v>15202</v>
      </c>
      <c r="BW24" s="22">
        <v>12471</v>
      </c>
      <c r="BX24" s="22">
        <v>11483</v>
      </c>
      <c r="BY24" s="22">
        <v>14071</v>
      </c>
      <c r="BZ24" s="22">
        <v>49617</v>
      </c>
      <c r="CA24" s="22">
        <v>36385</v>
      </c>
      <c r="CB24" s="22">
        <v>25473</v>
      </c>
      <c r="CC24" s="22">
        <v>16933</v>
      </c>
      <c r="CD24" s="22">
        <v>12684</v>
      </c>
      <c r="CE24" s="22">
        <v>21084</v>
      </c>
      <c r="CF24" s="22">
        <v>15172</v>
      </c>
      <c r="CG24" s="22">
        <v>11469</v>
      </c>
      <c r="CH24" s="22">
        <f>CG24</f>
        <v>11469</v>
      </c>
      <c r="CI24">
        <f>7500*5</f>
        <v>37500</v>
      </c>
      <c r="CJ24" s="22">
        <v>9465</v>
      </c>
      <c r="CK24" s="22">
        <v>13722</v>
      </c>
      <c r="CL24" s="22">
        <v>10771</v>
      </c>
      <c r="CM24" s="22">
        <v>8538</v>
      </c>
      <c r="CN24" s="22"/>
      <c r="CO24" s="22"/>
      <c r="CP24" s="22"/>
      <c r="CQ24" s="22"/>
      <c r="CR24" s="22"/>
      <c r="CS24" s="22">
        <v>4128</v>
      </c>
      <c r="CT24" s="22"/>
      <c r="CU24" s="22"/>
      <c r="CV24" s="22">
        <v>0</v>
      </c>
      <c r="CW24" s="758"/>
      <c r="CX24" s="870"/>
      <c r="CY24" s="870"/>
      <c r="CZ24" s="870"/>
      <c r="DA24" s="870"/>
      <c r="DB24" s="870"/>
      <c r="DC24" s="870"/>
      <c r="DD24" s="870"/>
      <c r="DE24" s="870"/>
      <c r="DF24" s="870"/>
      <c r="DG24" s="870"/>
      <c r="DH24" s="870"/>
      <c r="DI24" s="870"/>
      <c r="DJ24" s="22">
        <v>0</v>
      </c>
      <c r="DK24" s="948"/>
      <c r="DL24" s="870"/>
      <c r="DM24" s="870"/>
      <c r="DN24" s="870"/>
      <c r="DO24" s="870"/>
      <c r="DP24" s="870"/>
      <c r="DQ24" s="870"/>
      <c r="DR24" s="870"/>
      <c r="DS24" s="870"/>
      <c r="DT24" s="870"/>
      <c r="DU24" s="870"/>
      <c r="DV24" s="870"/>
      <c r="DW24" s="870"/>
      <c r="DX24" s="22">
        <v>0</v>
      </c>
    </row>
    <row r="25" spans="1:143" ht="18.75" hidden="1">
      <c r="A25" s="19">
        <v>3</v>
      </c>
      <c r="B25" s="684" t="s">
        <v>36</v>
      </c>
      <c r="C25" s="903"/>
      <c r="D25" s="268">
        <v>34116</v>
      </c>
      <c r="E25" s="269">
        <v>29277</v>
      </c>
      <c r="F25" s="269">
        <v>43008</v>
      </c>
      <c r="G25" s="269">
        <v>30524</v>
      </c>
      <c r="H25" s="269">
        <v>33235</v>
      </c>
      <c r="I25" s="269">
        <v>39842</v>
      </c>
      <c r="J25" s="269">
        <v>41021</v>
      </c>
      <c r="K25" s="269">
        <v>31224</v>
      </c>
      <c r="L25" s="269"/>
      <c r="M25" s="269">
        <v>10286</v>
      </c>
      <c r="N25" s="269"/>
      <c r="O25" s="269"/>
      <c r="P25" s="266"/>
      <c r="Q25" s="21"/>
      <c r="R25" s="268">
        <v>35516</v>
      </c>
      <c r="S25" s="270">
        <v>35962</v>
      </c>
      <c r="T25" s="270">
        <v>35962</v>
      </c>
      <c r="U25" s="270">
        <v>35962</v>
      </c>
      <c r="V25" s="270">
        <v>35000</v>
      </c>
      <c r="W25" s="270"/>
      <c r="X25" s="270">
        <v>6123</v>
      </c>
      <c r="Y25" s="270">
        <v>6123</v>
      </c>
      <c r="Z25" s="270">
        <v>4187</v>
      </c>
      <c r="AA25" s="270">
        <v>2745</v>
      </c>
      <c r="AB25" s="270"/>
      <c r="AC25" s="270"/>
      <c r="AD25" s="267"/>
      <c r="AE25" s="23"/>
      <c r="AF25" s="270">
        <v>8366</v>
      </c>
      <c r="AG25" s="270">
        <v>11534</v>
      </c>
      <c r="AH25" s="270">
        <v>11507</v>
      </c>
      <c r="AI25" s="270">
        <v>9148</v>
      </c>
      <c r="AJ25" s="22">
        <v>8524</v>
      </c>
      <c r="AK25" s="270">
        <v>25290</v>
      </c>
      <c r="AL25" s="270">
        <v>91080</v>
      </c>
      <c r="AM25" s="270">
        <v>66830</v>
      </c>
      <c r="AN25" s="270">
        <v>36866</v>
      </c>
      <c r="AO25" s="270">
        <v>16173</v>
      </c>
      <c r="AP25" s="271">
        <v>178274</v>
      </c>
      <c r="AQ25" s="270">
        <v>210665</v>
      </c>
      <c r="AR25" s="22">
        <f t="shared" si="10"/>
        <v>210665</v>
      </c>
      <c r="AS25" s="23"/>
      <c r="AT25" s="270">
        <v>121075</v>
      </c>
      <c r="AU25" s="270">
        <v>149376</v>
      </c>
      <c r="AV25" s="270">
        <v>104538</v>
      </c>
      <c r="AW25" s="270">
        <v>105262</v>
      </c>
      <c r="AX25" s="270">
        <v>121073</v>
      </c>
      <c r="AY25" s="270">
        <v>163931</v>
      </c>
      <c r="AZ25" s="270">
        <v>109964</v>
      </c>
      <c r="BA25" s="270">
        <v>148266</v>
      </c>
      <c r="BB25" s="26">
        <v>130697</v>
      </c>
      <c r="BC25" s="270">
        <v>113779</v>
      </c>
      <c r="BD25" s="270">
        <v>91119</v>
      </c>
      <c r="BE25" s="270">
        <v>103286</v>
      </c>
      <c r="BF25" s="22">
        <f t="shared" si="12"/>
        <v>103286</v>
      </c>
      <c r="BG25" s="27"/>
      <c r="BH25" s="270">
        <v>49631</v>
      </c>
      <c r="BI25" s="270">
        <v>52953</v>
      </c>
      <c r="BJ25" s="270">
        <v>28440</v>
      </c>
      <c r="BK25" s="270">
        <v>83601</v>
      </c>
      <c r="BL25" s="22">
        <v>25812</v>
      </c>
      <c r="BM25" s="22">
        <v>59545</v>
      </c>
      <c r="BN25" s="22">
        <v>83435</v>
      </c>
      <c r="BO25" s="22">
        <v>34041</v>
      </c>
      <c r="BP25" s="22">
        <v>22399</v>
      </c>
      <c r="BQ25" s="22">
        <v>24887</v>
      </c>
      <c r="BR25" s="22">
        <v>12183</v>
      </c>
      <c r="BS25" s="22">
        <v>12183</v>
      </c>
      <c r="BT25" s="22">
        <f t="shared" si="32"/>
        <v>12183</v>
      </c>
      <c r="BU25" s="28"/>
      <c r="BV25" s="270">
        <v>5216</v>
      </c>
      <c r="BW25" s="270"/>
      <c r="BX25" s="270">
        <v>65273</v>
      </c>
      <c r="BY25" s="270">
        <v>70182</v>
      </c>
      <c r="BZ25" s="22">
        <v>57659</v>
      </c>
      <c r="CA25" s="22">
        <v>71669</v>
      </c>
      <c r="CB25" s="22">
        <v>73078</v>
      </c>
      <c r="CC25" s="22">
        <v>85302</v>
      </c>
      <c r="CD25" s="22">
        <v>25343</v>
      </c>
      <c r="CE25" s="22">
        <v>19030</v>
      </c>
      <c r="CF25" s="22">
        <v>19422</v>
      </c>
      <c r="CG25" s="22">
        <v>25927</v>
      </c>
      <c r="CH25" s="22">
        <f>CG25</f>
        <v>25927</v>
      </c>
      <c r="CI25">
        <v>29000</v>
      </c>
      <c r="CJ25" s="270">
        <v>21580</v>
      </c>
      <c r="CK25" s="270">
        <v>18052</v>
      </c>
      <c r="CL25" s="270">
        <v>30722</v>
      </c>
      <c r="CM25" s="270">
        <v>33641</v>
      </c>
      <c r="CN25" s="22"/>
      <c r="CO25" s="22"/>
      <c r="CP25" s="22"/>
      <c r="CQ25" s="22"/>
      <c r="CR25" s="22"/>
      <c r="CS25" s="22">
        <v>10634</v>
      </c>
      <c r="CT25" s="22"/>
      <c r="CU25" s="22"/>
      <c r="CV25" s="22">
        <v>0</v>
      </c>
      <c r="CW25" s="758"/>
      <c r="CX25" s="871">
        <v>29749</v>
      </c>
      <c r="CY25" s="871">
        <v>27364</v>
      </c>
      <c r="CZ25" s="871"/>
      <c r="DA25" s="871"/>
      <c r="DB25" s="870"/>
      <c r="DC25" s="870"/>
      <c r="DD25" s="870"/>
      <c r="DE25" s="870"/>
      <c r="DF25" s="870"/>
      <c r="DG25" s="870"/>
      <c r="DH25" s="870"/>
      <c r="DI25" s="870"/>
      <c r="DJ25" s="22">
        <v>0</v>
      </c>
      <c r="DK25" s="948"/>
      <c r="DL25" s="871"/>
      <c r="DM25" s="871"/>
      <c r="DN25" s="871"/>
      <c r="DO25" s="871"/>
      <c r="DP25" s="870"/>
      <c r="DQ25" s="870"/>
      <c r="DR25" s="870"/>
      <c r="DS25" s="870"/>
      <c r="DT25" s="870"/>
      <c r="DU25" s="870"/>
      <c r="DV25" s="870"/>
      <c r="DW25" s="870"/>
      <c r="DX25" s="22">
        <v>0</v>
      </c>
    </row>
    <row r="26" spans="1:143" ht="18.75" hidden="1">
      <c r="A26" s="19">
        <v>4</v>
      </c>
      <c r="B26" s="684" t="s">
        <v>37</v>
      </c>
      <c r="C26" s="903"/>
      <c r="D26" s="268">
        <v>34116</v>
      </c>
      <c r="E26" s="269">
        <v>29277</v>
      </c>
      <c r="F26" s="269">
        <v>43008</v>
      </c>
      <c r="G26" s="269">
        <v>30524</v>
      </c>
      <c r="H26" s="269">
        <v>33235</v>
      </c>
      <c r="I26" s="269">
        <v>39842</v>
      </c>
      <c r="J26" s="269">
        <v>41021</v>
      </c>
      <c r="K26" s="269">
        <v>31224</v>
      </c>
      <c r="L26" s="269"/>
      <c r="M26" s="269">
        <v>10286</v>
      </c>
      <c r="N26" s="269"/>
      <c r="O26" s="269"/>
      <c r="P26" s="266"/>
      <c r="Q26" s="21"/>
      <c r="R26" s="268">
        <v>35516</v>
      </c>
      <c r="S26" s="270">
        <v>35962</v>
      </c>
      <c r="T26" s="270">
        <v>35962</v>
      </c>
      <c r="U26" s="270">
        <v>35962</v>
      </c>
      <c r="V26" s="270">
        <v>35000</v>
      </c>
      <c r="W26" s="270"/>
      <c r="X26" s="270">
        <v>6123</v>
      </c>
      <c r="Y26" s="270">
        <v>6123</v>
      </c>
      <c r="Z26" s="270">
        <v>4187</v>
      </c>
      <c r="AA26" s="270">
        <v>2745</v>
      </c>
      <c r="AB26" s="270"/>
      <c r="AC26" s="270"/>
      <c r="AD26" s="267"/>
      <c r="AE26" s="23"/>
      <c r="AF26" s="270">
        <v>8366</v>
      </c>
      <c r="AG26" s="270">
        <v>11534</v>
      </c>
      <c r="AH26" s="270">
        <v>11507</v>
      </c>
      <c r="AI26" s="270">
        <v>9148</v>
      </c>
      <c r="AJ26" s="22">
        <v>8524</v>
      </c>
      <c r="AK26" s="270">
        <v>25290</v>
      </c>
      <c r="AL26" s="270">
        <v>91080</v>
      </c>
      <c r="AM26" s="270">
        <v>66830</v>
      </c>
      <c r="AN26" s="270">
        <v>36866</v>
      </c>
      <c r="AO26" s="270">
        <v>16173</v>
      </c>
      <c r="AP26" s="271">
        <v>178274</v>
      </c>
      <c r="AQ26" s="270">
        <v>210665</v>
      </c>
      <c r="AR26" s="22">
        <f t="shared" si="10"/>
        <v>210665</v>
      </c>
      <c r="AS26" s="23"/>
      <c r="AT26" s="270">
        <v>121075</v>
      </c>
      <c r="AU26" s="270">
        <v>149376</v>
      </c>
      <c r="AV26" s="270">
        <v>104538</v>
      </c>
      <c r="AW26" s="270">
        <v>105262</v>
      </c>
      <c r="AX26" s="270">
        <v>121073</v>
      </c>
      <c r="AY26" s="270">
        <v>163931</v>
      </c>
      <c r="AZ26" s="270">
        <v>109964</v>
      </c>
      <c r="BA26" s="270">
        <v>148266</v>
      </c>
      <c r="BB26" s="26">
        <v>130697</v>
      </c>
      <c r="BC26" s="270">
        <v>113779</v>
      </c>
      <c r="BD26" s="270">
        <v>91119</v>
      </c>
      <c r="BE26" s="270">
        <v>103286</v>
      </c>
      <c r="BF26" s="22">
        <f t="shared" si="12"/>
        <v>103286</v>
      </c>
      <c r="BG26" s="27"/>
      <c r="BH26" s="270">
        <v>49631</v>
      </c>
      <c r="BI26" s="270">
        <v>52953</v>
      </c>
      <c r="BJ26" s="270">
        <v>28440</v>
      </c>
      <c r="BK26" s="270">
        <v>83601</v>
      </c>
      <c r="BL26" s="22">
        <v>25812</v>
      </c>
      <c r="BM26" s="22">
        <v>59545</v>
      </c>
      <c r="BN26" s="22">
        <v>83435</v>
      </c>
      <c r="BO26" s="22">
        <v>34041</v>
      </c>
      <c r="BP26" s="22">
        <v>22399</v>
      </c>
      <c r="BQ26" s="22">
        <v>24887</v>
      </c>
      <c r="BR26" s="22">
        <v>12183</v>
      </c>
      <c r="BS26" s="22">
        <v>12183</v>
      </c>
      <c r="BT26" s="22">
        <f t="shared" si="32"/>
        <v>12183</v>
      </c>
      <c r="BU26" s="28"/>
      <c r="BV26" s="270"/>
      <c r="BW26" s="270"/>
      <c r="BX26" s="270"/>
      <c r="BY26" s="270"/>
      <c r="BZ26" s="22"/>
      <c r="CA26" s="22"/>
      <c r="CB26" s="22"/>
      <c r="CC26" s="22"/>
      <c r="CD26" s="22">
        <v>6361</v>
      </c>
      <c r="CE26" s="22">
        <v>7759</v>
      </c>
      <c r="CF26" s="22">
        <v>6573</v>
      </c>
      <c r="CG26" s="22">
        <v>9541</v>
      </c>
      <c r="CH26" s="22">
        <f t="shared" si="30"/>
        <v>9541</v>
      </c>
      <c r="CI26">
        <f>CI21+CI24-CI25</f>
        <v>122500</v>
      </c>
      <c r="CJ26" s="270">
        <v>9582</v>
      </c>
      <c r="CK26" s="270">
        <v>7266</v>
      </c>
      <c r="CL26" s="270">
        <v>11364</v>
      </c>
      <c r="CM26" s="270">
        <v>10698</v>
      </c>
      <c r="CN26" s="22"/>
      <c r="CO26" s="22"/>
      <c r="CP26" s="22"/>
      <c r="CQ26" s="22"/>
      <c r="CR26" s="22"/>
      <c r="CS26" s="22">
        <v>2650</v>
      </c>
      <c r="CT26" s="22"/>
      <c r="CU26" s="22"/>
      <c r="CV26" s="22">
        <v>0</v>
      </c>
      <c r="CW26" s="758"/>
      <c r="CX26" s="871">
        <v>13676</v>
      </c>
      <c r="CY26" s="871">
        <v>12313</v>
      </c>
      <c r="CZ26" s="871"/>
      <c r="DA26" s="871"/>
      <c r="DB26" s="870"/>
      <c r="DC26" s="870"/>
      <c r="DD26" s="870"/>
      <c r="DE26" s="870"/>
      <c r="DF26" s="870"/>
      <c r="DG26" s="870"/>
      <c r="DH26" s="870"/>
      <c r="DI26" s="870"/>
      <c r="DJ26" s="22">
        <v>0</v>
      </c>
      <c r="DK26" s="948"/>
      <c r="DL26" s="871"/>
      <c r="DM26" s="871"/>
      <c r="DN26" s="871"/>
      <c r="DO26" s="871"/>
      <c r="DP26" s="870"/>
      <c r="DQ26" s="870"/>
      <c r="DR26" s="870"/>
      <c r="DS26" s="870"/>
      <c r="DT26" s="870"/>
      <c r="DU26" s="870"/>
      <c r="DV26" s="870"/>
      <c r="DW26" s="870"/>
      <c r="DX26" s="22">
        <v>0</v>
      </c>
    </row>
    <row r="27" spans="1:143" ht="18.75" hidden="1">
      <c r="A27" s="19">
        <v>1</v>
      </c>
      <c r="B27" s="904" t="s">
        <v>38</v>
      </c>
      <c r="C27" s="905"/>
      <c r="D27" s="265">
        <v>6409</v>
      </c>
      <c r="E27" s="20">
        <v>6860</v>
      </c>
      <c r="F27" s="20">
        <v>4970</v>
      </c>
      <c r="G27" s="20">
        <v>31203</v>
      </c>
      <c r="H27" s="20">
        <v>31499</v>
      </c>
      <c r="I27" s="20">
        <v>25903</v>
      </c>
      <c r="J27" s="20">
        <v>18606</v>
      </c>
      <c r="K27" s="20">
        <v>16014</v>
      </c>
      <c r="L27" s="20">
        <v>13416</v>
      </c>
      <c r="M27" s="20">
        <v>40079</v>
      </c>
      <c r="N27" s="20"/>
      <c r="O27" s="20">
        <v>0</v>
      </c>
      <c r="P27" s="266"/>
      <c r="Q27" s="21"/>
      <c r="R27" s="265">
        <v>3376</v>
      </c>
      <c r="S27" s="22">
        <v>11736</v>
      </c>
      <c r="T27" s="22">
        <v>22454</v>
      </c>
      <c r="U27" s="22">
        <v>21384</v>
      </c>
      <c r="V27" s="22">
        <v>66870</v>
      </c>
      <c r="W27" s="22">
        <v>73769</v>
      </c>
      <c r="X27" s="22">
        <v>13944</v>
      </c>
      <c r="Y27" s="22">
        <v>32750</v>
      </c>
      <c r="Z27" s="22">
        <v>18536</v>
      </c>
      <c r="AA27" s="22">
        <v>40211</v>
      </c>
      <c r="AB27" s="22">
        <v>44457</v>
      </c>
      <c r="AC27" s="22">
        <v>24504</v>
      </c>
      <c r="AD27" s="267"/>
      <c r="AE27" s="23"/>
      <c r="AF27" s="22">
        <v>18586</v>
      </c>
      <c r="AG27" s="22">
        <v>17539</v>
      </c>
      <c r="AH27" s="22">
        <v>20245</v>
      </c>
      <c r="AI27" s="22">
        <v>17669</v>
      </c>
      <c r="AJ27" s="22">
        <v>16769</v>
      </c>
      <c r="AK27" s="22">
        <v>31134</v>
      </c>
      <c r="AL27" s="22">
        <v>35711</v>
      </c>
      <c r="AM27" s="22">
        <v>29141</v>
      </c>
      <c r="AN27" s="22">
        <v>25307</v>
      </c>
      <c r="AO27" s="22">
        <v>35964</v>
      </c>
      <c r="AP27" s="25">
        <v>37378</v>
      </c>
      <c r="AQ27" s="22">
        <v>22159</v>
      </c>
      <c r="AR27" s="22">
        <f t="shared" si="10"/>
        <v>22159</v>
      </c>
      <c r="AS27" s="23"/>
      <c r="AT27" s="22">
        <v>24034</v>
      </c>
      <c r="AU27" s="270">
        <v>22061</v>
      </c>
      <c r="AV27" s="22">
        <v>22489</v>
      </c>
      <c r="AW27" s="22">
        <v>25124</v>
      </c>
      <c r="AX27" s="22">
        <v>22794</v>
      </c>
      <c r="AY27" s="22">
        <v>17777</v>
      </c>
      <c r="AZ27" s="22">
        <v>34345</v>
      </c>
      <c r="BA27" s="22">
        <v>17580</v>
      </c>
      <c r="BB27" s="26">
        <v>26992</v>
      </c>
      <c r="BC27" s="22">
        <v>21373</v>
      </c>
      <c r="BD27" s="22">
        <v>21202</v>
      </c>
      <c r="BE27" s="22">
        <v>19109</v>
      </c>
      <c r="BF27" s="22">
        <f t="shared" si="12"/>
        <v>19109</v>
      </c>
      <c r="BG27" s="27"/>
      <c r="BH27" s="22">
        <v>22216</v>
      </c>
      <c r="BI27" s="270">
        <v>19102</v>
      </c>
      <c r="BJ27" s="22">
        <v>20676</v>
      </c>
      <c r="BK27" s="22">
        <v>19892</v>
      </c>
      <c r="BL27" s="22">
        <v>48737</v>
      </c>
      <c r="BM27" s="22">
        <v>45521</v>
      </c>
      <c r="BN27" s="22">
        <v>41781</v>
      </c>
      <c r="BO27" s="22">
        <v>48019</v>
      </c>
      <c r="BP27" s="22">
        <v>43955</v>
      </c>
      <c r="BQ27" s="22">
        <v>41505</v>
      </c>
      <c r="BR27" s="22">
        <v>28306</v>
      </c>
      <c r="BS27" s="22">
        <v>23731</v>
      </c>
      <c r="BT27" s="22">
        <f t="shared" si="32"/>
        <v>23731</v>
      </c>
      <c r="BU27" s="28"/>
      <c r="BV27" s="22">
        <v>28505</v>
      </c>
      <c r="BW27" s="270">
        <v>25054</v>
      </c>
      <c r="BX27" s="22">
        <v>24396</v>
      </c>
      <c r="BY27" s="22">
        <v>21708</v>
      </c>
      <c r="BZ27" s="22">
        <v>17857</v>
      </c>
      <c r="CA27" s="22">
        <v>33103</v>
      </c>
      <c r="CB27" s="22">
        <v>29327</v>
      </c>
      <c r="CC27" s="22">
        <v>27562</v>
      </c>
      <c r="CD27" s="22">
        <v>19590</v>
      </c>
      <c r="CE27" s="22">
        <v>11730</v>
      </c>
      <c r="CF27" s="22">
        <v>10529</v>
      </c>
      <c r="CG27" s="22">
        <v>19978</v>
      </c>
      <c r="CH27" s="22">
        <f t="shared" si="30"/>
        <v>19978</v>
      </c>
      <c r="CJ27" s="22">
        <v>18456</v>
      </c>
      <c r="CK27" s="270">
        <v>15409</v>
      </c>
      <c r="CL27" s="22">
        <v>18755</v>
      </c>
      <c r="CM27" s="22">
        <v>15399</v>
      </c>
      <c r="CN27" s="22"/>
      <c r="CO27" s="22"/>
      <c r="CP27" s="22"/>
      <c r="CQ27" s="22"/>
      <c r="CR27" s="22"/>
      <c r="CS27" s="22">
        <v>14419</v>
      </c>
      <c r="CT27" s="22"/>
      <c r="CU27" s="22"/>
      <c r="CV27" s="22">
        <v>0</v>
      </c>
      <c r="CW27" s="758"/>
      <c r="CX27" s="870"/>
      <c r="CY27" s="871"/>
      <c r="CZ27" s="870"/>
      <c r="DA27" s="870"/>
      <c r="DB27" s="870"/>
      <c r="DC27" s="870"/>
      <c r="DD27" s="870"/>
      <c r="DE27" s="870"/>
      <c r="DF27" s="870"/>
      <c r="DG27" s="870"/>
      <c r="DH27" s="870"/>
      <c r="DI27" s="870"/>
      <c r="DJ27" s="22">
        <v>0</v>
      </c>
      <c r="DK27" s="948"/>
      <c r="DL27" s="870"/>
      <c r="DM27" s="871"/>
      <c r="DN27" s="870"/>
      <c r="DO27" s="870"/>
      <c r="DP27" s="870"/>
      <c r="DQ27" s="870"/>
      <c r="DR27" s="870"/>
      <c r="DS27" s="870"/>
      <c r="DT27" s="870"/>
      <c r="DU27" s="870"/>
      <c r="DV27" s="870"/>
      <c r="DW27" s="870"/>
      <c r="DX27" s="22">
        <v>0</v>
      </c>
    </row>
    <row r="28" spans="1:143" ht="18.75" hidden="1">
      <c r="A28" s="19">
        <v>0</v>
      </c>
      <c r="B28" s="904" t="s">
        <v>39</v>
      </c>
      <c r="C28" s="905"/>
      <c r="D28" s="265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66"/>
      <c r="Q28" s="21"/>
      <c r="R28" s="265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67"/>
      <c r="AE28" s="23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5"/>
      <c r="AQ28" s="22"/>
      <c r="AR28" s="22"/>
      <c r="AS28" s="23"/>
      <c r="AT28" s="22"/>
      <c r="AU28" s="270"/>
      <c r="AV28" s="22"/>
      <c r="AW28" s="22"/>
      <c r="AX28" s="22"/>
      <c r="AY28" s="22"/>
      <c r="AZ28" s="22"/>
      <c r="BA28" s="22"/>
      <c r="BB28" s="26"/>
      <c r="BC28" s="22"/>
      <c r="BD28" s="22"/>
      <c r="BE28" s="22"/>
      <c r="BF28" s="22"/>
      <c r="BG28" s="27"/>
      <c r="BH28" s="22"/>
      <c r="BI28" s="270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8"/>
      <c r="BV28" s="22"/>
      <c r="BW28" s="270"/>
      <c r="BX28" s="22"/>
      <c r="BY28" s="22"/>
      <c r="BZ28" s="22"/>
      <c r="CA28" s="22"/>
      <c r="CB28" s="22"/>
      <c r="CC28" s="22"/>
      <c r="CD28" s="22"/>
      <c r="CE28" s="22">
        <v>34501</v>
      </c>
      <c r="CF28" s="22">
        <v>18809</v>
      </c>
      <c r="CG28" s="22">
        <v>12618</v>
      </c>
      <c r="CH28" s="22"/>
      <c r="CJ28" s="22">
        <v>11940</v>
      </c>
      <c r="CK28" s="270">
        <v>19956</v>
      </c>
      <c r="CL28" s="22">
        <v>15650</v>
      </c>
      <c r="CM28" s="22">
        <v>12005</v>
      </c>
      <c r="CN28" s="22"/>
      <c r="CO28" s="22"/>
      <c r="CP28" s="22"/>
      <c r="CQ28" s="22"/>
      <c r="CR28" s="22"/>
      <c r="CS28" s="22">
        <v>6064</v>
      </c>
      <c r="CT28" s="22"/>
      <c r="CU28" s="22"/>
      <c r="CV28" s="22"/>
      <c r="CW28" s="758"/>
      <c r="CX28" s="870"/>
      <c r="CY28" s="871"/>
      <c r="CZ28" s="870"/>
      <c r="DA28" s="870"/>
      <c r="DB28" s="870"/>
      <c r="DC28" s="870"/>
      <c r="DD28" s="870"/>
      <c r="DE28" s="870"/>
      <c r="DF28" s="870"/>
      <c r="DG28" s="870"/>
      <c r="DH28" s="870"/>
      <c r="DI28" s="870"/>
      <c r="DJ28" s="22"/>
      <c r="DK28" s="948"/>
      <c r="DL28" s="870"/>
      <c r="DM28" s="871"/>
      <c r="DN28" s="870"/>
      <c r="DO28" s="870"/>
      <c r="DP28" s="870"/>
      <c r="DQ28" s="870"/>
      <c r="DR28" s="870"/>
      <c r="DS28" s="870"/>
      <c r="DT28" s="870"/>
      <c r="DU28" s="870"/>
      <c r="DV28" s="870"/>
      <c r="DW28" s="870"/>
      <c r="DX28" s="22"/>
    </row>
    <row r="29" spans="1:143" ht="18.75" hidden="1">
      <c r="A29" s="19">
        <v>0</v>
      </c>
      <c r="B29" s="904" t="s">
        <v>40</v>
      </c>
      <c r="C29" s="905"/>
      <c r="D29" s="265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66"/>
      <c r="Q29" s="21"/>
      <c r="R29" s="265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67"/>
      <c r="AE29" s="23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5"/>
      <c r="AQ29" s="22"/>
      <c r="AR29" s="22"/>
      <c r="AS29" s="23"/>
      <c r="AT29" s="22"/>
      <c r="AU29" s="270"/>
      <c r="AV29" s="22"/>
      <c r="AW29" s="22"/>
      <c r="AX29" s="22"/>
      <c r="AY29" s="22"/>
      <c r="AZ29" s="22"/>
      <c r="BA29" s="22"/>
      <c r="BB29" s="26"/>
      <c r="BC29" s="22"/>
      <c r="BD29" s="22"/>
      <c r="BE29" s="22"/>
      <c r="BF29" s="22"/>
      <c r="BG29" s="27"/>
      <c r="BH29" s="22"/>
      <c r="BI29" s="270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8"/>
      <c r="BV29" s="22"/>
      <c r="BW29" s="270"/>
      <c r="BX29" s="22"/>
      <c r="BY29" s="22"/>
      <c r="BZ29" s="22"/>
      <c r="CA29" s="22"/>
      <c r="CB29" s="22"/>
      <c r="CC29" s="22"/>
      <c r="CD29" s="22"/>
      <c r="CE29" s="22">
        <v>12837</v>
      </c>
      <c r="CF29" s="22">
        <v>11839</v>
      </c>
      <c r="CG29" s="22">
        <v>20519</v>
      </c>
      <c r="CH29" s="22"/>
      <c r="CJ29" s="22">
        <v>17816</v>
      </c>
      <c r="CK29" s="270">
        <v>17432</v>
      </c>
      <c r="CL29" s="22">
        <v>21670</v>
      </c>
      <c r="CM29" s="22">
        <v>19092</v>
      </c>
      <c r="CN29" s="22"/>
      <c r="CO29" s="22"/>
      <c r="CP29" s="22"/>
      <c r="CQ29" s="22"/>
      <c r="CR29" s="22"/>
      <c r="CS29" s="22">
        <v>20858</v>
      </c>
      <c r="CT29" s="22"/>
      <c r="CU29" s="22"/>
      <c r="CV29" s="22"/>
      <c r="CW29" s="758"/>
      <c r="CX29" s="870"/>
      <c r="CY29" s="871"/>
      <c r="CZ29" s="870"/>
      <c r="DA29" s="870"/>
      <c r="DB29" s="870"/>
      <c r="DC29" s="870"/>
      <c r="DD29" s="870"/>
      <c r="DE29" s="870"/>
      <c r="DF29" s="870"/>
      <c r="DG29" s="870"/>
      <c r="DH29" s="870"/>
      <c r="DI29" s="870"/>
      <c r="DJ29" s="22"/>
      <c r="DK29" s="948"/>
      <c r="DL29" s="870"/>
      <c r="DM29" s="871"/>
      <c r="DN29" s="870"/>
      <c r="DO29" s="870"/>
      <c r="DP29" s="870"/>
      <c r="DQ29" s="870"/>
      <c r="DR29" s="870"/>
      <c r="DS29" s="870"/>
      <c r="DT29" s="870"/>
      <c r="DU29" s="870"/>
      <c r="DV29" s="870"/>
      <c r="DW29" s="870"/>
      <c r="DX29" s="22"/>
    </row>
    <row r="30" spans="1:143" ht="18.75" hidden="1">
      <c r="A30" s="13" t="s">
        <v>42</v>
      </c>
      <c r="B30" s="908"/>
      <c r="C30" s="909" t="s">
        <v>43</v>
      </c>
      <c r="D30" s="277">
        <f>D21-D25</f>
        <v>162884</v>
      </c>
      <c r="E30" s="33">
        <f>E21+E27-E25-E68</f>
        <v>200610</v>
      </c>
      <c r="F30" s="33">
        <f>F21+F27-F25-F68</f>
        <v>192475</v>
      </c>
      <c r="G30" s="33">
        <f>G21+G27-G25-G68</f>
        <v>231853</v>
      </c>
      <c r="H30" s="33">
        <f>H21+H27-H25-H68</f>
        <v>253292</v>
      </c>
      <c r="I30" s="33">
        <f>I21+I27-I25-I68</f>
        <v>305688</v>
      </c>
      <c r="J30" s="33">
        <f>J21+J27-J25-J68</f>
        <v>355297</v>
      </c>
      <c r="K30" s="33">
        <f>K21+K27-K25-K68</f>
        <v>367201</v>
      </c>
      <c r="L30" s="33">
        <f>L21+L27-L25-L68</f>
        <v>407523</v>
      </c>
      <c r="M30" s="33">
        <f>M21+M27-M25-M68</f>
        <v>297747</v>
      </c>
      <c r="N30" s="33">
        <f>N21+N27-N25-N68</f>
        <v>0</v>
      </c>
      <c r="O30" s="33">
        <f>O21+O27-O25-O68</f>
        <v>143875</v>
      </c>
      <c r="P30" s="262">
        <f>J30</f>
        <v>355297</v>
      </c>
      <c r="Q30" s="15"/>
      <c r="R30" s="277">
        <f>R21-R25</f>
        <v>172568</v>
      </c>
      <c r="S30" s="14">
        <f>S21+S27-S25-S68</f>
        <v>244205</v>
      </c>
      <c r="T30" s="14">
        <f>T21+T27-T25-T68</f>
        <v>237108</v>
      </c>
      <c r="U30" s="14">
        <f>U21+U27-U25-U68</f>
        <v>222510</v>
      </c>
      <c r="V30" s="14">
        <f>V21+V27-V25-V68</f>
        <v>179647</v>
      </c>
      <c r="W30" s="14">
        <f>W21+W27-W25-W68</f>
        <v>289587</v>
      </c>
      <c r="X30" s="14">
        <f>X21+X27-X25-X68</f>
        <v>281331</v>
      </c>
      <c r="Y30" s="14">
        <f>Y21+Y27-Y25-Y68</f>
        <v>325686</v>
      </c>
      <c r="Z30" s="14">
        <f>Z21+Z27-Z25-Z68</f>
        <v>319329</v>
      </c>
      <c r="AA30" s="14">
        <f>AA21+AA27-AA25-AA68</f>
        <v>268663</v>
      </c>
      <c r="AB30" s="14">
        <f>AB21+AB27-AB25-AB68</f>
        <v>187543</v>
      </c>
      <c r="AC30" s="14">
        <f>AC21+AC27-AC25-AC68</f>
        <v>196995</v>
      </c>
      <c r="AD30" s="263">
        <f>X30</f>
        <v>281331</v>
      </c>
      <c r="AE30" s="16"/>
      <c r="AF30" s="14">
        <f t="shared" ref="AF30:AQ30" si="33">AF21+AF25+AF24</f>
        <v>228387</v>
      </c>
      <c r="AG30" s="14">
        <f t="shared" si="33"/>
        <v>263548</v>
      </c>
      <c r="AH30" s="14">
        <f t="shared" si="33"/>
        <v>366224</v>
      </c>
      <c r="AI30" s="14">
        <f t="shared" si="33"/>
        <v>361348</v>
      </c>
      <c r="AJ30" s="14">
        <f t="shared" si="33"/>
        <v>384008</v>
      </c>
      <c r="AK30" s="14">
        <f t="shared" si="33"/>
        <v>434489</v>
      </c>
      <c r="AL30" s="14">
        <f t="shared" si="33"/>
        <v>436438</v>
      </c>
      <c r="AM30" s="14">
        <f t="shared" si="33"/>
        <v>463198</v>
      </c>
      <c r="AN30" s="14">
        <f t="shared" si="33"/>
        <v>425121</v>
      </c>
      <c r="AO30" s="14">
        <f t="shared" si="33"/>
        <v>355477</v>
      </c>
      <c r="AP30" s="14">
        <f t="shared" si="33"/>
        <v>288104</v>
      </c>
      <c r="AQ30" s="14">
        <f t="shared" si="33"/>
        <v>298855</v>
      </c>
      <c r="AR30" s="14">
        <f t="shared" si="10"/>
        <v>298855</v>
      </c>
      <c r="AS30" s="17"/>
      <c r="AT30" s="14">
        <f t="shared" ref="AT30:BE30" si="34">AT21+AT25+AT24</f>
        <v>326269</v>
      </c>
      <c r="AU30" s="14">
        <f t="shared" si="34"/>
        <v>301870</v>
      </c>
      <c r="AV30" s="14">
        <f t="shared" si="34"/>
        <v>285491</v>
      </c>
      <c r="AW30" s="14">
        <f t="shared" si="34"/>
        <v>267653</v>
      </c>
      <c r="AX30" s="14">
        <f t="shared" si="34"/>
        <v>273960</v>
      </c>
      <c r="AY30" s="14">
        <f t="shared" si="34"/>
        <v>326260</v>
      </c>
      <c r="AZ30" s="14">
        <f t="shared" si="34"/>
        <v>333221</v>
      </c>
      <c r="BA30" s="14">
        <f t="shared" si="34"/>
        <v>354862</v>
      </c>
      <c r="BB30" s="14">
        <f t="shared" si="34"/>
        <v>348162</v>
      </c>
      <c r="BC30" s="14">
        <f t="shared" si="34"/>
        <v>319093</v>
      </c>
      <c r="BD30" s="14">
        <f t="shared" si="34"/>
        <v>293379</v>
      </c>
      <c r="BE30" s="14">
        <f t="shared" si="34"/>
        <v>234110</v>
      </c>
      <c r="BF30" s="32">
        <f t="shared" ref="BF30:BF31" si="35">SUM(AT30:BE30)</f>
        <v>3664330</v>
      </c>
      <c r="BG30" s="17"/>
      <c r="BH30" s="14">
        <f t="shared" ref="BH30:BS30" si="36">BH21+BH25+BH24</f>
        <v>285296</v>
      </c>
      <c r="BI30" s="14">
        <f t="shared" si="36"/>
        <v>282956</v>
      </c>
      <c r="BJ30" s="14">
        <f t="shared" si="36"/>
        <v>295165</v>
      </c>
      <c r="BK30" s="14">
        <f t="shared" si="36"/>
        <v>286135</v>
      </c>
      <c r="BL30" s="14">
        <f t="shared" si="36"/>
        <v>250340</v>
      </c>
      <c r="BM30" s="14">
        <f t="shared" si="36"/>
        <v>247600</v>
      </c>
      <c r="BN30" s="14">
        <f t="shared" si="36"/>
        <v>293505</v>
      </c>
      <c r="BO30" s="14">
        <f t="shared" si="36"/>
        <v>274542</v>
      </c>
      <c r="BP30" s="14">
        <f t="shared" si="36"/>
        <v>260352</v>
      </c>
      <c r="BQ30" s="14">
        <f>BQ21+BQ25+BQ24</f>
        <v>238595</v>
      </c>
      <c r="BR30" s="14">
        <f t="shared" si="36"/>
        <v>187546</v>
      </c>
      <c r="BS30" s="14">
        <f t="shared" si="36"/>
        <v>189617</v>
      </c>
      <c r="BT30" s="14">
        <f t="shared" si="32"/>
        <v>189617</v>
      </c>
      <c r="BU30" s="18"/>
      <c r="BV30" s="14">
        <f>BV21+BV25+BV24</f>
        <v>171889</v>
      </c>
      <c r="BW30" s="14">
        <f>BW21+BW27+BW24</f>
        <v>193178</v>
      </c>
      <c r="BX30" s="14">
        <f>BX21+BX25+BX24</f>
        <v>228367</v>
      </c>
      <c r="BY30" s="14">
        <f>BY21+BY25+BY24</f>
        <v>261297</v>
      </c>
      <c r="BZ30" s="14">
        <f>BZ21+BZ25+BZ24</f>
        <v>277757</v>
      </c>
      <c r="CA30" s="14">
        <f>CA21+CA25+CA24</f>
        <v>329719</v>
      </c>
      <c r="CB30" s="14">
        <f>CB21+CB25+CB24</f>
        <v>316656</v>
      </c>
      <c r="CC30" s="14">
        <f>CC21+CC25+CC24</f>
        <v>290388</v>
      </c>
      <c r="CD30" s="14">
        <f>CD21+CD25+CD24</f>
        <v>185778</v>
      </c>
      <c r="CE30" s="14">
        <f>CE21+CE25+CE24</f>
        <v>153110</v>
      </c>
      <c r="CF30" s="14">
        <f>CF21+CF25+CF24</f>
        <v>170562</v>
      </c>
      <c r="CG30" s="14">
        <f>CG21+CG25+CG24</f>
        <v>167396</v>
      </c>
      <c r="CH30" s="14">
        <f t="shared" si="30"/>
        <v>167396</v>
      </c>
      <c r="CJ30" s="14">
        <v>224424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758"/>
      <c r="CX30" s="873">
        <v>224424</v>
      </c>
      <c r="CY30" s="873">
        <v>0</v>
      </c>
      <c r="CZ30" s="873">
        <v>0</v>
      </c>
      <c r="DA30" s="873">
        <v>0</v>
      </c>
      <c r="DB30" s="873">
        <v>0</v>
      </c>
      <c r="DC30" s="873">
        <v>0</v>
      </c>
      <c r="DD30" s="873">
        <v>0</v>
      </c>
      <c r="DE30" s="873">
        <v>0</v>
      </c>
      <c r="DF30" s="873">
        <v>0</v>
      </c>
      <c r="DG30" s="873">
        <v>0</v>
      </c>
      <c r="DH30" s="873">
        <v>0</v>
      </c>
      <c r="DI30" s="873">
        <v>0</v>
      </c>
      <c r="DJ30" s="14">
        <v>0</v>
      </c>
      <c r="DK30" s="948"/>
      <c r="DL30" s="873">
        <v>224424</v>
      </c>
      <c r="DM30" s="873">
        <v>0</v>
      </c>
      <c r="DN30" s="873">
        <v>0</v>
      </c>
      <c r="DO30" s="873">
        <v>0</v>
      </c>
      <c r="DP30" s="873">
        <v>0</v>
      </c>
      <c r="DQ30" s="873">
        <v>0</v>
      </c>
      <c r="DR30" s="873">
        <v>0</v>
      </c>
      <c r="DS30" s="873">
        <v>0</v>
      </c>
      <c r="DT30" s="873">
        <v>0</v>
      </c>
      <c r="DU30" s="873">
        <v>0</v>
      </c>
      <c r="DV30" s="873">
        <v>0</v>
      </c>
      <c r="DW30" s="873">
        <v>0</v>
      </c>
      <c r="DX30" s="14">
        <v>0</v>
      </c>
    </row>
    <row r="31" spans="1:143" ht="18.75" hidden="1">
      <c r="A31" s="34" t="s">
        <v>44</v>
      </c>
      <c r="B31" s="910"/>
      <c r="C31" s="911" t="s">
        <v>45</v>
      </c>
      <c r="D31" s="277">
        <f t="shared" ref="D31:O31" si="37">D11-D27-D25</f>
        <v>264261</v>
      </c>
      <c r="E31" s="33">
        <f t="shared" si="37"/>
        <v>275849</v>
      </c>
      <c r="F31" s="33">
        <f t="shared" si="37"/>
        <v>280253</v>
      </c>
      <c r="G31" s="33">
        <f t="shared" si="37"/>
        <v>256146</v>
      </c>
      <c r="H31" s="33">
        <f t="shared" si="37"/>
        <v>282462</v>
      </c>
      <c r="I31" s="33">
        <f t="shared" si="37"/>
        <v>336508</v>
      </c>
      <c r="J31" s="33">
        <f t="shared" si="37"/>
        <v>394861</v>
      </c>
      <c r="K31" s="33">
        <f t="shared" si="37"/>
        <v>399944</v>
      </c>
      <c r="L31" s="33">
        <f t="shared" si="37"/>
        <v>403515</v>
      </c>
      <c r="M31" s="33">
        <f t="shared" si="37"/>
        <v>254037</v>
      </c>
      <c r="N31" s="33">
        <f t="shared" si="37"/>
        <v>0</v>
      </c>
      <c r="O31" s="33">
        <f t="shared" si="37"/>
        <v>188264</v>
      </c>
      <c r="P31" s="262">
        <f t="shared" ref="P31:P32" si="38">O31</f>
        <v>188264</v>
      </c>
      <c r="Q31" s="15"/>
      <c r="R31" s="277">
        <f t="shared" ref="R31:AC31" si="39">R11-R27-R25</f>
        <v>244467</v>
      </c>
      <c r="S31" s="14">
        <f t="shared" si="39"/>
        <v>295020</v>
      </c>
      <c r="T31" s="14">
        <f t="shared" si="39"/>
        <v>254796</v>
      </c>
      <c r="U31" s="14">
        <f t="shared" si="39"/>
        <v>240747</v>
      </c>
      <c r="V31" s="14">
        <f t="shared" si="39"/>
        <v>104747</v>
      </c>
      <c r="W31" s="14">
        <f t="shared" si="39"/>
        <v>162106</v>
      </c>
      <c r="X31" s="14">
        <f t="shared" si="39"/>
        <v>340068</v>
      </c>
      <c r="Y31" s="14">
        <f t="shared" si="39"/>
        <v>322792</v>
      </c>
      <c r="Z31" s="14">
        <f t="shared" si="39"/>
        <v>330677</v>
      </c>
      <c r="AA31" s="14">
        <f t="shared" si="39"/>
        <v>229141</v>
      </c>
      <c r="AB31" s="14">
        <f t="shared" si="39"/>
        <v>126169</v>
      </c>
      <c r="AC31" s="14">
        <f t="shared" si="39"/>
        <v>173047</v>
      </c>
      <c r="AD31" s="263">
        <f t="shared" ref="AD31:AD32" si="40">AC31</f>
        <v>173047</v>
      </c>
      <c r="AE31" s="16"/>
      <c r="AF31" s="261">
        <f>AF30-AF25</f>
        <v>220021</v>
      </c>
      <c r="AG31" s="261">
        <f>AG30-AG25</f>
        <v>252014</v>
      </c>
      <c r="AH31" s="261">
        <f>AH30-AH25</f>
        <v>354717</v>
      </c>
      <c r="AI31" s="261">
        <f>AI30-AI25</f>
        <v>352200</v>
      </c>
      <c r="AJ31" s="261">
        <f>AJ30-AJ25</f>
        <v>375484</v>
      </c>
      <c r="AK31" s="261">
        <f>AK30-AK25</f>
        <v>409199</v>
      </c>
      <c r="AL31" s="261">
        <f>AL30-AL25</f>
        <v>345358</v>
      </c>
      <c r="AM31" s="261">
        <f>AM30-AM25</f>
        <v>396368</v>
      </c>
      <c r="AN31" s="261">
        <f>AN30-AN25</f>
        <v>388255</v>
      </c>
      <c r="AO31" s="261">
        <f>AO30-AO25</f>
        <v>339304</v>
      </c>
      <c r="AP31" s="261">
        <f>AP30-AP25</f>
        <v>109830</v>
      </c>
      <c r="AQ31" s="261">
        <f>AQ30-AQ25</f>
        <v>88190</v>
      </c>
      <c r="AR31" s="14">
        <f t="shared" si="10"/>
        <v>88190</v>
      </c>
      <c r="AS31" s="17"/>
      <c r="AT31" s="261">
        <f>AT30-AT25</f>
        <v>205194</v>
      </c>
      <c r="AU31" s="261">
        <f>AU30-AU25</f>
        <v>152494</v>
      </c>
      <c r="AV31" s="261">
        <f>AV30-AV25</f>
        <v>180953</v>
      </c>
      <c r="AW31" s="261">
        <f>AW30-AW25</f>
        <v>162391</v>
      </c>
      <c r="AX31" s="261">
        <f>AX30-AX25</f>
        <v>152887</v>
      </c>
      <c r="AY31" s="261">
        <f>AY30-AY25</f>
        <v>162329</v>
      </c>
      <c r="AZ31" s="261">
        <f>AZ30-AZ25</f>
        <v>223257</v>
      </c>
      <c r="BA31" s="261">
        <f>BA30-BA25</f>
        <v>206596</v>
      </c>
      <c r="BB31" s="261">
        <f>BB30-BB25</f>
        <v>217465</v>
      </c>
      <c r="BC31" s="261">
        <f>BC30-BC25</f>
        <v>205314</v>
      </c>
      <c r="BD31" s="261">
        <f>BD30-BD25</f>
        <v>202260</v>
      </c>
      <c r="BE31" s="261">
        <f>BE30-BE25</f>
        <v>130824</v>
      </c>
      <c r="BF31" s="32">
        <f t="shared" si="35"/>
        <v>2201964</v>
      </c>
      <c r="BG31" s="35">
        <f>SUM(AT35:AY35)/SUM(AF69:AK69)-1</f>
        <v>0.2283258050797119</v>
      </c>
      <c r="BH31" s="416">
        <f>BH30-BH25</f>
        <v>235665</v>
      </c>
      <c r="BI31" s="416">
        <f>BI30-BI25</f>
        <v>230003</v>
      </c>
      <c r="BJ31" s="416">
        <f>BJ30-BJ25</f>
        <v>266725</v>
      </c>
      <c r="BK31" s="416">
        <f>BK30-BK25</f>
        <v>202534</v>
      </c>
      <c r="BL31" s="417">
        <f>BL30-BL25</f>
        <v>224528</v>
      </c>
      <c r="BM31" s="417">
        <f>BM30-BM25</f>
        <v>188055</v>
      </c>
      <c r="BN31" s="417">
        <f>BN30-BN25</f>
        <v>210070</v>
      </c>
      <c r="BO31" s="417">
        <f>BO30-BO25</f>
        <v>240501</v>
      </c>
      <c r="BP31" s="417">
        <f>BP30-BP25</f>
        <v>237953</v>
      </c>
      <c r="BQ31" s="417">
        <f>BQ30-BQ25</f>
        <v>213708</v>
      </c>
      <c r="BR31" s="417">
        <f>BR30-BR25</f>
        <v>175363</v>
      </c>
      <c r="BS31" s="417">
        <f>BS30-BS25</f>
        <v>177434</v>
      </c>
      <c r="BT31" s="417">
        <f t="shared" si="32"/>
        <v>177434</v>
      </c>
      <c r="BU31" s="18"/>
      <c r="BV31" s="261">
        <f>BV30-BV25</f>
        <v>166673</v>
      </c>
      <c r="BW31" s="261">
        <f>BW30-BW25</f>
        <v>193178</v>
      </c>
      <c r="BX31" s="261">
        <f>BX30-BX25</f>
        <v>163094</v>
      </c>
      <c r="BY31" s="416">
        <f>BY30-BY25</f>
        <v>191115</v>
      </c>
      <c r="BZ31" s="417">
        <f>BZ30-BZ25</f>
        <v>220098</v>
      </c>
      <c r="CA31" s="417">
        <f>CA30-CA25</f>
        <v>258050</v>
      </c>
      <c r="CB31" s="417">
        <f>CB30-CB25</f>
        <v>243578</v>
      </c>
      <c r="CC31" s="417">
        <f>CC30-CC25</f>
        <v>205086</v>
      </c>
      <c r="CD31" s="417">
        <f>CD30-CD25</f>
        <v>160435</v>
      </c>
      <c r="CE31" s="417">
        <f>CE30-CE25</f>
        <v>134080</v>
      </c>
      <c r="CF31" s="417">
        <f>CF30-CF25</f>
        <v>151140</v>
      </c>
      <c r="CG31" s="417">
        <f>CG30-CG25</f>
        <v>141469</v>
      </c>
      <c r="CH31" s="417">
        <f t="shared" si="30"/>
        <v>141469</v>
      </c>
      <c r="CJ31" s="261">
        <v>219208</v>
      </c>
      <c r="CK31" s="261">
        <v>0</v>
      </c>
      <c r="CL31" s="261">
        <v>0</v>
      </c>
      <c r="CM31" s="416">
        <v>0</v>
      </c>
      <c r="CN31" s="417">
        <v>0</v>
      </c>
      <c r="CO31" s="417">
        <v>0</v>
      </c>
      <c r="CP31" s="417">
        <v>0</v>
      </c>
      <c r="CQ31" s="417">
        <v>0</v>
      </c>
      <c r="CR31" s="417">
        <v>0</v>
      </c>
      <c r="CS31" s="417">
        <v>0</v>
      </c>
      <c r="CT31" s="417">
        <v>0</v>
      </c>
      <c r="CU31" s="417">
        <v>0</v>
      </c>
      <c r="CV31" s="417">
        <v>0</v>
      </c>
      <c r="CW31" s="758"/>
      <c r="CX31" s="874">
        <v>219208</v>
      </c>
      <c r="CY31" s="874">
        <v>0</v>
      </c>
      <c r="CZ31" s="874">
        <v>0</v>
      </c>
      <c r="DA31" s="875">
        <v>0</v>
      </c>
      <c r="DB31" s="876">
        <v>0</v>
      </c>
      <c r="DC31" s="876">
        <v>0</v>
      </c>
      <c r="DD31" s="876">
        <v>0</v>
      </c>
      <c r="DE31" s="876">
        <v>0</v>
      </c>
      <c r="DF31" s="876">
        <v>0</v>
      </c>
      <c r="DG31" s="876">
        <v>0</v>
      </c>
      <c r="DH31" s="876">
        <v>0</v>
      </c>
      <c r="DI31" s="876">
        <v>0</v>
      </c>
      <c r="DJ31" s="417">
        <v>0</v>
      </c>
      <c r="DK31" s="948"/>
      <c r="DL31" s="874">
        <v>219208</v>
      </c>
      <c r="DM31" s="874">
        <v>0</v>
      </c>
      <c r="DN31" s="874">
        <v>0</v>
      </c>
      <c r="DO31" s="875">
        <v>0</v>
      </c>
      <c r="DP31" s="876">
        <v>0</v>
      </c>
      <c r="DQ31" s="876">
        <v>0</v>
      </c>
      <c r="DR31" s="876">
        <v>0</v>
      </c>
      <c r="DS31" s="876">
        <v>0</v>
      </c>
      <c r="DT31" s="876">
        <v>0</v>
      </c>
      <c r="DU31" s="876">
        <v>0</v>
      </c>
      <c r="DV31" s="876">
        <v>0</v>
      </c>
      <c r="DW31" s="876">
        <v>0</v>
      </c>
      <c r="DX31" s="417">
        <v>0</v>
      </c>
    </row>
    <row r="32" spans="1:143" s="748" customFormat="1" ht="18.75" hidden="1">
      <c r="A32" s="739" t="s">
        <v>120</v>
      </c>
      <c r="B32" s="736"/>
      <c r="C32" s="737" t="s">
        <v>47</v>
      </c>
      <c r="D32" s="738">
        <f t="shared" ref="D32:O32" si="41">D11</f>
        <v>304786</v>
      </c>
      <c r="E32" s="740">
        <f t="shared" si="41"/>
        <v>311986</v>
      </c>
      <c r="F32" s="740">
        <f t="shared" si="41"/>
        <v>328231</v>
      </c>
      <c r="G32" s="740">
        <f t="shared" si="41"/>
        <v>317873</v>
      </c>
      <c r="H32" s="740">
        <f t="shared" si="41"/>
        <v>347196</v>
      </c>
      <c r="I32" s="740">
        <f t="shared" si="41"/>
        <v>402253</v>
      </c>
      <c r="J32" s="740">
        <f t="shared" si="41"/>
        <v>454488</v>
      </c>
      <c r="K32" s="740">
        <f t="shared" si="41"/>
        <v>447182</v>
      </c>
      <c r="L32" s="740">
        <f t="shared" si="41"/>
        <v>416931</v>
      </c>
      <c r="M32" s="740">
        <f t="shared" si="41"/>
        <v>304402</v>
      </c>
      <c r="N32" s="740">
        <f t="shared" si="41"/>
        <v>0</v>
      </c>
      <c r="O32" s="740">
        <f t="shared" si="41"/>
        <v>188264</v>
      </c>
      <c r="P32" s="741">
        <f t="shared" si="38"/>
        <v>188264</v>
      </c>
      <c r="Q32" s="742"/>
      <c r="R32" s="743">
        <f t="shared" ref="R32:AC32" si="42">R11</f>
        <v>283359</v>
      </c>
      <c r="S32" s="744">
        <f t="shared" si="42"/>
        <v>342718</v>
      </c>
      <c r="T32" s="744">
        <f t="shared" si="42"/>
        <v>313212</v>
      </c>
      <c r="U32" s="744">
        <f t="shared" si="42"/>
        <v>298093</v>
      </c>
      <c r="V32" s="744">
        <f t="shared" si="42"/>
        <v>206617</v>
      </c>
      <c r="W32" s="744">
        <f t="shared" si="42"/>
        <v>235875</v>
      </c>
      <c r="X32" s="744">
        <f t="shared" si="42"/>
        <v>360135</v>
      </c>
      <c r="Y32" s="744">
        <f t="shared" si="42"/>
        <v>361665</v>
      </c>
      <c r="Z32" s="744">
        <f t="shared" si="42"/>
        <v>353400</v>
      </c>
      <c r="AA32" s="744">
        <f t="shared" si="42"/>
        <v>272097</v>
      </c>
      <c r="AB32" s="744">
        <f t="shared" si="42"/>
        <v>170626</v>
      </c>
      <c r="AC32" s="744">
        <f t="shared" si="42"/>
        <v>197551</v>
      </c>
      <c r="AD32" s="745">
        <f t="shared" si="40"/>
        <v>197551</v>
      </c>
      <c r="AE32" s="746"/>
      <c r="AF32" s="744">
        <f>AF11-AF68</f>
        <v>255339</v>
      </c>
      <c r="AG32" s="744">
        <f>AG11-AG68</f>
        <v>292621</v>
      </c>
      <c r="AH32" s="744">
        <f>AH11-AH68</f>
        <v>397976</v>
      </c>
      <c r="AI32" s="744">
        <f>AI11-AI68</f>
        <v>388165</v>
      </c>
      <c r="AJ32" s="744">
        <f>AJ11-AJ68</f>
        <v>409301</v>
      </c>
      <c r="AK32" s="744">
        <f>AK11-AK68</f>
        <v>490913</v>
      </c>
      <c r="AL32" s="744">
        <f>AL11-AL68</f>
        <v>563229</v>
      </c>
      <c r="AM32" s="744">
        <f>AM11-AM68</f>
        <v>559169</v>
      </c>
      <c r="AN32" s="744">
        <f>AN11-AN68</f>
        <v>487294</v>
      </c>
      <c r="AO32" s="744">
        <f>AO11-AO68</f>
        <v>407614</v>
      </c>
      <c r="AP32" s="744">
        <f>AP11-AP68</f>
        <v>503756</v>
      </c>
      <c r="AQ32" s="744">
        <f>AQ11-AQ68</f>
        <v>522741</v>
      </c>
      <c r="AR32" s="744">
        <f t="shared" si="10"/>
        <v>522741</v>
      </c>
      <c r="AS32" s="746"/>
      <c r="AT32" s="744">
        <f>AT11-AT68</f>
        <v>364736</v>
      </c>
      <c r="AU32" s="744">
        <f>AU11-AU68</f>
        <v>382608</v>
      </c>
      <c r="AV32" s="744">
        <f>AV11-AV68</f>
        <v>322837</v>
      </c>
      <c r="AW32" s="744">
        <f>AW11-AW68</f>
        <v>339249</v>
      </c>
      <c r="AX32" s="744">
        <f>AX11-AX68</f>
        <v>382307</v>
      </c>
      <c r="AY32" s="744">
        <f>AY11-AY68</f>
        <v>446417</v>
      </c>
      <c r="AZ32" s="744">
        <f>AZ11-AZ68</f>
        <v>406019</v>
      </c>
      <c r="BA32" s="744">
        <f>BA11-BA68</f>
        <v>457091</v>
      </c>
      <c r="BB32" s="744">
        <f>BB11-BB68</f>
        <v>439103</v>
      </c>
      <c r="BC32" s="744">
        <f>BB32-BC35+BC82-BC68</f>
        <v>267702.70924434217</v>
      </c>
      <c r="BD32" s="744">
        <f>BC32-BD35+BD82-BD68</f>
        <v>224792.12236286921</v>
      </c>
      <c r="BE32" s="744">
        <f>BD32-BE35+BE82-BE68</f>
        <v>209302.50939777523</v>
      </c>
      <c r="BF32" s="744">
        <f>BE32</f>
        <v>209302.50939777523</v>
      </c>
      <c r="BG32" s="747">
        <f>BG35/AR35</f>
        <v>7.0333736034655189E-2</v>
      </c>
      <c r="BH32" s="744">
        <f>BH11-BH68</f>
        <v>287739</v>
      </c>
      <c r="BI32" s="744">
        <f>BI11-BI68</f>
        <v>274599</v>
      </c>
      <c r="BJ32" s="744">
        <f>BJ11-BJ68</f>
        <v>249895</v>
      </c>
      <c r="BK32" s="744">
        <f>BK11-BK68</f>
        <v>311315</v>
      </c>
      <c r="BL32" s="744">
        <f>BL11-BL68</f>
        <v>277855</v>
      </c>
      <c r="BM32" s="744">
        <f>BM11-BM68</f>
        <v>301815</v>
      </c>
      <c r="BN32" s="744">
        <f>BN11-BN68</f>
        <v>325519</v>
      </c>
      <c r="BO32" s="744">
        <f>BO11-BO68</f>
        <v>255915</v>
      </c>
      <c r="BP32" s="744">
        <f>BP11-BP68</f>
        <v>198711</v>
      </c>
      <c r="BQ32" s="744">
        <f>BQ11-BQ68</f>
        <v>182301</v>
      </c>
      <c r="BR32" s="744">
        <f>BR11-BR68</f>
        <v>228035</v>
      </c>
      <c r="BS32" s="744">
        <f>BS11-BS68</f>
        <v>201165</v>
      </c>
      <c r="BT32" s="744">
        <f t="shared" si="32"/>
        <v>201165</v>
      </c>
      <c r="BU32" s="746"/>
      <c r="BV32" s="744">
        <f>BV11-BV68</f>
        <v>247713</v>
      </c>
      <c r="BW32" s="744">
        <f>BW11-BW68</f>
        <v>278707</v>
      </c>
      <c r="BX32" s="744">
        <f>BX11-BX68</f>
        <v>281829</v>
      </c>
      <c r="BY32" s="744">
        <f>BY11-BY68</f>
        <v>317753</v>
      </c>
      <c r="BZ32" s="744">
        <f>BZ11-BZ68</f>
        <v>270339</v>
      </c>
      <c r="CA32" s="744">
        <f>CA11-CA68</f>
        <v>310383</v>
      </c>
      <c r="CB32" s="744">
        <f>CB11-CB68</f>
        <v>328365</v>
      </c>
      <c r="CC32" s="744">
        <f>CC11-CC68</f>
        <v>333476</v>
      </c>
      <c r="CD32" s="744">
        <f>CD11-CD68</f>
        <v>306264</v>
      </c>
      <c r="CE32" s="744">
        <f>CE11-CE68</f>
        <v>270370</v>
      </c>
      <c r="CF32" s="744">
        <f>CF11-CF68</f>
        <v>194014</v>
      </c>
      <c r="CG32" s="744">
        <f>CG11-CG68</f>
        <v>182266</v>
      </c>
      <c r="CH32" s="744">
        <f t="shared" si="30"/>
        <v>182266</v>
      </c>
      <c r="CJ32" s="744">
        <f t="shared" ref="CJ32:CL32" si="43">CJ29+CJ28+CJ12</f>
        <v>234793</v>
      </c>
      <c r="CK32" s="744">
        <f t="shared" si="43"/>
        <v>267818</v>
      </c>
      <c r="CL32" s="744">
        <f t="shared" si="43"/>
        <v>271663</v>
      </c>
      <c r="CM32" s="744">
        <f>CM29+CM28+CM12</f>
        <v>297485</v>
      </c>
      <c r="CN32" s="744">
        <f>CM32-CN35+CN82</f>
        <v>307923.8879612374</v>
      </c>
      <c r="CO32" s="744">
        <f>CN32-CO35+CO82</f>
        <v>370977.73306000745</v>
      </c>
      <c r="CP32" s="744">
        <f>CO32-CP35+CP82</f>
        <v>403860.22259587242</v>
      </c>
      <c r="CQ32" s="744">
        <f>CP32-CQ35+CQ82</f>
        <v>381854.52867182181</v>
      </c>
      <c r="CR32" s="744">
        <f>CQ32-CR35+CR82</f>
        <v>333996.33782793995</v>
      </c>
      <c r="CS32" s="744">
        <f>CR32-CS35+CS82</f>
        <v>289282.38677308767</v>
      </c>
      <c r="CT32" s="744">
        <f>CS32-CT35+CT82</f>
        <v>280258.78567604127</v>
      </c>
      <c r="CU32" s="744">
        <f>CT32-CU35+CU82</f>
        <v>302607.39327097801</v>
      </c>
      <c r="CV32" s="744">
        <v>116080.10690622788</v>
      </c>
      <c r="CW32" s="758"/>
      <c r="CX32" s="744">
        <f>CU32-CX35+CX82</f>
        <v>234494.49327097798</v>
      </c>
      <c r="CY32" s="744">
        <f>CX32-CY35+CY82</f>
        <v>133359.09327097796</v>
      </c>
      <c r="CZ32" s="744">
        <f t="shared" ref="CZ32:DI32" si="44">CY32-CZ35+CZ82</f>
        <v>-32260.906729022041</v>
      </c>
      <c r="DA32" s="744">
        <f t="shared" si="44"/>
        <v>-155220.90672902204</v>
      </c>
      <c r="DB32" s="744">
        <f t="shared" si="44"/>
        <v>-163416.90672902204</v>
      </c>
      <c r="DC32" s="744">
        <f t="shared" si="44"/>
        <v>-163546.90672902204</v>
      </c>
      <c r="DD32" s="744">
        <f t="shared" si="44"/>
        <v>-214868.32672902208</v>
      </c>
      <c r="DE32" s="744">
        <f t="shared" si="44"/>
        <v>-310778.95672902209</v>
      </c>
      <c r="DF32" s="744">
        <f t="shared" si="44"/>
        <v>-461784.76672902214</v>
      </c>
      <c r="DG32" s="744">
        <f t="shared" si="44"/>
        <v>-537683.98672902223</v>
      </c>
      <c r="DH32" s="744">
        <f t="shared" si="44"/>
        <v>-553023.94672902231</v>
      </c>
      <c r="DI32" s="744">
        <f t="shared" si="44"/>
        <v>-541835.10672902234</v>
      </c>
      <c r="DJ32" s="744">
        <v>116080.10690622788</v>
      </c>
      <c r="DK32" s="948"/>
      <c r="DL32" s="744"/>
      <c r="DM32" s="744"/>
      <c r="DN32" s="744"/>
      <c r="DO32" s="744"/>
      <c r="DP32" s="744"/>
      <c r="DQ32" s="744"/>
      <c r="DR32" s="744"/>
      <c r="DS32" s="744"/>
      <c r="DT32" s="744"/>
      <c r="DU32" s="744"/>
      <c r="DV32" s="744"/>
      <c r="DW32" s="744"/>
      <c r="DX32" s="744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</row>
    <row r="33" spans="1:143" ht="18.75" hidden="1">
      <c r="A33" s="46"/>
      <c r="B33" s="912" t="s">
        <v>48</v>
      </c>
      <c r="C33" s="913"/>
      <c r="D33" s="283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284"/>
      <c r="Q33" s="49"/>
      <c r="R33" s="283"/>
      <c r="S33" s="50"/>
      <c r="T33" s="50"/>
      <c r="U33" s="50"/>
      <c r="V33" s="51"/>
      <c r="W33" s="51"/>
      <c r="X33" s="51"/>
      <c r="Y33" s="51"/>
      <c r="Z33" s="51"/>
      <c r="AA33" s="51"/>
      <c r="AB33" s="51"/>
      <c r="AC33" s="50"/>
      <c r="AD33" s="285"/>
      <c r="AE33" s="23"/>
      <c r="AF33" s="286">
        <f>AF11/AG35</f>
        <v>1.4346741432881778</v>
      </c>
      <c r="AG33" s="286">
        <f>AG11/AH35</f>
        <v>3.9745327610561771</v>
      </c>
      <c r="AH33" s="286">
        <f>AH11/AI35</f>
        <v>4.4537254638644557</v>
      </c>
      <c r="AI33" s="286">
        <f>AI11/AJ35</f>
        <v>3.1781895295331357</v>
      </c>
      <c r="AJ33" s="286">
        <f>AJ11/AK35</f>
        <v>2.7551225094238019</v>
      </c>
      <c r="AK33" s="286">
        <f>AK11/AL35</f>
        <v>3.2297970327971317</v>
      </c>
      <c r="AL33" s="286">
        <f>AL11/AM35</f>
        <v>2.3575635299682296</v>
      </c>
      <c r="AM33" s="286">
        <f>AM11/AN35</f>
        <v>2.1413160582078121</v>
      </c>
      <c r="AN33" s="286">
        <f>AN11/AO35</f>
        <v>1.9042360296991012</v>
      </c>
      <c r="AO33" s="286">
        <f>AO11/AP35</f>
        <v>3.1686411691542289</v>
      </c>
      <c r="AP33" s="286">
        <f>AP11/AQ35</f>
        <v>5.1487735077677845</v>
      </c>
      <c r="AQ33" s="286">
        <f>AQ11/AT35</f>
        <v>3.4807306746186968</v>
      </c>
      <c r="AR33" s="287">
        <f>AQ33</f>
        <v>3.4807306746186968</v>
      </c>
      <c r="AS33" s="23"/>
      <c r="AT33" s="286">
        <f>AT11/AU35</f>
        <v>2.7971286279646934</v>
      </c>
      <c r="AU33" s="286">
        <f>AU11/AV35</f>
        <v>3.0710063937614676</v>
      </c>
      <c r="AV33" s="286">
        <f>AV11/AW35</f>
        <v>2.5847779910329129</v>
      </c>
      <c r="AW33" s="286">
        <f>AW11/AX35</f>
        <v>3.3142307600651066</v>
      </c>
      <c r="AX33" s="286">
        <f>AX11/AY35</f>
        <v>3.0202081128011216</v>
      </c>
      <c r="AY33" s="286">
        <f>AY11/(AZ65+AZ64)</f>
        <v>3.0375411110446691</v>
      </c>
      <c r="AZ33" s="286">
        <f>AZ11/(BA65+BA64)</f>
        <v>1.7862994390436959</v>
      </c>
      <c r="BA33" s="286">
        <f>BA11/(BB65+BB64)</f>
        <v>2.3917338115287117</v>
      </c>
      <c r="BB33" s="286">
        <f>BB11/(BC65+BC64)</f>
        <v>2.0297186803388318</v>
      </c>
      <c r="BC33" s="286">
        <f>BC11/(BD65+BD64)</f>
        <v>2.9418601583113455</v>
      </c>
      <c r="BD33" s="286">
        <f>BD11/(BE65+BE64)</f>
        <v>5.3595753009100697</v>
      </c>
      <c r="BE33" s="286">
        <f>BE11/BH35</f>
        <v>2.3338657833234047</v>
      </c>
      <c r="BF33" s="52"/>
      <c r="BG33" s="27"/>
      <c r="BH33" s="418">
        <f>BH11/BI35</f>
        <v>2.4324841588586663</v>
      </c>
      <c r="BI33" s="418">
        <f>BI11/BJ35</f>
        <v>2.0694790126570033</v>
      </c>
      <c r="BJ33" s="418">
        <f>BJ11/BK35</f>
        <v>2.1548303749075362</v>
      </c>
      <c r="BK33" s="418">
        <f>BK11/BL35</f>
        <v>2.940658548141605</v>
      </c>
      <c r="BL33" s="418">
        <f>BL11/BM35</f>
        <v>2.5009495450993295</v>
      </c>
      <c r="BM33" s="418">
        <f>BM11/BN35</f>
        <v>2.0577586855214944</v>
      </c>
      <c r="BN33" s="418">
        <f>BN11/BO35</f>
        <v>2.3320530115558045</v>
      </c>
      <c r="BO33" s="419"/>
      <c r="BP33" s="419"/>
      <c r="BQ33" s="419"/>
      <c r="BR33" s="419"/>
      <c r="BS33" s="419"/>
      <c r="BT33" s="419"/>
      <c r="BU33" s="54"/>
      <c r="BV33" s="286">
        <v>0</v>
      </c>
      <c r="BW33" s="286">
        <v>0</v>
      </c>
      <c r="BX33" s="286">
        <v>0</v>
      </c>
      <c r="BY33" s="418">
        <v>0</v>
      </c>
      <c r="BZ33" s="418">
        <v>0</v>
      </c>
      <c r="CA33" s="418">
        <v>0</v>
      </c>
      <c r="CB33" s="418">
        <v>0</v>
      </c>
      <c r="CC33" s="418">
        <v>0</v>
      </c>
      <c r="CD33" s="418">
        <v>0</v>
      </c>
      <c r="CE33" s="418">
        <v>0</v>
      </c>
      <c r="CF33" s="418">
        <v>0</v>
      </c>
      <c r="CG33" s="419"/>
      <c r="CH33" s="419"/>
      <c r="CJ33" s="286">
        <v>0</v>
      </c>
      <c r="CK33" s="286">
        <v>0</v>
      </c>
      <c r="CL33" s="286">
        <v>0</v>
      </c>
      <c r="CM33" s="418">
        <v>0</v>
      </c>
      <c r="CN33" s="418">
        <v>0</v>
      </c>
      <c r="CO33" s="418">
        <v>0</v>
      </c>
      <c r="CP33" s="418">
        <v>0</v>
      </c>
      <c r="CQ33" s="418">
        <v>0</v>
      </c>
      <c r="CR33" s="418">
        <v>0</v>
      </c>
      <c r="CS33" s="418">
        <v>0</v>
      </c>
      <c r="CT33" s="418">
        <v>0</v>
      </c>
      <c r="CU33" s="419"/>
      <c r="CV33" s="419"/>
      <c r="CW33" s="758"/>
      <c r="CX33" s="877">
        <v>0</v>
      </c>
      <c r="CY33" s="877">
        <v>0</v>
      </c>
      <c r="CZ33" s="877">
        <v>0</v>
      </c>
      <c r="DA33" s="878">
        <v>0</v>
      </c>
      <c r="DB33" s="878">
        <v>0</v>
      </c>
      <c r="DC33" s="878">
        <v>0</v>
      </c>
      <c r="DD33" s="878">
        <v>0</v>
      </c>
      <c r="DE33" s="878">
        <v>0</v>
      </c>
      <c r="DF33" s="878">
        <v>0</v>
      </c>
      <c r="DG33" s="878">
        <v>0</v>
      </c>
      <c r="DH33" s="878">
        <v>0</v>
      </c>
      <c r="DI33" s="879"/>
      <c r="DJ33" s="419"/>
      <c r="DK33" s="948"/>
      <c r="DL33" s="877">
        <v>0</v>
      </c>
      <c r="DM33" s="877">
        <v>0</v>
      </c>
      <c r="DN33" s="877">
        <v>0</v>
      </c>
      <c r="DO33" s="878">
        <v>0</v>
      </c>
      <c r="DP33" s="878">
        <v>0</v>
      </c>
      <c r="DQ33" s="878">
        <v>0</v>
      </c>
      <c r="DR33" s="878">
        <v>0</v>
      </c>
      <c r="DS33" s="878">
        <v>0</v>
      </c>
      <c r="DT33" s="878">
        <v>0</v>
      </c>
      <c r="DU33" s="878">
        <v>0</v>
      </c>
      <c r="DV33" s="878">
        <v>0</v>
      </c>
      <c r="DW33" s="879"/>
      <c r="DX33" s="419"/>
    </row>
    <row r="34" spans="1:143" ht="18.75" hidden="1">
      <c r="A34" s="29"/>
      <c r="B34" s="906" t="s">
        <v>41</v>
      </c>
      <c r="C34" s="907"/>
      <c r="D34" s="274">
        <f>D11-D25</f>
        <v>270670</v>
      </c>
      <c r="E34" s="30">
        <f>E11-E25</f>
        <v>282709</v>
      </c>
      <c r="F34" s="30">
        <f>F11-F25</f>
        <v>285223</v>
      </c>
      <c r="G34" s="30">
        <f>G11-G25</f>
        <v>287349</v>
      </c>
      <c r="H34" s="30">
        <f>H11-H25</f>
        <v>313961</v>
      </c>
      <c r="I34" s="30">
        <f>I11-I25</f>
        <v>362411</v>
      </c>
      <c r="J34" s="30">
        <f>J11-J25</f>
        <v>413467</v>
      </c>
      <c r="K34" s="30">
        <f>K11-K25</f>
        <v>415958</v>
      </c>
      <c r="L34" s="30">
        <f>L11-L25</f>
        <v>416931</v>
      </c>
      <c r="M34" s="30">
        <f>M11-M25</f>
        <v>294116</v>
      </c>
      <c r="N34" s="30">
        <f>N11-N25</f>
        <v>0</v>
      </c>
      <c r="O34" s="30">
        <f>O11-O25</f>
        <v>188264</v>
      </c>
      <c r="P34" s="275"/>
      <c r="Q34" s="31"/>
      <c r="R34" s="274">
        <f>R11-R25</f>
        <v>247843</v>
      </c>
      <c r="S34" s="32">
        <f>S11-S25</f>
        <v>306756</v>
      </c>
      <c r="T34" s="32">
        <f>T11-T25</f>
        <v>277250</v>
      </c>
      <c r="U34" s="32">
        <f>U11-U25</f>
        <v>262131</v>
      </c>
      <c r="V34" s="32">
        <f>V11-V25</f>
        <v>171617</v>
      </c>
      <c r="W34" s="32">
        <f>W11-W25</f>
        <v>235875</v>
      </c>
      <c r="X34" s="32">
        <f>X11-X25</f>
        <v>354012</v>
      </c>
      <c r="Y34" s="32">
        <f>Y11-Y25</f>
        <v>355542</v>
      </c>
      <c r="Z34" s="32">
        <f>Z11-Z25</f>
        <v>349213</v>
      </c>
      <c r="AA34" s="32">
        <f>AA11-AA25</f>
        <v>269352</v>
      </c>
      <c r="AB34" s="32">
        <f>AB11-AB25</f>
        <v>170626</v>
      </c>
      <c r="AC34" s="32"/>
      <c r="AD34" s="276"/>
      <c r="AE34" s="17"/>
      <c r="AF34" s="32">
        <f>AF11-AF25</f>
        <v>246973</v>
      </c>
      <c r="AG34" s="32">
        <f>AG11-AG25</f>
        <v>281087</v>
      </c>
      <c r="AH34" s="32">
        <f>AH11-AH25</f>
        <v>386469</v>
      </c>
      <c r="AI34" s="32">
        <f>AI11-AI25</f>
        <v>379017</v>
      </c>
      <c r="AJ34" s="32">
        <f>AJ11-AJ25</f>
        <v>400777</v>
      </c>
      <c r="AK34" s="32">
        <f>AK11-AK25</f>
        <v>465623</v>
      </c>
      <c r="AL34" s="32">
        <f>AL11-AL25</f>
        <v>472149</v>
      </c>
      <c r="AM34" s="32">
        <f>AM11-AM25</f>
        <v>492339</v>
      </c>
      <c r="AN34" s="32">
        <f>AN11-AN25</f>
        <v>450428</v>
      </c>
      <c r="AO34" s="32">
        <f>AO11-AO25</f>
        <v>391441</v>
      </c>
      <c r="AP34" s="32">
        <f>AP11-AP25</f>
        <v>325482</v>
      </c>
      <c r="AQ34" s="32">
        <f>AQ11-AQ25</f>
        <v>321014</v>
      </c>
      <c r="AR34" s="32">
        <f>AQ34</f>
        <v>321014</v>
      </c>
      <c r="AS34" s="17"/>
      <c r="AT34" s="32">
        <f>AT11-AT25</f>
        <v>350303</v>
      </c>
      <c r="AU34" s="32">
        <f>AU11-AU25</f>
        <v>323931</v>
      </c>
      <c r="AV34" s="32">
        <f>AV11-AV25</f>
        <v>307980</v>
      </c>
      <c r="AW34" s="32">
        <f>AW11-AW25</f>
        <v>292777</v>
      </c>
      <c r="AX34" s="32">
        <f>AX11-AX25</f>
        <v>296754</v>
      </c>
      <c r="AY34" s="32">
        <f>AY11-AY25</f>
        <v>344037</v>
      </c>
      <c r="AZ34" s="32">
        <f>AZ11-AZ25</f>
        <v>367566</v>
      </c>
      <c r="BA34" s="32">
        <f>BA11-BA25</f>
        <v>372442</v>
      </c>
      <c r="BB34" s="32">
        <f>BB11-BB25</f>
        <v>375154</v>
      </c>
      <c r="BC34" s="32">
        <f>BC11-BC25</f>
        <v>340466</v>
      </c>
      <c r="BD34" s="32">
        <f>BD11-BD25</f>
        <v>314581</v>
      </c>
      <c r="BE34" s="32">
        <f>BE11-BE25</f>
        <v>253219</v>
      </c>
      <c r="BF34" s="32">
        <f>BE34</f>
        <v>253219</v>
      </c>
      <c r="BG34" s="17"/>
      <c r="BH34" s="32">
        <f>BH11-BH25</f>
        <v>307512</v>
      </c>
      <c r="BI34" s="32">
        <f>BI11-BI25</f>
        <v>302058</v>
      </c>
      <c r="BJ34" s="32">
        <f>BJ11-BJ25</f>
        <v>315841</v>
      </c>
      <c r="BK34" s="32">
        <f>BK11-BK25</f>
        <v>306027</v>
      </c>
      <c r="BL34" s="32">
        <f>BL11-BL25</f>
        <v>299077</v>
      </c>
      <c r="BM34" s="32">
        <f>BM11-BM25</f>
        <v>293121</v>
      </c>
      <c r="BN34" s="32">
        <f>BN11-BN25</f>
        <v>335286</v>
      </c>
      <c r="BO34" s="32">
        <f>BO11-BO25</f>
        <v>322561</v>
      </c>
      <c r="BP34" s="32">
        <f>BP11-BP25</f>
        <v>304307</v>
      </c>
      <c r="BQ34" s="32">
        <f>BQ11-BQ25</f>
        <v>280100</v>
      </c>
      <c r="BR34" s="32">
        <f>BR11-BR25</f>
        <v>215852</v>
      </c>
      <c r="BS34" s="32">
        <f>BS11-BS25</f>
        <v>188982</v>
      </c>
      <c r="BT34" s="32">
        <f>BS34</f>
        <v>188982</v>
      </c>
      <c r="BU34" s="28"/>
      <c r="BV34" s="32">
        <f>BV21-BV25-BV26</f>
        <v>146255</v>
      </c>
      <c r="BW34" s="32">
        <f>BW21-BW25-BW26</f>
        <v>155653</v>
      </c>
      <c r="BX34" s="32">
        <f>BX21-BX25-BX26</f>
        <v>86338</v>
      </c>
      <c r="BY34" s="32">
        <f>BY21-BY25-BY26</f>
        <v>106862</v>
      </c>
      <c r="BZ34" s="32">
        <f>BZ21-BZ25-BZ26</f>
        <v>112822</v>
      </c>
      <c r="CA34" s="32">
        <f>CA21-CA25-CA26</f>
        <v>149996</v>
      </c>
      <c r="CB34" s="32">
        <f>CB21-CB25-CB26</f>
        <v>145027</v>
      </c>
      <c r="CC34" s="32">
        <f>CC21-CC25-CC26</f>
        <v>102851</v>
      </c>
      <c r="CD34" s="32">
        <f>CD21-CD25-CD26</f>
        <v>116047</v>
      </c>
      <c r="CE34" s="32">
        <f>CE21-CE25-CE26</f>
        <v>86207</v>
      </c>
      <c r="CF34" s="32">
        <f>CF21-CF25-CF26</f>
        <v>109973</v>
      </c>
      <c r="CG34" s="32">
        <f>CG21-CG25-CG26</f>
        <v>94532</v>
      </c>
      <c r="CH34" s="32">
        <f>CH21-CH25-CH26</f>
        <v>94532</v>
      </c>
      <c r="CJ34" s="32">
        <f>CJ21-CJ25-CJ26</f>
        <v>78423</v>
      </c>
      <c r="CK34" s="32">
        <f>CK21-CK25-CK26</f>
        <v>78497</v>
      </c>
      <c r="CL34" s="32">
        <f>CL21-CL25-CL26</f>
        <v>75052</v>
      </c>
      <c r="CM34" s="32">
        <f>CM21-CM25-CM26</f>
        <v>121130</v>
      </c>
      <c r="CN34" s="32">
        <f>CN21-CN25-CN26</f>
        <v>175907.8879612374</v>
      </c>
      <c r="CO34" s="32">
        <f>CO21-CO25-CO26</f>
        <v>238961.73306000742</v>
      </c>
      <c r="CP34" s="32">
        <f>CP21-CP25-CP26</f>
        <v>271844.22259587242</v>
      </c>
      <c r="CQ34" s="32">
        <f>CQ21-CQ25-CQ26</f>
        <v>249838.52867182181</v>
      </c>
      <c r="CR34" s="32">
        <f>CR21-CR25-CR26</f>
        <v>201980.33782793995</v>
      </c>
      <c r="CS34" s="32">
        <f>CS21-CS25-CS26</f>
        <v>62966</v>
      </c>
      <c r="CT34" s="32">
        <f>CT21-CT25-CT26</f>
        <v>101848.14995780593</v>
      </c>
      <c r="CU34" s="32">
        <f>CU21-CU25-CU26</f>
        <v>111197.32717299581</v>
      </c>
      <c r="CV34" s="32">
        <v>116080.10690622788</v>
      </c>
      <c r="CW34" s="758"/>
      <c r="CX34" s="872">
        <v>242497</v>
      </c>
      <c r="CY34" s="872">
        <v>234422.08006563294</v>
      </c>
      <c r="CZ34" s="872">
        <v>194348.7132915963</v>
      </c>
      <c r="DA34" s="872">
        <v>223062.99421980139</v>
      </c>
      <c r="DB34" s="872">
        <v>228884.86858944659</v>
      </c>
      <c r="DC34" s="872">
        <v>240669.78918926936</v>
      </c>
      <c r="DD34" s="872">
        <v>234679.65868928705</v>
      </c>
      <c r="DE34" s="872">
        <v>197008.01236523816</v>
      </c>
      <c r="DF34" s="872">
        <v>148007.96159444697</v>
      </c>
      <c r="DG34" s="872">
        <v>111276.29521213027</v>
      </c>
      <c r="DH34" s="872">
        <v>93072.105643725808</v>
      </c>
      <c r="DI34" s="872">
        <v>116080.10690622788</v>
      </c>
      <c r="DJ34" s="32">
        <v>116080.10690622788</v>
      </c>
      <c r="DK34" s="948"/>
      <c r="DL34" s="872">
        <v>242497</v>
      </c>
      <c r="DM34" s="872">
        <v>234422.08006563294</v>
      </c>
      <c r="DN34" s="872">
        <v>194348.7132915963</v>
      </c>
      <c r="DO34" s="872">
        <v>223062.99421980139</v>
      </c>
      <c r="DP34" s="872">
        <v>228884.86858944659</v>
      </c>
      <c r="DQ34" s="872">
        <v>240669.78918926936</v>
      </c>
      <c r="DR34" s="872">
        <v>234679.65868928705</v>
      </c>
      <c r="DS34" s="872">
        <v>197008.01236523816</v>
      </c>
      <c r="DT34" s="872">
        <v>148007.96159444697</v>
      </c>
      <c r="DU34" s="872">
        <v>111276.29521213027</v>
      </c>
      <c r="DV34" s="872">
        <v>93072.105643725808</v>
      </c>
      <c r="DW34" s="872">
        <v>116080.10690622788</v>
      </c>
      <c r="DX34" s="32">
        <v>116080.10690622788</v>
      </c>
    </row>
    <row r="35" spans="1:143" s="594" customFormat="1" ht="18.75">
      <c r="A35" s="1005">
        <v>6</v>
      </c>
      <c r="B35" s="1038" t="s">
        <v>49</v>
      </c>
      <c r="C35" s="1039"/>
      <c r="D35" s="1040">
        <f t="shared" ref="D35:P35" si="45">SUM(D39:D62)</f>
        <v>82250</v>
      </c>
      <c r="E35" s="1041">
        <f t="shared" si="45"/>
        <v>117000</v>
      </c>
      <c r="F35" s="1041">
        <f t="shared" si="45"/>
        <v>121750</v>
      </c>
      <c r="G35" s="1041">
        <f t="shared" si="45"/>
        <v>150000</v>
      </c>
      <c r="H35" s="1041">
        <f t="shared" si="45"/>
        <v>99500</v>
      </c>
      <c r="I35" s="1041">
        <f t="shared" si="45"/>
        <v>102000</v>
      </c>
      <c r="J35" s="1041">
        <f t="shared" si="45"/>
        <v>177632</v>
      </c>
      <c r="K35" s="1041">
        <f t="shared" si="45"/>
        <v>178158</v>
      </c>
      <c r="L35" s="1041">
        <f t="shared" si="45"/>
        <v>199211</v>
      </c>
      <c r="M35" s="1041">
        <f t="shared" si="45"/>
        <v>229474</v>
      </c>
      <c r="N35" s="1041">
        <f t="shared" si="45"/>
        <v>122368</v>
      </c>
      <c r="O35" s="1041">
        <f t="shared" si="45"/>
        <v>38421</v>
      </c>
      <c r="P35" s="1042">
        <f t="shared" si="45"/>
        <v>1617764</v>
      </c>
      <c r="Q35" s="1043"/>
      <c r="R35" s="1040">
        <f t="shared" ref="R35:AC35" si="46">R39+R63</f>
        <v>136177.33998294926</v>
      </c>
      <c r="S35" s="1044">
        <f t="shared" si="46"/>
        <v>143840.32639116928</v>
      </c>
      <c r="T35" s="1044">
        <f t="shared" si="46"/>
        <v>142553.77192982455</v>
      </c>
      <c r="U35" s="1044">
        <f t="shared" si="46"/>
        <v>19814.899999999998</v>
      </c>
      <c r="V35" s="1044">
        <f t="shared" si="46"/>
        <v>52085</v>
      </c>
      <c r="W35" s="1045">
        <f t="shared" si="46"/>
        <v>70169.381950239796</v>
      </c>
      <c r="X35" s="1045">
        <f t="shared" si="46"/>
        <v>144463.33333333299</v>
      </c>
      <c r="Y35" s="1045">
        <f t="shared" si="46"/>
        <v>226547.08333333331</v>
      </c>
      <c r="Z35" s="1045">
        <f t="shared" si="46"/>
        <v>273187.5</v>
      </c>
      <c r="AA35" s="1045">
        <f t="shared" si="46"/>
        <v>172100</v>
      </c>
      <c r="AB35" s="1045">
        <f t="shared" si="46"/>
        <v>37500</v>
      </c>
      <c r="AC35" s="1045">
        <f t="shared" si="46"/>
        <v>0</v>
      </c>
      <c r="AD35" s="1046">
        <f>SUM(R35:AC35)</f>
        <v>1418438.6369208493</v>
      </c>
      <c r="AE35" s="1047"/>
      <c r="AF35" s="1048">
        <f>AF39+AF63</f>
        <v>128646</v>
      </c>
      <c r="AG35" s="1044">
        <f t="shared" ref="AG35:AQ35" si="47">AG39+AG63</f>
        <v>177977</v>
      </c>
      <c r="AH35" s="1044">
        <f t="shared" si="47"/>
        <v>73624</v>
      </c>
      <c r="AI35" s="1044">
        <f t="shared" si="47"/>
        <v>89358</v>
      </c>
      <c r="AJ35" s="1044">
        <f t="shared" si="47"/>
        <v>122134</v>
      </c>
      <c r="AK35" s="1044">
        <f t="shared" si="47"/>
        <v>148560</v>
      </c>
      <c r="AL35" s="1044">
        <f t="shared" si="47"/>
        <v>151995</v>
      </c>
      <c r="AM35" s="1044">
        <f t="shared" si="47"/>
        <v>238903</v>
      </c>
      <c r="AN35" s="1044">
        <f t="shared" si="47"/>
        <v>261133.33333333334</v>
      </c>
      <c r="AO35" s="1044">
        <f t="shared" si="47"/>
        <v>255900</v>
      </c>
      <c r="AP35" s="1044">
        <f t="shared" si="47"/>
        <v>128640</v>
      </c>
      <c r="AQ35" s="1044">
        <f t="shared" si="47"/>
        <v>97840</v>
      </c>
      <c r="AR35" s="1044">
        <f>SUM(AF35:AQ35)</f>
        <v>1874710.3333333333</v>
      </c>
      <c r="AS35" s="1047"/>
      <c r="AT35" s="1044">
        <f t="shared" ref="AT35:BD35" si="48">AT39+AT63</f>
        <v>152749.25</v>
      </c>
      <c r="AU35" s="1044">
        <f t="shared" si="48"/>
        <v>168522.10344827586</v>
      </c>
      <c r="AV35" s="1044">
        <f t="shared" si="48"/>
        <v>154121.13793103449</v>
      </c>
      <c r="AW35" s="1044">
        <f t="shared" si="48"/>
        <v>159595.13793103449</v>
      </c>
      <c r="AX35" s="1044">
        <f t="shared" si="48"/>
        <v>120099.96551724138</v>
      </c>
      <c r="AY35" s="1044">
        <f t="shared" si="48"/>
        <v>138343.77777777778</v>
      </c>
      <c r="AZ35" s="1044">
        <f t="shared" si="48"/>
        <v>166673.77777777778</v>
      </c>
      <c r="BA35" s="1044">
        <f t="shared" si="48"/>
        <v>242442.29629629629</v>
      </c>
      <c r="BB35" s="1044">
        <f t="shared" si="48"/>
        <v>243407.77777777778</v>
      </c>
      <c r="BC35" s="1044">
        <f t="shared" si="48"/>
        <v>253368.29075565783</v>
      </c>
      <c r="BD35" s="1044">
        <f t="shared" si="48"/>
        <v>134555.58688147296</v>
      </c>
      <c r="BE35" s="1044">
        <f>BE39+BE64</f>
        <v>72686.612965093984</v>
      </c>
      <c r="BF35" s="1044">
        <f t="shared" ref="BF35:BF37" si="49">SUM(AT35:BE35)</f>
        <v>2006565.7150594404</v>
      </c>
      <c r="BG35" s="1047">
        <f>BF35-AR35</f>
        <v>131855.38172610709</v>
      </c>
      <c r="BH35" s="1044">
        <f>BH36+BH63</f>
        <v>152753</v>
      </c>
      <c r="BI35" s="1044">
        <f t="shared" ref="BI35:BN35" si="50">BI36+BI63</f>
        <v>146822.33333333331</v>
      </c>
      <c r="BJ35" s="1044">
        <f t="shared" si="50"/>
        <v>171546.07407407407</v>
      </c>
      <c r="BK35" s="1044">
        <f t="shared" si="50"/>
        <v>159771.74074074073</v>
      </c>
      <c r="BL35" s="1044">
        <f t="shared" si="50"/>
        <v>132496.85185185185</v>
      </c>
      <c r="BM35" s="1044">
        <f t="shared" si="50"/>
        <v>129906.25925925926</v>
      </c>
      <c r="BN35" s="1044">
        <f t="shared" si="50"/>
        <v>171383.55555555556</v>
      </c>
      <c r="BO35" s="1044">
        <f>BO36+BO64</f>
        <v>179550.37811111109</v>
      </c>
      <c r="BP35" s="1044">
        <f>BP36+BP64</f>
        <v>202053.74953703705</v>
      </c>
      <c r="BQ35" s="1044">
        <f>BQ36+BQ64</f>
        <v>163865</v>
      </c>
      <c r="BR35" s="1044">
        <f>BR36+BR64</f>
        <v>175620.6</v>
      </c>
      <c r="BS35" s="1044">
        <v>92285.6</v>
      </c>
      <c r="BT35" s="1044">
        <f t="shared" ref="BT35:BT37" si="51">SUM(BH35:BS35)</f>
        <v>1878055.142462963</v>
      </c>
      <c r="BU35" s="1049"/>
      <c r="BV35" s="1044">
        <f>BV39+(BV64)*$CI$35</f>
        <v>161157.867486095</v>
      </c>
      <c r="BW35" s="1044">
        <f t="shared" ref="BW35:CG35" si="52">BW39+(BW64)*$CI$35</f>
        <v>155966.83045180296</v>
      </c>
      <c r="BX35" s="1044">
        <f>BX39+(BX64)*$CI$35</f>
        <v>196111.53846153844</v>
      </c>
      <c r="BY35" s="1044">
        <f t="shared" si="52"/>
        <v>159169.23076923078</v>
      </c>
      <c r="BZ35" s="1044">
        <f>BZ39+(BZ64)*$CI$35</f>
        <v>151482.39341785663</v>
      </c>
      <c r="CA35" s="1044">
        <f t="shared" si="52"/>
        <v>141442.12910096842</v>
      </c>
      <c r="CB35" s="1044">
        <f>CB39+(CB64)*$CI$35</f>
        <v>176986.21444761599</v>
      </c>
      <c r="CC35" s="1044">
        <f t="shared" si="52"/>
        <v>201301.08944885107</v>
      </c>
      <c r="CD35" s="1044">
        <f t="shared" si="52"/>
        <v>212833.04013559342</v>
      </c>
      <c r="CE35" s="1044">
        <f t="shared" si="52"/>
        <v>215922.30386211892</v>
      </c>
      <c r="CF35" s="1044">
        <f>CF39+(CF64)*$CI$35</f>
        <v>171115.84223630186</v>
      </c>
      <c r="CG35" s="1044">
        <f t="shared" si="52"/>
        <v>87483.816691710366</v>
      </c>
      <c r="CH35" s="1044">
        <f t="shared" ref="CH35:CH36" si="53">SUM(BV35:CG35)</f>
        <v>2030972.2965096838</v>
      </c>
      <c r="CI35" s="1050">
        <v>0.95</v>
      </c>
      <c r="CJ35" s="1044">
        <f>CJ39+CJ73</f>
        <v>157916.36697726426</v>
      </c>
      <c r="CK35" s="1044">
        <f t="shared" ref="CK35:CU35" si="54">CK39+CK73</f>
        <v>174843.65981364145</v>
      </c>
      <c r="CL35" s="1044">
        <f t="shared" si="54"/>
        <v>166692.33329854641</v>
      </c>
      <c r="CM35" s="1044">
        <f t="shared" si="54"/>
        <v>165624.1587774879</v>
      </c>
      <c r="CN35" s="1044">
        <f>CN39+CN73</f>
        <v>167851.1120387626</v>
      </c>
      <c r="CO35" s="1044">
        <f>CO39+CO73</f>
        <v>134946.15490122998</v>
      </c>
      <c r="CP35" s="1044">
        <f t="shared" si="54"/>
        <v>212117.51046413503</v>
      </c>
      <c r="CQ35" s="1044">
        <f t="shared" si="54"/>
        <v>229905.6939240506</v>
      </c>
      <c r="CR35" s="1044">
        <f t="shared" si="54"/>
        <v>265658.19084388186</v>
      </c>
      <c r="CS35" s="1044">
        <f>CS39+CS73</f>
        <v>250292.95105485231</v>
      </c>
      <c r="CT35" s="1044">
        <f>CT39+CT73</f>
        <v>173363.6010970464</v>
      </c>
      <c r="CU35" s="1044">
        <f>CU39+CU73</f>
        <v>96311.392405063292</v>
      </c>
      <c r="CV35" s="1044">
        <f>SUM(CJ35:CU35)</f>
        <v>2195523.1255959622</v>
      </c>
      <c r="CW35" s="1051"/>
      <c r="CX35" s="1044">
        <f t="shared" ref="CX35:DD35" si="55">CX39+CX73</f>
        <v>200000</v>
      </c>
      <c r="CY35" s="1044">
        <f t="shared" si="55"/>
        <v>219000.00000000003</v>
      </c>
      <c r="CZ35" s="1044">
        <f t="shared" si="55"/>
        <v>167000</v>
      </c>
      <c r="DA35" s="1044">
        <f t="shared" si="55"/>
        <v>163800</v>
      </c>
      <c r="DB35" s="1044">
        <f t="shared" si="55"/>
        <v>160300</v>
      </c>
      <c r="DC35" s="1044">
        <f t="shared" si="55"/>
        <v>115300.00000000001</v>
      </c>
      <c r="DD35" s="1044">
        <f t="shared" si="55"/>
        <v>199906.54</v>
      </c>
      <c r="DE35" s="1044">
        <f>DE39+DE73</f>
        <v>212076.58000000002</v>
      </c>
      <c r="DF35" s="1044">
        <f>DF39+DF73</f>
        <v>272892.79000000004</v>
      </c>
      <c r="DG35" s="1044">
        <f>DG39+DG73</f>
        <v>222786.20000000004</v>
      </c>
      <c r="DH35" s="1044">
        <f t="shared" ref="DH35:DW35" si="56">DH39+DH73</f>
        <v>155428.18</v>
      </c>
      <c r="DI35" s="1044">
        <f t="shared" si="56"/>
        <v>89000</v>
      </c>
      <c r="DJ35" s="844">
        <f>SUM(CX35:DI35)</f>
        <v>2177490.29</v>
      </c>
      <c r="DK35" s="948"/>
      <c r="DL35" s="1044">
        <f t="shared" si="56"/>
        <v>221100</v>
      </c>
      <c r="DM35" s="1044">
        <f t="shared" si="56"/>
        <v>167400</v>
      </c>
      <c r="DN35" s="1044">
        <f t="shared" si="56"/>
        <v>202800</v>
      </c>
      <c r="DO35" s="1044">
        <f t="shared" si="56"/>
        <v>134600</v>
      </c>
      <c r="DP35" s="1044">
        <f t="shared" si="56"/>
        <v>125800</v>
      </c>
      <c r="DQ35" s="1044">
        <f t="shared" si="56"/>
        <v>118000</v>
      </c>
      <c r="DR35" s="1044">
        <f t="shared" si="56"/>
        <v>197000</v>
      </c>
      <c r="DS35" s="1044">
        <f t="shared" si="56"/>
        <v>250576.58000000002</v>
      </c>
      <c r="DT35" s="1044">
        <f>DT39+DT73</f>
        <v>323892.78999999998</v>
      </c>
      <c r="DU35" s="1044">
        <f t="shared" si="56"/>
        <v>262486.2</v>
      </c>
      <c r="DV35" s="1044">
        <f t="shared" si="56"/>
        <v>180228.58000000002</v>
      </c>
      <c r="DW35" s="1044">
        <f t="shared" si="56"/>
        <v>98000</v>
      </c>
      <c r="DX35" s="1044">
        <f>SUM(DL35:DW35)</f>
        <v>2281884.15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</row>
    <row r="36" spans="1:143" ht="18.75" hidden="1">
      <c r="A36" s="61"/>
      <c r="B36" s="914" t="s">
        <v>51</v>
      </c>
      <c r="C36" s="915"/>
      <c r="D36" s="294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295"/>
      <c r="Q36" s="64"/>
      <c r="R36" s="294"/>
      <c r="S36" s="65"/>
      <c r="T36" s="65"/>
      <c r="U36" s="65"/>
      <c r="V36" s="296"/>
      <c r="W36" s="297"/>
      <c r="X36" s="297"/>
      <c r="Y36" s="297"/>
      <c r="Z36" s="297"/>
      <c r="AA36" s="297"/>
      <c r="AB36" s="297"/>
      <c r="AC36" s="66"/>
      <c r="AD36" s="67"/>
      <c r="AE36" s="68"/>
      <c r="AF36" s="298"/>
      <c r="AG36" s="65"/>
      <c r="AH36" s="65"/>
      <c r="AI36" s="65"/>
      <c r="AJ36" s="296"/>
      <c r="AK36" s="296"/>
      <c r="AL36" s="296"/>
      <c r="AM36" s="296"/>
      <c r="AN36" s="65"/>
      <c r="AO36" s="65"/>
      <c r="AP36" s="65"/>
      <c r="AQ36" s="65"/>
      <c r="AR36" s="299"/>
      <c r="AS36" s="68"/>
      <c r="AT36" s="65"/>
      <c r="AU36" s="65"/>
      <c r="AV36" s="65"/>
      <c r="AW36" s="65"/>
      <c r="AX36" s="65"/>
      <c r="AY36" s="69">
        <f t="shared" ref="AY36:BA36" si="57">AY39+AY64</f>
        <v>119777.77777777778</v>
      </c>
      <c r="AZ36" s="69">
        <f t="shared" si="57"/>
        <v>150777.77777777778</v>
      </c>
      <c r="BA36" s="69">
        <f t="shared" si="57"/>
        <v>233098.4962962963</v>
      </c>
      <c r="BB36" s="69">
        <f>BB37/BB38</f>
        <v>210777.77777777778</v>
      </c>
      <c r="BC36" s="69">
        <f>BC39+BC64</f>
        <v>249806.29075565783</v>
      </c>
      <c r="BD36" s="69">
        <f t="shared" ref="BD36:BE36" si="58">BD39+BD64*0.85</f>
        <v>122960.58688147296</v>
      </c>
      <c r="BE36" s="69">
        <f t="shared" si="58"/>
        <v>66386.612965093984</v>
      </c>
      <c r="BF36" s="69">
        <f t="shared" si="49"/>
        <v>1153585.3202318544</v>
      </c>
      <c r="BG36" s="68"/>
      <c r="BH36" s="69">
        <f>BH37/BH38-0.1*BH37/BH38</f>
        <v>116600</v>
      </c>
      <c r="BI36" s="69">
        <f t="shared" ref="BI36" si="59">BI37/BI38-0.1*BI37/BI38</f>
        <v>111533.33333333333</v>
      </c>
      <c r="BJ36" s="69">
        <f t="shared" ref="BJ36:BP36" si="60">BJ37/BJ38-0.05*BJ37/BJ38</f>
        <v>135674.07407407407</v>
      </c>
      <c r="BK36" s="69">
        <f t="shared" si="60"/>
        <v>121740.74074074074</v>
      </c>
      <c r="BL36" s="69">
        <f t="shared" si="60"/>
        <v>93926.851851851854</v>
      </c>
      <c r="BM36" s="69">
        <f t="shared" si="60"/>
        <v>90679.259259259255</v>
      </c>
      <c r="BN36" s="69">
        <f t="shared" si="60"/>
        <v>130255.55555555556</v>
      </c>
      <c r="BO36" s="69">
        <f t="shared" si="60"/>
        <v>150550.37811111109</v>
      </c>
      <c r="BP36" s="69">
        <f t="shared" si="60"/>
        <v>161830.74953703705</v>
      </c>
      <c r="BQ36" s="69">
        <v>127130</v>
      </c>
      <c r="BR36" s="69">
        <v>138687.6</v>
      </c>
      <c r="BS36" s="69">
        <v>43639.199999999997</v>
      </c>
      <c r="BT36" s="69">
        <f t="shared" si="51"/>
        <v>1422247.7424629631</v>
      </c>
      <c r="BU36" s="54"/>
      <c r="BV36" s="69">
        <f>BV39+BV63</f>
        <v>166555.77995873816</v>
      </c>
      <c r="BW36" s="69">
        <f>BW39+BW63</f>
        <v>152835.36924465047</v>
      </c>
      <c r="BX36" s="69">
        <f t="shared" ref="BX36:CG36" si="61">BX39+BX63</f>
        <v>195319.2072937729</v>
      </c>
      <c r="BY36" s="69">
        <f t="shared" si="61"/>
        <v>158396.18906207831</v>
      </c>
      <c r="BZ36" s="69">
        <f t="shared" si="61"/>
        <v>152371.51475009107</v>
      </c>
      <c r="CA36" s="69">
        <f t="shared" si="61"/>
        <v>147696.01107361159</v>
      </c>
      <c r="CB36" s="69">
        <f t="shared" si="61"/>
        <v>189465.0513586243</v>
      </c>
      <c r="CC36" s="69">
        <f t="shared" si="61"/>
        <v>202914.10079748323</v>
      </c>
      <c r="CD36" s="69">
        <f t="shared" si="61"/>
        <v>214499.61628422557</v>
      </c>
      <c r="CE36" s="69">
        <f t="shared" si="61"/>
        <v>217682.99793575107</v>
      </c>
      <c r="CF36" s="69">
        <f t="shared" si="61"/>
        <v>179284.72030485788</v>
      </c>
      <c r="CG36" s="69">
        <f t="shared" si="61"/>
        <v>88389.319383536102</v>
      </c>
      <c r="CH36" s="69">
        <f t="shared" si="53"/>
        <v>2065409.8774474205</v>
      </c>
      <c r="CI36" s="395">
        <f>(CH36-BT70)/BT70</f>
        <v>0.48621753003500767</v>
      </c>
      <c r="CJ36" s="69"/>
      <c r="CK36" s="69"/>
      <c r="CL36" s="69"/>
      <c r="CM36" s="69"/>
      <c r="CN36" s="69"/>
      <c r="CO36" s="69"/>
      <c r="CP36" s="69"/>
      <c r="CQ36" s="69"/>
      <c r="CR36" s="69"/>
      <c r="CS36" s="69"/>
      <c r="CT36" s="69"/>
      <c r="CU36" s="69"/>
      <c r="CV36" s="69"/>
      <c r="CW36" s="758"/>
      <c r="CX36" s="881">
        <v>166555.77995873816</v>
      </c>
      <c r="CY36" s="881">
        <v>152835.36924465047</v>
      </c>
      <c r="CZ36" s="881">
        <v>195319.2072937729</v>
      </c>
      <c r="DA36" s="881">
        <v>158396.18906207831</v>
      </c>
      <c r="DB36" s="881">
        <v>152371.51475009107</v>
      </c>
      <c r="DC36" s="881">
        <v>147696.01107361159</v>
      </c>
      <c r="DD36" s="881">
        <v>189465.0513586243</v>
      </c>
      <c r="DE36" s="881">
        <v>202914.10079748323</v>
      </c>
      <c r="DF36" s="881">
        <v>214499.61628422557</v>
      </c>
      <c r="DG36" s="881">
        <v>217682.99793575107</v>
      </c>
      <c r="DH36" s="881">
        <v>179284.72030485788</v>
      </c>
      <c r="DI36" s="881">
        <v>88389.319383536102</v>
      </c>
      <c r="DJ36" s="69">
        <v>2065409.8774474205</v>
      </c>
      <c r="DK36" s="948"/>
      <c r="DL36" s="881">
        <f>DL111*1.1</f>
        <v>183211.357954612</v>
      </c>
      <c r="DM36" s="881">
        <f t="shared" ref="DM36:DX36" si="62">DM111*1.1</f>
        <v>168118.90616911554</v>
      </c>
      <c r="DN36" s="881">
        <f t="shared" si="62"/>
        <v>214851.1280231502</v>
      </c>
      <c r="DO36" s="881">
        <f t="shared" si="62"/>
        <v>174235.80796828616</v>
      </c>
      <c r="DP36" s="881">
        <f t="shared" si="62"/>
        <v>167608.6662251002</v>
      </c>
      <c r="DQ36" s="881">
        <f t="shared" si="62"/>
        <v>162465.61218097276</v>
      </c>
      <c r="DR36" s="881">
        <f t="shared" si="62"/>
        <v>208411.55649448675</v>
      </c>
      <c r="DS36" s="881">
        <f t="shared" si="62"/>
        <v>223205.51087723157</v>
      </c>
      <c r="DT36" s="881">
        <f t="shared" si="62"/>
        <v>235949.57791264815</v>
      </c>
      <c r="DU36" s="881">
        <f t="shared" si="62"/>
        <v>239451.29772932621</v>
      </c>
      <c r="DV36" s="881">
        <f t="shared" si="62"/>
        <v>197213.19233534369</v>
      </c>
      <c r="DW36" s="881">
        <f t="shared" si="62"/>
        <v>97228.251321889722</v>
      </c>
      <c r="DX36" s="881">
        <f t="shared" si="62"/>
        <v>2271950.8651921628</v>
      </c>
    </row>
    <row r="37" spans="1:143" ht="18.75" hidden="1">
      <c r="A37" s="61"/>
      <c r="B37" s="914" t="s">
        <v>52</v>
      </c>
      <c r="C37" s="915"/>
      <c r="D37" s="294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295"/>
      <c r="Q37" s="64"/>
      <c r="R37" s="294"/>
      <c r="S37" s="65"/>
      <c r="T37" s="65"/>
      <c r="U37" s="65"/>
      <c r="V37" s="296"/>
      <c r="W37" s="297"/>
      <c r="X37" s="297"/>
      <c r="Y37" s="297"/>
      <c r="Z37" s="297"/>
      <c r="AA37" s="297"/>
      <c r="AB37" s="297"/>
      <c r="AC37" s="66"/>
      <c r="AD37" s="67"/>
      <c r="AE37" s="68"/>
      <c r="AF37" s="298"/>
      <c r="AG37" s="65"/>
      <c r="AH37" s="65" t="s">
        <v>53</v>
      </c>
      <c r="AI37" s="65"/>
      <c r="AJ37" s="296"/>
      <c r="AK37" s="296"/>
      <c r="AL37" s="296"/>
      <c r="AM37" s="296"/>
      <c r="AN37" s="65">
        <v>6715000</v>
      </c>
      <c r="AO37" s="65">
        <v>6555000</v>
      </c>
      <c r="AP37" s="65">
        <v>2640000</v>
      </c>
      <c r="AQ37" s="65">
        <v>1302000</v>
      </c>
      <c r="AR37" s="299"/>
      <c r="AS37" s="68"/>
      <c r="AT37" s="65">
        <v>3264695</v>
      </c>
      <c r="AU37" s="65">
        <v>3863760</v>
      </c>
      <c r="AV37" s="65">
        <v>3429225</v>
      </c>
      <c r="AW37" s="65">
        <v>3525360</v>
      </c>
      <c r="AX37" s="65">
        <v>2509485</v>
      </c>
      <c r="AY37" s="65">
        <v>2829000</v>
      </c>
      <c r="AZ37" s="65">
        <v>3666000</v>
      </c>
      <c r="BA37" s="65">
        <v>5705000</v>
      </c>
      <c r="BB37" s="65">
        <v>5691000</v>
      </c>
      <c r="BC37" s="65">
        <v>5600000</v>
      </c>
      <c r="BD37" s="65">
        <v>2430000</v>
      </c>
      <c r="BE37" s="65">
        <v>800000</v>
      </c>
      <c r="BF37" s="69">
        <f t="shared" si="49"/>
        <v>43313525</v>
      </c>
      <c r="BG37" s="68"/>
      <c r="BH37" s="70">
        <v>3498000</v>
      </c>
      <c r="BI37" s="70">
        <v>3346000</v>
      </c>
      <c r="BJ37" s="70">
        <v>3856000</v>
      </c>
      <c r="BK37" s="70">
        <v>3460000</v>
      </c>
      <c r="BL37" s="70">
        <v>2669500</v>
      </c>
      <c r="BM37" s="70">
        <v>2577200</v>
      </c>
      <c r="BN37" s="70">
        <v>3702000</v>
      </c>
      <c r="BO37" s="70">
        <v>4278800.22</v>
      </c>
      <c r="BP37" s="70">
        <v>4599400.25</v>
      </c>
      <c r="BQ37" s="70">
        <f>BQ36*BQ38</f>
        <v>3432510</v>
      </c>
      <c r="BR37" s="70">
        <v>2954493.21</v>
      </c>
      <c r="BS37" s="70">
        <v>984831.07</v>
      </c>
      <c r="BT37" s="65">
        <f t="shared" si="51"/>
        <v>39358734.75</v>
      </c>
      <c r="BU37" s="54"/>
      <c r="BV37" s="70">
        <f>BV38*BV39</f>
        <v>3399704.5546384701</v>
      </c>
      <c r="BW37" s="70">
        <f t="shared" ref="BW37:CG37" si="63">BW38*BW39</f>
        <v>3264737.5917468769</v>
      </c>
      <c r="BX37" s="70">
        <f t="shared" si="63"/>
        <v>4184999.9999999995</v>
      </c>
      <c r="BY37" s="70">
        <f t="shared" si="63"/>
        <v>3348000.0000000005</v>
      </c>
      <c r="BZ37" s="70">
        <f t="shared" si="63"/>
        <v>3074042.2288642721</v>
      </c>
      <c r="CA37" s="70">
        <f t="shared" si="63"/>
        <v>2812995.3566251793</v>
      </c>
      <c r="CB37" s="70">
        <f t="shared" si="63"/>
        <v>3737141.5756380158</v>
      </c>
      <c r="CC37" s="70">
        <f t="shared" si="63"/>
        <v>4437000.7194458414</v>
      </c>
      <c r="CD37" s="70">
        <f t="shared" si="63"/>
        <v>4710370.4261011425</v>
      </c>
      <c r="CE37" s="70">
        <f t="shared" si="63"/>
        <v>4744197.0280408058</v>
      </c>
      <c r="CF37" s="70">
        <f t="shared" si="63"/>
        <v>3461011.8981438484</v>
      </c>
      <c r="CG37" s="70">
        <f t="shared" si="63"/>
        <v>792579.23398446955</v>
      </c>
      <c r="CH37" s="65">
        <f>SUM(BV37:CG37)</f>
        <v>41966780.613228925</v>
      </c>
      <c r="CJ37" s="70">
        <v>3470304</v>
      </c>
      <c r="CK37" s="70">
        <v>4047936</v>
      </c>
      <c r="CL37" s="70">
        <v>3793200</v>
      </c>
      <c r="CM37" s="70">
        <v>3664392</v>
      </c>
      <c r="CN37" s="70">
        <v>3656712</v>
      </c>
      <c r="CO37" s="70">
        <v>2773872</v>
      </c>
      <c r="CP37" s="70">
        <v>5165016</v>
      </c>
      <c r="CQ37" s="70">
        <v>5668920</v>
      </c>
      <c r="CR37" s="70">
        <v>6676728</v>
      </c>
      <c r="CS37" s="70">
        <v>6194424</v>
      </c>
      <c r="CT37" s="70">
        <v>3814800</v>
      </c>
      <c r="CU37" s="70">
        <v>1459296</v>
      </c>
      <c r="CV37" s="70">
        <f>SUM(CJ37:CU37)</f>
        <v>50385600</v>
      </c>
      <c r="CW37" s="758"/>
      <c r="CX37" s="882">
        <v>3399704.5546384701</v>
      </c>
      <c r="CY37" s="882">
        <v>3264737.5917468769</v>
      </c>
      <c r="CZ37" s="882">
        <v>4184999.9999999995</v>
      </c>
      <c r="DA37" s="882">
        <v>3348000.0000000005</v>
      </c>
      <c r="DB37" s="882">
        <v>3074042.2288642721</v>
      </c>
      <c r="DC37" s="882">
        <v>2812995.3566251793</v>
      </c>
      <c r="DD37" s="882">
        <v>3737141.5756380158</v>
      </c>
      <c r="DE37" s="882">
        <v>4437000.7194458414</v>
      </c>
      <c r="DF37" s="882">
        <v>4710370.4261011425</v>
      </c>
      <c r="DG37" s="882">
        <v>4744197.0280408058</v>
      </c>
      <c r="DH37" s="882">
        <v>3461011.8981438484</v>
      </c>
      <c r="DI37" s="882">
        <v>792579.23398446955</v>
      </c>
      <c r="DJ37" s="70">
        <v>41966780.613228925</v>
      </c>
      <c r="DK37" s="948"/>
      <c r="DL37" s="882">
        <v>3399704.5546384701</v>
      </c>
      <c r="DM37" s="882">
        <v>3264737.5917468769</v>
      </c>
      <c r="DN37" s="882">
        <v>4184999.9999999995</v>
      </c>
      <c r="DO37" s="882">
        <v>3348000.0000000005</v>
      </c>
      <c r="DP37" s="882">
        <v>3074042.2288642721</v>
      </c>
      <c r="DQ37" s="882">
        <v>2812995.3566251793</v>
      </c>
      <c r="DR37" s="882">
        <v>3737141.5756380158</v>
      </c>
      <c r="DS37" s="882">
        <v>4437000.7194458414</v>
      </c>
      <c r="DT37" s="882">
        <v>4710370.4261011425</v>
      </c>
      <c r="DU37" s="882">
        <v>4744197.0280408058</v>
      </c>
      <c r="DV37" s="882">
        <v>3461011.8981438484</v>
      </c>
      <c r="DW37" s="882">
        <v>792579.23398446955</v>
      </c>
      <c r="DX37" s="65">
        <v>41966780.613228925</v>
      </c>
    </row>
    <row r="38" spans="1:143" ht="18.75" hidden="1">
      <c r="A38" s="71"/>
      <c r="B38" s="916" t="s">
        <v>54</v>
      </c>
      <c r="C38" s="917"/>
      <c r="D38" s="301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302"/>
      <c r="Q38" s="74"/>
      <c r="R38" s="301"/>
      <c r="S38" s="69"/>
      <c r="T38" s="69"/>
      <c r="U38" s="69"/>
      <c r="V38" s="303"/>
      <c r="W38" s="304"/>
      <c r="X38" s="304"/>
      <c r="Y38" s="304"/>
      <c r="Z38" s="304"/>
      <c r="AA38" s="304"/>
      <c r="AB38" s="304"/>
      <c r="AC38" s="75"/>
      <c r="AD38" s="76"/>
      <c r="AE38" s="77"/>
      <c r="AF38" s="305"/>
      <c r="AG38" s="69"/>
      <c r="AH38" s="69"/>
      <c r="AI38" s="69"/>
      <c r="AJ38" s="303"/>
      <c r="AK38" s="303"/>
      <c r="AL38" s="303"/>
      <c r="AM38" s="303"/>
      <c r="AN38" s="69">
        <f t="shared" ref="AN38:AQ38" si="64">30</f>
        <v>30</v>
      </c>
      <c r="AO38" s="69">
        <f t="shared" si="64"/>
        <v>30</v>
      </c>
      <c r="AP38" s="69">
        <f t="shared" si="64"/>
        <v>30</v>
      </c>
      <c r="AQ38" s="69">
        <f t="shared" si="64"/>
        <v>30</v>
      </c>
      <c r="AR38" s="306"/>
      <c r="AS38" s="77"/>
      <c r="AT38" s="69">
        <v>28</v>
      </c>
      <c r="AU38" s="69">
        <v>29</v>
      </c>
      <c r="AV38" s="69">
        <v>29</v>
      </c>
      <c r="AW38" s="69">
        <v>29</v>
      </c>
      <c r="AX38" s="69">
        <v>29</v>
      </c>
      <c r="AY38" s="69">
        <v>27</v>
      </c>
      <c r="AZ38" s="69">
        <v>27</v>
      </c>
      <c r="BA38" s="69">
        <v>27</v>
      </c>
      <c r="BB38" s="69">
        <v>27</v>
      </c>
      <c r="BC38" s="69">
        <v>26.07</v>
      </c>
      <c r="BD38" s="69">
        <v>26.07</v>
      </c>
      <c r="BE38" s="69">
        <v>26.07</v>
      </c>
      <c r="BF38" s="305"/>
      <c r="BG38" s="78"/>
      <c r="BH38" s="69">
        <v>27</v>
      </c>
      <c r="BI38" s="69">
        <v>27</v>
      </c>
      <c r="BJ38" s="69">
        <v>27</v>
      </c>
      <c r="BK38" s="69">
        <v>27</v>
      </c>
      <c r="BL38" s="69">
        <v>27</v>
      </c>
      <c r="BM38" s="69">
        <v>27</v>
      </c>
      <c r="BN38" s="69">
        <v>27</v>
      </c>
      <c r="BO38" s="69">
        <v>27</v>
      </c>
      <c r="BP38" s="69">
        <v>27</v>
      </c>
      <c r="BQ38" s="69">
        <v>27</v>
      </c>
      <c r="BR38" s="69">
        <v>27</v>
      </c>
      <c r="BS38" s="69">
        <v>27</v>
      </c>
      <c r="BT38" s="69"/>
      <c r="BU38" s="54"/>
      <c r="BV38" s="69">
        <v>26</v>
      </c>
      <c r="BW38" s="69">
        <v>26</v>
      </c>
      <c r="BX38" s="69">
        <v>26</v>
      </c>
      <c r="BY38" s="69">
        <v>26</v>
      </c>
      <c r="BZ38" s="69">
        <v>26</v>
      </c>
      <c r="CA38" s="69">
        <v>26</v>
      </c>
      <c r="CB38" s="69">
        <v>26</v>
      </c>
      <c r="CC38" s="69">
        <v>26</v>
      </c>
      <c r="CD38" s="69">
        <v>26</v>
      </c>
      <c r="CE38" s="69">
        <v>26</v>
      </c>
      <c r="CF38" s="69">
        <v>26</v>
      </c>
      <c r="CG38" s="69">
        <v>26</v>
      </c>
      <c r="CH38" s="69"/>
      <c r="CJ38" s="751">
        <v>26.83</v>
      </c>
      <c r="CK38" s="751">
        <f>CJ38</f>
        <v>26.83</v>
      </c>
      <c r="CL38" s="751">
        <f t="shared" ref="CL38:CV38" si="65">CK38</f>
        <v>26.83</v>
      </c>
      <c r="CM38" s="751">
        <f t="shared" si="65"/>
        <v>26.83</v>
      </c>
      <c r="CN38" s="751">
        <f t="shared" si="65"/>
        <v>26.83</v>
      </c>
      <c r="CO38" s="751">
        <f t="shared" si="65"/>
        <v>26.83</v>
      </c>
      <c r="CP38" s="751">
        <v>28.44</v>
      </c>
      <c r="CQ38" s="751">
        <f t="shared" si="65"/>
        <v>28.44</v>
      </c>
      <c r="CR38" s="751">
        <f t="shared" si="65"/>
        <v>28.44</v>
      </c>
      <c r="CS38" s="751">
        <f t="shared" si="65"/>
        <v>28.44</v>
      </c>
      <c r="CT38" s="751">
        <f t="shared" si="65"/>
        <v>28.44</v>
      </c>
      <c r="CU38" s="751">
        <f t="shared" si="65"/>
        <v>28.44</v>
      </c>
      <c r="CV38" s="69">
        <f t="shared" si="65"/>
        <v>28.44</v>
      </c>
      <c r="CW38" s="758"/>
      <c r="CX38" s="881">
        <v>26</v>
      </c>
      <c r="CY38" s="881">
        <v>26</v>
      </c>
      <c r="CZ38" s="881">
        <v>26</v>
      </c>
      <c r="DA38" s="881">
        <v>26</v>
      </c>
      <c r="DB38" s="881">
        <v>26</v>
      </c>
      <c r="DC38" s="881">
        <v>26</v>
      </c>
      <c r="DD38" s="881">
        <v>26</v>
      </c>
      <c r="DE38" s="881">
        <v>26</v>
      </c>
      <c r="DF38" s="881">
        <v>26</v>
      </c>
      <c r="DG38" s="881">
        <v>26</v>
      </c>
      <c r="DH38" s="881">
        <v>26</v>
      </c>
      <c r="DI38" s="881">
        <v>26</v>
      </c>
      <c r="DJ38" s="69"/>
      <c r="DK38" s="948"/>
      <c r="DL38" s="881">
        <v>26</v>
      </c>
      <c r="DM38" s="881">
        <v>26</v>
      </c>
      <c r="DN38" s="881">
        <v>26</v>
      </c>
      <c r="DO38" s="881">
        <v>26</v>
      </c>
      <c r="DP38" s="881">
        <v>26</v>
      </c>
      <c r="DQ38" s="881">
        <v>26</v>
      </c>
      <c r="DR38" s="881">
        <v>26</v>
      </c>
      <c r="DS38" s="881">
        <v>26</v>
      </c>
      <c r="DT38" s="881">
        <v>26</v>
      </c>
      <c r="DU38" s="881">
        <v>26</v>
      </c>
      <c r="DV38" s="881">
        <v>26</v>
      </c>
      <c r="DW38" s="881">
        <v>26</v>
      </c>
      <c r="DX38" s="69"/>
    </row>
    <row r="39" spans="1:143" ht="18.75">
      <c r="A39" s="79"/>
      <c r="B39" s="80" t="s">
        <v>121</v>
      </c>
      <c r="C39" s="81"/>
      <c r="D39" s="288">
        <v>82250</v>
      </c>
      <c r="E39" s="57">
        <v>117000</v>
      </c>
      <c r="F39" s="57">
        <v>121750</v>
      </c>
      <c r="G39" s="57">
        <v>150000</v>
      </c>
      <c r="H39" s="57">
        <v>99500</v>
      </c>
      <c r="I39" s="57">
        <v>102000</v>
      </c>
      <c r="J39" s="57">
        <v>177632</v>
      </c>
      <c r="K39" s="57">
        <v>178158</v>
      </c>
      <c r="L39" s="57">
        <v>199211</v>
      </c>
      <c r="M39" s="57">
        <v>229474</v>
      </c>
      <c r="N39" s="57">
        <v>122368</v>
      </c>
      <c r="O39" s="57">
        <v>38421</v>
      </c>
      <c r="P39" s="289">
        <f>SUM(D39:O39)</f>
        <v>1617764</v>
      </c>
      <c r="Q39" s="39"/>
      <c r="R39" s="288">
        <v>115619.79612330014</v>
      </c>
      <c r="S39" s="58">
        <v>123327.78253152016</v>
      </c>
      <c r="T39" s="58">
        <v>128854</v>
      </c>
      <c r="U39" s="58">
        <f>126016*0.15</f>
        <v>18902.399999999998</v>
      </c>
      <c r="V39" s="58">
        <v>35234</v>
      </c>
      <c r="W39" s="290">
        <v>56469.381950239796</v>
      </c>
      <c r="X39" s="290">
        <v>118413.33333333299</v>
      </c>
      <c r="Y39" s="290">
        <v>198797.08333333331</v>
      </c>
      <c r="Z39" s="290">
        <v>242087.5</v>
      </c>
      <c r="AA39" s="290">
        <v>140000</v>
      </c>
      <c r="AB39" s="290">
        <v>0</v>
      </c>
      <c r="AC39" s="290">
        <v>-45300</v>
      </c>
      <c r="AD39" s="291">
        <f>SUM(R39:AC39)</f>
        <v>1132405.2772717264</v>
      </c>
      <c r="AE39" s="59"/>
      <c r="AF39" s="292">
        <v>90146</v>
      </c>
      <c r="AG39" s="58">
        <v>155577</v>
      </c>
      <c r="AH39" s="58">
        <v>62953</v>
      </c>
      <c r="AI39" s="58">
        <v>73261</v>
      </c>
      <c r="AJ39" s="58">
        <v>91856</v>
      </c>
      <c r="AK39" s="58">
        <v>120000</v>
      </c>
      <c r="AL39" s="58">
        <v>110295</v>
      </c>
      <c r="AM39" s="58">
        <v>200203</v>
      </c>
      <c r="AN39" s="58">
        <f t="shared" ref="AN39:AQ39" si="66">AN37/AN38</f>
        <v>223833.33333333334</v>
      </c>
      <c r="AO39" s="58">
        <f t="shared" si="66"/>
        <v>218500</v>
      </c>
      <c r="AP39" s="58">
        <f t="shared" si="66"/>
        <v>88000</v>
      </c>
      <c r="AQ39" s="58">
        <f t="shared" si="66"/>
        <v>43400</v>
      </c>
      <c r="AR39" s="58">
        <f>SUM(AF39:AQ39)</f>
        <v>1478024.3333333333</v>
      </c>
      <c r="AS39" s="59"/>
      <c r="AT39" s="58">
        <f t="shared" ref="AT39:BE39" si="67">AT37/AT38</f>
        <v>116596.25</v>
      </c>
      <c r="AU39" s="58">
        <f t="shared" si="67"/>
        <v>133233.10344827586</v>
      </c>
      <c r="AV39" s="58">
        <f t="shared" si="67"/>
        <v>118249.13793103448</v>
      </c>
      <c r="AW39" s="58">
        <f t="shared" si="67"/>
        <v>121564.13793103448</v>
      </c>
      <c r="AX39" s="58">
        <f t="shared" si="67"/>
        <v>86533.965517241377</v>
      </c>
      <c r="AY39" s="58">
        <f t="shared" si="67"/>
        <v>104777.77777777778</v>
      </c>
      <c r="AZ39" s="58">
        <f t="shared" si="67"/>
        <v>135777.77777777778</v>
      </c>
      <c r="BA39" s="58">
        <f t="shared" si="67"/>
        <v>211296.29629629629</v>
      </c>
      <c r="BB39" s="58">
        <f t="shared" si="67"/>
        <v>210777.77777777778</v>
      </c>
      <c r="BC39" s="58">
        <f t="shared" si="67"/>
        <v>214806.29075565783</v>
      </c>
      <c r="BD39" s="58">
        <f t="shared" si="67"/>
        <v>93210.586881472962</v>
      </c>
      <c r="BE39" s="58">
        <f t="shared" si="67"/>
        <v>30686.612965093977</v>
      </c>
      <c r="BF39" s="58">
        <f>SUM(AT39:BE39)</f>
        <v>1577509.7150594404</v>
      </c>
      <c r="BG39" s="59">
        <f>BF39-AR39</f>
        <v>99485.381726107094</v>
      </c>
      <c r="BH39" s="58">
        <f>BH36</f>
        <v>116600</v>
      </c>
      <c r="BI39" s="58">
        <f t="shared" ref="BI39:BT39" si="68">BI36</f>
        <v>111533.33333333333</v>
      </c>
      <c r="BJ39" s="58">
        <f t="shared" si="68"/>
        <v>135674.07407407407</v>
      </c>
      <c r="BK39" s="58">
        <f t="shared" si="68"/>
        <v>121740.74074074074</v>
      </c>
      <c r="BL39" s="58">
        <f t="shared" si="68"/>
        <v>93926.851851851854</v>
      </c>
      <c r="BM39" s="58">
        <f t="shared" si="68"/>
        <v>90679.259259259255</v>
      </c>
      <c r="BN39" s="58">
        <f t="shared" si="68"/>
        <v>130255.55555555556</v>
      </c>
      <c r="BO39" s="58">
        <f t="shared" si="68"/>
        <v>150550.37811111109</v>
      </c>
      <c r="BP39" s="58">
        <f t="shared" si="68"/>
        <v>161830.74953703705</v>
      </c>
      <c r="BQ39" s="58">
        <f t="shared" si="68"/>
        <v>127130</v>
      </c>
      <c r="BR39" s="58">
        <f>BR36</f>
        <v>138687.6</v>
      </c>
      <c r="BS39" s="58">
        <f t="shared" si="68"/>
        <v>43639.199999999997</v>
      </c>
      <c r="BT39" s="58">
        <f t="shared" si="68"/>
        <v>1422247.7424629631</v>
      </c>
      <c r="BU39" s="60"/>
      <c r="BV39" s="58">
        <f>'META  EM PEÇAS'!S73</f>
        <v>130757.867486095</v>
      </c>
      <c r="BW39" s="58">
        <f>'META  EM PEÇAS'!T73</f>
        <v>125566.83045180296</v>
      </c>
      <c r="BX39" s="58">
        <f>'META  EM PEÇAS'!U73</f>
        <v>160961.53846153844</v>
      </c>
      <c r="BY39" s="58">
        <f>'META  EM PEÇAS'!V73</f>
        <v>128769.23076923078</v>
      </c>
      <c r="BZ39" s="58">
        <f>'META  EM PEÇAS'!W73</f>
        <v>118232.39341785663</v>
      </c>
      <c r="CA39" s="58">
        <f>'META  EM PEÇAS'!X73</f>
        <v>108192.12910096844</v>
      </c>
      <c r="CB39" s="58">
        <f>'META  EM PEÇAS'!Y73</f>
        <v>143736.21444761599</v>
      </c>
      <c r="CC39" s="58">
        <f>'META  EM PEÇAS'!Z73</f>
        <v>170653.87382484006</v>
      </c>
      <c r="CD39" s="58">
        <f>'META  EM PEÇAS'!AA73</f>
        <v>181168.0933115824</v>
      </c>
      <c r="CE39" s="58">
        <f>'META  EM PEÇAS'!AB73</f>
        <v>182469.1164631079</v>
      </c>
      <c r="CF39" s="58">
        <f>'META  EM PEÇAS'!AC73</f>
        <v>133115.84223630186</v>
      </c>
      <c r="CG39" s="58">
        <f>'META  EM PEÇAS'!AD73</f>
        <v>30483.816691710366</v>
      </c>
      <c r="CH39" s="58">
        <v>45</v>
      </c>
      <c r="CI39">
        <f>CH39*26</f>
        <v>1170</v>
      </c>
      <c r="CJ39" s="58">
        <f>CJ37/CJ38</f>
        <v>129344.16697726426</v>
      </c>
      <c r="CK39" s="58">
        <f t="shared" ref="CK39:CU39" si="69">CK37/CK38</f>
        <v>150873.49981364145</v>
      </c>
      <c r="CL39" s="58">
        <f t="shared" si="69"/>
        <v>141379.05329854641</v>
      </c>
      <c r="CM39" s="58">
        <f t="shared" si="69"/>
        <v>136578.1587774879</v>
      </c>
      <c r="CN39" s="58">
        <f>CN37/CN38</f>
        <v>136291.91203876259</v>
      </c>
      <c r="CO39" s="58">
        <f t="shared" si="69"/>
        <v>103386.95490122997</v>
      </c>
      <c r="CP39" s="58">
        <f>CP37/CP38</f>
        <v>181610.97046413503</v>
      </c>
      <c r="CQ39" s="58">
        <f t="shared" si="69"/>
        <v>199329.11392405062</v>
      </c>
      <c r="CR39" s="58">
        <f>CR37/CR38</f>
        <v>234765.40084388186</v>
      </c>
      <c r="CS39" s="58">
        <f>CS37/CS38</f>
        <v>217806.7510548523</v>
      </c>
      <c r="CT39" s="58">
        <f t="shared" si="69"/>
        <v>134135.02109704641</v>
      </c>
      <c r="CU39" s="58">
        <f t="shared" si="69"/>
        <v>51311.392405063292</v>
      </c>
      <c r="CV39" s="58">
        <f>SUM(CJ39:CU39)</f>
        <v>1816812.3955959619</v>
      </c>
      <c r="CW39" s="758"/>
      <c r="CX39" s="880">
        <f>CX40*1.1</f>
        <v>176000</v>
      </c>
      <c r="CY39" s="880">
        <f t="shared" ref="CY39:DI39" si="70">CY40*1.1</f>
        <v>198000.00000000003</v>
      </c>
      <c r="CZ39" s="880">
        <f t="shared" si="70"/>
        <v>143000</v>
      </c>
      <c r="DA39" s="880">
        <f t="shared" si="70"/>
        <v>140800</v>
      </c>
      <c r="DB39" s="880">
        <f t="shared" si="70"/>
        <v>135300</v>
      </c>
      <c r="DC39" s="880">
        <f t="shared" si="70"/>
        <v>91300.000000000015</v>
      </c>
      <c r="DD39" s="880">
        <f t="shared" si="70"/>
        <v>169400</v>
      </c>
      <c r="DE39" s="880">
        <f>DE40*1.1</f>
        <v>181500.00000000003</v>
      </c>
      <c r="DF39" s="880">
        <f>DF40*1.1</f>
        <v>242000.00000000003</v>
      </c>
      <c r="DG39" s="880">
        <f>DG40*1.1</f>
        <v>190300.00000000003</v>
      </c>
      <c r="DH39" s="880">
        <f t="shared" si="70"/>
        <v>116199.6</v>
      </c>
      <c r="DI39" s="880">
        <f t="shared" si="70"/>
        <v>44000</v>
      </c>
      <c r="DJ39" s="58">
        <f>SUM(DA39:DI39)</f>
        <v>1310799.6000000001</v>
      </c>
      <c r="DK39" s="948"/>
      <c r="DL39" s="880">
        <f>ROUND(DL123*1.1/1000,0)*1000</f>
        <v>198000</v>
      </c>
      <c r="DM39" s="880">
        <f>ROUND(DM123*1.1/1000,0)*1000</f>
        <v>147000</v>
      </c>
      <c r="DN39" s="880">
        <f t="shared" ref="DM39:DW39" si="71">ROUND(DN123*1.1/1000,0)*1000</f>
        <v>180000</v>
      </c>
      <c r="DO39" s="831">
        <f t="shared" si="71"/>
        <v>112000</v>
      </c>
      <c r="DP39" s="831">
        <f t="shared" si="71"/>
        <v>101000</v>
      </c>
      <c r="DQ39" s="880">
        <f t="shared" si="71"/>
        <v>94000</v>
      </c>
      <c r="DR39" s="880">
        <f t="shared" si="71"/>
        <v>167000</v>
      </c>
      <c r="DS39" s="880">
        <f t="shared" si="71"/>
        <v>220000</v>
      </c>
      <c r="DT39" s="880">
        <f t="shared" si="71"/>
        <v>293000</v>
      </c>
      <c r="DU39" s="880">
        <f t="shared" si="71"/>
        <v>230000</v>
      </c>
      <c r="DV39" s="880">
        <f t="shared" si="71"/>
        <v>141000</v>
      </c>
      <c r="DW39" s="880">
        <f t="shared" si="71"/>
        <v>53000</v>
      </c>
      <c r="DX39" s="58">
        <f>SUM(DL39:DW39)</f>
        <v>1936000</v>
      </c>
    </row>
    <row r="40" spans="1:143" ht="18.75">
      <c r="A40" s="307"/>
      <c r="B40" s="918"/>
      <c r="C40" s="919" t="s">
        <v>182</v>
      </c>
      <c r="D40" s="309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310"/>
      <c r="Q40" s="84"/>
      <c r="R40" s="309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311"/>
      <c r="AE40" s="23"/>
      <c r="AF40" s="312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6"/>
      <c r="AS40" s="23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2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54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J40" s="87">
        <f t="shared" ref="CJ40:CT40" si="72">(CJ39*0.95)-2000</f>
        <v>120876.95862840104</v>
      </c>
      <c r="CK40" s="87">
        <f t="shared" si="72"/>
        <v>141329.82482295937</v>
      </c>
      <c r="CL40" s="87">
        <f t="shared" si="72"/>
        <v>132310.10063361909</v>
      </c>
      <c r="CM40" s="87">
        <f t="shared" si="72"/>
        <v>127749.2508386135</v>
      </c>
      <c r="CN40" s="87">
        <f t="shared" si="72"/>
        <v>127477.31643682445</v>
      </c>
      <c r="CO40" s="87">
        <f t="shared" si="72"/>
        <v>96217.607156168466</v>
      </c>
      <c r="CP40" s="87">
        <f>(CP39*0.95)-2000</f>
        <v>170530.42194092827</v>
      </c>
      <c r="CQ40" s="87">
        <f t="shared" si="72"/>
        <v>187362.65822784806</v>
      </c>
      <c r="CR40" s="87">
        <f t="shared" si="72"/>
        <v>221027.13080168774</v>
      </c>
      <c r="CS40" s="87">
        <f t="shared" si="72"/>
        <v>204916.41350210967</v>
      </c>
      <c r="CT40" s="87">
        <f t="shared" si="72"/>
        <v>125428.27004219408</v>
      </c>
      <c r="CU40" s="87">
        <f>(CU39*0.95)-2000</f>
        <v>46745.822784810123</v>
      </c>
      <c r="CV40" s="87">
        <f>SUM(CJ40:CU40)</f>
        <v>1701971.775816164</v>
      </c>
      <c r="CW40" s="758"/>
      <c r="CX40" s="883">
        <v>160000</v>
      </c>
      <c r="CY40" s="883">
        <v>180000</v>
      </c>
      <c r="CZ40" s="883">
        <v>130000</v>
      </c>
      <c r="DA40" s="883">
        <v>128000</v>
      </c>
      <c r="DB40" s="883">
        <v>123000</v>
      </c>
      <c r="DC40" s="883">
        <v>83000</v>
      </c>
      <c r="DD40" s="883">
        <v>154000</v>
      </c>
      <c r="DE40" s="883">
        <v>165000</v>
      </c>
      <c r="DF40" s="883">
        <v>220000</v>
      </c>
      <c r="DG40" s="883">
        <v>173000</v>
      </c>
      <c r="DH40" s="883">
        <v>105636</v>
      </c>
      <c r="DI40" s="883">
        <v>40000</v>
      </c>
      <c r="DJ40" s="87">
        <f>SUM(CX40:DI40)</f>
        <v>1661636</v>
      </c>
      <c r="DK40" s="948"/>
      <c r="DL40" s="883">
        <v>163400</v>
      </c>
      <c r="DM40" s="883">
        <v>121100</v>
      </c>
      <c r="DN40" s="883">
        <v>148900</v>
      </c>
      <c r="DO40" s="975">
        <v>92700</v>
      </c>
      <c r="DP40" s="975">
        <v>83300</v>
      </c>
      <c r="DQ40" s="883">
        <v>77700</v>
      </c>
      <c r="DR40" s="883">
        <v>137800</v>
      </c>
      <c r="DS40" s="883">
        <f>DE39</f>
        <v>181500.00000000003</v>
      </c>
      <c r="DT40" s="883">
        <f t="shared" ref="DT40:DW40" si="73">DF39</f>
        <v>242000.00000000003</v>
      </c>
      <c r="DU40" s="883">
        <f t="shared" si="73"/>
        <v>190300.00000000003</v>
      </c>
      <c r="DV40" s="883">
        <f t="shared" si="73"/>
        <v>116199.6</v>
      </c>
      <c r="DW40" s="883">
        <f t="shared" si="73"/>
        <v>44000</v>
      </c>
      <c r="DX40" s="87">
        <f>SUM(DL40:DW40)</f>
        <v>1598899.6</v>
      </c>
    </row>
    <row r="41" spans="1:143" ht="18.75" hidden="1">
      <c r="A41" s="709"/>
      <c r="B41" s="920"/>
      <c r="C41" s="920"/>
      <c r="D41" s="309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310"/>
      <c r="Q41" s="84"/>
      <c r="R41" s="309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311"/>
      <c r="AE41" s="23"/>
      <c r="AF41" s="312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6"/>
      <c r="AS41" s="23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2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7"/>
      <c r="BU41" s="54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J41" s="711">
        <f>(CJ39-CJ40)/CJ40</f>
        <v>7.0048158432683957E-2</v>
      </c>
      <c r="CK41" s="711">
        <f t="shared" ref="CK41:CU41" si="74">(CK39-CK40)/CK40</f>
        <v>6.7527678624361279E-2</v>
      </c>
      <c r="CL41" s="711">
        <f t="shared" si="74"/>
        <v>6.8543162022378201E-2</v>
      </c>
      <c r="CM41" s="711">
        <f t="shared" si="74"/>
        <v>6.911123064062441E-2</v>
      </c>
      <c r="CN41" s="711">
        <f t="shared" si="74"/>
        <v>6.9146385006516056E-2</v>
      </c>
      <c r="CO41" s="711">
        <f t="shared" si="74"/>
        <v>7.4511806694850649E-2</v>
      </c>
      <c r="CP41" s="711">
        <f t="shared" si="74"/>
        <v>6.4976960691770641E-2</v>
      </c>
      <c r="CQ41" s="711">
        <f t="shared" si="74"/>
        <v>6.3867879594504795E-2</v>
      </c>
      <c r="CR41" s="711">
        <f t="shared" si="74"/>
        <v>6.2156487270879454E-2</v>
      </c>
      <c r="CS41" s="711">
        <f t="shared" si="74"/>
        <v>6.2905344342316025E-2</v>
      </c>
      <c r="CT41" s="711">
        <f t="shared" si="74"/>
        <v>6.94161774847359E-2</v>
      </c>
      <c r="CU41" s="711">
        <f t="shared" si="74"/>
        <v>9.7667970061631554E-2</v>
      </c>
      <c r="CV41" s="87"/>
      <c r="CW41" s="758"/>
      <c r="CX41" s="883"/>
      <c r="CY41" s="883"/>
      <c r="CZ41" s="883"/>
      <c r="DA41" s="883"/>
      <c r="DB41" s="883"/>
      <c r="DC41" s="883"/>
      <c r="DD41" s="883"/>
      <c r="DE41" s="883"/>
      <c r="DF41" s="883"/>
      <c r="DG41" s="883"/>
      <c r="DH41" s="883"/>
      <c r="DI41" s="883"/>
      <c r="DJ41" s="87"/>
      <c r="DK41" s="948"/>
      <c r="DL41" s="883"/>
      <c r="DM41" s="883"/>
      <c r="DN41" s="883"/>
      <c r="DO41" s="883"/>
      <c r="DP41" s="883"/>
      <c r="DQ41" s="883"/>
      <c r="DR41" s="883"/>
      <c r="DS41" s="883"/>
      <c r="DT41" s="883"/>
      <c r="DU41" s="883"/>
      <c r="DV41" s="883"/>
      <c r="DW41" s="883"/>
      <c r="DX41" s="87"/>
    </row>
    <row r="42" spans="1:143" ht="15" hidden="1" customHeight="1" outlineLevel="1">
      <c r="A42" s="88">
        <v>1</v>
      </c>
      <c r="B42" s="1078" t="s">
        <v>56</v>
      </c>
      <c r="C42" s="1119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ref="P42:P54" si="75">SUM(D42:O42)</f>
        <v>0</v>
      </c>
      <c r="Q42" s="90"/>
      <c r="R42" s="313">
        <v>7017.5438596491231</v>
      </c>
      <c r="S42" s="91">
        <v>7017.5438596491231</v>
      </c>
      <c r="T42" s="91">
        <f>7017.54385964912/2</f>
        <v>3508.7719298245602</v>
      </c>
      <c r="U42" s="91">
        <f>96*U8</f>
        <v>96</v>
      </c>
      <c r="V42" s="91">
        <v>3000</v>
      </c>
      <c r="W42" s="91">
        <v>7200</v>
      </c>
      <c r="X42" s="91">
        <v>8500</v>
      </c>
      <c r="Y42" s="91">
        <v>8500</v>
      </c>
      <c r="Z42" s="91">
        <v>8500</v>
      </c>
      <c r="AA42" s="91">
        <v>9000</v>
      </c>
      <c r="AB42" s="91">
        <v>9500</v>
      </c>
      <c r="AC42" s="91">
        <v>8500</v>
      </c>
      <c r="AD42" s="315">
        <f t="shared" ref="AD42:AD56" si="76">SUM(R42:AC42)</f>
        <v>80339.859649122809</v>
      </c>
      <c r="AE42" s="23"/>
      <c r="AF42" s="316">
        <v>8000</v>
      </c>
      <c r="AG42" s="91">
        <v>4000</v>
      </c>
      <c r="AH42" s="91">
        <v>5673</v>
      </c>
      <c r="AI42" s="91">
        <v>4500</v>
      </c>
      <c r="AJ42" s="91">
        <v>7892</v>
      </c>
      <c r="AK42" s="91">
        <v>6400</v>
      </c>
      <c r="AL42" s="91">
        <v>8000</v>
      </c>
      <c r="AM42" s="91">
        <v>8000</v>
      </c>
      <c r="AN42" s="91">
        <v>8000</v>
      </c>
      <c r="AO42" s="91">
        <v>8000</v>
      </c>
      <c r="AP42" s="91">
        <v>8800</v>
      </c>
      <c r="AQ42" s="91">
        <v>6400</v>
      </c>
      <c r="AR42" s="92">
        <f t="shared" ref="AR42:AR60" si="77">SUM(AF42:AQ42)</f>
        <v>83665</v>
      </c>
      <c r="AS42" s="23"/>
      <c r="AT42" s="91">
        <v>4861</v>
      </c>
      <c r="AU42" s="91">
        <v>5809</v>
      </c>
      <c r="AV42" s="91">
        <v>5072</v>
      </c>
      <c r="AW42" s="91">
        <v>4725</v>
      </c>
      <c r="AX42" s="317">
        <v>5832</v>
      </c>
      <c r="AY42" s="317">
        <v>5832</v>
      </c>
      <c r="AZ42" s="317">
        <v>5567</v>
      </c>
      <c r="BA42" s="317">
        <v>5567</v>
      </c>
      <c r="BB42" s="317">
        <v>5832</v>
      </c>
      <c r="BC42" s="317">
        <v>6892</v>
      </c>
      <c r="BD42" s="317">
        <v>7422</v>
      </c>
      <c r="BE42" s="317">
        <v>4241</v>
      </c>
      <c r="BF42" s="91">
        <f t="shared" ref="BF42:BF74" si="78">SUM(AT42:BE42)</f>
        <v>67652</v>
      </c>
      <c r="BG42" s="93">
        <f t="shared" ref="BG42:BG60" si="79">BF42/AR42-1</f>
        <v>-0.19139425088149165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36051</v>
      </c>
      <c r="BU42" s="54"/>
      <c r="BV42" s="91">
        <v>4782.99</v>
      </c>
      <c r="BW42" s="91">
        <v>2945.31</v>
      </c>
      <c r="BX42" s="91">
        <f>'META  EM PEÇAS'!U26-('META  EM PEÇAS'!U26*0.05)</f>
        <v>7080.3689999999997</v>
      </c>
      <c r="BY42" s="91">
        <f>'META  EM PEÇAS'!V26-('META  EM PEÇAS'!V26*0.05)</f>
        <v>4355.6549999999997</v>
      </c>
      <c r="BZ42" s="91">
        <f>'META  EM PEÇAS'!W26-('META  EM PEÇAS'!W26*0.05)</f>
        <v>5839.9349999999995</v>
      </c>
      <c r="CA42" s="91">
        <f>'META  EM PEÇAS'!X26-('META  EM PEÇAS'!X26*0.05)</f>
        <v>5900.8964999999989</v>
      </c>
      <c r="CB42" s="91">
        <f>'META  EM PEÇAS'!Y26-('META  EM PEÇAS'!Y26*0.05)</f>
        <v>5279.7959999999994</v>
      </c>
      <c r="CC42" s="91">
        <f>'META  EM PEÇAS'!Z26-('META  EM PEÇAS'!Z26*0.05)</f>
        <v>4897.2404999999999</v>
      </c>
      <c r="CD42" s="91">
        <f>'META  EM PEÇAS'!AA26-('META  EM PEÇAS'!AA26*0.05)</f>
        <v>5018.28</v>
      </c>
      <c r="CE42" s="91">
        <f>'META  EM PEÇAS'!AB26-('META  EM PEÇAS'!AB26*0.05)</f>
        <v>4641.0254999999997</v>
      </c>
      <c r="CF42" s="91">
        <f>'META  EM PEÇAS'!AC26-('META  EM PEÇAS'!AC26*0.05)</f>
        <v>6521.1134999999995</v>
      </c>
      <c r="CG42" s="91">
        <f>'META  EM PEÇAS'!AD26-('META  EM PEÇAS'!AD26*0.05)</f>
        <v>3929.8079999999995</v>
      </c>
      <c r="CH42" s="91">
        <v>4136.6400000000003</v>
      </c>
      <c r="CJ42" s="91">
        <v>4782.99</v>
      </c>
      <c r="CK42" s="91">
        <v>2945.31</v>
      </c>
      <c r="CL42" s="91">
        <v>7080.3689999999997</v>
      </c>
      <c r="CM42" s="91">
        <v>4355.6549999999997</v>
      </c>
      <c r="CN42" s="91">
        <v>5839.9349999999995</v>
      </c>
      <c r="CO42" s="91">
        <v>5900.8964999999989</v>
      </c>
      <c r="CP42" s="91">
        <v>5279.7959999999994</v>
      </c>
      <c r="CQ42" s="91">
        <v>4897.2404999999999</v>
      </c>
      <c r="CR42" s="91">
        <v>5018.28</v>
      </c>
      <c r="CS42" s="91">
        <v>4641.0254999999997</v>
      </c>
      <c r="CT42" s="91">
        <v>6521.1134999999995</v>
      </c>
      <c r="CU42" s="91">
        <v>3929.8079999999995</v>
      </c>
      <c r="CV42" s="91">
        <v>4136.6400000000003</v>
      </c>
      <c r="CW42" s="758"/>
      <c r="CX42" s="884">
        <v>4782.99</v>
      </c>
      <c r="CY42" s="884">
        <v>2945.31</v>
      </c>
      <c r="CZ42" s="884">
        <v>7080.3689999999997</v>
      </c>
      <c r="DA42" s="884">
        <v>4355.6549999999997</v>
      </c>
      <c r="DB42" s="884">
        <v>5839.9349999999995</v>
      </c>
      <c r="DC42" s="884">
        <v>5900.8964999999989</v>
      </c>
      <c r="DD42" s="884">
        <v>5279.7959999999994</v>
      </c>
      <c r="DE42" s="884">
        <v>4897.2404999999999</v>
      </c>
      <c r="DF42" s="884">
        <v>5018.28</v>
      </c>
      <c r="DG42" s="884">
        <v>4641.0254999999997</v>
      </c>
      <c r="DH42" s="884">
        <v>6521.1134999999995</v>
      </c>
      <c r="DI42" s="884">
        <v>3929.8079999999995</v>
      </c>
      <c r="DJ42" s="91">
        <v>4136.6400000000003</v>
      </c>
      <c r="DK42" s="948"/>
      <c r="DL42" s="884">
        <v>4782.99</v>
      </c>
      <c r="DM42" s="884">
        <v>2945.31</v>
      </c>
      <c r="DN42" s="884">
        <v>7080.3689999999997</v>
      </c>
      <c r="DO42" s="884">
        <v>4355.6549999999997</v>
      </c>
      <c r="DP42" s="884">
        <v>5839.9349999999995</v>
      </c>
      <c r="DQ42" s="884">
        <v>5900.8964999999989</v>
      </c>
      <c r="DR42" s="884">
        <v>5279.7959999999994</v>
      </c>
      <c r="DS42" s="884">
        <v>4897.2404999999999</v>
      </c>
      <c r="DT42" s="884">
        <v>5018.28</v>
      </c>
      <c r="DU42" s="884">
        <v>4641.0254999999997</v>
      </c>
      <c r="DV42" s="884">
        <v>6521.1134999999995</v>
      </c>
      <c r="DW42" s="884">
        <v>3929.8079999999995</v>
      </c>
      <c r="DX42" s="91">
        <v>4136.6400000000003</v>
      </c>
    </row>
    <row r="43" spans="1:143" ht="15" hidden="1" customHeight="1" outlineLevel="1">
      <c r="A43" s="94">
        <v>2</v>
      </c>
      <c r="B43" s="1079" t="s">
        <v>57</v>
      </c>
      <c r="C43" s="1120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>
        <f t="shared" si="75"/>
        <v>0</v>
      </c>
      <c r="Q43" s="90"/>
      <c r="R43" s="313">
        <v>2909</v>
      </c>
      <c r="S43" s="91">
        <v>2545</v>
      </c>
      <c r="T43" s="91">
        <f>2727/1.2</f>
        <v>2272.5</v>
      </c>
      <c r="U43" s="91">
        <f>2*U8</f>
        <v>2</v>
      </c>
      <c r="V43" s="91">
        <v>500</v>
      </c>
      <c r="W43" s="91">
        <v>1300</v>
      </c>
      <c r="X43" s="91">
        <v>3200</v>
      </c>
      <c r="Y43" s="91">
        <v>3200</v>
      </c>
      <c r="Z43" s="91">
        <v>3600</v>
      </c>
      <c r="AA43" s="91">
        <v>3600</v>
      </c>
      <c r="AB43" s="91">
        <v>3600</v>
      </c>
      <c r="AC43" s="91">
        <v>4500</v>
      </c>
      <c r="AD43" s="315">
        <f t="shared" si="76"/>
        <v>31228.5</v>
      </c>
      <c r="AE43" s="23"/>
      <c r="AF43" s="316">
        <v>4000</v>
      </c>
      <c r="AG43" s="91">
        <v>1500</v>
      </c>
      <c r="AH43" s="91">
        <v>189</v>
      </c>
      <c r="AI43" s="91">
        <v>1842</v>
      </c>
      <c r="AJ43" s="91">
        <v>3764</v>
      </c>
      <c r="AK43" s="91">
        <v>3200</v>
      </c>
      <c r="AL43" s="91">
        <v>6000</v>
      </c>
      <c r="AM43" s="91">
        <v>5000</v>
      </c>
      <c r="AN43" s="91">
        <v>5000</v>
      </c>
      <c r="AO43" s="91">
        <v>5000</v>
      </c>
      <c r="AP43" s="91">
        <v>5000</v>
      </c>
      <c r="AQ43" s="91">
        <v>9000</v>
      </c>
      <c r="AR43" s="92">
        <f t="shared" si="77"/>
        <v>49495</v>
      </c>
      <c r="AS43" s="23"/>
      <c r="AT43" s="91">
        <v>5468</v>
      </c>
      <c r="AU43" s="91">
        <v>5468</v>
      </c>
      <c r="AV43" s="91">
        <v>6249</v>
      </c>
      <c r="AW43" s="91">
        <v>6249</v>
      </c>
      <c r="AX43" s="317">
        <v>3923</v>
      </c>
      <c r="AY43" s="317">
        <v>3923</v>
      </c>
      <c r="AZ43" s="317">
        <v>3745</v>
      </c>
      <c r="BA43" s="317">
        <v>3745</v>
      </c>
      <c r="BB43" s="317">
        <v>3923</v>
      </c>
      <c r="BC43" s="317">
        <v>4636</v>
      </c>
      <c r="BD43" s="317">
        <v>4993</v>
      </c>
      <c r="BE43" s="317">
        <v>7133</v>
      </c>
      <c r="BF43" s="91">
        <f t="shared" si="78"/>
        <v>59455</v>
      </c>
      <c r="BG43" s="93">
        <f t="shared" si="79"/>
        <v>0.20123244772199222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40562</v>
      </c>
      <c r="BU43" s="54"/>
      <c r="BV43" s="91">
        <v>4442.6099999999997</v>
      </c>
      <c r="BW43" s="91">
        <v>3433.56</v>
      </c>
      <c r="BX43" s="91">
        <f>'META  EM PEÇAS'!U27-('META  EM PEÇAS'!U27*0.05)</f>
        <v>3860.0114999999996</v>
      </c>
      <c r="BY43" s="91">
        <f>'META  EM PEÇAS'!V27-('META  EM PEÇAS'!V27*0.05)</f>
        <v>3578.1749999999997</v>
      </c>
      <c r="BZ43" s="91">
        <f>'META  EM PEÇAS'!W27-('META  EM PEÇAS'!W27*0.05)</f>
        <v>4015.5074999999997</v>
      </c>
      <c r="CA43" s="91">
        <f>'META  EM PEÇAS'!X27-('META  EM PEÇAS'!X27*0.05)</f>
        <v>4835.3954999999996</v>
      </c>
      <c r="CB43" s="91">
        <f>'META  EM PEÇAS'!Y27-('META  EM PEÇAS'!Y27*0.05)</f>
        <v>5815.1969999999992</v>
      </c>
      <c r="CC43" s="91">
        <f>'META  EM PEÇAS'!Z27-('META  EM PEÇAS'!Z27*0.05)</f>
        <v>3888.2835</v>
      </c>
      <c r="CD43" s="91">
        <f>'META  EM PEÇAS'!AA27-('META  EM PEÇAS'!AA27*0.05)</f>
        <v>4032.2939999999994</v>
      </c>
      <c r="CE43" s="91">
        <f>'META  EM PEÇAS'!AB27-('META  EM PEÇAS'!AB27*0.05)</f>
        <v>4375.0919999999996</v>
      </c>
      <c r="CF43" s="91">
        <f>'META  EM PEÇAS'!AC27-('META  EM PEÇAS'!AC27*0.05)</f>
        <v>5604.9239999999991</v>
      </c>
      <c r="CG43" s="91">
        <f>'META  EM PEÇAS'!AD27-('META  EM PEÇAS'!AD27*0.05)</f>
        <v>7897.606499999999</v>
      </c>
      <c r="CH43" s="91">
        <f>SUM(BV43:CG43)</f>
        <v>55778.656499999997</v>
      </c>
      <c r="CJ43" s="91">
        <v>4442.6099999999997</v>
      </c>
      <c r="CK43" s="91">
        <v>3433.56</v>
      </c>
      <c r="CL43" s="91">
        <v>3860.0114999999996</v>
      </c>
      <c r="CM43" s="91">
        <v>3578.1749999999997</v>
      </c>
      <c r="CN43" s="91">
        <v>4015.5074999999997</v>
      </c>
      <c r="CO43" s="91">
        <v>4835.3954999999996</v>
      </c>
      <c r="CP43" s="91">
        <v>5815.1969999999992</v>
      </c>
      <c r="CQ43" s="91">
        <v>3888.2835</v>
      </c>
      <c r="CR43" s="91">
        <v>4032.2939999999994</v>
      </c>
      <c r="CS43" s="91">
        <v>4375.0919999999996</v>
      </c>
      <c r="CT43" s="91">
        <v>5604.9239999999991</v>
      </c>
      <c r="CU43" s="91">
        <v>7897.606499999999</v>
      </c>
      <c r="CV43" s="91">
        <v>55778.656499999997</v>
      </c>
      <c r="CW43" s="758"/>
      <c r="CX43" s="884">
        <v>4442.6099999999997</v>
      </c>
      <c r="CY43" s="884">
        <v>3433.56</v>
      </c>
      <c r="CZ43" s="884">
        <v>3860.0114999999996</v>
      </c>
      <c r="DA43" s="884">
        <v>3578.1749999999997</v>
      </c>
      <c r="DB43" s="884">
        <v>4015.5074999999997</v>
      </c>
      <c r="DC43" s="884">
        <v>4835.3954999999996</v>
      </c>
      <c r="DD43" s="884">
        <v>5815.1969999999992</v>
      </c>
      <c r="DE43" s="884">
        <v>3888.2835</v>
      </c>
      <c r="DF43" s="884">
        <v>4032.2939999999994</v>
      </c>
      <c r="DG43" s="884">
        <v>4375.0919999999996</v>
      </c>
      <c r="DH43" s="884">
        <v>5604.9239999999991</v>
      </c>
      <c r="DI43" s="884">
        <v>7897.606499999999</v>
      </c>
      <c r="DJ43" s="91">
        <v>55778.656499999997</v>
      </c>
      <c r="DK43" s="948"/>
      <c r="DL43" s="884">
        <v>4442.6099999999997</v>
      </c>
      <c r="DM43" s="884">
        <v>3433.56</v>
      </c>
      <c r="DN43" s="884">
        <v>3860.0114999999996</v>
      </c>
      <c r="DO43" s="884">
        <v>3578.1749999999997</v>
      </c>
      <c r="DP43" s="884">
        <v>4015.5074999999997</v>
      </c>
      <c r="DQ43" s="884">
        <v>4835.3954999999996</v>
      </c>
      <c r="DR43" s="884">
        <v>5815.1969999999992</v>
      </c>
      <c r="DS43" s="884">
        <v>3888.2835</v>
      </c>
      <c r="DT43" s="884">
        <v>4032.2939999999994</v>
      </c>
      <c r="DU43" s="884">
        <v>4375.0919999999996</v>
      </c>
      <c r="DV43" s="884">
        <v>5604.9239999999991</v>
      </c>
      <c r="DW43" s="884">
        <v>7897.606499999999</v>
      </c>
      <c r="DX43" s="91">
        <v>55778.656499999997</v>
      </c>
    </row>
    <row r="44" spans="1:143" ht="15" hidden="1" customHeight="1" outlineLevel="1">
      <c r="A44" s="94">
        <v>3</v>
      </c>
      <c r="B44" s="1079" t="s">
        <v>58</v>
      </c>
      <c r="C44" s="1120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>
        <f t="shared" si="75"/>
        <v>0</v>
      </c>
      <c r="Q44" s="90"/>
      <c r="R44" s="313">
        <v>746</v>
      </c>
      <c r="S44" s="91">
        <v>653</v>
      </c>
      <c r="T44" s="91">
        <v>700</v>
      </c>
      <c r="U44" s="91">
        <v>0</v>
      </c>
      <c r="V44" s="91">
        <v>200</v>
      </c>
      <c r="W44" s="91">
        <v>400</v>
      </c>
      <c r="X44" s="91">
        <v>900</v>
      </c>
      <c r="Y44" s="91">
        <v>900</v>
      </c>
      <c r="Z44" s="91">
        <v>900</v>
      </c>
      <c r="AA44" s="91">
        <v>900</v>
      </c>
      <c r="AB44" s="91">
        <v>900</v>
      </c>
      <c r="AC44" s="91">
        <v>1200</v>
      </c>
      <c r="AD44" s="315">
        <f t="shared" si="76"/>
        <v>8399</v>
      </c>
      <c r="AE44" s="23"/>
      <c r="AF44" s="316">
        <v>1800</v>
      </c>
      <c r="AG44" s="91">
        <v>1200</v>
      </c>
      <c r="AH44" s="91">
        <v>230</v>
      </c>
      <c r="AI44" s="91">
        <v>472</v>
      </c>
      <c r="AJ44" s="91">
        <v>1495</v>
      </c>
      <c r="AK44" s="91">
        <v>1200</v>
      </c>
      <c r="AL44" s="91">
        <v>1500</v>
      </c>
      <c r="AM44" s="91">
        <v>1500</v>
      </c>
      <c r="AN44" s="91">
        <v>1500</v>
      </c>
      <c r="AO44" s="91">
        <v>1500</v>
      </c>
      <c r="AP44" s="91">
        <v>1650</v>
      </c>
      <c r="AQ44" s="91">
        <v>2400</v>
      </c>
      <c r="AR44" s="92">
        <f t="shared" si="77"/>
        <v>16447</v>
      </c>
      <c r="AS44" s="23"/>
      <c r="AT44" s="91">
        <v>2438</v>
      </c>
      <c r="AU44" s="91">
        <v>1501</v>
      </c>
      <c r="AV44" s="91">
        <v>1566</v>
      </c>
      <c r="AW44" s="91">
        <v>2127</v>
      </c>
      <c r="AX44" s="317">
        <v>1928</v>
      </c>
      <c r="AY44" s="317">
        <v>1928</v>
      </c>
      <c r="AZ44" s="317">
        <v>1840</v>
      </c>
      <c r="BA44" s="317">
        <v>1840</v>
      </c>
      <c r="BB44" s="317">
        <v>1928</v>
      </c>
      <c r="BC44" s="317">
        <v>2278</v>
      </c>
      <c r="BD44" s="317">
        <v>2454</v>
      </c>
      <c r="BE44" s="317">
        <v>3505</v>
      </c>
      <c r="BF44" s="91">
        <f t="shared" si="78"/>
        <v>25333</v>
      </c>
      <c r="BG44" s="93">
        <f t="shared" si="79"/>
        <v>0.54028090229221126</v>
      </c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>
        <v>7784</v>
      </c>
      <c r="BU44" s="54"/>
      <c r="BV44" s="91">
        <v>450.99999999999989</v>
      </c>
      <c r="BW44" s="91">
        <v>348.59999999999991</v>
      </c>
      <c r="BX44" s="91">
        <f>'META  EM PEÇAS'!U28-('META  EM PEÇAS'!U28*0.05)</f>
        <v>391.96999999999991</v>
      </c>
      <c r="BY44" s="91">
        <f>'META  EM PEÇAS'!V28-('META  EM PEÇAS'!V28*0.05)</f>
        <v>363.27999999999992</v>
      </c>
      <c r="BZ44" s="91">
        <f>'META  EM PEÇAS'!W28-('META  EM PEÇAS'!W28*0.05)</f>
        <v>407.5499999999999</v>
      </c>
      <c r="CA44" s="91">
        <f>'META  EM PEÇAS'!X28-('META  EM PEÇAS'!X28*0.05)</f>
        <v>490.76999999999992</v>
      </c>
      <c r="CB44" s="91">
        <f>'META  EM PEÇAS'!Y28-('META  EM PEÇAS'!Y28*0.05)</f>
        <v>590.32999999999993</v>
      </c>
      <c r="CC44" s="91">
        <f>'META  EM PEÇAS'!Z28-('META  EM PEÇAS'!Z28*0.05)</f>
        <v>394.62999999999994</v>
      </c>
      <c r="CD44" s="91">
        <f>'META  EM PEÇAS'!AA28-('META  EM PEÇAS'!AA28*0.05)</f>
        <v>409.25999999999988</v>
      </c>
      <c r="CE44" s="91">
        <f>'META  EM PEÇAS'!AB28-('META  EM PEÇAS'!AB28*0.05)</f>
        <v>444.21999999999991</v>
      </c>
      <c r="CF44" s="91">
        <f>'META  EM PEÇAS'!AC28-('META  EM PEÇAS'!AC28*0.05)</f>
        <v>569.04999999999984</v>
      </c>
      <c r="CG44" s="91">
        <f>'META  EM PEÇAS'!AD28-('META  EM PEÇAS'!AD28*0.05)</f>
        <v>801.79999999999973</v>
      </c>
      <c r="CH44" s="91">
        <f t="shared" ref="CH44:CH57" si="80">SUM(BV44:CG44)</f>
        <v>5662.4599999999991</v>
      </c>
      <c r="CJ44" s="91">
        <v>450.99999999999989</v>
      </c>
      <c r="CK44" s="91">
        <v>348.59999999999991</v>
      </c>
      <c r="CL44" s="91">
        <v>391.96999999999991</v>
      </c>
      <c r="CM44" s="91">
        <v>363.27999999999992</v>
      </c>
      <c r="CN44" s="91">
        <v>407.5499999999999</v>
      </c>
      <c r="CO44" s="91">
        <v>490.76999999999992</v>
      </c>
      <c r="CP44" s="91">
        <v>590.32999999999993</v>
      </c>
      <c r="CQ44" s="91">
        <v>394.62999999999994</v>
      </c>
      <c r="CR44" s="91">
        <v>409.25999999999988</v>
      </c>
      <c r="CS44" s="91">
        <v>444.21999999999991</v>
      </c>
      <c r="CT44" s="91">
        <v>569.04999999999984</v>
      </c>
      <c r="CU44" s="91">
        <v>801.79999999999973</v>
      </c>
      <c r="CV44" s="91">
        <v>5662.4599999999991</v>
      </c>
      <c r="CW44" s="758"/>
      <c r="CX44" s="884">
        <v>450.99999999999989</v>
      </c>
      <c r="CY44" s="884">
        <v>348.59999999999991</v>
      </c>
      <c r="CZ44" s="884">
        <v>391.96999999999991</v>
      </c>
      <c r="DA44" s="884">
        <v>363.27999999999992</v>
      </c>
      <c r="DB44" s="884">
        <v>407.5499999999999</v>
      </c>
      <c r="DC44" s="884">
        <v>490.76999999999992</v>
      </c>
      <c r="DD44" s="884">
        <v>590.32999999999993</v>
      </c>
      <c r="DE44" s="884">
        <v>394.62999999999994</v>
      </c>
      <c r="DF44" s="884">
        <v>409.25999999999988</v>
      </c>
      <c r="DG44" s="884">
        <v>444.21999999999991</v>
      </c>
      <c r="DH44" s="884">
        <v>569.04999999999984</v>
      </c>
      <c r="DI44" s="884">
        <v>801.79999999999973</v>
      </c>
      <c r="DJ44" s="91">
        <v>5662.4599999999991</v>
      </c>
      <c r="DK44" s="948"/>
      <c r="DL44" s="884">
        <v>450.99999999999989</v>
      </c>
      <c r="DM44" s="884">
        <v>348.59999999999991</v>
      </c>
      <c r="DN44" s="884">
        <v>391.96999999999991</v>
      </c>
      <c r="DO44" s="884">
        <v>363.27999999999992</v>
      </c>
      <c r="DP44" s="884">
        <v>407.5499999999999</v>
      </c>
      <c r="DQ44" s="884">
        <v>490.76999999999992</v>
      </c>
      <c r="DR44" s="884">
        <v>590.32999999999993</v>
      </c>
      <c r="DS44" s="884">
        <v>394.62999999999994</v>
      </c>
      <c r="DT44" s="884">
        <v>409.25999999999988</v>
      </c>
      <c r="DU44" s="884">
        <v>444.21999999999991</v>
      </c>
      <c r="DV44" s="884">
        <v>569.04999999999984</v>
      </c>
      <c r="DW44" s="884">
        <v>801.79999999999973</v>
      </c>
      <c r="DX44" s="91">
        <v>5662.4599999999991</v>
      </c>
    </row>
    <row r="45" spans="1:143" ht="15" hidden="1" customHeight="1" outlineLevel="1">
      <c r="A45" s="94">
        <v>4</v>
      </c>
      <c r="B45" s="1079" t="s">
        <v>59</v>
      </c>
      <c r="C45" s="1120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>
        <f t="shared" si="75"/>
        <v>0</v>
      </c>
      <c r="Q45" s="90"/>
      <c r="R45" s="313">
        <v>1455</v>
      </c>
      <c r="S45" s="91">
        <f>2036</f>
        <v>2036</v>
      </c>
      <c r="T45" s="91">
        <f>2182/2</f>
        <v>1091</v>
      </c>
      <c r="U45" s="91">
        <v>0</v>
      </c>
      <c r="V45" s="91">
        <v>200</v>
      </c>
      <c r="W45" s="91">
        <v>900</v>
      </c>
      <c r="X45" s="91">
        <v>1600</v>
      </c>
      <c r="Y45" s="91">
        <v>1600</v>
      </c>
      <c r="Z45" s="91">
        <v>1600</v>
      </c>
      <c r="AA45" s="91">
        <v>1600</v>
      </c>
      <c r="AB45" s="91">
        <v>2200</v>
      </c>
      <c r="AC45" s="91">
        <v>2500</v>
      </c>
      <c r="AD45" s="315">
        <f t="shared" si="76"/>
        <v>16782</v>
      </c>
      <c r="AE45" s="23"/>
      <c r="AF45" s="316">
        <v>2200</v>
      </c>
      <c r="AG45" s="91">
        <v>1500</v>
      </c>
      <c r="AH45" s="91">
        <v>121</v>
      </c>
      <c r="AI45" s="91">
        <v>565</v>
      </c>
      <c r="AJ45" s="91">
        <v>1514</v>
      </c>
      <c r="AK45" s="91">
        <v>1760</v>
      </c>
      <c r="AL45" s="91">
        <v>1800</v>
      </c>
      <c r="AM45" s="91">
        <v>2200</v>
      </c>
      <c r="AN45" s="91">
        <v>2200</v>
      </c>
      <c r="AO45" s="91">
        <v>2200</v>
      </c>
      <c r="AP45" s="91">
        <v>2420</v>
      </c>
      <c r="AQ45" s="91">
        <v>3520</v>
      </c>
      <c r="AR45" s="92">
        <f t="shared" si="77"/>
        <v>22000</v>
      </c>
      <c r="AS45" s="23"/>
      <c r="AT45" s="91">
        <v>1529</v>
      </c>
      <c r="AU45" s="91">
        <v>1516</v>
      </c>
      <c r="AV45" s="91">
        <v>1586</v>
      </c>
      <c r="AW45" s="91">
        <v>1979</v>
      </c>
      <c r="AX45" s="317">
        <v>1283</v>
      </c>
      <c r="AY45" s="317">
        <v>1283</v>
      </c>
      <c r="AZ45" s="317">
        <v>1224</v>
      </c>
      <c r="BA45" s="317">
        <v>1224</v>
      </c>
      <c r="BB45" s="317">
        <v>1283</v>
      </c>
      <c r="BC45" s="317">
        <v>1516</v>
      </c>
      <c r="BD45" s="317">
        <v>1632</v>
      </c>
      <c r="BE45" s="317">
        <v>2332</v>
      </c>
      <c r="BF45" s="91">
        <f t="shared" si="78"/>
        <v>18387</v>
      </c>
      <c r="BG45" s="93">
        <f t="shared" si="79"/>
        <v>-0.16422727272727278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>
        <v>9018</v>
      </c>
      <c r="BU45" s="54"/>
      <c r="BV45" s="91">
        <v>1143.8999999999999</v>
      </c>
      <c r="BW45" s="91">
        <v>884.43</v>
      </c>
      <c r="BX45" s="91">
        <f>'META  EM PEÇAS'!U29-('META  EM PEÇAS'!U29*0.05)</f>
        <v>993.9375</v>
      </c>
      <c r="BY45" s="91">
        <f>'META  EM PEÇAS'!V29-('META  EM PEÇAS'!V29*0.05)</f>
        <v>921.49049999999988</v>
      </c>
      <c r="BZ45" s="91">
        <f>'META  EM PEÇAS'!W29-('META  EM PEÇAS'!W29*0.05)</f>
        <v>1033.6949999999999</v>
      </c>
      <c r="CA45" s="91">
        <f>'META  EM PEÇAS'!X29-('META  EM PEÇAS'!X29*0.05)</f>
        <v>1244.8515</v>
      </c>
      <c r="CB45" s="91">
        <f>'META  EM PEÇAS'!Y29-('META  EM PEÇAS'!Y29*0.05)</f>
        <v>1497.5324999999998</v>
      </c>
      <c r="CC45" s="91">
        <f>'META  EM PEÇAS'!Z29-('META  EM PEÇAS'!Z29*0.05)</f>
        <v>1001.0054999999999</v>
      </c>
      <c r="CD45" s="91">
        <f>'META  EM PEÇAS'!AA29-('META  EM PEÇAS'!AA29*0.05)</f>
        <v>1038.1125</v>
      </c>
      <c r="CE45" s="91">
        <f>'META  EM PEÇAS'!AB29-('META  EM PEÇAS'!AB29*0.05)</f>
        <v>1126.4625000000001</v>
      </c>
      <c r="CF45" s="91">
        <f>'META  EM PEÇAS'!AC29-('META  EM PEÇAS'!AC29*0.05)</f>
        <v>1443.6389999999999</v>
      </c>
      <c r="CG45" s="91">
        <f>'META  EM PEÇAS'!AD29-('META  EM PEÇAS'!AD29*0.05)</f>
        <v>2033.8169999999998</v>
      </c>
      <c r="CH45" s="91">
        <f t="shared" si="80"/>
        <v>14362.873499999996</v>
      </c>
      <c r="CJ45" s="91">
        <v>1143.8999999999999</v>
      </c>
      <c r="CK45" s="91">
        <v>884.43</v>
      </c>
      <c r="CL45" s="91">
        <v>993.9375</v>
      </c>
      <c r="CM45" s="91">
        <v>921.49049999999988</v>
      </c>
      <c r="CN45" s="91">
        <v>1033.6949999999999</v>
      </c>
      <c r="CO45" s="91">
        <v>1244.8515</v>
      </c>
      <c r="CP45" s="91">
        <v>1497.5324999999998</v>
      </c>
      <c r="CQ45" s="91">
        <v>1001.0054999999999</v>
      </c>
      <c r="CR45" s="91">
        <v>1038.1125</v>
      </c>
      <c r="CS45" s="91">
        <v>1126.4625000000001</v>
      </c>
      <c r="CT45" s="91">
        <v>1443.6389999999999</v>
      </c>
      <c r="CU45" s="91">
        <v>2033.8169999999998</v>
      </c>
      <c r="CV45" s="91">
        <v>14362.873499999996</v>
      </c>
      <c r="CW45" s="758"/>
      <c r="CX45" s="884">
        <v>1143.8999999999999</v>
      </c>
      <c r="CY45" s="884">
        <v>884.43</v>
      </c>
      <c r="CZ45" s="884">
        <v>993.9375</v>
      </c>
      <c r="DA45" s="884">
        <v>921.49049999999988</v>
      </c>
      <c r="DB45" s="884">
        <v>1033.6949999999999</v>
      </c>
      <c r="DC45" s="884">
        <v>1244.8515</v>
      </c>
      <c r="DD45" s="884">
        <v>1497.5324999999998</v>
      </c>
      <c r="DE45" s="884">
        <v>1001.0054999999999</v>
      </c>
      <c r="DF45" s="884">
        <v>1038.1125</v>
      </c>
      <c r="DG45" s="884">
        <v>1126.4625000000001</v>
      </c>
      <c r="DH45" s="884">
        <v>1443.6389999999999</v>
      </c>
      <c r="DI45" s="884">
        <v>2033.8169999999998</v>
      </c>
      <c r="DJ45" s="91">
        <v>14362.873499999996</v>
      </c>
      <c r="DK45" s="948"/>
      <c r="DL45" s="884">
        <v>1143.8999999999999</v>
      </c>
      <c r="DM45" s="884">
        <v>884.43</v>
      </c>
      <c r="DN45" s="884">
        <v>993.9375</v>
      </c>
      <c r="DO45" s="884">
        <v>921.49049999999988</v>
      </c>
      <c r="DP45" s="884">
        <v>1033.6949999999999</v>
      </c>
      <c r="DQ45" s="884">
        <v>1244.8515</v>
      </c>
      <c r="DR45" s="884">
        <v>1497.5324999999998</v>
      </c>
      <c r="DS45" s="884">
        <v>1001.0054999999999</v>
      </c>
      <c r="DT45" s="884">
        <v>1038.1125</v>
      </c>
      <c r="DU45" s="884">
        <v>1126.4625000000001</v>
      </c>
      <c r="DV45" s="884">
        <v>1443.6389999999999</v>
      </c>
      <c r="DW45" s="884">
        <v>2033.8169999999998</v>
      </c>
      <c r="DX45" s="91">
        <v>14362.873499999996</v>
      </c>
    </row>
    <row r="46" spans="1:143" ht="15" hidden="1" customHeight="1" outlineLevel="1">
      <c r="A46" s="94">
        <v>5</v>
      </c>
      <c r="B46" s="1079" t="s">
        <v>60</v>
      </c>
      <c r="C46" s="1120"/>
      <c r="D46" s="313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314">
        <f t="shared" si="75"/>
        <v>0</v>
      </c>
      <c r="Q46" s="90"/>
      <c r="R46" s="313">
        <v>1353</v>
      </c>
      <c r="S46" s="91">
        <v>1184</v>
      </c>
      <c r="T46" s="91">
        <v>1268</v>
      </c>
      <c r="U46" s="91">
        <f t="shared" ref="U46:V46" si="81">10*U8</f>
        <v>10</v>
      </c>
      <c r="V46" s="91">
        <f t="shared" si="81"/>
        <v>120</v>
      </c>
      <c r="W46" s="91">
        <v>600</v>
      </c>
      <c r="X46" s="91">
        <v>1600</v>
      </c>
      <c r="Y46" s="91">
        <v>1600</v>
      </c>
      <c r="Z46" s="91">
        <v>1600</v>
      </c>
      <c r="AA46" s="91">
        <v>1600</v>
      </c>
      <c r="AB46" s="91">
        <v>1600</v>
      </c>
      <c r="AC46" s="91">
        <v>2200</v>
      </c>
      <c r="AD46" s="315">
        <f t="shared" si="76"/>
        <v>14735</v>
      </c>
      <c r="AE46" s="23"/>
      <c r="AF46" s="316">
        <v>1800</v>
      </c>
      <c r="AG46" s="91">
        <v>1200</v>
      </c>
      <c r="AH46" s="91">
        <v>181</v>
      </c>
      <c r="AI46" s="91">
        <v>628</v>
      </c>
      <c r="AJ46" s="91">
        <v>1169</v>
      </c>
      <c r="AK46" s="91">
        <v>960</v>
      </c>
      <c r="AL46" s="91">
        <v>1500</v>
      </c>
      <c r="AM46" s="91">
        <v>1200</v>
      </c>
      <c r="AN46" s="91">
        <v>1200</v>
      </c>
      <c r="AO46" s="91">
        <v>1200</v>
      </c>
      <c r="AP46" s="91">
        <v>1320</v>
      </c>
      <c r="AQ46" s="91">
        <v>1920</v>
      </c>
      <c r="AR46" s="92">
        <f t="shared" si="77"/>
        <v>14278</v>
      </c>
      <c r="AS46" s="23"/>
      <c r="AT46" s="91">
        <v>1496</v>
      </c>
      <c r="AU46" s="91">
        <v>1200</v>
      </c>
      <c r="AV46" s="91">
        <v>1227</v>
      </c>
      <c r="AW46" s="91">
        <v>1655</v>
      </c>
      <c r="AX46" s="317">
        <v>1141</v>
      </c>
      <c r="AY46" s="317">
        <v>1141</v>
      </c>
      <c r="AZ46" s="317">
        <v>1089</v>
      </c>
      <c r="BA46" s="317">
        <v>1089</v>
      </c>
      <c r="BB46" s="317">
        <v>1141</v>
      </c>
      <c r="BC46" s="317">
        <v>1349</v>
      </c>
      <c r="BD46" s="317">
        <v>1453</v>
      </c>
      <c r="BE46" s="317">
        <v>2075</v>
      </c>
      <c r="BF46" s="91">
        <f t="shared" si="78"/>
        <v>16056</v>
      </c>
      <c r="BG46" s="93">
        <f t="shared" si="79"/>
        <v>0.1245272447121446</v>
      </c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>
        <v>10591</v>
      </c>
      <c r="BU46" s="54"/>
      <c r="BV46" s="91">
        <v>1474.9799999999998</v>
      </c>
      <c r="BW46" s="91">
        <v>1140.1799999999998</v>
      </c>
      <c r="BX46" s="91">
        <f>'META  EM PEÇAS'!U30-('META  EM PEÇAS'!U30*0.05)</f>
        <v>1281.9584999999997</v>
      </c>
      <c r="BY46" s="91">
        <f>'META  EM PEÇAS'!V30-('META  EM PEÇAS'!V30*0.05)</f>
        <v>1188.3074999999999</v>
      </c>
      <c r="BZ46" s="91">
        <f>'META  EM PEÇAS'!W30-('META  EM PEÇAS'!W30*0.05)</f>
        <v>1333.2014999999999</v>
      </c>
      <c r="CA46" s="91">
        <f>'META  EM PEÇAS'!X30-('META  EM PEÇAS'!X30*0.05)</f>
        <v>1606.2029999999997</v>
      </c>
      <c r="CB46" s="91">
        <f>'META  EM PEÇAS'!Y30-('META  EM PEÇAS'!Y30*0.05)</f>
        <v>1931.3309999999997</v>
      </c>
      <c r="CC46" s="91">
        <f>'META  EM PEÇAS'!Z30-('META  EM PEÇAS'!Z30*0.05)</f>
        <v>1291.6769999999999</v>
      </c>
      <c r="CD46" s="91">
        <f>'META  EM PEÇAS'!AA30-('META  EM PEÇAS'!AA30*0.05)</f>
        <v>1339.386</v>
      </c>
      <c r="CE46" s="91">
        <f>'META  EM PEÇAS'!AB30-('META  EM PEÇAS'!AB30*0.05)</f>
        <v>1453.3574999999998</v>
      </c>
      <c r="CF46" s="91">
        <f>'META  EM PEÇAS'!AC30-('META  EM PEÇAS'!AC30*0.05)</f>
        <v>1861.5344999999998</v>
      </c>
      <c r="CG46" s="91">
        <f>'META  EM PEÇAS'!AD30-('META  EM PEÇAS'!AD30*0.05)</f>
        <v>2623.1114999999995</v>
      </c>
      <c r="CH46" s="91">
        <f t="shared" si="80"/>
        <v>18525.227999999999</v>
      </c>
      <c r="CI46" s="450"/>
      <c r="CJ46" s="91">
        <v>1474.9799999999998</v>
      </c>
      <c r="CK46" s="91">
        <v>1140.1799999999998</v>
      </c>
      <c r="CL46" s="91">
        <v>1281.9584999999997</v>
      </c>
      <c r="CM46" s="91">
        <v>1188.3074999999999</v>
      </c>
      <c r="CN46" s="91">
        <v>1333.2014999999999</v>
      </c>
      <c r="CO46" s="91">
        <v>1606.2029999999997</v>
      </c>
      <c r="CP46" s="91">
        <v>1931.3309999999997</v>
      </c>
      <c r="CQ46" s="91">
        <v>1291.6769999999999</v>
      </c>
      <c r="CR46" s="91">
        <v>1339.386</v>
      </c>
      <c r="CS46" s="91">
        <v>1453.3574999999998</v>
      </c>
      <c r="CT46" s="91">
        <v>1861.5344999999998</v>
      </c>
      <c r="CU46" s="91">
        <v>2623.1114999999995</v>
      </c>
      <c r="CV46" s="91">
        <v>18525.227999999999</v>
      </c>
      <c r="CW46" s="758"/>
      <c r="CX46" s="884">
        <v>1474.9799999999998</v>
      </c>
      <c r="CY46" s="884">
        <v>1140.1799999999998</v>
      </c>
      <c r="CZ46" s="884">
        <v>1281.9584999999997</v>
      </c>
      <c r="DA46" s="884">
        <v>1188.3074999999999</v>
      </c>
      <c r="DB46" s="884">
        <v>1333.2014999999999</v>
      </c>
      <c r="DC46" s="884">
        <v>1606.2029999999997</v>
      </c>
      <c r="DD46" s="884">
        <v>1931.3309999999997</v>
      </c>
      <c r="DE46" s="884">
        <v>1291.6769999999999</v>
      </c>
      <c r="DF46" s="884">
        <v>1339.386</v>
      </c>
      <c r="DG46" s="884">
        <v>1453.3574999999998</v>
      </c>
      <c r="DH46" s="884">
        <v>1861.5344999999998</v>
      </c>
      <c r="DI46" s="884">
        <v>2623.1114999999995</v>
      </c>
      <c r="DJ46" s="91">
        <v>18525.227999999999</v>
      </c>
      <c r="DK46" s="948"/>
      <c r="DL46" s="884">
        <v>1474.9799999999998</v>
      </c>
      <c r="DM46" s="884">
        <v>1140.1799999999998</v>
      </c>
      <c r="DN46" s="884">
        <v>1281.9584999999997</v>
      </c>
      <c r="DO46" s="884">
        <v>1188.3074999999999</v>
      </c>
      <c r="DP46" s="884">
        <v>1333.2014999999999</v>
      </c>
      <c r="DQ46" s="884">
        <v>1606.2029999999997</v>
      </c>
      <c r="DR46" s="884">
        <v>1931.3309999999997</v>
      </c>
      <c r="DS46" s="884">
        <v>1291.6769999999999</v>
      </c>
      <c r="DT46" s="884">
        <v>1339.386</v>
      </c>
      <c r="DU46" s="884">
        <v>1453.3574999999998</v>
      </c>
      <c r="DV46" s="884">
        <v>1861.5344999999998</v>
      </c>
      <c r="DW46" s="884">
        <v>2623.1114999999995</v>
      </c>
      <c r="DX46" s="91">
        <v>18525.227999999999</v>
      </c>
    </row>
    <row r="47" spans="1:143" ht="15" hidden="1" customHeight="1" outlineLevel="1">
      <c r="A47" s="94">
        <v>6</v>
      </c>
      <c r="B47" s="1079" t="s">
        <v>61</v>
      </c>
      <c r="C47" s="1120"/>
      <c r="D47" s="313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314">
        <f t="shared" si="75"/>
        <v>0</v>
      </c>
      <c r="Q47" s="90"/>
      <c r="R47" s="313">
        <v>1455</v>
      </c>
      <c r="S47" s="91">
        <v>1273</v>
      </c>
      <c r="T47" s="91">
        <v>1364</v>
      </c>
      <c r="U47" s="91">
        <v>0</v>
      </c>
      <c r="V47" s="91">
        <v>200</v>
      </c>
      <c r="W47" s="91">
        <v>800</v>
      </c>
      <c r="X47" s="91">
        <v>1600</v>
      </c>
      <c r="Y47" s="91">
        <v>1600</v>
      </c>
      <c r="Z47" s="91">
        <v>1600</v>
      </c>
      <c r="AA47" s="91">
        <v>1600</v>
      </c>
      <c r="AB47" s="91">
        <v>1800</v>
      </c>
      <c r="AC47" s="91">
        <v>2400</v>
      </c>
      <c r="AD47" s="315">
        <f t="shared" si="76"/>
        <v>15692</v>
      </c>
      <c r="AE47" s="23"/>
      <c r="AF47" s="316">
        <v>1500</v>
      </c>
      <c r="AG47" s="91">
        <v>1200</v>
      </c>
      <c r="AH47" s="91">
        <v>127</v>
      </c>
      <c r="AI47" s="91">
        <v>426</v>
      </c>
      <c r="AJ47" s="91">
        <v>1063</v>
      </c>
      <c r="AK47" s="91">
        <v>960</v>
      </c>
      <c r="AL47" s="91">
        <v>1500</v>
      </c>
      <c r="AM47" s="91">
        <v>1200</v>
      </c>
      <c r="AN47" s="91">
        <v>1200</v>
      </c>
      <c r="AO47" s="91">
        <v>1200</v>
      </c>
      <c r="AP47" s="91">
        <v>1320</v>
      </c>
      <c r="AQ47" s="91">
        <v>1920</v>
      </c>
      <c r="AR47" s="92">
        <f t="shared" si="77"/>
        <v>13616</v>
      </c>
      <c r="AS47" s="23"/>
      <c r="AT47" s="91">
        <v>1222</v>
      </c>
      <c r="AU47" s="91">
        <v>1200</v>
      </c>
      <c r="AV47" s="91">
        <v>1117</v>
      </c>
      <c r="AW47" s="91">
        <v>1463</v>
      </c>
      <c r="AX47" s="317">
        <v>1087</v>
      </c>
      <c r="AY47" s="317">
        <v>1087</v>
      </c>
      <c r="AZ47" s="317">
        <v>1038</v>
      </c>
      <c r="BA47" s="317">
        <v>1038</v>
      </c>
      <c r="BB47" s="317">
        <v>1087</v>
      </c>
      <c r="BC47" s="317">
        <v>1285</v>
      </c>
      <c r="BD47" s="317">
        <v>1384</v>
      </c>
      <c r="BE47" s="317">
        <v>1977</v>
      </c>
      <c r="BF47" s="91">
        <f t="shared" si="78"/>
        <v>14985</v>
      </c>
      <c r="BG47" s="93">
        <f t="shared" si="79"/>
        <v>0.10054347826086962</v>
      </c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>
        <v>10087</v>
      </c>
      <c r="BU47" s="54"/>
      <c r="BV47" s="91">
        <v>1214.58</v>
      </c>
      <c r="BW47" s="91">
        <v>939.3</v>
      </c>
      <c r="BX47" s="91">
        <f>'META  EM PEÇAS'!U31-('META  EM PEÇAS'!U31*0.05)</f>
        <v>1055.7824999999998</v>
      </c>
      <c r="BY47" s="91">
        <f>'META  EM PEÇAS'!V31-('META  EM PEÇAS'!V31*0.05)</f>
        <v>978.03449999999998</v>
      </c>
      <c r="BZ47" s="91">
        <f>'META  EM PEÇAS'!W31-('META  EM PEÇAS'!W31*0.05)</f>
        <v>1098.1904999999999</v>
      </c>
      <c r="CA47" s="91">
        <f>'META  EM PEÇAS'!X31-('META  EM PEÇAS'!X31*0.05)</f>
        <v>1322.5994999999998</v>
      </c>
      <c r="CB47" s="91">
        <f>'META  EM PEÇAS'!Y31-('META  EM PEÇAS'!Y31*0.05)</f>
        <v>1590.3</v>
      </c>
      <c r="CC47" s="91">
        <f>'META  EM PEÇAS'!Z31-('META  EM PEÇAS'!Z31*0.05)</f>
        <v>1062.8505</v>
      </c>
      <c r="CD47" s="91">
        <f>'META  EM PEÇAS'!AA31-('META  EM PEÇAS'!AA31*0.05)</f>
        <v>1102.6079999999999</v>
      </c>
      <c r="CE47" s="91">
        <f>'META  EM PEÇAS'!AB31-('META  EM PEÇAS'!AB31*0.05)</f>
        <v>1196.259</v>
      </c>
      <c r="CF47" s="91">
        <f>'META  EM PEÇAS'!AC31-('META  EM PEÇAS'!AC31*0.05)</f>
        <v>1532.8724999999999</v>
      </c>
      <c r="CG47" s="91">
        <f>'META  EM PEÇAS'!AD31-('META  EM PEÇAS'!AD31*0.05)</f>
        <v>2160.1574999999998</v>
      </c>
      <c r="CH47" s="91">
        <f t="shared" si="80"/>
        <v>15253.534499999998</v>
      </c>
      <c r="CJ47" s="91">
        <v>1214.58</v>
      </c>
      <c r="CK47" s="91">
        <v>939.3</v>
      </c>
      <c r="CL47" s="91">
        <v>1055.7824999999998</v>
      </c>
      <c r="CM47" s="91">
        <v>978.03449999999998</v>
      </c>
      <c r="CN47" s="91">
        <v>1098.1904999999999</v>
      </c>
      <c r="CO47" s="91">
        <v>1322.5994999999998</v>
      </c>
      <c r="CP47" s="91">
        <v>1590.3</v>
      </c>
      <c r="CQ47" s="91">
        <v>1062.8505</v>
      </c>
      <c r="CR47" s="91">
        <v>1102.6079999999999</v>
      </c>
      <c r="CS47" s="91">
        <v>1196.259</v>
      </c>
      <c r="CT47" s="91">
        <v>1532.8724999999999</v>
      </c>
      <c r="CU47" s="91">
        <v>2160.1574999999998</v>
      </c>
      <c r="CV47" s="91">
        <v>15253.534499999998</v>
      </c>
      <c r="CW47" s="758"/>
      <c r="CX47" s="884">
        <v>1214.58</v>
      </c>
      <c r="CY47" s="884">
        <v>939.3</v>
      </c>
      <c r="CZ47" s="884">
        <v>1055.7824999999998</v>
      </c>
      <c r="DA47" s="884">
        <v>978.03449999999998</v>
      </c>
      <c r="DB47" s="884">
        <v>1098.1904999999999</v>
      </c>
      <c r="DC47" s="884">
        <v>1322.5994999999998</v>
      </c>
      <c r="DD47" s="884">
        <v>1590.3</v>
      </c>
      <c r="DE47" s="884">
        <v>1062.8505</v>
      </c>
      <c r="DF47" s="884">
        <v>1102.6079999999999</v>
      </c>
      <c r="DG47" s="884">
        <v>1196.259</v>
      </c>
      <c r="DH47" s="884">
        <v>1532.8724999999999</v>
      </c>
      <c r="DI47" s="884">
        <v>2160.1574999999998</v>
      </c>
      <c r="DJ47" s="91">
        <v>15253.534499999998</v>
      </c>
      <c r="DK47" s="948"/>
      <c r="DL47" s="884">
        <v>1214.58</v>
      </c>
      <c r="DM47" s="884">
        <v>939.3</v>
      </c>
      <c r="DN47" s="884">
        <v>1055.7824999999998</v>
      </c>
      <c r="DO47" s="884">
        <v>978.03449999999998</v>
      </c>
      <c r="DP47" s="884">
        <v>1098.1904999999999</v>
      </c>
      <c r="DQ47" s="884">
        <v>1322.5994999999998</v>
      </c>
      <c r="DR47" s="884">
        <v>1590.3</v>
      </c>
      <c r="DS47" s="884">
        <v>1062.8505</v>
      </c>
      <c r="DT47" s="884">
        <v>1102.6079999999999</v>
      </c>
      <c r="DU47" s="884">
        <v>1196.259</v>
      </c>
      <c r="DV47" s="884">
        <v>1532.8724999999999</v>
      </c>
      <c r="DW47" s="884">
        <v>2160.1574999999998</v>
      </c>
      <c r="DX47" s="91">
        <v>15253.534499999998</v>
      </c>
    </row>
    <row r="48" spans="1:143" ht="15" hidden="1" customHeight="1" outlineLevel="1">
      <c r="A48" s="94">
        <v>7</v>
      </c>
      <c r="B48" s="1079" t="s">
        <v>62</v>
      </c>
      <c r="C48" s="1120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314">
        <f t="shared" si="75"/>
        <v>0</v>
      </c>
      <c r="Q48" s="90"/>
      <c r="R48" s="313">
        <v>2000</v>
      </c>
      <c r="S48" s="91">
        <f>2182</f>
        <v>2182</v>
      </c>
      <c r="T48" s="91">
        <f>2455/2</f>
        <v>1227.5</v>
      </c>
      <c r="U48" s="91">
        <f>4*U8</f>
        <v>4</v>
      </c>
      <c r="V48" s="91">
        <v>200</v>
      </c>
      <c r="W48" s="91">
        <v>700</v>
      </c>
      <c r="X48" s="91">
        <v>1600</v>
      </c>
      <c r="Y48" s="91">
        <v>1600</v>
      </c>
      <c r="Z48" s="91">
        <v>1600</v>
      </c>
      <c r="AA48" s="91">
        <v>1600</v>
      </c>
      <c r="AB48" s="91">
        <v>2500</v>
      </c>
      <c r="AC48" s="91">
        <v>3200</v>
      </c>
      <c r="AD48" s="315">
        <f t="shared" si="76"/>
        <v>18413.5</v>
      </c>
      <c r="AE48" s="23"/>
      <c r="AF48" s="316">
        <v>2600</v>
      </c>
      <c r="AG48" s="91">
        <v>1000</v>
      </c>
      <c r="AH48" s="91">
        <v>195</v>
      </c>
      <c r="AI48" s="91">
        <v>844</v>
      </c>
      <c r="AJ48" s="91">
        <v>1973</v>
      </c>
      <c r="AK48" s="91">
        <v>1840</v>
      </c>
      <c r="AL48" s="91">
        <v>2000</v>
      </c>
      <c r="AM48" s="91">
        <v>2300</v>
      </c>
      <c r="AN48" s="91">
        <v>2300</v>
      </c>
      <c r="AO48" s="91">
        <v>2300</v>
      </c>
      <c r="AP48" s="91">
        <v>2530</v>
      </c>
      <c r="AQ48" s="91">
        <v>3680</v>
      </c>
      <c r="AR48" s="92">
        <f t="shared" si="77"/>
        <v>23562</v>
      </c>
      <c r="AS48" s="23"/>
      <c r="AT48" s="91">
        <v>1888</v>
      </c>
      <c r="AU48" s="91">
        <v>1414</v>
      </c>
      <c r="AV48" s="91">
        <v>2073</v>
      </c>
      <c r="AW48" s="91">
        <v>2338</v>
      </c>
      <c r="AX48" s="317">
        <v>1857</v>
      </c>
      <c r="AY48" s="317">
        <v>1857</v>
      </c>
      <c r="AZ48" s="317">
        <v>1772</v>
      </c>
      <c r="BA48" s="317">
        <v>1772</v>
      </c>
      <c r="BB48" s="317">
        <v>1857</v>
      </c>
      <c r="BC48" s="317">
        <v>2194</v>
      </c>
      <c r="BD48" s="317">
        <v>2363</v>
      </c>
      <c r="BE48" s="317">
        <v>3376</v>
      </c>
      <c r="BF48" s="91">
        <f t="shared" si="78"/>
        <v>24761</v>
      </c>
      <c r="BG48" s="93">
        <f t="shared" si="79"/>
        <v>5.0887021475256811E-2</v>
      </c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>
        <v>22941</v>
      </c>
      <c r="BU48" s="54"/>
      <c r="BV48" s="91">
        <v>3211.29</v>
      </c>
      <c r="BW48" s="91">
        <v>2482.1699999999996</v>
      </c>
      <c r="BX48" s="91">
        <f>'META  EM PEÇAS'!U32-('META  EM PEÇAS'!U32*0.05)</f>
        <v>2790.0929999999998</v>
      </c>
      <c r="BY48" s="91">
        <f>'META  EM PEÇAS'!V32-('META  EM PEÇAS'!V32*0.05)</f>
        <v>2586.0044999999996</v>
      </c>
      <c r="BZ48" s="91">
        <f>'META  EM PEÇAS'!W32-('META  EM PEÇAS'!W32*0.05)</f>
        <v>2902.2974999999997</v>
      </c>
      <c r="CA48" s="91">
        <f>'META  EM PEÇAS'!X32-('META  EM PEÇAS'!X32*0.05)</f>
        <v>3495.1259999999997</v>
      </c>
      <c r="CB48" s="91">
        <f>'META  EM PEÇAS'!Y32-('META  EM PEÇAS'!Y32*0.05)</f>
        <v>4203.6929999999993</v>
      </c>
      <c r="CC48" s="91">
        <f>'META  EM PEÇAS'!Z32-('META  EM PEÇAS'!Z32*0.05)</f>
        <v>2810.4135000000001</v>
      </c>
      <c r="CD48" s="91">
        <f>'META  EM PEÇAS'!AA32-('META  EM PEÇAS'!AA32*0.05)</f>
        <v>2914.6664999999998</v>
      </c>
      <c r="CE48" s="91">
        <f>'META  EM PEÇAS'!AB32-('META  EM PEÇAS'!AB32*0.05)</f>
        <v>3162.93</v>
      </c>
      <c r="CF48" s="91">
        <f>'META  EM PEÇAS'!AC32-('META  EM PEÇAS'!AC32*0.05)</f>
        <v>4051.7309999999998</v>
      </c>
      <c r="CG48" s="91">
        <f>'META  EM PEÇAS'!AD32-('META  EM PEÇAS'!AD32*0.05)</f>
        <v>5709.1769999999997</v>
      </c>
      <c r="CH48" s="91">
        <f t="shared" si="80"/>
        <v>40319.59199999999</v>
      </c>
      <c r="CJ48" s="91">
        <v>3211.29</v>
      </c>
      <c r="CK48" s="91">
        <v>2482.1699999999996</v>
      </c>
      <c r="CL48" s="91">
        <v>2790.0929999999998</v>
      </c>
      <c r="CM48" s="91">
        <v>2586.0044999999996</v>
      </c>
      <c r="CN48" s="91">
        <v>2902.2974999999997</v>
      </c>
      <c r="CO48" s="91">
        <v>3495.1259999999997</v>
      </c>
      <c r="CP48" s="91">
        <v>4203.6929999999993</v>
      </c>
      <c r="CQ48" s="91">
        <v>2810.4135000000001</v>
      </c>
      <c r="CR48" s="91">
        <v>2914.6664999999998</v>
      </c>
      <c r="CS48" s="91">
        <v>3162.93</v>
      </c>
      <c r="CT48" s="91">
        <v>4051.7309999999998</v>
      </c>
      <c r="CU48" s="91">
        <v>5709.1769999999997</v>
      </c>
      <c r="CV48" s="91">
        <v>40319.59199999999</v>
      </c>
      <c r="CW48" s="758"/>
      <c r="CX48" s="884">
        <v>3211.29</v>
      </c>
      <c r="CY48" s="884">
        <v>2482.1699999999996</v>
      </c>
      <c r="CZ48" s="884">
        <v>2790.0929999999998</v>
      </c>
      <c r="DA48" s="884">
        <v>2586.0044999999996</v>
      </c>
      <c r="DB48" s="884">
        <v>2902.2974999999997</v>
      </c>
      <c r="DC48" s="884">
        <v>3495.1259999999997</v>
      </c>
      <c r="DD48" s="884">
        <v>4203.6929999999993</v>
      </c>
      <c r="DE48" s="884">
        <v>2810.4135000000001</v>
      </c>
      <c r="DF48" s="884">
        <v>2914.6664999999998</v>
      </c>
      <c r="DG48" s="884">
        <v>3162.93</v>
      </c>
      <c r="DH48" s="884">
        <v>4051.7309999999998</v>
      </c>
      <c r="DI48" s="884">
        <v>5709.1769999999997</v>
      </c>
      <c r="DJ48" s="91">
        <v>40319.59199999999</v>
      </c>
      <c r="DK48" s="948"/>
      <c r="DL48" s="884">
        <v>3211.29</v>
      </c>
      <c r="DM48" s="884">
        <v>2482.1699999999996</v>
      </c>
      <c r="DN48" s="884">
        <v>2790.0929999999998</v>
      </c>
      <c r="DO48" s="884">
        <v>2586.0044999999996</v>
      </c>
      <c r="DP48" s="884">
        <v>2902.2974999999997</v>
      </c>
      <c r="DQ48" s="884">
        <v>3495.1259999999997</v>
      </c>
      <c r="DR48" s="884">
        <v>4203.6929999999993</v>
      </c>
      <c r="DS48" s="884">
        <v>2810.4135000000001</v>
      </c>
      <c r="DT48" s="884">
        <v>2914.6664999999998</v>
      </c>
      <c r="DU48" s="884">
        <v>3162.93</v>
      </c>
      <c r="DV48" s="884">
        <v>4051.7309999999998</v>
      </c>
      <c r="DW48" s="884">
        <v>5709.1769999999997</v>
      </c>
      <c r="DX48" s="91">
        <v>40319.59199999999</v>
      </c>
    </row>
    <row r="49" spans="1:128" ht="15" hidden="1" customHeight="1" outlineLevel="1">
      <c r="A49" s="94">
        <v>9</v>
      </c>
      <c r="B49" s="1079" t="s">
        <v>63</v>
      </c>
      <c r="C49" s="1120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>
        <f t="shared" si="75"/>
        <v>0</v>
      </c>
      <c r="Q49" s="90"/>
      <c r="R49" s="313">
        <v>1636</v>
      </c>
      <c r="S49" s="91">
        <v>1636</v>
      </c>
      <c r="T49" s="91">
        <f t="shared" ref="T49:T50" si="82">1818/2</f>
        <v>909</v>
      </c>
      <c r="U49" s="91">
        <v>0</v>
      </c>
      <c r="V49" s="91">
        <v>200</v>
      </c>
      <c r="W49" s="91">
        <v>300</v>
      </c>
      <c r="X49" s="91">
        <v>1000</v>
      </c>
      <c r="Y49" s="91">
        <v>1200</v>
      </c>
      <c r="Z49" s="91">
        <v>1600</v>
      </c>
      <c r="AA49" s="91">
        <v>1600</v>
      </c>
      <c r="AB49" s="91">
        <v>1800</v>
      </c>
      <c r="AC49" s="91">
        <v>2300</v>
      </c>
      <c r="AD49" s="315">
        <f t="shared" si="76"/>
        <v>14181</v>
      </c>
      <c r="AE49" s="23"/>
      <c r="AF49" s="316">
        <v>1500</v>
      </c>
      <c r="AG49" s="91">
        <v>1000</v>
      </c>
      <c r="AH49" s="91">
        <v>126</v>
      </c>
      <c r="AI49" s="91">
        <v>387</v>
      </c>
      <c r="AJ49" s="91">
        <v>895</v>
      </c>
      <c r="AK49" s="91">
        <v>800</v>
      </c>
      <c r="AL49" s="91">
        <v>1500</v>
      </c>
      <c r="AM49" s="91">
        <v>1000</v>
      </c>
      <c r="AN49" s="91">
        <v>1000</v>
      </c>
      <c r="AO49" s="91">
        <v>1000</v>
      </c>
      <c r="AP49" s="91">
        <v>1100</v>
      </c>
      <c r="AQ49" s="91">
        <v>1600</v>
      </c>
      <c r="AR49" s="92">
        <f t="shared" si="77"/>
        <v>11908</v>
      </c>
      <c r="AS49" s="23"/>
      <c r="AT49" s="91">
        <v>1182</v>
      </c>
      <c r="AU49" s="91">
        <v>1200</v>
      </c>
      <c r="AV49" s="91">
        <v>932</v>
      </c>
      <c r="AW49" s="91">
        <v>1020</v>
      </c>
      <c r="AX49" s="317">
        <v>0</v>
      </c>
      <c r="AY49" s="317">
        <v>0</v>
      </c>
      <c r="AZ49" s="317">
        <v>0</v>
      </c>
      <c r="BA49" s="317">
        <v>0</v>
      </c>
      <c r="BB49" s="317">
        <v>0</v>
      </c>
      <c r="BC49" s="317">
        <v>0</v>
      </c>
      <c r="BD49" s="317">
        <v>0</v>
      </c>
      <c r="BE49" s="317">
        <v>0</v>
      </c>
      <c r="BF49" s="91">
        <f t="shared" si="78"/>
        <v>4334</v>
      </c>
      <c r="BG49" s="93">
        <f t="shared" si="79"/>
        <v>-0.63604299630500505</v>
      </c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>
        <v>7070</v>
      </c>
      <c r="BU49" s="54"/>
      <c r="BV49" s="91">
        <v>928.14</v>
      </c>
      <c r="BW49" s="91">
        <v>717.95999999999992</v>
      </c>
      <c r="BX49" s="91">
        <f>'META  EM PEÇAS'!U37-('META  EM PEÇAS'!U37*0.05)</f>
        <v>806.63549999999987</v>
      </c>
      <c r="BY49" s="91">
        <f>'META  EM PEÇAS'!V37-('META  EM PEÇAS'!V37*0.05)</f>
        <v>747.44100000000003</v>
      </c>
      <c r="BZ49" s="91">
        <f>'META  EM PEÇAS'!W37-('META  EM PEÇAS'!W37*0.05)</f>
        <v>839.32499999999993</v>
      </c>
      <c r="CA49" s="91">
        <f>'META  EM PEÇAS'!X37-('META  EM PEÇAS'!X37*0.05)</f>
        <v>1010.7239999999998</v>
      </c>
      <c r="CB49" s="91">
        <f>'META  EM PEÇAS'!Y37-('META  EM PEÇAS'!Y37*0.05)</f>
        <v>1214.8125</v>
      </c>
      <c r="CC49" s="91">
        <f>'META  EM PEÇAS'!Z37-('META  EM PEÇAS'!Z37*0.05)</f>
        <v>812.81999999999994</v>
      </c>
      <c r="CD49" s="91">
        <f>'META  EM PEÇAS'!AA37-('META  EM PEÇAS'!AA37*0.05)</f>
        <v>842.85899999999992</v>
      </c>
      <c r="CE49" s="91">
        <f>'META  EM PEÇAS'!AB37-('META  EM PEÇAS'!AB37*0.05)</f>
        <v>914.4224999999999</v>
      </c>
      <c r="CF49" s="91">
        <f>'META  EM PEÇAS'!AC37-('META  EM PEÇAS'!AC37*0.05)</f>
        <v>1171.5209999999997</v>
      </c>
      <c r="CG49" s="91">
        <f>'META  EM PEÇAS'!AD37-('META  EM PEÇAS'!AD37*0.05)</f>
        <v>1650.3779999999997</v>
      </c>
      <c r="CH49" s="91">
        <f t="shared" si="80"/>
        <v>11657.038499999999</v>
      </c>
      <c r="CJ49" s="91">
        <v>928.14</v>
      </c>
      <c r="CK49" s="91">
        <v>717.95999999999992</v>
      </c>
      <c r="CL49" s="91">
        <v>806.63549999999987</v>
      </c>
      <c r="CM49" s="91">
        <v>747.44100000000003</v>
      </c>
      <c r="CN49" s="91">
        <v>839.32499999999993</v>
      </c>
      <c r="CO49" s="91">
        <v>1010.7239999999998</v>
      </c>
      <c r="CP49" s="91">
        <v>1214.8125</v>
      </c>
      <c r="CQ49" s="91">
        <v>812.81999999999994</v>
      </c>
      <c r="CR49" s="91">
        <v>842.85899999999992</v>
      </c>
      <c r="CS49" s="91">
        <v>914.4224999999999</v>
      </c>
      <c r="CT49" s="91">
        <v>1171.5209999999997</v>
      </c>
      <c r="CU49" s="91">
        <v>1650.3779999999997</v>
      </c>
      <c r="CV49" s="91">
        <v>11657.038499999999</v>
      </c>
      <c r="CW49" s="758"/>
      <c r="CX49" s="884">
        <v>928.14</v>
      </c>
      <c r="CY49" s="884">
        <v>717.95999999999992</v>
      </c>
      <c r="CZ49" s="884">
        <v>806.63549999999987</v>
      </c>
      <c r="DA49" s="884">
        <v>747.44100000000003</v>
      </c>
      <c r="DB49" s="884">
        <v>839.32499999999993</v>
      </c>
      <c r="DC49" s="884">
        <v>1010.7239999999998</v>
      </c>
      <c r="DD49" s="884">
        <v>1214.8125</v>
      </c>
      <c r="DE49" s="884">
        <v>812.81999999999994</v>
      </c>
      <c r="DF49" s="884">
        <v>842.85899999999992</v>
      </c>
      <c r="DG49" s="884">
        <v>914.4224999999999</v>
      </c>
      <c r="DH49" s="884">
        <v>1171.5209999999997</v>
      </c>
      <c r="DI49" s="884">
        <v>1650.3779999999997</v>
      </c>
      <c r="DJ49" s="91">
        <v>11657.038499999999</v>
      </c>
      <c r="DK49" s="948"/>
      <c r="DL49" s="884">
        <v>928.14</v>
      </c>
      <c r="DM49" s="884">
        <v>717.95999999999992</v>
      </c>
      <c r="DN49" s="884">
        <v>806.63549999999987</v>
      </c>
      <c r="DO49" s="884">
        <v>747.44100000000003</v>
      </c>
      <c r="DP49" s="884">
        <v>839.32499999999993</v>
      </c>
      <c r="DQ49" s="884">
        <v>1010.7239999999998</v>
      </c>
      <c r="DR49" s="884">
        <v>1214.8125</v>
      </c>
      <c r="DS49" s="884">
        <v>812.81999999999994</v>
      </c>
      <c r="DT49" s="884">
        <v>842.85899999999992</v>
      </c>
      <c r="DU49" s="884">
        <v>914.4224999999999</v>
      </c>
      <c r="DV49" s="884">
        <v>1171.5209999999997</v>
      </c>
      <c r="DW49" s="884">
        <v>1650.3779999999997</v>
      </c>
      <c r="DX49" s="91">
        <v>11657.038499999999</v>
      </c>
    </row>
    <row r="50" spans="1:128" ht="15" hidden="1" customHeight="1" outlineLevel="1">
      <c r="A50" s="94">
        <v>10</v>
      </c>
      <c r="B50" s="1079" t="s">
        <v>64</v>
      </c>
      <c r="C50" s="1120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>
        <f t="shared" si="75"/>
        <v>0</v>
      </c>
      <c r="Q50" s="90"/>
      <c r="R50" s="313">
        <v>1636</v>
      </c>
      <c r="S50" s="91">
        <v>1636</v>
      </c>
      <c r="T50" s="91">
        <f t="shared" si="82"/>
        <v>909</v>
      </c>
      <c r="U50" s="91">
        <f>0.5*U8</f>
        <v>0.5</v>
      </c>
      <c r="V50" s="91">
        <v>200</v>
      </c>
      <c r="W50" s="91">
        <v>300</v>
      </c>
      <c r="X50" s="91">
        <v>1000</v>
      </c>
      <c r="Y50" s="91">
        <v>1200</v>
      </c>
      <c r="Z50" s="91">
        <v>1600</v>
      </c>
      <c r="AA50" s="91">
        <v>1600</v>
      </c>
      <c r="AB50" s="91">
        <v>1800</v>
      </c>
      <c r="AC50" s="91">
        <v>2300</v>
      </c>
      <c r="AD50" s="315">
        <f t="shared" si="76"/>
        <v>14181.5</v>
      </c>
      <c r="AE50" s="23"/>
      <c r="AF50" s="316">
        <v>1500</v>
      </c>
      <c r="AG50" s="91">
        <v>1000</v>
      </c>
      <c r="AH50" s="91">
        <v>764</v>
      </c>
      <c r="AI50" s="91">
        <v>561</v>
      </c>
      <c r="AJ50" s="91">
        <v>1353</v>
      </c>
      <c r="AK50" s="91">
        <v>960</v>
      </c>
      <c r="AL50" s="91">
        <v>1500</v>
      </c>
      <c r="AM50" s="91">
        <v>1200</v>
      </c>
      <c r="AN50" s="91">
        <v>1200</v>
      </c>
      <c r="AO50" s="91">
        <v>1200</v>
      </c>
      <c r="AP50" s="91">
        <v>1320</v>
      </c>
      <c r="AQ50" s="91">
        <v>1920</v>
      </c>
      <c r="AR50" s="92">
        <f t="shared" si="77"/>
        <v>14478</v>
      </c>
      <c r="AS50" s="23"/>
      <c r="AT50" s="91">
        <v>1285</v>
      </c>
      <c r="AU50" s="91">
        <v>957</v>
      </c>
      <c r="AV50" s="91">
        <v>1426</v>
      </c>
      <c r="AW50" s="91">
        <v>1595</v>
      </c>
      <c r="AX50" s="317">
        <v>1767</v>
      </c>
      <c r="AY50" s="317">
        <v>1767</v>
      </c>
      <c r="AZ50" s="317">
        <v>1686</v>
      </c>
      <c r="BA50" s="317">
        <v>1686</v>
      </c>
      <c r="BB50" s="317">
        <v>1767</v>
      </c>
      <c r="BC50" s="317">
        <v>2088</v>
      </c>
      <c r="BD50" s="317">
        <v>2248</v>
      </c>
      <c r="BE50" s="317">
        <v>3212</v>
      </c>
      <c r="BF50" s="91">
        <f t="shared" si="78"/>
        <v>21484</v>
      </c>
      <c r="BG50" s="93">
        <f t="shared" si="79"/>
        <v>0.48390661693604087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>
        <v>16952</v>
      </c>
      <c r="BU50" s="54"/>
      <c r="BV50" s="91">
        <v>2631.8999999999996</v>
      </c>
      <c r="BW50" s="91">
        <v>2034.84</v>
      </c>
      <c r="BX50" s="91">
        <f>'META  EM PEÇAS'!U33-('META  EM PEÇAS'!U33*0.05)</f>
        <v>2287.3815</v>
      </c>
      <c r="BY50" s="91">
        <f>'META  EM PEÇAS'!V33-('META  EM PEÇAS'!V33*0.05)</f>
        <v>2119.5164999999997</v>
      </c>
      <c r="BZ50" s="91">
        <f>'META  EM PEÇAS'!W33-('META  EM PEÇAS'!W33*0.05)</f>
        <v>2379.2655</v>
      </c>
      <c r="CA50" s="91">
        <f>'META  EM PEÇAS'!X33-('META  EM PEÇAS'!X33*0.05)</f>
        <v>2865.1904999999997</v>
      </c>
      <c r="CB50" s="91">
        <f>'META  EM PEÇAS'!Y33-('META  EM PEÇAS'!Y33*0.05)</f>
        <v>3445.6499999999996</v>
      </c>
      <c r="CC50" s="91">
        <f>'META  EM PEÇAS'!Z33-('META  EM PEÇAS'!Z33*0.05)</f>
        <v>2303.2844999999998</v>
      </c>
      <c r="CD50" s="91">
        <f>'META  EM PEÇAS'!AA33-('META  EM PEÇAS'!AA33*0.05)</f>
        <v>2388.9839999999999</v>
      </c>
      <c r="CE50" s="91">
        <f>'META  EM PEÇAS'!AB33-('META  EM PEÇAS'!AB33*0.05)</f>
        <v>2592.1889999999999</v>
      </c>
      <c r="CF50" s="91">
        <f>'META  EM PEÇAS'!AC33-('META  EM PEÇAS'!AC33*0.05)</f>
        <v>3321.0765000000001</v>
      </c>
      <c r="CG50" s="91">
        <f>'META  EM PEÇAS'!AD33-('META  EM PEÇAS'!AD33*0.05)</f>
        <v>4679.8995000000004</v>
      </c>
      <c r="CH50" s="91">
        <f t="shared" si="80"/>
        <v>33049.177499999998</v>
      </c>
      <c r="CJ50" s="91">
        <v>2631.8999999999996</v>
      </c>
      <c r="CK50" s="91">
        <v>2034.84</v>
      </c>
      <c r="CL50" s="91">
        <v>2287.3815</v>
      </c>
      <c r="CM50" s="91">
        <v>2119.5164999999997</v>
      </c>
      <c r="CN50" s="91">
        <v>2379.2655</v>
      </c>
      <c r="CO50" s="91">
        <v>2865.1904999999997</v>
      </c>
      <c r="CP50" s="91">
        <v>3445.6499999999996</v>
      </c>
      <c r="CQ50" s="91">
        <v>2303.2844999999998</v>
      </c>
      <c r="CR50" s="91">
        <v>2388.9839999999999</v>
      </c>
      <c r="CS50" s="91">
        <v>2592.1889999999999</v>
      </c>
      <c r="CT50" s="91">
        <v>3321.0765000000001</v>
      </c>
      <c r="CU50" s="91">
        <v>4679.8995000000004</v>
      </c>
      <c r="CV50" s="91">
        <v>33049.177499999998</v>
      </c>
      <c r="CW50" s="758"/>
      <c r="CX50" s="884">
        <v>2631.8999999999996</v>
      </c>
      <c r="CY50" s="884">
        <v>2034.84</v>
      </c>
      <c r="CZ50" s="884">
        <v>2287.3815</v>
      </c>
      <c r="DA50" s="884">
        <v>2119.5164999999997</v>
      </c>
      <c r="DB50" s="884">
        <v>2379.2655</v>
      </c>
      <c r="DC50" s="884">
        <v>2865.1904999999997</v>
      </c>
      <c r="DD50" s="884">
        <v>3445.6499999999996</v>
      </c>
      <c r="DE50" s="884">
        <v>2303.2844999999998</v>
      </c>
      <c r="DF50" s="884">
        <v>2388.9839999999999</v>
      </c>
      <c r="DG50" s="884">
        <v>2592.1889999999999</v>
      </c>
      <c r="DH50" s="884">
        <v>3321.0765000000001</v>
      </c>
      <c r="DI50" s="884">
        <v>4679.8995000000004</v>
      </c>
      <c r="DJ50" s="91">
        <v>33049.177499999998</v>
      </c>
      <c r="DK50" s="948"/>
      <c r="DL50" s="884">
        <v>2631.8999999999996</v>
      </c>
      <c r="DM50" s="884">
        <v>2034.84</v>
      </c>
      <c r="DN50" s="884">
        <v>2287.3815</v>
      </c>
      <c r="DO50" s="884">
        <v>2119.5164999999997</v>
      </c>
      <c r="DP50" s="884">
        <v>2379.2655</v>
      </c>
      <c r="DQ50" s="884">
        <v>2865.1904999999997</v>
      </c>
      <c r="DR50" s="884">
        <v>3445.6499999999996</v>
      </c>
      <c r="DS50" s="884">
        <v>2303.2844999999998</v>
      </c>
      <c r="DT50" s="884">
        <v>2388.9839999999999</v>
      </c>
      <c r="DU50" s="884">
        <v>2592.1889999999999</v>
      </c>
      <c r="DV50" s="884">
        <v>3321.0765000000001</v>
      </c>
      <c r="DW50" s="884">
        <v>4679.8995000000004</v>
      </c>
      <c r="DX50" s="91">
        <v>33049.177499999998</v>
      </c>
    </row>
    <row r="51" spans="1:128" ht="15" hidden="1" customHeight="1" outlineLevel="1">
      <c r="A51" s="94">
        <v>10</v>
      </c>
      <c r="B51" s="1079" t="s">
        <v>65</v>
      </c>
      <c r="C51" s="1120"/>
      <c r="D51" s="313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314">
        <f t="shared" si="75"/>
        <v>0</v>
      </c>
      <c r="Q51" s="90"/>
      <c r="R51" s="313">
        <v>0</v>
      </c>
      <c r="S51" s="91">
        <v>0</v>
      </c>
      <c r="T51" s="91">
        <v>0</v>
      </c>
      <c r="U51" s="91">
        <v>0</v>
      </c>
      <c r="V51" s="91">
        <v>3500</v>
      </c>
      <c r="W51" s="91">
        <v>350</v>
      </c>
      <c r="X51" s="91">
        <v>800</v>
      </c>
      <c r="Y51" s="91">
        <v>1000</v>
      </c>
      <c r="Z51" s="91">
        <v>1600</v>
      </c>
      <c r="AA51" s="91">
        <v>2000</v>
      </c>
      <c r="AB51" s="91">
        <v>2400</v>
      </c>
      <c r="AC51" s="91">
        <v>3000</v>
      </c>
      <c r="AD51" s="315">
        <f t="shared" si="76"/>
        <v>14650</v>
      </c>
      <c r="AE51" s="23"/>
      <c r="AF51" s="316">
        <v>2500</v>
      </c>
      <c r="AG51" s="91">
        <v>1000</v>
      </c>
      <c r="AH51" s="91">
        <f>2500*0.15</f>
        <v>375</v>
      </c>
      <c r="AI51" s="91">
        <v>787</v>
      </c>
      <c r="AJ51" s="91">
        <v>1569</v>
      </c>
      <c r="AK51" s="91">
        <v>2000</v>
      </c>
      <c r="AL51" s="91">
        <v>2500</v>
      </c>
      <c r="AM51" s="91">
        <v>2500</v>
      </c>
      <c r="AN51" s="91">
        <v>2500</v>
      </c>
      <c r="AO51" s="91">
        <v>2500</v>
      </c>
      <c r="AP51" s="91">
        <v>2750</v>
      </c>
      <c r="AQ51" s="91">
        <v>4000</v>
      </c>
      <c r="AR51" s="92">
        <f t="shared" si="77"/>
        <v>24981</v>
      </c>
      <c r="AS51" s="23"/>
      <c r="AT51" s="91">
        <v>1806</v>
      </c>
      <c r="AU51" s="91">
        <v>2046</v>
      </c>
      <c r="AV51" s="91">
        <v>1646</v>
      </c>
      <c r="AW51" s="91">
        <v>1902</v>
      </c>
      <c r="AX51" s="317">
        <v>1545</v>
      </c>
      <c r="AY51" s="317">
        <v>1545</v>
      </c>
      <c r="AZ51" s="317">
        <v>1475</v>
      </c>
      <c r="BA51" s="317">
        <v>1475</v>
      </c>
      <c r="BB51" s="317">
        <v>1545</v>
      </c>
      <c r="BC51" s="317">
        <v>1826</v>
      </c>
      <c r="BD51" s="317">
        <v>0</v>
      </c>
      <c r="BE51" s="317">
        <v>0</v>
      </c>
      <c r="BF51" s="91">
        <f t="shared" si="78"/>
        <v>16811</v>
      </c>
      <c r="BG51" s="93">
        <f t="shared" si="79"/>
        <v>-0.32704855690324641</v>
      </c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>
        <v>10230</v>
      </c>
      <c r="BU51" s="54"/>
      <c r="BV51" s="91">
        <v>1335.48</v>
      </c>
      <c r="BW51" s="91">
        <v>1032.3</v>
      </c>
      <c r="BX51" s="91">
        <f>'META  EM PEÇAS'!U39-('META  EM PEÇAS'!U39*0.05)</f>
        <v>1160.0355</v>
      </c>
      <c r="BY51" s="91">
        <f>'META  EM PEÇAS'!V39-('META  EM PEÇAS'!V39*0.05)</f>
        <v>1075.2194999999999</v>
      </c>
      <c r="BZ51" s="91">
        <f>'META  EM PEÇAS'!W39-('META  EM PEÇAS'!W39*0.05)</f>
        <v>1206.8609999999999</v>
      </c>
      <c r="CA51" s="91">
        <f>'META  EM PEÇAS'!X39-('META  EM PEÇAS'!X39*0.05)</f>
        <v>1453.3574999999998</v>
      </c>
      <c r="CB51" s="91">
        <f>'META  EM PEÇAS'!Y39-('META  EM PEÇAS'!Y39*0.05)</f>
        <v>1747.5629999999999</v>
      </c>
      <c r="CC51" s="91">
        <f>'META  EM PEÇAS'!Z39-('META  EM PEÇAS'!Z39*0.05)</f>
        <v>1168.8705</v>
      </c>
      <c r="CD51" s="91">
        <f>'META  EM PEÇAS'!AA39-('META  EM PEÇAS'!AA39*0.05)</f>
        <v>1212.1619999999998</v>
      </c>
      <c r="CE51" s="91">
        <f>'META  EM PEÇAS'!AB39-('META  EM PEÇAS'!AB39*0.05)</f>
        <v>1314.6479999999999</v>
      </c>
      <c r="CF51" s="91">
        <f>'META  EM PEÇAS'!AC39-('META  EM PEÇAS'!AC39*0.05)</f>
        <v>1684.8344999999999</v>
      </c>
      <c r="CG51" s="91">
        <f>'META  EM PEÇAS'!AD39-('META  EM PEÇAS'!AD39*0.05)</f>
        <v>2373.9645</v>
      </c>
      <c r="CH51" s="91">
        <f t="shared" si="80"/>
        <v>16765.295999999995</v>
      </c>
      <c r="CJ51" s="91">
        <v>1335.48</v>
      </c>
      <c r="CK51" s="91">
        <v>1032.3</v>
      </c>
      <c r="CL51" s="91">
        <v>1160.0355</v>
      </c>
      <c r="CM51" s="91">
        <v>1075.2194999999999</v>
      </c>
      <c r="CN51" s="91">
        <v>1206.8609999999999</v>
      </c>
      <c r="CO51" s="91">
        <v>1453.3574999999998</v>
      </c>
      <c r="CP51" s="91">
        <v>1747.5629999999999</v>
      </c>
      <c r="CQ51" s="91">
        <v>1168.8705</v>
      </c>
      <c r="CR51" s="91">
        <v>1212.1619999999998</v>
      </c>
      <c r="CS51" s="91">
        <v>1314.6479999999999</v>
      </c>
      <c r="CT51" s="91">
        <v>1684.8344999999999</v>
      </c>
      <c r="CU51" s="91">
        <v>2373.9645</v>
      </c>
      <c r="CV51" s="91">
        <v>16765.295999999995</v>
      </c>
      <c r="CW51" s="758"/>
      <c r="CX51" s="884">
        <v>1335.48</v>
      </c>
      <c r="CY51" s="884">
        <v>1032.3</v>
      </c>
      <c r="CZ51" s="884">
        <v>1160.0355</v>
      </c>
      <c r="DA51" s="884">
        <v>1075.2194999999999</v>
      </c>
      <c r="DB51" s="884">
        <v>1206.8609999999999</v>
      </c>
      <c r="DC51" s="884">
        <v>1453.3574999999998</v>
      </c>
      <c r="DD51" s="884">
        <v>1747.5629999999999</v>
      </c>
      <c r="DE51" s="884">
        <v>1168.8705</v>
      </c>
      <c r="DF51" s="884">
        <v>1212.1619999999998</v>
      </c>
      <c r="DG51" s="884">
        <v>1314.6479999999999</v>
      </c>
      <c r="DH51" s="884">
        <v>1684.8344999999999</v>
      </c>
      <c r="DI51" s="884">
        <v>2373.9645</v>
      </c>
      <c r="DJ51" s="91">
        <v>16765.295999999995</v>
      </c>
      <c r="DK51" s="948"/>
      <c r="DL51" s="884">
        <v>1335.48</v>
      </c>
      <c r="DM51" s="884">
        <v>1032.3</v>
      </c>
      <c r="DN51" s="884">
        <v>1160.0355</v>
      </c>
      <c r="DO51" s="884">
        <v>1075.2194999999999</v>
      </c>
      <c r="DP51" s="884">
        <v>1206.8609999999999</v>
      </c>
      <c r="DQ51" s="884">
        <v>1453.3574999999998</v>
      </c>
      <c r="DR51" s="884">
        <v>1747.5629999999999</v>
      </c>
      <c r="DS51" s="884">
        <v>1168.8705</v>
      </c>
      <c r="DT51" s="884">
        <v>1212.1619999999998</v>
      </c>
      <c r="DU51" s="884">
        <v>1314.6479999999999</v>
      </c>
      <c r="DV51" s="884">
        <v>1684.8344999999999</v>
      </c>
      <c r="DW51" s="884">
        <v>2373.9645</v>
      </c>
      <c r="DX51" s="91">
        <v>16765.295999999995</v>
      </c>
    </row>
    <row r="52" spans="1:128" ht="15" hidden="1" customHeight="1" outlineLevel="1">
      <c r="A52" s="94">
        <v>11</v>
      </c>
      <c r="B52" s="921" t="s">
        <v>66</v>
      </c>
      <c r="C52" s="922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>
        <f t="shared" si="75"/>
        <v>0</v>
      </c>
      <c r="Q52" s="90"/>
      <c r="R52" s="313">
        <v>0</v>
      </c>
      <c r="S52" s="91">
        <v>0</v>
      </c>
      <c r="T52" s="91">
        <v>0</v>
      </c>
      <c r="U52" s="91">
        <v>0</v>
      </c>
      <c r="V52" s="91">
        <v>4000</v>
      </c>
      <c r="W52" s="91">
        <v>100</v>
      </c>
      <c r="X52" s="91">
        <v>800</v>
      </c>
      <c r="Y52" s="91">
        <v>800</v>
      </c>
      <c r="Z52" s="91">
        <v>1200</v>
      </c>
      <c r="AA52" s="91">
        <v>1200</v>
      </c>
      <c r="AB52" s="91">
        <v>1800</v>
      </c>
      <c r="AC52" s="91">
        <v>2300</v>
      </c>
      <c r="AD52" s="315">
        <f t="shared" si="76"/>
        <v>12200</v>
      </c>
      <c r="AE52" s="23"/>
      <c r="AF52" s="316">
        <v>1500</v>
      </c>
      <c r="AG52" s="91">
        <v>1000</v>
      </c>
      <c r="AH52" s="91">
        <f t="shared" ref="AH52:AH53" si="83">1500*0.15</f>
        <v>225</v>
      </c>
      <c r="AI52" s="91">
        <v>324</v>
      </c>
      <c r="AJ52" s="91">
        <v>869</v>
      </c>
      <c r="AK52" s="91">
        <v>800</v>
      </c>
      <c r="AL52" s="91">
        <v>1500</v>
      </c>
      <c r="AM52" s="91">
        <v>1000</v>
      </c>
      <c r="AN52" s="91">
        <v>1000</v>
      </c>
      <c r="AO52" s="91">
        <v>1000</v>
      </c>
      <c r="AP52" s="91">
        <v>1100</v>
      </c>
      <c r="AQ52" s="91">
        <v>1600</v>
      </c>
      <c r="AR52" s="92">
        <f t="shared" si="77"/>
        <v>11918</v>
      </c>
      <c r="AS52" s="23"/>
      <c r="AT52" s="91">
        <v>1191</v>
      </c>
      <c r="AU52" s="91">
        <v>1191</v>
      </c>
      <c r="AV52" s="91">
        <v>1191</v>
      </c>
      <c r="AW52" s="91">
        <v>1191</v>
      </c>
      <c r="AX52" s="317">
        <v>876</v>
      </c>
      <c r="AY52" s="317">
        <v>876</v>
      </c>
      <c r="AZ52" s="317">
        <v>836</v>
      </c>
      <c r="BA52" s="317">
        <v>836</v>
      </c>
      <c r="BB52" s="317">
        <v>876</v>
      </c>
      <c r="BC52" s="317">
        <v>1035</v>
      </c>
      <c r="BD52" s="317">
        <v>0</v>
      </c>
      <c r="BE52" s="317">
        <v>0</v>
      </c>
      <c r="BF52" s="91">
        <f t="shared" si="78"/>
        <v>10099</v>
      </c>
      <c r="BG52" s="93">
        <f t="shared" si="79"/>
        <v>-0.15262627957711028</v>
      </c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>
        <v>7342</v>
      </c>
      <c r="BU52" s="54"/>
      <c r="BV52" s="91">
        <v>1643.31</v>
      </c>
      <c r="BW52" s="91">
        <v>1270.3799999999999</v>
      </c>
      <c r="BX52" s="91">
        <f>'META  EM PEÇAS'!U40-('META  EM PEÇAS'!U40*0.05)</f>
        <v>1427.7359999999999</v>
      </c>
      <c r="BY52" s="91">
        <f>'META  EM PEÇAS'!V40-('META  EM PEÇAS'!V40*0.05)</f>
        <v>1323.4829999999999</v>
      </c>
      <c r="BZ52" s="91">
        <f>'META  EM PEÇAS'!W40-('META  EM PEÇAS'!W40*0.05)</f>
        <v>1485.1634999999999</v>
      </c>
      <c r="CA52" s="91">
        <f>'META  EM PEÇAS'!X40-('META  EM PEÇAS'!X40*0.05)</f>
        <v>1788.204</v>
      </c>
      <c r="CB52" s="91">
        <f>'META  EM PEÇAS'!Y40-('META  EM PEÇAS'!Y40*0.05)</f>
        <v>2151.3224999999998</v>
      </c>
      <c r="CC52" s="91">
        <f>'META  EM PEÇAS'!Z40-('META  EM PEÇAS'!Z40*0.05)</f>
        <v>1438.338</v>
      </c>
      <c r="CD52" s="91">
        <f>'META  EM PEÇAS'!AA40-('META  EM PEÇAS'!AA40*0.05)</f>
        <v>1491.348</v>
      </c>
      <c r="CE52" s="91">
        <f>'META  EM PEÇAS'!AB40-('META  EM PEÇAS'!AB40*0.05)</f>
        <v>1618.5719999999999</v>
      </c>
      <c r="CF52" s="91">
        <f>'META  EM PEÇAS'!AC40-('META  EM PEÇAS'!AC40*0.05)</f>
        <v>2073.5745000000002</v>
      </c>
      <c r="CG52" s="91">
        <f>'META  EM PEÇAS'!AD40-('META  EM PEÇAS'!AD40*0.05)</f>
        <v>2921.7344999999996</v>
      </c>
      <c r="CH52" s="91">
        <f t="shared" si="80"/>
        <v>20633.165999999997</v>
      </c>
      <c r="CJ52" s="91">
        <v>1643.31</v>
      </c>
      <c r="CK52" s="91">
        <v>1270.3799999999999</v>
      </c>
      <c r="CL52" s="91">
        <v>1427.7359999999999</v>
      </c>
      <c r="CM52" s="91">
        <v>1323.4829999999999</v>
      </c>
      <c r="CN52" s="91">
        <v>1485.1634999999999</v>
      </c>
      <c r="CO52" s="91">
        <v>1788.204</v>
      </c>
      <c r="CP52" s="91">
        <v>2151.3224999999998</v>
      </c>
      <c r="CQ52" s="91">
        <v>1438.338</v>
      </c>
      <c r="CR52" s="91">
        <v>1491.348</v>
      </c>
      <c r="CS52" s="91">
        <v>1618.5719999999999</v>
      </c>
      <c r="CT52" s="91">
        <v>2073.5745000000002</v>
      </c>
      <c r="CU52" s="91">
        <v>2921.7344999999996</v>
      </c>
      <c r="CV52" s="91">
        <v>20633.165999999997</v>
      </c>
      <c r="CW52" s="758"/>
      <c r="CX52" s="884">
        <v>1643.31</v>
      </c>
      <c r="CY52" s="884">
        <v>1270.3799999999999</v>
      </c>
      <c r="CZ52" s="884">
        <v>1427.7359999999999</v>
      </c>
      <c r="DA52" s="884">
        <v>1323.4829999999999</v>
      </c>
      <c r="DB52" s="884">
        <v>1485.1634999999999</v>
      </c>
      <c r="DC52" s="884">
        <v>1788.204</v>
      </c>
      <c r="DD52" s="884">
        <v>2151.3224999999998</v>
      </c>
      <c r="DE52" s="884">
        <v>1438.338</v>
      </c>
      <c r="DF52" s="884">
        <v>1491.348</v>
      </c>
      <c r="DG52" s="884">
        <v>1618.5719999999999</v>
      </c>
      <c r="DH52" s="884">
        <v>2073.5745000000002</v>
      </c>
      <c r="DI52" s="884">
        <v>2921.7344999999996</v>
      </c>
      <c r="DJ52" s="91">
        <v>20633.165999999997</v>
      </c>
      <c r="DK52" s="948"/>
      <c r="DL52" s="884">
        <v>1643.31</v>
      </c>
      <c r="DM52" s="884">
        <v>1270.3799999999999</v>
      </c>
      <c r="DN52" s="884">
        <v>1427.7359999999999</v>
      </c>
      <c r="DO52" s="884">
        <v>1323.4829999999999</v>
      </c>
      <c r="DP52" s="884">
        <v>1485.1634999999999</v>
      </c>
      <c r="DQ52" s="884">
        <v>1788.204</v>
      </c>
      <c r="DR52" s="884">
        <v>2151.3224999999998</v>
      </c>
      <c r="DS52" s="884">
        <v>1438.338</v>
      </c>
      <c r="DT52" s="884">
        <v>1491.348</v>
      </c>
      <c r="DU52" s="884">
        <v>1618.5719999999999</v>
      </c>
      <c r="DV52" s="884">
        <v>2073.5745000000002</v>
      </c>
      <c r="DW52" s="884">
        <v>2921.7344999999996</v>
      </c>
      <c r="DX52" s="91">
        <v>20633.165999999997</v>
      </c>
    </row>
    <row r="53" spans="1:128" ht="15" hidden="1" customHeight="1" outlineLevel="1">
      <c r="A53" s="94">
        <v>12</v>
      </c>
      <c r="B53" s="921" t="s">
        <v>67</v>
      </c>
      <c r="C53" s="922"/>
      <c r="D53" s="313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314">
        <f t="shared" si="75"/>
        <v>0</v>
      </c>
      <c r="Q53" s="90"/>
      <c r="R53" s="313">
        <v>0</v>
      </c>
      <c r="S53" s="91">
        <v>0</v>
      </c>
      <c r="T53" s="91">
        <v>0</v>
      </c>
      <c r="U53" s="91">
        <v>0</v>
      </c>
      <c r="V53" s="91">
        <v>4000</v>
      </c>
      <c r="W53" s="91">
        <v>0</v>
      </c>
      <c r="X53" s="91">
        <v>800</v>
      </c>
      <c r="Y53" s="91">
        <v>1000</v>
      </c>
      <c r="Z53" s="91">
        <v>1200</v>
      </c>
      <c r="AA53" s="91">
        <v>1200</v>
      </c>
      <c r="AB53" s="91">
        <v>1800</v>
      </c>
      <c r="AC53" s="91">
        <v>2300</v>
      </c>
      <c r="AD53" s="315">
        <f t="shared" si="76"/>
        <v>12300</v>
      </c>
      <c r="AE53" s="23"/>
      <c r="AF53" s="316">
        <v>1500</v>
      </c>
      <c r="AG53" s="91">
        <v>1200</v>
      </c>
      <c r="AH53" s="91">
        <f t="shared" si="83"/>
        <v>225</v>
      </c>
      <c r="AI53" s="91">
        <v>332</v>
      </c>
      <c r="AJ53" s="91">
        <v>945</v>
      </c>
      <c r="AK53" s="91">
        <v>960</v>
      </c>
      <c r="AL53" s="91">
        <v>1500</v>
      </c>
      <c r="AM53" s="91">
        <v>1200</v>
      </c>
      <c r="AN53" s="91">
        <v>1200</v>
      </c>
      <c r="AO53" s="91">
        <v>1200</v>
      </c>
      <c r="AP53" s="91">
        <v>1320</v>
      </c>
      <c r="AQ53" s="91">
        <v>1920</v>
      </c>
      <c r="AR53" s="92">
        <f t="shared" si="77"/>
        <v>13502</v>
      </c>
      <c r="AS53" s="23"/>
      <c r="AT53" s="91">
        <v>1254</v>
      </c>
      <c r="AU53" s="91">
        <v>1254</v>
      </c>
      <c r="AV53" s="91">
        <v>1254</v>
      </c>
      <c r="AW53" s="91">
        <v>1254</v>
      </c>
      <c r="AX53" s="317">
        <v>1236</v>
      </c>
      <c r="AY53" s="317">
        <v>1236</v>
      </c>
      <c r="AZ53" s="317">
        <v>0</v>
      </c>
      <c r="BA53" s="317">
        <v>0</v>
      </c>
      <c r="BB53" s="317">
        <v>0</v>
      </c>
      <c r="BC53" s="317">
        <v>0</v>
      </c>
      <c r="BD53" s="317">
        <v>0</v>
      </c>
      <c r="BE53" s="317">
        <v>0</v>
      </c>
      <c r="BF53" s="91">
        <f t="shared" si="78"/>
        <v>7488</v>
      </c>
      <c r="BG53" s="93">
        <f t="shared" si="79"/>
        <v>-0.44541549400088876</v>
      </c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>
        <v>16899</v>
      </c>
      <c r="BU53" s="54"/>
      <c r="BV53" s="91">
        <v>2552.85</v>
      </c>
      <c r="BW53" s="91">
        <v>1973.4599999999998</v>
      </c>
      <c r="BX53" s="91">
        <f>'META  EM PEÇAS'!U34-('META  EM PEÇAS'!U34*0.05)</f>
        <v>2218.4684999999999</v>
      </c>
      <c r="BY53" s="91">
        <f>'META  EM PEÇAS'!V34-('META  EM PEÇAS'!V34*0.05)</f>
        <v>2056.788</v>
      </c>
      <c r="BZ53" s="91">
        <f>'META  EM PEÇAS'!W34-('META  EM PEÇAS'!W34*0.05)</f>
        <v>2307.7019999999998</v>
      </c>
      <c r="CA53" s="91">
        <f>'META  EM PEÇAS'!X34-('META  EM PEÇAS'!X34*0.05)</f>
        <v>2778.6075000000001</v>
      </c>
      <c r="CB53" s="91">
        <f>'META  EM PEÇAS'!Y34-('META  EM PEÇAS'!Y34*0.05)</f>
        <v>3342.2804999999998</v>
      </c>
      <c r="CC53" s="91">
        <f>'META  EM PEÇAS'!Z34-('META  EM PEÇAS'!Z34*0.05)</f>
        <v>2234.3714999999997</v>
      </c>
      <c r="CD53" s="91">
        <f>'META  EM PEÇAS'!AA34-('META  EM PEÇAS'!AA34*0.05)</f>
        <v>2317.4204999999997</v>
      </c>
      <c r="CE53" s="91">
        <f>'META  EM PEÇAS'!AB34-('META  EM PEÇAS'!AB34*0.05)</f>
        <v>2514.4409999999998</v>
      </c>
      <c r="CF53" s="91">
        <f>'META  EM PEÇAS'!AC34-('META  EM PEÇAS'!AC34*0.05)</f>
        <v>3221.241</v>
      </c>
      <c r="CG53" s="91">
        <f>'META  EM PEÇAS'!AD34-('META  EM PEÇAS'!AD34*0.05)</f>
        <v>4539.4229999999989</v>
      </c>
      <c r="CH53" s="91">
        <f t="shared" si="80"/>
        <v>32057.053499999998</v>
      </c>
      <c r="CJ53" s="91">
        <v>2552.85</v>
      </c>
      <c r="CK53" s="91">
        <v>1973.4599999999998</v>
      </c>
      <c r="CL53" s="91">
        <v>2218.4684999999999</v>
      </c>
      <c r="CM53" s="91">
        <v>2056.788</v>
      </c>
      <c r="CN53" s="91">
        <v>2307.7019999999998</v>
      </c>
      <c r="CO53" s="91">
        <v>2778.6075000000001</v>
      </c>
      <c r="CP53" s="91">
        <v>3342.2804999999998</v>
      </c>
      <c r="CQ53" s="91">
        <v>2234.3714999999997</v>
      </c>
      <c r="CR53" s="91">
        <v>2317.4204999999997</v>
      </c>
      <c r="CS53" s="91">
        <v>2514.4409999999998</v>
      </c>
      <c r="CT53" s="91">
        <v>3221.241</v>
      </c>
      <c r="CU53" s="91">
        <v>4539.4229999999989</v>
      </c>
      <c r="CV53" s="91">
        <v>32057.053499999998</v>
      </c>
      <c r="CW53" s="758"/>
      <c r="CX53" s="884">
        <v>2552.85</v>
      </c>
      <c r="CY53" s="884">
        <v>1973.4599999999998</v>
      </c>
      <c r="CZ53" s="884">
        <v>2218.4684999999999</v>
      </c>
      <c r="DA53" s="884">
        <v>2056.788</v>
      </c>
      <c r="DB53" s="884">
        <v>2307.7019999999998</v>
      </c>
      <c r="DC53" s="884">
        <v>2778.6075000000001</v>
      </c>
      <c r="DD53" s="884">
        <v>3342.2804999999998</v>
      </c>
      <c r="DE53" s="884">
        <v>2234.3714999999997</v>
      </c>
      <c r="DF53" s="884">
        <v>2317.4204999999997</v>
      </c>
      <c r="DG53" s="884">
        <v>2514.4409999999998</v>
      </c>
      <c r="DH53" s="884">
        <v>3221.241</v>
      </c>
      <c r="DI53" s="884">
        <v>4539.4229999999989</v>
      </c>
      <c r="DJ53" s="91">
        <v>32057.053499999998</v>
      </c>
      <c r="DK53" s="948"/>
      <c r="DL53" s="884">
        <v>2552.85</v>
      </c>
      <c r="DM53" s="884">
        <v>1973.4599999999998</v>
      </c>
      <c r="DN53" s="884">
        <v>2218.4684999999999</v>
      </c>
      <c r="DO53" s="884">
        <v>2056.788</v>
      </c>
      <c r="DP53" s="884">
        <v>2307.7019999999998</v>
      </c>
      <c r="DQ53" s="884">
        <v>2778.6075000000001</v>
      </c>
      <c r="DR53" s="884">
        <v>3342.2804999999998</v>
      </c>
      <c r="DS53" s="884">
        <v>2234.3714999999997</v>
      </c>
      <c r="DT53" s="884">
        <v>2317.4204999999997</v>
      </c>
      <c r="DU53" s="884">
        <v>2514.4409999999998</v>
      </c>
      <c r="DV53" s="884">
        <v>3221.241</v>
      </c>
      <c r="DW53" s="884">
        <v>4539.4229999999989</v>
      </c>
      <c r="DX53" s="91">
        <v>32057.053499999998</v>
      </c>
    </row>
    <row r="54" spans="1:128" ht="15" hidden="1" customHeight="1" outlineLevel="1">
      <c r="A54" s="94">
        <v>13</v>
      </c>
      <c r="B54" s="921" t="s">
        <v>68</v>
      </c>
      <c r="C54" s="923"/>
      <c r="D54" s="313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314">
        <f t="shared" si="75"/>
        <v>0</v>
      </c>
      <c r="Q54" s="90"/>
      <c r="R54" s="313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2000</v>
      </c>
      <c r="Y54" s="91">
        <v>800</v>
      </c>
      <c r="Z54" s="91">
        <v>800</v>
      </c>
      <c r="AA54" s="91">
        <v>1200</v>
      </c>
      <c r="AB54" s="91">
        <v>1800</v>
      </c>
      <c r="AC54" s="91">
        <v>2300</v>
      </c>
      <c r="AD54" s="315">
        <f t="shared" si="76"/>
        <v>8900</v>
      </c>
      <c r="AE54" s="23"/>
      <c r="AF54" s="316">
        <v>1800</v>
      </c>
      <c r="AG54" s="91">
        <v>1200</v>
      </c>
      <c r="AH54" s="91">
        <f>1800*0.15</f>
        <v>270</v>
      </c>
      <c r="AI54" s="91">
        <v>896</v>
      </c>
      <c r="AJ54" s="91">
        <v>1339</v>
      </c>
      <c r="AK54" s="91">
        <v>1600</v>
      </c>
      <c r="AL54" s="91">
        <v>1800</v>
      </c>
      <c r="AM54" s="91">
        <v>2000</v>
      </c>
      <c r="AN54" s="91">
        <v>2000</v>
      </c>
      <c r="AO54" s="91">
        <v>2000</v>
      </c>
      <c r="AP54" s="91">
        <v>2200</v>
      </c>
      <c r="AQ54" s="91">
        <v>3200</v>
      </c>
      <c r="AR54" s="92">
        <f t="shared" si="77"/>
        <v>20305</v>
      </c>
      <c r="AS54" s="23"/>
      <c r="AT54" s="91">
        <v>1980</v>
      </c>
      <c r="AU54" s="91">
        <v>1980</v>
      </c>
      <c r="AV54" s="91">
        <v>1980</v>
      </c>
      <c r="AW54" s="91">
        <v>1980</v>
      </c>
      <c r="AX54" s="317">
        <v>1409</v>
      </c>
      <c r="AY54" s="317">
        <v>1409</v>
      </c>
      <c r="AZ54" s="317">
        <v>1345</v>
      </c>
      <c r="BA54" s="317">
        <v>1345</v>
      </c>
      <c r="BB54" s="317">
        <v>1409</v>
      </c>
      <c r="BC54" s="317">
        <v>1665</v>
      </c>
      <c r="BD54" s="317">
        <v>1793</v>
      </c>
      <c r="BE54" s="317">
        <v>2562</v>
      </c>
      <c r="BF54" s="91">
        <f t="shared" si="78"/>
        <v>20857</v>
      </c>
      <c r="BG54" s="93">
        <f t="shared" si="79"/>
        <v>2.7185422309775831E-2</v>
      </c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>
        <v>11555</v>
      </c>
      <c r="BU54" s="54"/>
      <c r="BV54" s="91">
        <v>1903.7099999999998</v>
      </c>
      <c r="BW54" s="91">
        <v>1471.26</v>
      </c>
      <c r="BX54" s="91">
        <f>'META  EM PEÇAS'!U35-('META  EM PEÇAS'!U35*0.05)</f>
        <v>1654.7954999999999</v>
      </c>
      <c r="BY54" s="91">
        <f>'META  EM PEÇAS'!V35-('META  EM PEÇAS'!V35*0.05)</f>
        <v>1533.7559999999999</v>
      </c>
      <c r="BZ54" s="91">
        <f>'META  EM PEÇAS'!W35-('META  EM PEÇAS'!W35*0.05)</f>
        <v>1721.058</v>
      </c>
      <c r="CA54" s="91">
        <f>'META  EM PEÇAS'!X35-('META  EM PEÇAS'!X35*0.05)</f>
        <v>2071.8074999999999</v>
      </c>
      <c r="CB54" s="91">
        <f>'META  EM PEÇAS'!Y35-('META  EM PEÇAS'!Y35*0.05)</f>
        <v>2492.3534999999997</v>
      </c>
      <c r="CC54" s="91">
        <f>'META  EM PEÇAS'!Z35-('META  EM PEÇAS'!Z35*0.05)</f>
        <v>1666.2809999999997</v>
      </c>
      <c r="CD54" s="91">
        <f>'META  EM PEÇAS'!AA35-('META  EM PEÇAS'!AA35*0.05)</f>
        <v>1728.126</v>
      </c>
      <c r="CE54" s="91">
        <f>'META  EM PEÇAS'!AB35-('META  EM PEÇAS'!AB35*0.05)</f>
        <v>1874.7869999999998</v>
      </c>
      <c r="CF54" s="91">
        <f>'META  EM PEÇAS'!AC35-('META  EM PEÇAS'!AC35*0.05)</f>
        <v>2402.2364999999995</v>
      </c>
      <c r="CG54" s="91">
        <f>'META  EM PEÇAS'!AD35-('META  EM PEÇAS'!AD35*0.05)</f>
        <v>3384.6884999999997</v>
      </c>
      <c r="CH54" s="91">
        <f t="shared" si="80"/>
        <v>23904.859499999995</v>
      </c>
      <c r="CJ54" s="91">
        <v>1903.7099999999998</v>
      </c>
      <c r="CK54" s="91">
        <v>1471.26</v>
      </c>
      <c r="CL54" s="91">
        <v>1654.7954999999999</v>
      </c>
      <c r="CM54" s="91">
        <v>1533.7559999999999</v>
      </c>
      <c r="CN54" s="91">
        <v>1721.058</v>
      </c>
      <c r="CO54" s="91">
        <v>2071.8074999999999</v>
      </c>
      <c r="CP54" s="91">
        <v>2492.3534999999997</v>
      </c>
      <c r="CQ54" s="91">
        <v>1666.2809999999997</v>
      </c>
      <c r="CR54" s="91">
        <v>1728.126</v>
      </c>
      <c r="CS54" s="91">
        <v>1874.7869999999998</v>
      </c>
      <c r="CT54" s="91">
        <v>2402.2364999999995</v>
      </c>
      <c r="CU54" s="91">
        <v>3384.6884999999997</v>
      </c>
      <c r="CV54" s="91">
        <v>23904.859499999995</v>
      </c>
      <c r="CW54" s="758"/>
      <c r="CX54" s="884">
        <v>1903.7099999999998</v>
      </c>
      <c r="CY54" s="884">
        <v>1471.26</v>
      </c>
      <c r="CZ54" s="884">
        <v>1654.7954999999999</v>
      </c>
      <c r="DA54" s="884">
        <v>1533.7559999999999</v>
      </c>
      <c r="DB54" s="884">
        <v>1721.058</v>
      </c>
      <c r="DC54" s="884">
        <v>2071.8074999999999</v>
      </c>
      <c r="DD54" s="884">
        <v>2492.3534999999997</v>
      </c>
      <c r="DE54" s="884">
        <v>1666.2809999999997</v>
      </c>
      <c r="DF54" s="884">
        <v>1728.126</v>
      </c>
      <c r="DG54" s="884">
        <v>1874.7869999999998</v>
      </c>
      <c r="DH54" s="884">
        <v>2402.2364999999995</v>
      </c>
      <c r="DI54" s="884">
        <v>3384.6884999999997</v>
      </c>
      <c r="DJ54" s="91">
        <v>23904.859499999995</v>
      </c>
      <c r="DK54" s="948"/>
      <c r="DL54" s="884">
        <v>1903.7099999999998</v>
      </c>
      <c r="DM54" s="884">
        <v>1471.26</v>
      </c>
      <c r="DN54" s="884">
        <v>1654.7954999999999</v>
      </c>
      <c r="DO54" s="884">
        <v>1533.7559999999999</v>
      </c>
      <c r="DP54" s="884">
        <v>1721.058</v>
      </c>
      <c r="DQ54" s="884">
        <v>2071.8074999999999</v>
      </c>
      <c r="DR54" s="884">
        <v>2492.3534999999997</v>
      </c>
      <c r="DS54" s="884">
        <v>1666.2809999999997</v>
      </c>
      <c r="DT54" s="884">
        <v>1728.126</v>
      </c>
      <c r="DU54" s="884">
        <v>1874.7869999999998</v>
      </c>
      <c r="DV54" s="884">
        <v>2402.2364999999995</v>
      </c>
      <c r="DW54" s="884">
        <v>3384.6884999999997</v>
      </c>
      <c r="DX54" s="91">
        <v>23904.859499999995</v>
      </c>
    </row>
    <row r="55" spans="1:128" ht="15" hidden="1" customHeight="1" outlineLevel="1">
      <c r="A55" s="94">
        <v>14</v>
      </c>
      <c r="B55" s="921" t="s">
        <v>69</v>
      </c>
      <c r="C55" s="923"/>
      <c r="D55" s="313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314"/>
      <c r="Q55" s="90"/>
      <c r="R55" s="313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2000</v>
      </c>
      <c r="Z55" s="91">
        <v>800</v>
      </c>
      <c r="AA55" s="91">
        <v>800</v>
      </c>
      <c r="AB55" s="91">
        <v>1200</v>
      </c>
      <c r="AC55" s="91">
        <v>1800</v>
      </c>
      <c r="AD55" s="315">
        <f t="shared" si="76"/>
        <v>6600</v>
      </c>
      <c r="AE55" s="23"/>
      <c r="AF55" s="316">
        <v>1500</v>
      </c>
      <c r="AG55" s="91">
        <v>1200</v>
      </c>
      <c r="AH55" s="91">
        <f>1500*0.15</f>
        <v>225</v>
      </c>
      <c r="AI55" s="91">
        <v>374</v>
      </c>
      <c r="AJ55" s="91">
        <v>990</v>
      </c>
      <c r="AK55" s="91">
        <v>960</v>
      </c>
      <c r="AL55" s="91">
        <v>1800</v>
      </c>
      <c r="AM55" s="91">
        <v>1200</v>
      </c>
      <c r="AN55" s="91">
        <v>1200</v>
      </c>
      <c r="AO55" s="91">
        <v>1200</v>
      </c>
      <c r="AP55" s="91">
        <v>1320</v>
      </c>
      <c r="AQ55" s="91">
        <v>1920</v>
      </c>
      <c r="AR55" s="92">
        <f t="shared" si="77"/>
        <v>13889</v>
      </c>
      <c r="AS55" s="23"/>
      <c r="AT55" s="91">
        <v>1518</v>
      </c>
      <c r="AU55" s="91">
        <v>1518</v>
      </c>
      <c r="AV55" s="91">
        <v>1518</v>
      </c>
      <c r="AW55" s="91">
        <v>1518</v>
      </c>
      <c r="AX55" s="317">
        <v>1276</v>
      </c>
      <c r="AY55" s="317">
        <v>1276</v>
      </c>
      <c r="AZ55" s="317">
        <v>1218</v>
      </c>
      <c r="BA55" s="317">
        <v>1218</v>
      </c>
      <c r="BB55" s="317">
        <v>1276</v>
      </c>
      <c r="BC55" s="317">
        <v>1508</v>
      </c>
      <c r="BD55" s="317">
        <v>1624</v>
      </c>
      <c r="BE55" s="317">
        <v>2320</v>
      </c>
      <c r="BF55" s="91">
        <f t="shared" si="78"/>
        <v>17788</v>
      </c>
      <c r="BG55" s="93">
        <f t="shared" si="79"/>
        <v>0.2807257541939665</v>
      </c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>
        <v>19018</v>
      </c>
      <c r="BU55" s="54"/>
      <c r="BV55" s="91">
        <v>2737.9199999999996</v>
      </c>
      <c r="BW55" s="91">
        <v>2116.6799999999998</v>
      </c>
      <c r="BX55" s="91">
        <f>'META  EM PEÇAS'!U36-('META  EM PEÇAS'!U36*0.05)</f>
        <v>2379.2655</v>
      </c>
      <c r="BY55" s="91">
        <f>'META  EM PEÇAS'!V36-('META  EM PEÇAS'!V36*0.05)</f>
        <v>2205.2159999999999</v>
      </c>
      <c r="BZ55" s="91">
        <f>'META  EM PEÇAS'!W36-('META  EM PEÇAS'!W36*0.05)</f>
        <v>2474.6834999999996</v>
      </c>
      <c r="CA55" s="91">
        <f>'META  EM PEÇAS'!X36-('META  EM PEÇAS'!X36*0.05)</f>
        <v>2980.0454999999997</v>
      </c>
      <c r="CB55" s="91">
        <f>'META  EM PEÇAS'!Y36-('META  EM PEÇAS'!Y36*0.05)</f>
        <v>3584.3594999999996</v>
      </c>
      <c r="CC55" s="91">
        <f>'META  EM PEÇAS'!Z36-('META  EM PEÇAS'!Z36*0.05)</f>
        <v>2396.0519999999997</v>
      </c>
      <c r="CD55" s="91">
        <f>'META  EM PEÇAS'!AA36-('META  EM PEÇAS'!AA36*0.05)</f>
        <v>2485.2854999999995</v>
      </c>
      <c r="CE55" s="91">
        <f>'META  EM PEÇAS'!AB36-('META  EM PEÇAS'!AB36*0.05)</f>
        <v>2696.4419999999996</v>
      </c>
      <c r="CF55" s="91">
        <f>'META  EM PEÇAS'!AC36-('META  EM PEÇAS'!AC36*0.05)</f>
        <v>3454.4849999999997</v>
      </c>
      <c r="CG55" s="91">
        <f>'META  EM PEÇAS'!AD36-('META  EM PEÇAS'!AD36*0.05)</f>
        <v>4868.0849999999991</v>
      </c>
      <c r="CH55" s="91">
        <f t="shared" si="80"/>
        <v>34378.519499999995</v>
      </c>
      <c r="CJ55" s="91">
        <v>2737.9199999999996</v>
      </c>
      <c r="CK55" s="91">
        <v>2116.6799999999998</v>
      </c>
      <c r="CL55" s="91">
        <v>2379.2655</v>
      </c>
      <c r="CM55" s="91">
        <v>2205.2159999999999</v>
      </c>
      <c r="CN55" s="91">
        <v>2474.6834999999996</v>
      </c>
      <c r="CO55" s="91">
        <v>2980.0454999999997</v>
      </c>
      <c r="CP55" s="91">
        <v>3584.3594999999996</v>
      </c>
      <c r="CQ55" s="91">
        <v>2396.0519999999997</v>
      </c>
      <c r="CR55" s="91">
        <v>2485.2854999999995</v>
      </c>
      <c r="CS55" s="91">
        <v>2696.4419999999996</v>
      </c>
      <c r="CT55" s="91">
        <v>3454.4849999999997</v>
      </c>
      <c r="CU55" s="91">
        <v>4868.0849999999991</v>
      </c>
      <c r="CV55" s="91">
        <v>34378.519499999995</v>
      </c>
      <c r="CW55" s="758"/>
      <c r="CX55" s="884">
        <v>2737.9199999999996</v>
      </c>
      <c r="CY55" s="884">
        <v>2116.6799999999998</v>
      </c>
      <c r="CZ55" s="884">
        <v>2379.2655</v>
      </c>
      <c r="DA55" s="884">
        <v>2205.2159999999999</v>
      </c>
      <c r="DB55" s="884">
        <v>2474.6834999999996</v>
      </c>
      <c r="DC55" s="884">
        <v>2980.0454999999997</v>
      </c>
      <c r="DD55" s="884">
        <v>3584.3594999999996</v>
      </c>
      <c r="DE55" s="884">
        <v>2396.0519999999997</v>
      </c>
      <c r="DF55" s="884">
        <v>2485.2854999999995</v>
      </c>
      <c r="DG55" s="884">
        <v>2696.4419999999996</v>
      </c>
      <c r="DH55" s="884">
        <v>3454.4849999999997</v>
      </c>
      <c r="DI55" s="884">
        <v>4868.0849999999991</v>
      </c>
      <c r="DJ55" s="91">
        <v>34378.519499999995</v>
      </c>
      <c r="DK55" s="948"/>
      <c r="DL55" s="884">
        <v>2737.9199999999996</v>
      </c>
      <c r="DM55" s="884">
        <v>2116.6799999999998</v>
      </c>
      <c r="DN55" s="884">
        <v>2379.2655</v>
      </c>
      <c r="DO55" s="884">
        <v>2205.2159999999999</v>
      </c>
      <c r="DP55" s="884">
        <v>2474.6834999999996</v>
      </c>
      <c r="DQ55" s="884">
        <v>2980.0454999999997</v>
      </c>
      <c r="DR55" s="884">
        <v>3584.3594999999996</v>
      </c>
      <c r="DS55" s="884">
        <v>2396.0519999999997</v>
      </c>
      <c r="DT55" s="884">
        <v>2485.2854999999995</v>
      </c>
      <c r="DU55" s="884">
        <v>2696.4419999999996</v>
      </c>
      <c r="DV55" s="884">
        <v>3454.4849999999997</v>
      </c>
      <c r="DW55" s="884">
        <v>4868.0849999999991</v>
      </c>
      <c r="DX55" s="91">
        <v>34378.519499999995</v>
      </c>
    </row>
    <row r="56" spans="1:128" ht="15" hidden="1" customHeight="1" outlineLevel="1">
      <c r="A56" s="94">
        <v>15</v>
      </c>
      <c r="B56" s="921" t="s">
        <v>70</v>
      </c>
      <c r="C56" s="923"/>
      <c r="D56" s="313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314"/>
      <c r="Q56" s="90"/>
      <c r="R56" s="313">
        <v>0</v>
      </c>
      <c r="S56" s="91">
        <v>0</v>
      </c>
      <c r="T56" s="91">
        <v>0</v>
      </c>
      <c r="U56" s="91">
        <v>0</v>
      </c>
      <c r="V56" s="91">
        <v>0</v>
      </c>
      <c r="W56" s="91">
        <v>0</v>
      </c>
      <c r="X56" s="91">
        <v>0</v>
      </c>
      <c r="Y56" s="91">
        <v>0</v>
      </c>
      <c r="Z56" s="91">
        <v>2000</v>
      </c>
      <c r="AA56" s="91">
        <v>800</v>
      </c>
      <c r="AB56" s="91">
        <v>800</v>
      </c>
      <c r="AC56" s="91">
        <v>1500</v>
      </c>
      <c r="AD56" s="315">
        <f t="shared" si="76"/>
        <v>5100</v>
      </c>
      <c r="AE56" s="23"/>
      <c r="AF56" s="316">
        <v>1800</v>
      </c>
      <c r="AG56" s="91">
        <v>1200</v>
      </c>
      <c r="AH56" s="91">
        <f>1800*0.4</f>
        <v>720</v>
      </c>
      <c r="AI56" s="91">
        <v>1147</v>
      </c>
      <c r="AJ56" s="91">
        <v>1155</v>
      </c>
      <c r="AK56" s="91">
        <v>1600</v>
      </c>
      <c r="AL56" s="91">
        <v>1800</v>
      </c>
      <c r="AM56" s="91">
        <v>2000</v>
      </c>
      <c r="AN56" s="91">
        <v>2000</v>
      </c>
      <c r="AO56" s="91">
        <v>2000</v>
      </c>
      <c r="AP56" s="91">
        <v>2200</v>
      </c>
      <c r="AQ56" s="91">
        <v>3200</v>
      </c>
      <c r="AR56" s="92">
        <f t="shared" si="77"/>
        <v>20822</v>
      </c>
      <c r="AS56" s="23"/>
      <c r="AT56" s="91">
        <v>1544</v>
      </c>
      <c r="AU56" s="91">
        <v>1544</v>
      </c>
      <c r="AV56" s="91">
        <v>1544</v>
      </c>
      <c r="AW56" s="91">
        <v>1544</v>
      </c>
      <c r="AX56" s="317">
        <v>862</v>
      </c>
      <c r="AY56" s="317">
        <v>862</v>
      </c>
      <c r="AZ56" s="317">
        <v>823</v>
      </c>
      <c r="BA56" s="317">
        <v>823</v>
      </c>
      <c r="BB56" s="317">
        <v>862</v>
      </c>
      <c r="BC56" s="317">
        <v>1019</v>
      </c>
      <c r="BD56" s="317">
        <v>1098</v>
      </c>
      <c r="BE56" s="317">
        <v>1568</v>
      </c>
      <c r="BF56" s="91">
        <f t="shared" si="78"/>
        <v>14093</v>
      </c>
      <c r="BG56" s="93">
        <f t="shared" si="79"/>
        <v>-0.32316780328498707</v>
      </c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>
        <v>21133</v>
      </c>
      <c r="BU56" s="54"/>
      <c r="BV56" s="91">
        <v>3593.52</v>
      </c>
      <c r="BW56" s="91">
        <v>2776.98</v>
      </c>
      <c r="BX56" s="91">
        <f>'META  EM PEÇAS'!U38-('META  EM PEÇAS'!U38*0.05)</f>
        <v>3122.2889999999998</v>
      </c>
      <c r="BY56" s="91">
        <f>'META  EM PEÇAS'!V38-('META  EM PEÇAS'!V38*0.05)</f>
        <v>2893.4625000000001</v>
      </c>
      <c r="BZ56" s="91">
        <f>'META  EM PEÇAS'!W38-('META  EM PEÇAS'!W38*0.05)</f>
        <v>3247.7459999999996</v>
      </c>
      <c r="CA56" s="91">
        <f>'META  EM PEÇAS'!X38-('META  EM PEÇAS'!X38*0.05)</f>
        <v>3910.3709999999992</v>
      </c>
      <c r="CB56" s="91">
        <f>'META  EM PEÇAS'!Y38-('META  EM PEÇAS'!Y38*0.05)</f>
        <v>4703.7539999999999</v>
      </c>
      <c r="CC56" s="91">
        <f>'META  EM PEÇAS'!Z38-('META  EM PEÇAS'!Z38*0.05)</f>
        <v>3144.3764999999999</v>
      </c>
      <c r="CD56" s="91">
        <f>'META  EM PEÇAS'!AA38-('META  EM PEÇAS'!AA38*0.05)</f>
        <v>3260.9984999999997</v>
      </c>
      <c r="CE56" s="91">
        <f>'META  EM PEÇAS'!AB38-('META  EM PEÇAS'!AB38*0.05)</f>
        <v>3539.3009999999999</v>
      </c>
      <c r="CF56" s="91">
        <f>'META  EM PEÇAS'!AC38-('META  EM PEÇAS'!AC38*0.05)</f>
        <v>4533.2384999999995</v>
      </c>
      <c r="CG56" s="91">
        <f>'META  EM PEÇAS'!AD38-('META  EM PEÇAS'!AD38*0.05)</f>
        <v>6387.7049999999999</v>
      </c>
      <c r="CH56" s="91">
        <f t="shared" si="80"/>
        <v>45113.741999999998</v>
      </c>
      <c r="CJ56" s="91">
        <v>3593.52</v>
      </c>
      <c r="CK56" s="91">
        <v>2776.98</v>
      </c>
      <c r="CL56" s="91">
        <v>3122.2889999999998</v>
      </c>
      <c r="CM56" s="91">
        <v>2893.4625000000001</v>
      </c>
      <c r="CN56" s="91">
        <v>3247.7459999999996</v>
      </c>
      <c r="CO56" s="91">
        <v>3910.3709999999992</v>
      </c>
      <c r="CP56" s="91">
        <v>4703.7539999999999</v>
      </c>
      <c r="CQ56" s="91">
        <v>3144.3764999999999</v>
      </c>
      <c r="CR56" s="91">
        <v>3260.9984999999997</v>
      </c>
      <c r="CS56" s="91">
        <v>3539.3009999999999</v>
      </c>
      <c r="CT56" s="91">
        <v>4533.2384999999995</v>
      </c>
      <c r="CU56" s="91">
        <v>6387.7049999999999</v>
      </c>
      <c r="CV56" s="91">
        <v>45113.741999999998</v>
      </c>
      <c r="CW56" s="758"/>
      <c r="CX56" s="884">
        <v>3593.52</v>
      </c>
      <c r="CY56" s="884">
        <v>2776.98</v>
      </c>
      <c r="CZ56" s="884">
        <v>3122.2889999999998</v>
      </c>
      <c r="DA56" s="884">
        <v>2893.4625000000001</v>
      </c>
      <c r="DB56" s="884">
        <v>3247.7459999999996</v>
      </c>
      <c r="DC56" s="884">
        <v>3910.3709999999992</v>
      </c>
      <c r="DD56" s="884">
        <v>4703.7539999999999</v>
      </c>
      <c r="DE56" s="884">
        <v>3144.3764999999999</v>
      </c>
      <c r="DF56" s="884">
        <v>3260.9984999999997</v>
      </c>
      <c r="DG56" s="884">
        <v>3539.3009999999999</v>
      </c>
      <c r="DH56" s="884">
        <v>4533.2384999999995</v>
      </c>
      <c r="DI56" s="884">
        <v>6387.7049999999999</v>
      </c>
      <c r="DJ56" s="91">
        <v>45113.741999999998</v>
      </c>
      <c r="DK56" s="948"/>
      <c r="DL56" s="884">
        <v>3593.52</v>
      </c>
      <c r="DM56" s="884">
        <v>2776.98</v>
      </c>
      <c r="DN56" s="884">
        <v>3122.2889999999998</v>
      </c>
      <c r="DO56" s="884">
        <v>2893.4625000000001</v>
      </c>
      <c r="DP56" s="884">
        <v>3247.7459999999996</v>
      </c>
      <c r="DQ56" s="884">
        <v>3910.3709999999992</v>
      </c>
      <c r="DR56" s="884">
        <v>4703.7539999999999</v>
      </c>
      <c r="DS56" s="884">
        <v>3144.3764999999999</v>
      </c>
      <c r="DT56" s="884">
        <v>3260.9984999999997</v>
      </c>
      <c r="DU56" s="884">
        <v>3539.3009999999999</v>
      </c>
      <c r="DV56" s="884">
        <v>4533.2384999999995</v>
      </c>
      <c r="DW56" s="884">
        <v>6387.7049999999999</v>
      </c>
      <c r="DX56" s="91">
        <v>45113.741999999998</v>
      </c>
    </row>
    <row r="57" spans="1:128" ht="15" hidden="1" customHeight="1" outlineLevel="1">
      <c r="A57" s="94">
        <v>16</v>
      </c>
      <c r="B57" s="924" t="s">
        <v>71</v>
      </c>
      <c r="C57" s="923"/>
      <c r="D57" s="313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314"/>
      <c r="Q57" s="90"/>
      <c r="R57" s="313"/>
      <c r="S57" s="91"/>
      <c r="T57" s="91"/>
      <c r="U57" s="91"/>
      <c r="V57" s="91"/>
      <c r="W57" s="91"/>
      <c r="X57" s="91"/>
      <c r="Y57" s="91"/>
      <c r="Z57" s="91"/>
      <c r="AA57" s="91">
        <v>800</v>
      </c>
      <c r="AB57" s="91">
        <v>800</v>
      </c>
      <c r="AC57" s="91">
        <v>1500</v>
      </c>
      <c r="AD57" s="315"/>
      <c r="AE57" s="23"/>
      <c r="AF57" s="316">
        <v>1500</v>
      </c>
      <c r="AG57" s="91">
        <v>1200</v>
      </c>
      <c r="AH57" s="91">
        <f>1500*0.15</f>
        <v>225</v>
      </c>
      <c r="AI57" s="91">
        <v>192</v>
      </c>
      <c r="AJ57" s="91">
        <v>663</v>
      </c>
      <c r="AK57" s="91">
        <v>800</v>
      </c>
      <c r="AL57" s="91">
        <v>1500</v>
      </c>
      <c r="AM57" s="91">
        <v>1000</v>
      </c>
      <c r="AN57" s="91">
        <v>1000</v>
      </c>
      <c r="AO57" s="91">
        <v>1000</v>
      </c>
      <c r="AP57" s="91">
        <v>1100</v>
      </c>
      <c r="AQ57" s="91">
        <v>1600</v>
      </c>
      <c r="AR57" s="92">
        <f t="shared" si="77"/>
        <v>11780</v>
      </c>
      <c r="AS57" s="23"/>
      <c r="AT57" s="91">
        <v>960</v>
      </c>
      <c r="AU57" s="91">
        <v>960</v>
      </c>
      <c r="AV57" s="91">
        <v>960</v>
      </c>
      <c r="AW57" s="91">
        <v>960</v>
      </c>
      <c r="AX57" s="317">
        <v>1414</v>
      </c>
      <c r="AY57" s="317">
        <v>1414</v>
      </c>
      <c r="AZ57" s="317">
        <v>1350</v>
      </c>
      <c r="BA57" s="317">
        <v>1350</v>
      </c>
      <c r="BB57" s="317">
        <v>1414</v>
      </c>
      <c r="BC57" s="317">
        <v>1671</v>
      </c>
      <c r="BD57" s="317">
        <v>1800</v>
      </c>
      <c r="BE57" s="317">
        <v>2571</v>
      </c>
      <c r="BF57" s="91">
        <f t="shared" si="78"/>
        <v>16824</v>
      </c>
      <c r="BG57" s="93">
        <f t="shared" si="79"/>
        <v>0.42818336162988113</v>
      </c>
      <c r="BH57" s="91">
        <v>900</v>
      </c>
      <c r="BI57" s="91">
        <v>643</v>
      </c>
      <c r="BJ57" s="91">
        <v>891</v>
      </c>
      <c r="BK57" s="91">
        <v>679</v>
      </c>
      <c r="BL57" s="91">
        <v>940</v>
      </c>
      <c r="BM57" s="91">
        <v>948</v>
      </c>
      <c r="BN57" s="91">
        <v>1124</v>
      </c>
      <c r="BO57" s="91">
        <v>913</v>
      </c>
      <c r="BP57" s="91">
        <v>911</v>
      </c>
      <c r="BQ57" s="91">
        <v>898</v>
      </c>
      <c r="BR57" s="91">
        <v>1465</v>
      </c>
      <c r="BS57" s="91">
        <v>1278</v>
      </c>
      <c r="BT57" s="91">
        <f>SUM(BH57:BS57)</f>
        <v>11590</v>
      </c>
      <c r="BU57" s="54"/>
      <c r="BV57" s="91">
        <f>'META  EM PEÇAS'!T47</f>
        <v>1749.7324726431702</v>
      </c>
      <c r="BW57" s="91">
        <f>'META  EM PEÇAS'!T48</f>
        <v>1701.1287928475265</v>
      </c>
      <c r="BX57" s="91">
        <f>'META  EM PEÇAS'!T49</f>
        <v>1846.9398322344578</v>
      </c>
      <c r="BY57" s="91">
        <f>'META  EM PEÇAS'!T50</f>
        <v>1701.1287928475265</v>
      </c>
      <c r="BZ57" s="91">
        <f>'META  EM PEÇAS'!T51</f>
        <v>1846.9398322344578</v>
      </c>
      <c r="CA57" s="91">
        <f>'META  EM PEÇAS'!T52</f>
        <v>1749.7324726431702</v>
      </c>
      <c r="CB57" s="91">
        <f>'META  EM PEÇAS'!T53</f>
        <v>2138.5619110083194</v>
      </c>
      <c r="CC57" s="91">
        <f>'META  EM PEÇAS'!T54</f>
        <v>1749.7324726431702</v>
      </c>
      <c r="CD57" s="91">
        <f>'META  EM PEÇAS'!T55</f>
        <v>1749.7324726431702</v>
      </c>
      <c r="CE57" s="91">
        <f>'META  EM PEÇAS'!T56</f>
        <v>1749.7324726431702</v>
      </c>
      <c r="CF57" s="91">
        <f>'META  EM PEÇAS'!T57</f>
        <v>2721.8060685560426</v>
      </c>
      <c r="CG57" s="91">
        <f>'META  EM PEÇAS'!T58</f>
        <v>1944.1471918257448</v>
      </c>
      <c r="CH57" s="91">
        <f t="shared" si="80"/>
        <v>22649.314784769926</v>
      </c>
      <c r="CJ57" s="91">
        <v>1749.7324726431702</v>
      </c>
      <c r="CK57" s="91">
        <v>1701.1287928475265</v>
      </c>
      <c r="CL57" s="91">
        <v>1846.9398322344578</v>
      </c>
      <c r="CM57" s="91">
        <v>1701.1287928475265</v>
      </c>
      <c r="CN57" s="91">
        <v>1846.9398322344578</v>
      </c>
      <c r="CO57" s="91">
        <v>1749.7324726431702</v>
      </c>
      <c r="CP57" s="91">
        <v>2138.5619110083194</v>
      </c>
      <c r="CQ57" s="91">
        <v>1749.7324726431702</v>
      </c>
      <c r="CR57" s="91">
        <v>1749.7324726431702</v>
      </c>
      <c r="CS57" s="91">
        <v>1749.7324726431702</v>
      </c>
      <c r="CT57" s="91">
        <v>2721.8060685560426</v>
      </c>
      <c r="CU57" s="91">
        <v>1944.1471918257448</v>
      </c>
      <c r="CV57" s="91">
        <v>22649.314784769926</v>
      </c>
      <c r="CW57" s="758"/>
      <c r="CX57" s="884">
        <v>1749.7324726431702</v>
      </c>
      <c r="CY57" s="884">
        <v>1701.1287928475265</v>
      </c>
      <c r="CZ57" s="884">
        <v>1846.9398322344578</v>
      </c>
      <c r="DA57" s="884">
        <v>1701.1287928475265</v>
      </c>
      <c r="DB57" s="884">
        <v>1846.9398322344578</v>
      </c>
      <c r="DC57" s="884">
        <v>1749.7324726431702</v>
      </c>
      <c r="DD57" s="884">
        <v>2138.5619110083194</v>
      </c>
      <c r="DE57" s="884">
        <v>1749.7324726431702</v>
      </c>
      <c r="DF57" s="884">
        <v>1749.7324726431702</v>
      </c>
      <c r="DG57" s="884">
        <v>1749.7324726431702</v>
      </c>
      <c r="DH57" s="884">
        <v>2721.8060685560426</v>
      </c>
      <c r="DI57" s="884">
        <v>1944.1471918257448</v>
      </c>
      <c r="DJ57" s="91">
        <v>22649.314784769926</v>
      </c>
      <c r="DK57" s="948"/>
      <c r="DL57" s="884">
        <v>1749.7324726431702</v>
      </c>
      <c r="DM57" s="884">
        <v>1701.1287928475265</v>
      </c>
      <c r="DN57" s="884">
        <v>1846.9398322344578</v>
      </c>
      <c r="DO57" s="884">
        <v>1701.1287928475265</v>
      </c>
      <c r="DP57" s="884">
        <v>1846.9398322344578</v>
      </c>
      <c r="DQ57" s="884">
        <v>1749.7324726431702</v>
      </c>
      <c r="DR57" s="884">
        <v>2138.5619110083194</v>
      </c>
      <c r="DS57" s="884">
        <v>1749.7324726431702</v>
      </c>
      <c r="DT57" s="884">
        <v>1749.7324726431702</v>
      </c>
      <c r="DU57" s="884">
        <v>1749.7324726431702</v>
      </c>
      <c r="DV57" s="884">
        <v>2721.8060685560426</v>
      </c>
      <c r="DW57" s="884">
        <v>1944.1471918257448</v>
      </c>
      <c r="DX57" s="91">
        <v>22649.314784769926</v>
      </c>
    </row>
    <row r="58" spans="1:128" ht="15" hidden="1" customHeight="1" outlineLevel="1">
      <c r="A58" s="94"/>
      <c r="B58" s="921"/>
      <c r="C58" s="925"/>
      <c r="D58" s="313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314"/>
      <c r="Q58" s="90"/>
      <c r="R58" s="313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315"/>
      <c r="AE58" s="23"/>
      <c r="AF58" s="316">
        <v>0</v>
      </c>
      <c r="AG58" s="91">
        <v>0</v>
      </c>
      <c r="AH58" s="91">
        <v>0</v>
      </c>
      <c r="AI58" s="91">
        <v>0</v>
      </c>
      <c r="AJ58" s="91">
        <v>0</v>
      </c>
      <c r="AK58" s="91">
        <v>400</v>
      </c>
      <c r="AL58" s="91">
        <v>500</v>
      </c>
      <c r="AM58" s="91">
        <v>500</v>
      </c>
      <c r="AN58" s="91">
        <v>600</v>
      </c>
      <c r="AO58" s="91">
        <v>600</v>
      </c>
      <c r="AP58" s="91">
        <v>660</v>
      </c>
      <c r="AQ58" s="91">
        <v>960</v>
      </c>
      <c r="AR58" s="92">
        <f t="shared" si="77"/>
        <v>4220</v>
      </c>
      <c r="AS58" s="23"/>
      <c r="AT58" s="91">
        <v>960</v>
      </c>
      <c r="AU58" s="91">
        <v>960</v>
      </c>
      <c r="AV58" s="91">
        <v>960</v>
      </c>
      <c r="AW58" s="91">
        <v>960</v>
      </c>
      <c r="AX58" s="317">
        <v>580</v>
      </c>
      <c r="AY58" s="317">
        <v>580</v>
      </c>
      <c r="AZ58" s="317">
        <v>554</v>
      </c>
      <c r="BA58" s="317">
        <v>554</v>
      </c>
      <c r="BB58" s="317">
        <v>580</v>
      </c>
      <c r="BC58" s="317">
        <v>686</v>
      </c>
      <c r="BD58" s="317">
        <v>739</v>
      </c>
      <c r="BE58" s="317">
        <v>1055</v>
      </c>
      <c r="BF58" s="91">
        <f t="shared" si="78"/>
        <v>9168</v>
      </c>
      <c r="BG58" s="93">
        <f t="shared" si="79"/>
        <v>1.172511848341232</v>
      </c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U58" s="54"/>
      <c r="BV58" s="91"/>
      <c r="BW58" s="91"/>
      <c r="BX58" s="91"/>
      <c r="BY58" s="91"/>
      <c r="BZ58" s="91"/>
      <c r="CA58" s="91"/>
      <c r="CB58" s="91"/>
      <c r="CC58" s="91"/>
      <c r="CD58" s="91"/>
      <c r="CE58" s="91"/>
      <c r="CF58" s="91"/>
      <c r="CG58" s="91"/>
      <c r="CH58" s="91"/>
      <c r="CJ58" s="91"/>
      <c r="CK58" s="91"/>
      <c r="CL58" s="91"/>
      <c r="CM58" s="91"/>
      <c r="CN58" s="91"/>
      <c r="CO58" s="91"/>
      <c r="CP58" s="91"/>
      <c r="CQ58" s="91"/>
      <c r="CR58" s="91"/>
      <c r="CS58" s="91"/>
      <c r="CT58" s="91"/>
      <c r="CU58" s="91"/>
      <c r="CV58" s="91"/>
      <c r="CW58" s="758"/>
      <c r="CX58" s="884"/>
      <c r="CY58" s="884"/>
      <c r="CZ58" s="884"/>
      <c r="DA58" s="884"/>
      <c r="DB58" s="884"/>
      <c r="DC58" s="884"/>
      <c r="DD58" s="884"/>
      <c r="DE58" s="884"/>
      <c r="DF58" s="884"/>
      <c r="DG58" s="884"/>
      <c r="DH58" s="884"/>
      <c r="DI58" s="884"/>
      <c r="DJ58" s="91"/>
      <c r="DK58" s="948"/>
      <c r="DL58" s="884"/>
      <c r="DM58" s="884"/>
      <c r="DN58" s="884"/>
      <c r="DO58" s="884"/>
      <c r="DP58" s="884"/>
      <c r="DQ58" s="884"/>
      <c r="DR58" s="884"/>
      <c r="DS58" s="884"/>
      <c r="DT58" s="884"/>
      <c r="DU58" s="884"/>
      <c r="DV58" s="884"/>
      <c r="DW58" s="884"/>
      <c r="DX58" s="91"/>
    </row>
    <row r="59" spans="1:128" ht="15" hidden="1" customHeight="1" outlineLevel="1">
      <c r="A59" s="95"/>
      <c r="B59" s="924"/>
      <c r="C59" s="926"/>
      <c r="D59" s="421"/>
      <c r="E59" s="422"/>
      <c r="F59" s="422"/>
      <c r="G59" s="422"/>
      <c r="H59" s="422"/>
      <c r="I59" s="422"/>
      <c r="J59" s="422"/>
      <c r="K59" s="422"/>
      <c r="L59" s="422"/>
      <c r="M59" s="422"/>
      <c r="N59" s="422"/>
      <c r="O59" s="422"/>
      <c r="P59" s="423"/>
      <c r="Q59" s="424"/>
      <c r="R59" s="421"/>
      <c r="S59" s="425"/>
      <c r="T59" s="425"/>
      <c r="U59" s="425"/>
      <c r="V59" s="425"/>
      <c r="W59" s="425"/>
      <c r="X59" s="425"/>
      <c r="Y59" s="425"/>
      <c r="Z59" s="425"/>
      <c r="AA59" s="425"/>
      <c r="AB59" s="425"/>
      <c r="AC59" s="425"/>
      <c r="AD59" s="426"/>
      <c r="AE59" s="427"/>
      <c r="AF59" s="428">
        <v>0</v>
      </c>
      <c r="AG59" s="425">
        <v>0</v>
      </c>
      <c r="AH59" s="425">
        <v>0</v>
      </c>
      <c r="AI59" s="425">
        <v>0</v>
      </c>
      <c r="AJ59" s="425">
        <v>0</v>
      </c>
      <c r="AK59" s="425">
        <v>0</v>
      </c>
      <c r="AL59" s="425">
        <v>2500</v>
      </c>
      <c r="AM59" s="425">
        <v>2000</v>
      </c>
      <c r="AN59" s="425">
        <v>500</v>
      </c>
      <c r="AO59" s="425">
        <v>600</v>
      </c>
      <c r="AP59" s="425">
        <v>660</v>
      </c>
      <c r="AQ59" s="425">
        <v>960</v>
      </c>
      <c r="AR59" s="429">
        <f t="shared" si="77"/>
        <v>7220</v>
      </c>
      <c r="AS59" s="23"/>
      <c r="AT59" s="425">
        <v>1518</v>
      </c>
      <c r="AU59" s="425">
        <v>1518</v>
      </c>
      <c r="AV59" s="425">
        <v>1518</v>
      </c>
      <c r="AW59" s="425">
        <v>1518</v>
      </c>
      <c r="AX59" s="317">
        <v>1943</v>
      </c>
      <c r="AY59" s="317">
        <v>1943</v>
      </c>
      <c r="AZ59" s="317">
        <v>1854</v>
      </c>
      <c r="BA59" s="317">
        <v>1854</v>
      </c>
      <c r="BB59" s="317">
        <v>1943</v>
      </c>
      <c r="BC59" s="317">
        <v>2296</v>
      </c>
      <c r="BD59" s="317">
        <v>2472</v>
      </c>
      <c r="BE59" s="317">
        <v>3532</v>
      </c>
      <c r="BF59" s="425">
        <f t="shared" si="78"/>
        <v>23909</v>
      </c>
      <c r="BG59" s="93">
        <f t="shared" si="79"/>
        <v>2.3114958448753464</v>
      </c>
      <c r="BH59" s="425"/>
      <c r="BI59" s="425"/>
      <c r="BJ59" s="425"/>
      <c r="BK59" s="425"/>
      <c r="BL59" s="91"/>
      <c r="BM59" s="91"/>
      <c r="BN59" s="91"/>
      <c r="BO59" s="91"/>
      <c r="BP59" s="91"/>
      <c r="BQ59" s="91"/>
      <c r="BR59" s="91"/>
      <c r="BS59" s="91"/>
      <c r="BT59" s="91"/>
      <c r="BU59" s="54"/>
      <c r="BV59" s="425"/>
      <c r="BW59" s="425"/>
      <c r="BX59" s="425"/>
      <c r="BY59" s="425"/>
      <c r="BZ59" s="91"/>
      <c r="CA59" s="91"/>
      <c r="CB59" s="91"/>
      <c r="CC59" s="91"/>
      <c r="CD59" s="91"/>
      <c r="CE59" s="91"/>
      <c r="CF59" s="91"/>
      <c r="CG59" s="91"/>
      <c r="CH59" s="91"/>
      <c r="CJ59" s="425"/>
      <c r="CK59" s="425"/>
      <c r="CL59" s="425"/>
      <c r="CM59" s="425"/>
      <c r="CN59" s="91"/>
      <c r="CO59" s="91"/>
      <c r="CP59" s="91"/>
      <c r="CQ59" s="91"/>
      <c r="CR59" s="91"/>
      <c r="CS59" s="91"/>
      <c r="CT59" s="91"/>
      <c r="CU59" s="91"/>
      <c r="CV59" s="91"/>
      <c r="CW59" s="758"/>
      <c r="CX59" s="885"/>
      <c r="CY59" s="885"/>
      <c r="CZ59" s="885"/>
      <c r="DA59" s="885"/>
      <c r="DB59" s="884"/>
      <c r="DC59" s="884"/>
      <c r="DD59" s="884"/>
      <c r="DE59" s="884"/>
      <c r="DF59" s="884"/>
      <c r="DG59" s="884"/>
      <c r="DH59" s="884"/>
      <c r="DI59" s="884"/>
      <c r="DJ59" s="91"/>
      <c r="DK59" s="948"/>
      <c r="DL59" s="885"/>
      <c r="DM59" s="885"/>
      <c r="DN59" s="885"/>
      <c r="DO59" s="885"/>
      <c r="DP59" s="884"/>
      <c r="DQ59" s="884"/>
      <c r="DR59" s="884"/>
      <c r="DS59" s="884"/>
      <c r="DT59" s="884"/>
      <c r="DU59" s="884"/>
      <c r="DV59" s="884"/>
      <c r="DW59" s="884"/>
      <c r="DX59" s="91"/>
    </row>
    <row r="60" spans="1:128" ht="15" hidden="1" customHeight="1" outlineLevel="1">
      <c r="A60" s="434"/>
      <c r="B60" s="1075"/>
      <c r="C60" s="1076"/>
      <c r="D60" s="435"/>
      <c r="E60" s="435"/>
      <c r="F60" s="435"/>
      <c r="G60" s="435"/>
      <c r="H60" s="435"/>
      <c r="I60" s="435"/>
      <c r="J60" s="435"/>
      <c r="K60" s="435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  <c r="Y60" s="435"/>
      <c r="Z60" s="435"/>
      <c r="AA60" s="435"/>
      <c r="AB60" s="435"/>
      <c r="AC60" s="435"/>
      <c r="AD60" s="435"/>
      <c r="AE60" s="436"/>
      <c r="AF60" s="437">
        <v>0</v>
      </c>
      <c r="AG60" s="437">
        <v>0</v>
      </c>
      <c r="AH60" s="437">
        <v>0</v>
      </c>
      <c r="AI60" s="437">
        <v>0</v>
      </c>
      <c r="AJ60" s="437">
        <v>0</v>
      </c>
      <c r="AK60" s="437">
        <v>0</v>
      </c>
      <c r="AL60" s="437">
        <v>0</v>
      </c>
      <c r="AM60" s="437">
        <v>0</v>
      </c>
      <c r="AN60" s="437">
        <v>0</v>
      </c>
      <c r="AO60" s="437">
        <v>0</v>
      </c>
      <c r="AP60" s="437">
        <v>0</v>
      </c>
      <c r="AQ60" s="437">
        <v>0</v>
      </c>
      <c r="AR60" s="438">
        <f t="shared" si="77"/>
        <v>0</v>
      </c>
      <c r="AS60" s="322"/>
      <c r="AT60" s="437">
        <v>0</v>
      </c>
      <c r="AU60" s="437">
        <v>0</v>
      </c>
      <c r="AV60" s="437">
        <v>0</v>
      </c>
      <c r="AW60" s="437">
        <v>0</v>
      </c>
      <c r="AX60" s="439">
        <v>800</v>
      </c>
      <c r="AY60" s="317">
        <v>800</v>
      </c>
      <c r="AZ60" s="317">
        <v>800</v>
      </c>
      <c r="BA60" s="317">
        <v>1050</v>
      </c>
      <c r="BB60" s="317">
        <v>1100</v>
      </c>
      <c r="BC60" s="317">
        <v>1300</v>
      </c>
      <c r="BD60" s="317">
        <v>1400</v>
      </c>
      <c r="BE60" s="440">
        <v>2000</v>
      </c>
      <c r="BF60" s="437">
        <f t="shared" si="78"/>
        <v>9250</v>
      </c>
      <c r="BG60" s="325" t="e">
        <f t="shared" si="79"/>
        <v>#DIV/0!</v>
      </c>
      <c r="BH60" s="437"/>
      <c r="BI60" s="437"/>
      <c r="BJ60" s="437"/>
      <c r="BK60" s="437"/>
      <c r="BL60" s="439"/>
      <c r="BM60" s="317"/>
      <c r="BN60" s="317"/>
      <c r="BO60" s="317"/>
      <c r="BP60" s="317"/>
      <c r="BQ60" s="317"/>
      <c r="BR60" s="317"/>
      <c r="BS60" s="317"/>
      <c r="BT60" s="317"/>
      <c r="BU60" s="326"/>
      <c r="BV60" s="443"/>
      <c r="BW60" s="443"/>
      <c r="BX60" s="443"/>
      <c r="BY60" s="443"/>
      <c r="BZ60" s="444"/>
      <c r="CA60" s="317"/>
      <c r="CB60" s="317"/>
      <c r="CC60" s="317"/>
      <c r="CD60" s="317"/>
      <c r="CE60" s="317"/>
      <c r="CF60" s="317"/>
      <c r="CG60" s="317"/>
      <c r="CH60" s="317"/>
      <c r="CJ60" s="443"/>
      <c r="CK60" s="443"/>
      <c r="CL60" s="443"/>
      <c r="CM60" s="443"/>
      <c r="CN60" s="444"/>
      <c r="CO60" s="317"/>
      <c r="CP60" s="317"/>
      <c r="CQ60" s="317"/>
      <c r="CR60" s="317"/>
      <c r="CS60" s="317"/>
      <c r="CT60" s="317"/>
      <c r="CU60" s="317"/>
      <c r="CV60" s="317"/>
      <c r="CW60" s="758"/>
      <c r="CX60" s="886"/>
      <c r="CY60" s="886"/>
      <c r="CZ60" s="886"/>
      <c r="DA60" s="886"/>
      <c r="DB60" s="887"/>
      <c r="DC60" s="888"/>
      <c r="DD60" s="888"/>
      <c r="DE60" s="888"/>
      <c r="DF60" s="888"/>
      <c r="DG60" s="888"/>
      <c r="DH60" s="888"/>
      <c r="DI60" s="888"/>
      <c r="DJ60" s="317"/>
      <c r="DK60" s="948"/>
      <c r="DL60" s="886"/>
      <c r="DM60" s="886"/>
      <c r="DN60" s="886"/>
      <c r="DO60" s="886"/>
      <c r="DP60" s="887"/>
      <c r="DQ60" s="888"/>
      <c r="DR60" s="888"/>
      <c r="DS60" s="888"/>
      <c r="DT60" s="888"/>
      <c r="DU60" s="888"/>
      <c r="DV60" s="888"/>
      <c r="DW60" s="888"/>
      <c r="DX60" s="317"/>
    </row>
    <row r="61" spans="1:128" ht="15" hidden="1" customHeight="1" outlineLevel="1">
      <c r="A61" s="430"/>
      <c r="B61" s="927"/>
      <c r="C61" s="928"/>
      <c r="D61" s="424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32"/>
      <c r="T61" s="432"/>
      <c r="U61" s="432"/>
      <c r="V61" s="432"/>
      <c r="W61" s="432"/>
      <c r="X61" s="432"/>
      <c r="Y61" s="432"/>
      <c r="Z61" s="432"/>
      <c r="AA61" s="432"/>
      <c r="AB61" s="432"/>
      <c r="AC61" s="432"/>
      <c r="AD61" s="432"/>
      <c r="AE61" s="427"/>
      <c r="AF61" s="432"/>
      <c r="AG61" s="432"/>
      <c r="AH61" s="432"/>
      <c r="AI61" s="432"/>
      <c r="AJ61" s="432"/>
      <c r="AK61" s="432"/>
      <c r="AL61" s="432"/>
      <c r="AM61" s="432"/>
      <c r="AN61" s="432"/>
      <c r="AO61" s="432"/>
      <c r="AP61" s="432"/>
      <c r="AQ61" s="432"/>
      <c r="AR61" s="433"/>
      <c r="AS61" s="23"/>
      <c r="AT61" s="97"/>
      <c r="AU61" s="97"/>
      <c r="AV61" s="97"/>
      <c r="AW61" s="97"/>
      <c r="AX61" s="91"/>
      <c r="AY61" s="91"/>
      <c r="AZ61" s="91"/>
      <c r="BA61" s="91"/>
      <c r="BB61" s="91"/>
      <c r="BC61" s="91"/>
      <c r="BD61" s="91">
        <v>600</v>
      </c>
      <c r="BE61" s="315">
        <v>700</v>
      </c>
      <c r="BF61" s="437">
        <f t="shared" si="78"/>
        <v>1300</v>
      </c>
      <c r="BG61" s="93"/>
      <c r="BH61" s="442"/>
      <c r="BI61" s="442"/>
      <c r="BJ61" s="442"/>
      <c r="BK61" s="442"/>
      <c r="BL61" s="316"/>
      <c r="BM61" s="91"/>
      <c r="BN61" s="91"/>
      <c r="BO61" s="91"/>
      <c r="BP61" s="91"/>
      <c r="BQ61" s="91"/>
      <c r="BR61" s="91"/>
      <c r="BS61" s="91"/>
      <c r="BT61" s="91"/>
      <c r="BU61" s="54"/>
      <c r="BV61" s="442"/>
      <c r="BW61" s="442"/>
      <c r="BX61" s="442"/>
      <c r="BY61" s="442"/>
      <c r="BZ61" s="442"/>
      <c r="CA61" s="316"/>
      <c r="CB61" s="91">
        <v>60</v>
      </c>
      <c r="CC61" s="91"/>
      <c r="CD61" s="91"/>
      <c r="CE61" s="91"/>
      <c r="CF61" s="91"/>
      <c r="CG61" s="91"/>
      <c r="CH61" s="91"/>
      <c r="CJ61" s="708">
        <f>(CJ63-CJ62)/CJ62</f>
        <v>0.03</v>
      </c>
      <c r="CK61" s="708">
        <f t="shared" ref="CK61:CU61" si="84">(CK63-CK62)/CK62</f>
        <v>3.0000000000000079E-2</v>
      </c>
      <c r="CL61" s="708">
        <f t="shared" si="84"/>
        <v>3.0000000000000058E-2</v>
      </c>
      <c r="CM61" s="708">
        <f t="shared" si="84"/>
        <v>3.0000000000000034E-2</v>
      </c>
      <c r="CN61" s="708">
        <f t="shared" si="84"/>
        <v>3.000000000000011E-2</v>
      </c>
      <c r="CO61" s="708">
        <f t="shared" si="84"/>
        <v>3.000000000000012E-2</v>
      </c>
      <c r="CP61" s="708">
        <f t="shared" si="84"/>
        <v>3.0000000000000113E-2</v>
      </c>
      <c r="CQ61" s="708">
        <f t="shared" si="84"/>
        <v>3.0000000000000127E-2</v>
      </c>
      <c r="CR61" s="708">
        <f t="shared" si="84"/>
        <v>3.0000000000000068E-2</v>
      </c>
      <c r="CS61" s="708">
        <f t="shared" si="84"/>
        <v>2.9999999999999982E-2</v>
      </c>
      <c r="CT61" s="708">
        <f t="shared" si="84"/>
        <v>2.9999999999999961E-2</v>
      </c>
      <c r="CU61" s="708">
        <f t="shared" si="84"/>
        <v>0.03</v>
      </c>
      <c r="CV61" s="91"/>
      <c r="CW61" s="758"/>
      <c r="CX61" s="889"/>
      <c r="CY61" s="889"/>
      <c r="CZ61" s="889"/>
      <c r="DA61" s="889"/>
      <c r="DB61" s="889"/>
      <c r="DC61" s="890"/>
      <c r="DD61" s="884"/>
      <c r="DE61" s="884"/>
      <c r="DF61" s="884"/>
      <c r="DG61" s="884"/>
      <c r="DH61" s="884"/>
      <c r="DI61" s="884"/>
      <c r="DJ61" s="91"/>
      <c r="DK61" s="948"/>
      <c r="DL61" s="889"/>
      <c r="DM61" s="889"/>
      <c r="DN61" s="889"/>
      <c r="DO61" s="889"/>
      <c r="DP61" s="889"/>
      <c r="DQ61" s="890"/>
      <c r="DR61" s="884"/>
      <c r="DS61" s="884"/>
      <c r="DT61" s="884"/>
      <c r="DU61" s="884"/>
      <c r="DV61" s="884"/>
      <c r="DW61" s="884"/>
      <c r="DX61" s="91"/>
    </row>
    <row r="62" spans="1:128" ht="15" hidden="1" customHeight="1" outlineLevel="1">
      <c r="A62" s="95"/>
      <c r="B62" s="924" t="s">
        <v>71</v>
      </c>
      <c r="C62" s="922"/>
      <c r="D62" s="313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>
        <f t="shared" ref="P62:P63" si="85">SUM(D62:O62)</f>
        <v>0</v>
      </c>
      <c r="Q62" s="90"/>
      <c r="R62" s="313">
        <v>350</v>
      </c>
      <c r="S62" s="91">
        <v>350</v>
      </c>
      <c r="T62" s="91">
        <v>450</v>
      </c>
      <c r="U62" s="91">
        <v>800</v>
      </c>
      <c r="V62" s="91">
        <v>531</v>
      </c>
      <c r="W62" s="91">
        <v>750</v>
      </c>
      <c r="X62" s="91">
        <v>650</v>
      </c>
      <c r="Y62" s="91">
        <v>750</v>
      </c>
      <c r="Z62" s="91">
        <v>900</v>
      </c>
      <c r="AA62" s="91">
        <v>1000</v>
      </c>
      <c r="AB62" s="91">
        <v>1200</v>
      </c>
      <c r="AC62" s="91">
        <v>1500</v>
      </c>
      <c r="AD62" s="315">
        <f t="shared" ref="AD62:AD63" si="86">SUM(R62:AC62)</f>
        <v>9231</v>
      </c>
      <c r="AE62" s="23"/>
      <c r="AF62" s="316">
        <v>1500</v>
      </c>
      <c r="AG62" s="91">
        <v>800</v>
      </c>
      <c r="AH62" s="91">
        <v>800</v>
      </c>
      <c r="AI62" s="91">
        <v>1820</v>
      </c>
      <c r="AJ62" s="91">
        <v>1630</v>
      </c>
      <c r="AK62" s="91">
        <v>1360</v>
      </c>
      <c r="AL62" s="91">
        <v>1000</v>
      </c>
      <c r="AM62" s="91">
        <v>1700</v>
      </c>
      <c r="AN62" s="91">
        <v>1700</v>
      </c>
      <c r="AO62" s="91">
        <v>1700</v>
      </c>
      <c r="AP62" s="91">
        <v>1870</v>
      </c>
      <c r="AQ62" s="91">
        <v>2720</v>
      </c>
      <c r="AR62" s="92">
        <f t="shared" ref="AR62:AR63" si="87">SUM(AF62:AQ62)</f>
        <v>18600</v>
      </c>
      <c r="AS62" s="23"/>
      <c r="AT62" s="91">
        <v>2053</v>
      </c>
      <c r="AU62" s="91">
        <v>2053</v>
      </c>
      <c r="AV62" s="91">
        <v>2053</v>
      </c>
      <c r="AW62" s="91">
        <v>2053</v>
      </c>
      <c r="AX62" s="91">
        <v>2807</v>
      </c>
      <c r="AY62" s="91">
        <v>2807</v>
      </c>
      <c r="AZ62" s="91">
        <v>2680</v>
      </c>
      <c r="BA62" s="91">
        <v>2680</v>
      </c>
      <c r="BB62" s="91">
        <v>2807</v>
      </c>
      <c r="BC62" s="91">
        <v>3318</v>
      </c>
      <c r="BD62" s="91">
        <v>5870</v>
      </c>
      <c r="BE62" s="91">
        <v>5104</v>
      </c>
      <c r="BF62" s="441">
        <f t="shared" si="78"/>
        <v>36285</v>
      </c>
      <c r="BG62" s="93">
        <f>BF62/AR62-1</f>
        <v>0.95080645161290334</v>
      </c>
      <c r="BH62" s="441"/>
      <c r="BI62" s="441"/>
      <c r="BJ62" s="441"/>
      <c r="BK62" s="441"/>
      <c r="BL62" s="91"/>
      <c r="BM62" s="91"/>
      <c r="BN62" s="91"/>
      <c r="BO62" s="91"/>
      <c r="BP62" s="91"/>
      <c r="BQ62" s="91"/>
      <c r="BR62" s="91"/>
      <c r="BS62" s="91"/>
      <c r="BT62" s="91">
        <f>SUM(BH62:BS62)</f>
        <v>0</v>
      </c>
      <c r="BU62" s="54"/>
      <c r="BV62" s="441"/>
      <c r="BW62" s="441"/>
      <c r="BX62" s="441"/>
      <c r="BY62" s="441"/>
      <c r="BZ62" s="441"/>
      <c r="CA62" s="91"/>
      <c r="CB62" s="91"/>
      <c r="CC62" s="91"/>
      <c r="CD62" s="91"/>
      <c r="CE62" s="91"/>
      <c r="CF62" s="91"/>
      <c r="CG62" s="91"/>
      <c r="CH62" s="91"/>
      <c r="CJ62" s="441">
        <f>BV72</f>
        <v>38900</v>
      </c>
      <c r="CK62" s="441">
        <f t="shared" ref="CK62:CU62" si="88">BW72</f>
        <v>31376</v>
      </c>
      <c r="CL62" s="441">
        <f t="shared" si="88"/>
        <v>29886</v>
      </c>
      <c r="CM62" s="441">
        <f t="shared" si="88"/>
        <v>30671</v>
      </c>
      <c r="CN62" s="441">
        <f t="shared" si="88"/>
        <v>34553</v>
      </c>
      <c r="CO62" s="441">
        <f t="shared" si="88"/>
        <v>36515</v>
      </c>
      <c r="CP62" s="441">
        <f t="shared" si="88"/>
        <v>38915</v>
      </c>
      <c r="CQ62" s="441">
        <f t="shared" si="88"/>
        <v>34615</v>
      </c>
      <c r="CR62" s="441">
        <f t="shared" si="88"/>
        <v>29617</v>
      </c>
      <c r="CS62" s="441">
        <f t="shared" si="88"/>
        <v>34538</v>
      </c>
      <c r="CT62" s="441">
        <f t="shared" si="88"/>
        <v>45914</v>
      </c>
      <c r="CU62" s="441">
        <f t="shared" si="88"/>
        <v>60875</v>
      </c>
      <c r="CV62" s="91"/>
      <c r="CW62" s="758"/>
      <c r="CX62" s="891"/>
      <c r="CY62" s="891"/>
      <c r="CZ62" s="891"/>
      <c r="DA62" s="891"/>
      <c r="DB62" s="891"/>
      <c r="DC62" s="884"/>
      <c r="DD62" s="884"/>
      <c r="DE62" s="884"/>
      <c r="DF62" s="884"/>
      <c r="DG62" s="884"/>
      <c r="DH62" s="884"/>
      <c r="DI62" s="884"/>
      <c r="DJ62" s="91"/>
      <c r="DK62" s="948"/>
      <c r="DL62" s="891"/>
      <c r="DM62" s="891"/>
      <c r="DN62" s="891"/>
      <c r="DO62" s="891"/>
      <c r="DP62" s="891"/>
      <c r="DQ62" s="884"/>
      <c r="DR62" s="884"/>
      <c r="DS62" s="884"/>
      <c r="DT62" s="884"/>
      <c r="DU62" s="884"/>
      <c r="DV62" s="884"/>
      <c r="DW62" s="884"/>
      <c r="DX62" s="91"/>
    </row>
    <row r="63" spans="1:128" ht="18.75" hidden="1" collapsed="1">
      <c r="A63" s="55"/>
      <c r="B63" s="56" t="s">
        <v>123</v>
      </c>
      <c r="C63" s="753"/>
      <c r="D63" s="288">
        <f t="shared" ref="D63:O63" si="89">SUM(D42:D62)</f>
        <v>0</v>
      </c>
      <c r="E63" s="57">
        <f t="shared" si="89"/>
        <v>0</v>
      </c>
      <c r="F63" s="57">
        <f t="shared" si="89"/>
        <v>0</v>
      </c>
      <c r="G63" s="57">
        <f t="shared" si="89"/>
        <v>0</v>
      </c>
      <c r="H63" s="57">
        <f t="shared" si="89"/>
        <v>0</v>
      </c>
      <c r="I63" s="57">
        <f t="shared" si="89"/>
        <v>0</v>
      </c>
      <c r="J63" s="57">
        <f t="shared" si="89"/>
        <v>0</v>
      </c>
      <c r="K63" s="57">
        <f t="shared" si="89"/>
        <v>0</v>
      </c>
      <c r="L63" s="57">
        <f t="shared" si="89"/>
        <v>0</v>
      </c>
      <c r="M63" s="57">
        <f t="shared" si="89"/>
        <v>0</v>
      </c>
      <c r="N63" s="57">
        <f t="shared" si="89"/>
        <v>0</v>
      </c>
      <c r="O63" s="57">
        <f t="shared" si="89"/>
        <v>0</v>
      </c>
      <c r="P63" s="289">
        <f t="shared" si="85"/>
        <v>0</v>
      </c>
      <c r="Q63" s="39"/>
      <c r="R63" s="288">
        <f t="shared" ref="R63:AC63" si="90">SUM(R42:R62)</f>
        <v>20557.543859649122</v>
      </c>
      <c r="S63" s="58">
        <f t="shared" si="90"/>
        <v>20512.543859649122</v>
      </c>
      <c r="T63" s="58">
        <f t="shared" si="90"/>
        <v>13699.771929824561</v>
      </c>
      <c r="U63" s="58">
        <f t="shared" si="90"/>
        <v>912.5</v>
      </c>
      <c r="V63" s="58">
        <f t="shared" si="90"/>
        <v>16851</v>
      </c>
      <c r="W63" s="290">
        <f t="shared" si="90"/>
        <v>13700</v>
      </c>
      <c r="X63" s="290">
        <f t="shared" si="90"/>
        <v>26050</v>
      </c>
      <c r="Y63" s="290">
        <f t="shared" si="90"/>
        <v>27750</v>
      </c>
      <c r="Z63" s="290">
        <f t="shared" si="90"/>
        <v>31100</v>
      </c>
      <c r="AA63" s="290">
        <f t="shared" si="90"/>
        <v>32100</v>
      </c>
      <c r="AB63" s="290">
        <f t="shared" si="90"/>
        <v>37500</v>
      </c>
      <c r="AC63" s="290">
        <f t="shared" si="90"/>
        <v>45300</v>
      </c>
      <c r="AD63" s="291">
        <f t="shared" si="86"/>
        <v>286033.35964912281</v>
      </c>
      <c r="AE63" s="59"/>
      <c r="AF63" s="292">
        <f>SUM(AF42:AF62)</f>
        <v>38500</v>
      </c>
      <c r="AG63" s="58">
        <f t="shared" ref="AG63:AQ63" si="91">SUM(AG42:AG62)</f>
        <v>22400</v>
      </c>
      <c r="AH63" s="58">
        <f t="shared" si="91"/>
        <v>10671</v>
      </c>
      <c r="AI63" s="58">
        <f t="shared" si="91"/>
        <v>16097</v>
      </c>
      <c r="AJ63" s="58">
        <f t="shared" si="91"/>
        <v>30278</v>
      </c>
      <c r="AK63" s="58">
        <f t="shared" si="91"/>
        <v>28560</v>
      </c>
      <c r="AL63" s="58">
        <f t="shared" si="91"/>
        <v>41700</v>
      </c>
      <c r="AM63" s="58">
        <f t="shared" si="91"/>
        <v>38700</v>
      </c>
      <c r="AN63" s="58">
        <f t="shared" si="91"/>
        <v>37300</v>
      </c>
      <c r="AO63" s="58">
        <f t="shared" si="91"/>
        <v>37400</v>
      </c>
      <c r="AP63" s="58">
        <f t="shared" si="91"/>
        <v>40640</v>
      </c>
      <c r="AQ63" s="58">
        <f t="shared" si="91"/>
        <v>54440</v>
      </c>
      <c r="AR63" s="58">
        <f t="shared" si="87"/>
        <v>396686</v>
      </c>
      <c r="AS63" s="59"/>
      <c r="AT63" s="58">
        <f t="shared" ref="AT63:BE63" si="92">SUM(AT42:AT62)</f>
        <v>36153</v>
      </c>
      <c r="AU63" s="58">
        <f>SUM(AU42:AU62)</f>
        <v>35289</v>
      </c>
      <c r="AV63" s="58">
        <f t="shared" si="92"/>
        <v>35872</v>
      </c>
      <c r="AW63" s="58">
        <f t="shared" si="92"/>
        <v>38031</v>
      </c>
      <c r="AX63" s="58">
        <f t="shared" si="92"/>
        <v>33566</v>
      </c>
      <c r="AY63" s="58">
        <f t="shared" si="92"/>
        <v>33566</v>
      </c>
      <c r="AZ63" s="58">
        <f t="shared" si="92"/>
        <v>30896</v>
      </c>
      <c r="BA63" s="58">
        <f t="shared" si="92"/>
        <v>31146</v>
      </c>
      <c r="BB63" s="58">
        <f t="shared" si="92"/>
        <v>32630</v>
      </c>
      <c r="BC63" s="58">
        <f t="shared" si="92"/>
        <v>38562</v>
      </c>
      <c r="BD63" s="58">
        <f t="shared" si="92"/>
        <v>41345</v>
      </c>
      <c r="BE63" s="58">
        <f t="shared" si="92"/>
        <v>49263</v>
      </c>
      <c r="BF63" s="58">
        <f>SUM(AT63:BE63)</f>
        <v>436319</v>
      </c>
      <c r="BG63" s="59">
        <f>BF63-AR63</f>
        <v>39633</v>
      </c>
      <c r="BH63" s="58">
        <v>36153</v>
      </c>
      <c r="BI63" s="58">
        <v>35289</v>
      </c>
      <c r="BJ63" s="58">
        <v>35872</v>
      </c>
      <c r="BK63" s="58">
        <v>38031</v>
      </c>
      <c r="BL63" s="58">
        <v>38570</v>
      </c>
      <c r="BM63" s="58">
        <v>39227</v>
      </c>
      <c r="BN63" s="58">
        <v>41128</v>
      </c>
      <c r="BO63" s="58">
        <v>38191</v>
      </c>
      <c r="BP63" s="58">
        <v>38191</v>
      </c>
      <c r="BQ63" s="58">
        <v>40225</v>
      </c>
      <c r="BR63" s="58">
        <v>43272</v>
      </c>
      <c r="BS63" s="58">
        <v>60327</v>
      </c>
      <c r="BT63" s="58">
        <f t="shared" ref="BT63:BT67" si="93">SUM(BH63:BS63)</f>
        <v>484476</v>
      </c>
      <c r="BU63" s="60"/>
      <c r="BV63" s="58">
        <f>SUM(BV42:BV59)</f>
        <v>35797.912472643162</v>
      </c>
      <c r="BW63" s="58">
        <f t="shared" ref="BW63:CG63" si="94">SUM(BW42:BW59)</f>
        <v>27268.538792847521</v>
      </c>
      <c r="BX63" s="58">
        <f t="shared" si="94"/>
        <v>34357.668832234456</v>
      </c>
      <c r="BY63" s="58">
        <f t="shared" si="94"/>
        <v>29626.958292847525</v>
      </c>
      <c r="BZ63" s="58">
        <f t="shared" si="94"/>
        <v>34139.121332234456</v>
      </c>
      <c r="CA63" s="58">
        <f t="shared" si="94"/>
        <v>39503.881972643161</v>
      </c>
      <c r="CB63" s="58">
        <f t="shared" si="94"/>
        <v>45728.836911008315</v>
      </c>
      <c r="CC63" s="58">
        <f t="shared" si="94"/>
        <v>32260.226972643166</v>
      </c>
      <c r="CD63" s="58">
        <f t="shared" si="94"/>
        <v>33331.522972643164</v>
      </c>
      <c r="CE63" s="58">
        <f t="shared" si="94"/>
        <v>35213.881472643166</v>
      </c>
      <c r="CF63" s="58">
        <f t="shared" si="94"/>
        <v>46168.878068556034</v>
      </c>
      <c r="CG63" s="58">
        <f t="shared" si="94"/>
        <v>57905.502691825735</v>
      </c>
      <c r="CH63" s="58">
        <f>SUM(BV63:CG63)</f>
        <v>451302.93078476982</v>
      </c>
      <c r="CI63" s="395">
        <f>(CH63-BT72)/BT72</f>
        <v>5.1833718555945915E-2</v>
      </c>
      <c r="CJ63" s="58">
        <f>BV72*1.03</f>
        <v>40067</v>
      </c>
      <c r="CK63" s="58">
        <f t="shared" ref="CK63:CU63" si="95">BW72*1.03</f>
        <v>32317.280000000002</v>
      </c>
      <c r="CL63" s="58">
        <f t="shared" si="95"/>
        <v>30782.58</v>
      </c>
      <c r="CM63" s="58">
        <f>BY72*1.03</f>
        <v>31591.13</v>
      </c>
      <c r="CN63" s="58">
        <f t="shared" si="95"/>
        <v>35589.590000000004</v>
      </c>
      <c r="CO63" s="58">
        <f t="shared" si="95"/>
        <v>37610.450000000004</v>
      </c>
      <c r="CP63" s="58">
        <f t="shared" si="95"/>
        <v>40082.450000000004</v>
      </c>
      <c r="CQ63" s="58">
        <f t="shared" si="95"/>
        <v>35653.450000000004</v>
      </c>
      <c r="CR63" s="58">
        <f t="shared" si="95"/>
        <v>30505.510000000002</v>
      </c>
      <c r="CS63" s="58">
        <f>CE72*1.03</f>
        <v>35574.14</v>
      </c>
      <c r="CT63" s="58">
        <f t="shared" si="95"/>
        <v>47291.42</v>
      </c>
      <c r="CU63" s="58">
        <f t="shared" si="95"/>
        <v>62701.25</v>
      </c>
      <c r="CV63" s="58">
        <f>SUM(CJ63:CU63)</f>
        <v>459766.25</v>
      </c>
      <c r="CW63" s="758"/>
      <c r="CX63" s="880">
        <v>34000</v>
      </c>
      <c r="CY63" s="880">
        <v>26000</v>
      </c>
      <c r="CZ63" s="880">
        <v>27000</v>
      </c>
      <c r="DA63" s="880">
        <v>27000</v>
      </c>
      <c r="DB63" s="880">
        <v>29000</v>
      </c>
      <c r="DC63" s="880">
        <v>32772.54</v>
      </c>
      <c r="DD63" s="880">
        <v>34046.649999999994</v>
      </c>
      <c r="DE63" s="880">
        <v>30567.31</v>
      </c>
      <c r="DF63" s="880">
        <v>29170.629999999997</v>
      </c>
      <c r="DG63" s="880">
        <v>33460.786</v>
      </c>
      <c r="DH63" s="880">
        <v>40405.437400000003</v>
      </c>
      <c r="DI63" s="880">
        <v>57291.782700000003</v>
      </c>
      <c r="DJ63" s="58">
        <f>SUM(CX63:DI63)</f>
        <v>400715.1361</v>
      </c>
      <c r="DK63" s="948"/>
      <c r="DL63" s="880">
        <f>CX63</f>
        <v>34000</v>
      </c>
      <c r="DM63" s="880">
        <v>21658.84</v>
      </c>
      <c r="DN63" s="880">
        <v>25209.25</v>
      </c>
      <c r="DO63" s="880">
        <v>27828.54</v>
      </c>
      <c r="DP63" s="880">
        <v>32049.480000000003</v>
      </c>
      <c r="DQ63" s="880">
        <v>32772.54</v>
      </c>
      <c r="DR63" s="880">
        <v>34046.649999999994</v>
      </c>
      <c r="DS63" s="880">
        <v>30567.31</v>
      </c>
      <c r="DT63" s="880">
        <v>29170.629999999997</v>
      </c>
      <c r="DU63" s="880">
        <v>33460.786</v>
      </c>
      <c r="DV63" s="880">
        <v>40405.437400000003</v>
      </c>
      <c r="DW63" s="880">
        <v>57291.782700000003</v>
      </c>
      <c r="DX63" s="58">
        <f>SUM(DL63:DW63)</f>
        <v>398461.24609999999</v>
      </c>
    </row>
    <row r="64" spans="1:128" ht="18.75" hidden="1">
      <c r="A64" s="99"/>
      <c r="B64" s="929" t="s">
        <v>73</v>
      </c>
      <c r="C64" s="930"/>
      <c r="D64" s="301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302"/>
      <c r="Q64" s="74"/>
      <c r="R64" s="301"/>
      <c r="S64" s="69"/>
      <c r="T64" s="69"/>
      <c r="U64" s="69"/>
      <c r="V64" s="303"/>
      <c r="W64" s="304"/>
      <c r="X64" s="304"/>
      <c r="Y64" s="304"/>
      <c r="Z64" s="304"/>
      <c r="AA64" s="304"/>
      <c r="AB64" s="304"/>
      <c r="AC64" s="75"/>
      <c r="AD64" s="76"/>
      <c r="AE64" s="77"/>
      <c r="AF64" s="305"/>
      <c r="AG64" s="69"/>
      <c r="AH64" s="69"/>
      <c r="AI64" s="69"/>
      <c r="AJ64" s="303"/>
      <c r="AK64" s="303"/>
      <c r="AL64" s="303"/>
      <c r="AM64" s="303"/>
      <c r="AN64" s="69"/>
      <c r="AO64" s="69"/>
      <c r="AP64" s="69"/>
      <c r="AQ64" s="69"/>
      <c r="AR64" s="306"/>
      <c r="AS64" s="77"/>
      <c r="AT64" s="69"/>
      <c r="AU64" s="69"/>
      <c r="AV64" s="69"/>
      <c r="AW64" s="69"/>
      <c r="AX64" s="69"/>
      <c r="AY64" s="69">
        <v>15000</v>
      </c>
      <c r="AZ64" s="69">
        <v>15000</v>
      </c>
      <c r="BA64" s="69">
        <f t="shared" ref="BA64:BB64" si="96">BA63*70%</f>
        <v>21802.199999999997</v>
      </c>
      <c r="BB64" s="69">
        <f t="shared" si="96"/>
        <v>22841</v>
      </c>
      <c r="BC64" s="69">
        <v>35000</v>
      </c>
      <c r="BD64" s="69">
        <v>35000</v>
      </c>
      <c r="BE64" s="69">
        <v>42000</v>
      </c>
      <c r="BF64" s="69">
        <f t="shared" si="78"/>
        <v>186643.20000000001</v>
      </c>
      <c r="BG64" s="77"/>
      <c r="BH64" s="69">
        <f t="shared" ref="BH64:BM64" si="97">BH63*0.8</f>
        <v>28922.400000000001</v>
      </c>
      <c r="BI64" s="69">
        <f t="shared" si="97"/>
        <v>28231.200000000001</v>
      </c>
      <c r="BJ64" s="69">
        <f t="shared" si="97"/>
        <v>28697.600000000002</v>
      </c>
      <c r="BK64" s="69">
        <f t="shared" si="97"/>
        <v>30424.800000000003</v>
      </c>
      <c r="BL64" s="69">
        <f t="shared" si="97"/>
        <v>30856</v>
      </c>
      <c r="BM64" s="69">
        <f t="shared" si="97"/>
        <v>31381.600000000002</v>
      </c>
      <c r="BN64" s="69">
        <f>BN63*0.85</f>
        <v>34958.799999999996</v>
      </c>
      <c r="BO64" s="69">
        <v>29000</v>
      </c>
      <c r="BP64" s="69">
        <v>40223</v>
      </c>
      <c r="BQ64" s="69">
        <v>36735</v>
      </c>
      <c r="BR64" s="69">
        <v>36933</v>
      </c>
      <c r="BS64" s="69">
        <v>52283</v>
      </c>
      <c r="BT64" s="69">
        <f t="shared" si="93"/>
        <v>408646.40000000002</v>
      </c>
      <c r="BU64" s="28"/>
      <c r="BV64" s="69">
        <v>32000</v>
      </c>
      <c r="BW64" s="69">
        <v>32000</v>
      </c>
      <c r="BX64" s="69">
        <v>37000</v>
      </c>
      <c r="BY64" s="69">
        <v>32000</v>
      </c>
      <c r="BZ64" s="69">
        <v>35000</v>
      </c>
      <c r="CA64" s="69">
        <v>35000</v>
      </c>
      <c r="CB64" s="69">
        <v>35000</v>
      </c>
      <c r="CC64" s="69">
        <f>CC63*1</f>
        <v>32260.226972643166</v>
      </c>
      <c r="CD64" s="69">
        <f>CD63*1</f>
        <v>33331.522972643164</v>
      </c>
      <c r="CE64" s="69">
        <f>CE63</f>
        <v>35213.881472643166</v>
      </c>
      <c r="CF64" s="69">
        <v>40000</v>
      </c>
      <c r="CG64" s="69">
        <v>60000</v>
      </c>
      <c r="CH64" s="69"/>
      <c r="CI64" s="395"/>
      <c r="CJ64" s="69">
        <v>32000</v>
      </c>
      <c r="CK64" s="69">
        <v>30000</v>
      </c>
      <c r="CL64" s="69">
        <v>31500</v>
      </c>
      <c r="CM64" s="69">
        <v>32000</v>
      </c>
      <c r="CN64" s="69">
        <v>45000</v>
      </c>
      <c r="CO64" s="69">
        <v>35000</v>
      </c>
      <c r="CP64" s="69">
        <v>36000</v>
      </c>
      <c r="CQ64" s="69">
        <v>35000</v>
      </c>
      <c r="CR64" s="69">
        <v>35000</v>
      </c>
      <c r="CS64" s="69">
        <v>40000</v>
      </c>
      <c r="CT64" s="69">
        <v>51000</v>
      </c>
      <c r="CU64" s="69">
        <v>60000</v>
      </c>
      <c r="CV64" s="69">
        <f>SUM(CJ64:CU64)</f>
        <v>462500</v>
      </c>
      <c r="CW64" s="758"/>
      <c r="CX64" s="881">
        <v>28638.329978114532</v>
      </c>
      <c r="CY64" s="881">
        <v>21814.831034278017</v>
      </c>
      <c r="CZ64" s="881">
        <v>27486.135065787566</v>
      </c>
      <c r="DA64" s="881">
        <v>23701.566634278021</v>
      </c>
      <c r="DB64" s="881">
        <v>27311.297065787567</v>
      </c>
      <c r="DC64" s="881">
        <v>31603.10557811453</v>
      </c>
      <c r="DD64" s="881">
        <v>36583.069528806656</v>
      </c>
      <c r="DE64" s="881">
        <v>25808.181578114534</v>
      </c>
      <c r="DF64" s="881">
        <v>26665.218378114532</v>
      </c>
      <c r="DG64" s="881">
        <v>28171.105178114536</v>
      </c>
      <c r="DH64" s="881">
        <v>36935.102454844826</v>
      </c>
      <c r="DI64" s="881">
        <v>46324.402153460593</v>
      </c>
      <c r="DJ64" s="69"/>
      <c r="DK64" s="948"/>
      <c r="DL64" s="881">
        <v>28638.329978114532</v>
      </c>
      <c r="DM64" s="881">
        <v>21814.831034278017</v>
      </c>
      <c r="DN64" s="881">
        <v>27486.135065787566</v>
      </c>
      <c r="DO64" s="881">
        <v>23701.566634278021</v>
      </c>
      <c r="DP64" s="881">
        <v>27311.297065787567</v>
      </c>
      <c r="DQ64" s="881">
        <v>31603.10557811453</v>
      </c>
      <c r="DR64" s="881">
        <v>36583.069528806656</v>
      </c>
      <c r="DS64" s="881">
        <v>25808.181578114534</v>
      </c>
      <c r="DT64" s="881">
        <v>26665.218378114532</v>
      </c>
      <c r="DU64" s="881">
        <v>28171.105178114536</v>
      </c>
      <c r="DV64" s="881">
        <v>36935.102454844826</v>
      </c>
      <c r="DW64" s="881">
        <v>46324.402153460593</v>
      </c>
      <c r="DX64" s="69"/>
    </row>
    <row r="65" spans="1:128" ht="14.25" hidden="1" customHeight="1">
      <c r="A65" s="55" t="s">
        <v>74</v>
      </c>
      <c r="B65" s="56"/>
      <c r="C65" s="280"/>
      <c r="D65" s="288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289"/>
      <c r="Q65" s="39"/>
      <c r="R65" s="288"/>
      <c r="S65" s="58"/>
      <c r="T65" s="58"/>
      <c r="U65" s="58"/>
      <c r="V65" s="58"/>
      <c r="W65" s="290"/>
      <c r="X65" s="290"/>
      <c r="Y65" s="290"/>
      <c r="Z65" s="290"/>
      <c r="AA65" s="290"/>
      <c r="AB65" s="290"/>
      <c r="AC65" s="290"/>
      <c r="AD65" s="291"/>
      <c r="AE65" s="59"/>
      <c r="AF65" s="292"/>
      <c r="AG65" s="58"/>
      <c r="AH65" s="58"/>
      <c r="AI65" s="58"/>
      <c r="AJ65" s="58"/>
      <c r="AK65" s="58"/>
      <c r="AL65" s="58">
        <f>AL63/AVERAGE($AF$63:$AQ$63)</f>
        <v>1.2614511225503295</v>
      </c>
      <c r="AM65" s="58"/>
      <c r="AN65" s="58"/>
      <c r="AO65" s="58"/>
      <c r="AP65" s="58">
        <f t="shared" ref="AP65:AQ65" si="98">AP63/AVERAGE($AF$63:$AQ$63)</f>
        <v>1.2293854585238704</v>
      </c>
      <c r="AQ65" s="58">
        <f t="shared" si="98"/>
        <v>1.6468441033966412</v>
      </c>
      <c r="AR65" s="58"/>
      <c r="AS65" s="59"/>
      <c r="AT65" s="58">
        <v>109190</v>
      </c>
      <c r="AU65" s="58">
        <v>153667</v>
      </c>
      <c r="AV65" s="58">
        <v>178778</v>
      </c>
      <c r="AW65" s="58">
        <v>151970</v>
      </c>
      <c r="AX65" s="58">
        <v>142416</v>
      </c>
      <c r="AY65" s="58">
        <v>177335</v>
      </c>
      <c r="AZ65" s="58">
        <v>152230</v>
      </c>
      <c r="BA65" s="58">
        <v>245527</v>
      </c>
      <c r="BB65" s="58">
        <f>5261504/27</f>
        <v>194870.51851851851</v>
      </c>
      <c r="BC65" s="58">
        <f>5784000/27</f>
        <v>214222.22222222222</v>
      </c>
      <c r="BD65" s="58">
        <f>3224000/27</f>
        <v>119407.4074074074</v>
      </c>
      <c r="BE65" s="58">
        <f>909800/27</f>
        <v>33696.296296296299</v>
      </c>
      <c r="BF65" s="58">
        <f t="shared" si="78"/>
        <v>1873309.4444444445</v>
      </c>
      <c r="BG65" s="59"/>
      <c r="BH65" s="58">
        <v>156208</v>
      </c>
      <c r="BI65" s="58">
        <v>147340</v>
      </c>
      <c r="BJ65" s="58">
        <v>166759</v>
      </c>
      <c r="BK65" s="58">
        <v>152352</v>
      </c>
      <c r="BL65" s="58">
        <v>128446</v>
      </c>
      <c r="BM65" s="58">
        <v>126790</v>
      </c>
      <c r="BN65" s="58">
        <v>173761</v>
      </c>
      <c r="BO65" s="58">
        <f>144510.599073001+BO64</f>
        <v>173510.59907300101</v>
      </c>
      <c r="BP65" s="58">
        <f>162574.422556972+BP64</f>
        <v>202797.42255697199</v>
      </c>
      <c r="BQ65" s="58">
        <f>166187.186558517+BQ64</f>
        <v>202922.18655851699</v>
      </c>
      <c r="BR65" s="58">
        <f>BQ39+BR35*0.6</f>
        <v>232502.36</v>
      </c>
      <c r="BS65" s="58">
        <f>BR35*0.4+BS35*0.5</f>
        <v>116391.04000000001</v>
      </c>
      <c r="BT65" s="58">
        <f t="shared" si="93"/>
        <v>1979779.6081884899</v>
      </c>
      <c r="BU65" s="60"/>
      <c r="BV65" s="58">
        <f t="shared" ref="BV65:CC65" si="99">BV39+BV64</f>
        <v>162757.867486095</v>
      </c>
      <c r="BW65" s="58">
        <f t="shared" si="99"/>
        <v>157566.83045180296</v>
      </c>
      <c r="BX65" s="58">
        <f t="shared" si="99"/>
        <v>197961.53846153844</v>
      </c>
      <c r="BY65" s="58">
        <f t="shared" si="99"/>
        <v>160769.23076923078</v>
      </c>
      <c r="BZ65" s="58">
        <f t="shared" si="99"/>
        <v>153232.39341785663</v>
      </c>
      <c r="CA65" s="58">
        <f t="shared" si="99"/>
        <v>143192.12910096842</v>
      </c>
      <c r="CB65" s="58">
        <f t="shared" si="99"/>
        <v>178736.21444761599</v>
      </c>
      <c r="CC65" s="58">
        <f t="shared" si="99"/>
        <v>202914.10079748323</v>
      </c>
      <c r="CD65" s="58">
        <f>CD39+CD64</f>
        <v>214499.61628422557</v>
      </c>
      <c r="CE65" s="58">
        <f>CE39+CE64</f>
        <v>217682.99793575107</v>
      </c>
      <c r="CF65" s="58">
        <f>CF39+CF64</f>
        <v>173115.84223630186</v>
      </c>
      <c r="CG65" s="58">
        <f t="shared" ref="CG65" si="100">BS65</f>
        <v>116391.04000000001</v>
      </c>
      <c r="CH65" s="58"/>
      <c r="CJ65" s="58">
        <f>CJ39+CJ64</f>
        <v>161344.16697726428</v>
      </c>
      <c r="CK65" s="58">
        <f t="shared" ref="CK65:CU65" si="101">CK39+CK64</f>
        <v>180873.49981364145</v>
      </c>
      <c r="CL65" s="58">
        <f t="shared" si="101"/>
        <v>172879.05329854641</v>
      </c>
      <c r="CM65" s="58">
        <f t="shared" si="101"/>
        <v>168578.1587774879</v>
      </c>
      <c r="CN65" s="58">
        <f t="shared" si="101"/>
        <v>181291.91203876259</v>
      </c>
      <c r="CO65" s="58">
        <f t="shared" si="101"/>
        <v>138386.95490122997</v>
      </c>
      <c r="CP65" s="58">
        <f t="shared" si="101"/>
        <v>217610.97046413503</v>
      </c>
      <c r="CQ65" s="58">
        <f>CQ39+CQ64</f>
        <v>234329.11392405062</v>
      </c>
      <c r="CR65" s="58">
        <f t="shared" si="101"/>
        <v>269765.40084388189</v>
      </c>
      <c r="CS65" s="58">
        <f t="shared" si="101"/>
        <v>257806.7510548523</v>
      </c>
      <c r="CT65" s="58">
        <f>CT39+CT64</f>
        <v>185135.02109704641</v>
      </c>
      <c r="CU65" s="58">
        <f t="shared" si="101"/>
        <v>111311.39240506329</v>
      </c>
      <c r="CV65" s="58">
        <f>SUM(CJ65:CU65)</f>
        <v>2279312.3955959622</v>
      </c>
      <c r="CW65" s="758"/>
      <c r="CX65" s="880">
        <v>98000</v>
      </c>
      <c r="CY65" s="880">
        <v>147381.66148608096</v>
      </c>
      <c r="CZ65" s="880">
        <v>188447.673527326</v>
      </c>
      <c r="DA65" s="880">
        <v>152352</v>
      </c>
      <c r="DB65" s="880">
        <v>177308</v>
      </c>
      <c r="DC65" s="880">
        <v>126790</v>
      </c>
      <c r="DD65" s="880">
        <v>173761</v>
      </c>
      <c r="DE65" s="880">
        <v>173510.59907300101</v>
      </c>
      <c r="DF65" s="880">
        <v>202797.42255697199</v>
      </c>
      <c r="DG65" s="880">
        <v>202922.18655851699</v>
      </c>
      <c r="DH65" s="880">
        <v>232502.36</v>
      </c>
      <c r="DI65" s="880">
        <v>116391.04000000001</v>
      </c>
      <c r="DJ65" s="58"/>
      <c r="DK65" s="948"/>
      <c r="DL65" s="880">
        <v>98000</v>
      </c>
      <c r="DM65" s="880">
        <v>147381.66148608096</v>
      </c>
      <c r="DN65" s="880">
        <v>188447.673527326</v>
      </c>
      <c r="DO65" s="880">
        <v>152352</v>
      </c>
      <c r="DP65" s="880">
        <v>128446</v>
      </c>
      <c r="DQ65" s="880">
        <v>126790</v>
      </c>
      <c r="DR65" s="880">
        <v>173761</v>
      </c>
      <c r="DS65" s="880">
        <v>173510.59907300101</v>
      </c>
      <c r="DT65" s="880">
        <v>202797.42255697199</v>
      </c>
      <c r="DU65" s="880">
        <v>202922.18655851699</v>
      </c>
      <c r="DV65" s="880">
        <v>232502.36</v>
      </c>
      <c r="DW65" s="880">
        <v>116391.04000000001</v>
      </c>
      <c r="DX65" s="58"/>
    </row>
    <row r="66" spans="1:128" ht="18.75" hidden="1">
      <c r="A66" s="101" t="s">
        <v>75</v>
      </c>
      <c r="B66" s="931"/>
      <c r="C66" s="909"/>
      <c r="D66" s="277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262"/>
      <c r="Q66" s="15"/>
      <c r="R66" s="277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263"/>
      <c r="AE66" s="16"/>
      <c r="AF66" s="261">
        <v>133791</v>
      </c>
      <c r="AG66" s="14">
        <v>166459</v>
      </c>
      <c r="AH66" s="14">
        <v>149450</v>
      </c>
      <c r="AI66" s="14">
        <v>151073</v>
      </c>
      <c r="AJ66" s="14">
        <v>192944</v>
      </c>
      <c r="AK66" s="14">
        <v>166139</v>
      </c>
      <c r="AL66" s="14">
        <v>151874</v>
      </c>
      <c r="AM66" s="14">
        <v>157771</v>
      </c>
      <c r="AN66" s="14">
        <v>200312</v>
      </c>
      <c r="AO66" s="14">
        <v>202691</v>
      </c>
      <c r="AP66" s="14">
        <v>207768</v>
      </c>
      <c r="AQ66" s="14">
        <v>113286</v>
      </c>
      <c r="AR66" s="14">
        <f>SUM(AF66:AK66)</f>
        <v>959856</v>
      </c>
      <c r="AS66" s="17"/>
      <c r="AT66" s="14">
        <v>89680</v>
      </c>
      <c r="AU66" s="14">
        <v>128308</v>
      </c>
      <c r="AV66" s="14">
        <v>144871</v>
      </c>
      <c r="AW66" s="32">
        <v>161772</v>
      </c>
      <c r="AX66" s="32">
        <v>144516</v>
      </c>
      <c r="AY66" s="32">
        <v>103667</v>
      </c>
      <c r="AZ66" s="32">
        <v>141023</v>
      </c>
      <c r="BA66" s="32">
        <v>172093</v>
      </c>
      <c r="BB66" s="32">
        <f>166606+10000</f>
        <v>176606</v>
      </c>
      <c r="BC66" s="32">
        <v>181091</v>
      </c>
      <c r="BD66" s="32">
        <v>169802</v>
      </c>
      <c r="BE66" s="32">
        <v>120406</v>
      </c>
      <c r="BF66" s="32">
        <f t="shared" si="78"/>
        <v>1733835</v>
      </c>
      <c r="BG66" s="17">
        <f>BG63/AR63</f>
        <v>9.9910256474894502E-2</v>
      </c>
      <c r="BH66" s="14">
        <v>78906</v>
      </c>
      <c r="BI66" s="14">
        <v>119296</v>
      </c>
      <c r="BJ66" s="14">
        <v>165286</v>
      </c>
      <c r="BK66" s="14">
        <v>144532</v>
      </c>
      <c r="BL66" s="32">
        <v>157691</v>
      </c>
      <c r="BM66" s="32">
        <v>129096</v>
      </c>
      <c r="BN66" s="32">
        <v>125800</v>
      </c>
      <c r="BO66" s="32">
        <v>176354</v>
      </c>
      <c r="BP66" s="32">
        <v>173554</v>
      </c>
      <c r="BQ66" s="32">
        <v>185766</v>
      </c>
      <c r="BR66" s="32"/>
      <c r="BS66" s="32"/>
      <c r="BT66" s="32">
        <f t="shared" si="93"/>
        <v>1456281</v>
      </c>
      <c r="BU66" s="28"/>
      <c r="BV66" s="14"/>
      <c r="BW66" s="14"/>
      <c r="BX66" s="14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J66" s="14"/>
      <c r="CK66" s="14"/>
      <c r="CL66" s="14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758"/>
      <c r="CX66" s="873"/>
      <c r="CY66" s="873"/>
      <c r="CZ66" s="873"/>
      <c r="DA66" s="872"/>
      <c r="DB66" s="872"/>
      <c r="DC66" s="872"/>
      <c r="DD66" s="872"/>
      <c r="DE66" s="872"/>
      <c r="DF66" s="872"/>
      <c r="DG66" s="872"/>
      <c r="DH66" s="872"/>
      <c r="DI66" s="872"/>
      <c r="DJ66" s="32"/>
      <c r="DK66" s="948"/>
      <c r="DL66" s="873"/>
      <c r="DM66" s="873"/>
      <c r="DN66" s="873"/>
      <c r="DO66" s="872"/>
      <c r="DP66" s="872"/>
      <c r="DQ66" s="872"/>
      <c r="DR66" s="872"/>
      <c r="DS66" s="872"/>
      <c r="DT66" s="872"/>
      <c r="DU66" s="872"/>
      <c r="DV66" s="872"/>
      <c r="DW66" s="872"/>
      <c r="DX66" s="32"/>
    </row>
    <row r="67" spans="1:128" ht="18.75" hidden="1">
      <c r="A67" s="103"/>
      <c r="B67" s="932" t="s">
        <v>76</v>
      </c>
      <c r="C67" s="933"/>
      <c r="D67" s="331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332"/>
      <c r="Q67" s="105"/>
      <c r="R67" s="333"/>
      <c r="S67" s="333"/>
      <c r="T67" s="333"/>
      <c r="U67" s="333"/>
      <c r="V67" s="333"/>
      <c r="W67" s="333"/>
      <c r="X67" s="333"/>
      <c r="Y67" s="333"/>
      <c r="Z67" s="333"/>
      <c r="AA67" s="333"/>
      <c r="AB67" s="333"/>
      <c r="AC67" s="333"/>
      <c r="AD67" s="334"/>
      <c r="AE67" s="106"/>
      <c r="AF67" s="333">
        <f t="shared" ref="AF67:AQ67" si="102">AF66-AF33</f>
        <v>133789.5653258567</v>
      </c>
      <c r="AG67" s="333">
        <f t="shared" si="102"/>
        <v>166455.02546723894</v>
      </c>
      <c r="AH67" s="333">
        <f t="shared" si="102"/>
        <v>149445.54627453614</v>
      </c>
      <c r="AI67" s="333">
        <f t="shared" si="102"/>
        <v>151069.82181047046</v>
      </c>
      <c r="AJ67" s="333">
        <f t="shared" si="102"/>
        <v>192941.24487749056</v>
      </c>
      <c r="AK67" s="333">
        <f t="shared" si="102"/>
        <v>166135.77020296719</v>
      </c>
      <c r="AL67" s="333">
        <f t="shared" si="102"/>
        <v>151871.64243647002</v>
      </c>
      <c r="AM67" s="333">
        <f t="shared" si="102"/>
        <v>157768.8586839418</v>
      </c>
      <c r="AN67" s="333">
        <f t="shared" si="102"/>
        <v>200310.09576397031</v>
      </c>
      <c r="AO67" s="333">
        <f t="shared" si="102"/>
        <v>202687.83135883085</v>
      </c>
      <c r="AP67" s="333">
        <f t="shared" si="102"/>
        <v>207762.85122649223</v>
      </c>
      <c r="AQ67" s="333">
        <f t="shared" si="102"/>
        <v>113282.51926932538</v>
      </c>
      <c r="AR67" s="107">
        <f t="shared" ref="AR67:AR75" si="103">SUM(AF67:AQ67)</f>
        <v>1993520.772697591</v>
      </c>
      <c r="AS67" s="106"/>
      <c r="AT67" s="333">
        <f t="shared" ref="AT67:BE67" si="104">AT66-AT65</f>
        <v>-19510</v>
      </c>
      <c r="AU67" s="333">
        <f t="shared" si="104"/>
        <v>-25359</v>
      </c>
      <c r="AV67" s="333">
        <f t="shared" si="104"/>
        <v>-33907</v>
      </c>
      <c r="AW67" s="333">
        <f t="shared" si="104"/>
        <v>9802</v>
      </c>
      <c r="AX67" s="333">
        <f t="shared" si="104"/>
        <v>2100</v>
      </c>
      <c r="AY67" s="333">
        <f t="shared" si="104"/>
        <v>-73668</v>
      </c>
      <c r="AZ67" s="333">
        <f t="shared" si="104"/>
        <v>-11207</v>
      </c>
      <c r="BA67" s="333">
        <f t="shared" si="104"/>
        <v>-73434</v>
      </c>
      <c r="BB67" s="333">
        <f t="shared" si="104"/>
        <v>-18264.518518518511</v>
      </c>
      <c r="BC67" s="333">
        <f t="shared" si="104"/>
        <v>-33131.222222222219</v>
      </c>
      <c r="BD67" s="333">
        <f t="shared" si="104"/>
        <v>50394.592592592599</v>
      </c>
      <c r="BE67" s="333">
        <f t="shared" si="104"/>
        <v>86709.703703703708</v>
      </c>
      <c r="BF67" s="108">
        <f t="shared" si="78"/>
        <v>-139474.44444444444</v>
      </c>
      <c r="BG67" s="106"/>
      <c r="BH67" s="333">
        <f t="shared" ref="BH67:BQ67" si="105">BH66-BH65</f>
        <v>-77302</v>
      </c>
      <c r="BI67" s="333">
        <f t="shared" si="105"/>
        <v>-28044</v>
      </c>
      <c r="BJ67" s="333">
        <f t="shared" si="105"/>
        <v>-1473</v>
      </c>
      <c r="BK67" s="333">
        <f t="shared" si="105"/>
        <v>-7820</v>
      </c>
      <c r="BL67" s="333">
        <f t="shared" si="105"/>
        <v>29245</v>
      </c>
      <c r="BM67" s="333">
        <f t="shared" si="105"/>
        <v>2306</v>
      </c>
      <c r="BN67" s="333">
        <f t="shared" si="105"/>
        <v>-47961</v>
      </c>
      <c r="BO67" s="333">
        <f t="shared" si="105"/>
        <v>2843.4009269989911</v>
      </c>
      <c r="BP67" s="333">
        <f t="shared" si="105"/>
        <v>-29243.422556971986</v>
      </c>
      <c r="BQ67" s="333">
        <f t="shared" si="105"/>
        <v>-17156.186558516987</v>
      </c>
      <c r="BR67" s="108"/>
      <c r="BS67" s="108"/>
      <c r="BT67" s="108">
        <f t="shared" si="93"/>
        <v>-174605.20818848998</v>
      </c>
      <c r="BU67" s="28"/>
      <c r="BV67" s="333"/>
      <c r="BW67" s="333"/>
      <c r="BX67" s="333"/>
      <c r="BY67" s="333"/>
      <c r="BZ67" s="108"/>
      <c r="CA67" s="108"/>
      <c r="CB67" s="108"/>
      <c r="CC67" s="108"/>
      <c r="CD67" s="108"/>
      <c r="CE67" s="108"/>
      <c r="CF67" s="108"/>
      <c r="CG67" s="108"/>
      <c r="CH67" s="108"/>
      <c r="CJ67" s="333"/>
      <c r="CK67" s="333"/>
      <c r="CL67" s="333"/>
      <c r="CM67" s="333"/>
      <c r="CN67" s="108"/>
      <c r="CO67" s="108"/>
      <c r="CP67" s="108"/>
      <c r="CQ67" s="108"/>
      <c r="CR67" s="108"/>
      <c r="CS67" s="108"/>
      <c r="CT67" s="108"/>
      <c r="CU67" s="108"/>
      <c r="CV67" s="108"/>
      <c r="CW67" s="758"/>
      <c r="CX67" s="892"/>
      <c r="CY67" s="892"/>
      <c r="CZ67" s="892"/>
      <c r="DA67" s="892"/>
      <c r="DB67" s="893"/>
      <c r="DC67" s="893"/>
      <c r="DD67" s="893"/>
      <c r="DE67" s="893"/>
      <c r="DF67" s="893"/>
      <c r="DG67" s="893"/>
      <c r="DH67" s="893"/>
      <c r="DI67" s="893"/>
      <c r="DJ67" s="108"/>
      <c r="DK67" s="948"/>
      <c r="DL67" s="892"/>
      <c r="DM67" s="892"/>
      <c r="DN67" s="892"/>
      <c r="DO67" s="892"/>
      <c r="DP67" s="893"/>
      <c r="DQ67" s="893"/>
      <c r="DR67" s="893"/>
      <c r="DS67" s="893"/>
      <c r="DT67" s="893"/>
      <c r="DU67" s="893"/>
      <c r="DV67" s="893"/>
      <c r="DW67" s="893"/>
      <c r="DX67" s="108"/>
    </row>
    <row r="68" spans="1:128" ht="15.75" hidden="1" customHeight="1">
      <c r="A68" s="94">
        <v>5</v>
      </c>
      <c r="B68" s="921" t="s">
        <v>77</v>
      </c>
      <c r="C68" s="934"/>
      <c r="D68" s="313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>
        <v>0</v>
      </c>
      <c r="P68" s="314">
        <f>SUM(D68:O68)</f>
        <v>0</v>
      </c>
      <c r="Q68" s="90"/>
      <c r="R68" s="313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315">
        <f>SUM(R68:AC68)</f>
        <v>0</v>
      </c>
      <c r="AE68" s="23"/>
      <c r="AF68" s="316">
        <v>0</v>
      </c>
      <c r="AG68" s="91">
        <v>0</v>
      </c>
      <c r="AH68" s="91">
        <v>0</v>
      </c>
      <c r="AI68" s="91">
        <v>0</v>
      </c>
      <c r="AJ68" s="91">
        <v>0</v>
      </c>
      <c r="AK68" s="91">
        <v>0</v>
      </c>
      <c r="AL68" s="91">
        <v>0</v>
      </c>
      <c r="AM68" s="91">
        <v>0</v>
      </c>
      <c r="AN68" s="91">
        <v>0</v>
      </c>
      <c r="AO68" s="91">
        <v>0</v>
      </c>
      <c r="AP68" s="91"/>
      <c r="AQ68" s="91">
        <v>8938</v>
      </c>
      <c r="AR68" s="92">
        <f t="shared" si="103"/>
        <v>8938</v>
      </c>
      <c r="AS68" s="23"/>
      <c r="AT68" s="91">
        <v>106642</v>
      </c>
      <c r="AU68" s="91">
        <v>90699</v>
      </c>
      <c r="AV68" s="91">
        <v>89681</v>
      </c>
      <c r="AW68" s="91">
        <v>58790</v>
      </c>
      <c r="AX68" s="91">
        <v>35520</v>
      </c>
      <c r="AY68" s="91">
        <v>61551</v>
      </c>
      <c r="AZ68" s="91">
        <v>71511</v>
      </c>
      <c r="BA68" s="91">
        <v>63617</v>
      </c>
      <c r="BB68" s="91">
        <v>66748</v>
      </c>
      <c r="BC68" s="91">
        <v>75532</v>
      </c>
      <c r="BD68" s="91">
        <v>37786</v>
      </c>
      <c r="BE68" s="91">
        <v>4503</v>
      </c>
      <c r="BF68" s="91">
        <f t="shared" si="78"/>
        <v>762580</v>
      </c>
      <c r="BG68" s="27"/>
      <c r="BH68" s="91">
        <v>69404</v>
      </c>
      <c r="BI68" s="91">
        <v>80412</v>
      </c>
      <c r="BJ68" s="91">
        <v>94386</v>
      </c>
      <c r="BK68" s="91">
        <v>78313</v>
      </c>
      <c r="BL68" s="91">
        <v>47034</v>
      </c>
      <c r="BM68" s="91">
        <v>50851</v>
      </c>
      <c r="BN68" s="91">
        <v>93202</v>
      </c>
      <c r="BO68" s="91">
        <v>100687</v>
      </c>
      <c r="BP68" s="91">
        <v>127995</v>
      </c>
      <c r="BQ68" s="91">
        <v>122686</v>
      </c>
      <c r="BR68" s="91"/>
      <c r="BS68" s="91"/>
      <c r="BT68" s="91"/>
      <c r="BU68" s="28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758"/>
      <c r="CX68" s="884"/>
      <c r="CY68" s="884"/>
      <c r="CZ68" s="884"/>
      <c r="DA68" s="884"/>
      <c r="DB68" s="884"/>
      <c r="DC68" s="884"/>
      <c r="DD68" s="884"/>
      <c r="DE68" s="884"/>
      <c r="DF68" s="884"/>
      <c r="DG68" s="884"/>
      <c r="DH68" s="884"/>
      <c r="DI68" s="884"/>
      <c r="DJ68" s="91"/>
      <c r="DK68" s="948"/>
      <c r="DL68" s="884"/>
      <c r="DM68" s="884"/>
      <c r="DN68" s="884"/>
      <c r="DO68" s="884"/>
      <c r="DP68" s="884"/>
      <c r="DQ68" s="884"/>
      <c r="DR68" s="884"/>
      <c r="DS68" s="884"/>
      <c r="DT68" s="884"/>
      <c r="DU68" s="884"/>
      <c r="DV68" s="884"/>
      <c r="DW68" s="884"/>
      <c r="DX68" s="91"/>
    </row>
    <row r="69" spans="1:128" ht="18.75" hidden="1">
      <c r="A69" s="13" t="s">
        <v>78</v>
      </c>
      <c r="B69" s="908"/>
      <c r="C69" s="909"/>
      <c r="D69" s="277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262"/>
      <c r="Q69" s="15"/>
      <c r="R69" s="277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263"/>
      <c r="AE69" s="16"/>
      <c r="AF69" s="261">
        <f t="shared" ref="AF69:AQ69" si="106">AF70+AF72</f>
        <v>118364</v>
      </c>
      <c r="AG69" s="261">
        <f t="shared" si="106"/>
        <v>173742</v>
      </c>
      <c r="AH69" s="261">
        <f t="shared" si="106"/>
        <v>73470</v>
      </c>
      <c r="AI69" s="261">
        <f t="shared" si="106"/>
        <v>87377</v>
      </c>
      <c r="AJ69" s="261">
        <f t="shared" si="106"/>
        <v>119657</v>
      </c>
      <c r="AK69" s="261">
        <f t="shared" si="106"/>
        <v>154747</v>
      </c>
      <c r="AL69" s="261">
        <f t="shared" si="106"/>
        <v>138073</v>
      </c>
      <c r="AM69" s="261">
        <f t="shared" si="106"/>
        <v>180773</v>
      </c>
      <c r="AN69" s="261">
        <f t="shared" si="106"/>
        <v>194598</v>
      </c>
      <c r="AO69" s="261">
        <f t="shared" si="106"/>
        <v>242931</v>
      </c>
      <c r="AP69" s="261">
        <f t="shared" si="106"/>
        <v>107346</v>
      </c>
      <c r="AQ69" s="261">
        <f t="shared" si="106"/>
        <v>87384</v>
      </c>
      <c r="AR69" s="14">
        <f t="shared" si="103"/>
        <v>1678462</v>
      </c>
      <c r="AS69" s="17"/>
      <c r="AT69" s="261">
        <f t="shared" ref="AT69:BE69" si="107">AT70+AT72</f>
        <v>155346</v>
      </c>
      <c r="AU69" s="261">
        <f t="shared" si="107"/>
        <v>123370</v>
      </c>
      <c r="AV69" s="261">
        <f t="shared" si="107"/>
        <v>144065</v>
      </c>
      <c r="AW69" s="261">
        <f t="shared" si="107"/>
        <v>127865</v>
      </c>
      <c r="AX69" s="261">
        <f t="shared" si="107"/>
        <v>123461</v>
      </c>
      <c r="AY69" s="261">
        <f t="shared" si="107"/>
        <v>121196</v>
      </c>
      <c r="AZ69" s="261">
        <f t="shared" si="107"/>
        <v>168029</v>
      </c>
      <c r="BA69" s="261">
        <f t="shared" si="107"/>
        <v>164268</v>
      </c>
      <c r="BB69" s="261">
        <f t="shared" si="107"/>
        <v>185112</v>
      </c>
      <c r="BC69" s="261">
        <f t="shared" si="107"/>
        <v>147235</v>
      </c>
      <c r="BD69" s="261">
        <f t="shared" si="107"/>
        <v>135608</v>
      </c>
      <c r="BE69" s="261">
        <f t="shared" si="107"/>
        <v>90194</v>
      </c>
      <c r="BF69" s="32">
        <f t="shared" si="78"/>
        <v>1685749</v>
      </c>
      <c r="BG69" s="35">
        <f t="shared" ref="BG69:BG70" si="108">BF69/AR69-1</f>
        <v>4.3414745165515356E-3</v>
      </c>
      <c r="BH69" s="261">
        <f>BH70+BH72</f>
        <v>144332</v>
      </c>
      <c r="BI69" s="261">
        <f t="shared" ref="BI69:BQ69" si="109">BI70+BI72</f>
        <v>128781</v>
      </c>
      <c r="BJ69" s="261">
        <f t="shared" si="109"/>
        <v>193129</v>
      </c>
      <c r="BK69" s="261">
        <f t="shared" si="109"/>
        <v>106092</v>
      </c>
      <c r="BL69" s="261">
        <f t="shared" si="109"/>
        <v>132638</v>
      </c>
      <c r="BM69" s="261">
        <f t="shared" si="109"/>
        <v>139193</v>
      </c>
      <c r="BN69" s="261">
        <f t="shared" si="109"/>
        <v>173703</v>
      </c>
      <c r="BO69" s="261">
        <f t="shared" si="109"/>
        <v>186902</v>
      </c>
      <c r="BP69" s="261">
        <f t="shared" si="109"/>
        <v>200686</v>
      </c>
      <c r="BQ69" s="261">
        <f t="shared" si="109"/>
        <v>191324</v>
      </c>
      <c r="BR69" s="14"/>
      <c r="BS69" s="14"/>
      <c r="BT69" s="14">
        <f t="shared" ref="BT69:BT74" si="110">SUM(BH69:BS69)</f>
        <v>1596780</v>
      </c>
      <c r="BU69" s="18"/>
      <c r="BV69" s="261"/>
      <c r="BW69" s="261"/>
      <c r="BX69" s="261"/>
      <c r="BY69" s="261"/>
      <c r="BZ69" s="14"/>
      <c r="CA69" s="14"/>
      <c r="CB69" s="14"/>
      <c r="CC69" s="14"/>
      <c r="CD69" s="14"/>
      <c r="CE69" s="14"/>
      <c r="CF69" s="14"/>
      <c r="CG69" s="14"/>
      <c r="CH69" s="14"/>
      <c r="CJ69" s="261">
        <f>CJ70+CJ72</f>
        <v>204853</v>
      </c>
      <c r="CK69" s="261">
        <f t="shared" ref="CK69:CM69" si="111">CK70+CK72</f>
        <v>0</v>
      </c>
      <c r="CL69" s="261">
        <f t="shared" si="111"/>
        <v>0</v>
      </c>
      <c r="CM69" s="261">
        <f t="shared" si="111"/>
        <v>0</v>
      </c>
      <c r="CN69" s="14"/>
      <c r="CO69" s="14"/>
      <c r="CP69" s="14"/>
      <c r="CQ69" s="14"/>
      <c r="CR69" s="14"/>
      <c r="CS69" s="14"/>
      <c r="CT69" s="14"/>
      <c r="CU69" s="14"/>
      <c r="CV69" s="14"/>
      <c r="CW69" s="758"/>
      <c r="CX69" s="874"/>
      <c r="CY69" s="874"/>
      <c r="CZ69" s="874"/>
      <c r="DA69" s="874"/>
      <c r="DB69" s="873"/>
      <c r="DC69" s="873"/>
      <c r="DD69" s="873"/>
      <c r="DE69" s="873"/>
      <c r="DF69" s="873"/>
      <c r="DG69" s="873"/>
      <c r="DH69" s="873"/>
      <c r="DI69" s="873"/>
      <c r="DJ69" s="14"/>
      <c r="DK69" s="948"/>
      <c r="DL69" s="874"/>
      <c r="DM69" s="874"/>
      <c r="DN69" s="874"/>
      <c r="DO69" s="874"/>
      <c r="DP69" s="873"/>
      <c r="DQ69" s="873"/>
      <c r="DR69" s="873"/>
      <c r="DS69" s="873"/>
      <c r="DT69" s="873"/>
      <c r="DU69" s="873"/>
      <c r="DV69" s="873"/>
      <c r="DW69" s="873"/>
      <c r="DX69" s="14"/>
    </row>
    <row r="70" spans="1:128" ht="15.75" hidden="1" customHeight="1">
      <c r="A70" s="210"/>
      <c r="B70" s="921" t="s">
        <v>79</v>
      </c>
      <c r="C70" s="890"/>
      <c r="D70" s="313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314"/>
      <c r="Q70" s="90"/>
      <c r="R70" s="313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315"/>
      <c r="AE70" s="23"/>
      <c r="AF70" s="316">
        <v>92193</v>
      </c>
      <c r="AG70" s="91">
        <v>152006</v>
      </c>
      <c r="AH70" s="91">
        <v>62734</v>
      </c>
      <c r="AI70" s="91">
        <v>71526</v>
      </c>
      <c r="AJ70" s="91">
        <v>89409</v>
      </c>
      <c r="AK70" s="91">
        <v>120675</v>
      </c>
      <c r="AL70" s="91">
        <v>100592</v>
      </c>
      <c r="AM70" s="91">
        <v>148128</v>
      </c>
      <c r="AN70" s="91">
        <v>164346</v>
      </c>
      <c r="AO70" s="91">
        <v>203437</v>
      </c>
      <c r="AP70" s="91">
        <v>64957</v>
      </c>
      <c r="AQ70" s="91">
        <v>31837</v>
      </c>
      <c r="AR70" s="92">
        <f t="shared" si="103"/>
        <v>1301840</v>
      </c>
      <c r="AS70" s="23"/>
      <c r="AT70" s="91">
        <v>125048</v>
      </c>
      <c r="AU70" s="91">
        <v>96006</v>
      </c>
      <c r="AV70" s="91">
        <v>111470</v>
      </c>
      <c r="AW70" s="91">
        <v>99222</v>
      </c>
      <c r="AX70" s="91">
        <v>91253</v>
      </c>
      <c r="AY70" s="91">
        <v>90595</v>
      </c>
      <c r="AZ70" s="91">
        <v>129147</v>
      </c>
      <c r="BA70" s="91">
        <v>133525</v>
      </c>
      <c r="BB70" s="91">
        <v>159291</v>
      </c>
      <c r="BC70" s="91">
        <v>115573</v>
      </c>
      <c r="BD70" s="91">
        <v>98386</v>
      </c>
      <c r="BE70" s="91">
        <v>36527</v>
      </c>
      <c r="BF70" s="91">
        <f t="shared" si="78"/>
        <v>1286043</v>
      </c>
      <c r="BG70" s="93">
        <f t="shared" si="108"/>
        <v>-1.2134363669882631E-2</v>
      </c>
      <c r="BH70" s="91">
        <v>110235</v>
      </c>
      <c r="BI70" s="91">
        <v>103047</v>
      </c>
      <c r="BJ70" s="91">
        <v>158855</v>
      </c>
      <c r="BK70" s="91">
        <v>77254</v>
      </c>
      <c r="BL70" s="91">
        <v>99853</v>
      </c>
      <c r="BM70" s="91">
        <v>100723</v>
      </c>
      <c r="BN70" s="91">
        <v>125338</v>
      </c>
      <c r="BO70" s="91">
        <v>153622</v>
      </c>
      <c r="BP70" s="91">
        <v>166483</v>
      </c>
      <c r="BQ70" s="91">
        <v>156140</v>
      </c>
      <c r="BR70" s="91">
        <v>111391</v>
      </c>
      <c r="BS70" s="91">
        <v>26768</v>
      </c>
      <c r="BT70" s="91">
        <f t="shared" si="110"/>
        <v>1389709</v>
      </c>
      <c r="BU70" s="28"/>
      <c r="BV70" s="91">
        <v>128446</v>
      </c>
      <c r="BW70" s="91">
        <v>119229</v>
      </c>
      <c r="BX70" s="91">
        <v>134860</v>
      </c>
      <c r="BY70" s="91">
        <v>111992</v>
      </c>
      <c r="BZ70" s="91">
        <v>102725</v>
      </c>
      <c r="CA70" s="91">
        <v>74472</v>
      </c>
      <c r="CB70" s="91">
        <v>164045</v>
      </c>
      <c r="CC70" s="91">
        <v>148167</v>
      </c>
      <c r="CD70" s="91">
        <v>189715</v>
      </c>
      <c r="CE70" s="91">
        <v>165488</v>
      </c>
      <c r="CF70" s="91">
        <v>103829</v>
      </c>
      <c r="CG70" s="91">
        <v>39967</v>
      </c>
      <c r="CH70" s="91">
        <f t="shared" ref="CH70:CH73" si="112">SUM(BV70:CG70)</f>
        <v>1482935</v>
      </c>
      <c r="CJ70" s="91">
        <v>167136</v>
      </c>
      <c r="CK70" s="91"/>
      <c r="CL70" s="91"/>
      <c r="CM70" s="91"/>
      <c r="CN70" s="91"/>
      <c r="CO70" s="91"/>
      <c r="CP70" s="91"/>
      <c r="CQ70" s="91"/>
      <c r="CR70" s="91"/>
      <c r="CS70" s="91"/>
      <c r="CT70" s="91"/>
      <c r="CU70" s="91"/>
      <c r="CV70" s="91"/>
      <c r="CW70" s="758"/>
      <c r="CX70" s="884">
        <v>54245</v>
      </c>
      <c r="CY70" s="884"/>
      <c r="CZ70" s="884"/>
      <c r="DA70" s="884"/>
      <c r="DB70" s="884"/>
      <c r="DC70" s="884"/>
      <c r="DD70" s="884"/>
      <c r="DE70" s="884"/>
      <c r="DF70" s="884"/>
      <c r="DG70" s="884"/>
      <c r="DH70" s="884"/>
      <c r="DI70" s="884"/>
      <c r="DJ70" s="91"/>
      <c r="DK70" s="948"/>
      <c r="DL70" s="884">
        <v>54245</v>
      </c>
      <c r="DM70" s="884"/>
      <c r="DN70" s="884"/>
      <c r="DO70" s="884"/>
      <c r="DP70" s="884"/>
      <c r="DQ70" s="884"/>
      <c r="DR70" s="884"/>
      <c r="DS70" s="884"/>
      <c r="DT70" s="884"/>
      <c r="DU70" s="884"/>
      <c r="DV70" s="884"/>
      <c r="DW70" s="884"/>
      <c r="DX70" s="91"/>
    </row>
    <row r="71" spans="1:128" ht="18.75" hidden="1">
      <c r="A71" s="103"/>
      <c r="B71" s="932" t="s">
        <v>80</v>
      </c>
      <c r="C71" s="933"/>
      <c r="D71" s="331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332"/>
      <c r="Q71" s="105"/>
      <c r="R71" s="333"/>
      <c r="S71" s="333"/>
      <c r="T71" s="333"/>
      <c r="U71" s="333"/>
      <c r="V71" s="333"/>
      <c r="W71" s="333"/>
      <c r="X71" s="333"/>
      <c r="Y71" s="333"/>
      <c r="Z71" s="333"/>
      <c r="AA71" s="333"/>
      <c r="AB71" s="333"/>
      <c r="AC71" s="333"/>
      <c r="AD71" s="334"/>
      <c r="AE71" s="106"/>
      <c r="AF71" s="333">
        <f t="shared" ref="AF71:AQ71" si="113">AF70-AF39</f>
        <v>2047</v>
      </c>
      <c r="AG71" s="333">
        <f t="shared" si="113"/>
        <v>-3571</v>
      </c>
      <c r="AH71" s="333">
        <f t="shared" si="113"/>
        <v>-219</v>
      </c>
      <c r="AI71" s="333">
        <f t="shared" si="113"/>
        <v>-1735</v>
      </c>
      <c r="AJ71" s="333">
        <f t="shared" si="113"/>
        <v>-2447</v>
      </c>
      <c r="AK71" s="333">
        <f t="shared" si="113"/>
        <v>675</v>
      </c>
      <c r="AL71" s="333">
        <f t="shared" si="113"/>
        <v>-9703</v>
      </c>
      <c r="AM71" s="333">
        <f t="shared" si="113"/>
        <v>-52075</v>
      </c>
      <c r="AN71" s="333">
        <f t="shared" si="113"/>
        <v>-59487.333333333343</v>
      </c>
      <c r="AO71" s="333">
        <f t="shared" si="113"/>
        <v>-15063</v>
      </c>
      <c r="AP71" s="333">
        <f t="shared" si="113"/>
        <v>-23043</v>
      </c>
      <c r="AQ71" s="333">
        <f t="shared" si="113"/>
        <v>-11563</v>
      </c>
      <c r="AR71" s="107">
        <f t="shared" si="103"/>
        <v>-176184.33333333334</v>
      </c>
      <c r="AS71" s="106"/>
      <c r="AT71" s="333">
        <f t="shared" ref="AT71:BE71" si="114">AT70-AT39</f>
        <v>8451.75</v>
      </c>
      <c r="AU71" s="333">
        <f t="shared" si="114"/>
        <v>-37227.103448275855</v>
      </c>
      <c r="AV71" s="333">
        <f t="shared" si="114"/>
        <v>-6779.1379310344782</v>
      </c>
      <c r="AW71" s="333">
        <f t="shared" si="114"/>
        <v>-22342.137931034478</v>
      </c>
      <c r="AX71" s="333">
        <f t="shared" si="114"/>
        <v>4719.0344827586232</v>
      </c>
      <c r="AY71" s="333">
        <f t="shared" si="114"/>
        <v>-14182.777777777781</v>
      </c>
      <c r="AZ71" s="333">
        <f t="shared" si="114"/>
        <v>-6630.777777777781</v>
      </c>
      <c r="BA71" s="333">
        <f t="shared" si="114"/>
        <v>-77771.296296296292</v>
      </c>
      <c r="BB71" s="333">
        <f t="shared" si="114"/>
        <v>-51486.777777777781</v>
      </c>
      <c r="BC71" s="333">
        <f t="shared" si="114"/>
        <v>-99233.290755657828</v>
      </c>
      <c r="BD71" s="333">
        <f t="shared" si="114"/>
        <v>5175.413118527038</v>
      </c>
      <c r="BE71" s="333">
        <f t="shared" si="114"/>
        <v>5840.3870349060235</v>
      </c>
      <c r="BF71" s="108">
        <f t="shared" si="78"/>
        <v>-291466.71505944064</v>
      </c>
      <c r="BG71" s="106"/>
      <c r="BH71" s="333">
        <f t="shared" ref="BH71:BQ71" si="115">BH70-BH36</f>
        <v>-6365</v>
      </c>
      <c r="BI71" s="333">
        <f t="shared" si="115"/>
        <v>-8486.3333333333285</v>
      </c>
      <c r="BJ71" s="333">
        <f t="shared" si="115"/>
        <v>23180.925925925927</v>
      </c>
      <c r="BK71" s="333">
        <f t="shared" si="115"/>
        <v>-44486.740740740745</v>
      </c>
      <c r="BL71" s="333">
        <f t="shared" si="115"/>
        <v>5926.148148148146</v>
      </c>
      <c r="BM71" s="333">
        <f t="shared" si="115"/>
        <v>10043.740740740745</v>
      </c>
      <c r="BN71" s="333">
        <f t="shared" si="115"/>
        <v>-4917.555555555562</v>
      </c>
      <c r="BO71" s="333">
        <f t="shared" si="115"/>
        <v>3071.6218888889125</v>
      </c>
      <c r="BP71" s="333">
        <f t="shared" si="115"/>
        <v>4652.2504629629548</v>
      </c>
      <c r="BQ71" s="333">
        <f t="shared" si="115"/>
        <v>29010</v>
      </c>
      <c r="BR71" s="108"/>
      <c r="BS71" s="108"/>
      <c r="BT71" s="108">
        <f t="shared" si="110"/>
        <v>11629.05753703705</v>
      </c>
      <c r="BU71" s="28"/>
      <c r="BV71" s="333">
        <v>124435</v>
      </c>
      <c r="BW71" s="333">
        <v>117564</v>
      </c>
      <c r="BX71" s="333">
        <v>133262</v>
      </c>
      <c r="BY71" s="333">
        <v>110312</v>
      </c>
      <c r="BZ71" s="108">
        <v>101441</v>
      </c>
      <c r="CA71" s="108">
        <v>67535</v>
      </c>
      <c r="CB71" s="108">
        <v>155594</v>
      </c>
      <c r="CC71" s="108"/>
      <c r="CD71" s="108"/>
      <c r="CE71" s="108"/>
      <c r="CF71" s="108"/>
      <c r="CG71" s="108"/>
      <c r="CH71" s="108">
        <f t="shared" si="112"/>
        <v>810143</v>
      </c>
      <c r="CJ71" s="333">
        <v>159683</v>
      </c>
      <c r="CK71" s="333">
        <v>182683</v>
      </c>
      <c r="CL71" s="333">
        <v>137562</v>
      </c>
      <c r="CM71" s="333">
        <v>131937</v>
      </c>
      <c r="CN71" s="108"/>
      <c r="CO71" s="108"/>
      <c r="CP71" s="108"/>
      <c r="CQ71" s="108"/>
      <c r="CR71" s="108"/>
      <c r="CS71" s="108"/>
      <c r="CT71" s="108"/>
      <c r="CU71" s="108"/>
      <c r="CV71" s="108"/>
      <c r="CW71" s="758"/>
      <c r="CX71" s="892"/>
      <c r="CY71" s="892"/>
      <c r="CZ71" s="892"/>
      <c r="DA71" s="892"/>
      <c r="DB71" s="893"/>
      <c r="DC71" s="893"/>
      <c r="DD71" s="893"/>
      <c r="DE71" s="893"/>
      <c r="DF71" s="893"/>
      <c r="DG71" s="893"/>
      <c r="DH71" s="893"/>
      <c r="DI71" s="893"/>
      <c r="DJ71" s="108"/>
      <c r="DK71" s="948"/>
      <c r="DL71" s="892"/>
      <c r="DM71" s="892"/>
      <c r="DN71" s="892"/>
      <c r="DO71" s="892"/>
      <c r="DP71" s="893"/>
      <c r="DQ71" s="893"/>
      <c r="DR71" s="893"/>
      <c r="DS71" s="893"/>
      <c r="DT71" s="893"/>
      <c r="DU71" s="893"/>
      <c r="DV71" s="893"/>
      <c r="DW71" s="893"/>
      <c r="DX71" s="108"/>
    </row>
    <row r="72" spans="1:128" ht="15.75" hidden="1" customHeight="1">
      <c r="A72" s="94"/>
      <c r="B72" s="935" t="s">
        <v>81</v>
      </c>
      <c r="C72" s="934"/>
      <c r="D72" s="313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314"/>
      <c r="Q72" s="90"/>
      <c r="R72" s="316"/>
      <c r="S72" s="316"/>
      <c r="T72" s="316"/>
      <c r="U72" s="316"/>
      <c r="V72" s="316"/>
      <c r="W72" s="316"/>
      <c r="X72" s="316"/>
      <c r="Y72" s="316"/>
      <c r="Z72" s="316"/>
      <c r="AA72" s="316"/>
      <c r="AB72" s="316"/>
      <c r="AC72" s="316"/>
      <c r="AD72" s="315"/>
      <c r="AE72" s="23"/>
      <c r="AF72" s="316">
        <v>26171</v>
      </c>
      <c r="AG72" s="316">
        <v>21736</v>
      </c>
      <c r="AH72" s="316">
        <v>10736</v>
      </c>
      <c r="AI72" s="316">
        <v>15851</v>
      </c>
      <c r="AJ72" s="316">
        <v>30248</v>
      </c>
      <c r="AK72" s="316">
        <v>34072</v>
      </c>
      <c r="AL72" s="316">
        <v>37481</v>
      </c>
      <c r="AM72" s="91">
        <v>32645</v>
      </c>
      <c r="AN72" s="91">
        <v>30252</v>
      </c>
      <c r="AO72" s="91">
        <v>39494</v>
      </c>
      <c r="AP72" s="91">
        <v>42389</v>
      </c>
      <c r="AQ72" s="91">
        <v>55547</v>
      </c>
      <c r="AR72" s="92">
        <f t="shared" si="103"/>
        <v>376622</v>
      </c>
      <c r="AS72" s="23"/>
      <c r="AT72" s="91">
        <v>30298</v>
      </c>
      <c r="AU72" s="91">
        <v>27364</v>
      </c>
      <c r="AV72" s="91">
        <v>32595</v>
      </c>
      <c r="AW72" s="91">
        <v>28643</v>
      </c>
      <c r="AX72" s="91">
        <v>32208</v>
      </c>
      <c r="AY72" s="91">
        <v>30601</v>
      </c>
      <c r="AZ72" s="91">
        <v>38882</v>
      </c>
      <c r="BA72" s="91">
        <v>30743</v>
      </c>
      <c r="BB72" s="91">
        <f>24621+1200</f>
        <v>25821</v>
      </c>
      <c r="BC72" s="91">
        <v>31662</v>
      </c>
      <c r="BD72" s="91">
        <v>37222</v>
      </c>
      <c r="BE72" s="91">
        <v>53667</v>
      </c>
      <c r="BF72" s="91">
        <f t="shared" si="78"/>
        <v>399706</v>
      </c>
      <c r="BG72" s="93">
        <f>BF72/AR72-1</f>
        <v>6.1292224033646425E-2</v>
      </c>
      <c r="BH72" s="91">
        <v>34097</v>
      </c>
      <c r="BI72" s="91">
        <v>25734</v>
      </c>
      <c r="BJ72" s="91">
        <v>34274</v>
      </c>
      <c r="BK72" s="91">
        <v>28838</v>
      </c>
      <c r="BL72" s="91">
        <v>32785</v>
      </c>
      <c r="BM72" s="91">
        <v>38470</v>
      </c>
      <c r="BN72" s="91">
        <v>48365</v>
      </c>
      <c r="BO72" s="91">
        <v>33280</v>
      </c>
      <c r="BP72" s="91">
        <v>34203</v>
      </c>
      <c r="BQ72" s="91">
        <v>35184</v>
      </c>
      <c r="BR72" s="91">
        <v>34873</v>
      </c>
      <c r="BS72" s="91">
        <v>48960</v>
      </c>
      <c r="BT72" s="91">
        <f t="shared" si="110"/>
        <v>429063</v>
      </c>
      <c r="BU72" s="28"/>
      <c r="BV72" s="91">
        <v>38900</v>
      </c>
      <c r="BW72" s="91">
        <v>31376</v>
      </c>
      <c r="BX72" s="91">
        <v>29886</v>
      </c>
      <c r="BY72" s="91">
        <v>30671</v>
      </c>
      <c r="BZ72" s="91">
        <v>34553</v>
      </c>
      <c r="CA72" s="91">
        <v>36515</v>
      </c>
      <c r="CB72" s="91">
        <v>38915</v>
      </c>
      <c r="CC72" s="91">
        <v>34615</v>
      </c>
      <c r="CD72" s="91">
        <v>29617</v>
      </c>
      <c r="CE72" s="91">
        <v>34538</v>
      </c>
      <c r="CF72" s="91">
        <v>45914</v>
      </c>
      <c r="CG72" s="91">
        <v>60875</v>
      </c>
      <c r="CH72" s="91">
        <f t="shared" si="112"/>
        <v>446375</v>
      </c>
      <c r="CJ72" s="91">
        <v>37717</v>
      </c>
      <c r="CK72" s="91"/>
      <c r="CL72" s="91"/>
      <c r="CM72" s="91"/>
      <c r="CN72" s="91"/>
      <c r="CO72" s="91"/>
      <c r="CP72" s="91"/>
      <c r="CQ72" s="91"/>
      <c r="CR72" s="91"/>
      <c r="CS72" s="91"/>
      <c r="CT72" s="91"/>
      <c r="CU72" s="91"/>
      <c r="CV72" s="91"/>
      <c r="CW72" s="758"/>
      <c r="CX72" s="884">
        <v>22115</v>
      </c>
      <c r="CY72" s="884"/>
      <c r="CZ72" s="884"/>
      <c r="DA72" s="884"/>
      <c r="DB72" s="884"/>
      <c r="DC72" s="884"/>
      <c r="DD72" s="884"/>
      <c r="DE72" s="884"/>
      <c r="DF72" s="884"/>
      <c r="DG72" s="884"/>
      <c r="DH72" s="884"/>
      <c r="DI72" s="884"/>
      <c r="DJ72" s="91"/>
      <c r="DK72" s="948"/>
      <c r="DL72" s="884">
        <v>22115</v>
      </c>
      <c r="DM72" s="884"/>
      <c r="DN72" s="884"/>
      <c r="DO72" s="884"/>
      <c r="DP72" s="884"/>
      <c r="DQ72" s="884"/>
      <c r="DR72" s="884"/>
      <c r="DS72" s="884"/>
      <c r="DT72" s="884"/>
      <c r="DU72" s="884"/>
      <c r="DV72" s="884"/>
      <c r="DW72" s="884"/>
      <c r="DX72" s="91"/>
    </row>
    <row r="73" spans="1:128" ht="18.75">
      <c r="A73" s="103"/>
      <c r="B73" s="1063" t="s">
        <v>183</v>
      </c>
      <c r="C73" s="933"/>
      <c r="D73" s="331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332"/>
      <c r="Q73" s="105"/>
      <c r="R73" s="333"/>
      <c r="S73" s="333"/>
      <c r="T73" s="333"/>
      <c r="U73" s="333"/>
      <c r="V73" s="333"/>
      <c r="W73" s="333"/>
      <c r="X73" s="333"/>
      <c r="Y73" s="333"/>
      <c r="Z73" s="333"/>
      <c r="AA73" s="333"/>
      <c r="AB73" s="333"/>
      <c r="AC73" s="333"/>
      <c r="AD73" s="334"/>
      <c r="AE73" s="106"/>
      <c r="AF73" s="333">
        <f t="shared" ref="AF73:AQ73" si="116">AF72-AF63</f>
        <v>-12329</v>
      </c>
      <c r="AG73" s="333">
        <f t="shared" si="116"/>
        <v>-664</v>
      </c>
      <c r="AH73" s="333">
        <f t="shared" si="116"/>
        <v>65</v>
      </c>
      <c r="AI73" s="333">
        <f t="shared" si="116"/>
        <v>-246</v>
      </c>
      <c r="AJ73" s="333">
        <f t="shared" si="116"/>
        <v>-30</v>
      </c>
      <c r="AK73" s="333">
        <f t="shared" si="116"/>
        <v>5512</v>
      </c>
      <c r="AL73" s="333">
        <f t="shared" si="116"/>
        <v>-4219</v>
      </c>
      <c r="AM73" s="333">
        <f t="shared" si="116"/>
        <v>-6055</v>
      </c>
      <c r="AN73" s="333">
        <f t="shared" si="116"/>
        <v>-7048</v>
      </c>
      <c r="AO73" s="333">
        <f t="shared" si="116"/>
        <v>2094</v>
      </c>
      <c r="AP73" s="333">
        <f t="shared" si="116"/>
        <v>1749</v>
      </c>
      <c r="AQ73" s="333">
        <f t="shared" si="116"/>
        <v>1107</v>
      </c>
      <c r="AR73" s="107">
        <f t="shared" si="103"/>
        <v>-20064</v>
      </c>
      <c r="AS73" s="106"/>
      <c r="AT73" s="333">
        <f t="shared" ref="AT73:BE73" si="117">AT72-AT63</f>
        <v>-5855</v>
      </c>
      <c r="AU73" s="333">
        <f t="shared" si="117"/>
        <v>-7925</v>
      </c>
      <c r="AV73" s="333">
        <f t="shared" si="117"/>
        <v>-3277</v>
      </c>
      <c r="AW73" s="333">
        <f t="shared" si="117"/>
        <v>-9388</v>
      </c>
      <c r="AX73" s="333">
        <f t="shared" si="117"/>
        <v>-1358</v>
      </c>
      <c r="AY73" s="333">
        <f t="shared" si="117"/>
        <v>-2965</v>
      </c>
      <c r="AZ73" s="333">
        <f t="shared" si="117"/>
        <v>7986</v>
      </c>
      <c r="BA73" s="333">
        <f t="shared" si="117"/>
        <v>-403</v>
      </c>
      <c r="BB73" s="333">
        <f t="shared" si="117"/>
        <v>-6809</v>
      </c>
      <c r="BC73" s="333">
        <f t="shared" si="117"/>
        <v>-6900</v>
      </c>
      <c r="BD73" s="333">
        <f t="shared" si="117"/>
        <v>-4123</v>
      </c>
      <c r="BE73" s="333">
        <f t="shared" si="117"/>
        <v>4404</v>
      </c>
      <c r="BF73" s="108">
        <f t="shared" si="78"/>
        <v>-36613</v>
      </c>
      <c r="BG73" s="106"/>
      <c r="BH73" s="333">
        <f t="shared" ref="BH73:BQ73" si="118">BH72-BH63</f>
        <v>-2056</v>
      </c>
      <c r="BI73" s="333">
        <f t="shared" si="118"/>
        <v>-9555</v>
      </c>
      <c r="BJ73" s="333">
        <f t="shared" si="118"/>
        <v>-1598</v>
      </c>
      <c r="BK73" s="333">
        <f t="shared" si="118"/>
        <v>-9193</v>
      </c>
      <c r="BL73" s="333">
        <f t="shared" si="118"/>
        <v>-5785</v>
      </c>
      <c r="BM73" s="333">
        <f t="shared" si="118"/>
        <v>-757</v>
      </c>
      <c r="BN73" s="333">
        <f t="shared" si="118"/>
        <v>7237</v>
      </c>
      <c r="BO73" s="333">
        <f t="shared" si="118"/>
        <v>-4911</v>
      </c>
      <c r="BP73" s="333">
        <f t="shared" si="118"/>
        <v>-3988</v>
      </c>
      <c r="BQ73" s="333">
        <f t="shared" si="118"/>
        <v>-5041</v>
      </c>
      <c r="BR73" s="108"/>
      <c r="BS73" s="108"/>
      <c r="BT73" s="108">
        <f t="shared" si="110"/>
        <v>-35647</v>
      </c>
      <c r="BU73" s="28"/>
      <c r="BV73" s="333">
        <v>27740</v>
      </c>
      <c r="BW73" s="333">
        <v>23272</v>
      </c>
      <c r="BX73" s="333">
        <v>24576</v>
      </c>
      <c r="BY73" s="108">
        <v>26006</v>
      </c>
      <c r="BZ73" s="108">
        <v>30640</v>
      </c>
      <c r="CA73" s="108">
        <v>30640</v>
      </c>
      <c r="CB73" s="108">
        <v>29618</v>
      </c>
      <c r="CC73" s="108">
        <v>29686</v>
      </c>
      <c r="CD73" s="108">
        <v>29993</v>
      </c>
      <c r="CE73" s="108">
        <v>31540</v>
      </c>
      <c r="CF73" s="108">
        <v>38086</v>
      </c>
      <c r="CG73" s="108">
        <v>54003</v>
      </c>
      <c r="CH73" s="108">
        <f t="shared" si="112"/>
        <v>375800</v>
      </c>
      <c r="CJ73" s="333">
        <f>BV73*1.03</f>
        <v>28572.2</v>
      </c>
      <c r="CK73" s="333">
        <f>BW73*1.03</f>
        <v>23970.16</v>
      </c>
      <c r="CL73" s="333">
        <f t="shared" ref="CL73:CT73" si="119">BX73*1.03</f>
        <v>25313.279999999999</v>
      </c>
      <c r="CM73" s="333">
        <v>29046</v>
      </c>
      <c r="CN73" s="333">
        <f t="shared" si="119"/>
        <v>31559.200000000001</v>
      </c>
      <c r="CO73" s="333">
        <f t="shared" si="119"/>
        <v>31559.200000000001</v>
      </c>
      <c r="CP73" s="333">
        <f t="shared" si="119"/>
        <v>30506.54</v>
      </c>
      <c r="CQ73" s="333">
        <f t="shared" si="119"/>
        <v>30576.58</v>
      </c>
      <c r="CR73" s="333">
        <f t="shared" si="119"/>
        <v>30892.79</v>
      </c>
      <c r="CS73" s="333">
        <f t="shared" si="119"/>
        <v>32486.2</v>
      </c>
      <c r="CT73" s="333">
        <f t="shared" si="119"/>
        <v>39228.58</v>
      </c>
      <c r="CU73" s="333">
        <v>45000</v>
      </c>
      <c r="CV73" s="108">
        <f>SUM(CJ73:CU73)</f>
        <v>378710.73000000004</v>
      </c>
      <c r="CW73" s="758"/>
      <c r="CX73" s="892">
        <v>24000</v>
      </c>
      <c r="CY73" s="892">
        <v>21000</v>
      </c>
      <c r="CZ73" s="892">
        <v>24000</v>
      </c>
      <c r="DA73" s="892">
        <v>23000</v>
      </c>
      <c r="DB73" s="892">
        <v>25000</v>
      </c>
      <c r="DC73" s="892">
        <v>24000</v>
      </c>
      <c r="DD73" s="892">
        <f t="shared" ref="DC73:DI73" si="120">CP73</f>
        <v>30506.54</v>
      </c>
      <c r="DE73" s="892">
        <f t="shared" si="120"/>
        <v>30576.58</v>
      </c>
      <c r="DF73" s="892">
        <f t="shared" si="120"/>
        <v>30892.79</v>
      </c>
      <c r="DG73" s="892">
        <f>CS73</f>
        <v>32486.2</v>
      </c>
      <c r="DH73" s="892">
        <f t="shared" si="120"/>
        <v>39228.58</v>
      </c>
      <c r="DI73" s="892">
        <f t="shared" si="120"/>
        <v>45000</v>
      </c>
      <c r="DJ73" s="108">
        <f>SUM(DA73:DI73)</f>
        <v>280690.69</v>
      </c>
      <c r="DK73" s="948"/>
      <c r="DL73" s="892">
        <v>23100</v>
      </c>
      <c r="DM73" s="892">
        <v>20400</v>
      </c>
      <c r="DN73" s="892">
        <v>22800</v>
      </c>
      <c r="DO73" s="892">
        <v>22600</v>
      </c>
      <c r="DP73" s="892">
        <v>24800</v>
      </c>
      <c r="DQ73" s="892">
        <f t="shared" ref="DQ73:DW73" si="121">DC73*1</f>
        <v>24000</v>
      </c>
      <c r="DR73" s="892">
        <v>30000</v>
      </c>
      <c r="DS73" s="892">
        <f t="shared" si="121"/>
        <v>30576.58</v>
      </c>
      <c r="DT73" s="892">
        <f t="shared" si="121"/>
        <v>30892.79</v>
      </c>
      <c r="DU73" s="892">
        <f t="shared" si="121"/>
        <v>32486.2</v>
      </c>
      <c r="DV73" s="892">
        <f t="shared" si="121"/>
        <v>39228.58</v>
      </c>
      <c r="DW73" s="892">
        <f t="shared" si="121"/>
        <v>45000</v>
      </c>
      <c r="DX73" s="108">
        <f>SUM(DL73:DW73)</f>
        <v>345884.15</v>
      </c>
    </row>
    <row r="74" spans="1:128" ht="18.75" hidden="1">
      <c r="A74" s="103" t="s">
        <v>83</v>
      </c>
      <c r="B74" s="932" t="s">
        <v>84</v>
      </c>
      <c r="C74" s="933"/>
      <c r="D74" s="331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332"/>
      <c r="Q74" s="105"/>
      <c r="R74" s="333"/>
      <c r="S74" s="333"/>
      <c r="T74" s="333"/>
      <c r="U74" s="333"/>
      <c r="V74" s="333"/>
      <c r="W74" s="333"/>
      <c r="X74" s="333"/>
      <c r="Y74" s="333"/>
      <c r="Z74" s="333"/>
      <c r="AA74" s="333"/>
      <c r="AB74" s="333"/>
      <c r="AC74" s="333"/>
      <c r="AD74" s="334"/>
      <c r="AE74" s="106"/>
      <c r="AF74" s="333">
        <f>AF69-AF35</f>
        <v>-10282</v>
      </c>
      <c r="AG74" s="333">
        <f>AG69-AG35</f>
        <v>-4235</v>
      </c>
      <c r="AH74" s="333">
        <f>AH69-AH35</f>
        <v>-154</v>
      </c>
      <c r="AI74" s="333">
        <f>AI69-AI35</f>
        <v>-1981</v>
      </c>
      <c r="AJ74" s="333">
        <f>AJ69-AJ35</f>
        <v>-2477</v>
      </c>
      <c r="AK74" s="333">
        <f>AK69-AK35</f>
        <v>6187</v>
      </c>
      <c r="AL74" s="333">
        <f>AL69-AL35</f>
        <v>-13922</v>
      </c>
      <c r="AM74" s="333">
        <f>AM69-AM35</f>
        <v>-58130</v>
      </c>
      <c r="AN74" s="333">
        <f>AN69-AN35</f>
        <v>-66535.333333333343</v>
      </c>
      <c r="AO74" s="333">
        <f>AO69-AO35</f>
        <v>-12969</v>
      </c>
      <c r="AP74" s="333">
        <f>AP69-AP35</f>
        <v>-21294</v>
      </c>
      <c r="AQ74" s="333">
        <f>AQ69-AQ35</f>
        <v>-10456</v>
      </c>
      <c r="AR74" s="107">
        <f t="shared" si="103"/>
        <v>-196248.33333333334</v>
      </c>
      <c r="AS74" s="106"/>
      <c r="AT74" s="333">
        <f t="shared" ref="AT74:BE74" si="122">AT69-AT35</f>
        <v>2596.75</v>
      </c>
      <c r="AU74" s="333">
        <f t="shared" si="122"/>
        <v>-45152.103448275855</v>
      </c>
      <c r="AV74" s="333">
        <f t="shared" si="122"/>
        <v>-10056.137931034493</v>
      </c>
      <c r="AW74" s="333">
        <f t="shared" si="122"/>
        <v>-31730.137931034493</v>
      </c>
      <c r="AX74" s="333">
        <f t="shared" si="122"/>
        <v>3361.0344827586232</v>
      </c>
      <c r="AY74" s="333">
        <f t="shared" si="122"/>
        <v>-17147.777777777781</v>
      </c>
      <c r="AZ74" s="333">
        <f t="shared" si="122"/>
        <v>1355.222222222219</v>
      </c>
      <c r="BA74" s="333">
        <f t="shared" si="122"/>
        <v>-78174.296296296292</v>
      </c>
      <c r="BB74" s="333">
        <f t="shared" si="122"/>
        <v>-58295.777777777781</v>
      </c>
      <c r="BC74" s="333">
        <f t="shared" si="122"/>
        <v>-106133.29075565783</v>
      </c>
      <c r="BD74" s="333">
        <f t="shared" si="122"/>
        <v>1052.413118527038</v>
      </c>
      <c r="BE74" s="333">
        <f t="shared" si="122"/>
        <v>17507.387034906016</v>
      </c>
      <c r="BF74" s="108">
        <f t="shared" si="78"/>
        <v>-320816.71505944064</v>
      </c>
      <c r="BG74" s="106"/>
      <c r="BH74" s="333">
        <f t="shared" ref="BH74:BQ74" si="123">BH69-BH35</f>
        <v>-8421</v>
      </c>
      <c r="BI74" s="333">
        <f t="shared" si="123"/>
        <v>-18041.333333333314</v>
      </c>
      <c r="BJ74" s="333">
        <f t="shared" si="123"/>
        <v>21582.925925925927</v>
      </c>
      <c r="BK74" s="333">
        <f t="shared" si="123"/>
        <v>-53679.74074074073</v>
      </c>
      <c r="BL74" s="333">
        <f t="shared" si="123"/>
        <v>141.14814814814599</v>
      </c>
      <c r="BM74" s="333">
        <f t="shared" si="123"/>
        <v>9286.7407407407445</v>
      </c>
      <c r="BN74" s="333">
        <f t="shared" si="123"/>
        <v>2319.444444444438</v>
      </c>
      <c r="BO74" s="333">
        <f t="shared" si="123"/>
        <v>7351.6218888889125</v>
      </c>
      <c r="BP74" s="333">
        <f t="shared" si="123"/>
        <v>-1367.7495370370452</v>
      </c>
      <c r="BQ74" s="333">
        <f t="shared" si="123"/>
        <v>27459</v>
      </c>
      <c r="BR74" s="108"/>
      <c r="BS74" s="108"/>
      <c r="BT74" s="108">
        <f t="shared" si="110"/>
        <v>-13368.942462962921</v>
      </c>
      <c r="BU74" s="28"/>
      <c r="BV74" s="333"/>
      <c r="BW74" s="333"/>
      <c r="BX74" s="333"/>
      <c r="BY74" s="333"/>
      <c r="BZ74" s="108"/>
      <c r="CA74" s="108"/>
      <c r="CB74" s="108">
        <f>CB73+CB70</f>
        <v>193663</v>
      </c>
      <c r="CC74" s="108">
        <f>CC73+CC70</f>
        <v>177853</v>
      </c>
      <c r="CD74" s="108">
        <f t="shared" ref="CD74:CH74" si="124">CD73+CD70</f>
        <v>219708</v>
      </c>
      <c r="CE74" s="108">
        <f t="shared" si="124"/>
        <v>197028</v>
      </c>
      <c r="CF74" s="108">
        <f t="shared" si="124"/>
        <v>141915</v>
      </c>
      <c r="CG74" s="108">
        <f t="shared" si="124"/>
        <v>93970</v>
      </c>
      <c r="CH74" s="108"/>
      <c r="CJ74" s="333">
        <v>27785</v>
      </c>
      <c r="CK74" s="333">
        <v>23447</v>
      </c>
      <c r="CL74" s="333">
        <v>26944</v>
      </c>
      <c r="CM74" s="333"/>
      <c r="CN74" s="108"/>
      <c r="CO74" s="108"/>
      <c r="CP74" s="108"/>
      <c r="CQ74" s="108"/>
      <c r="CR74" s="108"/>
      <c r="CS74" s="108"/>
      <c r="CT74" s="108"/>
      <c r="CU74" s="108"/>
      <c r="CV74" s="108"/>
      <c r="CW74" s="758"/>
      <c r="CX74" s="892"/>
      <c r="CY74" s="892"/>
      <c r="CZ74" s="892"/>
      <c r="DA74" s="892"/>
      <c r="DB74" s="893"/>
      <c r="DC74" s="893"/>
      <c r="DD74" s="893"/>
      <c r="DE74" s="893"/>
      <c r="DF74" s="893"/>
      <c r="DG74" s="893"/>
      <c r="DH74" s="893"/>
      <c r="DI74" s="893"/>
      <c r="DJ74" s="108"/>
      <c r="DK74" s="948"/>
      <c r="DL74" s="892"/>
      <c r="DM74" s="892"/>
      <c r="DN74" s="892"/>
      <c r="DO74" s="892"/>
      <c r="DP74" s="893"/>
      <c r="DQ74" s="893"/>
      <c r="DR74" s="893"/>
      <c r="DS74" s="893"/>
      <c r="DT74" s="893"/>
      <c r="DU74" s="893"/>
      <c r="DV74" s="893"/>
      <c r="DW74" s="893"/>
      <c r="DX74" s="108"/>
    </row>
    <row r="75" spans="1:128" ht="18.75" hidden="1">
      <c r="A75" s="103" t="s">
        <v>85</v>
      </c>
      <c r="B75" s="932"/>
      <c r="C75" s="933"/>
      <c r="D75" s="331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332"/>
      <c r="Q75" s="105"/>
      <c r="R75" s="333"/>
      <c r="S75" s="333"/>
      <c r="T75" s="333"/>
      <c r="U75" s="333"/>
      <c r="V75" s="333"/>
      <c r="W75" s="333"/>
      <c r="X75" s="333"/>
      <c r="Y75" s="333"/>
      <c r="Z75" s="333"/>
      <c r="AA75" s="333"/>
      <c r="AB75" s="333"/>
      <c r="AC75" s="333"/>
      <c r="AD75" s="334"/>
      <c r="AE75" s="106"/>
      <c r="AF75" s="333">
        <f>AF70-AF36</f>
        <v>92193</v>
      </c>
      <c r="AG75" s="333">
        <f>AG70-AG36</f>
        <v>152006</v>
      </c>
      <c r="AH75" s="333">
        <f>AH70-AH36</f>
        <v>62734</v>
      </c>
      <c r="AI75" s="333">
        <f>AI70-AI36</f>
        <v>71526</v>
      </c>
      <c r="AJ75" s="333">
        <f>AJ70-AJ36</f>
        <v>89409</v>
      </c>
      <c r="AK75" s="333">
        <f>AK70-AK36</f>
        <v>120675</v>
      </c>
      <c r="AL75" s="333">
        <f>AL70-AL36</f>
        <v>100592</v>
      </c>
      <c r="AM75" s="333">
        <f>AM70-AM36</f>
        <v>148128</v>
      </c>
      <c r="AN75" s="333">
        <f>AN70-AN36</f>
        <v>164346</v>
      </c>
      <c r="AO75" s="333">
        <f>AO70-AO36</f>
        <v>203437</v>
      </c>
      <c r="AP75" s="333">
        <f>AP70-AP36</f>
        <v>64957</v>
      </c>
      <c r="AQ75" s="333">
        <f>AQ70-AQ36</f>
        <v>31837</v>
      </c>
      <c r="AR75" s="107">
        <f t="shared" si="103"/>
        <v>1301840</v>
      </c>
      <c r="AS75" s="106"/>
      <c r="AT75" s="338">
        <f t="shared" ref="AT75:BE75" si="125">AT74/AT35</f>
        <v>1.7000083470131603E-2</v>
      </c>
      <c r="AU75" s="338">
        <f t="shared" si="125"/>
        <v>-0.26792985919579565</v>
      </c>
      <c r="AV75" s="338">
        <f t="shared" si="125"/>
        <v>-6.5248272015318062E-2</v>
      </c>
      <c r="AW75" s="338">
        <f t="shared" si="125"/>
        <v>-0.19881644480138216</v>
      </c>
      <c r="AX75" s="338">
        <f t="shared" si="125"/>
        <v>2.798530764170884E-2</v>
      </c>
      <c r="AY75" s="338">
        <f t="shared" si="125"/>
        <v>-0.12395048084722922</v>
      </c>
      <c r="AZ75" s="338">
        <f t="shared" si="125"/>
        <v>8.1309864112464342E-3</v>
      </c>
      <c r="BA75" s="338">
        <f t="shared" si="125"/>
        <v>-0.32244495902957893</v>
      </c>
      <c r="BB75" s="338">
        <f t="shared" si="125"/>
        <v>-0.23949841829212068</v>
      </c>
      <c r="BC75" s="338">
        <f t="shared" si="125"/>
        <v>-0.41888939787658819</v>
      </c>
      <c r="BD75" s="338">
        <f t="shared" si="125"/>
        <v>7.8214003811977375E-3</v>
      </c>
      <c r="BE75" s="338">
        <f t="shared" si="125"/>
        <v>0.24086123043473662</v>
      </c>
      <c r="BF75" s="109">
        <f>AVERAGE(AT75:BE75)</f>
        <v>-0.11124823530991597</v>
      </c>
      <c r="BG75" s="106"/>
      <c r="BH75" s="338">
        <f t="shared" ref="BH75:BQ75" si="126">BH74/BH35</f>
        <v>-5.512821352117471E-2</v>
      </c>
      <c r="BI75" s="338">
        <f t="shared" si="126"/>
        <v>-0.12287867195499311</v>
      </c>
      <c r="BJ75" s="338">
        <f t="shared" si="126"/>
        <v>0.12581416416796784</v>
      </c>
      <c r="BK75" s="338">
        <f t="shared" si="126"/>
        <v>-0.33597769224938256</v>
      </c>
      <c r="BL75" s="338">
        <f t="shared" si="126"/>
        <v>1.0652943536044719E-3</v>
      </c>
      <c r="BM75" s="338">
        <f t="shared" si="126"/>
        <v>7.1488016002422286E-2</v>
      </c>
      <c r="BN75" s="338">
        <f t="shared" si="126"/>
        <v>1.3533646427895287E-2</v>
      </c>
      <c r="BO75" s="338">
        <f t="shared" si="126"/>
        <v>4.0944619366602007E-2</v>
      </c>
      <c r="BP75" s="338">
        <f t="shared" si="126"/>
        <v>-6.7692361075750926E-3</v>
      </c>
      <c r="BQ75" s="338">
        <f t="shared" si="126"/>
        <v>0.16757086626186191</v>
      </c>
      <c r="BR75" s="109"/>
      <c r="BS75" s="109"/>
      <c r="BT75" s="338">
        <f>BT74/BT35</f>
        <v>-7.1185036907011742E-3</v>
      </c>
      <c r="BU75" s="54"/>
      <c r="BV75" s="338"/>
      <c r="BW75" s="338"/>
      <c r="BX75" s="338"/>
      <c r="BY75" s="338"/>
      <c r="BZ75" s="109"/>
      <c r="CA75" s="109"/>
      <c r="CB75" s="109"/>
      <c r="CC75" s="109"/>
      <c r="CD75" s="109"/>
      <c r="CE75" s="109"/>
      <c r="CF75" s="109"/>
      <c r="CG75" s="109"/>
      <c r="CH75" s="109"/>
      <c r="CJ75" s="338"/>
      <c r="CK75" s="338"/>
      <c r="CL75" s="338"/>
      <c r="CM75" s="338"/>
      <c r="CN75" s="109"/>
      <c r="CO75" s="109"/>
      <c r="CP75" s="109"/>
      <c r="CQ75" s="109"/>
      <c r="CR75" s="109"/>
      <c r="CS75" s="109"/>
      <c r="CT75" s="109"/>
      <c r="CU75" s="109"/>
      <c r="CV75" s="109"/>
      <c r="CW75" s="758"/>
      <c r="CX75" s="894"/>
      <c r="CY75" s="894"/>
      <c r="CZ75" s="894"/>
      <c r="DA75" s="894"/>
      <c r="DB75" s="895"/>
      <c r="DC75" s="895"/>
      <c r="DD75" s="895"/>
      <c r="DE75" s="895"/>
      <c r="DF75" s="895"/>
      <c r="DG75" s="895"/>
      <c r="DH75" s="895"/>
      <c r="DI75" s="895"/>
      <c r="DJ75" s="109"/>
      <c r="DK75" s="948"/>
      <c r="DL75" s="894"/>
      <c r="DM75" s="894"/>
      <c r="DN75" s="894"/>
      <c r="DO75" s="894"/>
      <c r="DP75" s="895"/>
      <c r="DQ75" s="895"/>
      <c r="DR75" s="895"/>
      <c r="DS75" s="895"/>
      <c r="DT75" s="895"/>
      <c r="DU75" s="895"/>
      <c r="DV75" s="895"/>
      <c r="DW75" s="895"/>
      <c r="DX75" s="109"/>
    </row>
    <row r="76" spans="1:128" ht="14.25" hidden="1" customHeight="1">
      <c r="A76" s="55" t="s">
        <v>86</v>
      </c>
      <c r="B76" s="958" t="s">
        <v>124</v>
      </c>
      <c r="C76" s="959"/>
      <c r="D76" s="960"/>
      <c r="E76" s="961"/>
      <c r="F76" s="961"/>
      <c r="G76" s="961"/>
      <c r="H76" s="961"/>
      <c r="I76" s="961"/>
      <c r="J76" s="961"/>
      <c r="K76" s="961"/>
      <c r="L76" s="961"/>
      <c r="M76" s="961"/>
      <c r="N76" s="961"/>
      <c r="O76" s="961"/>
      <c r="P76" s="962"/>
      <c r="Q76" s="963"/>
      <c r="R76" s="960"/>
      <c r="S76" s="964"/>
      <c r="T76" s="964"/>
      <c r="U76" s="964"/>
      <c r="V76" s="964"/>
      <c r="W76" s="965"/>
      <c r="X76" s="965"/>
      <c r="Y76" s="965"/>
      <c r="Z76" s="965"/>
      <c r="AA76" s="965"/>
      <c r="AB76" s="965"/>
      <c r="AC76" s="965"/>
      <c r="AD76" s="966"/>
      <c r="AE76" s="967"/>
      <c r="AF76" s="599"/>
      <c r="AG76" s="964"/>
      <c r="AH76" s="964"/>
      <c r="AI76" s="964"/>
      <c r="AJ76" s="964"/>
      <c r="AK76" s="964"/>
      <c r="AL76" s="964"/>
      <c r="AM76" s="964"/>
      <c r="AN76" s="964"/>
      <c r="AO76" s="964"/>
      <c r="AP76" s="964"/>
      <c r="AQ76" s="964"/>
      <c r="AR76" s="964"/>
      <c r="AS76" s="967"/>
      <c r="AT76" s="964"/>
      <c r="AU76" s="964"/>
      <c r="AV76" s="964"/>
      <c r="AW76" s="964"/>
      <c r="AX76" s="964"/>
      <c r="AY76" s="964"/>
      <c r="AZ76" s="964"/>
      <c r="BA76" s="964"/>
      <c r="BB76" s="964"/>
      <c r="BC76" s="964"/>
      <c r="BD76" s="964"/>
      <c r="BE76" s="964"/>
      <c r="BF76" s="964"/>
      <c r="BG76" s="967"/>
      <c r="BH76" s="964"/>
      <c r="BI76" s="964"/>
      <c r="BJ76" s="964"/>
      <c r="BK76" s="964"/>
      <c r="BL76" s="964"/>
      <c r="BM76" s="964"/>
      <c r="BN76" s="964"/>
      <c r="BO76" s="964"/>
      <c r="BP76" s="964"/>
      <c r="BQ76" s="964"/>
      <c r="BR76" s="964"/>
      <c r="BS76" s="964"/>
      <c r="BT76" s="964"/>
      <c r="BU76" s="968"/>
      <c r="BV76" s="964"/>
      <c r="BW76" s="964"/>
      <c r="BX76" s="964"/>
      <c r="BY76" s="964"/>
      <c r="BZ76" s="964"/>
      <c r="CA76" s="964"/>
      <c r="CB76" s="964"/>
      <c r="CC76" s="964"/>
      <c r="CD76" s="964"/>
      <c r="CE76" s="964"/>
      <c r="CF76" s="964"/>
      <c r="CG76" s="964"/>
      <c r="CH76" s="964"/>
      <c r="CI76" s="969"/>
      <c r="CJ76" s="964"/>
      <c r="CK76" s="964"/>
      <c r="CL76" s="964"/>
      <c r="CM76" s="964"/>
      <c r="CN76" s="964"/>
      <c r="CO76" s="964"/>
      <c r="CP76" s="964"/>
      <c r="CQ76" s="964"/>
      <c r="CR76" s="964"/>
      <c r="CS76" s="964"/>
      <c r="CT76" s="964">
        <f>SUM(CT78:CT80)</f>
        <v>164656.85004219407</v>
      </c>
      <c r="CU76" s="964">
        <f>SUM(CU78:CU80)</f>
        <v>91745.822784810123</v>
      </c>
      <c r="CV76" s="964"/>
      <c r="CW76" s="956">
        <f>SUM(CX76:DC76)</f>
        <v>996971.73999999987</v>
      </c>
      <c r="CX76" s="964">
        <f>SUM(CX78:CX80)</f>
        <v>194469.46000000002</v>
      </c>
      <c r="CY76" s="964">
        <f t="shared" ref="CY76:DJ76" si="127">SUM(CY78:CY80)</f>
        <v>159466.88999999998</v>
      </c>
      <c r="CZ76" s="964">
        <f t="shared" si="127"/>
        <v>208203.57</v>
      </c>
      <c r="DA76" s="964">
        <f t="shared" si="127"/>
        <v>158532.44</v>
      </c>
      <c r="DB76" s="964">
        <f t="shared" si="127"/>
        <v>157404.75999999998</v>
      </c>
      <c r="DC76" s="964">
        <f t="shared" si="127"/>
        <v>118894.62</v>
      </c>
      <c r="DD76" s="964">
        <f t="shared" si="127"/>
        <v>211625.73</v>
      </c>
      <c r="DE76" s="964">
        <f t="shared" si="127"/>
        <v>208193.11</v>
      </c>
      <c r="DF76" s="964">
        <f t="shared" si="127"/>
        <v>269889.13</v>
      </c>
      <c r="DG76" s="964">
        <f>SUM(DG78:DG80)</f>
        <v>258868.84085232066</v>
      </c>
      <c r="DH76" s="964">
        <f t="shared" si="127"/>
        <v>178376.53444641351</v>
      </c>
      <c r="DI76" s="964">
        <f t="shared" si="127"/>
        <v>114212.18776329115</v>
      </c>
      <c r="DJ76" s="599">
        <f>SUM(CX76:DI76)</f>
        <v>2238137.2730620252</v>
      </c>
      <c r="DK76" s="948"/>
      <c r="DL76" s="896">
        <f>SUM(DL78:DL80)</f>
        <v>213916.40600000005</v>
      </c>
      <c r="DM76" s="896">
        <f t="shared" ref="DM76:DX76" si="128">SUM(DM78:DM80)</f>
        <v>175413.579</v>
      </c>
      <c r="DN76" s="896">
        <f t="shared" si="128"/>
        <v>229023.92700000003</v>
      </c>
      <c r="DO76" s="896">
        <f t="shared" si="128"/>
        <v>174385.68400000001</v>
      </c>
      <c r="DP76" s="896">
        <f t="shared" si="128"/>
        <v>173145.236</v>
      </c>
      <c r="DQ76" s="896">
        <f t="shared" si="128"/>
        <v>130784.08200000001</v>
      </c>
      <c r="DR76" s="896">
        <f t="shared" si="128"/>
        <v>232788.30300000004</v>
      </c>
      <c r="DS76" s="896">
        <f t="shared" si="128"/>
        <v>229012.421</v>
      </c>
      <c r="DT76" s="896">
        <f t="shared" si="128"/>
        <v>296878.04300000001</v>
      </c>
      <c r="DU76" s="896">
        <f t="shared" si="128"/>
        <v>284755.72493755276</v>
      </c>
      <c r="DV76" s="896">
        <f t="shared" si="128"/>
        <v>196214.18789105487</v>
      </c>
      <c r="DW76" s="896">
        <f t="shared" si="128"/>
        <v>125633.40653962028</v>
      </c>
      <c r="DX76" s="778">
        <f>SUM(DL76:DW76)</f>
        <v>2461951.0003682282</v>
      </c>
    </row>
    <row r="77" spans="1:128" ht="21" hidden="1" customHeight="1">
      <c r="A77" s="55"/>
      <c r="B77" s="766" t="s">
        <v>87</v>
      </c>
      <c r="C77" s="767"/>
      <c r="D77" s="768"/>
      <c r="E77" s="769"/>
      <c r="F77" s="769"/>
      <c r="G77" s="769"/>
      <c r="H77" s="769"/>
      <c r="I77" s="769"/>
      <c r="J77" s="769"/>
      <c r="K77" s="769"/>
      <c r="L77" s="769"/>
      <c r="M77" s="769"/>
      <c r="N77" s="769"/>
      <c r="O77" s="769"/>
      <c r="P77" s="770"/>
      <c r="Q77" s="771"/>
      <c r="R77" s="768"/>
      <c r="S77" s="772"/>
      <c r="T77" s="772"/>
      <c r="U77" s="772"/>
      <c r="V77" s="772"/>
      <c r="W77" s="773"/>
      <c r="X77" s="773"/>
      <c r="Y77" s="773"/>
      <c r="Z77" s="773"/>
      <c r="AA77" s="773"/>
      <c r="AB77" s="773"/>
      <c r="AC77" s="773"/>
      <c r="AD77" s="774"/>
      <c r="AE77" s="775"/>
      <c r="AF77" s="776"/>
      <c r="AG77" s="776"/>
      <c r="AH77" s="776"/>
      <c r="AI77" s="776"/>
      <c r="AJ77" s="776"/>
      <c r="AK77" s="776"/>
      <c r="AL77" s="776"/>
      <c r="AM77" s="776"/>
      <c r="AN77" s="776"/>
      <c r="AO77" s="776"/>
      <c r="AP77" s="776"/>
      <c r="AQ77" s="776"/>
      <c r="AR77" s="772"/>
      <c r="AS77" s="775"/>
      <c r="AT77" s="776"/>
      <c r="AU77" s="776"/>
      <c r="AV77" s="776"/>
      <c r="AW77" s="776"/>
      <c r="AX77" s="776"/>
      <c r="AY77" s="776"/>
      <c r="AZ77" s="776"/>
      <c r="BA77" s="776"/>
      <c r="BB77" s="776"/>
      <c r="BC77" s="776"/>
      <c r="BD77" s="776"/>
      <c r="BE77" s="776"/>
      <c r="BF77" s="772"/>
      <c r="BG77" s="775"/>
      <c r="BH77" s="776"/>
      <c r="BI77" s="776"/>
      <c r="BJ77" s="776"/>
      <c r="BK77" s="776"/>
      <c r="BL77" s="776"/>
      <c r="BM77" s="776"/>
      <c r="BN77" s="776"/>
      <c r="BO77" s="776"/>
      <c r="BP77" s="776"/>
      <c r="BQ77" s="776"/>
      <c r="BR77" s="776"/>
      <c r="BS77" s="776"/>
      <c r="BT77" s="776"/>
      <c r="BU77" s="777"/>
      <c r="BV77" s="778">
        <v>152642</v>
      </c>
      <c r="BW77" s="778">
        <v>141495</v>
      </c>
      <c r="BX77" s="778">
        <v>158268</v>
      </c>
      <c r="BY77" s="778">
        <v>135742</v>
      </c>
      <c r="BZ77" s="778">
        <v>130614</v>
      </c>
      <c r="CA77" s="778">
        <v>97296</v>
      </c>
      <c r="CB77" s="778">
        <v>180319</v>
      </c>
      <c r="CC77" s="778">
        <v>175137</v>
      </c>
      <c r="CD77" s="778">
        <v>216035</v>
      </c>
      <c r="CE77" s="778">
        <v>188049</v>
      </c>
      <c r="CF77" s="778">
        <v>139782</v>
      </c>
      <c r="CG77" s="778">
        <v>90604</v>
      </c>
      <c r="CH77" s="776">
        <f>SUM(BV77:CG77)</f>
        <v>1805983</v>
      </c>
      <c r="CI77" s="779"/>
      <c r="CJ77" s="778" t="s">
        <v>88</v>
      </c>
      <c r="CK77" s="778">
        <f t="shared" ref="CK77:CV77" si="129">BW77</f>
        <v>141495</v>
      </c>
      <c r="CL77" s="778">
        <f t="shared" si="129"/>
        <v>158268</v>
      </c>
      <c r="CM77" s="778">
        <f t="shared" si="129"/>
        <v>135742</v>
      </c>
      <c r="CN77" s="778">
        <f t="shared" si="129"/>
        <v>130614</v>
      </c>
      <c r="CO77" s="778">
        <f t="shared" si="129"/>
        <v>97296</v>
      </c>
      <c r="CP77" s="778">
        <f t="shared" si="129"/>
        <v>180319</v>
      </c>
      <c r="CQ77" s="778">
        <f t="shared" si="129"/>
        <v>175137</v>
      </c>
      <c r="CR77" s="778">
        <f t="shared" si="129"/>
        <v>216035</v>
      </c>
      <c r="CS77" s="778">
        <f>CS78</f>
        <v>237402.61350210969</v>
      </c>
      <c r="CT77" s="778">
        <f>CT78</f>
        <v>113946.85004219407</v>
      </c>
      <c r="CU77" s="778">
        <f t="shared" ref="CU77:CV77" si="130">CU78</f>
        <v>79742.822784810123</v>
      </c>
      <c r="CV77" s="778">
        <f t="shared" si="129"/>
        <v>1805983</v>
      </c>
      <c r="CW77" s="758"/>
      <c r="CX77" s="897"/>
      <c r="CY77" s="897"/>
      <c r="CZ77" s="897"/>
      <c r="DA77" s="897"/>
      <c r="DB77" s="897"/>
      <c r="DC77" s="897"/>
      <c r="DD77" s="897"/>
      <c r="DE77" s="897"/>
      <c r="DF77" s="897"/>
      <c r="DG77" s="897"/>
      <c r="DH77" s="897"/>
      <c r="DI77" s="897">
        <v>114212.18776329115</v>
      </c>
      <c r="DJ77" s="778"/>
      <c r="DK77" s="948"/>
      <c r="DL77" s="897"/>
      <c r="DM77" s="897"/>
      <c r="DN77" s="897"/>
      <c r="DO77" s="897"/>
      <c r="DP77" s="897"/>
      <c r="DQ77" s="897"/>
      <c r="DR77" s="897"/>
      <c r="DS77" s="897"/>
      <c r="DT77" s="897"/>
      <c r="DU77" s="897"/>
      <c r="DV77" s="897"/>
      <c r="DW77" s="897">
        <v>114212.18776329115</v>
      </c>
      <c r="DX77" s="778"/>
    </row>
    <row r="78" spans="1:128" ht="22.5" hidden="1" customHeight="1">
      <c r="A78" s="765"/>
      <c r="B78" s="766" t="s">
        <v>125</v>
      </c>
      <c r="C78" s="767"/>
      <c r="D78" s="768"/>
      <c r="E78" s="769"/>
      <c r="F78" s="769"/>
      <c r="G78" s="769"/>
      <c r="H78" s="769"/>
      <c r="I78" s="769"/>
      <c r="J78" s="769"/>
      <c r="K78" s="769"/>
      <c r="L78" s="769"/>
      <c r="M78" s="769"/>
      <c r="N78" s="769"/>
      <c r="O78" s="769"/>
      <c r="P78" s="770"/>
      <c r="Q78" s="771"/>
      <c r="R78" s="768"/>
      <c r="S78" s="772"/>
      <c r="T78" s="772"/>
      <c r="U78" s="772"/>
      <c r="V78" s="772"/>
      <c r="W78" s="773"/>
      <c r="X78" s="773"/>
      <c r="Y78" s="773"/>
      <c r="Z78" s="773"/>
      <c r="AA78" s="773"/>
      <c r="AB78" s="773"/>
      <c r="AC78" s="773"/>
      <c r="AD78" s="774"/>
      <c r="AE78" s="775"/>
      <c r="AF78" s="776"/>
      <c r="AG78" s="776"/>
      <c r="AH78" s="776"/>
      <c r="AI78" s="776"/>
      <c r="AJ78" s="776"/>
      <c r="AK78" s="776"/>
      <c r="AL78" s="776"/>
      <c r="AM78" s="776"/>
      <c r="AN78" s="776"/>
      <c r="AO78" s="776"/>
      <c r="AP78" s="776"/>
      <c r="AQ78" s="776"/>
      <c r="AR78" s="772"/>
      <c r="AS78" s="775"/>
      <c r="AT78" s="776"/>
      <c r="AU78" s="776"/>
      <c r="AV78" s="776"/>
      <c r="AW78" s="776"/>
      <c r="AX78" s="776"/>
      <c r="AY78" s="776"/>
      <c r="AZ78" s="776"/>
      <c r="BA78" s="776"/>
      <c r="BB78" s="776"/>
      <c r="BC78" s="776"/>
      <c r="BD78" s="776"/>
      <c r="BE78" s="776"/>
      <c r="BF78" s="772"/>
      <c r="BG78" s="775"/>
      <c r="BH78" s="776"/>
      <c r="BI78" s="776"/>
      <c r="BJ78" s="776"/>
      <c r="BK78" s="776"/>
      <c r="BL78" s="776"/>
      <c r="BM78" s="776"/>
      <c r="BN78" s="776"/>
      <c r="BO78" s="776"/>
      <c r="BP78" s="776"/>
      <c r="BQ78" s="776"/>
      <c r="BR78" s="776"/>
      <c r="BS78" s="776"/>
      <c r="BT78" s="776"/>
      <c r="BU78" s="777"/>
      <c r="BV78" s="778">
        <f>BV35</f>
        <v>161157.867486095</v>
      </c>
      <c r="BW78" s="778">
        <f>BW35</f>
        <v>155966.83045180296</v>
      </c>
      <c r="BX78" s="778">
        <f t="shared" ref="BX78:CH78" si="131">BX35</f>
        <v>196111.53846153844</v>
      </c>
      <c r="BY78" s="778">
        <f t="shared" si="131"/>
        <v>159169.23076923078</v>
      </c>
      <c r="BZ78" s="778">
        <f t="shared" si="131"/>
        <v>151482.39341785663</v>
      </c>
      <c r="CA78" s="778">
        <f t="shared" si="131"/>
        <v>141442.12910096842</v>
      </c>
      <c r="CB78" s="778">
        <f t="shared" si="131"/>
        <v>176986.21444761599</v>
      </c>
      <c r="CC78" s="778">
        <f t="shared" si="131"/>
        <v>201301.08944885107</v>
      </c>
      <c r="CD78" s="778">
        <f t="shared" si="131"/>
        <v>212833.04013559342</v>
      </c>
      <c r="CE78" s="778">
        <f t="shared" si="131"/>
        <v>215922.30386211892</v>
      </c>
      <c r="CF78" s="778">
        <f t="shared" si="131"/>
        <v>171115.84223630186</v>
      </c>
      <c r="CG78" s="778">
        <f t="shared" si="131"/>
        <v>87483.816691710366</v>
      </c>
      <c r="CH78" s="776">
        <f>SUM(BV78:CG78)</f>
        <v>2030972.2965096838</v>
      </c>
      <c r="CI78" s="779"/>
      <c r="CJ78" s="778">
        <f>CJ73+CJ40</f>
        <v>149449.15862840106</v>
      </c>
      <c r="CK78" s="778">
        <f t="shared" ref="CK78:CU78" si="132">CK73+CK40</f>
        <v>165299.98482295938</v>
      </c>
      <c r="CL78" s="778">
        <f t="shared" si="132"/>
        <v>157623.38063361909</v>
      </c>
      <c r="CM78" s="778">
        <f t="shared" si="132"/>
        <v>156795.25083861349</v>
      </c>
      <c r="CN78" s="778">
        <f>CN73+CN40</f>
        <v>159036.51643682446</v>
      </c>
      <c r="CO78" s="778">
        <f t="shared" si="132"/>
        <v>127776.80715616846</v>
      </c>
      <c r="CP78" s="778">
        <f t="shared" si="132"/>
        <v>201036.96194092827</v>
      </c>
      <c r="CQ78" s="778">
        <f t="shared" si="132"/>
        <v>217939.23822784808</v>
      </c>
      <c r="CR78" s="778">
        <f>CR73+CR40</f>
        <v>251919.92080168775</v>
      </c>
      <c r="CS78" s="778">
        <f>CS73+CS40</f>
        <v>237402.61350210969</v>
      </c>
      <c r="CT78" s="778">
        <f>CT73+CT40-CT80-CT79</f>
        <v>113946.85004219407</v>
      </c>
      <c r="CU78" s="778">
        <f>CU73+CU40-CU80-CU79</f>
        <v>79742.822784810123</v>
      </c>
      <c r="CV78" s="778"/>
      <c r="CW78" s="758"/>
      <c r="CX78" s="897">
        <f>CX98-CX101-CX79</f>
        <v>137996.46000000002</v>
      </c>
      <c r="CY78" s="897">
        <f t="shared" ref="CY78:DI78" si="133">CY98-CY101-CY79</f>
        <v>109115.58999999998</v>
      </c>
      <c r="CZ78" s="897">
        <f t="shared" si="133"/>
        <v>159971.47</v>
      </c>
      <c r="DA78" s="897">
        <f t="shared" si="133"/>
        <v>111340.64</v>
      </c>
      <c r="DB78" s="897">
        <f t="shared" si="133"/>
        <v>119915.75999999998</v>
      </c>
      <c r="DC78" s="897">
        <f t="shared" si="133"/>
        <v>92130.62</v>
      </c>
      <c r="DD78" s="897">
        <f t="shared" si="133"/>
        <v>136939.83000000002</v>
      </c>
      <c r="DE78" s="897">
        <f t="shared" si="133"/>
        <v>135607.21</v>
      </c>
      <c r="DF78" s="897">
        <f>DF98-DF101-DF79</f>
        <v>183966.23</v>
      </c>
      <c r="DG78" s="897">
        <f t="shared" si="133"/>
        <v>212260.74085232065</v>
      </c>
      <c r="DH78" s="897">
        <f t="shared" si="133"/>
        <v>147017.18444641351</v>
      </c>
      <c r="DI78" s="897">
        <f t="shared" si="133"/>
        <v>100014.48776329115</v>
      </c>
      <c r="DJ78" s="778">
        <f>SUM(CX78:DI78)</f>
        <v>1646276.2230620254</v>
      </c>
      <c r="DK78" s="948"/>
      <c r="DL78" s="897">
        <f>DL98-DL101-DL79</f>
        <v>157443.40600000005</v>
      </c>
      <c r="DM78" s="897">
        <f t="shared" ref="DM78:DW78" si="134">DM98-DM101-DM79</f>
        <v>125062.27899999999</v>
      </c>
      <c r="DN78" s="897">
        <f t="shared" si="134"/>
        <v>180791.82700000002</v>
      </c>
      <c r="DO78" s="897">
        <f t="shared" si="134"/>
        <v>127193.88400000001</v>
      </c>
      <c r="DP78" s="897">
        <f t="shared" si="134"/>
        <v>138872.236</v>
      </c>
      <c r="DQ78" s="897">
        <f t="shared" si="134"/>
        <v>105431.482</v>
      </c>
      <c r="DR78" s="897">
        <f t="shared" si="134"/>
        <v>164765.40300000005</v>
      </c>
      <c r="DS78" s="897">
        <f t="shared" si="134"/>
        <v>160399.921</v>
      </c>
      <c r="DT78" s="897">
        <f t="shared" si="134"/>
        <v>212905.14300000001</v>
      </c>
      <c r="DU78" s="897">
        <f t="shared" si="134"/>
        <v>238147.62493755276</v>
      </c>
      <c r="DV78" s="897">
        <f t="shared" si="134"/>
        <v>164854.83789105486</v>
      </c>
      <c r="DW78" s="897">
        <f t="shared" si="134"/>
        <v>111435.70653962028</v>
      </c>
      <c r="DX78" s="778">
        <f>SUM(DL78:DW78)</f>
        <v>1887303.7503682277</v>
      </c>
    </row>
    <row r="79" spans="1:128" ht="22.5" hidden="1" customHeight="1">
      <c r="A79" s="765"/>
      <c r="B79" s="766" t="s">
        <v>126</v>
      </c>
      <c r="C79" s="767"/>
      <c r="D79" s="768"/>
      <c r="E79" s="769"/>
      <c r="F79" s="769"/>
      <c r="G79" s="769"/>
      <c r="H79" s="769"/>
      <c r="I79" s="769"/>
      <c r="J79" s="769"/>
      <c r="K79" s="769"/>
      <c r="L79" s="769"/>
      <c r="M79" s="769"/>
      <c r="N79" s="769"/>
      <c r="O79" s="769"/>
      <c r="P79" s="770"/>
      <c r="Q79" s="771"/>
      <c r="R79" s="768"/>
      <c r="S79" s="772"/>
      <c r="T79" s="772"/>
      <c r="U79" s="772"/>
      <c r="V79" s="772"/>
      <c r="W79" s="773"/>
      <c r="X79" s="773"/>
      <c r="Y79" s="773"/>
      <c r="Z79" s="773"/>
      <c r="AA79" s="773"/>
      <c r="AB79" s="773"/>
      <c r="AC79" s="773"/>
      <c r="AD79" s="774"/>
      <c r="AE79" s="775"/>
      <c r="AF79" s="776"/>
      <c r="AG79" s="776"/>
      <c r="AH79" s="776"/>
      <c r="AI79" s="776"/>
      <c r="AJ79" s="776"/>
      <c r="AK79" s="776"/>
      <c r="AL79" s="776"/>
      <c r="AM79" s="776"/>
      <c r="AN79" s="776"/>
      <c r="AO79" s="776"/>
      <c r="AP79" s="776"/>
      <c r="AQ79" s="776"/>
      <c r="AR79" s="772"/>
      <c r="AS79" s="775"/>
      <c r="AT79" s="776"/>
      <c r="AU79" s="776"/>
      <c r="AV79" s="776"/>
      <c r="AW79" s="776"/>
      <c r="AX79" s="776"/>
      <c r="AY79" s="776"/>
      <c r="AZ79" s="776"/>
      <c r="BA79" s="776"/>
      <c r="BB79" s="776"/>
      <c r="BC79" s="776"/>
      <c r="BD79" s="776"/>
      <c r="BE79" s="776"/>
      <c r="BF79" s="772"/>
      <c r="BG79" s="775"/>
      <c r="BH79" s="776"/>
      <c r="BI79" s="776"/>
      <c r="BJ79" s="776"/>
      <c r="BK79" s="776"/>
      <c r="BL79" s="776"/>
      <c r="BM79" s="776"/>
      <c r="BN79" s="776"/>
      <c r="BO79" s="776"/>
      <c r="BP79" s="776"/>
      <c r="BQ79" s="776"/>
      <c r="BR79" s="776"/>
      <c r="BS79" s="776"/>
      <c r="BT79" s="776"/>
      <c r="BU79" s="777"/>
      <c r="BV79" s="778"/>
      <c r="BW79" s="778"/>
      <c r="BX79" s="778"/>
      <c r="BY79" s="778"/>
      <c r="BZ79" s="778"/>
      <c r="CA79" s="778"/>
      <c r="CB79" s="778"/>
      <c r="CC79" s="778"/>
      <c r="CD79" s="778"/>
      <c r="CE79" s="778"/>
      <c r="CF79" s="778"/>
      <c r="CG79" s="778"/>
      <c r="CH79" s="776"/>
      <c r="CI79" s="779"/>
      <c r="CJ79" s="778"/>
      <c r="CK79" s="778"/>
      <c r="CL79" s="778"/>
      <c r="CM79" s="778"/>
      <c r="CN79" s="778"/>
      <c r="CO79" s="778"/>
      <c r="CP79" s="778"/>
      <c r="CQ79" s="778"/>
      <c r="CR79" s="778"/>
      <c r="CS79" s="778"/>
      <c r="CT79" s="778">
        <v>15710</v>
      </c>
      <c r="CU79" s="778">
        <v>9907</v>
      </c>
      <c r="CV79" s="778"/>
      <c r="CW79" s="758">
        <f>CW80/6</f>
        <v>-10764.339999999987</v>
      </c>
      <c r="CX79" s="897">
        <f>CX110*1.1</f>
        <v>16863</v>
      </c>
      <c r="CY79" s="897">
        <f t="shared" ref="CY79:DI79" si="135">CY110*1.1</f>
        <v>13357.300000000001</v>
      </c>
      <c r="CZ79" s="897">
        <f t="shared" si="135"/>
        <v>18888.100000000002</v>
      </c>
      <c r="DA79" s="897">
        <f t="shared" si="135"/>
        <v>13813.800000000001</v>
      </c>
      <c r="DB79" s="897">
        <v>18000</v>
      </c>
      <c r="DC79" s="897">
        <v>12000</v>
      </c>
      <c r="DD79" s="897">
        <v>25000</v>
      </c>
      <c r="DE79" s="897">
        <v>24000</v>
      </c>
      <c r="DF79" s="897">
        <v>30000</v>
      </c>
      <c r="DG79" s="897">
        <f t="shared" si="135"/>
        <v>18451.400000000001</v>
      </c>
      <c r="DH79" s="897">
        <f t="shared" si="135"/>
        <v>17281</v>
      </c>
      <c r="DI79" s="897">
        <f t="shared" si="135"/>
        <v>10897.7</v>
      </c>
      <c r="DJ79" s="778">
        <f>SUM(CX79:DI79)</f>
        <v>218552.30000000002</v>
      </c>
      <c r="DK79" s="948"/>
      <c r="DL79" s="897">
        <f>DL110*1.1</f>
        <v>16863</v>
      </c>
      <c r="DM79" s="897">
        <f t="shared" ref="DM79:DW79" si="136">DM110*1.1</f>
        <v>13357.300000000001</v>
      </c>
      <c r="DN79" s="897">
        <f t="shared" si="136"/>
        <v>18888.100000000002</v>
      </c>
      <c r="DO79" s="897">
        <f t="shared" si="136"/>
        <v>13813.800000000001</v>
      </c>
      <c r="DP79" s="897">
        <f t="shared" si="136"/>
        <v>14784.000000000002</v>
      </c>
      <c r="DQ79" s="897">
        <f t="shared" si="136"/>
        <v>10588.6</v>
      </c>
      <c r="DR79" s="897">
        <f t="shared" si="136"/>
        <v>18337</v>
      </c>
      <c r="DS79" s="897">
        <f t="shared" si="136"/>
        <v>20026.600000000002</v>
      </c>
      <c r="DT79" s="897">
        <f>DT110*1.1</f>
        <v>28050.000000000004</v>
      </c>
      <c r="DU79" s="897">
        <f t="shared" ref="DU79:DY79" si="137">DU110*1.1</f>
        <v>18451.400000000001</v>
      </c>
      <c r="DV79" s="897">
        <f t="shared" si="137"/>
        <v>17281</v>
      </c>
      <c r="DW79" s="897">
        <f t="shared" si="137"/>
        <v>10897.7</v>
      </c>
      <c r="DX79" s="778">
        <f>SUM(DL79:DW79)</f>
        <v>201338.50000000003</v>
      </c>
    </row>
    <row r="80" spans="1:128" ht="18" hidden="1" customHeight="1">
      <c r="A80" s="765"/>
      <c r="B80" s="766" t="s">
        <v>127</v>
      </c>
      <c r="C80" s="767"/>
      <c r="D80" s="768"/>
      <c r="E80" s="769"/>
      <c r="F80" s="769"/>
      <c r="G80" s="769"/>
      <c r="H80" s="769"/>
      <c r="I80" s="769"/>
      <c r="J80" s="769"/>
      <c r="K80" s="769"/>
      <c r="L80" s="769"/>
      <c r="M80" s="769"/>
      <c r="N80" s="769"/>
      <c r="O80" s="769"/>
      <c r="P80" s="770"/>
      <c r="Q80" s="771"/>
      <c r="R80" s="768"/>
      <c r="S80" s="772"/>
      <c r="T80" s="772"/>
      <c r="U80" s="772"/>
      <c r="V80" s="772"/>
      <c r="W80" s="773"/>
      <c r="X80" s="773"/>
      <c r="Y80" s="773"/>
      <c r="Z80" s="773"/>
      <c r="AA80" s="773"/>
      <c r="AB80" s="773"/>
      <c r="AC80" s="773"/>
      <c r="AD80" s="774"/>
      <c r="AE80" s="775"/>
      <c r="AF80" s="776"/>
      <c r="AG80" s="776"/>
      <c r="AH80" s="776"/>
      <c r="AI80" s="776"/>
      <c r="AJ80" s="776"/>
      <c r="AK80" s="776"/>
      <c r="AL80" s="776"/>
      <c r="AM80" s="776"/>
      <c r="AN80" s="776"/>
      <c r="AO80" s="776"/>
      <c r="AP80" s="776"/>
      <c r="AQ80" s="776"/>
      <c r="AR80" s="772"/>
      <c r="AS80" s="775"/>
      <c r="AT80" s="776"/>
      <c r="AU80" s="776"/>
      <c r="AV80" s="776"/>
      <c r="AW80" s="776"/>
      <c r="AX80" s="776"/>
      <c r="AY80" s="776"/>
      <c r="AZ80" s="776"/>
      <c r="BA80" s="776"/>
      <c r="BB80" s="776"/>
      <c r="BC80" s="776"/>
      <c r="BD80" s="776"/>
      <c r="BE80" s="776"/>
      <c r="BF80" s="772"/>
      <c r="BG80" s="775"/>
      <c r="BH80" s="776"/>
      <c r="BI80" s="776"/>
      <c r="BJ80" s="776"/>
      <c r="BK80" s="776"/>
      <c r="BL80" s="776"/>
      <c r="BM80" s="776"/>
      <c r="BN80" s="776"/>
      <c r="BO80" s="776"/>
      <c r="BP80" s="776"/>
      <c r="BQ80" s="776"/>
      <c r="BR80" s="776"/>
      <c r="BS80" s="776"/>
      <c r="BT80" s="776"/>
      <c r="BU80" s="777"/>
      <c r="BV80" s="778"/>
      <c r="BW80" s="778"/>
      <c r="BX80" s="778"/>
      <c r="BY80" s="778"/>
      <c r="BZ80" s="778"/>
      <c r="CA80" s="778"/>
      <c r="CB80" s="778"/>
      <c r="CC80" s="778"/>
      <c r="CD80" s="778"/>
      <c r="CE80" s="778"/>
      <c r="CF80" s="778"/>
      <c r="CG80" s="778"/>
      <c r="CH80" s="776"/>
      <c r="CI80" s="779"/>
      <c r="CJ80" s="778"/>
      <c r="CK80" s="778"/>
      <c r="CL80" s="778"/>
      <c r="CM80" s="778"/>
      <c r="CN80" s="778"/>
      <c r="CO80" s="778"/>
      <c r="CP80" s="778"/>
      <c r="CQ80" s="778"/>
      <c r="CR80" s="778"/>
      <c r="CS80" s="778">
        <v>28812</v>
      </c>
      <c r="CT80" s="778">
        <f>CT101</f>
        <v>35000</v>
      </c>
      <c r="CU80" s="778">
        <f>CU101</f>
        <v>2096</v>
      </c>
      <c r="CV80" s="778"/>
      <c r="CW80" s="869">
        <f>CW81-CW76</f>
        <v>-64586.039999999921</v>
      </c>
      <c r="CX80" s="897">
        <f>CX101</f>
        <v>39610</v>
      </c>
      <c r="CY80" s="897">
        <f t="shared" ref="CY80:DC80" si="138">CY101</f>
        <v>36994</v>
      </c>
      <c r="CZ80" s="897">
        <f t="shared" si="138"/>
        <v>29344</v>
      </c>
      <c r="DA80" s="897">
        <f t="shared" si="138"/>
        <v>33378</v>
      </c>
      <c r="DB80" s="897">
        <f t="shared" si="138"/>
        <v>19489</v>
      </c>
      <c r="DC80" s="897">
        <f t="shared" si="138"/>
        <v>14764</v>
      </c>
      <c r="DD80" s="897">
        <f>DD101</f>
        <v>49685.9</v>
      </c>
      <c r="DE80" s="897">
        <f t="shared" ref="DE80:DJ80" si="139">DE101</f>
        <v>48585.9</v>
      </c>
      <c r="DF80" s="897">
        <f t="shared" si="139"/>
        <v>55922.9</v>
      </c>
      <c r="DG80" s="897">
        <f t="shared" si="139"/>
        <v>28156.7</v>
      </c>
      <c r="DH80" s="897">
        <f t="shared" si="139"/>
        <v>14078.35</v>
      </c>
      <c r="DI80" s="897">
        <f t="shared" si="139"/>
        <v>3300.0000000000005</v>
      </c>
      <c r="DJ80" s="778">
        <f>SUM(CX80:DI80)</f>
        <v>373308.75</v>
      </c>
      <c r="DK80" s="948"/>
      <c r="DL80" s="897">
        <f>DL101</f>
        <v>39610</v>
      </c>
      <c r="DM80" s="897">
        <f t="shared" ref="DM80:DQ80" si="140">DM101</f>
        <v>36994</v>
      </c>
      <c r="DN80" s="897">
        <f t="shared" si="140"/>
        <v>29344</v>
      </c>
      <c r="DO80" s="897">
        <f t="shared" si="140"/>
        <v>33378</v>
      </c>
      <c r="DP80" s="897">
        <f t="shared" si="140"/>
        <v>19489</v>
      </c>
      <c r="DQ80" s="897">
        <f t="shared" si="140"/>
        <v>14764</v>
      </c>
      <c r="DR80" s="897">
        <f>DR101</f>
        <v>49685.9</v>
      </c>
      <c r="DS80" s="897">
        <f t="shared" ref="DS80:DX80" si="141">DS101</f>
        <v>48585.9</v>
      </c>
      <c r="DT80" s="897">
        <f t="shared" si="141"/>
        <v>55922.9</v>
      </c>
      <c r="DU80" s="897">
        <f t="shared" si="141"/>
        <v>28156.7</v>
      </c>
      <c r="DV80" s="897">
        <f t="shared" si="141"/>
        <v>14078.35</v>
      </c>
      <c r="DW80" s="897">
        <f t="shared" si="141"/>
        <v>3300.0000000000005</v>
      </c>
      <c r="DX80" s="778">
        <f>SUM(DL80:DW80)</f>
        <v>373308.75</v>
      </c>
    </row>
    <row r="81" spans="1:143" s="1004" customFormat="1" ht="15" customHeight="1">
      <c r="A81" s="1003"/>
      <c r="B81" s="990" t="s">
        <v>128</v>
      </c>
      <c r="C81" s="991"/>
      <c r="D81" s="992"/>
      <c r="E81" s="993"/>
      <c r="F81" s="993"/>
      <c r="G81" s="993"/>
      <c r="H81" s="993"/>
      <c r="I81" s="993"/>
      <c r="J81" s="993"/>
      <c r="K81" s="993"/>
      <c r="L81" s="993"/>
      <c r="M81" s="993"/>
      <c r="N81" s="993"/>
      <c r="O81" s="993"/>
      <c r="P81" s="994"/>
      <c r="Q81" s="995"/>
      <c r="R81" s="992"/>
      <c r="S81" s="836"/>
      <c r="T81" s="836"/>
      <c r="U81" s="836"/>
      <c r="V81" s="836"/>
      <c r="W81" s="996"/>
      <c r="X81" s="996"/>
      <c r="Y81" s="996"/>
      <c r="Z81" s="996"/>
      <c r="AA81" s="996"/>
      <c r="AB81" s="996"/>
      <c r="AC81" s="996"/>
      <c r="AD81" s="997"/>
      <c r="AE81" s="998"/>
      <c r="AF81" s="999"/>
      <c r="AG81" s="836"/>
      <c r="AH81" s="836"/>
      <c r="AI81" s="836"/>
      <c r="AJ81" s="836"/>
      <c r="AK81" s="836"/>
      <c r="AL81" s="836"/>
      <c r="AM81" s="836"/>
      <c r="AN81" s="836"/>
      <c r="AO81" s="836"/>
      <c r="AP81" s="836"/>
      <c r="AQ81" s="836"/>
      <c r="AR81" s="836"/>
      <c r="AS81" s="998"/>
      <c r="AT81" s="836"/>
      <c r="AU81" s="836"/>
      <c r="AV81" s="836"/>
      <c r="AW81" s="836"/>
      <c r="AX81" s="836"/>
      <c r="AY81" s="836"/>
      <c r="AZ81" s="836"/>
      <c r="BA81" s="836"/>
      <c r="BB81" s="836"/>
      <c r="BC81" s="836"/>
      <c r="BD81" s="836"/>
      <c r="BE81" s="836"/>
      <c r="BF81" s="836"/>
      <c r="BG81" s="998"/>
      <c r="BH81" s="836"/>
      <c r="BI81" s="836"/>
      <c r="BJ81" s="836"/>
      <c r="BK81" s="836"/>
      <c r="BL81" s="836"/>
      <c r="BM81" s="836"/>
      <c r="BN81" s="836"/>
      <c r="BO81" s="836"/>
      <c r="BP81" s="836"/>
      <c r="BQ81" s="836"/>
      <c r="BR81" s="836"/>
      <c r="BS81" s="836"/>
      <c r="BT81" s="836"/>
      <c r="BU81" s="1000"/>
      <c r="BV81" s="836"/>
      <c r="BW81" s="836"/>
      <c r="BX81" s="836"/>
      <c r="BY81" s="836"/>
      <c r="BZ81" s="836"/>
      <c r="CA81" s="836"/>
      <c r="CB81" s="836"/>
      <c r="CC81" s="836"/>
      <c r="CD81" s="836"/>
      <c r="CE81" s="836"/>
      <c r="CF81" s="836"/>
      <c r="CG81" s="836"/>
      <c r="CH81" s="836"/>
      <c r="CI81" s="1001"/>
      <c r="CJ81" s="836"/>
      <c r="CK81" s="836"/>
      <c r="CL81" s="836"/>
      <c r="CM81" s="836"/>
      <c r="CN81" s="836"/>
      <c r="CO81" s="836"/>
      <c r="CP81" s="836"/>
      <c r="CQ81" s="836"/>
      <c r="CR81" s="836"/>
      <c r="CS81" s="836"/>
      <c r="CT81" s="836">
        <f>SUM(CT82:CT84)</f>
        <v>210269</v>
      </c>
      <c r="CU81" s="836">
        <f>SUM(CU82:CU84)</f>
        <v>172780</v>
      </c>
      <c r="CV81" s="836"/>
      <c r="CW81" s="1002">
        <f>SUM(CX81:DC81)</f>
        <v>932385.7</v>
      </c>
      <c r="CX81" s="836">
        <f>SUM(CX82:CX84)</f>
        <v>194767.09999999998</v>
      </c>
      <c r="CY81" s="836">
        <f t="shared" ref="CY81:DE81" si="142">SUM(CY82:CY84)</f>
        <v>161944.6</v>
      </c>
      <c r="CZ81" s="836">
        <f>SUM(CZ82:CZ84)</f>
        <v>53400</v>
      </c>
      <c r="DA81" s="836">
        <v>162000</v>
      </c>
      <c r="DB81" s="836">
        <f>SUM(DB82:DB84)</f>
        <v>181104</v>
      </c>
      <c r="DC81" s="836">
        <f>SUM(DC82:DC84)</f>
        <v>179170</v>
      </c>
      <c r="DD81" s="836">
        <f t="shared" si="142"/>
        <v>213585.12</v>
      </c>
      <c r="DE81" s="836">
        <f t="shared" si="142"/>
        <v>181165.94999999998</v>
      </c>
      <c r="DF81" s="836">
        <f>SUM(DF82:DF84)</f>
        <v>186886.98</v>
      </c>
      <c r="DG81" s="836">
        <f t="shared" ref="DG81:DI81" si="143">SUM(DG82:DG84)</f>
        <v>186886.98</v>
      </c>
      <c r="DH81" s="836">
        <f t="shared" si="143"/>
        <v>169088.22</v>
      </c>
      <c r="DI81" s="836">
        <f>SUM(DI82:DI84)</f>
        <v>160188.84</v>
      </c>
      <c r="DJ81" s="999">
        <f>SUM(DA81:DI81)</f>
        <v>1620076.09</v>
      </c>
      <c r="DK81" s="948"/>
      <c r="DL81" s="831">
        <f>SUM(DL82:DL84)</f>
        <v>172539</v>
      </c>
      <c r="DM81" s="831">
        <f t="shared" ref="DM81:DQ81" si="144">SUM(DM82:DM84)</f>
        <v>146658.15</v>
      </c>
      <c r="DN81" s="831">
        <f>SUM(DN82:DN84)</f>
        <v>190701</v>
      </c>
      <c r="DO81" s="831">
        <f>SUM(DO82:DO84)</f>
        <v>181620</v>
      </c>
      <c r="DP81" s="831">
        <f t="shared" ref="DP81:DW81" si="145">SUM(DP82:DP84)</f>
        <v>177987.6</v>
      </c>
      <c r="DQ81" s="831">
        <f t="shared" si="145"/>
        <v>181165.94999999998</v>
      </c>
      <c r="DR81" s="831">
        <f t="shared" si="145"/>
        <v>204685.74</v>
      </c>
      <c r="DS81" s="831">
        <f t="shared" si="145"/>
        <v>181165.94999999998</v>
      </c>
      <c r="DT81" s="831">
        <f t="shared" si="145"/>
        <v>186886.98</v>
      </c>
      <c r="DU81" s="831">
        <f t="shared" si="145"/>
        <v>186886.98</v>
      </c>
      <c r="DV81" s="831">
        <f t="shared" si="145"/>
        <v>169088.22</v>
      </c>
      <c r="DW81" s="831">
        <f t="shared" si="145"/>
        <v>142390.07999999999</v>
      </c>
      <c r="DX81" s="999">
        <f>SUM(DL81:DW81)</f>
        <v>2121775.65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</row>
    <row r="82" spans="1:143" ht="15.75" hidden="1" customHeight="1" outlineLevel="1">
      <c r="A82" s="719">
        <v>7</v>
      </c>
      <c r="B82" s="936" t="s">
        <v>129</v>
      </c>
      <c r="C82" s="781"/>
      <c r="D82" s="793">
        <v>98048</v>
      </c>
      <c r="E82" s="794">
        <v>128688</v>
      </c>
      <c r="F82" s="794">
        <v>124704</v>
      </c>
      <c r="G82" s="794">
        <v>157500</v>
      </c>
      <c r="H82" s="794">
        <v>182600</v>
      </c>
      <c r="I82" s="794">
        <v>157700</v>
      </c>
      <c r="J82" s="794">
        <v>181700</v>
      </c>
      <c r="K82" s="794">
        <v>165900</v>
      </c>
      <c r="L82" s="794">
        <v>174300</v>
      </c>
      <c r="M82" s="794">
        <v>215800</v>
      </c>
      <c r="N82" s="794">
        <v>180000</v>
      </c>
      <c r="O82" s="794">
        <v>112500</v>
      </c>
      <c r="P82" s="795">
        <f t="shared" ref="P82:P85" si="146">SUM(D82:O82)</f>
        <v>1879440</v>
      </c>
      <c r="Q82" s="796"/>
      <c r="R82" s="793">
        <v>158400</v>
      </c>
      <c r="S82" s="797">
        <v>161000</v>
      </c>
      <c r="T82" s="797">
        <v>117800</v>
      </c>
      <c r="U82" s="797">
        <v>2000</v>
      </c>
      <c r="V82" s="797">
        <v>53800</v>
      </c>
      <c r="W82" s="797">
        <v>190600</v>
      </c>
      <c r="X82" s="797">
        <v>187900</v>
      </c>
      <c r="Y82" s="797">
        <v>196800</v>
      </c>
      <c r="Z82" s="797">
        <v>192300</v>
      </c>
      <c r="AA82" s="797">
        <v>182300</v>
      </c>
      <c r="AB82" s="797">
        <v>175000</v>
      </c>
      <c r="AC82" s="797">
        <v>134100</v>
      </c>
      <c r="AD82" s="798">
        <f>SUM(R82:AC82)</f>
        <v>1752000</v>
      </c>
      <c r="AE82" s="799"/>
      <c r="AF82" s="800">
        <f t="shared" ref="AF82:AL82" si="147">SUM(AF85,AF87)</f>
        <v>161400</v>
      </c>
      <c r="AG82" s="800">
        <f t="shared" si="147"/>
        <v>166000</v>
      </c>
      <c r="AH82" s="800">
        <f t="shared" si="147"/>
        <v>150471</v>
      </c>
      <c r="AI82" s="800">
        <f t="shared" si="147"/>
        <v>149040</v>
      </c>
      <c r="AJ82" s="800">
        <f t="shared" si="147"/>
        <v>196360</v>
      </c>
      <c r="AK82" s="800">
        <f t="shared" si="147"/>
        <v>163300</v>
      </c>
      <c r="AL82" s="800">
        <f t="shared" si="147"/>
        <v>190000</v>
      </c>
      <c r="AM82" s="800">
        <f t="shared" ref="AM82:AQ82" si="148">SUM(AM85,AM87,AM88)</f>
        <v>167000</v>
      </c>
      <c r="AN82" s="800">
        <f t="shared" si="148"/>
        <v>170500</v>
      </c>
      <c r="AO82" s="800">
        <f t="shared" si="148"/>
        <v>140000</v>
      </c>
      <c r="AP82" s="800">
        <f t="shared" si="148"/>
        <v>130000</v>
      </c>
      <c r="AQ82" s="800">
        <f t="shared" si="148"/>
        <v>100000</v>
      </c>
      <c r="AR82" s="786">
        <f t="shared" ref="AR82:AR85" si="149">SUM(AF82:AQ82)</f>
        <v>1884071</v>
      </c>
      <c r="AS82" s="799"/>
      <c r="AT82" s="800">
        <f t="shared" ref="AT82:BC82" si="150">SUM(AT85,AT87,AT88)</f>
        <v>133000</v>
      </c>
      <c r="AU82" s="800">
        <f t="shared" si="150"/>
        <v>125180</v>
      </c>
      <c r="AV82" s="800">
        <f t="shared" si="150"/>
        <v>117228</v>
      </c>
      <c r="AW82" s="800">
        <f t="shared" si="150"/>
        <v>127500</v>
      </c>
      <c r="AX82" s="800">
        <f t="shared" si="150"/>
        <v>140000</v>
      </c>
      <c r="AY82" s="800">
        <f t="shared" si="150"/>
        <v>158342.99999899999</v>
      </c>
      <c r="AZ82" s="800">
        <f t="shared" si="150"/>
        <v>152409</v>
      </c>
      <c r="BA82" s="800">
        <f t="shared" si="150"/>
        <v>173520</v>
      </c>
      <c r="BB82" s="800">
        <f t="shared" si="150"/>
        <v>165000</v>
      </c>
      <c r="BC82" s="800">
        <f t="shared" si="150"/>
        <v>157500</v>
      </c>
      <c r="BD82" s="800">
        <v>129431</v>
      </c>
      <c r="BE82" s="800">
        <v>61700</v>
      </c>
      <c r="BF82" s="797">
        <f t="shared" ref="BF82:BF85" si="151">SUM(AT82:BE82)</f>
        <v>1640810.999999</v>
      </c>
      <c r="BG82" s="799">
        <f>BF82-AR82</f>
        <v>-243260.00000100001</v>
      </c>
      <c r="BH82" s="790">
        <f>SUM(BH85,BH87,BH88)</f>
        <v>139760</v>
      </c>
      <c r="BI82" s="790">
        <f t="shared" ref="BI82:BP82" si="152">SUM(BI85,BI87,BI88)</f>
        <v>116580</v>
      </c>
      <c r="BJ82" s="790">
        <f t="shared" si="152"/>
        <v>148340</v>
      </c>
      <c r="BK82" s="790">
        <f t="shared" si="152"/>
        <v>112360</v>
      </c>
      <c r="BL82" s="790">
        <f t="shared" si="152"/>
        <v>108660</v>
      </c>
      <c r="BM82" s="790">
        <f t="shared" si="152"/>
        <v>153416</v>
      </c>
      <c r="BN82" s="790">
        <f t="shared" si="152"/>
        <v>137676</v>
      </c>
      <c r="BO82" s="790">
        <f t="shared" si="152"/>
        <v>160654</v>
      </c>
      <c r="BP82" s="790">
        <f t="shared" si="152"/>
        <v>157000</v>
      </c>
      <c r="BQ82" s="790">
        <v>156725</v>
      </c>
      <c r="BR82" s="790">
        <v>182069</v>
      </c>
      <c r="BS82" s="790">
        <f>BS85+BS88</f>
        <v>156420</v>
      </c>
      <c r="BT82" s="790">
        <f t="shared" ref="BT82:BT85" si="153">SUM(BH82:BS82)</f>
        <v>1729660</v>
      </c>
      <c r="BU82" s="791"/>
      <c r="BV82" s="801">
        <f>BV8*BV86</f>
        <v>133000</v>
      </c>
      <c r="BW82" s="801">
        <f>BW8*BW86</f>
        <v>133000</v>
      </c>
      <c r="BX82" s="801">
        <f>BX8*BX86</f>
        <v>147000</v>
      </c>
      <c r="BY82" s="801">
        <f>BY8*BY86</f>
        <v>172800</v>
      </c>
      <c r="BZ82" s="801">
        <f>BZ8*BZ86</f>
        <v>165600</v>
      </c>
      <c r="CA82" s="801">
        <f>CA8*CA86</f>
        <v>158400</v>
      </c>
      <c r="CB82" s="801">
        <f>CB8*CB86</f>
        <v>180000</v>
      </c>
      <c r="CC82" s="801">
        <f>CC8*CC86</f>
        <v>172800</v>
      </c>
      <c r="CD82" s="801">
        <f>CD8*CD86</f>
        <v>172800</v>
      </c>
      <c r="CE82" s="801">
        <f>CE8*CE86</f>
        <v>172800</v>
      </c>
      <c r="CF82" s="801">
        <f>CF8*CF86</f>
        <v>167200</v>
      </c>
      <c r="CG82" s="801">
        <f>CG8*CG86</f>
        <v>98800</v>
      </c>
      <c r="CH82" s="801">
        <f t="shared" ref="CH82:CH87" si="154">SUM(BV82:CG82)</f>
        <v>1874200</v>
      </c>
      <c r="CI82" s="801"/>
      <c r="CJ82" s="801">
        <f>CJ8*CJ86</f>
        <v>165000</v>
      </c>
      <c r="CK82" s="801">
        <f>CK8*CK86</f>
        <v>188600</v>
      </c>
      <c r="CL82" s="801">
        <f>CL8*CL86</f>
        <v>171000</v>
      </c>
      <c r="CM82" s="801">
        <f>CM8*CM86</f>
        <v>200000</v>
      </c>
      <c r="CN82" s="801">
        <f>CN8*CN86</f>
        <v>178290</v>
      </c>
      <c r="CO82" s="801">
        <f>CO8*CO86</f>
        <v>198000</v>
      </c>
      <c r="CP82" s="801">
        <f>CP8*CP86</f>
        <v>245000</v>
      </c>
      <c r="CQ82" s="801">
        <f>CQ8*CQ86</f>
        <v>207900</v>
      </c>
      <c r="CR82" s="801">
        <f>CR8*CR86</f>
        <v>217800</v>
      </c>
      <c r="CS82" s="801">
        <v>205579</v>
      </c>
      <c r="CT82" s="801">
        <f>(CT8*CT86)-CT84</f>
        <v>164340</v>
      </c>
      <c r="CU82" s="801">
        <f>(CU8*CU86)-CU84</f>
        <v>118660</v>
      </c>
      <c r="CV82" s="790">
        <f>SUM(CJ82:CU82)</f>
        <v>2260169</v>
      </c>
      <c r="CW82" s="758"/>
      <c r="CX82" s="899">
        <f>(CX8*CX86)*0.95-CX84-CX83</f>
        <v>131887.09999999998</v>
      </c>
      <c r="CY82" s="899">
        <f>(CY8*CY86)*0.95-CY84-CY83</f>
        <v>117864.6</v>
      </c>
      <c r="CZ82" s="899">
        <f>(CZ8*CZ86)*1-CZ84-CZ83</f>
        <v>1380</v>
      </c>
      <c r="DA82" s="899">
        <f>(DA8*DA86)*1-DA84-DA83</f>
        <v>40840</v>
      </c>
      <c r="DB82" s="899">
        <f>(DB8*DB86)*0.98-DB84-DB83</f>
        <v>152104</v>
      </c>
      <c r="DC82" s="899">
        <f>(DC8*DC86)*0.95-DC84-DC83</f>
        <v>115170</v>
      </c>
      <c r="DD82" s="899">
        <f>(DD8*DD86)*0.98-DD84-DD83</f>
        <v>148585.12</v>
      </c>
      <c r="DE82" s="899">
        <f>(DE8*DE86)*0.95-DE84-DE83</f>
        <v>116165.94999999998</v>
      </c>
      <c r="DF82" s="899">
        <f>(DF8*DF86)*0.98-DF84-DF83</f>
        <v>121886.98000000001</v>
      </c>
      <c r="DG82" s="899">
        <f>(DG8*DG86)*0.98-DG84-DG83</f>
        <v>146886.98000000001</v>
      </c>
      <c r="DH82" s="899">
        <f>(DH8*DH86)*0.98-DH84-DH83</f>
        <v>140088.22</v>
      </c>
      <c r="DI82" s="899">
        <f>(DI8*DI86)*0.98-DI84-DI83</f>
        <v>100188.84</v>
      </c>
      <c r="DJ82" s="801">
        <f>SUM(CX82:DI82)</f>
        <v>1333047.79</v>
      </c>
      <c r="DK82" s="948"/>
      <c r="DL82" s="899">
        <f>(DL8*DL86)*0.95-DL84-DL83</f>
        <v>109659</v>
      </c>
      <c r="DM82" s="899">
        <f>(DM8*DM86)*0.95-DM84-DM83</f>
        <v>102578.15</v>
      </c>
      <c r="DN82" s="899">
        <f>(DN8*DN86)*1-DN84-DN83</f>
        <v>138681</v>
      </c>
      <c r="DO82" s="899">
        <f>(DO8*DO86)*1-DO84-DO83</f>
        <v>142460</v>
      </c>
      <c r="DP82" s="899">
        <f>(DP8*DP86)*0.98-DP84-DP83</f>
        <v>148987.6</v>
      </c>
      <c r="DQ82" s="899">
        <f>(DQ8*DQ86)*0.95-DQ84-DQ83</f>
        <v>117165.94999999998</v>
      </c>
      <c r="DR82" s="899">
        <f>(DR8*DR86)*0.98-DR84-DR83</f>
        <v>144685.74</v>
      </c>
      <c r="DS82" s="899">
        <f>(DS8*DS86)*0.95-DS84-DS83</f>
        <v>123165.94999999998</v>
      </c>
      <c r="DT82" s="899">
        <f>(DT8*DT86)*0.98-DT84-DT83</f>
        <v>127886.98000000001</v>
      </c>
      <c r="DU82" s="899">
        <f>(DU8*DU86)*0.98-DU84-DU83</f>
        <v>152886.98000000001</v>
      </c>
      <c r="DV82" s="899">
        <f>(DV8*DV86)*0.98-DV84-DV83</f>
        <v>140088.22</v>
      </c>
      <c r="DW82" s="899">
        <f>(DW8*DW86)*0.98-DW84-DW83</f>
        <v>82390.079999999987</v>
      </c>
      <c r="DX82" s="801">
        <f>SUM(DL82:DW82)</f>
        <v>1530635.65</v>
      </c>
    </row>
    <row r="83" spans="1:143" ht="15.75" hidden="1" customHeight="1" outlineLevel="1">
      <c r="A83" s="719"/>
      <c r="B83" s="936" t="s">
        <v>130</v>
      </c>
      <c r="C83" s="781"/>
      <c r="D83" s="793"/>
      <c r="E83" s="794"/>
      <c r="F83" s="794"/>
      <c r="G83" s="794"/>
      <c r="H83" s="794"/>
      <c r="I83" s="794"/>
      <c r="J83" s="794"/>
      <c r="K83" s="794"/>
      <c r="L83" s="794"/>
      <c r="M83" s="794"/>
      <c r="N83" s="794"/>
      <c r="O83" s="794"/>
      <c r="P83" s="795"/>
      <c r="Q83" s="796"/>
      <c r="R83" s="793"/>
      <c r="S83" s="797"/>
      <c r="T83" s="797"/>
      <c r="U83" s="797"/>
      <c r="V83" s="797"/>
      <c r="W83" s="797"/>
      <c r="X83" s="797"/>
      <c r="Y83" s="797"/>
      <c r="Z83" s="797"/>
      <c r="AA83" s="797"/>
      <c r="AB83" s="797"/>
      <c r="AC83" s="797"/>
      <c r="AD83" s="798"/>
      <c r="AE83" s="799"/>
      <c r="AF83" s="800"/>
      <c r="AG83" s="800"/>
      <c r="AH83" s="800"/>
      <c r="AI83" s="800"/>
      <c r="AJ83" s="800"/>
      <c r="AK83" s="800"/>
      <c r="AL83" s="800"/>
      <c r="AM83" s="800"/>
      <c r="AN83" s="800"/>
      <c r="AO83" s="800"/>
      <c r="AP83" s="800"/>
      <c r="AQ83" s="800"/>
      <c r="AR83" s="786"/>
      <c r="AS83" s="799"/>
      <c r="AT83" s="800"/>
      <c r="AU83" s="800"/>
      <c r="AV83" s="800"/>
      <c r="AW83" s="800"/>
      <c r="AX83" s="800"/>
      <c r="AY83" s="800"/>
      <c r="AZ83" s="800"/>
      <c r="BA83" s="800"/>
      <c r="BB83" s="800"/>
      <c r="BC83" s="800"/>
      <c r="BD83" s="800"/>
      <c r="BE83" s="800"/>
      <c r="BF83" s="797"/>
      <c r="BG83" s="799"/>
      <c r="BH83" s="790"/>
      <c r="BI83" s="790"/>
      <c r="BJ83" s="790"/>
      <c r="BK83" s="790"/>
      <c r="BL83" s="790"/>
      <c r="BM83" s="790"/>
      <c r="BN83" s="790"/>
      <c r="BO83" s="790"/>
      <c r="BP83" s="790"/>
      <c r="BQ83" s="790"/>
      <c r="BR83" s="790"/>
      <c r="BS83" s="790"/>
      <c r="BT83" s="790"/>
      <c r="BU83" s="791"/>
      <c r="BV83" s="801"/>
      <c r="BW83" s="801"/>
      <c r="BX83" s="801"/>
      <c r="BY83" s="801"/>
      <c r="BZ83" s="801"/>
      <c r="CA83" s="801"/>
      <c r="CB83" s="801"/>
      <c r="CC83" s="801"/>
      <c r="CD83" s="801"/>
      <c r="CE83" s="801"/>
      <c r="CF83" s="801"/>
      <c r="CG83" s="801"/>
      <c r="CH83" s="801"/>
      <c r="CI83" s="802"/>
      <c r="CJ83" s="801"/>
      <c r="CK83" s="801"/>
      <c r="CL83" s="801"/>
      <c r="CM83" s="801"/>
      <c r="CN83" s="801"/>
      <c r="CO83" s="801"/>
      <c r="CP83" s="801"/>
      <c r="CQ83" s="801"/>
      <c r="CR83" s="801"/>
      <c r="CS83" s="801"/>
      <c r="CT83" s="801">
        <v>25469</v>
      </c>
      <c r="CU83" s="801">
        <v>14680</v>
      </c>
      <c r="CV83" s="790"/>
      <c r="CW83" s="758"/>
      <c r="CX83" s="900">
        <v>9000</v>
      </c>
      <c r="CY83" s="900">
        <v>14000</v>
      </c>
      <c r="CZ83" s="900">
        <v>18000</v>
      </c>
      <c r="DA83" s="900">
        <v>18000</v>
      </c>
      <c r="DB83" s="900">
        <v>19000</v>
      </c>
      <c r="DC83" s="900">
        <v>14000</v>
      </c>
      <c r="DD83" s="900">
        <v>25000</v>
      </c>
      <c r="DE83" s="900">
        <v>25000</v>
      </c>
      <c r="DF83" s="900">
        <v>30000</v>
      </c>
      <c r="DG83" s="900">
        <v>20000</v>
      </c>
      <c r="DH83" s="900">
        <v>19000</v>
      </c>
      <c r="DI83" s="900">
        <v>10000</v>
      </c>
      <c r="DJ83" s="801">
        <f t="shared" ref="DJ83:DJ84" si="155">SUM(CX83:DI83)</f>
        <v>221000</v>
      </c>
      <c r="DK83" s="948"/>
      <c r="DL83" s="900">
        <v>9000</v>
      </c>
      <c r="DM83" s="900">
        <v>14000</v>
      </c>
      <c r="DN83" s="900">
        <v>18000</v>
      </c>
      <c r="DO83" s="900">
        <v>18000</v>
      </c>
      <c r="DP83" s="900">
        <v>19000</v>
      </c>
      <c r="DQ83" s="900">
        <v>14000</v>
      </c>
      <c r="DR83" s="900">
        <v>20000</v>
      </c>
      <c r="DS83" s="900">
        <v>18000</v>
      </c>
      <c r="DT83" s="900">
        <v>24000</v>
      </c>
      <c r="DU83" s="900">
        <v>14000</v>
      </c>
      <c r="DV83" s="900">
        <v>19000</v>
      </c>
      <c r="DW83" s="900">
        <v>10000</v>
      </c>
      <c r="DX83" s="801">
        <f t="shared" ref="DX83:DX84" si="156">SUM(DL83:DW83)</f>
        <v>197000</v>
      </c>
    </row>
    <row r="84" spans="1:143" ht="15.75" hidden="1" customHeight="1" outlineLevel="1">
      <c r="A84" s="719"/>
      <c r="B84" s="936" t="s">
        <v>131</v>
      </c>
      <c r="C84" s="781"/>
      <c r="D84" s="793"/>
      <c r="E84" s="794"/>
      <c r="F84" s="794"/>
      <c r="G84" s="794"/>
      <c r="H84" s="794"/>
      <c r="I84" s="794"/>
      <c r="J84" s="794"/>
      <c r="K84" s="794"/>
      <c r="L84" s="794"/>
      <c r="M84" s="794"/>
      <c r="N84" s="794"/>
      <c r="O84" s="794"/>
      <c r="P84" s="795"/>
      <c r="Q84" s="796"/>
      <c r="R84" s="793"/>
      <c r="S84" s="797"/>
      <c r="T84" s="797"/>
      <c r="U84" s="797"/>
      <c r="V84" s="797"/>
      <c r="W84" s="797"/>
      <c r="X84" s="797"/>
      <c r="Y84" s="797"/>
      <c r="Z84" s="797"/>
      <c r="AA84" s="797"/>
      <c r="AB84" s="797"/>
      <c r="AC84" s="797"/>
      <c r="AD84" s="798"/>
      <c r="AE84" s="799"/>
      <c r="AF84" s="800"/>
      <c r="AG84" s="800"/>
      <c r="AH84" s="800"/>
      <c r="AI84" s="800"/>
      <c r="AJ84" s="800"/>
      <c r="AK84" s="800"/>
      <c r="AL84" s="800"/>
      <c r="AM84" s="800"/>
      <c r="AN84" s="800"/>
      <c r="AO84" s="800"/>
      <c r="AP84" s="800"/>
      <c r="AQ84" s="800"/>
      <c r="AR84" s="786"/>
      <c r="AS84" s="799"/>
      <c r="AT84" s="800"/>
      <c r="AU84" s="800"/>
      <c r="AV84" s="800"/>
      <c r="AW84" s="800"/>
      <c r="AX84" s="800"/>
      <c r="AY84" s="800"/>
      <c r="AZ84" s="800"/>
      <c r="BA84" s="800"/>
      <c r="BB84" s="800"/>
      <c r="BC84" s="800"/>
      <c r="BD84" s="800"/>
      <c r="BE84" s="800"/>
      <c r="BF84" s="797"/>
      <c r="BG84" s="799"/>
      <c r="BH84" s="790"/>
      <c r="BI84" s="790"/>
      <c r="BJ84" s="790"/>
      <c r="BK84" s="790"/>
      <c r="BL84" s="790"/>
      <c r="BM84" s="790"/>
      <c r="BN84" s="790"/>
      <c r="BO84" s="790"/>
      <c r="BP84" s="790"/>
      <c r="BQ84" s="790"/>
      <c r="BR84" s="790"/>
      <c r="BS84" s="790"/>
      <c r="BT84" s="790"/>
      <c r="BU84" s="791"/>
      <c r="BV84" s="801"/>
      <c r="BW84" s="801"/>
      <c r="BX84" s="801"/>
      <c r="BY84" s="801"/>
      <c r="BZ84" s="801"/>
      <c r="CA84" s="801"/>
      <c r="CB84" s="801"/>
      <c r="CC84" s="801"/>
      <c r="CD84" s="801"/>
      <c r="CE84" s="801"/>
      <c r="CF84" s="801"/>
      <c r="CG84" s="801"/>
      <c r="CH84" s="801"/>
      <c r="CI84" s="802"/>
      <c r="CJ84" s="801"/>
      <c r="CK84" s="801"/>
      <c r="CL84" s="801"/>
      <c r="CM84" s="801"/>
      <c r="CN84" s="801"/>
      <c r="CO84" s="801"/>
      <c r="CP84" s="801"/>
      <c r="CQ84" s="801"/>
      <c r="CR84" s="801"/>
      <c r="CS84" s="801"/>
      <c r="CT84" s="801">
        <f>CT100</f>
        <v>20460</v>
      </c>
      <c r="CU84" s="801">
        <f>CU100</f>
        <v>39440</v>
      </c>
      <c r="CV84" s="790"/>
      <c r="CW84" s="758"/>
      <c r="CX84" s="900">
        <f>CX100</f>
        <v>53880</v>
      </c>
      <c r="CY84" s="900">
        <f t="shared" ref="CY84:DI84" si="157">CY100</f>
        <v>30080</v>
      </c>
      <c r="CZ84" s="900">
        <f t="shared" si="157"/>
        <v>34020</v>
      </c>
      <c r="DA84" s="900">
        <f t="shared" si="157"/>
        <v>21160</v>
      </c>
      <c r="DB84" s="900">
        <f t="shared" si="157"/>
        <v>10000</v>
      </c>
      <c r="DC84" s="900">
        <f t="shared" si="157"/>
        <v>50000</v>
      </c>
      <c r="DD84" s="900">
        <f t="shared" si="157"/>
        <v>40000</v>
      </c>
      <c r="DE84" s="900">
        <f t="shared" si="157"/>
        <v>40000</v>
      </c>
      <c r="DF84" s="900">
        <f>DF100</f>
        <v>35000</v>
      </c>
      <c r="DG84" s="900">
        <f t="shared" si="157"/>
        <v>20000</v>
      </c>
      <c r="DH84" s="900">
        <f t="shared" si="157"/>
        <v>10000</v>
      </c>
      <c r="DI84" s="900">
        <f t="shared" si="157"/>
        <v>50000</v>
      </c>
      <c r="DJ84" s="801">
        <f t="shared" si="155"/>
        <v>394140</v>
      </c>
      <c r="DK84" s="948"/>
      <c r="DL84" s="900">
        <f>DL100</f>
        <v>53880</v>
      </c>
      <c r="DM84" s="900">
        <f t="shared" ref="DM84:DW84" si="158">DM100</f>
        <v>30080</v>
      </c>
      <c r="DN84" s="900">
        <f t="shared" si="158"/>
        <v>34020</v>
      </c>
      <c r="DO84" s="900">
        <f t="shared" si="158"/>
        <v>21160</v>
      </c>
      <c r="DP84" s="900">
        <f t="shared" si="158"/>
        <v>10000</v>
      </c>
      <c r="DQ84" s="900">
        <f t="shared" si="158"/>
        <v>50000</v>
      </c>
      <c r="DR84" s="900">
        <f t="shared" si="158"/>
        <v>40000</v>
      </c>
      <c r="DS84" s="900">
        <f t="shared" si="158"/>
        <v>40000</v>
      </c>
      <c r="DT84" s="900">
        <f t="shared" si="158"/>
        <v>35000</v>
      </c>
      <c r="DU84" s="900">
        <f t="shared" si="158"/>
        <v>20000</v>
      </c>
      <c r="DV84" s="900">
        <f t="shared" si="158"/>
        <v>10000</v>
      </c>
      <c r="DW84" s="900">
        <f t="shared" si="158"/>
        <v>50000</v>
      </c>
      <c r="DX84" s="801">
        <f t="shared" si="156"/>
        <v>394140</v>
      </c>
    </row>
    <row r="85" spans="1:143" ht="18.75" hidden="1" outlineLevel="1">
      <c r="A85" s="94"/>
      <c r="B85" s="921" t="s">
        <v>91</v>
      </c>
      <c r="C85" s="934"/>
      <c r="D85" s="313">
        <v>98048</v>
      </c>
      <c r="E85" s="89">
        <v>128688</v>
      </c>
      <c r="F85" s="89">
        <v>124704</v>
      </c>
      <c r="G85" s="89">
        <v>157500</v>
      </c>
      <c r="H85" s="89">
        <v>182600</v>
      </c>
      <c r="I85" s="89">
        <v>157700</v>
      </c>
      <c r="J85" s="89">
        <v>181700</v>
      </c>
      <c r="K85" s="89">
        <v>165900</v>
      </c>
      <c r="L85" s="89">
        <v>174300</v>
      </c>
      <c r="M85" s="89">
        <v>215800</v>
      </c>
      <c r="N85" s="89">
        <v>180000</v>
      </c>
      <c r="O85" s="89">
        <v>112500</v>
      </c>
      <c r="P85" s="314">
        <f t="shared" si="146"/>
        <v>1879440</v>
      </c>
      <c r="Q85" s="90"/>
      <c r="R85" s="313">
        <v>158400</v>
      </c>
      <c r="S85" s="91">
        <v>146000</v>
      </c>
      <c r="T85" s="91">
        <v>102200</v>
      </c>
      <c r="U85" s="91">
        <v>0</v>
      </c>
      <c r="V85" s="91">
        <v>43800</v>
      </c>
      <c r="W85" s="91">
        <v>160600</v>
      </c>
      <c r="X85" s="91">
        <v>167900</v>
      </c>
      <c r="Y85" s="91">
        <v>153300</v>
      </c>
      <c r="Z85" s="91">
        <v>153300</v>
      </c>
      <c r="AA85" s="91">
        <v>153300</v>
      </c>
      <c r="AB85" s="91">
        <v>146000</v>
      </c>
      <c r="AC85" s="91">
        <v>124100</v>
      </c>
      <c r="AD85" s="315"/>
      <c r="AE85" s="23"/>
      <c r="AF85" s="316">
        <v>131400</v>
      </c>
      <c r="AG85" s="91">
        <v>146000</v>
      </c>
      <c r="AH85" s="91">
        <v>125511</v>
      </c>
      <c r="AI85" s="91">
        <v>135000</v>
      </c>
      <c r="AJ85" s="91">
        <v>177320</v>
      </c>
      <c r="AK85" s="91">
        <v>151300</v>
      </c>
      <c r="AL85" s="91">
        <v>176000</v>
      </c>
      <c r="AM85" s="91">
        <f>AM86*AM8</f>
        <v>154000</v>
      </c>
      <c r="AN85" s="91">
        <f>AN86*AN8</f>
        <v>157500</v>
      </c>
      <c r="AO85" s="91">
        <f>AO86*AO8</f>
        <v>140000</v>
      </c>
      <c r="AP85" s="91">
        <f>AP86*AP8</f>
        <v>130000</v>
      </c>
      <c r="AQ85" s="91">
        <f>AQ86*AQ8+16000</f>
        <v>100000</v>
      </c>
      <c r="AR85" s="92">
        <f t="shared" si="149"/>
        <v>1724031</v>
      </c>
      <c r="AS85" s="23"/>
      <c r="AT85" s="91">
        <f>AT86*AT8</f>
        <v>133000</v>
      </c>
      <c r="AU85" s="91">
        <f>125180</f>
        <v>125180</v>
      </c>
      <c r="AV85" s="91">
        <f>AV86*AV8+7428</f>
        <v>117228</v>
      </c>
      <c r="AW85" s="91">
        <f>AW86*AW8</f>
        <v>123500</v>
      </c>
      <c r="AX85" s="91">
        <f>AX86*AX8</f>
        <v>132000</v>
      </c>
      <c r="AY85" s="91">
        <f>AY86*AY8</f>
        <v>153342.99999899999</v>
      </c>
      <c r="AZ85" s="91">
        <v>142409</v>
      </c>
      <c r="BA85" s="91">
        <v>163520</v>
      </c>
      <c r="BB85" s="91">
        <f>BB86*BB8</f>
        <v>165000</v>
      </c>
      <c r="BC85" s="91">
        <f>BC86*BC8</f>
        <v>157500</v>
      </c>
      <c r="BD85" s="316">
        <v>129431</v>
      </c>
      <c r="BE85" s="316">
        <v>61700</v>
      </c>
      <c r="BF85" s="91">
        <f t="shared" si="151"/>
        <v>1603810.999999</v>
      </c>
      <c r="BG85" s="27">
        <f>BF85+BF88-AR85-AR88</f>
        <v>-113040.00000100001</v>
      </c>
      <c r="BH85" s="91">
        <v>136760</v>
      </c>
      <c r="BI85" s="91">
        <v>116580</v>
      </c>
      <c r="BJ85" s="91">
        <v>148340</v>
      </c>
      <c r="BK85" s="91">
        <v>112360</v>
      </c>
      <c r="BL85" s="91">
        <v>108660</v>
      </c>
      <c r="BM85" s="91">
        <v>153416</v>
      </c>
      <c r="BN85" s="91">
        <v>137676</v>
      </c>
      <c r="BO85" s="91">
        <v>150654</v>
      </c>
      <c r="BP85" s="91">
        <f>7100*BP8</f>
        <v>142000</v>
      </c>
      <c r="BQ85" s="91">
        <f t="shared" ref="BQ85:BR85" si="159">BQ82-BQ88</f>
        <v>136725</v>
      </c>
      <c r="BR85" s="91">
        <f t="shared" si="159"/>
        <v>167069</v>
      </c>
      <c r="BS85" s="91">
        <v>124020</v>
      </c>
      <c r="BT85" s="91">
        <f t="shared" si="153"/>
        <v>1634260</v>
      </c>
      <c r="BU85" s="28"/>
      <c r="BV85" s="397">
        <f>BV86*BV87-24551</f>
        <v>108449</v>
      </c>
      <c r="BW85" s="397">
        <f>BW86*BW87</f>
        <v>133000</v>
      </c>
      <c r="BX85" s="397">
        <f t="shared" ref="BX85:CG85" si="160">BX86*BX87</f>
        <v>147000</v>
      </c>
      <c r="BY85" s="397">
        <f>BY86*BY87</f>
        <v>172800</v>
      </c>
      <c r="BZ85" s="397">
        <f>BZ86*BZ87</f>
        <v>165600</v>
      </c>
      <c r="CA85" s="397">
        <f>CA86*CA87</f>
        <v>158400</v>
      </c>
      <c r="CB85" s="397">
        <f>CB86*CB87</f>
        <v>180000</v>
      </c>
      <c r="CC85" s="397">
        <f t="shared" si="160"/>
        <v>172800</v>
      </c>
      <c r="CD85" s="397">
        <f t="shared" si="160"/>
        <v>172800</v>
      </c>
      <c r="CE85" s="397">
        <f t="shared" si="160"/>
        <v>172800</v>
      </c>
      <c r="CF85" s="397">
        <f t="shared" si="160"/>
        <v>167200</v>
      </c>
      <c r="CG85" s="397">
        <f t="shared" si="160"/>
        <v>98800</v>
      </c>
      <c r="CH85" s="91">
        <f t="shared" si="154"/>
        <v>1849649</v>
      </c>
      <c r="CI85" s="395">
        <f>(CH85-BT91)/BT91</f>
        <v>0.29391868731173409</v>
      </c>
      <c r="CJ85" s="397">
        <f>CJ82</f>
        <v>165000</v>
      </c>
      <c r="CK85" s="397">
        <f t="shared" ref="CK85:CO85" si="161">CK82</f>
        <v>188600</v>
      </c>
      <c r="CL85" s="397">
        <f t="shared" si="161"/>
        <v>171000</v>
      </c>
      <c r="CM85" s="397">
        <f t="shared" si="161"/>
        <v>200000</v>
      </c>
      <c r="CN85" s="397">
        <f t="shared" si="161"/>
        <v>178290</v>
      </c>
      <c r="CO85" s="397">
        <f t="shared" si="161"/>
        <v>198000</v>
      </c>
      <c r="CP85" s="397">
        <v>168760</v>
      </c>
      <c r="CQ85" s="397">
        <v>194340</v>
      </c>
      <c r="CR85" s="397">
        <v>208000</v>
      </c>
      <c r="CS85" s="397">
        <v>201780</v>
      </c>
      <c r="CT85" s="397">
        <v>154060</v>
      </c>
      <c r="CU85" s="397">
        <v>96720</v>
      </c>
      <c r="CV85" s="91">
        <v>1949109</v>
      </c>
      <c r="CW85" s="758"/>
      <c r="CX85" s="397">
        <f>CX82</f>
        <v>131887.09999999998</v>
      </c>
      <c r="CY85" s="397">
        <f t="shared" ref="CY85:DC85" si="162">CY82</f>
        <v>117864.6</v>
      </c>
      <c r="CZ85" s="397">
        <f t="shared" si="162"/>
        <v>1380</v>
      </c>
      <c r="DA85" s="397">
        <f t="shared" si="162"/>
        <v>40840</v>
      </c>
      <c r="DB85" s="397">
        <f>DB82</f>
        <v>152104</v>
      </c>
      <c r="DC85" s="397">
        <f t="shared" si="162"/>
        <v>115170</v>
      </c>
      <c r="DD85" s="397">
        <v>168760</v>
      </c>
      <c r="DE85" s="397">
        <v>194340</v>
      </c>
      <c r="DF85" s="397">
        <v>208000</v>
      </c>
      <c r="DG85" s="397">
        <v>201780</v>
      </c>
      <c r="DH85" s="397">
        <v>154060</v>
      </c>
      <c r="DI85" s="397">
        <v>96720</v>
      </c>
      <c r="DJ85" s="91">
        <v>1949109</v>
      </c>
      <c r="DK85" s="948"/>
      <c r="DL85" s="397">
        <f>DL82</f>
        <v>109659</v>
      </c>
      <c r="DM85" s="397">
        <f t="shared" ref="DM85:DQ85" si="163">DM82</f>
        <v>102578.15</v>
      </c>
      <c r="DN85" s="397">
        <f t="shared" si="163"/>
        <v>138681</v>
      </c>
      <c r="DO85" s="397">
        <f t="shared" si="163"/>
        <v>142460</v>
      </c>
      <c r="DP85" s="397">
        <f t="shared" si="163"/>
        <v>148987.6</v>
      </c>
      <c r="DQ85" s="397">
        <f t="shared" si="163"/>
        <v>117165.94999999998</v>
      </c>
      <c r="DR85" s="397">
        <v>168760</v>
      </c>
      <c r="DS85" s="397">
        <v>194340</v>
      </c>
      <c r="DT85" s="397">
        <v>208000</v>
      </c>
      <c r="DU85" s="397">
        <v>201780</v>
      </c>
      <c r="DV85" s="397">
        <v>154060</v>
      </c>
      <c r="DW85" s="397">
        <v>96720</v>
      </c>
      <c r="DX85" s="91">
        <v>1949109</v>
      </c>
    </row>
    <row r="86" spans="1:143" ht="15.75" customHeight="1" outlineLevel="1">
      <c r="A86" s="821"/>
      <c r="B86" s="937" t="s">
        <v>92</v>
      </c>
      <c r="C86" s="902"/>
      <c r="D86" s="804"/>
      <c r="E86" s="805"/>
      <c r="F86" s="805"/>
      <c r="G86" s="805"/>
      <c r="H86" s="805"/>
      <c r="I86" s="805"/>
      <c r="J86" s="805"/>
      <c r="K86" s="805"/>
      <c r="L86" s="805"/>
      <c r="M86" s="805"/>
      <c r="N86" s="805"/>
      <c r="O86" s="805"/>
      <c r="P86" s="806"/>
      <c r="Q86" s="807"/>
      <c r="R86" s="808">
        <f>R85/R8</f>
        <v>7200</v>
      </c>
      <c r="S86" s="808">
        <f>S85/S8</f>
        <v>7300</v>
      </c>
      <c r="T86" s="808">
        <f>T85/T8</f>
        <v>7300</v>
      </c>
      <c r="U86" s="808">
        <f>U85/U8</f>
        <v>0</v>
      </c>
      <c r="V86" s="808">
        <f>V85/V8</f>
        <v>3650</v>
      </c>
      <c r="W86" s="808">
        <f>W85/W8</f>
        <v>7300</v>
      </c>
      <c r="X86" s="808">
        <f>X85/X8</f>
        <v>7300</v>
      </c>
      <c r="Y86" s="808">
        <f>Y85/Y8</f>
        <v>7300</v>
      </c>
      <c r="Z86" s="808">
        <f>Z85/Z8</f>
        <v>7300</v>
      </c>
      <c r="AA86" s="808">
        <f>AA85/AA8</f>
        <v>7300</v>
      </c>
      <c r="AB86" s="808">
        <f>AB85/AB8</f>
        <v>7300</v>
      </c>
      <c r="AC86" s="808">
        <f>AC85/AC8</f>
        <v>7300</v>
      </c>
      <c r="AD86" s="809"/>
      <c r="AE86" s="28"/>
      <c r="AF86" s="808">
        <f>AF85/AF8</f>
        <v>7300</v>
      </c>
      <c r="AG86" s="808">
        <f>AG85/AG8</f>
        <v>7300</v>
      </c>
      <c r="AH86" s="808">
        <f>AH85/AH8</f>
        <v>6275.55</v>
      </c>
      <c r="AI86" s="808">
        <f>AI85/AI8</f>
        <v>6750</v>
      </c>
      <c r="AJ86" s="808">
        <f>AJ85/AJ8</f>
        <v>8060</v>
      </c>
      <c r="AK86" s="808">
        <f>AK85/AK8</f>
        <v>7565</v>
      </c>
      <c r="AL86" s="808">
        <f>AL85/AL8</f>
        <v>8000</v>
      </c>
      <c r="AM86" s="596">
        <v>7000</v>
      </c>
      <c r="AN86" s="596">
        <v>7500</v>
      </c>
      <c r="AO86" s="596">
        <v>7000</v>
      </c>
      <c r="AP86" s="596">
        <v>6500</v>
      </c>
      <c r="AQ86" s="596">
        <v>7000</v>
      </c>
      <c r="AR86" s="810">
        <f>AVERAGE(AF86:AQ86)</f>
        <v>7187.5458333333336</v>
      </c>
      <c r="AS86" s="28"/>
      <c r="AT86" s="596">
        <v>7000</v>
      </c>
      <c r="AU86" s="596">
        <f>AU85/AU8</f>
        <v>6588.4210526315792</v>
      </c>
      <c r="AV86" s="596">
        <v>6100</v>
      </c>
      <c r="AW86" s="596">
        <v>6500</v>
      </c>
      <c r="AX86" s="596">
        <v>6000</v>
      </c>
      <c r="AY86" s="596">
        <v>7302.0476189999999</v>
      </c>
      <c r="AZ86" s="596">
        <v>7000</v>
      </c>
      <c r="BA86" s="596">
        <f>BA85/BA8</f>
        <v>7432.727272727273</v>
      </c>
      <c r="BB86" s="596">
        <v>7500</v>
      </c>
      <c r="BC86" s="596">
        <v>7500</v>
      </c>
      <c r="BD86" s="596">
        <f>BD85/BD8</f>
        <v>6471.55</v>
      </c>
      <c r="BE86" s="596">
        <f>BE85/BE8</f>
        <v>6170</v>
      </c>
      <c r="BF86" s="596">
        <f>AVERAGE(AT86:BE86)</f>
        <v>6797.0621620299053</v>
      </c>
      <c r="BG86" s="28"/>
      <c r="BH86" s="596">
        <f>BH85/BH8</f>
        <v>6838</v>
      </c>
      <c r="BI86" s="596">
        <f>BI85/BI8</f>
        <v>6857.6470588235297</v>
      </c>
      <c r="BJ86" s="596">
        <f>BJ85/BJ8</f>
        <v>6449.565217391304</v>
      </c>
      <c r="BK86" s="596">
        <f>BK85/BK8</f>
        <v>6242.2222222222226</v>
      </c>
      <c r="BL86" s="596">
        <f>BL85/BL8</f>
        <v>4939.090909090909</v>
      </c>
      <c r="BM86" s="596">
        <f>BM85/BM8</f>
        <v>6670.260869565217</v>
      </c>
      <c r="BN86" s="596">
        <f>BN85/BN8</f>
        <v>6556</v>
      </c>
      <c r="BO86" s="596">
        <f>BO85/BO8</f>
        <v>7174</v>
      </c>
      <c r="BP86" s="596">
        <f>BP85/BP8</f>
        <v>7100</v>
      </c>
      <c r="BQ86" s="596">
        <f>BQ85/BQ8</f>
        <v>6510.7142857142853</v>
      </c>
      <c r="BR86" s="596">
        <f>BR85/BR8</f>
        <v>8353.4500000000007</v>
      </c>
      <c r="BS86" s="596">
        <f>BS85/BS8</f>
        <v>8858.5714285714294</v>
      </c>
      <c r="BT86" s="596">
        <f>AVERAGE(BH86:BS86)</f>
        <v>6879.1268326149084</v>
      </c>
      <c r="BU86" s="28"/>
      <c r="BV86" s="596">
        <v>7000</v>
      </c>
      <c r="BW86" s="596">
        <v>7000</v>
      </c>
      <c r="BX86" s="596">
        <v>7000</v>
      </c>
      <c r="BY86" s="596">
        <v>7200</v>
      </c>
      <c r="BZ86" s="596">
        <v>7200</v>
      </c>
      <c r="CA86" s="596">
        <v>7200</v>
      </c>
      <c r="CB86" s="596">
        <v>7200</v>
      </c>
      <c r="CC86" s="596">
        <f t="shared" ref="CC86" si="164">CB86</f>
        <v>7200</v>
      </c>
      <c r="CD86" s="596">
        <v>7200</v>
      </c>
      <c r="CE86" s="596">
        <v>7200</v>
      </c>
      <c r="CF86" s="596">
        <v>7600</v>
      </c>
      <c r="CG86" s="596">
        <v>7600</v>
      </c>
      <c r="CH86" s="596"/>
      <c r="CI86" s="596"/>
      <c r="CJ86" s="596">
        <v>7500</v>
      </c>
      <c r="CK86" s="596">
        <v>8200</v>
      </c>
      <c r="CL86" s="596">
        <v>9000</v>
      </c>
      <c r="CM86" s="596">
        <v>10000</v>
      </c>
      <c r="CN86" s="596">
        <v>8490</v>
      </c>
      <c r="CO86" s="596">
        <v>9000</v>
      </c>
      <c r="CP86" s="596">
        <v>9800</v>
      </c>
      <c r="CQ86" s="596">
        <v>9900</v>
      </c>
      <c r="CR86" s="596">
        <f t="shared" ref="CR86" si="165">CQ86</f>
        <v>9900</v>
      </c>
      <c r="CS86" s="596">
        <v>9300</v>
      </c>
      <c r="CT86" s="596">
        <v>8400</v>
      </c>
      <c r="CU86" s="596">
        <v>9300</v>
      </c>
      <c r="CV86" s="596"/>
      <c r="CW86" s="758"/>
      <c r="CX86" s="596">
        <v>9319</v>
      </c>
      <c r="CY86" s="596">
        <v>8972</v>
      </c>
      <c r="CZ86" s="596">
        <v>8900</v>
      </c>
      <c r="DA86" s="596">
        <v>8000</v>
      </c>
      <c r="DB86" s="596">
        <v>8400</v>
      </c>
      <c r="DC86" s="596">
        <v>8200</v>
      </c>
      <c r="DD86" s="596">
        <v>9081</v>
      </c>
      <c r="DE86" s="596">
        <f>DD86</f>
        <v>9081</v>
      </c>
      <c r="DF86" s="596">
        <f t="shared" ref="DF86:DI86" si="166">DE86</f>
        <v>9081</v>
      </c>
      <c r="DG86" s="596">
        <f t="shared" si="166"/>
        <v>9081</v>
      </c>
      <c r="DH86" s="596">
        <f t="shared" si="166"/>
        <v>9081</v>
      </c>
      <c r="DI86" s="596">
        <f t="shared" si="166"/>
        <v>9081</v>
      </c>
      <c r="DJ86" s="596"/>
      <c r="DK86" s="948"/>
      <c r="DL86" s="596">
        <f>DI86</f>
        <v>9081</v>
      </c>
      <c r="DM86" s="596">
        <f>DL86</f>
        <v>9081</v>
      </c>
      <c r="DN86" s="596">
        <f t="shared" ref="DN86:DW86" si="167">DM86</f>
        <v>9081</v>
      </c>
      <c r="DO86" s="596">
        <f t="shared" si="167"/>
        <v>9081</v>
      </c>
      <c r="DP86" s="596">
        <f t="shared" si="167"/>
        <v>9081</v>
      </c>
      <c r="DQ86" s="596">
        <f t="shared" si="167"/>
        <v>9081</v>
      </c>
      <c r="DR86" s="596">
        <f t="shared" si="167"/>
        <v>9081</v>
      </c>
      <c r="DS86" s="596">
        <f t="shared" si="167"/>
        <v>9081</v>
      </c>
      <c r="DT86" s="596">
        <f t="shared" si="167"/>
        <v>9081</v>
      </c>
      <c r="DU86" s="596">
        <f t="shared" si="167"/>
        <v>9081</v>
      </c>
      <c r="DV86" s="596">
        <f t="shared" si="167"/>
        <v>9081</v>
      </c>
      <c r="DW86" s="596">
        <f t="shared" si="167"/>
        <v>9081</v>
      </c>
      <c r="DX86" s="596"/>
    </row>
    <row r="87" spans="1:143" ht="15.75" hidden="1" customHeight="1" outlineLevel="1">
      <c r="A87" s="821"/>
      <c r="B87" s="822" t="s">
        <v>93</v>
      </c>
      <c r="C87" s="803"/>
      <c r="D87" s="804"/>
      <c r="E87" s="805"/>
      <c r="F87" s="805"/>
      <c r="G87" s="805"/>
      <c r="H87" s="805"/>
      <c r="I87" s="805"/>
      <c r="J87" s="805"/>
      <c r="K87" s="805"/>
      <c r="L87" s="805"/>
      <c r="M87" s="805"/>
      <c r="N87" s="805"/>
      <c r="O87" s="805"/>
      <c r="P87" s="806"/>
      <c r="Q87" s="807"/>
      <c r="R87" s="804"/>
      <c r="S87" s="596">
        <v>15000</v>
      </c>
      <c r="T87" s="596">
        <v>15600</v>
      </c>
      <c r="U87" s="596">
        <v>2000</v>
      </c>
      <c r="V87" s="596">
        <v>10000</v>
      </c>
      <c r="W87" s="596">
        <v>30000</v>
      </c>
      <c r="X87" s="596">
        <v>20000</v>
      </c>
      <c r="Y87" s="596">
        <v>30000</v>
      </c>
      <c r="Z87" s="596">
        <v>30000</v>
      </c>
      <c r="AA87" s="596">
        <v>20000</v>
      </c>
      <c r="AB87" s="596">
        <v>20000</v>
      </c>
      <c r="AC87" s="596">
        <v>10000</v>
      </c>
      <c r="AD87" s="809"/>
      <c r="AE87" s="28"/>
      <c r="AF87" s="808">
        <v>30000</v>
      </c>
      <c r="AG87" s="596">
        <v>20000</v>
      </c>
      <c r="AH87" s="596">
        <v>24960</v>
      </c>
      <c r="AI87" s="596">
        <v>14040</v>
      </c>
      <c r="AJ87" s="596">
        <v>19040</v>
      </c>
      <c r="AK87" s="596">
        <v>12000</v>
      </c>
      <c r="AL87" s="596">
        <v>14000</v>
      </c>
      <c r="AM87" s="596">
        <v>13000</v>
      </c>
      <c r="AN87" s="596">
        <v>13000</v>
      </c>
      <c r="AO87" s="596">
        <v>0</v>
      </c>
      <c r="AP87" s="596">
        <v>0</v>
      </c>
      <c r="AQ87" s="596">
        <v>0</v>
      </c>
      <c r="AR87" s="810">
        <f t="shared" ref="AR87:AR88" si="168">SUM(AF87:AQ87)</f>
        <v>160040</v>
      </c>
      <c r="AS87" s="28"/>
      <c r="AT87" s="596">
        <v>0</v>
      </c>
      <c r="AU87" s="596">
        <v>0</v>
      </c>
      <c r="AV87" s="596"/>
      <c r="AW87" s="596"/>
      <c r="AX87" s="596"/>
      <c r="AY87" s="596"/>
      <c r="AZ87" s="596"/>
      <c r="BA87" s="596"/>
      <c r="BB87" s="596"/>
      <c r="BC87" s="596"/>
      <c r="BD87" s="596"/>
      <c r="BE87" s="596"/>
      <c r="BF87" s="596">
        <f t="shared" ref="BF87:BF88" si="169">SUM(AT87:BE87)</f>
        <v>0</v>
      </c>
      <c r="BG87" s="28">
        <f>BF87-AR87</f>
        <v>-160040</v>
      </c>
      <c r="BH87" s="596"/>
      <c r="BI87" s="596"/>
      <c r="BJ87" s="596"/>
      <c r="BK87" s="596"/>
      <c r="BL87" s="596"/>
      <c r="BM87" s="596"/>
      <c r="BN87" s="596"/>
      <c r="BO87" s="596"/>
      <c r="BP87" s="596"/>
      <c r="BQ87" s="596"/>
      <c r="BR87" s="596"/>
      <c r="BS87" s="596"/>
      <c r="BT87" s="596">
        <f t="shared" ref="BT87" si="170">SUM(BH87:BS87)</f>
        <v>0</v>
      </c>
      <c r="BU87" s="28"/>
      <c r="BV87" s="811">
        <f t="shared" ref="BV87:BZ87" si="171">BV8</f>
        <v>19</v>
      </c>
      <c r="BW87" s="811">
        <f t="shared" si="171"/>
        <v>19</v>
      </c>
      <c r="BX87" s="811">
        <f t="shared" si="171"/>
        <v>21</v>
      </c>
      <c r="BY87" s="811">
        <f t="shared" si="171"/>
        <v>24</v>
      </c>
      <c r="BZ87" s="811">
        <f t="shared" si="171"/>
        <v>23</v>
      </c>
      <c r="CA87" s="811">
        <f>CA8</f>
        <v>22</v>
      </c>
      <c r="CB87" s="811">
        <f t="shared" ref="CB87:CG87" si="172">CB8</f>
        <v>25</v>
      </c>
      <c r="CC87" s="811">
        <f t="shared" si="172"/>
        <v>24</v>
      </c>
      <c r="CD87" s="811">
        <f t="shared" si="172"/>
        <v>24</v>
      </c>
      <c r="CE87" s="811">
        <f t="shared" si="172"/>
        <v>24</v>
      </c>
      <c r="CF87" s="811">
        <f t="shared" si="172"/>
        <v>22</v>
      </c>
      <c r="CG87" s="811">
        <f t="shared" si="172"/>
        <v>13</v>
      </c>
      <c r="CH87" s="596">
        <f t="shared" ref="CH87" si="173">SUM(BV87:CG87)</f>
        <v>260</v>
      </c>
      <c r="CJ87" s="812">
        <f>CJ8</f>
        <v>22</v>
      </c>
      <c r="CK87" s="812">
        <f t="shared" ref="CK87:CO87" si="174">CK8</f>
        <v>23</v>
      </c>
      <c r="CL87" s="812">
        <f t="shared" si="174"/>
        <v>19</v>
      </c>
      <c r="CM87" s="812">
        <f t="shared" si="174"/>
        <v>20</v>
      </c>
      <c r="CN87" s="812">
        <f t="shared" si="174"/>
        <v>21</v>
      </c>
      <c r="CO87" s="812">
        <f t="shared" si="174"/>
        <v>22</v>
      </c>
      <c r="CP87" s="596"/>
      <c r="CQ87" s="596"/>
      <c r="CR87" s="596"/>
      <c r="CS87" s="596"/>
      <c r="CT87" s="596"/>
      <c r="CU87" s="596"/>
      <c r="CV87" s="596">
        <v>131</v>
      </c>
      <c r="CW87" s="758"/>
      <c r="CX87" s="812">
        <f>CX8</f>
        <v>22</v>
      </c>
      <c r="CY87" s="812">
        <f t="shared" ref="CY87:DC87" si="175">CY8</f>
        <v>19</v>
      </c>
      <c r="CZ87" s="812">
        <f t="shared" si="175"/>
        <v>6</v>
      </c>
      <c r="DA87" s="812">
        <f>21-6</f>
        <v>15</v>
      </c>
      <c r="DB87" s="812">
        <f t="shared" si="175"/>
        <v>22</v>
      </c>
      <c r="DC87" s="812">
        <f>DC8</f>
        <v>23</v>
      </c>
      <c r="DD87" s="812">
        <f t="shared" ref="DD87:DI87" si="176">DD8</f>
        <v>24</v>
      </c>
      <c r="DE87" s="812">
        <f t="shared" si="176"/>
        <v>21</v>
      </c>
      <c r="DF87" s="812">
        <f t="shared" si="176"/>
        <v>21</v>
      </c>
      <c r="DG87" s="812">
        <f t="shared" si="176"/>
        <v>21</v>
      </c>
      <c r="DH87" s="812">
        <f t="shared" si="176"/>
        <v>19</v>
      </c>
      <c r="DI87" s="812">
        <f t="shared" si="176"/>
        <v>18</v>
      </c>
      <c r="DJ87" s="596">
        <v>131</v>
      </c>
      <c r="DK87" s="948"/>
      <c r="DL87" s="812">
        <f>DL8</f>
        <v>20</v>
      </c>
      <c r="DM87" s="812">
        <f t="shared" ref="DM87:DQ87" si="177">DM8</f>
        <v>17</v>
      </c>
      <c r="DN87" s="812">
        <f t="shared" si="177"/>
        <v>21</v>
      </c>
      <c r="DO87" s="812">
        <f t="shared" si="177"/>
        <v>20</v>
      </c>
      <c r="DP87" s="812">
        <f t="shared" si="177"/>
        <v>20</v>
      </c>
      <c r="DQ87" s="812">
        <f>DQ8</f>
        <v>21</v>
      </c>
      <c r="DR87" s="812">
        <f t="shared" ref="DR87:DW87" si="178">DR8</f>
        <v>23</v>
      </c>
      <c r="DS87" s="812">
        <f t="shared" si="178"/>
        <v>21</v>
      </c>
      <c r="DT87" s="812">
        <f t="shared" si="178"/>
        <v>21</v>
      </c>
      <c r="DU87" s="812">
        <f t="shared" si="178"/>
        <v>21</v>
      </c>
      <c r="DV87" s="812">
        <f t="shared" si="178"/>
        <v>19</v>
      </c>
      <c r="DW87" s="812">
        <f t="shared" si="178"/>
        <v>16</v>
      </c>
      <c r="DX87" s="596">
        <v>131</v>
      </c>
    </row>
    <row r="88" spans="1:143" ht="15.75" hidden="1" customHeight="1" outlineLevel="1">
      <c r="A88" s="821"/>
      <c r="B88" s="937" t="s">
        <v>132</v>
      </c>
      <c r="C88" s="902"/>
      <c r="D88" s="1026"/>
      <c r="E88" s="1027"/>
      <c r="F88" s="1027"/>
      <c r="G88" s="1027"/>
      <c r="H88" s="1027"/>
      <c r="I88" s="1027"/>
      <c r="J88" s="1027"/>
      <c r="K88" s="1027"/>
      <c r="L88" s="1027"/>
      <c r="M88" s="1027"/>
      <c r="N88" s="1027"/>
      <c r="O88" s="1027"/>
      <c r="P88" s="1028"/>
      <c r="Q88" s="1029"/>
      <c r="R88" s="1026"/>
      <c r="S88" s="1030"/>
      <c r="T88" s="1030">
        <v>0</v>
      </c>
      <c r="U88" s="1030">
        <v>0</v>
      </c>
      <c r="V88" s="1030">
        <v>0</v>
      </c>
      <c r="W88" s="1030">
        <v>0</v>
      </c>
      <c r="X88" s="1030">
        <v>0</v>
      </c>
      <c r="Y88" s="1030">
        <v>13500</v>
      </c>
      <c r="Z88" s="1030">
        <v>9000</v>
      </c>
      <c r="AA88" s="1030">
        <v>9000</v>
      </c>
      <c r="AB88" s="1030">
        <v>9000</v>
      </c>
      <c r="AC88" s="1030">
        <v>0</v>
      </c>
      <c r="AD88" s="1031"/>
      <c r="AE88" s="1032"/>
      <c r="AF88" s="1030">
        <v>13500</v>
      </c>
      <c r="AG88" s="1030">
        <v>13500</v>
      </c>
      <c r="AH88" s="1030">
        <v>2820</v>
      </c>
      <c r="AI88" s="1030">
        <v>0</v>
      </c>
      <c r="AJ88" s="1030">
        <v>0</v>
      </c>
      <c r="AK88" s="1030">
        <v>0</v>
      </c>
      <c r="AL88" s="1030">
        <v>0</v>
      </c>
      <c r="AM88" s="1030"/>
      <c r="AN88" s="1030"/>
      <c r="AO88" s="1030"/>
      <c r="AP88" s="1030"/>
      <c r="AQ88" s="1030"/>
      <c r="AR88" s="1033">
        <f t="shared" si="168"/>
        <v>29820</v>
      </c>
      <c r="AS88" s="1032"/>
      <c r="AT88" s="1030"/>
      <c r="AU88" s="1030"/>
      <c r="AV88" s="1030"/>
      <c r="AW88" s="1030">
        <v>4000</v>
      </c>
      <c r="AX88" s="1030">
        <v>8000</v>
      </c>
      <c r="AY88" s="1030">
        <v>5000</v>
      </c>
      <c r="AZ88" s="1030">
        <v>10000</v>
      </c>
      <c r="BA88" s="1030">
        <v>10000</v>
      </c>
      <c r="BB88" s="1030">
        <v>0</v>
      </c>
      <c r="BC88" s="1030">
        <v>0</v>
      </c>
      <c r="BD88" s="1030">
        <v>0</v>
      </c>
      <c r="BE88" s="1030"/>
      <c r="BF88" s="1030">
        <f t="shared" si="169"/>
        <v>37000</v>
      </c>
      <c r="BG88" s="1032"/>
      <c r="BH88" s="1030">
        <v>3000</v>
      </c>
      <c r="BI88" s="1030"/>
      <c r="BJ88" s="1030"/>
      <c r="BK88" s="1030"/>
      <c r="BL88" s="1030"/>
      <c r="BM88" s="1030"/>
      <c r="BN88" s="1030"/>
      <c r="BO88" s="1030">
        <v>10000</v>
      </c>
      <c r="BP88" s="1030">
        <v>15000</v>
      </c>
      <c r="BQ88" s="1030">
        <v>20000</v>
      </c>
      <c r="BR88" s="1030">
        <v>15000</v>
      </c>
      <c r="BS88" s="1030">
        <f>7200*9/2</f>
        <v>32400</v>
      </c>
      <c r="BT88" s="1030">
        <f>SUM(BH88:BS88)</f>
        <v>95400</v>
      </c>
      <c r="BU88" s="1032"/>
      <c r="BV88" s="1030">
        <f>BV91-BV82</f>
        <v>21584</v>
      </c>
      <c r="BW88" s="1030">
        <f t="shared" ref="BW88:CG88" si="179">BW91-BW82</f>
        <v>18963</v>
      </c>
      <c r="BX88" s="1030">
        <f t="shared" si="179"/>
        <v>-2354</v>
      </c>
      <c r="BY88" s="1030">
        <f t="shared" si="179"/>
        <v>5998</v>
      </c>
      <c r="BZ88" s="1030">
        <f t="shared" si="179"/>
        <v>-13737</v>
      </c>
      <c r="CA88" s="1030">
        <f t="shared" si="179"/>
        <v>-6090</v>
      </c>
      <c r="CB88" s="1030">
        <f t="shared" si="179"/>
        <v>-2176</v>
      </c>
      <c r="CC88" s="1030">
        <f t="shared" si="179"/>
        <v>-17344</v>
      </c>
      <c r="CD88" s="1030">
        <f t="shared" si="179"/>
        <v>-13369</v>
      </c>
      <c r="CE88" s="1030">
        <f t="shared" si="179"/>
        <v>793</v>
      </c>
      <c r="CF88" s="1030">
        <f t="shared" si="179"/>
        <v>-12350</v>
      </c>
      <c r="CG88" s="1030">
        <f t="shared" si="179"/>
        <v>-98800</v>
      </c>
      <c r="CH88" s="1033">
        <f>SUM(CD88:CG88)</f>
        <v>-123726</v>
      </c>
      <c r="CI88" s="707"/>
      <c r="CJ88" s="1030">
        <f>BV91</f>
        <v>154584</v>
      </c>
      <c r="CK88" s="1030">
        <f t="shared" ref="CK88:CS88" si="180">BW91</f>
        <v>151963</v>
      </c>
      <c r="CL88" s="1030">
        <f>BX91</f>
        <v>144646</v>
      </c>
      <c r="CM88" s="1030">
        <f t="shared" si="180"/>
        <v>178798</v>
      </c>
      <c r="CN88" s="1030">
        <f t="shared" si="180"/>
        <v>151863</v>
      </c>
      <c r="CO88" s="1030">
        <f t="shared" si="180"/>
        <v>152310</v>
      </c>
      <c r="CP88" s="1030">
        <f t="shared" si="180"/>
        <v>177824</v>
      </c>
      <c r="CQ88" s="1030">
        <f t="shared" si="180"/>
        <v>155456</v>
      </c>
      <c r="CR88" s="1030">
        <f t="shared" si="180"/>
        <v>159431</v>
      </c>
      <c r="CS88" s="1030">
        <f t="shared" si="180"/>
        <v>173593</v>
      </c>
      <c r="CT88" s="1030">
        <v>146546</v>
      </c>
      <c r="CU88" s="1030">
        <v>111901</v>
      </c>
      <c r="CV88" s="1030">
        <v>127800</v>
      </c>
      <c r="CW88" s="698"/>
      <c r="CX88" s="1030">
        <v>155428</v>
      </c>
      <c r="CY88" s="1030">
        <v>182691</v>
      </c>
      <c r="CZ88" s="1030">
        <v>176747</v>
      </c>
      <c r="DA88" s="1030">
        <v>190424</v>
      </c>
      <c r="DB88" s="1030">
        <v>214788</v>
      </c>
      <c r="DC88" s="1030">
        <v>150000</v>
      </c>
      <c r="DD88" s="1030">
        <v>191217</v>
      </c>
      <c r="DE88" s="1030">
        <v>180648</v>
      </c>
      <c r="DF88" s="1030">
        <v>180874</v>
      </c>
      <c r="DG88" s="1030">
        <v>208228</v>
      </c>
      <c r="DH88" s="1030">
        <v>184911</v>
      </c>
      <c r="DI88" s="1030">
        <v>135942</v>
      </c>
      <c r="DJ88" s="595">
        <f>SUM(CX88:DI88)</f>
        <v>2151898</v>
      </c>
      <c r="DK88" s="948"/>
      <c r="DL88" s="596">
        <f>CX88</f>
        <v>155428</v>
      </c>
      <c r="DM88" s="596">
        <f t="shared" ref="DM88:DW88" si="181">CY88</f>
        <v>182691</v>
      </c>
      <c r="DN88" s="596">
        <f t="shared" si="181"/>
        <v>176747</v>
      </c>
      <c r="DO88" s="596">
        <f t="shared" si="181"/>
        <v>190424</v>
      </c>
      <c r="DP88" s="596">
        <f t="shared" si="181"/>
        <v>214788</v>
      </c>
      <c r="DQ88" s="596">
        <f t="shared" si="181"/>
        <v>150000</v>
      </c>
      <c r="DR88" s="596">
        <f t="shared" si="181"/>
        <v>191217</v>
      </c>
      <c r="DS88" s="596">
        <f t="shared" si="181"/>
        <v>180648</v>
      </c>
      <c r="DT88" s="596">
        <f t="shared" si="181"/>
        <v>180874</v>
      </c>
      <c r="DU88" s="596">
        <f t="shared" si="181"/>
        <v>208228</v>
      </c>
      <c r="DV88" s="596">
        <f t="shared" si="181"/>
        <v>184911</v>
      </c>
      <c r="DW88" s="596">
        <f t="shared" si="181"/>
        <v>135942</v>
      </c>
      <c r="DX88" s="596">
        <v>127800</v>
      </c>
    </row>
    <row r="89" spans="1:143" ht="15.75" hidden="1" customHeight="1" outlineLevel="1">
      <c r="A89" s="821"/>
      <c r="B89" s="822" t="s">
        <v>105</v>
      </c>
      <c r="C89" s="803"/>
      <c r="D89" s="804"/>
      <c r="E89" s="805"/>
      <c r="F89" s="805"/>
      <c r="G89" s="805"/>
      <c r="H89" s="805"/>
      <c r="I89" s="805"/>
      <c r="J89" s="805"/>
      <c r="K89" s="805"/>
      <c r="L89" s="805"/>
      <c r="M89" s="805"/>
      <c r="N89" s="805"/>
      <c r="O89" s="805"/>
      <c r="P89" s="806"/>
      <c r="Q89" s="807"/>
      <c r="R89" s="804"/>
      <c r="S89" s="596"/>
      <c r="T89" s="596"/>
      <c r="U89" s="596"/>
      <c r="V89" s="596"/>
      <c r="W89" s="596"/>
      <c r="X89" s="596"/>
      <c r="Y89" s="596"/>
      <c r="Z89" s="596"/>
      <c r="AA89" s="596"/>
      <c r="AB89" s="596"/>
      <c r="AC89" s="596"/>
      <c r="AD89" s="809"/>
      <c r="AE89" s="28"/>
      <c r="AF89" s="596"/>
      <c r="AG89" s="596"/>
      <c r="AH89" s="596"/>
      <c r="AI89" s="596"/>
      <c r="AJ89" s="596"/>
      <c r="AK89" s="596"/>
      <c r="AL89" s="596"/>
      <c r="AM89" s="596"/>
      <c r="AN89" s="596"/>
      <c r="AO89" s="596">
        <f t="shared" ref="AO89:AQ89" si="182">AO82*9.68</f>
        <v>1355200</v>
      </c>
      <c r="AP89" s="596">
        <f t="shared" si="182"/>
        <v>1258400</v>
      </c>
      <c r="AQ89" s="596">
        <f t="shared" si="182"/>
        <v>968000</v>
      </c>
      <c r="AR89" s="810"/>
      <c r="AS89" s="28"/>
      <c r="AT89" s="596">
        <f t="shared" ref="AT89:BF89" si="183">AT82*9.68</f>
        <v>1287440</v>
      </c>
      <c r="AU89" s="596">
        <f t="shared" si="183"/>
        <v>1211742.3999999999</v>
      </c>
      <c r="AV89" s="596">
        <f t="shared" si="183"/>
        <v>1134767.04</v>
      </c>
      <c r="AW89" s="596">
        <f t="shared" si="183"/>
        <v>1234200</v>
      </c>
      <c r="AX89" s="596">
        <f t="shared" si="183"/>
        <v>1355200</v>
      </c>
      <c r="AY89" s="596">
        <f t="shared" si="183"/>
        <v>1532760.2399903198</v>
      </c>
      <c r="AZ89" s="596">
        <f t="shared" si="183"/>
        <v>1475319.1199999999</v>
      </c>
      <c r="BA89" s="596">
        <f t="shared" si="183"/>
        <v>1679673.5999999999</v>
      </c>
      <c r="BB89" s="596">
        <f t="shared" si="183"/>
        <v>1597200</v>
      </c>
      <c r="BC89" s="596">
        <f t="shared" si="183"/>
        <v>1524600</v>
      </c>
      <c r="BD89" s="596">
        <f t="shared" si="183"/>
        <v>1252892.08</v>
      </c>
      <c r="BE89" s="596">
        <f t="shared" si="183"/>
        <v>597256</v>
      </c>
      <c r="BF89" s="596">
        <f t="shared" si="183"/>
        <v>15883050.47999032</v>
      </c>
      <c r="BG89" s="28"/>
      <c r="BH89" s="596"/>
      <c r="BI89" s="596"/>
      <c r="BJ89" s="596"/>
      <c r="BK89" s="596"/>
      <c r="BL89" s="596"/>
      <c r="BM89" s="596"/>
      <c r="BN89" s="596"/>
      <c r="BO89" s="596"/>
      <c r="BP89" s="596"/>
      <c r="BQ89" s="596"/>
      <c r="BR89" s="596"/>
      <c r="BS89" s="596"/>
      <c r="BT89" s="596"/>
      <c r="BU89" s="28"/>
      <c r="BV89" s="596"/>
      <c r="BW89" s="596"/>
      <c r="BX89" s="596"/>
      <c r="BY89" s="596"/>
      <c r="BZ89" s="596"/>
      <c r="CA89" s="596"/>
      <c r="CB89" s="596"/>
      <c r="CC89" s="596"/>
      <c r="CD89" s="596" t="s">
        <v>96</v>
      </c>
      <c r="CE89" s="596"/>
      <c r="CF89" s="813" t="s">
        <v>97</v>
      </c>
      <c r="CG89" s="596"/>
      <c r="CH89" s="596"/>
      <c r="CJ89" s="596"/>
      <c r="CK89" s="596"/>
      <c r="CL89" s="596"/>
      <c r="CM89" s="596">
        <v>61884.012959999985</v>
      </c>
      <c r="CN89" s="596">
        <f>CM89</f>
        <v>61884.012959999985</v>
      </c>
      <c r="CO89" s="596">
        <f t="shared" ref="CO89:CU89" si="184">CN89</f>
        <v>61884.012959999985</v>
      </c>
      <c r="CP89" s="596">
        <f t="shared" si="184"/>
        <v>61884.012959999985</v>
      </c>
      <c r="CQ89" s="596">
        <f t="shared" si="184"/>
        <v>61884.012959999985</v>
      </c>
      <c r="CR89" s="596">
        <f t="shared" si="184"/>
        <v>61884.012959999985</v>
      </c>
      <c r="CS89" s="596">
        <f t="shared" si="184"/>
        <v>61884.012959999985</v>
      </c>
      <c r="CT89" s="596">
        <f t="shared" si="184"/>
        <v>61884.012959999985</v>
      </c>
      <c r="CU89" s="596">
        <f t="shared" si="184"/>
        <v>61884.012959999985</v>
      </c>
      <c r="CV89" s="596"/>
      <c r="CW89" s="758"/>
      <c r="CX89" s="596" t="s">
        <v>133</v>
      </c>
      <c r="CY89" s="596"/>
      <c r="CZ89" s="596"/>
      <c r="DA89" s="596"/>
      <c r="DB89" s="596"/>
      <c r="DC89" s="596"/>
      <c r="DD89" s="596"/>
      <c r="DE89" s="596"/>
      <c r="DF89" s="596"/>
      <c r="DG89" s="596"/>
      <c r="DH89" s="596"/>
      <c r="DI89" s="596"/>
      <c r="DJ89" s="596"/>
      <c r="DK89" s="948"/>
      <c r="DL89" s="596" t="s">
        <v>133</v>
      </c>
      <c r="DM89" s="596"/>
      <c r="DN89" s="596"/>
      <c r="DO89" s="596"/>
      <c r="DP89" s="596"/>
      <c r="DQ89" s="596"/>
      <c r="DR89" s="596"/>
      <c r="DS89" s="596"/>
      <c r="DT89" s="596"/>
      <c r="DU89" s="596"/>
      <c r="DV89" s="596"/>
      <c r="DW89" s="596"/>
      <c r="DX89" s="596"/>
    </row>
    <row r="90" spans="1:143" ht="15.75" hidden="1" customHeight="1" outlineLevel="1">
      <c r="A90" s="821"/>
      <c r="B90" s="822" t="s">
        <v>98</v>
      </c>
      <c r="C90" s="803"/>
      <c r="D90" s="804"/>
      <c r="E90" s="805"/>
      <c r="F90" s="805"/>
      <c r="G90" s="805"/>
      <c r="H90" s="805"/>
      <c r="I90" s="805"/>
      <c r="J90" s="805"/>
      <c r="K90" s="805"/>
      <c r="L90" s="805"/>
      <c r="M90" s="805"/>
      <c r="N90" s="805"/>
      <c r="O90" s="805"/>
      <c r="P90" s="806"/>
      <c r="Q90" s="807"/>
      <c r="R90" s="804"/>
      <c r="S90" s="596"/>
      <c r="T90" s="596"/>
      <c r="U90" s="596"/>
      <c r="V90" s="596"/>
      <c r="W90" s="596"/>
      <c r="X90" s="596"/>
      <c r="Y90" s="596"/>
      <c r="Z90" s="596"/>
      <c r="AA90" s="596"/>
      <c r="AB90" s="596"/>
      <c r="AC90" s="596"/>
      <c r="AD90" s="809"/>
      <c r="AE90" s="28"/>
      <c r="AF90" s="808"/>
      <c r="AG90" s="596"/>
      <c r="AH90" s="596"/>
      <c r="AI90" s="596"/>
      <c r="AJ90" s="596"/>
      <c r="AK90" s="596"/>
      <c r="AL90" s="596"/>
      <c r="AM90" s="596"/>
      <c r="AN90" s="596"/>
      <c r="AO90" s="596"/>
      <c r="AP90" s="596"/>
      <c r="AQ90" s="596"/>
      <c r="AR90" s="810"/>
      <c r="AS90" s="28"/>
      <c r="AT90" s="596"/>
      <c r="AU90" s="596"/>
      <c r="AV90" s="596"/>
      <c r="AW90" s="596"/>
      <c r="AX90" s="596"/>
      <c r="AY90" s="596"/>
      <c r="AZ90" s="596"/>
      <c r="BA90" s="596"/>
      <c r="BB90" s="596"/>
      <c r="BC90" s="596"/>
      <c r="BD90" s="596"/>
      <c r="BE90" s="596"/>
      <c r="BF90" s="596"/>
      <c r="BG90" s="28"/>
      <c r="BH90" s="596"/>
      <c r="BI90" s="596"/>
      <c r="BJ90" s="596"/>
      <c r="BK90" s="596"/>
      <c r="BL90" s="596"/>
      <c r="BM90" s="596"/>
      <c r="BN90" s="596"/>
      <c r="BO90" s="596"/>
      <c r="BP90" s="596"/>
      <c r="BQ90" s="596"/>
      <c r="BR90" s="596"/>
      <c r="BS90" s="596"/>
      <c r="BT90" s="596"/>
      <c r="BU90" s="28"/>
      <c r="BV90" s="596"/>
      <c r="BW90" s="596"/>
      <c r="BX90" s="596"/>
      <c r="BY90" s="596"/>
      <c r="BZ90" s="596"/>
      <c r="CA90" s="596"/>
      <c r="CB90" s="596"/>
      <c r="CC90" s="596"/>
      <c r="CD90" s="596"/>
      <c r="CE90" s="596"/>
      <c r="CF90" s="813"/>
      <c r="CG90" s="596"/>
      <c r="CH90" s="596"/>
      <c r="CJ90" s="596"/>
      <c r="CK90" s="596"/>
      <c r="CL90" s="596"/>
      <c r="CM90" s="596">
        <f>CM89*CM8</f>
        <v>1237680.2591999997</v>
      </c>
      <c r="CN90" s="596">
        <f>CN89*CN8</f>
        <v>1299564.2721599997</v>
      </c>
      <c r="CO90" s="596">
        <f>CO89*CO8</f>
        <v>1361448.2851199997</v>
      </c>
      <c r="CP90" s="596">
        <f>CP89*CP8</f>
        <v>1547100.3239999996</v>
      </c>
      <c r="CQ90" s="596">
        <f>CQ89*CQ8</f>
        <v>1299564.2721599997</v>
      </c>
      <c r="CR90" s="596">
        <f>CR89*CR8</f>
        <v>1361448.2851199997</v>
      </c>
      <c r="CS90" s="596">
        <f>CS89*CS8</f>
        <v>1423332.2980799996</v>
      </c>
      <c r="CT90" s="596">
        <f>CT89*CT8</f>
        <v>1361448.2851199997</v>
      </c>
      <c r="CU90" s="596">
        <f>CU89*CU8</f>
        <v>1052028.2203199998</v>
      </c>
      <c r="CV90" s="596"/>
      <c r="CW90" s="758"/>
      <c r="CX90" s="596"/>
      <c r="CY90" s="596"/>
      <c r="CZ90" s="596"/>
      <c r="DA90" s="596"/>
      <c r="DB90" s="596"/>
      <c r="DC90" s="596"/>
      <c r="DD90" s="596"/>
      <c r="DE90" s="596"/>
      <c r="DF90" s="596"/>
      <c r="DG90" s="596"/>
      <c r="DH90" s="596"/>
      <c r="DI90" s="596"/>
      <c r="DJ90" s="596"/>
      <c r="DK90" s="948"/>
      <c r="DL90" s="596"/>
      <c r="DM90" s="596"/>
      <c r="DN90" s="596"/>
      <c r="DO90" s="596"/>
      <c r="DP90" s="596"/>
      <c r="DQ90" s="596"/>
      <c r="DR90" s="596"/>
      <c r="DS90" s="596"/>
      <c r="DT90" s="596"/>
      <c r="DU90" s="596"/>
      <c r="DV90" s="596"/>
      <c r="DW90" s="596"/>
      <c r="DX90" s="596"/>
    </row>
    <row r="91" spans="1:143" ht="18.75" hidden="1">
      <c r="A91" s="821" t="s">
        <v>99</v>
      </c>
      <c r="B91" s="823" t="s">
        <v>100</v>
      </c>
      <c r="C91" s="814"/>
      <c r="D91" s="815">
        <v>95972</v>
      </c>
      <c r="E91" s="816">
        <v>130805</v>
      </c>
      <c r="F91" s="816">
        <v>121914</v>
      </c>
      <c r="G91" s="816">
        <v>165455</v>
      </c>
      <c r="H91" s="816">
        <v>192013</v>
      </c>
      <c r="I91" s="816">
        <v>167281</v>
      </c>
      <c r="J91" s="816">
        <v>181409</v>
      </c>
      <c r="K91" s="816">
        <v>163138</v>
      </c>
      <c r="L91" s="816">
        <v>169051</v>
      </c>
      <c r="M91" s="816">
        <v>183254</v>
      </c>
      <c r="N91" s="816"/>
      <c r="O91" s="816"/>
      <c r="P91" s="817">
        <f>SUM(D91:O91)</f>
        <v>1570292</v>
      </c>
      <c r="Q91" s="818"/>
      <c r="R91" s="815">
        <v>149582</v>
      </c>
      <c r="S91" s="810">
        <v>152735</v>
      </c>
      <c r="T91" s="810">
        <v>107681</v>
      </c>
      <c r="U91" s="810">
        <v>2974</v>
      </c>
      <c r="V91" s="810">
        <v>32639</v>
      </c>
      <c r="W91" s="810">
        <v>153121</v>
      </c>
      <c r="X91" s="810">
        <v>198635</v>
      </c>
      <c r="Y91" s="810">
        <v>160489</v>
      </c>
      <c r="Z91" s="810">
        <v>160893</v>
      </c>
      <c r="AA91" s="810">
        <v>180999</v>
      </c>
      <c r="AB91" s="810">
        <v>167265</v>
      </c>
      <c r="AC91" s="810">
        <v>135424</v>
      </c>
      <c r="AD91" s="819">
        <f>SUM(R91:AC91)</f>
        <v>1602437</v>
      </c>
      <c r="AE91" s="18"/>
      <c r="AF91" s="820">
        <v>145616</v>
      </c>
      <c r="AG91" s="810">
        <v>168450</v>
      </c>
      <c r="AH91" s="810">
        <v>153291</v>
      </c>
      <c r="AI91" s="810">
        <v>149378</v>
      </c>
      <c r="AJ91" s="810">
        <v>196360</v>
      </c>
      <c r="AK91" s="810">
        <v>170558</v>
      </c>
      <c r="AL91" s="810">
        <v>171758</v>
      </c>
      <c r="AM91" s="810">
        <f t="shared" ref="AM91:AQ91" si="185">SUM(AM92:AM93)</f>
        <v>168974</v>
      </c>
      <c r="AN91" s="810">
        <f t="shared" si="185"/>
        <v>144792</v>
      </c>
      <c r="AO91" s="810">
        <f t="shared" si="185"/>
        <v>141375</v>
      </c>
      <c r="AP91" s="810">
        <f t="shared" si="185"/>
        <v>143221</v>
      </c>
      <c r="AQ91" s="810">
        <f t="shared" si="185"/>
        <v>85543</v>
      </c>
      <c r="AR91" s="810">
        <f t="shared" ref="AR91:AR95" si="186">SUM(AF91:AQ91)</f>
        <v>1839316</v>
      </c>
      <c r="AS91" s="28"/>
      <c r="AT91" s="810">
        <f t="shared" ref="AT91:BE91" si="187">SUM(AT92:AT93)</f>
        <v>120211</v>
      </c>
      <c r="AU91" s="810">
        <f t="shared" si="187"/>
        <v>120216</v>
      </c>
      <c r="AV91" s="810">
        <f t="shared" si="187"/>
        <v>101053</v>
      </c>
      <c r="AW91" s="810">
        <f t="shared" si="187"/>
        <v>137388</v>
      </c>
      <c r="AX91" s="810">
        <f t="shared" si="187"/>
        <v>137400</v>
      </c>
      <c r="AY91" s="810">
        <f t="shared" si="187"/>
        <v>135412</v>
      </c>
      <c r="AZ91" s="810">
        <f t="shared" si="187"/>
        <v>157032</v>
      </c>
      <c r="BA91" s="810">
        <f t="shared" si="187"/>
        <v>173287</v>
      </c>
      <c r="BB91" s="596">
        <f t="shared" si="187"/>
        <v>166815</v>
      </c>
      <c r="BC91" s="596">
        <f t="shared" si="187"/>
        <v>153816</v>
      </c>
      <c r="BD91" s="596">
        <f t="shared" si="187"/>
        <v>138051</v>
      </c>
      <c r="BE91" s="596">
        <f t="shared" si="187"/>
        <v>55950</v>
      </c>
      <c r="BF91" s="596">
        <f t="shared" ref="BF91:BF95" si="188">SUM(AT91:BE91)</f>
        <v>1596631</v>
      </c>
      <c r="BG91" s="54">
        <f>BF91/AR91-1</f>
        <v>-0.1319430701412917</v>
      </c>
      <c r="BH91" s="810">
        <f t="shared" ref="BH91:BQ91" si="189">SUM(BH92:BH93)</f>
        <v>138562</v>
      </c>
      <c r="BI91" s="810">
        <f t="shared" si="189"/>
        <v>109391</v>
      </c>
      <c r="BJ91" s="810">
        <f t="shared" si="189"/>
        <v>160056</v>
      </c>
      <c r="BK91" s="810">
        <f t="shared" si="189"/>
        <v>124826</v>
      </c>
      <c r="BL91" s="810">
        <f t="shared" si="189"/>
        <v>151185</v>
      </c>
      <c r="BM91" s="810">
        <f t="shared" si="189"/>
        <v>134688</v>
      </c>
      <c r="BN91" s="810">
        <f t="shared" si="189"/>
        <v>157005</v>
      </c>
      <c r="BO91" s="810">
        <f t="shared" si="189"/>
        <v>151231</v>
      </c>
      <c r="BP91" s="810">
        <f t="shared" si="189"/>
        <v>143335</v>
      </c>
      <c r="BQ91" s="810">
        <f t="shared" si="189"/>
        <v>159215</v>
      </c>
      <c r="BR91" s="810"/>
      <c r="BS91" s="810"/>
      <c r="BT91" s="810">
        <f t="shared" ref="BT91:BT95" si="190">SUM(BH91:BS91)</f>
        <v>1429494</v>
      </c>
      <c r="BU91" s="18"/>
      <c r="BV91" s="810">
        <v>154584</v>
      </c>
      <c r="BW91" s="810">
        <v>151963</v>
      </c>
      <c r="BX91" s="810">
        <v>144646</v>
      </c>
      <c r="BY91" s="810">
        <v>178798</v>
      </c>
      <c r="BZ91" s="810">
        <v>151863</v>
      </c>
      <c r="CA91" s="810">
        <v>152310</v>
      </c>
      <c r="CB91" s="810">
        <f>CB92+CB93</f>
        <v>177824</v>
      </c>
      <c r="CC91" s="810">
        <f t="shared" ref="CC91:CJ91" si="191">CC92+CC93</f>
        <v>155456</v>
      </c>
      <c r="CD91" s="810">
        <f t="shared" si="191"/>
        <v>159431</v>
      </c>
      <c r="CE91" s="810">
        <v>173593</v>
      </c>
      <c r="CF91" s="810">
        <v>154850</v>
      </c>
      <c r="CG91" s="810">
        <f t="shared" si="191"/>
        <v>0</v>
      </c>
      <c r="CH91" s="810">
        <f t="shared" ref="CH91" si="192">SUM(BV91:CG91)</f>
        <v>1755318</v>
      </c>
      <c r="CJ91" s="810">
        <v>155428</v>
      </c>
      <c r="CK91" s="810">
        <f>SUM(CK92:CK93)</f>
        <v>182595</v>
      </c>
      <c r="CL91" s="810">
        <f>SUM(CL92:CL93)</f>
        <v>175111</v>
      </c>
      <c r="CM91" s="810">
        <f>SUM(CM92:CM93)</f>
        <v>192052</v>
      </c>
      <c r="CN91" s="810">
        <v>214788</v>
      </c>
      <c r="CO91" s="810">
        <v>143727</v>
      </c>
      <c r="CP91" s="810">
        <v>191217</v>
      </c>
      <c r="CQ91" s="810">
        <v>180648</v>
      </c>
      <c r="CR91" s="810">
        <v>180874</v>
      </c>
      <c r="CS91" s="810"/>
      <c r="CT91" s="810"/>
      <c r="CU91" s="810"/>
      <c r="CV91" s="810"/>
      <c r="CW91" s="758"/>
      <c r="CX91" s="810">
        <v>191345</v>
      </c>
      <c r="CY91" s="810">
        <v>145396</v>
      </c>
      <c r="CZ91" s="810">
        <f t="shared" ref="CZ91:DI91" si="193">CL91</f>
        <v>175111</v>
      </c>
      <c r="DA91" s="810">
        <f t="shared" si="193"/>
        <v>192052</v>
      </c>
      <c r="DB91" s="810">
        <f t="shared" si="193"/>
        <v>214788</v>
      </c>
      <c r="DC91" s="810">
        <f t="shared" si="193"/>
        <v>143727</v>
      </c>
      <c r="DD91" s="810">
        <f t="shared" si="193"/>
        <v>191217</v>
      </c>
      <c r="DE91" s="810">
        <f t="shared" si="193"/>
        <v>180648</v>
      </c>
      <c r="DF91" s="810">
        <f t="shared" si="193"/>
        <v>180874</v>
      </c>
      <c r="DG91" s="810">
        <f t="shared" si="193"/>
        <v>0</v>
      </c>
      <c r="DH91" s="810">
        <f t="shared" si="193"/>
        <v>0</v>
      </c>
      <c r="DI91" s="810">
        <f t="shared" si="193"/>
        <v>0</v>
      </c>
      <c r="DJ91" s="810"/>
      <c r="DK91" s="948"/>
      <c r="DL91" s="810">
        <f>CX91</f>
        <v>191345</v>
      </c>
      <c r="DM91" s="810">
        <f t="shared" ref="DM91:DW91" si="194">CY91</f>
        <v>145396</v>
      </c>
      <c r="DN91" s="810">
        <f t="shared" si="194"/>
        <v>175111</v>
      </c>
      <c r="DO91" s="810">
        <f t="shared" si="194"/>
        <v>192052</v>
      </c>
      <c r="DP91" s="810">
        <f t="shared" si="194"/>
        <v>214788</v>
      </c>
      <c r="DQ91" s="810">
        <f t="shared" si="194"/>
        <v>143727</v>
      </c>
      <c r="DR91" s="810">
        <f t="shared" si="194"/>
        <v>191217</v>
      </c>
      <c r="DS91" s="810">
        <f t="shared" si="194"/>
        <v>180648</v>
      </c>
      <c r="DT91" s="810">
        <f t="shared" si="194"/>
        <v>180874</v>
      </c>
      <c r="DU91" s="810">
        <f t="shared" si="194"/>
        <v>0</v>
      </c>
      <c r="DV91" s="810">
        <f t="shared" si="194"/>
        <v>0</v>
      </c>
      <c r="DW91" s="810">
        <f t="shared" si="194"/>
        <v>0</v>
      </c>
      <c r="DX91" s="810"/>
    </row>
    <row r="92" spans="1:143" ht="15.75" hidden="1" customHeight="1">
      <c r="A92" s="821"/>
      <c r="B92" s="823" t="s">
        <v>134</v>
      </c>
      <c r="C92" s="814"/>
      <c r="D92" s="804"/>
      <c r="E92" s="805"/>
      <c r="F92" s="805"/>
      <c r="G92" s="805"/>
      <c r="H92" s="805"/>
      <c r="I92" s="805"/>
      <c r="J92" s="805"/>
      <c r="K92" s="805"/>
      <c r="L92" s="805"/>
      <c r="M92" s="805"/>
      <c r="N92" s="805"/>
      <c r="O92" s="805"/>
      <c r="P92" s="806"/>
      <c r="Q92" s="807"/>
      <c r="R92" s="804"/>
      <c r="S92" s="596"/>
      <c r="T92" s="596"/>
      <c r="U92" s="596"/>
      <c r="V92" s="596"/>
      <c r="W92" s="596"/>
      <c r="X92" s="596"/>
      <c r="Y92" s="596"/>
      <c r="Z92" s="596"/>
      <c r="AA92" s="596"/>
      <c r="AB92" s="596"/>
      <c r="AC92" s="596"/>
      <c r="AD92" s="809"/>
      <c r="AE92" s="28"/>
      <c r="AF92" s="808">
        <v>126362</v>
      </c>
      <c r="AG92" s="596">
        <v>153970</v>
      </c>
      <c r="AH92" s="596">
        <v>128331</v>
      </c>
      <c r="AI92" s="596">
        <v>135338</v>
      </c>
      <c r="AJ92" s="596">
        <v>177312</v>
      </c>
      <c r="AK92" s="596">
        <v>150818</v>
      </c>
      <c r="AL92" s="596">
        <v>158858</v>
      </c>
      <c r="AM92" s="596">
        <v>153933</v>
      </c>
      <c r="AN92" s="596">
        <v>134244</v>
      </c>
      <c r="AO92" s="596">
        <v>137435</v>
      </c>
      <c r="AP92" s="596">
        <v>143221</v>
      </c>
      <c r="AQ92" s="596">
        <v>85543</v>
      </c>
      <c r="AR92" s="810">
        <f t="shared" si="186"/>
        <v>1685365</v>
      </c>
      <c r="AS92" s="28"/>
      <c r="AT92" s="596">
        <v>120211</v>
      </c>
      <c r="AU92" s="596">
        <v>120216</v>
      </c>
      <c r="AV92" s="596">
        <v>101053</v>
      </c>
      <c r="AW92" s="596">
        <v>137388</v>
      </c>
      <c r="AX92" s="596">
        <v>137400</v>
      </c>
      <c r="AY92" s="596">
        <v>135412</v>
      </c>
      <c r="AZ92" s="596">
        <v>157032</v>
      </c>
      <c r="BA92" s="596">
        <v>172227</v>
      </c>
      <c r="BB92" s="596">
        <f>157995+8500</f>
        <v>166495</v>
      </c>
      <c r="BC92" s="596">
        <v>153816</v>
      </c>
      <c r="BD92" s="596">
        <v>138051</v>
      </c>
      <c r="BE92" s="596">
        <v>55950</v>
      </c>
      <c r="BF92" s="596">
        <f t="shared" si="188"/>
        <v>1595251</v>
      </c>
      <c r="BG92" s="28"/>
      <c r="BH92" s="596">
        <v>138562</v>
      </c>
      <c r="BI92" s="596">
        <v>109391</v>
      </c>
      <c r="BJ92" s="596">
        <v>160056</v>
      </c>
      <c r="BK92" s="596">
        <v>124826</v>
      </c>
      <c r="BL92" s="596">
        <v>151185</v>
      </c>
      <c r="BM92" s="596">
        <v>134688</v>
      </c>
      <c r="BN92" s="596">
        <v>157005</v>
      </c>
      <c r="BO92" s="596">
        <v>151231</v>
      </c>
      <c r="BP92" s="596">
        <v>143335</v>
      </c>
      <c r="BQ92" s="596">
        <v>159215</v>
      </c>
      <c r="BR92" s="596"/>
      <c r="BS92" s="596"/>
      <c r="BT92" s="596">
        <f t="shared" si="190"/>
        <v>1429494</v>
      </c>
      <c r="BU92" s="28"/>
      <c r="BV92" s="596">
        <v>154584</v>
      </c>
      <c r="BW92" s="596">
        <v>151963</v>
      </c>
      <c r="BX92" s="596">
        <v>144646</v>
      </c>
      <c r="BY92" s="596">
        <v>178798</v>
      </c>
      <c r="BZ92" s="596">
        <v>151863</v>
      </c>
      <c r="CA92" s="596">
        <v>152310</v>
      </c>
      <c r="CB92" s="596">
        <v>177824</v>
      </c>
      <c r="CC92" s="596">
        <v>155456</v>
      </c>
      <c r="CD92" s="596">
        <v>159431</v>
      </c>
      <c r="CE92" s="596"/>
      <c r="CF92" s="596"/>
      <c r="CG92" s="596"/>
      <c r="CH92" s="596"/>
      <c r="CJ92" s="596">
        <v>145276</v>
      </c>
      <c r="CK92" s="596">
        <v>157921</v>
      </c>
      <c r="CL92" s="596">
        <v>147905</v>
      </c>
      <c r="CM92" s="596">
        <v>157807</v>
      </c>
      <c r="CN92" s="596"/>
      <c r="CO92" s="596"/>
      <c r="CP92" s="596"/>
      <c r="CQ92" s="596"/>
      <c r="CR92" s="596"/>
      <c r="CS92" s="596"/>
      <c r="CT92" s="596"/>
      <c r="CU92" s="596"/>
      <c r="CV92" s="596"/>
      <c r="CW92" s="758"/>
      <c r="CX92" s="940"/>
      <c r="CY92" s="940"/>
      <c r="CZ92" s="596">
        <v>6339</v>
      </c>
      <c r="DA92" s="940"/>
      <c r="DB92" s="940"/>
      <c r="DC92" s="940"/>
      <c r="DD92" s="940"/>
      <c r="DE92" s="940"/>
      <c r="DF92" s="940"/>
      <c r="DG92" s="940"/>
      <c r="DH92" s="940"/>
      <c r="DI92" s="940"/>
      <c r="DJ92" s="596"/>
      <c r="DK92" s="948"/>
      <c r="DL92" s="940" t="e">
        <f>DL19-DL18</f>
        <v>#DIV/0!</v>
      </c>
      <c r="DM92" s="940" t="e">
        <f t="shared" ref="DM92:DW92" si="195">DM19-DM18</f>
        <v>#DIV/0!</v>
      </c>
      <c r="DN92" s="940" t="e">
        <f t="shared" si="195"/>
        <v>#DIV/0!</v>
      </c>
      <c r="DO92" s="940" t="e">
        <f t="shared" si="195"/>
        <v>#DIV/0!</v>
      </c>
      <c r="DP92" s="940" t="e">
        <f t="shared" si="195"/>
        <v>#DIV/0!</v>
      </c>
      <c r="DQ92" s="940" t="e">
        <f t="shared" si="195"/>
        <v>#DIV/0!</v>
      </c>
      <c r="DR92" s="940" t="e">
        <f t="shared" si="195"/>
        <v>#DIV/0!</v>
      </c>
      <c r="DS92" s="940" t="e">
        <f t="shared" si="195"/>
        <v>#DIV/0!</v>
      </c>
      <c r="DT92" s="940" t="e">
        <f t="shared" si="195"/>
        <v>#DIV/0!</v>
      </c>
      <c r="DU92" s="940" t="e">
        <f t="shared" si="195"/>
        <v>#DIV/0!</v>
      </c>
      <c r="DV92" s="940" t="e">
        <f t="shared" si="195"/>
        <v>#DIV/0!</v>
      </c>
      <c r="DW92" s="940">
        <f t="shared" si="195"/>
        <v>3.3522182806919645</v>
      </c>
      <c r="DX92" s="596"/>
    </row>
    <row r="93" spans="1:143" ht="15.75" hidden="1" customHeight="1">
      <c r="A93" s="821"/>
      <c r="B93" s="823" t="s">
        <v>135</v>
      </c>
      <c r="C93" s="814"/>
      <c r="D93" s="804"/>
      <c r="E93" s="805"/>
      <c r="F93" s="805"/>
      <c r="G93" s="805"/>
      <c r="H93" s="805"/>
      <c r="I93" s="805"/>
      <c r="J93" s="805"/>
      <c r="K93" s="805"/>
      <c r="L93" s="805"/>
      <c r="M93" s="805"/>
      <c r="N93" s="805"/>
      <c r="O93" s="805"/>
      <c r="P93" s="806"/>
      <c r="Q93" s="807"/>
      <c r="R93" s="804"/>
      <c r="S93" s="596"/>
      <c r="T93" s="596"/>
      <c r="U93" s="596"/>
      <c r="V93" s="596"/>
      <c r="W93" s="596"/>
      <c r="X93" s="596"/>
      <c r="Y93" s="596"/>
      <c r="Z93" s="596"/>
      <c r="AA93" s="596"/>
      <c r="AB93" s="596"/>
      <c r="AC93" s="596"/>
      <c r="AD93" s="809"/>
      <c r="AE93" s="28"/>
      <c r="AF93" s="596">
        <f t="shared" ref="AF93:AL93" si="196">AF91-AF92</f>
        <v>19254</v>
      </c>
      <c r="AG93" s="596">
        <f t="shared" si="196"/>
        <v>14480</v>
      </c>
      <c r="AH93" s="596">
        <f t="shared" si="196"/>
        <v>24960</v>
      </c>
      <c r="AI93" s="596">
        <f t="shared" si="196"/>
        <v>14040</v>
      </c>
      <c r="AJ93" s="596">
        <f t="shared" si="196"/>
        <v>19048</v>
      </c>
      <c r="AK93" s="596">
        <f t="shared" si="196"/>
        <v>19740</v>
      </c>
      <c r="AL93" s="596">
        <f t="shared" si="196"/>
        <v>12900</v>
      </c>
      <c r="AM93" s="596">
        <v>15041</v>
      </c>
      <c r="AN93" s="596">
        <v>10548</v>
      </c>
      <c r="AO93" s="596">
        <v>3940</v>
      </c>
      <c r="AP93" s="596">
        <v>0</v>
      </c>
      <c r="AQ93" s="596">
        <v>0</v>
      </c>
      <c r="AR93" s="810">
        <f t="shared" si="186"/>
        <v>153951</v>
      </c>
      <c r="AS93" s="28"/>
      <c r="AT93" s="596">
        <v>0</v>
      </c>
      <c r="AU93" s="596">
        <v>0</v>
      </c>
      <c r="AV93" s="596">
        <v>0</v>
      </c>
      <c r="AW93" s="596">
        <v>0</v>
      </c>
      <c r="AX93" s="596">
        <v>0</v>
      </c>
      <c r="AY93" s="596">
        <v>0</v>
      </c>
      <c r="AZ93" s="596">
        <v>0</v>
      </c>
      <c r="BA93" s="596">
        <v>1060</v>
      </c>
      <c r="BB93" s="596">
        <v>320</v>
      </c>
      <c r="BC93" s="596">
        <v>0</v>
      </c>
      <c r="BD93" s="596">
        <v>0</v>
      </c>
      <c r="BE93" s="596"/>
      <c r="BF93" s="596">
        <f t="shared" si="188"/>
        <v>1380</v>
      </c>
      <c r="BG93" s="28"/>
      <c r="BH93" s="596"/>
      <c r="BI93" s="596"/>
      <c r="BJ93" s="596"/>
      <c r="BK93" s="596"/>
      <c r="BL93" s="596"/>
      <c r="BM93" s="596"/>
      <c r="BN93" s="596"/>
      <c r="BO93" s="596"/>
      <c r="BP93" s="596"/>
      <c r="BQ93" s="596"/>
      <c r="BR93" s="596"/>
      <c r="BS93" s="596"/>
      <c r="BT93" s="596">
        <f t="shared" si="190"/>
        <v>0</v>
      </c>
      <c r="BU93" s="28"/>
      <c r="BV93" s="596"/>
      <c r="BW93" s="596"/>
      <c r="BX93" s="596"/>
      <c r="BY93" s="596"/>
      <c r="BZ93" s="596"/>
      <c r="CA93" s="596"/>
      <c r="CB93" s="596"/>
      <c r="CC93" s="596"/>
      <c r="CD93" s="596"/>
      <c r="CE93" s="596"/>
      <c r="CF93" s="596"/>
      <c r="CG93" s="596"/>
      <c r="CH93" s="596"/>
      <c r="CJ93" s="596">
        <v>14444</v>
      </c>
      <c r="CK93" s="596">
        <v>24674</v>
      </c>
      <c r="CL93" s="596">
        <v>27206</v>
      </c>
      <c r="CM93" s="596">
        <v>34245</v>
      </c>
      <c r="CN93" s="596"/>
      <c r="CO93" s="596"/>
      <c r="CP93" s="596"/>
      <c r="CQ93" s="596"/>
      <c r="CR93" s="596"/>
      <c r="CS93" s="596"/>
      <c r="CT93" s="596"/>
      <c r="CU93" s="596"/>
      <c r="CV93" s="596"/>
      <c r="CW93" s="758"/>
      <c r="CX93" s="596">
        <v>2341</v>
      </c>
      <c r="CY93" s="596">
        <v>2341</v>
      </c>
      <c r="CZ93" s="596">
        <v>2469</v>
      </c>
      <c r="DA93" s="596"/>
      <c r="DB93" s="596"/>
      <c r="DC93" s="596"/>
      <c r="DD93" s="596"/>
      <c r="DE93" s="596"/>
      <c r="DF93" s="596"/>
      <c r="DG93" s="596"/>
      <c r="DH93" s="596"/>
      <c r="DI93" s="596"/>
      <c r="DJ93" s="596"/>
      <c r="DK93" s="948"/>
      <c r="DL93" s="596"/>
      <c r="DM93" s="596"/>
      <c r="DN93" s="596"/>
      <c r="DO93" s="596"/>
      <c r="DP93" s="596"/>
      <c r="DQ93" s="596"/>
      <c r="DR93" s="596"/>
      <c r="DS93" s="596"/>
      <c r="DT93" s="596"/>
      <c r="DU93" s="596"/>
      <c r="DV93" s="596"/>
      <c r="DW93" s="596"/>
      <c r="DX93" s="596"/>
    </row>
    <row r="94" spans="1:143" ht="18.75" hidden="1">
      <c r="A94" s="103" t="s">
        <v>103</v>
      </c>
      <c r="B94" s="337"/>
      <c r="C94" s="330"/>
      <c r="D94" s="331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332"/>
      <c r="Q94" s="105"/>
      <c r="R94" s="333"/>
      <c r="S94" s="333"/>
      <c r="T94" s="333"/>
      <c r="U94" s="333"/>
      <c r="V94" s="333"/>
      <c r="W94" s="333"/>
      <c r="X94" s="333"/>
      <c r="Y94" s="333"/>
      <c r="Z94" s="333"/>
      <c r="AA94" s="333"/>
      <c r="AB94" s="333"/>
      <c r="AC94" s="333"/>
      <c r="AD94" s="334"/>
      <c r="AE94" s="106"/>
      <c r="AF94" s="333">
        <f t="shared" ref="AF94:AQ94" si="197">AF91-AF82</f>
        <v>-15784</v>
      </c>
      <c r="AG94" s="333">
        <f t="shared" si="197"/>
        <v>2450</v>
      </c>
      <c r="AH94" s="333">
        <f t="shared" si="197"/>
        <v>2820</v>
      </c>
      <c r="AI94" s="333">
        <f t="shared" si="197"/>
        <v>338</v>
      </c>
      <c r="AJ94" s="333">
        <f t="shared" si="197"/>
        <v>0</v>
      </c>
      <c r="AK94" s="333">
        <f t="shared" si="197"/>
        <v>7258</v>
      </c>
      <c r="AL94" s="333">
        <f t="shared" si="197"/>
        <v>-18242</v>
      </c>
      <c r="AM94" s="333">
        <f t="shared" si="197"/>
        <v>1974</v>
      </c>
      <c r="AN94" s="333">
        <f t="shared" si="197"/>
        <v>-25708</v>
      </c>
      <c r="AO94" s="333">
        <f t="shared" si="197"/>
        <v>1375</v>
      </c>
      <c r="AP94" s="333">
        <f t="shared" si="197"/>
        <v>13221</v>
      </c>
      <c r="AQ94" s="333">
        <f t="shared" si="197"/>
        <v>-14457</v>
      </c>
      <c r="AR94" s="107">
        <f t="shared" si="186"/>
        <v>-44755</v>
      </c>
      <c r="AS94" s="106"/>
      <c r="AT94" s="333">
        <f t="shared" ref="AT94:BE94" si="198">AT91-AT82</f>
        <v>-12789</v>
      </c>
      <c r="AU94" s="333">
        <f t="shared" si="198"/>
        <v>-4964</v>
      </c>
      <c r="AV94" s="333">
        <f t="shared" si="198"/>
        <v>-16175</v>
      </c>
      <c r="AW94" s="333">
        <f t="shared" si="198"/>
        <v>9888</v>
      </c>
      <c r="AX94" s="333">
        <f t="shared" si="198"/>
        <v>-2600</v>
      </c>
      <c r="AY94" s="333">
        <f t="shared" si="198"/>
        <v>-22930.999998999992</v>
      </c>
      <c r="AZ94" s="333">
        <f t="shared" si="198"/>
        <v>4623</v>
      </c>
      <c r="BA94" s="333">
        <f t="shared" si="198"/>
        <v>-233</v>
      </c>
      <c r="BB94" s="333">
        <f t="shared" si="198"/>
        <v>1815</v>
      </c>
      <c r="BC94" s="333">
        <f t="shared" si="198"/>
        <v>-3684</v>
      </c>
      <c r="BD94" s="333">
        <f t="shared" si="198"/>
        <v>8620</v>
      </c>
      <c r="BE94" s="333">
        <f t="shared" si="198"/>
        <v>-5750</v>
      </c>
      <c r="BF94" s="108">
        <f t="shared" si="188"/>
        <v>-44179.999998999992</v>
      </c>
      <c r="BG94" s="106"/>
      <c r="BH94" s="333">
        <f t="shared" ref="BH94:BQ94" si="199">BH91-BH82</f>
        <v>-1198</v>
      </c>
      <c r="BI94" s="333">
        <f t="shared" si="199"/>
        <v>-7189</v>
      </c>
      <c r="BJ94" s="333">
        <f t="shared" si="199"/>
        <v>11716</v>
      </c>
      <c r="BK94" s="333">
        <f t="shared" si="199"/>
        <v>12466</v>
      </c>
      <c r="BL94" s="333">
        <f t="shared" si="199"/>
        <v>42525</v>
      </c>
      <c r="BM94" s="333">
        <f t="shared" si="199"/>
        <v>-18728</v>
      </c>
      <c r="BN94" s="333">
        <f t="shared" si="199"/>
        <v>19329</v>
      </c>
      <c r="BO94" s="333">
        <f t="shared" si="199"/>
        <v>-9423</v>
      </c>
      <c r="BP94" s="333">
        <f t="shared" si="199"/>
        <v>-13665</v>
      </c>
      <c r="BQ94" s="333">
        <f t="shared" si="199"/>
        <v>2490</v>
      </c>
      <c r="BR94" s="108"/>
      <c r="BS94" s="108"/>
      <c r="BT94" s="108">
        <f t="shared" si="190"/>
        <v>38323</v>
      </c>
      <c r="BU94" s="28"/>
      <c r="BV94" s="333"/>
      <c r="BW94" s="333"/>
      <c r="BX94" s="333"/>
      <c r="BY94" s="333">
        <f>BY91-BY82</f>
        <v>5998</v>
      </c>
      <c r="BZ94" s="333">
        <f t="shared" ref="BZ94:CG94" si="200">BZ91-BZ82</f>
        <v>-13737</v>
      </c>
      <c r="CA94" s="333">
        <f t="shared" si="200"/>
        <v>-6090</v>
      </c>
      <c r="CB94" s="333">
        <f t="shared" si="200"/>
        <v>-2176</v>
      </c>
      <c r="CC94" s="333">
        <f t="shared" si="200"/>
        <v>-17344</v>
      </c>
      <c r="CD94" s="333">
        <f t="shared" si="200"/>
        <v>-13369</v>
      </c>
      <c r="CE94" s="333">
        <f t="shared" si="200"/>
        <v>793</v>
      </c>
      <c r="CF94" s="333">
        <f t="shared" si="200"/>
        <v>-12350</v>
      </c>
      <c r="CG94" s="333">
        <f t="shared" si="200"/>
        <v>-98800</v>
      </c>
      <c r="CH94" s="333">
        <f>CH91-CH82</f>
        <v>-118882</v>
      </c>
      <c r="CJ94" s="333">
        <f t="shared" ref="CJ94:CV94" si="201">CJ91-CJ82</f>
        <v>-9572</v>
      </c>
      <c r="CK94" s="333">
        <f>CK91-CK82</f>
        <v>-6005</v>
      </c>
      <c r="CL94" s="333">
        <f t="shared" si="201"/>
        <v>4111</v>
      </c>
      <c r="CM94" s="333">
        <f t="shared" si="201"/>
        <v>-7948</v>
      </c>
      <c r="CN94" s="333">
        <f t="shared" si="201"/>
        <v>36498</v>
      </c>
      <c r="CO94" s="333">
        <f t="shared" si="201"/>
        <v>-54273</v>
      </c>
      <c r="CP94" s="333">
        <f t="shared" si="201"/>
        <v>-53783</v>
      </c>
      <c r="CQ94" s="333">
        <f t="shared" si="201"/>
        <v>-27252</v>
      </c>
      <c r="CR94" s="333">
        <f t="shared" si="201"/>
        <v>-36926</v>
      </c>
      <c r="CS94" s="333">
        <f t="shared" si="201"/>
        <v>-205579</v>
      </c>
      <c r="CT94" s="333">
        <f t="shared" si="201"/>
        <v>-164340</v>
      </c>
      <c r="CU94" s="333">
        <f t="shared" si="201"/>
        <v>-118660</v>
      </c>
      <c r="CV94" s="333">
        <f t="shared" si="201"/>
        <v>-2260169</v>
      </c>
      <c r="CW94" s="758"/>
      <c r="CX94" s="333">
        <f>CX91-CX81</f>
        <v>-3422.0999999999767</v>
      </c>
      <c r="CY94" s="333">
        <f t="shared" ref="CY94:DK94" si="202">CY91-CY82</f>
        <v>27531.399999999994</v>
      </c>
      <c r="CZ94" s="333">
        <f t="shared" si="202"/>
        <v>173731</v>
      </c>
      <c r="DA94" s="333">
        <f t="shared" si="202"/>
        <v>151212</v>
      </c>
      <c r="DB94" s="333">
        <f t="shared" si="202"/>
        <v>62684</v>
      </c>
      <c r="DC94" s="333">
        <f t="shared" si="202"/>
        <v>28557</v>
      </c>
      <c r="DD94" s="333">
        <f t="shared" si="202"/>
        <v>42631.880000000005</v>
      </c>
      <c r="DE94" s="333">
        <f t="shared" si="202"/>
        <v>64482.050000000017</v>
      </c>
      <c r="DF94" s="333">
        <f t="shared" si="202"/>
        <v>58987.01999999999</v>
      </c>
      <c r="DG94" s="333">
        <f t="shared" si="202"/>
        <v>-146886.98000000001</v>
      </c>
      <c r="DH94" s="333">
        <f t="shared" si="202"/>
        <v>-140088.22</v>
      </c>
      <c r="DI94" s="333">
        <f t="shared" si="202"/>
        <v>-100188.84</v>
      </c>
      <c r="DJ94" s="333">
        <f t="shared" si="202"/>
        <v>-1333047.79</v>
      </c>
      <c r="DK94" s="948"/>
      <c r="DL94" s="333">
        <f t="shared" ref="DL94:DX94" si="203">DL91-DL82</f>
        <v>81686</v>
      </c>
      <c r="DM94" s="333">
        <f t="shared" si="203"/>
        <v>42817.850000000006</v>
      </c>
      <c r="DN94" s="333">
        <f t="shared" si="203"/>
        <v>36430</v>
      </c>
      <c r="DO94" s="333">
        <f t="shared" si="203"/>
        <v>49592</v>
      </c>
      <c r="DP94" s="333">
        <f t="shared" si="203"/>
        <v>65800.399999999994</v>
      </c>
      <c r="DQ94" s="333">
        <f t="shared" si="203"/>
        <v>26561.050000000017</v>
      </c>
      <c r="DR94" s="333">
        <f t="shared" si="203"/>
        <v>46531.260000000009</v>
      </c>
      <c r="DS94" s="333">
        <f t="shared" si="203"/>
        <v>57482.050000000017</v>
      </c>
      <c r="DT94" s="333">
        <f t="shared" si="203"/>
        <v>52987.01999999999</v>
      </c>
      <c r="DU94" s="333">
        <f t="shared" si="203"/>
        <v>-152886.98000000001</v>
      </c>
      <c r="DV94" s="333">
        <f t="shared" si="203"/>
        <v>-140088.22</v>
      </c>
      <c r="DW94" s="333">
        <f t="shared" si="203"/>
        <v>-82390.079999999987</v>
      </c>
      <c r="DX94" s="333">
        <f t="shared" si="203"/>
        <v>-1530635.65</v>
      </c>
    </row>
    <row r="95" spans="1:143" ht="14.25" hidden="1" customHeight="1">
      <c r="A95" s="55" t="s">
        <v>104</v>
      </c>
      <c r="B95" s="56"/>
      <c r="C95" s="280"/>
      <c r="D95" s="288" t="e">
        <f t="shared" ref="D95:F95" si="204">#REF!-#REF!</f>
        <v>#REF!</v>
      </c>
      <c r="E95" s="57" t="e">
        <f t="shared" si="204"/>
        <v>#REF!</v>
      </c>
      <c r="F95" s="57" t="e">
        <f t="shared" si="204"/>
        <v>#REF!</v>
      </c>
      <c r="G95" s="57" t="e">
        <f t="shared" ref="G95:I95" si="205">G82-#REF!</f>
        <v>#REF!</v>
      </c>
      <c r="H95" s="57" t="e">
        <f t="shared" si="205"/>
        <v>#REF!</v>
      </c>
      <c r="I95" s="57" t="e">
        <f t="shared" si="205"/>
        <v>#REF!</v>
      </c>
      <c r="J95" s="57" t="e">
        <f t="shared" ref="J95:K95" si="206">#REF!-#REF!</f>
        <v>#REF!</v>
      </c>
      <c r="K95" s="57" t="e">
        <f t="shared" si="206"/>
        <v>#REF!</v>
      </c>
      <c r="L95" s="57">
        <f>L82-L35</f>
        <v>-24911</v>
      </c>
      <c r="M95" s="57">
        <f>M82-M35</f>
        <v>-13674</v>
      </c>
      <c r="N95" s="57">
        <f>N82-N35</f>
        <v>57632</v>
      </c>
      <c r="O95" s="57">
        <f>O82-O35</f>
        <v>74079</v>
      </c>
      <c r="P95" s="289" t="e">
        <f>SUM(D95:O95)</f>
        <v>#REF!</v>
      </c>
      <c r="Q95" s="39"/>
      <c r="R95" s="288">
        <f t="shared" ref="R95:AD95" si="207">R82-R35</f>
        <v>22222.660017050745</v>
      </c>
      <c r="S95" s="58">
        <f t="shared" si="207"/>
        <v>17159.673608830723</v>
      </c>
      <c r="T95" s="58">
        <f t="shared" si="207"/>
        <v>-24753.77192982455</v>
      </c>
      <c r="U95" s="58">
        <f t="shared" si="207"/>
        <v>-17814.899999999998</v>
      </c>
      <c r="V95" s="58">
        <f t="shared" si="207"/>
        <v>1715</v>
      </c>
      <c r="W95" s="290">
        <f t="shared" si="207"/>
        <v>120430.6180497602</v>
      </c>
      <c r="X95" s="290">
        <f t="shared" si="207"/>
        <v>43436.666666667006</v>
      </c>
      <c r="Y95" s="290">
        <f t="shared" si="207"/>
        <v>-29747.083333333314</v>
      </c>
      <c r="Z95" s="290">
        <f t="shared" si="207"/>
        <v>-80887.5</v>
      </c>
      <c r="AA95" s="290">
        <f t="shared" si="207"/>
        <v>10200</v>
      </c>
      <c r="AB95" s="290">
        <f t="shared" si="207"/>
        <v>137500</v>
      </c>
      <c r="AC95" s="290">
        <f t="shared" si="207"/>
        <v>134100</v>
      </c>
      <c r="AD95" s="291">
        <f t="shared" si="207"/>
        <v>333561.36307915067</v>
      </c>
      <c r="AE95" s="59"/>
      <c r="AF95" s="292">
        <f t="shared" ref="AF95:AQ95" si="208">AF82-AF35</f>
        <v>32754</v>
      </c>
      <c r="AG95" s="58">
        <f t="shared" si="208"/>
        <v>-11977</v>
      </c>
      <c r="AH95" s="58">
        <f t="shared" si="208"/>
        <v>76847</v>
      </c>
      <c r="AI95" s="58">
        <f t="shared" si="208"/>
        <v>59682</v>
      </c>
      <c r="AJ95" s="58">
        <f t="shared" si="208"/>
        <v>74226</v>
      </c>
      <c r="AK95" s="58">
        <f t="shared" si="208"/>
        <v>14740</v>
      </c>
      <c r="AL95" s="58">
        <f t="shared" si="208"/>
        <v>38005</v>
      </c>
      <c r="AM95" s="58">
        <f t="shared" si="208"/>
        <v>-71903</v>
      </c>
      <c r="AN95" s="58">
        <f t="shared" si="208"/>
        <v>-90633.333333333343</v>
      </c>
      <c r="AO95" s="58">
        <f t="shared" si="208"/>
        <v>-115900</v>
      </c>
      <c r="AP95" s="58">
        <f t="shared" si="208"/>
        <v>1360</v>
      </c>
      <c r="AQ95" s="58">
        <f t="shared" si="208"/>
        <v>2160</v>
      </c>
      <c r="AR95" s="58">
        <f t="shared" si="186"/>
        <v>9360.666666666657</v>
      </c>
      <c r="AS95" s="59"/>
      <c r="AT95" s="58">
        <f t="shared" ref="AT95:BE95" si="209">AT82-AT35</f>
        <v>-19749.25</v>
      </c>
      <c r="AU95" s="58">
        <f t="shared" si="209"/>
        <v>-43342.103448275855</v>
      </c>
      <c r="AV95" s="58">
        <f t="shared" si="209"/>
        <v>-36893.137931034493</v>
      </c>
      <c r="AW95" s="58">
        <f t="shared" si="209"/>
        <v>-32095.137931034493</v>
      </c>
      <c r="AX95" s="58">
        <f t="shared" si="209"/>
        <v>19900.034482758623</v>
      </c>
      <c r="AY95" s="58">
        <f t="shared" si="209"/>
        <v>19999.222221222211</v>
      </c>
      <c r="AZ95" s="58">
        <f t="shared" si="209"/>
        <v>-14264.777777777781</v>
      </c>
      <c r="BA95" s="58">
        <f t="shared" si="209"/>
        <v>-68922.296296296292</v>
      </c>
      <c r="BB95" s="58">
        <f t="shared" si="209"/>
        <v>-78407.777777777781</v>
      </c>
      <c r="BC95" s="58">
        <f t="shared" si="209"/>
        <v>-95868.290755657828</v>
      </c>
      <c r="BD95" s="58">
        <f t="shared" si="209"/>
        <v>-5124.586881472962</v>
      </c>
      <c r="BE95" s="58">
        <f t="shared" si="209"/>
        <v>-10986.612965093984</v>
      </c>
      <c r="BF95" s="58">
        <f t="shared" si="188"/>
        <v>-365754.71506044065</v>
      </c>
      <c r="BG95" s="59"/>
      <c r="BH95" s="58">
        <f t="shared" ref="BH95:BQ95" si="210">BH82-BH35</f>
        <v>-12993</v>
      </c>
      <c r="BI95" s="58">
        <f t="shared" si="210"/>
        <v>-30242.333333333314</v>
      </c>
      <c r="BJ95" s="58">
        <f t="shared" si="210"/>
        <v>-23206.074074074073</v>
      </c>
      <c r="BK95" s="58">
        <f t="shared" si="210"/>
        <v>-47411.74074074073</v>
      </c>
      <c r="BL95" s="58">
        <f t="shared" si="210"/>
        <v>-23836.851851851854</v>
      </c>
      <c r="BM95" s="58">
        <f t="shared" si="210"/>
        <v>23509.740740740745</v>
      </c>
      <c r="BN95" s="58">
        <f t="shared" si="210"/>
        <v>-33707.555555555562</v>
      </c>
      <c r="BO95" s="58">
        <f t="shared" si="210"/>
        <v>-18896.378111111087</v>
      </c>
      <c r="BP95" s="58">
        <f t="shared" si="210"/>
        <v>-45053.749537037045</v>
      </c>
      <c r="BQ95" s="58">
        <f t="shared" si="210"/>
        <v>-7140</v>
      </c>
      <c r="BR95" s="58"/>
      <c r="BS95" s="58"/>
      <c r="BT95" s="58">
        <f t="shared" si="190"/>
        <v>-218977.94246296291</v>
      </c>
      <c r="BU95" s="60"/>
      <c r="BV95" s="58"/>
      <c r="BW95" s="58"/>
      <c r="BX95" s="58"/>
      <c r="BY95" s="58">
        <f>BY82-BY35</f>
        <v>13630.76923076922</v>
      </c>
      <c r="BZ95" s="58">
        <f t="shared" ref="BZ95:CG95" si="211">BZ82-BZ35</f>
        <v>14117.606582143373</v>
      </c>
      <c r="CA95" s="58">
        <f t="shared" si="211"/>
        <v>16957.870899031579</v>
      </c>
      <c r="CB95" s="58">
        <f t="shared" si="211"/>
        <v>3013.7855523840117</v>
      </c>
      <c r="CC95" s="58">
        <f t="shared" si="211"/>
        <v>-28501.089448851068</v>
      </c>
      <c r="CD95" s="58">
        <f t="shared" si="211"/>
        <v>-40033.040135593415</v>
      </c>
      <c r="CE95" s="58">
        <f t="shared" si="211"/>
        <v>-43122.303862118919</v>
      </c>
      <c r="CF95" s="58">
        <f t="shared" si="211"/>
        <v>-3915.8422363018617</v>
      </c>
      <c r="CG95" s="58">
        <f t="shared" si="211"/>
        <v>11316.183308289634</v>
      </c>
      <c r="CH95" s="58">
        <f>CH91-CH77</f>
        <v>-50665</v>
      </c>
      <c r="CJ95" s="58">
        <f t="shared" ref="CJ95:CV95" si="212">CJ82-CJ35</f>
        <v>7083.6330227357394</v>
      </c>
      <c r="CK95" s="58">
        <f t="shared" si="212"/>
        <v>13756.340186358546</v>
      </c>
      <c r="CL95" s="58">
        <f t="shared" si="212"/>
        <v>4307.6667014535924</v>
      </c>
      <c r="CM95" s="58">
        <f t="shared" si="212"/>
        <v>34375.841222512099</v>
      </c>
      <c r="CN95" s="58">
        <f t="shared" si="212"/>
        <v>10438.8879612374</v>
      </c>
      <c r="CO95" s="58">
        <f t="shared" si="212"/>
        <v>63053.84509877002</v>
      </c>
      <c r="CP95" s="58">
        <f t="shared" si="212"/>
        <v>32882.489535864966</v>
      </c>
      <c r="CQ95" s="58">
        <f t="shared" si="212"/>
        <v>-22005.693924050604</v>
      </c>
      <c r="CR95" s="58">
        <f t="shared" si="212"/>
        <v>-47858.190843881865</v>
      </c>
      <c r="CS95" s="58">
        <f t="shared" si="212"/>
        <v>-44713.95105485231</v>
      </c>
      <c r="CT95" s="58">
        <f t="shared" si="212"/>
        <v>-9023.6010970463976</v>
      </c>
      <c r="CU95" s="58">
        <f t="shared" si="212"/>
        <v>22348.607594936708</v>
      </c>
      <c r="CV95" s="58">
        <f t="shared" si="212"/>
        <v>64645.874404037837</v>
      </c>
      <c r="CW95" s="758"/>
      <c r="CX95" s="58">
        <f>CX82-CX35</f>
        <v>-68112.900000000023</v>
      </c>
      <c r="CY95" s="58">
        <f t="shared" ref="CY95:DK95" si="213">CY82-CY35</f>
        <v>-101135.40000000002</v>
      </c>
      <c r="CZ95" s="58">
        <f t="shared" si="213"/>
        <v>-165620</v>
      </c>
      <c r="DA95" s="58">
        <f t="shared" si="213"/>
        <v>-122960</v>
      </c>
      <c r="DB95" s="58">
        <f t="shared" si="213"/>
        <v>-8196</v>
      </c>
      <c r="DC95" s="58">
        <f t="shared" si="213"/>
        <v>-130.00000000001455</v>
      </c>
      <c r="DD95" s="58">
        <f t="shared" si="213"/>
        <v>-51321.420000000013</v>
      </c>
      <c r="DE95" s="58">
        <f t="shared" si="213"/>
        <v>-95910.630000000034</v>
      </c>
      <c r="DF95" s="58">
        <f t="shared" si="213"/>
        <v>-151005.81000000003</v>
      </c>
      <c r="DG95" s="58">
        <f t="shared" si="213"/>
        <v>-75899.22000000003</v>
      </c>
      <c r="DH95" s="58">
        <f t="shared" si="213"/>
        <v>-15339.959999999992</v>
      </c>
      <c r="DI95" s="58">
        <f t="shared" si="213"/>
        <v>11188.839999999997</v>
      </c>
      <c r="DJ95" s="58">
        <f t="shared" si="213"/>
        <v>-844442.5</v>
      </c>
      <c r="DK95" s="948"/>
      <c r="DL95" s="58">
        <f>DL82-DL35</f>
        <v>-111441</v>
      </c>
      <c r="DM95" s="58">
        <f t="shared" ref="DM95:DY95" si="214">DM82-DM35</f>
        <v>-64821.850000000006</v>
      </c>
      <c r="DN95" s="58">
        <f t="shared" si="214"/>
        <v>-64119</v>
      </c>
      <c r="DO95" s="58">
        <f t="shared" si="214"/>
        <v>7860</v>
      </c>
      <c r="DP95" s="58">
        <f t="shared" si="214"/>
        <v>23187.600000000006</v>
      </c>
      <c r="DQ95" s="58">
        <f t="shared" si="214"/>
        <v>-834.05000000001746</v>
      </c>
      <c r="DR95" s="58">
        <f t="shared" si="214"/>
        <v>-52314.260000000009</v>
      </c>
      <c r="DS95" s="58">
        <f t="shared" si="214"/>
        <v>-127410.63000000003</v>
      </c>
      <c r="DT95" s="58">
        <f t="shared" si="214"/>
        <v>-196005.80999999997</v>
      </c>
      <c r="DU95" s="58">
        <f t="shared" si="214"/>
        <v>-109599.22</v>
      </c>
      <c r="DV95" s="58">
        <f t="shared" si="214"/>
        <v>-40140.360000000015</v>
      </c>
      <c r="DW95" s="58">
        <f t="shared" si="214"/>
        <v>-15609.920000000013</v>
      </c>
      <c r="DX95" s="58">
        <f t="shared" si="214"/>
        <v>-751248.5</v>
      </c>
    </row>
    <row r="96" spans="1:143" ht="15" hidden="1" customHeight="1">
      <c r="B96" t="s">
        <v>106</v>
      </c>
      <c r="BZ96" s="598"/>
      <c r="CA96" s="598">
        <f>BZ96+CA95</f>
        <v>16957.870899031579</v>
      </c>
      <c r="CB96" s="598">
        <f t="shared" ref="CB96:CG96" si="215">CA96+CB95</f>
        <v>19971.656451415591</v>
      </c>
      <c r="CC96" s="598">
        <f t="shared" si="215"/>
        <v>-8529.4329974354769</v>
      </c>
      <c r="CD96" s="598">
        <f t="shared" si="215"/>
        <v>-48562.473133028892</v>
      </c>
      <c r="CE96" s="598">
        <f t="shared" si="215"/>
        <v>-91684.776995147811</v>
      </c>
      <c r="CF96" s="598">
        <f t="shared" si="215"/>
        <v>-95600.619231449673</v>
      </c>
      <c r="CG96" s="598">
        <f t="shared" si="215"/>
        <v>-84284.435923160039</v>
      </c>
      <c r="CN96">
        <v>147</v>
      </c>
      <c r="CO96">
        <v>147</v>
      </c>
      <c r="CP96">
        <v>147</v>
      </c>
      <c r="CQ96">
        <v>147</v>
      </c>
      <c r="CR96">
        <v>147</v>
      </c>
      <c r="CS96">
        <v>147</v>
      </c>
      <c r="CT96">
        <v>147</v>
      </c>
      <c r="CU96">
        <v>147</v>
      </c>
      <c r="CW96" s="758"/>
      <c r="CX96">
        <f>CX79/(CX78+CX79)</f>
        <v>0.10889228207304867</v>
      </c>
      <c r="CY96">
        <f t="shared" ref="CY96:DI96" si="216">CY79/(CY78+CY79)</f>
        <v>0.10906332005393196</v>
      </c>
      <c r="CZ96">
        <f t="shared" si="216"/>
        <v>0.10560295990871499</v>
      </c>
      <c r="DA96">
        <f t="shared" si="216"/>
        <v>0.1103740306776172</v>
      </c>
      <c r="DB96">
        <f t="shared" si="216"/>
        <v>0.13051445317054414</v>
      </c>
      <c r="DC96">
        <f t="shared" si="216"/>
        <v>0.11523987852948538</v>
      </c>
      <c r="DD96">
        <f t="shared" si="216"/>
        <v>0.15437832681434827</v>
      </c>
      <c r="DE96">
        <f t="shared" si="216"/>
        <v>0.15036914685746341</v>
      </c>
      <c r="DF96">
        <f t="shared" si="216"/>
        <v>0.14020904139872914</v>
      </c>
      <c r="DG96">
        <f t="shared" si="216"/>
        <v>7.9975851863863481E-2</v>
      </c>
      <c r="DH96">
        <f t="shared" si="216"/>
        <v>0.10518071187595056</v>
      </c>
      <c r="DI96">
        <f t="shared" si="216"/>
        <v>9.825520729297918E-2</v>
      </c>
      <c r="DK96" s="948"/>
      <c r="DL96">
        <f>DL79/(DL78+DL79)</f>
        <v>9.6743432367023818E-2</v>
      </c>
      <c r="DM96">
        <f t="shared" ref="DM96:DW96" si="217">DM79/(DM78+DM79)</f>
        <v>9.6498631887906555E-2</v>
      </c>
      <c r="DN96">
        <f t="shared" si="217"/>
        <v>9.4591881536495157E-2</v>
      </c>
      <c r="DO96">
        <f t="shared" si="217"/>
        <v>9.7964874027716115E-2</v>
      </c>
      <c r="DP96">
        <f t="shared" si="217"/>
        <v>9.6214773867036557E-2</v>
      </c>
      <c r="DQ96">
        <f t="shared" si="217"/>
        <v>9.1265234582406166E-2</v>
      </c>
      <c r="DR96">
        <f t="shared" si="217"/>
        <v>0.10014614608853602</v>
      </c>
      <c r="DS96">
        <f t="shared" si="217"/>
        <v>0.11099587737436893</v>
      </c>
      <c r="DT96">
        <f t="shared" si="217"/>
        <v>0.1164117090457787</v>
      </c>
      <c r="DU96">
        <f t="shared" si="217"/>
        <v>7.1907521879673655E-2</v>
      </c>
      <c r="DV96">
        <f t="shared" si="217"/>
        <v>9.4879734818233225E-2</v>
      </c>
      <c r="DW96">
        <f t="shared" si="217"/>
        <v>8.908196304065602E-2</v>
      </c>
    </row>
    <row r="97" spans="1:128" ht="15" hidden="1" customHeight="1">
      <c r="B97" t="s">
        <v>107</v>
      </c>
      <c r="CN97" s="735">
        <f>CN90/CN96</f>
        <v>8840.5732799999987</v>
      </c>
      <c r="CO97" s="735">
        <f t="shared" ref="CO97:CU97" si="218">CO90/CO96</f>
        <v>9261.5529599999973</v>
      </c>
      <c r="CP97" s="735">
        <f t="shared" si="218"/>
        <v>10524.491999999997</v>
      </c>
      <c r="CQ97" s="735">
        <f t="shared" si="218"/>
        <v>8840.5732799999987</v>
      </c>
      <c r="CR97" s="735">
        <f t="shared" si="218"/>
        <v>9261.5529599999973</v>
      </c>
      <c r="CS97" s="735">
        <f t="shared" si="218"/>
        <v>9682.5326399999976</v>
      </c>
      <c r="CT97" s="735">
        <f t="shared" si="218"/>
        <v>9261.5529599999973</v>
      </c>
      <c r="CU97" s="735">
        <f t="shared" si="218"/>
        <v>7156.654559999999</v>
      </c>
      <c r="CW97" s="758"/>
      <c r="CX97">
        <f>ROUND(CX96*CX82,0)</f>
        <v>14361</v>
      </c>
      <c r="CY97">
        <f t="shared" ref="CY97:DI97" si="219">ROUND(CY96*CY82,0)</f>
        <v>12855</v>
      </c>
      <c r="CZ97">
        <f t="shared" si="219"/>
        <v>146</v>
      </c>
      <c r="DA97">
        <f t="shared" si="219"/>
        <v>4508</v>
      </c>
      <c r="DB97">
        <f t="shared" si="219"/>
        <v>19852</v>
      </c>
      <c r="DC97">
        <f t="shared" si="219"/>
        <v>13272</v>
      </c>
      <c r="DD97">
        <f t="shared" si="219"/>
        <v>22938</v>
      </c>
      <c r="DE97">
        <f t="shared" si="219"/>
        <v>17468</v>
      </c>
      <c r="DF97">
        <f t="shared" si="219"/>
        <v>17090</v>
      </c>
      <c r="DG97">
        <f t="shared" si="219"/>
        <v>11747</v>
      </c>
      <c r="DH97">
        <f t="shared" si="219"/>
        <v>14735</v>
      </c>
      <c r="DI97">
        <f t="shared" si="219"/>
        <v>9844</v>
      </c>
      <c r="DK97" s="948"/>
      <c r="DL97">
        <f>ROUND(DL96*DL82,0)</f>
        <v>10609</v>
      </c>
      <c r="DM97">
        <f t="shared" ref="DM97:DW97" si="220">ROUND(DM96*DM82,0)</f>
        <v>9899</v>
      </c>
      <c r="DN97">
        <f t="shared" si="220"/>
        <v>13118</v>
      </c>
      <c r="DO97">
        <f t="shared" si="220"/>
        <v>13956</v>
      </c>
      <c r="DP97">
        <f t="shared" si="220"/>
        <v>14335</v>
      </c>
      <c r="DQ97">
        <f t="shared" si="220"/>
        <v>10693</v>
      </c>
      <c r="DR97">
        <f t="shared" si="220"/>
        <v>14490</v>
      </c>
      <c r="DS97">
        <f t="shared" si="220"/>
        <v>13671</v>
      </c>
      <c r="DT97">
        <f t="shared" si="220"/>
        <v>14888</v>
      </c>
      <c r="DU97">
        <f t="shared" si="220"/>
        <v>10994</v>
      </c>
      <c r="DV97">
        <f t="shared" si="220"/>
        <v>13292</v>
      </c>
      <c r="DW97">
        <f t="shared" si="220"/>
        <v>7339</v>
      </c>
    </row>
    <row r="98" spans="1:128" ht="15" hidden="1" customHeight="1">
      <c r="CO98" s="598">
        <f>CO86</f>
        <v>9000</v>
      </c>
      <c r="CP98" s="598">
        <f t="shared" ref="CP98:CU98" si="221">CP86</f>
        <v>9800</v>
      </c>
      <c r="CQ98" s="598">
        <f t="shared" si="221"/>
        <v>9900</v>
      </c>
      <c r="CR98" s="598">
        <f t="shared" si="221"/>
        <v>9900</v>
      </c>
      <c r="CS98" s="598">
        <f t="shared" si="221"/>
        <v>9300</v>
      </c>
      <c r="CT98" s="598">
        <f t="shared" si="221"/>
        <v>8400</v>
      </c>
      <c r="CU98" s="598">
        <f t="shared" si="221"/>
        <v>9300</v>
      </c>
      <c r="CW98" s="758"/>
      <c r="CX98" s="413">
        <v>194469.46000000002</v>
      </c>
      <c r="CY98" s="413">
        <v>159466.88999999998</v>
      </c>
      <c r="CZ98" s="413">
        <v>208203.57</v>
      </c>
      <c r="DA98" s="413">
        <v>158532.44</v>
      </c>
      <c r="DB98" s="413">
        <v>157404.75999999998</v>
      </c>
      <c r="DC98" s="413">
        <v>118894.62</v>
      </c>
      <c r="DD98" s="413">
        <v>211625.73</v>
      </c>
      <c r="DE98" s="413">
        <v>208193.11</v>
      </c>
      <c r="DF98" s="413">
        <v>269889.13</v>
      </c>
      <c r="DG98" s="413">
        <v>258868.84085232066</v>
      </c>
      <c r="DH98" s="413">
        <v>178376.53444641351</v>
      </c>
      <c r="DI98" s="413">
        <v>114212.18776329115</v>
      </c>
      <c r="DK98" s="948"/>
      <c r="DL98" s="413">
        <f>DL99*1.1</f>
        <v>213916.40600000005</v>
      </c>
      <c r="DM98" s="413">
        <f t="shared" ref="DM98:DW98" si="222">DM99*1.1</f>
        <v>175413.579</v>
      </c>
      <c r="DN98" s="413">
        <f t="shared" si="222"/>
        <v>229023.92700000003</v>
      </c>
      <c r="DO98" s="413">
        <f t="shared" si="222"/>
        <v>174385.68400000001</v>
      </c>
      <c r="DP98" s="413">
        <f t="shared" si="222"/>
        <v>173145.236</v>
      </c>
      <c r="DQ98" s="413">
        <f t="shared" si="222"/>
        <v>130784.08200000001</v>
      </c>
      <c r="DR98" s="413">
        <f t="shared" si="222"/>
        <v>232788.30300000004</v>
      </c>
      <c r="DS98" s="413">
        <f t="shared" si="222"/>
        <v>229012.421</v>
      </c>
      <c r="DT98" s="413">
        <f t="shared" si="222"/>
        <v>296878.04300000001</v>
      </c>
      <c r="DU98" s="413">
        <f t="shared" si="222"/>
        <v>284755.72493755276</v>
      </c>
      <c r="DV98" s="413">
        <f t="shared" si="222"/>
        <v>196214.18789105487</v>
      </c>
      <c r="DW98" s="413">
        <f t="shared" si="222"/>
        <v>125633.40653962028</v>
      </c>
    </row>
    <row r="99" spans="1:128" ht="15" hidden="1" customHeight="1">
      <c r="B99" s="576"/>
      <c r="C99" s="576"/>
      <c r="D99" s="576"/>
      <c r="E99" s="576"/>
      <c r="F99" s="576"/>
      <c r="G99" s="576"/>
      <c r="H99" s="576"/>
      <c r="I99" s="576"/>
      <c r="J99" s="576"/>
      <c r="K99" s="576"/>
      <c r="L99" s="576"/>
      <c r="M99" s="576"/>
      <c r="N99" s="576"/>
      <c r="O99" s="576"/>
      <c r="P99" s="576"/>
      <c r="Q99" s="576"/>
      <c r="R99" s="576"/>
      <c r="S99" s="576"/>
      <c r="T99" s="576"/>
      <c r="U99" s="576"/>
      <c r="V99" s="576"/>
      <c r="W99" s="576"/>
      <c r="X99" s="576"/>
      <c r="Y99" s="576"/>
      <c r="Z99" s="576"/>
      <c r="AA99" s="576"/>
      <c r="AB99" s="576"/>
      <c r="AC99" s="576"/>
      <c r="AD99" s="576"/>
      <c r="AE99" s="576"/>
      <c r="AF99" s="576"/>
      <c r="AG99" s="576"/>
      <c r="AH99" s="576"/>
      <c r="AI99" s="576"/>
      <c r="AJ99" s="576"/>
      <c r="AK99" s="576"/>
      <c r="AL99" s="576"/>
      <c r="AM99" s="576"/>
      <c r="AN99" s="576"/>
      <c r="AO99" s="576"/>
      <c r="AP99" s="576"/>
      <c r="AQ99" s="576"/>
      <c r="AR99" s="576"/>
      <c r="AS99" s="576"/>
      <c r="AT99" s="576"/>
      <c r="AU99" s="576"/>
      <c r="AV99" s="576"/>
      <c r="AW99" s="576"/>
      <c r="AX99" s="576"/>
      <c r="AY99" s="576"/>
      <c r="AZ99" s="576"/>
      <c r="BA99" s="576"/>
      <c r="BB99" s="576"/>
      <c r="BC99" s="576"/>
      <c r="BD99" s="576"/>
      <c r="BE99" s="576"/>
      <c r="BF99" s="576"/>
      <c r="BG99" s="576"/>
      <c r="BH99" s="576"/>
      <c r="BI99" s="576"/>
      <c r="BJ99" s="576"/>
      <c r="BK99" s="576"/>
      <c r="BL99" s="576"/>
      <c r="BM99" s="576"/>
      <c r="BN99" s="576"/>
      <c r="BO99" s="576"/>
      <c r="BP99" s="576"/>
      <c r="BQ99" s="576"/>
      <c r="BR99" s="576"/>
      <c r="BS99" s="576"/>
      <c r="BT99" s="576"/>
      <c r="BU99" s="576"/>
      <c r="BV99" s="576"/>
      <c r="BW99" s="576"/>
      <c r="BX99" s="576"/>
      <c r="BY99" s="576"/>
      <c r="BZ99" s="576"/>
      <c r="CA99" s="576"/>
      <c r="CB99" s="576"/>
      <c r="CC99" s="576"/>
      <c r="CD99" s="576"/>
      <c r="CE99" s="576"/>
      <c r="CF99" s="576"/>
      <c r="CG99" s="576"/>
      <c r="CH99" s="576"/>
      <c r="CI99" s="576"/>
      <c r="CJ99" s="576"/>
      <c r="CK99" s="576"/>
      <c r="CL99" s="576"/>
      <c r="CM99" s="576"/>
      <c r="CN99" s="576"/>
      <c r="CO99" s="576">
        <f>CO82*0.95</f>
        <v>188100</v>
      </c>
      <c r="CP99" s="576">
        <f t="shared" ref="CP99:CU99" si="223">CP82*0.95</f>
        <v>232750</v>
      </c>
      <c r="CQ99" s="576">
        <f t="shared" si="223"/>
        <v>197505</v>
      </c>
      <c r="CR99" s="576">
        <f t="shared" si="223"/>
        <v>206910</v>
      </c>
      <c r="CS99" s="576">
        <f t="shared" si="223"/>
        <v>195300.05</v>
      </c>
      <c r="CT99" s="576">
        <f t="shared" si="223"/>
        <v>156123</v>
      </c>
      <c r="CU99" s="576">
        <f t="shared" si="223"/>
        <v>112727</v>
      </c>
      <c r="CV99" s="576"/>
      <c r="CW99" s="758"/>
      <c r="CX99" s="576"/>
      <c r="CY99" s="576"/>
      <c r="CZ99" s="576"/>
      <c r="DA99" s="576"/>
      <c r="DB99" s="576"/>
      <c r="DC99" s="576"/>
      <c r="DD99" s="576"/>
      <c r="DE99" s="576"/>
      <c r="DF99" s="576"/>
      <c r="DG99" s="576"/>
      <c r="DH99" s="576"/>
      <c r="DI99" s="576"/>
      <c r="DK99" s="948"/>
      <c r="DL99" s="413">
        <v>194469.46000000002</v>
      </c>
      <c r="DM99" s="413">
        <v>159466.88999999998</v>
      </c>
      <c r="DN99" s="413">
        <v>208203.57</v>
      </c>
      <c r="DO99" s="413">
        <v>158532.44</v>
      </c>
      <c r="DP99" s="413">
        <v>157404.75999999998</v>
      </c>
      <c r="DQ99" s="413">
        <v>118894.62</v>
      </c>
      <c r="DR99" s="413">
        <v>211625.73</v>
      </c>
      <c r="DS99" s="413">
        <v>208193.11</v>
      </c>
      <c r="DT99" s="413">
        <v>269889.13</v>
      </c>
      <c r="DU99" s="413">
        <v>258868.84085232066</v>
      </c>
      <c r="DV99" s="413">
        <v>178376.53444641351</v>
      </c>
      <c r="DW99" s="413">
        <v>114212.18776329115</v>
      </c>
    </row>
    <row r="100" spans="1:128" ht="15" hidden="1" customHeight="1">
      <c r="A100" s="576"/>
      <c r="B100" s="760" t="s">
        <v>136</v>
      </c>
      <c r="C100" s="761"/>
      <c r="D100" s="761"/>
      <c r="E100" s="761"/>
      <c r="F100" s="761"/>
      <c r="G100" s="761"/>
      <c r="H100" s="761"/>
      <c r="I100" s="761"/>
      <c r="J100" s="761"/>
      <c r="K100" s="761"/>
      <c r="L100" s="761"/>
      <c r="M100" s="761"/>
      <c r="N100" s="761"/>
      <c r="O100" s="761"/>
      <c r="P100" s="761"/>
      <c r="Q100" s="761"/>
      <c r="R100" s="761"/>
      <c r="S100" s="761"/>
      <c r="T100" s="761"/>
      <c r="U100" s="761"/>
      <c r="V100" s="761"/>
      <c r="W100" s="761"/>
      <c r="X100" s="761"/>
      <c r="Y100" s="761"/>
      <c r="Z100" s="761"/>
      <c r="AA100" s="761"/>
      <c r="AB100" s="761"/>
      <c r="AC100" s="761"/>
      <c r="AD100" s="761"/>
      <c r="AE100" s="761"/>
      <c r="AF100" s="761"/>
      <c r="AG100" s="761"/>
      <c r="AH100" s="761"/>
      <c r="AI100" s="761"/>
      <c r="AJ100" s="761"/>
      <c r="AK100" s="761"/>
      <c r="AL100" s="761"/>
      <c r="AM100" s="761"/>
      <c r="AN100" s="761"/>
      <c r="AO100" s="761"/>
      <c r="AP100" s="761"/>
      <c r="AQ100" s="761"/>
      <c r="AR100" s="761"/>
      <c r="AS100" s="761"/>
      <c r="AT100" s="761"/>
      <c r="AU100" s="761"/>
      <c r="AV100" s="761"/>
      <c r="AW100" s="761"/>
      <c r="AX100" s="761"/>
      <c r="AY100" s="761"/>
      <c r="AZ100" s="761"/>
      <c r="BA100" s="761"/>
      <c r="BB100" s="761"/>
      <c r="BC100" s="761"/>
      <c r="BD100" s="761"/>
      <c r="BE100" s="761"/>
      <c r="BF100" s="761"/>
      <c r="BG100" s="761"/>
      <c r="BH100" s="761"/>
      <c r="BI100" s="761"/>
      <c r="BJ100" s="761"/>
      <c r="BK100" s="761"/>
      <c r="BL100" s="761"/>
      <c r="BM100" s="761"/>
      <c r="BN100" s="761"/>
      <c r="BO100" s="761"/>
      <c r="BP100" s="761"/>
      <c r="BQ100" s="761"/>
      <c r="BR100" s="761"/>
      <c r="BS100" s="761"/>
      <c r="BT100" s="761"/>
      <c r="BU100" s="761"/>
      <c r="BV100" s="761"/>
      <c r="BW100" s="761"/>
      <c r="BX100" s="761"/>
      <c r="BY100" s="761"/>
      <c r="BZ100" s="761"/>
      <c r="CA100" s="761"/>
      <c r="CB100" s="761"/>
      <c r="CC100" s="761"/>
      <c r="CD100" s="761"/>
      <c r="CE100" s="761"/>
      <c r="CF100" s="761"/>
      <c r="CG100" s="761"/>
      <c r="CH100" s="761"/>
      <c r="CI100" s="761"/>
      <c r="CJ100" s="761"/>
      <c r="CK100" s="761"/>
      <c r="CL100" s="761"/>
      <c r="CM100" s="761"/>
      <c r="CN100" s="761"/>
      <c r="CO100" s="761"/>
      <c r="CP100" s="761"/>
      <c r="CQ100" s="761"/>
      <c r="CR100" s="761"/>
      <c r="CS100" s="761">
        <v>0</v>
      </c>
      <c r="CT100" s="761">
        <v>20460</v>
      </c>
      <c r="CU100" s="761">
        <f>CU106-CU105</f>
        <v>39440</v>
      </c>
      <c r="CV100" s="761"/>
      <c r="CW100" s="758"/>
      <c r="CX100" s="761">
        <f>CX106-CX105</f>
        <v>53880</v>
      </c>
      <c r="CY100" s="761">
        <f t="shared" ref="CY100:DB100" si="224">CY106-CY105</f>
        <v>30080</v>
      </c>
      <c r="CZ100" s="761">
        <f t="shared" si="224"/>
        <v>34020</v>
      </c>
      <c r="DA100" s="761">
        <f t="shared" si="224"/>
        <v>21160</v>
      </c>
      <c r="DB100" s="761">
        <v>10000</v>
      </c>
      <c r="DC100" s="761">
        <v>50000</v>
      </c>
      <c r="DD100" s="761">
        <v>40000</v>
      </c>
      <c r="DE100" s="761">
        <v>40000</v>
      </c>
      <c r="DF100" s="761">
        <v>35000</v>
      </c>
      <c r="DG100" s="761">
        <v>20000</v>
      </c>
      <c r="DH100" s="761">
        <v>10000</v>
      </c>
      <c r="DI100" s="761">
        <f>DC100</f>
        <v>50000</v>
      </c>
      <c r="DJ100" s="576"/>
      <c r="DK100" s="948"/>
      <c r="DL100" s="761">
        <f>DL106-DL105</f>
        <v>53880</v>
      </c>
      <c r="DM100" s="761">
        <f t="shared" ref="DM100:DP100" si="225">DM106-DM105</f>
        <v>30080</v>
      </c>
      <c r="DN100" s="761">
        <f t="shared" si="225"/>
        <v>34020</v>
      </c>
      <c r="DO100" s="761">
        <f t="shared" si="225"/>
        <v>21160</v>
      </c>
      <c r="DP100" s="761">
        <v>10000</v>
      </c>
      <c r="DQ100" s="761">
        <v>50000</v>
      </c>
      <c r="DR100" s="761">
        <v>40000</v>
      </c>
      <c r="DS100" s="761">
        <v>40000</v>
      </c>
      <c r="DT100" s="761">
        <v>35000</v>
      </c>
      <c r="DU100" s="761">
        <v>20000</v>
      </c>
      <c r="DV100" s="761">
        <v>10000</v>
      </c>
      <c r="DW100" s="761">
        <f>DQ100</f>
        <v>50000</v>
      </c>
      <c r="DX100" s="576"/>
    </row>
    <row r="101" spans="1:128" ht="15" hidden="1" customHeight="1">
      <c r="A101" s="576"/>
      <c r="B101" s="762" t="s">
        <v>137</v>
      </c>
      <c r="C101" s="763"/>
      <c r="D101" s="763"/>
      <c r="E101" s="763"/>
      <c r="F101" s="763"/>
      <c r="G101" s="763"/>
      <c r="H101" s="763"/>
      <c r="I101" s="763"/>
      <c r="J101" s="763"/>
      <c r="K101" s="763"/>
      <c r="L101" s="763"/>
      <c r="M101" s="763"/>
      <c r="N101" s="763"/>
      <c r="O101" s="763"/>
      <c r="P101" s="763"/>
      <c r="Q101" s="763"/>
      <c r="R101" s="763"/>
      <c r="S101" s="763"/>
      <c r="T101" s="763"/>
      <c r="U101" s="763"/>
      <c r="V101" s="763"/>
      <c r="W101" s="763"/>
      <c r="X101" s="763"/>
      <c r="Y101" s="763"/>
      <c r="Z101" s="763"/>
      <c r="AA101" s="763"/>
      <c r="AB101" s="763"/>
      <c r="AC101" s="763"/>
      <c r="AD101" s="763"/>
      <c r="AE101" s="763"/>
      <c r="AF101" s="763"/>
      <c r="AG101" s="763"/>
      <c r="AH101" s="763"/>
      <c r="AI101" s="763"/>
      <c r="AJ101" s="763"/>
      <c r="AK101" s="763"/>
      <c r="AL101" s="763"/>
      <c r="AM101" s="763"/>
      <c r="AN101" s="763"/>
      <c r="AO101" s="763"/>
      <c r="AP101" s="763"/>
      <c r="AQ101" s="763"/>
      <c r="AR101" s="763"/>
      <c r="AS101" s="763"/>
      <c r="AT101" s="763"/>
      <c r="AU101" s="763"/>
      <c r="AV101" s="763"/>
      <c r="AW101" s="763"/>
      <c r="AX101" s="763"/>
      <c r="AY101" s="763"/>
      <c r="AZ101" s="763"/>
      <c r="BA101" s="763"/>
      <c r="BB101" s="763"/>
      <c r="BC101" s="763"/>
      <c r="BD101" s="763"/>
      <c r="BE101" s="763"/>
      <c r="BF101" s="763"/>
      <c r="BG101" s="763"/>
      <c r="BH101" s="763"/>
      <c r="BI101" s="763"/>
      <c r="BJ101" s="763"/>
      <c r="BK101" s="763"/>
      <c r="BL101" s="763"/>
      <c r="BM101" s="763"/>
      <c r="BN101" s="763"/>
      <c r="BO101" s="763"/>
      <c r="BP101" s="763"/>
      <c r="BQ101" s="763"/>
      <c r="BR101" s="763"/>
      <c r="BS101" s="763"/>
      <c r="BT101" s="763"/>
      <c r="BU101" s="763"/>
      <c r="BV101" s="763"/>
      <c r="BW101" s="763"/>
      <c r="BX101" s="763"/>
      <c r="BY101" s="763"/>
      <c r="BZ101" s="763"/>
      <c r="CA101" s="763"/>
      <c r="CB101" s="763"/>
      <c r="CC101" s="763"/>
      <c r="CD101" s="763"/>
      <c r="CE101" s="763"/>
      <c r="CF101" s="763"/>
      <c r="CG101" s="763"/>
      <c r="CH101" s="763"/>
      <c r="CI101" s="763"/>
      <c r="CJ101" s="763"/>
      <c r="CK101" s="763"/>
      <c r="CL101" s="763"/>
      <c r="CM101" s="763"/>
      <c r="CN101" s="763"/>
      <c r="CO101" s="763"/>
      <c r="CP101" s="763"/>
      <c r="CQ101" s="763"/>
      <c r="CR101" s="763"/>
      <c r="CS101" s="763"/>
      <c r="CT101" s="763">
        <v>35000</v>
      </c>
      <c r="CU101" s="763">
        <v>2096</v>
      </c>
      <c r="CV101" s="763"/>
      <c r="CW101" s="758"/>
      <c r="CX101" s="764">
        <f>CX108-CX107</f>
        <v>39610</v>
      </c>
      <c r="CY101" s="764">
        <f t="shared" ref="CY101:DC101" si="226">CY108-CY107</f>
        <v>36994</v>
      </c>
      <c r="CZ101" s="764">
        <f t="shared" si="226"/>
        <v>29344</v>
      </c>
      <c r="DA101" s="764">
        <f t="shared" si="226"/>
        <v>33378</v>
      </c>
      <c r="DB101" s="764">
        <f t="shared" si="226"/>
        <v>19489</v>
      </c>
      <c r="DC101" s="764">
        <f t="shared" si="226"/>
        <v>14764</v>
      </c>
      <c r="DD101" s="763">
        <f>DD102*1.1</f>
        <v>49685.9</v>
      </c>
      <c r="DE101" s="763">
        <f t="shared" ref="DE101:DI101" si="227">DE102*1.1</f>
        <v>48585.9</v>
      </c>
      <c r="DF101" s="763">
        <f t="shared" si="227"/>
        <v>55922.9</v>
      </c>
      <c r="DG101" s="763">
        <f t="shared" si="227"/>
        <v>28156.7</v>
      </c>
      <c r="DH101" s="763">
        <f t="shared" si="227"/>
        <v>14078.35</v>
      </c>
      <c r="DI101" s="763">
        <f t="shared" si="227"/>
        <v>3300.0000000000005</v>
      </c>
      <c r="DJ101" s="576"/>
      <c r="DK101" s="948"/>
      <c r="DL101" s="764">
        <f>DL108-DL107</f>
        <v>39610</v>
      </c>
      <c r="DM101" s="764">
        <f t="shared" ref="DM101:DQ101" si="228">DM108-DM107</f>
        <v>36994</v>
      </c>
      <c r="DN101" s="764">
        <f t="shared" si="228"/>
        <v>29344</v>
      </c>
      <c r="DO101" s="764">
        <f t="shared" si="228"/>
        <v>33378</v>
      </c>
      <c r="DP101" s="764">
        <f t="shared" si="228"/>
        <v>19489</v>
      </c>
      <c r="DQ101" s="764">
        <f t="shared" si="228"/>
        <v>14764</v>
      </c>
      <c r="DR101" s="763">
        <f>DR102*1.1</f>
        <v>49685.9</v>
      </c>
      <c r="DS101" s="763">
        <f t="shared" ref="DS101:DW101" si="229">DS102*1.1</f>
        <v>48585.9</v>
      </c>
      <c r="DT101" s="763">
        <f t="shared" si="229"/>
        <v>55922.9</v>
      </c>
      <c r="DU101" s="763">
        <f t="shared" si="229"/>
        <v>28156.7</v>
      </c>
      <c r="DV101" s="763">
        <f t="shared" si="229"/>
        <v>14078.35</v>
      </c>
      <c r="DW101" s="763">
        <f t="shared" si="229"/>
        <v>3300.0000000000005</v>
      </c>
      <c r="DX101" s="576"/>
    </row>
    <row r="102" spans="1:128" ht="15" hidden="1" customHeight="1">
      <c r="B102" s="576"/>
      <c r="C102" s="576"/>
      <c r="D102" s="576"/>
      <c r="E102" s="576"/>
      <c r="F102" s="576"/>
      <c r="G102" s="576"/>
      <c r="H102" s="576"/>
      <c r="I102" s="576"/>
      <c r="J102" s="576"/>
      <c r="K102" s="576"/>
      <c r="L102" s="576"/>
      <c r="M102" s="576"/>
      <c r="N102" s="576"/>
      <c r="O102" s="576"/>
      <c r="P102" s="576"/>
      <c r="Q102" s="576"/>
      <c r="R102" s="576"/>
      <c r="S102" s="576"/>
      <c r="T102" s="576"/>
      <c r="U102" s="576"/>
      <c r="V102" s="576"/>
      <c r="W102" s="576"/>
      <c r="X102" s="576"/>
      <c r="Y102" s="576"/>
      <c r="Z102" s="576"/>
      <c r="AA102" s="576"/>
      <c r="AB102" s="576"/>
      <c r="AC102" s="576"/>
      <c r="AD102" s="576"/>
      <c r="AE102" s="576"/>
      <c r="AF102" s="576"/>
      <c r="AG102" s="576"/>
      <c r="AH102" s="576"/>
      <c r="AI102" s="576"/>
      <c r="AJ102" s="576"/>
      <c r="AK102" s="576"/>
      <c r="AL102" s="576"/>
      <c r="AM102" s="576"/>
      <c r="AN102" s="576"/>
      <c r="AO102" s="576"/>
      <c r="AP102" s="576"/>
      <c r="AQ102" s="576"/>
      <c r="AR102" s="576"/>
      <c r="AS102" s="576"/>
      <c r="AT102" s="576"/>
      <c r="AU102" s="576"/>
      <c r="AV102" s="576"/>
      <c r="AW102" s="576"/>
      <c r="AX102" s="576"/>
      <c r="AY102" s="576"/>
      <c r="AZ102" s="576"/>
      <c r="BA102" s="576"/>
      <c r="BB102" s="576"/>
      <c r="BC102" s="576"/>
      <c r="BD102" s="576"/>
      <c r="BE102" s="576"/>
      <c r="BF102" s="576"/>
      <c r="BG102" s="576"/>
      <c r="BH102" s="576"/>
      <c r="BI102" s="576"/>
      <c r="BJ102" s="576"/>
      <c r="BK102" s="576"/>
      <c r="BL102" s="576"/>
      <c r="BM102" s="576"/>
      <c r="BN102" s="576"/>
      <c r="BO102" s="576"/>
      <c r="BP102" s="576"/>
      <c r="BQ102" s="576"/>
      <c r="BR102" s="576"/>
      <c r="BS102" s="576"/>
      <c r="BT102" s="576"/>
      <c r="BU102" s="576"/>
      <c r="BV102" s="576"/>
      <c r="BW102" s="576"/>
      <c r="BX102" s="576"/>
      <c r="BY102" s="576"/>
      <c r="BZ102" s="576"/>
      <c r="CA102" s="576"/>
      <c r="CB102" s="576"/>
      <c r="CC102" s="576"/>
      <c r="CD102" s="576"/>
      <c r="CE102" s="576"/>
      <c r="CF102" s="576"/>
      <c r="CG102" s="576"/>
      <c r="CH102" s="576"/>
      <c r="CI102" s="576"/>
      <c r="CJ102" s="576"/>
      <c r="CK102" s="576"/>
      <c r="CL102" s="576"/>
      <c r="CM102" s="576"/>
      <c r="CN102" s="576"/>
      <c r="CO102" s="576"/>
      <c r="CP102" s="576"/>
      <c r="CQ102" s="576"/>
      <c r="CR102" s="576"/>
      <c r="CS102" s="576"/>
      <c r="CT102" s="576"/>
      <c r="CU102" s="576"/>
      <c r="CV102" s="576"/>
      <c r="CW102" s="758"/>
      <c r="CX102" s="576"/>
      <c r="CY102" s="576"/>
      <c r="CZ102" s="576"/>
      <c r="DA102" s="576"/>
      <c r="DB102" s="576"/>
      <c r="DC102" s="576"/>
      <c r="DD102" s="576">
        <v>45169</v>
      </c>
      <c r="DE102" s="576">
        <v>44169</v>
      </c>
      <c r="DF102" s="576">
        <v>50839</v>
      </c>
      <c r="DG102" s="576">
        <v>25597</v>
      </c>
      <c r="DH102" s="763">
        <f>DG102/2</f>
        <v>12798.5</v>
      </c>
      <c r="DI102" s="763">
        <v>3000</v>
      </c>
      <c r="DK102" s="948"/>
      <c r="DL102" s="576"/>
      <c r="DM102" s="576"/>
      <c r="DN102" s="576"/>
      <c r="DO102" s="576"/>
      <c r="DP102" s="576"/>
      <c r="DQ102" s="576"/>
      <c r="DR102" s="576">
        <v>45169</v>
      </c>
      <c r="DS102" s="576">
        <v>44169</v>
      </c>
      <c r="DT102" s="576">
        <v>50839</v>
      </c>
      <c r="DU102" s="576">
        <v>25597</v>
      </c>
      <c r="DV102" s="763">
        <f>DU102/2</f>
        <v>12798.5</v>
      </c>
      <c r="DW102" s="763">
        <v>3000</v>
      </c>
    </row>
    <row r="103" spans="1:128" ht="15" hidden="1" customHeight="1">
      <c r="CU103">
        <v>50000</v>
      </c>
      <c r="CX103">
        <v>40000</v>
      </c>
      <c r="CY103">
        <v>40000</v>
      </c>
      <c r="CZ103">
        <v>35000</v>
      </c>
      <c r="DA103">
        <v>20000</v>
      </c>
      <c r="DL103">
        <v>40000</v>
      </c>
      <c r="DM103">
        <v>40000</v>
      </c>
      <c r="DN103">
        <v>35000</v>
      </c>
      <c r="DO103">
        <v>20000</v>
      </c>
    </row>
    <row r="104" spans="1:128" ht="15" hidden="1" customHeight="1"/>
    <row r="105" spans="1:128" ht="15" hidden="1" customHeight="1">
      <c r="CT105" s="682" t="s">
        <v>138</v>
      </c>
      <c r="CU105">
        <v>31560</v>
      </c>
      <c r="CX105">
        <v>26320</v>
      </c>
      <c r="CY105">
        <v>21280</v>
      </c>
      <c r="CZ105">
        <v>19180</v>
      </c>
      <c r="DA105">
        <v>14700</v>
      </c>
      <c r="DL105">
        <v>26320</v>
      </c>
      <c r="DM105">
        <v>21280</v>
      </c>
      <c r="DN105">
        <v>19180</v>
      </c>
      <c r="DO105">
        <v>14700</v>
      </c>
    </row>
    <row r="106" spans="1:128" ht="15" hidden="1" customHeight="1">
      <c r="CU106" s="761">
        <v>71000</v>
      </c>
      <c r="CV106" s="761"/>
      <c r="CW106" s="761"/>
      <c r="CX106" s="761">
        <v>80200</v>
      </c>
      <c r="CY106" s="761">
        <v>51360</v>
      </c>
      <c r="CZ106" s="761">
        <v>53200</v>
      </c>
      <c r="DA106" s="761">
        <v>35860</v>
      </c>
      <c r="DL106" s="761">
        <v>80200</v>
      </c>
      <c r="DM106" s="761">
        <v>51360</v>
      </c>
      <c r="DN106" s="761">
        <v>53200</v>
      </c>
      <c r="DO106" s="761">
        <v>35860</v>
      </c>
    </row>
    <row r="107" spans="1:128" ht="15" hidden="1" customHeight="1">
      <c r="B107" s="576"/>
      <c r="C107" s="576"/>
      <c r="CT107" t="s">
        <v>139</v>
      </c>
      <c r="CX107" s="764">
        <v>24332</v>
      </c>
      <c r="CY107" s="764">
        <v>18419</v>
      </c>
      <c r="CZ107" s="764">
        <v>19179</v>
      </c>
      <c r="DA107" s="764">
        <v>17338</v>
      </c>
      <c r="DB107" s="764">
        <v>12064</v>
      </c>
      <c r="DC107" s="764">
        <v>9136</v>
      </c>
      <c r="DL107" s="764">
        <v>24332</v>
      </c>
      <c r="DM107" s="764">
        <v>18419</v>
      </c>
      <c r="DN107" s="764">
        <v>19179</v>
      </c>
      <c r="DO107" s="764">
        <v>17338</v>
      </c>
      <c r="DP107" s="764">
        <v>12064</v>
      </c>
      <c r="DQ107" s="764">
        <v>9136</v>
      </c>
    </row>
    <row r="108" spans="1:128" ht="15" hidden="1" customHeight="1">
      <c r="A108" s="576"/>
      <c r="B108" s="946" t="s">
        <v>140</v>
      </c>
      <c r="C108" s="947" t="s">
        <v>141</v>
      </c>
      <c r="D108" s="576"/>
      <c r="CX108" s="764">
        <v>63942</v>
      </c>
      <c r="CY108" s="764">
        <v>55413</v>
      </c>
      <c r="CZ108" s="764">
        <v>48523</v>
      </c>
      <c r="DA108" s="764">
        <v>50716</v>
      </c>
      <c r="DB108" s="764">
        <v>31553</v>
      </c>
      <c r="DC108" s="764">
        <v>23900</v>
      </c>
      <c r="DL108" s="764">
        <v>63942</v>
      </c>
      <c r="DM108" s="764">
        <v>55413</v>
      </c>
      <c r="DN108" s="764">
        <v>48523</v>
      </c>
      <c r="DO108" s="764">
        <v>50716</v>
      </c>
      <c r="DP108" s="764">
        <v>31553</v>
      </c>
      <c r="DQ108" s="764">
        <v>23900</v>
      </c>
    </row>
    <row r="109" spans="1:128" ht="15" hidden="1" customHeight="1">
      <c r="A109" s="576"/>
      <c r="B109" s="944" t="s">
        <v>142</v>
      </c>
      <c r="C109" s="945">
        <f>COUNTIFS(grupos!C:C,B109)</f>
        <v>1</v>
      </c>
      <c r="D109" s="576"/>
    </row>
    <row r="110" spans="1:128" ht="15" hidden="1" customHeight="1">
      <c r="A110" s="576"/>
      <c r="B110" s="941" t="s">
        <v>143</v>
      </c>
      <c r="C110" s="942">
        <v>12</v>
      </c>
      <c r="D110" s="576"/>
      <c r="CV110" t="s">
        <v>144</v>
      </c>
      <c r="CX110">
        <v>15330</v>
      </c>
      <c r="CY110">
        <v>12143</v>
      </c>
      <c r="CZ110">
        <v>17171</v>
      </c>
      <c r="DA110">
        <v>12558</v>
      </c>
      <c r="DB110">
        <v>13440</v>
      </c>
      <c r="DC110">
        <v>9626</v>
      </c>
      <c r="DD110">
        <v>16670</v>
      </c>
      <c r="DE110">
        <v>18206</v>
      </c>
      <c r="DF110">
        <v>25500</v>
      </c>
      <c r="DG110">
        <v>16774</v>
      </c>
      <c r="DH110">
        <v>15710</v>
      </c>
      <c r="DI110">
        <v>9907</v>
      </c>
      <c r="DL110">
        <v>15330</v>
      </c>
      <c r="DM110">
        <v>12143</v>
      </c>
      <c r="DN110">
        <v>17171</v>
      </c>
      <c r="DO110">
        <v>12558</v>
      </c>
      <c r="DP110">
        <v>13440</v>
      </c>
      <c r="DQ110">
        <v>9626</v>
      </c>
      <c r="DR110">
        <v>16670</v>
      </c>
      <c r="DS110">
        <v>18206</v>
      </c>
      <c r="DT110">
        <v>25500</v>
      </c>
      <c r="DU110">
        <v>16774</v>
      </c>
      <c r="DV110">
        <v>15710</v>
      </c>
      <c r="DW110">
        <v>9907</v>
      </c>
    </row>
    <row r="111" spans="1:128" ht="15" hidden="1" customHeight="1">
      <c r="A111" s="576"/>
      <c r="B111" s="941" t="s">
        <v>145</v>
      </c>
      <c r="C111" s="942">
        <f>COUNTIFS(grupos!C:C,B111)</f>
        <v>1</v>
      </c>
      <c r="D111" s="576"/>
      <c r="DL111" s="881">
        <v>166555.77995873816</v>
      </c>
      <c r="DM111" s="881">
        <v>152835.36924465047</v>
      </c>
      <c r="DN111" s="881">
        <v>195319.2072937729</v>
      </c>
      <c r="DO111" s="881">
        <v>158396.18906207831</v>
      </c>
      <c r="DP111" s="881">
        <v>152371.51475009107</v>
      </c>
      <c r="DQ111" s="881">
        <v>147696.01107361159</v>
      </c>
      <c r="DR111" s="881">
        <v>189465.0513586243</v>
      </c>
      <c r="DS111" s="881">
        <v>202914.10079748323</v>
      </c>
      <c r="DT111" s="881">
        <v>214499.61628422557</v>
      </c>
      <c r="DU111" s="881">
        <v>217682.99793575107</v>
      </c>
      <c r="DV111" s="881">
        <v>179284.72030485788</v>
      </c>
      <c r="DW111" s="881">
        <v>88389.319383536102</v>
      </c>
      <c r="DX111" s="69">
        <v>2065409.8774474205</v>
      </c>
    </row>
    <row r="112" spans="1:128" ht="15" hidden="1" customHeight="1">
      <c r="A112" s="576"/>
      <c r="B112" s="941" t="s">
        <v>146</v>
      </c>
      <c r="C112" s="942">
        <v>3</v>
      </c>
      <c r="D112" s="576"/>
    </row>
    <row r="113" spans="1:143" ht="15" hidden="1" customHeight="1">
      <c r="A113" s="576"/>
      <c r="B113" s="762" t="s">
        <v>147</v>
      </c>
      <c r="C113" s="943">
        <v>5</v>
      </c>
      <c r="D113" s="576"/>
    </row>
    <row r="114" spans="1:143" ht="15" hidden="1" customHeight="1">
      <c r="B114" s="576"/>
      <c r="C114" s="602">
        <f>SUM(C109:C113)</f>
        <v>22</v>
      </c>
    </row>
    <row r="115" spans="1:143" s="594" customFormat="1" ht="15" hidden="1" customHeight="1">
      <c r="B115" s="594" t="s">
        <v>148</v>
      </c>
      <c r="CX115" s="953">
        <v>191345</v>
      </c>
      <c r="CY115" s="953">
        <v>145396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</row>
    <row r="116" spans="1:143" ht="15" hidden="1" customHeight="1">
      <c r="B116" t="s">
        <v>149</v>
      </c>
      <c r="CX116" s="862">
        <v>27823</v>
      </c>
      <c r="CY116" s="862">
        <v>27550</v>
      </c>
    </row>
    <row r="117" spans="1:143" ht="15" hidden="1" customHeight="1">
      <c r="B117" t="s">
        <v>150</v>
      </c>
      <c r="CX117" s="862">
        <v>14235</v>
      </c>
      <c r="CY117" s="862">
        <v>15739</v>
      </c>
    </row>
    <row r="118" spans="1:143" ht="15" hidden="1" customHeight="1"/>
    <row r="119" spans="1:143" ht="10.5" hidden="1" customHeight="1">
      <c r="B119" t="s">
        <v>165</v>
      </c>
      <c r="CX119" s="1062">
        <f>CX120/CX35</f>
        <v>1.0149999999999999</v>
      </c>
      <c r="CY119" s="1062">
        <f t="shared" ref="CY119:DI119" si="230">CY120/CY35</f>
        <v>0.68493150684931503</v>
      </c>
      <c r="CZ119" s="1062">
        <f t="shared" si="230"/>
        <v>1.0778443113772456</v>
      </c>
      <c r="DA119" s="1062">
        <f t="shared" si="230"/>
        <v>0.76923076923076927</v>
      </c>
      <c r="DB119" s="1062">
        <f t="shared" si="230"/>
        <v>0.71116656269494694</v>
      </c>
      <c r="DC119" s="1062">
        <f t="shared" si="230"/>
        <v>0.93668690372940144</v>
      </c>
      <c r="DD119" s="1062">
        <f t="shared" si="230"/>
        <v>0.90042076662424342</v>
      </c>
      <c r="DE119" s="1062">
        <f t="shared" si="230"/>
        <v>0</v>
      </c>
      <c r="DF119" s="1062">
        <f t="shared" si="230"/>
        <v>0</v>
      </c>
      <c r="DG119" s="1062">
        <f t="shared" si="230"/>
        <v>0</v>
      </c>
      <c r="DH119" s="1062">
        <f t="shared" si="230"/>
        <v>0</v>
      </c>
      <c r="DI119" s="1062">
        <f t="shared" si="230"/>
        <v>0</v>
      </c>
    </row>
    <row r="120" spans="1:143" ht="15" hidden="1" customHeight="1">
      <c r="B120" t="s">
        <v>166</v>
      </c>
      <c r="CX120" s="615">
        <v>203000</v>
      </c>
      <c r="CY120" s="615">
        <v>150000</v>
      </c>
      <c r="CZ120" s="615">
        <v>180000</v>
      </c>
      <c r="DA120" s="615">
        <v>126000</v>
      </c>
      <c r="DB120" s="615">
        <v>114000</v>
      </c>
      <c r="DC120" s="615">
        <v>108000</v>
      </c>
      <c r="DD120" s="615">
        <v>180000</v>
      </c>
      <c r="DE120" s="615"/>
      <c r="DF120" s="615"/>
      <c r="DG120" s="615"/>
      <c r="DH120" s="615"/>
      <c r="DI120" s="615"/>
      <c r="DJ120" s="615"/>
    </row>
    <row r="121" spans="1:143" ht="15" hidden="1" customHeight="1">
      <c r="B121" t="s">
        <v>148</v>
      </c>
      <c r="CX121" s="615">
        <v>195000</v>
      </c>
      <c r="CY121" s="615">
        <v>147000</v>
      </c>
      <c r="CZ121" s="615">
        <v>152000</v>
      </c>
      <c r="DA121" s="615">
        <v>162000</v>
      </c>
      <c r="DB121" s="615">
        <v>166000</v>
      </c>
      <c r="DC121" s="615">
        <v>175000</v>
      </c>
      <c r="DD121" s="615">
        <v>215000</v>
      </c>
      <c r="DE121" s="615"/>
      <c r="DF121" s="615"/>
      <c r="DG121" s="615"/>
      <c r="DH121" s="615"/>
      <c r="DI121" s="615"/>
      <c r="DJ121" s="615"/>
    </row>
    <row r="122" spans="1:143" ht="15" hidden="1" customHeight="1">
      <c r="B122" t="s">
        <v>167</v>
      </c>
      <c r="CX122" s="862">
        <f>CX121-CX120</f>
        <v>-8000</v>
      </c>
      <c r="CY122" s="862">
        <f t="shared" ref="CY122:DD122" si="231">CY121-CY120</f>
        <v>-3000</v>
      </c>
      <c r="CZ122" s="862">
        <f t="shared" si="231"/>
        <v>-28000</v>
      </c>
      <c r="DA122" s="862">
        <f t="shared" si="231"/>
        <v>36000</v>
      </c>
      <c r="DB122" s="862">
        <f t="shared" si="231"/>
        <v>52000</v>
      </c>
      <c r="DC122" s="862">
        <f t="shared" si="231"/>
        <v>67000</v>
      </c>
      <c r="DD122" s="862">
        <f t="shared" si="231"/>
        <v>35000</v>
      </c>
      <c r="DI122">
        <f>DI86*16</f>
        <v>145296</v>
      </c>
      <c r="DL122" t="s">
        <v>177</v>
      </c>
    </row>
    <row r="123" spans="1:143" ht="15" customHeight="1">
      <c r="CX123" t="s">
        <v>168</v>
      </c>
      <c r="DA123" t="s">
        <v>169</v>
      </c>
      <c r="DH123" s="1025" t="s">
        <v>170</v>
      </c>
      <c r="DL123" s="880">
        <f>DL40*1.1</f>
        <v>179740</v>
      </c>
      <c r="DM123" s="880">
        <f t="shared" ref="DM123:DW123" si="232">DM40*1.1</f>
        <v>133210</v>
      </c>
      <c r="DN123" s="880">
        <f t="shared" si="232"/>
        <v>163790</v>
      </c>
      <c r="DO123" s="880">
        <f t="shared" si="232"/>
        <v>101970.00000000001</v>
      </c>
      <c r="DP123" s="880">
        <f t="shared" si="232"/>
        <v>91630.000000000015</v>
      </c>
      <c r="DQ123" s="880">
        <f t="shared" si="232"/>
        <v>85470</v>
      </c>
      <c r="DR123" s="880">
        <f t="shared" si="232"/>
        <v>151580</v>
      </c>
      <c r="DS123" s="880">
        <f t="shared" si="232"/>
        <v>199650.00000000006</v>
      </c>
      <c r="DT123" s="880">
        <f t="shared" si="232"/>
        <v>266200.00000000006</v>
      </c>
      <c r="DU123" s="880">
        <f t="shared" si="232"/>
        <v>209330.00000000006</v>
      </c>
      <c r="DV123" s="880">
        <f t="shared" si="232"/>
        <v>127819.56000000001</v>
      </c>
      <c r="DW123" s="880">
        <f t="shared" si="232"/>
        <v>48400.000000000007</v>
      </c>
    </row>
    <row r="125" spans="1:143" ht="15" customHeight="1">
      <c r="DC125" s="1025" t="s">
        <v>170</v>
      </c>
    </row>
    <row r="127" spans="1:143" ht="15" customHeight="1">
      <c r="DL127" s="1074"/>
    </row>
  </sheetData>
  <mergeCells count="28">
    <mergeCell ref="CX1:DI1"/>
    <mergeCell ref="DL1:DW1"/>
    <mergeCell ref="D2:P2"/>
    <mergeCell ref="R2:AD2"/>
    <mergeCell ref="AF2:AR2"/>
    <mergeCell ref="AT2:BF2"/>
    <mergeCell ref="BH2:BS2"/>
    <mergeCell ref="BV2:CG2"/>
    <mergeCell ref="CJ2:CU2"/>
    <mergeCell ref="CX2:DI2"/>
    <mergeCell ref="R1:AD1"/>
    <mergeCell ref="AF1:AR1"/>
    <mergeCell ref="AT1:BF1"/>
    <mergeCell ref="BH1:BS1"/>
    <mergeCell ref="BV1:CG1"/>
    <mergeCell ref="CJ1:CU1"/>
    <mergeCell ref="B60:C60"/>
    <mergeCell ref="DL2:DW2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</mergeCells>
  <conditionalFormatting sqref="CX122:DD122">
    <cfRule type="cellIs" dxfId="0" priority="1" operator="lessThan">
      <formula>0</formula>
    </cfRule>
  </conditionalFormatting>
  <pageMargins left="0.25" right="0.25" top="0.75" bottom="0.75" header="0" footer="0"/>
  <pageSetup paperSize="9" scale="55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CA75-1A0F-41B6-B163-5074990418D1}">
  <dimension ref="B2:AC28"/>
  <sheetViews>
    <sheetView workbookViewId="0">
      <selection activeCell="AI7" sqref="AI7"/>
    </sheetView>
  </sheetViews>
  <sheetFormatPr defaultColWidth="9.140625" defaultRowHeight="15"/>
  <cols>
    <col min="2" max="2" width="37.42578125" hidden="1" customWidth="1"/>
    <col min="3" max="14" width="9.140625" hidden="1" customWidth="1"/>
    <col min="15" max="15" width="4" customWidth="1"/>
    <col min="16" max="16" width="24.7109375" customWidth="1"/>
    <col min="17" max="19" width="0" hidden="1" customWidth="1"/>
    <col min="20" max="20" width="12.140625" hidden="1" customWidth="1"/>
    <col min="21" max="21" width="16.7109375" customWidth="1"/>
    <col min="25" max="25" width="38.5703125" bestFit="1" customWidth="1"/>
  </cols>
  <sheetData>
    <row r="2" spans="2:29">
      <c r="B2" s="850"/>
      <c r="C2" s="850"/>
      <c r="D2" s="850"/>
      <c r="E2" s="851"/>
      <c r="F2" s="852">
        <f>SUM(F3:F23)</f>
        <v>9100.5915544854979</v>
      </c>
      <c r="G2" s="853" t="s">
        <v>184</v>
      </c>
      <c r="H2" s="854"/>
      <c r="I2" s="852">
        <f>SUM(I3:I23)</f>
        <v>69619.703999999998</v>
      </c>
      <c r="K2" s="852">
        <f>SUM(K3:K23)</f>
        <v>66138.718800000002</v>
      </c>
    </row>
    <row r="3" spans="2:29" ht="31.5" customHeight="1">
      <c r="B3" s="855" t="s">
        <v>185</v>
      </c>
      <c r="C3" s="855" t="s">
        <v>186</v>
      </c>
      <c r="D3" s="855" t="s">
        <v>187</v>
      </c>
      <c r="E3" s="855" t="s">
        <v>188</v>
      </c>
      <c r="F3" s="855" t="s">
        <v>189</v>
      </c>
      <c r="G3" s="868" t="s">
        <v>190</v>
      </c>
      <c r="H3" s="868" t="s">
        <v>191</v>
      </c>
      <c r="I3" s="856" t="s">
        <v>192</v>
      </c>
      <c r="J3" s="682" t="s">
        <v>193</v>
      </c>
      <c r="K3" s="682"/>
      <c r="L3" s="868" t="s">
        <v>190</v>
      </c>
      <c r="P3" s="1052" t="s">
        <v>194</v>
      </c>
      <c r="Q3" s="979" t="s">
        <v>195</v>
      </c>
      <c r="R3" s="979" t="s">
        <v>196</v>
      </c>
      <c r="S3" s="981" t="s">
        <v>197</v>
      </c>
      <c r="T3" s="981" t="s">
        <v>197</v>
      </c>
      <c r="U3" s="1060" t="s">
        <v>198</v>
      </c>
      <c r="Y3" s="616"/>
      <c r="Z3" s="616"/>
      <c r="AA3" s="616"/>
      <c r="AB3" s="616">
        <v>7850.3919999999998</v>
      </c>
      <c r="AC3" s="616">
        <v>8242.9117129999995</v>
      </c>
    </row>
    <row r="4" spans="2:29">
      <c r="B4" s="857" t="s">
        <v>199</v>
      </c>
      <c r="C4" s="857" t="s">
        <v>142</v>
      </c>
      <c r="D4" s="857" t="s">
        <v>200</v>
      </c>
      <c r="E4" s="858">
        <v>0.72570000000000001</v>
      </c>
      <c r="F4" s="859">
        <f>G4*M4</f>
        <v>216.63298939929328</v>
      </c>
      <c r="G4" s="860">
        <v>8</v>
      </c>
      <c r="H4" s="860">
        <v>8</v>
      </c>
      <c r="I4" s="861">
        <v>3065.3568</v>
      </c>
      <c r="J4">
        <v>0.95</v>
      </c>
      <c r="K4" s="862">
        <v>2912.08896</v>
      </c>
      <c r="L4" s="860">
        <v>8</v>
      </c>
      <c r="M4">
        <v>27.07912367491166</v>
      </c>
      <c r="P4" s="1053" t="s">
        <v>201</v>
      </c>
      <c r="Q4" s="616">
        <v>19</v>
      </c>
      <c r="R4" s="616">
        <v>3998</v>
      </c>
      <c r="S4" s="982">
        <v>271</v>
      </c>
      <c r="T4" s="982">
        <v>271</v>
      </c>
      <c r="U4" s="735">
        <v>407</v>
      </c>
      <c r="Y4" s="616" t="s">
        <v>202</v>
      </c>
      <c r="Z4" s="616" t="s">
        <v>203</v>
      </c>
      <c r="AA4" s="616" t="s">
        <v>204</v>
      </c>
      <c r="AB4" s="616" t="s">
        <v>205</v>
      </c>
      <c r="AC4" s="616" t="s">
        <v>206</v>
      </c>
    </row>
    <row r="5" spans="2:29">
      <c r="B5" s="863" t="s">
        <v>207</v>
      </c>
      <c r="C5" s="863" t="s">
        <v>143</v>
      </c>
      <c r="D5" s="863" t="s">
        <v>208</v>
      </c>
      <c r="E5" s="864">
        <v>0.61</v>
      </c>
      <c r="F5" s="859">
        <f t="shared" ref="F5:F22" si="0">G5*M5</f>
        <v>160.15027624309391</v>
      </c>
      <c r="G5" s="865">
        <v>10</v>
      </c>
      <c r="H5" s="865">
        <v>9</v>
      </c>
      <c r="I5" s="866">
        <v>2898.72</v>
      </c>
      <c r="J5">
        <v>0.95</v>
      </c>
      <c r="K5" s="862">
        <v>2753.7839999999997</v>
      </c>
      <c r="L5" s="865">
        <v>10</v>
      </c>
      <c r="M5">
        <v>16.01502762430939</v>
      </c>
      <c r="P5" s="1054" t="s">
        <v>209</v>
      </c>
      <c r="Q5" s="616">
        <v>17</v>
      </c>
      <c r="R5" s="616">
        <v>14352</v>
      </c>
      <c r="S5" s="982">
        <v>422</v>
      </c>
      <c r="T5" s="982">
        <v>422</v>
      </c>
      <c r="U5" s="735">
        <v>415</v>
      </c>
      <c r="Y5" s="616" t="s">
        <v>210</v>
      </c>
      <c r="Z5" s="616">
        <v>17850</v>
      </c>
      <c r="AA5" s="616">
        <v>20</v>
      </c>
      <c r="AB5" s="616">
        <v>893</v>
      </c>
      <c r="AC5" s="616">
        <v>937.1</v>
      </c>
    </row>
    <row r="6" spans="2:29">
      <c r="B6" s="857" t="s">
        <v>211</v>
      </c>
      <c r="C6" s="857" t="s">
        <v>143</v>
      </c>
      <c r="D6" s="857" t="s">
        <v>212</v>
      </c>
      <c r="E6" s="858">
        <v>0.76259999999999994</v>
      </c>
      <c r="F6" s="859">
        <f t="shared" si="0"/>
        <v>432.95999999999992</v>
      </c>
      <c r="G6" s="860">
        <v>10</v>
      </c>
      <c r="H6" s="860">
        <v>10</v>
      </c>
      <c r="I6" s="861">
        <v>4026.5279999999998</v>
      </c>
      <c r="J6">
        <v>0.95</v>
      </c>
      <c r="K6" s="862">
        <v>3825.2015999999994</v>
      </c>
      <c r="L6" s="860">
        <v>10</v>
      </c>
      <c r="M6">
        <v>43.295999999999992</v>
      </c>
      <c r="P6" s="1054" t="s">
        <v>213</v>
      </c>
      <c r="Q6" s="616">
        <v>20</v>
      </c>
      <c r="R6" s="616">
        <v>9560</v>
      </c>
      <c r="S6" s="982">
        <v>146</v>
      </c>
      <c r="T6" s="982">
        <v>146</v>
      </c>
      <c r="U6" s="735">
        <v>218</v>
      </c>
      <c r="Y6" s="616" t="s">
        <v>214</v>
      </c>
      <c r="Z6" s="616">
        <v>16685</v>
      </c>
      <c r="AA6" s="616">
        <v>25</v>
      </c>
      <c r="AB6" s="616">
        <v>667</v>
      </c>
      <c r="AC6" s="616">
        <v>700.8</v>
      </c>
    </row>
    <row r="7" spans="2:29">
      <c r="B7" s="857" t="s">
        <v>215</v>
      </c>
      <c r="C7" s="857" t="s">
        <v>143</v>
      </c>
      <c r="D7" s="857" t="s">
        <v>212</v>
      </c>
      <c r="E7" s="858">
        <v>0.82189999999999996</v>
      </c>
      <c r="F7" s="859">
        <f t="shared" si="0"/>
        <v>466.62709677419349</v>
      </c>
      <c r="G7" s="860">
        <v>10</v>
      </c>
      <c r="H7" s="860">
        <v>10</v>
      </c>
      <c r="I7" s="861">
        <v>4339.6319999999996</v>
      </c>
      <c r="J7">
        <v>0.95</v>
      </c>
      <c r="K7" s="862">
        <v>4122.6503999999995</v>
      </c>
      <c r="L7" s="860">
        <v>10</v>
      </c>
      <c r="M7">
        <v>46.66270967741935</v>
      </c>
      <c r="P7" s="1054" t="s">
        <v>216</v>
      </c>
      <c r="Q7" s="616">
        <v>18</v>
      </c>
      <c r="R7" s="616">
        <v>2963</v>
      </c>
      <c r="S7" s="982">
        <v>198</v>
      </c>
      <c r="T7" s="982">
        <v>198</v>
      </c>
      <c r="U7" s="735">
        <v>336</v>
      </c>
      <c r="Y7" s="616" t="s">
        <v>217</v>
      </c>
      <c r="Z7" s="616">
        <v>10920</v>
      </c>
      <c r="AA7" s="616">
        <v>24</v>
      </c>
      <c r="AB7" s="616">
        <v>455</v>
      </c>
      <c r="AC7" s="616">
        <v>477.8</v>
      </c>
    </row>
    <row r="8" spans="2:29">
      <c r="B8" s="863" t="s">
        <v>218</v>
      </c>
      <c r="C8" s="863" t="s">
        <v>143</v>
      </c>
      <c r="D8" s="863" t="s">
        <v>219</v>
      </c>
      <c r="E8" s="864">
        <v>0.81</v>
      </c>
      <c r="F8" s="859">
        <f t="shared" si="0"/>
        <v>386.34146341463418</v>
      </c>
      <c r="G8" s="865">
        <v>10</v>
      </c>
      <c r="H8" s="865">
        <v>10</v>
      </c>
      <c r="I8" s="866">
        <v>4276.8</v>
      </c>
      <c r="J8">
        <v>0.95</v>
      </c>
      <c r="K8" s="862">
        <v>4062.96</v>
      </c>
      <c r="L8" s="865">
        <v>10</v>
      </c>
      <c r="M8">
        <v>38.634146341463421</v>
      </c>
      <c r="P8" s="1054" t="s">
        <v>220</v>
      </c>
      <c r="Q8" s="616">
        <v>19</v>
      </c>
      <c r="R8" s="616">
        <v>2804</v>
      </c>
      <c r="S8" s="982">
        <v>385</v>
      </c>
      <c r="T8" s="982">
        <v>385</v>
      </c>
      <c r="U8" s="735">
        <v>281</v>
      </c>
      <c r="Y8" s="616" t="s">
        <v>209</v>
      </c>
      <c r="Z8" s="616">
        <v>10407</v>
      </c>
      <c r="AA8" s="616">
        <v>25</v>
      </c>
      <c r="AB8" s="616">
        <v>416</v>
      </c>
      <c r="AC8" s="616">
        <v>437.1</v>
      </c>
    </row>
    <row r="9" spans="2:29">
      <c r="B9" s="857" t="s">
        <v>221</v>
      </c>
      <c r="C9" s="857" t="s">
        <v>143</v>
      </c>
      <c r="D9" s="857" t="s">
        <v>212</v>
      </c>
      <c r="E9" s="858">
        <v>0.82620000000000005</v>
      </c>
      <c r="F9" s="859">
        <f t="shared" si="0"/>
        <v>469.06838709677413</v>
      </c>
      <c r="G9" s="860">
        <v>10</v>
      </c>
      <c r="H9" s="860">
        <v>10</v>
      </c>
      <c r="I9" s="861">
        <v>4362.3360000000002</v>
      </c>
      <c r="J9">
        <v>0.95</v>
      </c>
      <c r="K9" s="862">
        <v>4144.2192000000005</v>
      </c>
      <c r="L9" s="860">
        <v>10</v>
      </c>
      <c r="M9">
        <v>46.906838709677416</v>
      </c>
      <c r="P9" s="1054" t="s">
        <v>222</v>
      </c>
      <c r="Q9" s="616">
        <v>18</v>
      </c>
      <c r="R9" s="616">
        <v>7082</v>
      </c>
      <c r="S9" s="982">
        <v>224</v>
      </c>
      <c r="T9" s="982">
        <v>224</v>
      </c>
      <c r="U9" s="735">
        <v>319</v>
      </c>
      <c r="Y9" s="616" t="s">
        <v>223</v>
      </c>
      <c r="Z9" s="616">
        <v>8730</v>
      </c>
      <c r="AA9" s="616">
        <v>21</v>
      </c>
      <c r="AB9" s="616">
        <v>416</v>
      </c>
      <c r="AC9" s="616">
        <v>436.5</v>
      </c>
    </row>
    <row r="10" spans="2:29">
      <c r="B10" s="863" t="s">
        <v>224</v>
      </c>
      <c r="C10" s="863" t="s">
        <v>143</v>
      </c>
      <c r="D10" s="863" t="s">
        <v>219</v>
      </c>
      <c r="E10" s="864">
        <v>0.76200000000000001</v>
      </c>
      <c r="F10" s="859">
        <f t="shared" si="0"/>
        <v>363.44715447154471</v>
      </c>
      <c r="G10" s="865">
        <v>10</v>
      </c>
      <c r="H10" s="865">
        <v>10</v>
      </c>
      <c r="I10" s="866">
        <v>4023.36</v>
      </c>
      <c r="J10">
        <v>0.95</v>
      </c>
      <c r="K10" s="862">
        <v>3822.192</v>
      </c>
      <c r="L10" s="865">
        <v>10</v>
      </c>
      <c r="M10">
        <v>36.344715447154471</v>
      </c>
      <c r="P10" s="1054" t="s">
        <v>225</v>
      </c>
      <c r="Q10" s="616">
        <v>20</v>
      </c>
      <c r="R10" s="616">
        <v>5920</v>
      </c>
      <c r="S10" s="982">
        <v>395</v>
      </c>
      <c r="T10" s="982">
        <v>395</v>
      </c>
      <c r="U10" s="735">
        <v>359</v>
      </c>
      <c r="Y10" s="616" t="s">
        <v>226</v>
      </c>
      <c r="Z10" s="616">
        <v>8383</v>
      </c>
      <c r="AA10" s="616">
        <v>19</v>
      </c>
      <c r="AB10" s="616">
        <v>441</v>
      </c>
      <c r="AC10" s="616">
        <v>463.3</v>
      </c>
    </row>
    <row r="11" spans="2:29">
      <c r="B11" s="863" t="s">
        <v>227</v>
      </c>
      <c r="C11" s="863" t="s">
        <v>143</v>
      </c>
      <c r="D11" s="863" t="s">
        <v>228</v>
      </c>
      <c r="E11" s="864">
        <v>0.7</v>
      </c>
      <c r="F11" s="859">
        <f t="shared" si="0"/>
        <v>307.23192019950125</v>
      </c>
      <c r="G11" s="865">
        <v>10</v>
      </c>
      <c r="H11" s="865">
        <v>10</v>
      </c>
      <c r="I11" s="866">
        <v>3695.9999999999995</v>
      </c>
      <c r="J11">
        <v>0.95</v>
      </c>
      <c r="K11" s="862">
        <v>3511.1999999999994</v>
      </c>
      <c r="L11" s="865">
        <v>10</v>
      </c>
      <c r="M11">
        <v>30.723192019950126</v>
      </c>
      <c r="P11" s="1054" t="s">
        <v>226</v>
      </c>
      <c r="Q11" s="616">
        <v>18</v>
      </c>
      <c r="R11" s="616">
        <v>5271</v>
      </c>
      <c r="S11" s="982">
        <v>393</v>
      </c>
      <c r="T11" s="982">
        <v>393</v>
      </c>
      <c r="U11" s="735">
        <v>428</v>
      </c>
      <c r="Y11" s="616" t="s">
        <v>229</v>
      </c>
      <c r="Z11" s="616">
        <v>7860</v>
      </c>
      <c r="AA11" s="616">
        <v>18</v>
      </c>
      <c r="AB11" s="616">
        <v>437</v>
      </c>
      <c r="AC11" s="616">
        <v>458.5</v>
      </c>
    </row>
    <row r="12" spans="2:29">
      <c r="B12" s="857" t="s">
        <v>230</v>
      </c>
      <c r="C12" s="857" t="s">
        <v>145</v>
      </c>
      <c r="D12" s="857" t="s">
        <v>231</v>
      </c>
      <c r="E12" s="858">
        <v>0.78</v>
      </c>
      <c r="F12" s="859">
        <f t="shared" si="0"/>
        <v>337.57377049180326</v>
      </c>
      <c r="G12" s="860">
        <v>9</v>
      </c>
      <c r="H12" s="860">
        <v>9</v>
      </c>
      <c r="I12" s="861">
        <v>3706.56</v>
      </c>
      <c r="J12">
        <v>0.95</v>
      </c>
      <c r="K12" s="862">
        <v>3521.232</v>
      </c>
      <c r="L12" s="860">
        <v>9</v>
      </c>
      <c r="M12">
        <v>37.508196721311471</v>
      </c>
      <c r="P12" s="1054" t="s">
        <v>232</v>
      </c>
      <c r="Q12" s="616">
        <v>20</v>
      </c>
      <c r="R12" s="616">
        <v>8479</v>
      </c>
      <c r="S12" s="982">
        <v>263</v>
      </c>
      <c r="T12" s="982">
        <v>263</v>
      </c>
      <c r="U12" s="735">
        <v>398</v>
      </c>
      <c r="Y12" s="616" t="s">
        <v>220</v>
      </c>
      <c r="Z12" s="616">
        <v>7821</v>
      </c>
      <c r="AA12" s="616">
        <v>20</v>
      </c>
      <c r="AB12" s="616">
        <v>391</v>
      </c>
      <c r="AC12" s="616">
        <v>410.6</v>
      </c>
    </row>
    <row r="13" spans="2:29">
      <c r="B13" s="863" t="s">
        <v>233</v>
      </c>
      <c r="C13" s="863" t="s">
        <v>234</v>
      </c>
      <c r="D13" s="863" t="s">
        <v>235</v>
      </c>
      <c r="E13" s="864">
        <v>0.89500000000000002</v>
      </c>
      <c r="F13" s="859">
        <f t="shared" si="0"/>
        <v>910</v>
      </c>
      <c r="G13" s="865">
        <v>7</v>
      </c>
      <c r="H13" s="865">
        <v>9</v>
      </c>
      <c r="I13" s="866">
        <v>4253.04</v>
      </c>
      <c r="J13">
        <v>0.95</v>
      </c>
      <c r="K13" s="862">
        <v>4040.3879999999999</v>
      </c>
      <c r="L13" s="865">
        <v>10</v>
      </c>
      <c r="M13">
        <v>130</v>
      </c>
      <c r="P13" s="1054" t="s">
        <v>236</v>
      </c>
      <c r="Q13" s="616">
        <v>14</v>
      </c>
      <c r="R13" s="616">
        <v>8682</v>
      </c>
      <c r="S13" s="982">
        <v>412</v>
      </c>
      <c r="T13" s="982">
        <v>412</v>
      </c>
      <c r="U13" s="735">
        <v>531</v>
      </c>
      <c r="Y13" s="616" t="s">
        <v>201</v>
      </c>
      <c r="Z13" s="616">
        <v>7411</v>
      </c>
      <c r="AA13" s="616">
        <v>21</v>
      </c>
      <c r="AB13" s="616">
        <v>353</v>
      </c>
      <c r="AC13" s="616">
        <v>370.6</v>
      </c>
    </row>
    <row r="14" spans="2:29">
      <c r="B14" s="857" t="s">
        <v>237</v>
      </c>
      <c r="C14" s="857" t="s">
        <v>234</v>
      </c>
      <c r="D14" s="857" t="s">
        <v>238</v>
      </c>
      <c r="E14" s="858">
        <v>0.8</v>
      </c>
      <c r="F14" s="859">
        <f t="shared" si="0"/>
        <v>657.06666666666672</v>
      </c>
      <c r="G14" s="860">
        <v>7</v>
      </c>
      <c r="H14" s="860">
        <v>7</v>
      </c>
      <c r="I14" s="861">
        <v>2956.8</v>
      </c>
      <c r="J14">
        <v>0.95</v>
      </c>
      <c r="K14" s="862">
        <v>2808.96</v>
      </c>
      <c r="L14" s="860">
        <v>7</v>
      </c>
      <c r="M14">
        <v>93.866666666666674</v>
      </c>
      <c r="P14" s="1055" t="s">
        <v>229</v>
      </c>
      <c r="Q14" s="616">
        <v>18</v>
      </c>
      <c r="R14" s="616">
        <v>6200</v>
      </c>
      <c r="S14" s="982">
        <v>441</v>
      </c>
      <c r="T14" s="982">
        <v>441</v>
      </c>
      <c r="U14" s="735">
        <v>0</v>
      </c>
      <c r="Y14" s="616" t="s">
        <v>236</v>
      </c>
      <c r="Z14" s="616">
        <v>7038</v>
      </c>
      <c r="AA14" s="616">
        <v>19</v>
      </c>
      <c r="AB14" s="616">
        <v>370</v>
      </c>
      <c r="AC14" s="616">
        <v>388.9</v>
      </c>
    </row>
    <row r="15" spans="2:29">
      <c r="B15" s="857" t="s">
        <v>239</v>
      </c>
      <c r="C15" s="857" t="s">
        <v>143</v>
      </c>
      <c r="D15" s="857" t="s">
        <v>212</v>
      </c>
      <c r="E15" s="858">
        <v>0.83</v>
      </c>
      <c r="F15" s="859">
        <f t="shared" si="0"/>
        <v>424.10322580645158</v>
      </c>
      <c r="G15" s="860">
        <v>10</v>
      </c>
      <c r="H15" s="860">
        <v>9</v>
      </c>
      <c r="I15" s="861">
        <v>3944.16</v>
      </c>
      <c r="J15">
        <v>0.95</v>
      </c>
      <c r="K15" s="862">
        <v>3746.9519999999998</v>
      </c>
      <c r="L15" s="860">
        <v>10</v>
      </c>
      <c r="M15">
        <v>42.410322580645158</v>
      </c>
      <c r="P15" s="1056" t="s">
        <v>240</v>
      </c>
      <c r="Q15" s="616"/>
      <c r="R15" s="616"/>
      <c r="S15" s="983"/>
      <c r="T15" s="983"/>
      <c r="U15" s="735">
        <v>564</v>
      </c>
      <c r="Y15" s="616" t="s">
        <v>225</v>
      </c>
      <c r="Z15" s="616">
        <v>6996</v>
      </c>
      <c r="AA15" s="616">
        <v>21</v>
      </c>
      <c r="AB15" s="616">
        <v>333</v>
      </c>
      <c r="AC15" s="616">
        <v>349.8</v>
      </c>
    </row>
    <row r="16" spans="2:29">
      <c r="B16" s="863" t="s">
        <v>241</v>
      </c>
      <c r="C16" s="863" t="s">
        <v>234</v>
      </c>
      <c r="D16" s="863" t="s">
        <v>242</v>
      </c>
      <c r="E16" s="864">
        <v>0.87570000000000003</v>
      </c>
      <c r="F16" s="859">
        <f t="shared" si="0"/>
        <v>700</v>
      </c>
      <c r="G16" s="865">
        <v>7</v>
      </c>
      <c r="H16" s="865">
        <v>8</v>
      </c>
      <c r="I16" s="866">
        <v>3698.9567999999999</v>
      </c>
      <c r="J16">
        <v>0.95</v>
      </c>
      <c r="K16" s="862">
        <v>3514.0089599999997</v>
      </c>
      <c r="L16" s="865">
        <v>9</v>
      </c>
      <c r="M16">
        <v>100</v>
      </c>
      <c r="P16" s="1056" t="s">
        <v>243</v>
      </c>
      <c r="Q16" s="616">
        <v>19</v>
      </c>
      <c r="R16" s="616">
        <v>18628</v>
      </c>
      <c r="S16" s="982">
        <v>400</v>
      </c>
      <c r="T16" s="982">
        <v>400</v>
      </c>
      <c r="U16" s="735">
        <v>517</v>
      </c>
      <c r="Y16" s="616" t="s">
        <v>244</v>
      </c>
      <c r="Z16" s="616">
        <v>6560</v>
      </c>
      <c r="AA16" s="616">
        <v>21</v>
      </c>
      <c r="AB16" s="616">
        <v>312</v>
      </c>
      <c r="AC16" s="616">
        <v>328</v>
      </c>
    </row>
    <row r="17" spans="2:29">
      <c r="B17" s="857" t="s">
        <v>245</v>
      </c>
      <c r="C17" s="857" t="s">
        <v>234</v>
      </c>
      <c r="D17" s="857" t="s">
        <v>242</v>
      </c>
      <c r="E17" s="858">
        <v>0.75290000000000001</v>
      </c>
      <c r="F17" s="859">
        <f t="shared" si="0"/>
        <v>512.47116022099453</v>
      </c>
      <c r="G17" s="860">
        <v>7</v>
      </c>
      <c r="H17" s="860">
        <v>7</v>
      </c>
      <c r="I17" s="861">
        <v>2782.7184000000002</v>
      </c>
      <c r="J17">
        <v>0.95</v>
      </c>
      <c r="K17" s="862">
        <v>2643.58248</v>
      </c>
      <c r="L17" s="860">
        <v>7</v>
      </c>
      <c r="M17">
        <v>73.210165745856358</v>
      </c>
      <c r="P17" s="1054" t="s">
        <v>217</v>
      </c>
      <c r="Q17" s="616">
        <v>18</v>
      </c>
      <c r="R17" s="616">
        <v>5801</v>
      </c>
      <c r="S17" s="982">
        <v>411</v>
      </c>
      <c r="T17" s="982">
        <v>411</v>
      </c>
      <c r="U17" s="735">
        <v>642</v>
      </c>
      <c r="Y17" s="616" t="s">
        <v>232</v>
      </c>
      <c r="Z17" s="616">
        <v>6504</v>
      </c>
      <c r="AA17" s="616">
        <v>21</v>
      </c>
      <c r="AB17" s="616">
        <v>310</v>
      </c>
      <c r="AC17" s="616">
        <v>325.2</v>
      </c>
    </row>
    <row r="18" spans="2:29">
      <c r="B18" s="857" t="s">
        <v>246</v>
      </c>
      <c r="C18" s="857" t="s">
        <v>234</v>
      </c>
      <c r="D18" s="857" t="s">
        <v>247</v>
      </c>
      <c r="E18" s="858">
        <v>0.75</v>
      </c>
      <c r="F18" s="859">
        <f t="shared" si="0"/>
        <v>435.84905660377359</v>
      </c>
      <c r="G18" s="860">
        <v>7</v>
      </c>
      <c r="H18" s="860">
        <v>7</v>
      </c>
      <c r="I18" s="861">
        <v>2772</v>
      </c>
      <c r="J18">
        <v>0.95</v>
      </c>
      <c r="K18" s="862">
        <v>2633.4</v>
      </c>
      <c r="L18" s="860">
        <v>7</v>
      </c>
      <c r="M18">
        <v>62.264150943396224</v>
      </c>
      <c r="P18" s="1054" t="s">
        <v>214</v>
      </c>
      <c r="Q18" s="616">
        <v>18</v>
      </c>
      <c r="R18" s="616">
        <v>7363</v>
      </c>
      <c r="S18" s="982">
        <v>400</v>
      </c>
      <c r="T18" s="982">
        <v>400</v>
      </c>
      <c r="U18" s="735">
        <v>957</v>
      </c>
      <c r="Y18" s="616" t="s">
        <v>248</v>
      </c>
      <c r="Z18" s="616">
        <v>6286</v>
      </c>
      <c r="AA18" s="616">
        <v>21</v>
      </c>
      <c r="AB18" s="616">
        <v>299</v>
      </c>
      <c r="AC18" s="616">
        <v>314.3</v>
      </c>
    </row>
    <row r="19" spans="2:29">
      <c r="B19" s="857" t="s">
        <v>249</v>
      </c>
      <c r="C19" s="857" t="s">
        <v>143</v>
      </c>
      <c r="D19" s="857" t="s">
        <v>238</v>
      </c>
      <c r="E19" s="858">
        <v>0.6</v>
      </c>
      <c r="F19" s="859">
        <f t="shared" si="0"/>
        <v>352</v>
      </c>
      <c r="G19" s="860">
        <v>5</v>
      </c>
      <c r="H19" s="860">
        <v>5</v>
      </c>
      <c r="I19" s="861">
        <v>1584</v>
      </c>
      <c r="J19">
        <v>0.95</v>
      </c>
      <c r="K19" s="862">
        <v>1504.8</v>
      </c>
      <c r="L19" s="860">
        <v>5</v>
      </c>
      <c r="M19">
        <v>70.400000000000006</v>
      </c>
      <c r="P19" s="1054" t="s">
        <v>210</v>
      </c>
      <c r="Q19" s="616">
        <v>13</v>
      </c>
      <c r="R19" s="616">
        <v>9100</v>
      </c>
      <c r="S19" s="982">
        <v>972</v>
      </c>
      <c r="T19" s="982">
        <v>972</v>
      </c>
      <c r="U19" s="735">
        <v>963</v>
      </c>
      <c r="Y19" s="616" t="s">
        <v>216</v>
      </c>
      <c r="Z19" s="616">
        <v>5880</v>
      </c>
      <c r="AA19" s="616">
        <v>23</v>
      </c>
      <c r="AB19" s="616">
        <v>256</v>
      </c>
      <c r="AC19" s="616">
        <v>268.39999999999998</v>
      </c>
    </row>
    <row r="20" spans="2:29">
      <c r="B20" s="857" t="s">
        <v>250</v>
      </c>
      <c r="C20" s="857" t="s">
        <v>234</v>
      </c>
      <c r="D20" s="857" t="s">
        <v>238</v>
      </c>
      <c r="E20" s="858">
        <v>0.8</v>
      </c>
      <c r="F20" s="859">
        <f t="shared" si="0"/>
        <v>600</v>
      </c>
      <c r="G20" s="860">
        <v>7</v>
      </c>
      <c r="H20" s="860">
        <v>7</v>
      </c>
      <c r="I20" s="861">
        <v>2956.8</v>
      </c>
      <c r="J20">
        <v>0.95</v>
      </c>
      <c r="K20" s="862">
        <v>2808.96</v>
      </c>
      <c r="L20" s="860">
        <v>7</v>
      </c>
      <c r="M20">
        <v>85.714285714285708</v>
      </c>
      <c r="P20" s="1057" t="s">
        <v>251</v>
      </c>
      <c r="Q20" s="985">
        <v>12</v>
      </c>
      <c r="R20" s="985">
        <v>5840</v>
      </c>
      <c r="S20" s="986">
        <v>385</v>
      </c>
      <c r="T20" s="986">
        <v>385</v>
      </c>
      <c r="U20" s="735">
        <v>420</v>
      </c>
      <c r="Y20" s="616" t="s">
        <v>252</v>
      </c>
      <c r="Z20" s="616">
        <v>5340</v>
      </c>
      <c r="AA20" s="616">
        <v>11</v>
      </c>
      <c r="AB20" s="616">
        <v>485</v>
      </c>
      <c r="AC20" s="616">
        <v>509.7</v>
      </c>
    </row>
    <row r="21" spans="2:29">
      <c r="B21" s="857" t="s">
        <v>253</v>
      </c>
      <c r="C21" s="857" t="s">
        <v>234</v>
      </c>
      <c r="D21" s="857" t="s">
        <v>238</v>
      </c>
      <c r="E21" s="858">
        <v>0.8</v>
      </c>
      <c r="F21" s="859">
        <f t="shared" si="0"/>
        <v>500</v>
      </c>
      <c r="G21" s="860">
        <v>7</v>
      </c>
      <c r="H21" s="860">
        <v>7</v>
      </c>
      <c r="I21" s="861">
        <v>2956.8</v>
      </c>
      <c r="J21">
        <v>0.95</v>
      </c>
      <c r="K21" s="862">
        <v>2808.96</v>
      </c>
      <c r="L21" s="860">
        <v>7</v>
      </c>
      <c r="M21">
        <v>71.428571428571431</v>
      </c>
      <c r="P21" s="1058" t="s">
        <v>223</v>
      </c>
      <c r="Q21" s="616">
        <v>9</v>
      </c>
      <c r="R21" s="616">
        <v>6480</v>
      </c>
      <c r="S21" s="982"/>
      <c r="T21" s="982">
        <v>640</v>
      </c>
      <c r="U21" s="735">
        <v>681</v>
      </c>
      <c r="Y21" s="616" t="s">
        <v>251</v>
      </c>
      <c r="Z21" s="616">
        <v>5280</v>
      </c>
      <c r="AA21" s="616">
        <v>15</v>
      </c>
      <c r="AB21" s="616">
        <v>352</v>
      </c>
      <c r="AC21" s="616">
        <v>369.6</v>
      </c>
    </row>
    <row r="22" spans="2:29">
      <c r="B22" s="759" t="s">
        <v>254</v>
      </c>
      <c r="C22" s="759" t="s">
        <v>234</v>
      </c>
      <c r="D22" s="759" t="s">
        <v>242</v>
      </c>
      <c r="E22" s="858">
        <v>0.8</v>
      </c>
      <c r="F22" s="859">
        <f t="shared" si="0"/>
        <v>400</v>
      </c>
      <c r="G22" s="867">
        <v>7</v>
      </c>
      <c r="H22" s="867">
        <v>7</v>
      </c>
      <c r="I22" s="861">
        <v>2956.8</v>
      </c>
      <c r="J22">
        <v>0.95</v>
      </c>
      <c r="K22" s="862">
        <v>2808.96</v>
      </c>
      <c r="L22" s="867">
        <v>7</v>
      </c>
      <c r="M22">
        <v>57.142857142857146</v>
      </c>
      <c r="P22" s="1054" t="s">
        <v>255</v>
      </c>
      <c r="Q22" s="616">
        <v>11</v>
      </c>
      <c r="R22" s="616">
        <v>3540</v>
      </c>
      <c r="S22" s="982"/>
      <c r="T22" s="982">
        <v>580</v>
      </c>
      <c r="U22" s="735">
        <v>395</v>
      </c>
      <c r="Y22" s="616" t="s">
        <v>213</v>
      </c>
      <c r="Z22" s="616">
        <v>4785</v>
      </c>
      <c r="AA22" s="616">
        <v>25</v>
      </c>
      <c r="AB22" s="616">
        <v>191</v>
      </c>
      <c r="AC22" s="616">
        <v>201</v>
      </c>
    </row>
    <row r="23" spans="2:29">
      <c r="B23" s="857" t="s">
        <v>221</v>
      </c>
      <c r="C23" s="857" t="s">
        <v>143</v>
      </c>
      <c r="D23" s="857" t="s">
        <v>212</v>
      </c>
      <c r="E23" s="858">
        <v>0.82620000000000005</v>
      </c>
      <c r="F23" s="859">
        <f t="shared" ref="F23" si="1">G23*M23</f>
        <v>469.06838709677413</v>
      </c>
      <c r="G23" s="860">
        <v>10</v>
      </c>
      <c r="H23" s="860">
        <v>10</v>
      </c>
      <c r="I23" s="861">
        <v>4362.3360000000002</v>
      </c>
      <c r="J23">
        <v>0.95</v>
      </c>
      <c r="K23" s="862">
        <v>4144.2192000000005</v>
      </c>
      <c r="L23" s="860">
        <v>10</v>
      </c>
      <c r="M23">
        <v>46.906838709677416</v>
      </c>
      <c r="P23" s="1057" t="s">
        <v>256</v>
      </c>
      <c r="Q23" s="616">
        <v>17</v>
      </c>
      <c r="R23" s="616">
        <v>6380</v>
      </c>
      <c r="S23" s="982">
        <v>761</v>
      </c>
      <c r="T23" s="982">
        <v>651</v>
      </c>
      <c r="U23" s="735">
        <v>250</v>
      </c>
      <c r="V23">
        <v>16000</v>
      </c>
      <c r="W23">
        <f>V23/21</f>
        <v>761.90476190476193</v>
      </c>
      <c r="X23" s="735">
        <f>W23-S23</f>
        <v>0.90476190476192642</v>
      </c>
      <c r="Y23" s="616" t="s">
        <v>255</v>
      </c>
      <c r="Z23" s="616">
        <v>4700</v>
      </c>
      <c r="AA23" s="616">
        <v>21</v>
      </c>
      <c r="AB23" s="616">
        <v>224</v>
      </c>
      <c r="AC23" s="616">
        <v>235</v>
      </c>
    </row>
    <row r="24" spans="2:29">
      <c r="P24" s="1059" t="s">
        <v>257</v>
      </c>
      <c r="Q24" s="616">
        <v>11</v>
      </c>
      <c r="R24" s="616">
        <v>3540</v>
      </c>
      <c r="S24" s="982">
        <v>476</v>
      </c>
      <c r="T24" s="982">
        <v>353</v>
      </c>
      <c r="U24" s="983">
        <f>SUBTOTAL(9,U3:U23)</f>
        <v>9081</v>
      </c>
      <c r="V24">
        <v>10000</v>
      </c>
      <c r="W24">
        <f>V24/21</f>
        <v>476.1904761904762</v>
      </c>
      <c r="X24" s="735">
        <f>W24-S24</f>
        <v>0.19047619047620401</v>
      </c>
      <c r="Y24" s="616" t="s">
        <v>222</v>
      </c>
      <c r="Z24" s="616">
        <v>4452</v>
      </c>
      <c r="AA24" s="616">
        <v>24</v>
      </c>
      <c r="AB24" s="616">
        <v>186</v>
      </c>
      <c r="AC24" s="616">
        <v>194.8</v>
      </c>
    </row>
    <row r="25" spans="2:29">
      <c r="S25" s="982">
        <v>353</v>
      </c>
      <c r="T25" s="982">
        <v>353</v>
      </c>
      <c r="U25" s="983"/>
      <c r="Y25" s="616" t="s">
        <v>256</v>
      </c>
      <c r="Z25" s="616">
        <v>1320</v>
      </c>
      <c r="AA25" s="616">
        <v>21</v>
      </c>
      <c r="AB25" s="616">
        <v>63</v>
      </c>
      <c r="AC25" s="616">
        <v>66</v>
      </c>
    </row>
    <row r="26" spans="2:29">
      <c r="S26" s="982">
        <v>300</v>
      </c>
      <c r="T26" s="982">
        <v>400</v>
      </c>
      <c r="U26" s="983"/>
      <c r="V26">
        <f>U26*21</f>
        <v>0</v>
      </c>
    </row>
    <row r="27" spans="2:29">
      <c r="P27" s="987"/>
      <c r="Q27" s="987"/>
      <c r="R27" s="987"/>
      <c r="S27" s="986">
        <v>600</v>
      </c>
      <c r="T27" s="986">
        <v>640</v>
      </c>
      <c r="U27" s="983"/>
    </row>
    <row r="28" spans="2:29">
      <c r="S28" s="984">
        <f>SUM(S4:S27)</f>
        <v>8608</v>
      </c>
      <c r="T28" s="984">
        <f>SUM(T4:T27)</f>
        <v>9735</v>
      </c>
      <c r="U28" s="984"/>
    </row>
  </sheetData>
  <autoFilter ref="P3:U28" xr:uid="{25ABCA75-1A0F-41B6-B163-5074990418D1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DAE3-055D-4364-90CD-360E297319D1}">
  <sheetPr>
    <tabColor rgb="FF00B050"/>
  </sheetPr>
  <dimension ref="A1:DK88"/>
  <sheetViews>
    <sheetView showGridLines="0" zoomScale="80" zoomScaleNormal="80" workbookViewId="0">
      <pane xSplit="72" ySplit="9" topLeftCell="CX28" activePane="bottomRight" state="frozen"/>
      <selection pane="bottomRight" activeCell="CX28" sqref="CX28"/>
      <selection pane="bottomLeft"/>
      <selection pane="topRight"/>
    </sheetView>
  </sheetViews>
  <sheetFormatPr defaultColWidth="14.42578125" defaultRowHeight="15" customHeight="1" outlineLevelRow="1" outlineLevelCol="1"/>
  <cols>
    <col min="1" max="1" width="16.85546875" customWidth="1"/>
    <col min="2" max="2" width="17.85546875" customWidth="1"/>
    <col min="3" max="3" width="20.14062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3.140625" customWidth="1" collapsed="1"/>
    <col min="74" max="87" width="12.28515625" hidden="1" customWidth="1"/>
    <col min="88" max="88" width="12.28515625" customWidth="1" collapsed="1"/>
    <col min="89" max="99" width="12.28515625" customWidth="1"/>
    <col min="100" max="100" width="16.85546875" customWidth="1"/>
    <col min="101" max="101" width="3.85546875" customWidth="1"/>
    <col min="102" max="102" width="19.5703125" bestFit="1" customWidth="1"/>
  </cols>
  <sheetData>
    <row r="1" spans="1:114" ht="12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s="699" t="s">
        <v>1</v>
      </c>
      <c r="CJ1" s="1089" t="s">
        <v>2</v>
      </c>
      <c r="CK1" s="1090"/>
      <c r="CL1" s="1090"/>
      <c r="CM1" s="1090"/>
      <c r="CN1" s="1090"/>
      <c r="CO1" s="1090"/>
      <c r="CP1" s="1090"/>
      <c r="CQ1" s="1090"/>
      <c r="CR1" s="1090"/>
      <c r="CS1" s="1090"/>
      <c r="CT1" s="1090"/>
      <c r="CU1" s="1091"/>
      <c r="CX1" s="1081" t="s">
        <v>0</v>
      </c>
      <c r="CY1" s="1113"/>
      <c r="CZ1" s="1113"/>
      <c r="DA1" s="1113"/>
      <c r="DB1" s="1113"/>
      <c r="DC1" s="1113"/>
      <c r="DD1" s="1113"/>
      <c r="DE1" s="1113"/>
      <c r="DF1" s="1113"/>
      <c r="DG1" s="1113"/>
      <c r="DH1" s="1113"/>
      <c r="DI1" s="1114"/>
    </row>
    <row r="2" spans="1:114" ht="15" customHeight="1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H2" s="700" t="s">
        <v>3</v>
      </c>
      <c r="CJ2" s="1085" t="s">
        <v>4</v>
      </c>
      <c r="CK2" s="1086"/>
      <c r="CL2" s="1086"/>
      <c r="CM2" s="1086"/>
      <c r="CN2" s="1086"/>
      <c r="CO2" s="1086"/>
      <c r="CP2" s="1086"/>
      <c r="CQ2" s="1086"/>
      <c r="CR2" s="1086"/>
      <c r="CS2" s="1086"/>
      <c r="CT2" s="1086"/>
      <c r="CU2" s="1087"/>
      <c r="CX2" s="1077">
        <v>2026</v>
      </c>
      <c r="CY2" s="1115"/>
      <c r="CZ2" s="1115"/>
      <c r="DA2" s="1115"/>
      <c r="DB2" s="1115"/>
      <c r="DC2" s="1115"/>
      <c r="DD2" s="1115"/>
      <c r="DE2" s="1115"/>
      <c r="DF2" s="1115"/>
      <c r="DG2" s="1115"/>
      <c r="DH2" s="1115"/>
      <c r="DI2" s="1116"/>
    </row>
    <row r="3" spans="1:114" ht="15.75">
      <c r="A3" s="703" t="s">
        <v>5</v>
      </c>
      <c r="B3" s="4"/>
      <c r="C3" s="4" t="str">
        <f>A3</f>
        <v>Dias Uteis Produção</v>
      </c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H3" t="s">
        <v>6</v>
      </c>
      <c r="CJ3" s="253">
        <v>23</v>
      </c>
      <c r="CK3" s="566">
        <v>20</v>
      </c>
      <c r="CL3" s="566">
        <v>21</v>
      </c>
      <c r="CM3" s="252">
        <v>22</v>
      </c>
      <c r="CN3" s="248">
        <v>22</v>
      </c>
      <c r="CO3" s="248">
        <v>21</v>
      </c>
      <c r="CP3" s="248">
        <v>23</v>
      </c>
      <c r="CQ3" s="248">
        <v>21</v>
      </c>
      <c r="CR3" s="248">
        <v>22</v>
      </c>
      <c r="CS3" s="248">
        <v>23</v>
      </c>
      <c r="CT3" s="248">
        <v>20</v>
      </c>
      <c r="CU3" s="248">
        <v>13</v>
      </c>
      <c r="CX3" s="253">
        <v>22</v>
      </c>
      <c r="CY3" s="566">
        <v>20</v>
      </c>
      <c r="CZ3" s="566">
        <v>22</v>
      </c>
      <c r="DA3" s="252">
        <v>22</v>
      </c>
      <c r="DB3" s="248">
        <v>21</v>
      </c>
      <c r="DC3" s="248">
        <v>22</v>
      </c>
      <c r="DD3" s="248">
        <v>23</v>
      </c>
      <c r="DE3" s="248">
        <v>21</v>
      </c>
      <c r="DF3" s="248">
        <v>22</v>
      </c>
      <c r="DG3" s="248">
        <v>22</v>
      </c>
      <c r="DH3" s="248">
        <v>21</v>
      </c>
      <c r="DI3" s="248">
        <v>21</v>
      </c>
    </row>
    <row r="4" spans="1:114" ht="15.75">
      <c r="A4" s="703" t="s">
        <v>7</v>
      </c>
      <c r="B4" s="4"/>
      <c r="C4" s="4" t="str">
        <f t="shared" ref="C4:C7" si="0">A4</f>
        <v>(-) FÉRIAS</v>
      </c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H4" t="s">
        <v>8</v>
      </c>
      <c r="CJ4" s="253">
        <v>3</v>
      </c>
      <c r="CK4" s="566"/>
      <c r="CL4" s="566">
        <v>1.5</v>
      </c>
      <c r="CM4" s="252"/>
      <c r="CN4" s="248"/>
      <c r="CO4" s="248"/>
      <c r="CP4" s="248" t="s">
        <v>109</v>
      </c>
      <c r="CQ4" s="248"/>
      <c r="CR4" s="248"/>
      <c r="CS4" s="248"/>
      <c r="CT4" s="248" t="s">
        <v>110</v>
      </c>
      <c r="CU4" s="248"/>
      <c r="CX4" s="253">
        <v>2</v>
      </c>
      <c r="CY4" s="566">
        <v>3</v>
      </c>
      <c r="CZ4" s="566"/>
      <c r="DA4" s="252"/>
      <c r="DB4" s="248"/>
      <c r="DC4" s="248"/>
      <c r="DD4" s="248"/>
      <c r="DE4" s="248"/>
      <c r="DF4" s="248"/>
      <c r="DG4" s="248"/>
      <c r="DH4" s="248"/>
      <c r="DI4" s="248"/>
    </row>
    <row r="5" spans="1:114" ht="30.75">
      <c r="A5" s="703" t="s">
        <v>9</v>
      </c>
      <c r="B5" s="4"/>
      <c r="C5" s="4" t="str">
        <f t="shared" si="0"/>
        <v>(+) SABADO</v>
      </c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H5" t="s">
        <v>10</v>
      </c>
      <c r="CJ5" s="701">
        <v>2</v>
      </c>
      <c r="CK5" s="701">
        <v>3</v>
      </c>
      <c r="CL5" s="701">
        <v>1.5</v>
      </c>
      <c r="CM5" s="733">
        <v>0</v>
      </c>
      <c r="CN5" s="733">
        <v>0</v>
      </c>
      <c r="CO5" s="733">
        <v>2</v>
      </c>
      <c r="CP5" s="750">
        <v>2</v>
      </c>
      <c r="CQ5" s="679">
        <v>0</v>
      </c>
      <c r="CR5" s="679">
        <v>0</v>
      </c>
      <c r="CS5" s="679">
        <v>0</v>
      </c>
      <c r="CT5" s="679">
        <v>3</v>
      </c>
      <c r="CU5" s="643"/>
      <c r="CV5" s="682" t="s">
        <v>111</v>
      </c>
      <c r="CX5" s="644"/>
      <c r="CY5" s="679">
        <v>2</v>
      </c>
      <c r="CZ5" s="679"/>
      <c r="DA5" s="679"/>
      <c r="DB5" s="679"/>
      <c r="DC5" s="679"/>
      <c r="DD5" s="679"/>
      <c r="DE5" s="679"/>
      <c r="DF5" s="679"/>
      <c r="DG5" s="643"/>
      <c r="DH5" s="643"/>
      <c r="DI5" s="643"/>
    </row>
    <row r="6" spans="1:114" ht="15.75">
      <c r="A6" s="703" t="s">
        <v>11</v>
      </c>
      <c r="B6" s="4"/>
      <c r="C6" s="4" t="str">
        <f t="shared" si="0"/>
        <v>(-)FERIADO</v>
      </c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 t="s">
        <v>12</v>
      </c>
      <c r="CJ6" s="644"/>
      <c r="CK6" s="679"/>
      <c r="CL6" s="679">
        <v>2</v>
      </c>
      <c r="CM6" s="679">
        <v>2</v>
      </c>
      <c r="CN6" s="679">
        <v>1</v>
      </c>
      <c r="CO6" s="679">
        <v>1</v>
      </c>
      <c r="CP6" s="679"/>
      <c r="CQ6" s="679"/>
      <c r="CR6" s="679">
        <v>0</v>
      </c>
      <c r="CS6" s="643">
        <v>0</v>
      </c>
      <c r="CT6" s="643">
        <v>1</v>
      </c>
      <c r="CU6" s="643"/>
      <c r="CX6" s="644"/>
      <c r="CY6" s="679"/>
      <c r="CZ6" s="679">
        <v>2</v>
      </c>
      <c r="DA6" s="679">
        <v>2</v>
      </c>
      <c r="DB6" s="679">
        <v>1</v>
      </c>
      <c r="DC6" s="679">
        <v>1</v>
      </c>
      <c r="DD6" s="679"/>
      <c r="DE6" s="679">
        <v>0</v>
      </c>
      <c r="DF6" s="679">
        <v>1</v>
      </c>
      <c r="DG6" s="679">
        <v>1</v>
      </c>
      <c r="DH6" s="679">
        <v>2</v>
      </c>
      <c r="DI6" s="643">
        <v>5</v>
      </c>
    </row>
    <row r="7" spans="1:114">
      <c r="A7" s="704" t="s">
        <v>13</v>
      </c>
      <c r="B7" s="3"/>
      <c r="C7" s="3" t="str">
        <f t="shared" si="0"/>
        <v>Dias Trabalhados</v>
      </c>
      <c r="D7" s="252">
        <v>16</v>
      </c>
      <c r="E7" s="252">
        <v>21</v>
      </c>
      <c r="F7" s="252">
        <v>18</v>
      </c>
      <c r="G7" s="252">
        <v>21</v>
      </c>
      <c r="H7" s="252">
        <v>22</v>
      </c>
      <c r="I7" s="252">
        <v>19</v>
      </c>
      <c r="J7" s="252">
        <v>23</v>
      </c>
      <c r="K7" s="252">
        <v>21</v>
      </c>
      <c r="L7" s="252">
        <v>21</v>
      </c>
      <c r="M7" s="252">
        <v>26</v>
      </c>
      <c r="N7" s="252">
        <v>24</v>
      </c>
      <c r="O7" s="252">
        <v>15</v>
      </c>
      <c r="P7" s="4"/>
      <c r="Q7" s="247"/>
      <c r="R7" s="252">
        <v>22</v>
      </c>
      <c r="S7" s="252">
        <v>20</v>
      </c>
      <c r="T7" s="252">
        <v>14</v>
      </c>
      <c r="U7" s="252">
        <v>1</v>
      </c>
      <c r="V7" s="252">
        <v>12</v>
      </c>
      <c r="W7" s="252">
        <v>22</v>
      </c>
      <c r="X7" s="252">
        <v>23</v>
      </c>
      <c r="Y7" s="252">
        <v>21</v>
      </c>
      <c r="Z7" s="252">
        <v>21</v>
      </c>
      <c r="AA7" s="252">
        <v>21</v>
      </c>
      <c r="AB7" s="252">
        <v>20</v>
      </c>
      <c r="AC7" s="252">
        <v>17</v>
      </c>
      <c r="AD7" s="2"/>
      <c r="AE7" s="253"/>
      <c r="AF7" s="254">
        <v>18</v>
      </c>
      <c r="AG7" s="252">
        <v>20</v>
      </c>
      <c r="AH7" s="248">
        <v>20</v>
      </c>
      <c r="AI7" s="248">
        <v>20</v>
      </c>
      <c r="AJ7" s="252">
        <v>22</v>
      </c>
      <c r="AK7" s="252">
        <v>20</v>
      </c>
      <c r="AL7" s="252">
        <v>22</v>
      </c>
      <c r="AM7" s="252">
        <v>22</v>
      </c>
      <c r="AN7" s="252">
        <v>21</v>
      </c>
      <c r="AO7" s="252">
        <v>20</v>
      </c>
      <c r="AP7" s="252">
        <v>20</v>
      </c>
      <c r="AQ7" s="248">
        <v>12</v>
      </c>
      <c r="AR7" s="2"/>
      <c r="AS7" s="124"/>
      <c r="AT7" s="253">
        <v>19</v>
      </c>
      <c r="AU7" s="248">
        <v>19</v>
      </c>
      <c r="AV7" s="248">
        <v>18</v>
      </c>
      <c r="AW7" s="248">
        <v>19</v>
      </c>
      <c r="AX7" s="248">
        <v>22</v>
      </c>
      <c r="AY7" s="248">
        <v>21</v>
      </c>
      <c r="AZ7" s="248">
        <v>21</v>
      </c>
      <c r="BA7" s="248">
        <v>22</v>
      </c>
      <c r="BB7" s="248">
        <v>22</v>
      </c>
      <c r="BC7" s="248">
        <v>21</v>
      </c>
      <c r="BD7" s="248">
        <v>20</v>
      </c>
      <c r="BE7" s="248">
        <v>10</v>
      </c>
      <c r="BF7" s="2"/>
      <c r="BG7" s="125"/>
      <c r="BH7" s="253">
        <v>20</v>
      </c>
      <c r="BI7" s="248">
        <v>17</v>
      </c>
      <c r="BJ7" s="248">
        <v>23</v>
      </c>
      <c r="BK7" s="248">
        <v>18</v>
      </c>
      <c r="BL7" s="248">
        <v>22</v>
      </c>
      <c r="BM7" s="248">
        <v>23</v>
      </c>
      <c r="BN7" s="248">
        <v>21</v>
      </c>
      <c r="BO7" s="248">
        <v>21</v>
      </c>
      <c r="BP7" s="248">
        <v>20</v>
      </c>
      <c r="BQ7" s="248">
        <v>21</v>
      </c>
      <c r="BR7" s="248">
        <v>20</v>
      </c>
      <c r="BS7" s="248">
        <v>14</v>
      </c>
      <c r="BT7" s="253">
        <v>20</v>
      </c>
      <c r="BU7" s="252"/>
      <c r="BV7" s="253">
        <v>19</v>
      </c>
      <c r="BW7" s="248">
        <v>19</v>
      </c>
      <c r="BX7" s="566">
        <v>21</v>
      </c>
      <c r="BY7" s="566">
        <f>22+2</f>
        <v>24</v>
      </c>
      <c r="BZ7" s="248">
        <f>21+2</f>
        <v>23</v>
      </c>
      <c r="CA7" s="567">
        <f>20+2</f>
        <v>22</v>
      </c>
      <c r="CB7" s="567">
        <f>23+2</f>
        <v>25</v>
      </c>
      <c r="CC7" s="252">
        <f>21+3</f>
        <v>24</v>
      </c>
      <c r="CD7" s="252">
        <f>21+3</f>
        <v>24</v>
      </c>
      <c r="CE7" s="248">
        <f>23+1</f>
        <v>24</v>
      </c>
      <c r="CF7" s="248">
        <f>19+3</f>
        <v>22</v>
      </c>
      <c r="CG7" s="248">
        <f>12+1</f>
        <v>13</v>
      </c>
      <c r="CH7" s="248"/>
      <c r="CJ7" s="253">
        <f>CJ3+CJ5-CJ6-CJ4</f>
        <v>22</v>
      </c>
      <c r="CK7" s="253">
        <f>CK3+CK5-CK6-CK4</f>
        <v>23</v>
      </c>
      <c r="CL7" s="253">
        <v>19</v>
      </c>
      <c r="CM7" s="734">
        <f t="shared" ref="CK7:CO7" si="1">CM3+CM5-CM6-CM4</f>
        <v>20</v>
      </c>
      <c r="CN7" s="734">
        <f>CN3+CN5-CN6-CN4</f>
        <v>21</v>
      </c>
      <c r="CO7" s="734">
        <f>CO3+CO5-CO6-CO4</f>
        <v>22</v>
      </c>
      <c r="CP7" s="734">
        <f t="shared" ref="CP7:CU7" si="2">CP3+CP5-CP6</f>
        <v>25</v>
      </c>
      <c r="CQ7" s="734">
        <f>CQ3+CQ5-CQ6</f>
        <v>21</v>
      </c>
      <c r="CR7" s="734">
        <f t="shared" si="2"/>
        <v>22</v>
      </c>
      <c r="CS7" s="734">
        <f>CS3+CS5-CS6</f>
        <v>23</v>
      </c>
      <c r="CT7" s="734">
        <f>CT3+CT5-CT6</f>
        <v>22</v>
      </c>
      <c r="CU7" s="734">
        <v>17</v>
      </c>
      <c r="CV7" s="248"/>
      <c r="CX7" s="253">
        <f>CX3+CX5-CX6-CX4</f>
        <v>20</v>
      </c>
      <c r="CY7" s="253">
        <f t="shared" ref="CY7:DC7" si="3">CY3+CY5-CY6-CY4</f>
        <v>19</v>
      </c>
      <c r="CZ7" s="253">
        <f t="shared" si="3"/>
        <v>20</v>
      </c>
      <c r="DA7" s="253">
        <f t="shared" si="3"/>
        <v>20</v>
      </c>
      <c r="DB7" s="253">
        <f t="shared" si="3"/>
        <v>20</v>
      </c>
      <c r="DC7" s="253">
        <f t="shared" si="3"/>
        <v>21</v>
      </c>
      <c r="DD7" s="253">
        <f t="shared" ref="DD7:DI7" si="4">DD3+DD5-DD6</f>
        <v>23</v>
      </c>
      <c r="DE7" s="253">
        <f>DE3+DE5-DE6</f>
        <v>21</v>
      </c>
      <c r="DF7" s="253">
        <f>DF3+DF5-DF6</f>
        <v>21</v>
      </c>
      <c r="DG7" s="253">
        <f>DG3+DG5-DG6</f>
        <v>21</v>
      </c>
      <c r="DH7" s="253">
        <f>DH3+DH5-DH6</f>
        <v>19</v>
      </c>
      <c r="DI7" s="253">
        <f t="shared" ref="DI7:DJ7" si="5">DI3+DI5-DI6</f>
        <v>16</v>
      </c>
      <c r="DJ7" s="248"/>
    </row>
    <row r="8" spans="1:114" ht="18" customHeight="1">
      <c r="A8" s="8"/>
      <c r="B8" s="255"/>
      <c r="C8" s="256"/>
      <c r="D8" s="257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258" t="s">
        <v>26</v>
      </c>
      <c r="Q8" s="10"/>
      <c r="R8" s="257" t="s">
        <v>14</v>
      </c>
      <c r="S8" s="9" t="s">
        <v>15</v>
      </c>
      <c r="T8" s="9" t="s">
        <v>16</v>
      </c>
      <c r="U8" s="9" t="s">
        <v>17</v>
      </c>
      <c r="V8" s="9" t="s">
        <v>18</v>
      </c>
      <c r="W8" s="9" t="s">
        <v>19</v>
      </c>
      <c r="X8" s="9" t="s">
        <v>20</v>
      </c>
      <c r="Y8" s="9" t="s">
        <v>21</v>
      </c>
      <c r="Z8" s="9" t="s">
        <v>22</v>
      </c>
      <c r="AA8" s="9" t="s">
        <v>23</v>
      </c>
      <c r="AB8" s="9" t="s">
        <v>24</v>
      </c>
      <c r="AC8" s="9" t="s">
        <v>25</v>
      </c>
      <c r="AD8" s="258" t="s">
        <v>26</v>
      </c>
      <c r="AE8" s="11"/>
      <c r="AF8" s="257" t="s">
        <v>14</v>
      </c>
      <c r="AG8" s="9" t="s">
        <v>15</v>
      </c>
      <c r="AH8" s="9" t="s">
        <v>16</v>
      </c>
      <c r="AI8" s="9" t="s">
        <v>17</v>
      </c>
      <c r="AJ8" s="9" t="s">
        <v>18</v>
      </c>
      <c r="AK8" s="9" t="s">
        <v>19</v>
      </c>
      <c r="AL8" s="9" t="s">
        <v>20</v>
      </c>
      <c r="AM8" s="9" t="s">
        <v>21</v>
      </c>
      <c r="AN8" s="9" t="s">
        <v>22</v>
      </c>
      <c r="AO8" s="9" t="s">
        <v>23</v>
      </c>
      <c r="AP8" s="9" t="s">
        <v>24</v>
      </c>
      <c r="AQ8" s="9" t="s">
        <v>25</v>
      </c>
      <c r="AR8" s="9" t="s">
        <v>26</v>
      </c>
      <c r="AS8" s="11"/>
      <c r="AT8" s="9" t="s">
        <v>14</v>
      </c>
      <c r="AU8" s="9" t="s">
        <v>15</v>
      </c>
      <c r="AV8" s="9" t="s">
        <v>16</v>
      </c>
      <c r="AW8" s="9" t="s">
        <v>17</v>
      </c>
      <c r="AX8" s="9" t="s">
        <v>18</v>
      </c>
      <c r="AY8" s="9" t="s">
        <v>19</v>
      </c>
      <c r="AZ8" s="9" t="s">
        <v>20</v>
      </c>
      <c r="BA8" s="9" t="s">
        <v>21</v>
      </c>
      <c r="BB8" s="9" t="s">
        <v>22</v>
      </c>
      <c r="BC8" s="9" t="s">
        <v>23</v>
      </c>
      <c r="BD8" s="9" t="s">
        <v>24</v>
      </c>
      <c r="BE8" s="9" t="s">
        <v>25</v>
      </c>
      <c r="BF8" s="9" t="s">
        <v>26</v>
      </c>
      <c r="BG8" s="10"/>
      <c r="BH8" s="9" t="s">
        <v>14</v>
      </c>
      <c r="BI8" s="9" t="s">
        <v>15</v>
      </c>
      <c r="BJ8" s="9" t="s">
        <v>16</v>
      </c>
      <c r="BK8" s="9" t="s">
        <v>17</v>
      </c>
      <c r="BL8" s="9" t="s">
        <v>18</v>
      </c>
      <c r="BM8" s="9" t="s">
        <v>19</v>
      </c>
      <c r="BN8" s="9" t="s">
        <v>20</v>
      </c>
      <c r="BO8" s="9" t="s">
        <v>21</v>
      </c>
      <c r="BP8" s="9" t="s">
        <v>22</v>
      </c>
      <c r="BQ8" s="9" t="s">
        <v>23</v>
      </c>
      <c r="BR8" s="9" t="s">
        <v>24</v>
      </c>
      <c r="BS8" s="9" t="s">
        <v>25</v>
      </c>
      <c r="BT8" s="9" t="s">
        <v>26</v>
      </c>
      <c r="BU8" s="12"/>
      <c r="BV8" s="9" t="s">
        <v>14</v>
      </c>
      <c r="BW8" s="9" t="s">
        <v>15</v>
      </c>
      <c r="BX8" s="9" t="s">
        <v>16</v>
      </c>
      <c r="BY8" s="9" t="s">
        <v>17</v>
      </c>
      <c r="BZ8" s="9" t="s">
        <v>18</v>
      </c>
      <c r="CA8" s="9" t="s">
        <v>19</v>
      </c>
      <c r="CB8" s="9" t="s">
        <v>20</v>
      </c>
      <c r="CC8" s="9" t="s">
        <v>21</v>
      </c>
      <c r="CD8" s="9" t="s">
        <v>22</v>
      </c>
      <c r="CE8" s="9" t="s">
        <v>23</v>
      </c>
      <c r="CF8" s="9" t="s">
        <v>24</v>
      </c>
      <c r="CG8" s="9" t="s">
        <v>25</v>
      </c>
      <c r="CH8" s="9" t="s">
        <v>26</v>
      </c>
      <c r="CJ8" s="9" t="s">
        <v>14</v>
      </c>
      <c r="CK8" s="9" t="s">
        <v>15</v>
      </c>
      <c r="CL8" s="9" t="s">
        <v>16</v>
      </c>
      <c r="CM8" s="9" t="s">
        <v>17</v>
      </c>
      <c r="CN8" s="9" t="s">
        <v>18</v>
      </c>
      <c r="CO8" s="9" t="s">
        <v>19</v>
      </c>
      <c r="CP8" s="9" t="s">
        <v>20</v>
      </c>
      <c r="CQ8" s="9" t="s">
        <v>21</v>
      </c>
      <c r="CR8" s="9" t="s">
        <v>22</v>
      </c>
      <c r="CS8" s="9" t="s">
        <v>23</v>
      </c>
      <c r="CT8" s="9" t="s">
        <v>24</v>
      </c>
      <c r="CU8" s="9" t="s">
        <v>25</v>
      </c>
      <c r="CV8" s="9" t="s">
        <v>26</v>
      </c>
      <c r="CX8" s="9" t="s">
        <v>14</v>
      </c>
      <c r="CY8" s="9" t="s">
        <v>15</v>
      </c>
      <c r="CZ8" s="9" t="s">
        <v>16</v>
      </c>
      <c r="DA8" s="9" t="s">
        <v>17</v>
      </c>
      <c r="DB8" s="9" t="s">
        <v>18</v>
      </c>
      <c r="DC8" s="9" t="s">
        <v>19</v>
      </c>
      <c r="DD8" s="9" t="s">
        <v>20</v>
      </c>
      <c r="DE8" s="9" t="s">
        <v>21</v>
      </c>
      <c r="DF8" s="9" t="s">
        <v>22</v>
      </c>
      <c r="DG8" s="9" t="s">
        <v>23</v>
      </c>
      <c r="DH8" s="9" t="s">
        <v>24</v>
      </c>
      <c r="DI8" s="9" t="s">
        <v>25</v>
      </c>
      <c r="DJ8" s="9" t="s">
        <v>26</v>
      </c>
    </row>
    <row r="9" spans="1:114" ht="10.5" hidden="1" customHeight="1">
      <c r="A9" s="13"/>
      <c r="B9" s="259"/>
      <c r="C9" s="260"/>
      <c r="D9" s="26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62"/>
      <c r="Q9" s="15"/>
      <c r="R9" s="261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263"/>
      <c r="AE9" s="16"/>
      <c r="AF9" s="261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7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7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8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682" t="s">
        <v>27</v>
      </c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682" t="s">
        <v>27</v>
      </c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</row>
    <row r="10" spans="1:114" ht="30.75">
      <c r="A10" s="13" t="s">
        <v>28</v>
      </c>
      <c r="B10" s="706" t="s">
        <v>29</v>
      </c>
      <c r="C10" s="260"/>
      <c r="D10" s="261">
        <f t="shared" ref="D10:O10" si="6">SUM(D15:D17)</f>
        <v>304786</v>
      </c>
      <c r="E10" s="14">
        <f t="shared" si="6"/>
        <v>311986</v>
      </c>
      <c r="F10" s="14">
        <f t="shared" si="6"/>
        <v>328231</v>
      </c>
      <c r="G10" s="14">
        <f t="shared" si="6"/>
        <v>317873</v>
      </c>
      <c r="H10" s="14">
        <f t="shared" si="6"/>
        <v>347196</v>
      </c>
      <c r="I10" s="14">
        <f t="shared" si="6"/>
        <v>402253</v>
      </c>
      <c r="J10" s="14">
        <f t="shared" si="6"/>
        <v>454488</v>
      </c>
      <c r="K10" s="14">
        <f t="shared" si="6"/>
        <v>447182</v>
      </c>
      <c r="L10" s="14">
        <f t="shared" si="6"/>
        <v>416931</v>
      </c>
      <c r="M10" s="14">
        <f t="shared" si="6"/>
        <v>304402</v>
      </c>
      <c r="N10" s="14">
        <f t="shared" si="6"/>
        <v>0</v>
      </c>
      <c r="O10" s="14">
        <f t="shared" si="6"/>
        <v>188264</v>
      </c>
      <c r="P10" s="262"/>
      <c r="Q10" s="15"/>
      <c r="R10" s="14">
        <f t="shared" ref="R10:AC10" si="7">SUM(R15:R17)</f>
        <v>283359</v>
      </c>
      <c r="S10" s="14">
        <f t="shared" si="7"/>
        <v>342718</v>
      </c>
      <c r="T10" s="14">
        <f t="shared" si="7"/>
        <v>313212</v>
      </c>
      <c r="U10" s="14">
        <f t="shared" si="7"/>
        <v>298093</v>
      </c>
      <c r="V10" s="14">
        <f t="shared" si="7"/>
        <v>206617</v>
      </c>
      <c r="W10" s="14">
        <f t="shared" si="7"/>
        <v>235875</v>
      </c>
      <c r="X10" s="14">
        <f t="shared" si="7"/>
        <v>360135</v>
      </c>
      <c r="Y10" s="14">
        <f t="shared" si="7"/>
        <v>361665</v>
      </c>
      <c r="Z10" s="14">
        <f t="shared" si="7"/>
        <v>353400</v>
      </c>
      <c r="AA10" s="14">
        <f t="shared" si="7"/>
        <v>272097</v>
      </c>
      <c r="AB10" s="14">
        <f t="shared" si="7"/>
        <v>170626</v>
      </c>
      <c r="AC10" s="14">
        <f t="shared" si="7"/>
        <v>197551</v>
      </c>
      <c r="AD10" s="263"/>
      <c r="AE10" s="16"/>
      <c r="AF10" s="14">
        <f t="shared" ref="AF10:AQ10" si="8">SUM(AF15:AF19)</f>
        <v>255339</v>
      </c>
      <c r="AG10" s="14">
        <f t="shared" si="8"/>
        <v>292621</v>
      </c>
      <c r="AH10" s="14">
        <f t="shared" si="8"/>
        <v>397976</v>
      </c>
      <c r="AI10" s="14">
        <f t="shared" si="8"/>
        <v>388165</v>
      </c>
      <c r="AJ10" s="14">
        <f t="shared" si="8"/>
        <v>409301</v>
      </c>
      <c r="AK10" s="14">
        <f t="shared" si="8"/>
        <v>490913</v>
      </c>
      <c r="AL10" s="14">
        <f t="shared" si="8"/>
        <v>563229</v>
      </c>
      <c r="AM10" s="14">
        <f t="shared" si="8"/>
        <v>559169</v>
      </c>
      <c r="AN10" s="14">
        <f t="shared" si="8"/>
        <v>487294</v>
      </c>
      <c r="AO10" s="14">
        <f t="shared" si="8"/>
        <v>407614</v>
      </c>
      <c r="AP10" s="14">
        <f t="shared" si="8"/>
        <v>503756</v>
      </c>
      <c r="AQ10" s="14">
        <f t="shared" si="8"/>
        <v>531679</v>
      </c>
      <c r="AR10" s="14">
        <f t="shared" ref="AR10:AR25" si="9">AQ10</f>
        <v>531679</v>
      </c>
      <c r="AS10" s="17"/>
      <c r="AT10" s="14">
        <f t="shared" ref="AT10:BE10" si="10">SUM(AT15:AT19)</f>
        <v>471378</v>
      </c>
      <c r="AU10" s="14">
        <f t="shared" si="10"/>
        <v>473307</v>
      </c>
      <c r="AV10" s="14">
        <f t="shared" si="10"/>
        <v>412518</v>
      </c>
      <c r="AW10" s="14">
        <f t="shared" si="10"/>
        <v>398039</v>
      </c>
      <c r="AX10" s="14">
        <f t="shared" si="10"/>
        <v>417827</v>
      </c>
      <c r="AY10" s="14">
        <f t="shared" si="10"/>
        <v>507968</v>
      </c>
      <c r="AZ10" s="14">
        <f t="shared" si="10"/>
        <v>477530</v>
      </c>
      <c r="BA10" s="14">
        <f t="shared" si="10"/>
        <v>520708</v>
      </c>
      <c r="BB10" s="14">
        <f t="shared" si="10"/>
        <v>505851</v>
      </c>
      <c r="BC10" s="14">
        <f t="shared" si="10"/>
        <v>454245</v>
      </c>
      <c r="BD10" s="14">
        <f t="shared" si="10"/>
        <v>405700</v>
      </c>
      <c r="BE10" s="14">
        <f t="shared" si="10"/>
        <v>356505</v>
      </c>
      <c r="BF10" s="14">
        <f t="shared" ref="BF10:BF22" si="11">BE10</f>
        <v>356505</v>
      </c>
      <c r="BG10" s="17"/>
      <c r="BH10" s="14">
        <f t="shared" ref="BH10:BQ10" si="12">SUM(BH15:BH19)</f>
        <v>357143</v>
      </c>
      <c r="BI10" s="14">
        <f t="shared" si="12"/>
        <v>355011</v>
      </c>
      <c r="BJ10" s="14">
        <f t="shared" si="12"/>
        <v>344281</v>
      </c>
      <c r="BK10" s="14">
        <f t="shared" si="12"/>
        <v>389628</v>
      </c>
      <c r="BL10" s="14">
        <f t="shared" si="12"/>
        <v>324889</v>
      </c>
      <c r="BM10" s="14">
        <f t="shared" si="12"/>
        <v>352666</v>
      </c>
      <c r="BN10" s="14">
        <f t="shared" si="12"/>
        <v>418721</v>
      </c>
      <c r="BO10" s="14">
        <f t="shared" si="12"/>
        <v>356602</v>
      </c>
      <c r="BP10" s="14">
        <f t="shared" si="12"/>
        <v>326706</v>
      </c>
      <c r="BQ10" s="14">
        <f t="shared" si="12"/>
        <v>304987</v>
      </c>
      <c r="BR10" s="14">
        <f>SUM(BR15:BR19)</f>
        <v>228035</v>
      </c>
      <c r="BS10" s="14">
        <f>BS15+BS16+BS19</f>
        <v>201165</v>
      </c>
      <c r="BT10" s="14">
        <f>BS10</f>
        <v>201165</v>
      </c>
      <c r="BU10" s="18"/>
      <c r="BV10" s="14">
        <f>BV11+BV16+BV19</f>
        <v>247713</v>
      </c>
      <c r="BW10" s="14">
        <f t="shared" ref="BW10:CF10" si="13">BW11+BW16+BW19</f>
        <v>278707</v>
      </c>
      <c r="BX10" s="14">
        <f t="shared" si="13"/>
        <v>281829</v>
      </c>
      <c r="BY10" s="14">
        <f t="shared" si="13"/>
        <v>317753</v>
      </c>
      <c r="BZ10" s="14">
        <f t="shared" si="13"/>
        <v>270339</v>
      </c>
      <c r="CA10" s="14">
        <f t="shared" si="13"/>
        <v>310383</v>
      </c>
      <c r="CB10" s="14">
        <f t="shared" si="13"/>
        <v>328365</v>
      </c>
      <c r="CC10" s="14">
        <f t="shared" si="13"/>
        <v>333476</v>
      </c>
      <c r="CD10" s="14">
        <f>CD11+CD16+CD19</f>
        <v>306264</v>
      </c>
      <c r="CE10" s="14">
        <f t="shared" si="13"/>
        <v>270370</v>
      </c>
      <c r="CF10" s="14">
        <f t="shared" si="13"/>
        <v>194014</v>
      </c>
      <c r="CG10" s="14">
        <f>CG11+CG16+CG19</f>
        <v>182266</v>
      </c>
      <c r="CH10" s="14">
        <f t="shared" ref="CH10" si="14">CH15+CH16+CH19</f>
        <v>161447</v>
      </c>
      <c r="CJ10" s="14">
        <f>CH10+CJ71-CJ27</f>
        <v>168530.63302273574</v>
      </c>
      <c r="CK10" s="14">
        <f>CJ10+CK71-CK27</f>
        <v>182286.97320909426</v>
      </c>
      <c r="CL10" s="14">
        <f>CL15+CL16</f>
        <v>127909</v>
      </c>
      <c r="CM10" s="14">
        <f>CM15+CM16</f>
        <v>174007</v>
      </c>
      <c r="CN10" s="14">
        <f>CM10+CN71-CN27</f>
        <v>184445.8879612374</v>
      </c>
      <c r="CO10" s="14">
        <f t="shared" ref="CO10:CU10" si="15">CN10+CO71-CO27</f>
        <v>247499.73306000742</v>
      </c>
      <c r="CP10" s="14">
        <f t="shared" si="15"/>
        <v>280382.22259587242</v>
      </c>
      <c r="CQ10" s="14">
        <f>CP10+CQ71-CQ27</f>
        <v>258376.52867182181</v>
      </c>
      <c r="CR10" s="14">
        <f t="shared" si="15"/>
        <v>210518.33782793995</v>
      </c>
      <c r="CS10" s="14">
        <f t="shared" si="15"/>
        <v>165804.38677308764</v>
      </c>
      <c r="CT10" s="14">
        <f t="shared" si="15"/>
        <v>197040.78567604127</v>
      </c>
      <c r="CU10" s="14">
        <f>CT10+CU71-CU27</f>
        <v>177206.30327097798</v>
      </c>
      <c r="CV10" s="14">
        <v>116080.10690622788</v>
      </c>
      <c r="CX10" s="14">
        <f>CU10+CX71-CX27</f>
        <v>68896.393270977947</v>
      </c>
      <c r="CY10" s="14">
        <f>CX10+CY71-CY27</f>
        <v>-41339.356729022053</v>
      </c>
      <c r="CZ10" s="14">
        <f>CY10+CZ71-CZ27</f>
        <v>-86540.596729022072</v>
      </c>
      <c r="DA10" s="14">
        <f>CZ10+DA71-DA27</f>
        <v>-114379.92672902212</v>
      </c>
      <c r="DB10" s="14">
        <f>DA10+DB71-DB27</f>
        <v>-103950.17672902215</v>
      </c>
      <c r="DC10" s="14">
        <f t="shared" ref="DC10" si="16">DB10+DC71-DC27</f>
        <v>-40138.45672902216</v>
      </c>
      <c r="DD10" s="14">
        <f t="shared" ref="DD10" si="17">DC10+DD71-DD27</f>
        <v>-40402.736729022203</v>
      </c>
      <c r="DE10" s="14">
        <f t="shared" ref="DE10" si="18">DD10+DE71-DE27</f>
        <v>-71718.696729022224</v>
      </c>
      <c r="DF10" s="14">
        <f t="shared" ref="DF10" si="19">DE10+DF71-DF27</f>
        <v>-172752.83672902224</v>
      </c>
      <c r="DG10" s="14">
        <f t="shared" ref="DG10" si="20">DF10+DG71-DG27</f>
        <v>-258538.89706657498</v>
      </c>
      <c r="DH10" s="14">
        <f t="shared" ref="DH10" si="21">DG10+DH71-DH27</f>
        <v>-273424.68381762982</v>
      </c>
      <c r="DI10" s="14">
        <f t="shared" ref="DI10" si="22">DH10+DI71-DI27</f>
        <v>-243356.21938725008</v>
      </c>
      <c r="DJ10" s="14">
        <v>116080.10690622788</v>
      </c>
    </row>
    <row r="11" spans="1:114">
      <c r="A11" s="19">
        <v>0</v>
      </c>
      <c r="B11" s="158" t="s">
        <v>30</v>
      </c>
      <c r="C11" s="264"/>
      <c r="D11" s="265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66"/>
      <c r="Q11" s="21"/>
      <c r="R11" s="265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67"/>
      <c r="AE11" s="23"/>
      <c r="AF11" s="22"/>
      <c r="AG11" s="22"/>
      <c r="AH11" s="22"/>
      <c r="AI11" s="22"/>
      <c r="AJ11" s="24"/>
      <c r="AK11" s="22"/>
      <c r="AL11" s="22"/>
      <c r="AM11" s="22"/>
      <c r="AN11" s="22"/>
      <c r="AO11" s="22"/>
      <c r="AP11" s="25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6"/>
      <c r="BC11" s="22"/>
      <c r="BD11" s="22"/>
      <c r="BE11" s="22"/>
      <c r="BF11" s="22"/>
      <c r="BG11" s="27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8"/>
      <c r="BV11" s="22">
        <v>204006</v>
      </c>
      <c r="BW11" s="22">
        <v>241182</v>
      </c>
      <c r="BX11" s="22">
        <v>245950</v>
      </c>
      <c r="BY11" s="22">
        <v>281974</v>
      </c>
      <c r="BZ11" s="22">
        <v>202865</v>
      </c>
      <c r="CA11" s="22">
        <v>240895</v>
      </c>
      <c r="CB11" s="22">
        <v>273565</v>
      </c>
      <c r="CC11" s="22">
        <v>288981</v>
      </c>
      <c r="CD11" s="22">
        <v>273990</v>
      </c>
      <c r="CE11" s="22">
        <v>237556</v>
      </c>
      <c r="CF11" s="22">
        <v>168313</v>
      </c>
      <c r="CG11" s="22">
        <v>150819</v>
      </c>
      <c r="CH11" s="22">
        <f>CG11</f>
        <v>150819</v>
      </c>
      <c r="CJ11" s="22">
        <v>205037</v>
      </c>
      <c r="CK11" s="22">
        <v>230430</v>
      </c>
      <c r="CL11" s="22">
        <v>234343</v>
      </c>
      <c r="CM11" s="22">
        <v>266388</v>
      </c>
      <c r="CN11" s="22"/>
      <c r="CO11" s="22"/>
      <c r="CP11" s="22"/>
      <c r="CQ11" s="22"/>
      <c r="CR11" s="22"/>
      <c r="CS11" s="22">
        <v>278269</v>
      </c>
      <c r="CT11" s="22"/>
      <c r="CU11" s="22"/>
      <c r="CV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</row>
    <row r="12" spans="1:114">
      <c r="A12" s="19">
        <v>0</v>
      </c>
      <c r="B12" s="158" t="s">
        <v>31</v>
      </c>
      <c r="C12" s="264"/>
      <c r="D12" s="265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66"/>
      <c r="Q12" s="21"/>
      <c r="R12" s="265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67"/>
      <c r="AE12" s="23"/>
      <c r="AF12" s="22"/>
      <c r="AG12" s="22"/>
      <c r="AH12" s="22"/>
      <c r="AI12" s="22"/>
      <c r="AJ12" s="24"/>
      <c r="AK12" s="22"/>
      <c r="AL12" s="22"/>
      <c r="AM12" s="22"/>
      <c r="AN12" s="22"/>
      <c r="AO12" s="22"/>
      <c r="AP12" s="25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6"/>
      <c r="BC12" s="22"/>
      <c r="BD12" s="22"/>
      <c r="BE12" s="22"/>
      <c r="BF12" s="22"/>
      <c r="BG12" s="27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8"/>
      <c r="BV12" s="22">
        <v>80956</v>
      </c>
      <c r="BW12" s="22">
        <v>110544</v>
      </c>
      <c r="BX12" s="22">
        <v>134506</v>
      </c>
      <c r="BY12" s="22">
        <v>127959</v>
      </c>
      <c r="BZ12" s="22">
        <v>66136</v>
      </c>
      <c r="CA12" s="22">
        <v>72582</v>
      </c>
      <c r="CB12" s="22">
        <v>94286</v>
      </c>
      <c r="CC12" s="22">
        <v>133081</v>
      </c>
      <c r="CD12" s="22">
        <v>148174</v>
      </c>
      <c r="CE12" s="22">
        <v>154201</v>
      </c>
      <c r="CF12" s="22">
        <v>97365</v>
      </c>
      <c r="CG12" s="22">
        <v>30184</v>
      </c>
      <c r="CH12" s="22"/>
      <c r="CJ12" s="22">
        <v>132209</v>
      </c>
      <c r="CK12" s="22">
        <v>180000</v>
      </c>
      <c r="CL12" s="22">
        <v>177643</v>
      </c>
      <c r="CM12" s="22">
        <v>153210</v>
      </c>
      <c r="CN12" s="22"/>
      <c r="CO12" s="22"/>
      <c r="CP12" s="22"/>
      <c r="CQ12" s="22"/>
      <c r="CR12" s="22"/>
      <c r="CS12" s="22">
        <v>189875</v>
      </c>
      <c r="CT12" s="22"/>
      <c r="CU12" s="22"/>
      <c r="CV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</row>
    <row r="13" spans="1:114">
      <c r="A13" s="19">
        <v>0</v>
      </c>
      <c r="B13" s="158" t="s">
        <v>32</v>
      </c>
      <c r="C13" s="264"/>
      <c r="D13" s="26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66"/>
      <c r="Q13" s="21"/>
      <c r="R13" s="265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67"/>
      <c r="AE13" s="23"/>
      <c r="AF13" s="22"/>
      <c r="AG13" s="22"/>
      <c r="AH13" s="22"/>
      <c r="AI13" s="22"/>
      <c r="AJ13" s="24"/>
      <c r="AK13" s="22"/>
      <c r="AL13" s="22"/>
      <c r="AM13" s="22"/>
      <c r="AN13" s="22"/>
      <c r="AO13" s="22"/>
      <c r="AP13" s="25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6"/>
      <c r="BC13" s="22"/>
      <c r="BD13" s="22"/>
      <c r="BE13" s="22"/>
      <c r="BF13" s="22"/>
      <c r="BG13" s="27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8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J13" s="22">
        <v>150321</v>
      </c>
      <c r="CK13" s="22">
        <v>133602</v>
      </c>
      <c r="CL13" s="22">
        <v>135672</v>
      </c>
      <c r="CM13" s="22">
        <v>133268</v>
      </c>
      <c r="CN13" s="22"/>
      <c r="CO13" s="22"/>
      <c r="CP13" s="22"/>
      <c r="CQ13" s="22"/>
      <c r="CR13" s="22"/>
      <c r="CS13" s="22">
        <v>113875</v>
      </c>
      <c r="CT13" s="22">
        <v>100000</v>
      </c>
      <c r="CU13" s="22">
        <f>CT13</f>
        <v>100000</v>
      </c>
      <c r="CV13" s="22"/>
      <c r="CX13" s="726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>
        <f t="shared" ref="CZ13:DI13" si="23">DH13</f>
        <v>0</v>
      </c>
      <c r="DJ13" s="22"/>
    </row>
    <row r="14" spans="1:114">
      <c r="A14" s="19">
        <v>0</v>
      </c>
      <c r="B14" s="717" t="s">
        <v>33</v>
      </c>
      <c r="C14" s="264"/>
      <c r="D14" s="26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66"/>
      <c r="Q14" s="21"/>
      <c r="R14" s="265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67"/>
      <c r="AE14" s="23"/>
      <c r="AF14" s="22"/>
      <c r="AG14" s="22"/>
      <c r="AH14" s="22"/>
      <c r="AI14" s="22"/>
      <c r="AJ14" s="24"/>
      <c r="AK14" s="22"/>
      <c r="AL14" s="22"/>
      <c r="AM14" s="22"/>
      <c r="AN14" s="22"/>
      <c r="AO14" s="22"/>
      <c r="AP14" s="25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6"/>
      <c r="BC14" s="22"/>
      <c r="BD14" s="22"/>
      <c r="BE14" s="22"/>
      <c r="BF14" s="22"/>
      <c r="BG14" s="27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8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J14" s="718">
        <v>36757</v>
      </c>
      <c r="CK14" s="718">
        <v>55826</v>
      </c>
      <c r="CL14" s="718">
        <v>60438</v>
      </c>
      <c r="CM14" s="718">
        <v>52291</v>
      </c>
      <c r="CN14" s="22"/>
      <c r="CO14" s="22"/>
      <c r="CP14" s="22"/>
      <c r="CQ14" s="22"/>
      <c r="CR14" s="22"/>
      <c r="CS14" s="718">
        <v>35740</v>
      </c>
      <c r="CT14" s="22"/>
      <c r="CU14" s="22"/>
      <c r="CV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</row>
    <row r="15" spans="1:114" s="698" customFormat="1" ht="15.75">
      <c r="A15" s="683">
        <v>1</v>
      </c>
      <c r="B15" s="684" t="s">
        <v>34</v>
      </c>
      <c r="C15" s="685"/>
      <c r="D15" s="686">
        <v>197000</v>
      </c>
      <c r="E15" s="687">
        <v>223027</v>
      </c>
      <c r="F15" s="687">
        <v>230513</v>
      </c>
      <c r="G15" s="687">
        <v>231174</v>
      </c>
      <c r="H15" s="687">
        <v>255028</v>
      </c>
      <c r="I15" s="687">
        <f>316386+3241</f>
        <v>319627</v>
      </c>
      <c r="J15" s="687">
        <v>377712</v>
      </c>
      <c r="K15" s="687">
        <v>382411</v>
      </c>
      <c r="L15" s="687">
        <v>394107</v>
      </c>
      <c r="M15" s="687">
        <v>267954</v>
      </c>
      <c r="N15" s="687"/>
      <c r="O15" s="687">
        <v>143875</v>
      </c>
      <c r="P15" s="688"/>
      <c r="Q15" s="689"/>
      <c r="R15" s="686">
        <v>208084</v>
      </c>
      <c r="S15" s="690">
        <v>268431</v>
      </c>
      <c r="T15" s="690">
        <v>250616</v>
      </c>
      <c r="U15" s="690">
        <v>237088</v>
      </c>
      <c r="V15" s="690">
        <v>147777</v>
      </c>
      <c r="W15" s="690">
        <v>215818</v>
      </c>
      <c r="X15" s="690">
        <v>273510</v>
      </c>
      <c r="Y15" s="690">
        <v>299059</v>
      </c>
      <c r="Z15" s="690">
        <v>304980</v>
      </c>
      <c r="AA15" s="690">
        <v>231197</v>
      </c>
      <c r="AB15" s="690">
        <v>143086</v>
      </c>
      <c r="AC15" s="690">
        <v>172491</v>
      </c>
      <c r="AD15" s="691"/>
      <c r="AE15" s="692"/>
      <c r="AF15" s="690">
        <v>198695</v>
      </c>
      <c r="AG15" s="690">
        <v>234210</v>
      </c>
      <c r="AH15" s="690">
        <v>327560</v>
      </c>
      <c r="AI15" s="690">
        <v>332523</v>
      </c>
      <c r="AJ15" s="693">
        <v>356667</v>
      </c>
      <c r="AK15" s="690">
        <v>384165</v>
      </c>
      <c r="AL15" s="690">
        <v>317268</v>
      </c>
      <c r="AM15" s="690">
        <v>370708</v>
      </c>
      <c r="AN15" s="690">
        <v>354503</v>
      </c>
      <c r="AO15" s="690">
        <v>314605</v>
      </c>
      <c r="AP15" s="694">
        <v>90490</v>
      </c>
      <c r="AQ15" s="690">
        <v>58348</v>
      </c>
      <c r="AR15" s="690">
        <f t="shared" si="9"/>
        <v>58348</v>
      </c>
      <c r="AS15" s="692"/>
      <c r="AT15" s="690">
        <v>158701</v>
      </c>
      <c r="AU15" s="690">
        <v>115369</v>
      </c>
      <c r="AV15" s="690">
        <v>142379</v>
      </c>
      <c r="AW15" s="690">
        <v>118765</v>
      </c>
      <c r="AX15" s="690">
        <v>113246</v>
      </c>
      <c r="AY15" s="690">
        <v>106776</v>
      </c>
      <c r="AZ15" s="690">
        <v>175234</v>
      </c>
      <c r="BA15" s="690">
        <v>151553</v>
      </c>
      <c r="BB15" s="695">
        <v>167082</v>
      </c>
      <c r="BC15" s="690">
        <v>150959</v>
      </c>
      <c r="BD15" s="690">
        <v>119787</v>
      </c>
      <c r="BE15" s="690">
        <v>65426</v>
      </c>
      <c r="BF15" s="690">
        <f t="shared" si="11"/>
        <v>65426</v>
      </c>
      <c r="BG15" s="696"/>
      <c r="BH15" s="690">
        <v>166918</v>
      </c>
      <c r="BI15" s="690">
        <v>167160</v>
      </c>
      <c r="BJ15" s="690">
        <v>204571</v>
      </c>
      <c r="BK15" s="690">
        <v>153197</v>
      </c>
      <c r="BL15" s="690">
        <v>196798</v>
      </c>
      <c r="BM15" s="690">
        <v>145596</v>
      </c>
      <c r="BN15" s="690">
        <v>166021</v>
      </c>
      <c r="BO15" s="690">
        <v>211305</v>
      </c>
      <c r="BP15" s="690">
        <v>201071</v>
      </c>
      <c r="BQ15" s="690">
        <v>177743</v>
      </c>
      <c r="BR15" s="690">
        <v>144020</v>
      </c>
      <c r="BS15" s="690">
        <v>154347</v>
      </c>
      <c r="BT15" s="690">
        <f>BS15</f>
        <v>154347</v>
      </c>
      <c r="BU15" s="697"/>
      <c r="BV15" s="690">
        <v>151471</v>
      </c>
      <c r="BW15" s="690">
        <v>155653</v>
      </c>
      <c r="BX15" s="690">
        <v>151611</v>
      </c>
      <c r="BY15" s="690">
        <v>177044</v>
      </c>
      <c r="BZ15" s="690">
        <v>170481</v>
      </c>
      <c r="CA15" s="690">
        <v>221665</v>
      </c>
      <c r="CB15" s="690">
        <v>218105</v>
      </c>
      <c r="CC15" s="690">
        <v>188153</v>
      </c>
      <c r="CD15" s="690">
        <v>147751</v>
      </c>
      <c r="CE15" s="690">
        <v>112996</v>
      </c>
      <c r="CF15" s="690">
        <v>135968</v>
      </c>
      <c r="CG15" s="690">
        <v>130000</v>
      </c>
      <c r="CH15" s="690">
        <f t="shared" ref="CH15:CH25" si="24">CG15</f>
        <v>130000</v>
      </c>
      <c r="CI15" s="707">
        <v>114000</v>
      </c>
      <c r="CJ15" s="690">
        <v>109585</v>
      </c>
      <c r="CK15" s="690">
        <v>103815</v>
      </c>
      <c r="CL15" s="690">
        <v>117138</v>
      </c>
      <c r="CM15" s="690">
        <v>165469</v>
      </c>
      <c r="CN15" s="690">
        <f>CM15+CN71-CN27</f>
        <v>175907.8879612374</v>
      </c>
      <c r="CO15" s="690">
        <f>CN15+CO71-CO27</f>
        <v>238961.73306000742</v>
      </c>
      <c r="CP15" s="690">
        <f t="shared" ref="CP15:CU15" si="25">CO15+CP71-CP27</f>
        <v>271844.22259587242</v>
      </c>
      <c r="CQ15" s="690">
        <f>CP15+CQ71-CQ27</f>
        <v>249838.52867182181</v>
      </c>
      <c r="CR15" s="690">
        <f t="shared" si="25"/>
        <v>201980.33782793995</v>
      </c>
      <c r="CS15" s="690">
        <v>124134</v>
      </c>
      <c r="CT15" s="690">
        <f>CS15+CT71-CT70</f>
        <v>164077.14995780593</v>
      </c>
      <c r="CU15" s="690">
        <f>CT15+CU71-CU70</f>
        <v>148808.23717299581</v>
      </c>
      <c r="CV15" s="754"/>
      <c r="CX15" s="690">
        <f>CU15+CX71-CX70+CX13-CX14</f>
        <v>124460.77717299579</v>
      </c>
      <c r="CY15" s="690">
        <f>CX15+CY71-CY70+CY13</f>
        <v>146107.8871729958</v>
      </c>
      <c r="CZ15" s="690">
        <f t="shared" ref="CZ15:DI15" si="26">CY15+CZ71-CZ70+CZ13</f>
        <v>118607.31717299583</v>
      </c>
      <c r="DA15" s="690">
        <f t="shared" si="26"/>
        <v>160310.87717299582</v>
      </c>
      <c r="DB15" s="690">
        <f>DA15+DB71-DB70+DB13</f>
        <v>219839.11717299584</v>
      </c>
      <c r="DC15" s="690">
        <f t="shared" si="26"/>
        <v>319493.49717299582</v>
      </c>
      <c r="DD15" s="690">
        <f t="shared" si="26"/>
        <v>321054.76717299584</v>
      </c>
      <c r="DE15" s="690">
        <f t="shared" si="26"/>
        <v>307510.65717299585</v>
      </c>
      <c r="DF15" s="690">
        <f t="shared" si="26"/>
        <v>232270.52717299585</v>
      </c>
      <c r="DG15" s="690">
        <f t="shared" si="26"/>
        <v>168050.68632067519</v>
      </c>
      <c r="DH15" s="690">
        <f t="shared" si="26"/>
        <v>165785.15187426168</v>
      </c>
      <c r="DI15" s="690">
        <f t="shared" si="26"/>
        <v>199876.96411097053</v>
      </c>
      <c r="DJ15" s="690">
        <v>0</v>
      </c>
    </row>
    <row r="16" spans="1:114">
      <c r="A16" s="19">
        <v>2</v>
      </c>
      <c r="B16" s="702" t="s">
        <v>35</v>
      </c>
      <c r="C16" s="264"/>
      <c r="D16" s="265">
        <v>73670</v>
      </c>
      <c r="E16" s="20">
        <v>59682</v>
      </c>
      <c r="F16" s="20">
        <v>54710</v>
      </c>
      <c r="G16" s="20">
        <v>56175</v>
      </c>
      <c r="H16" s="20">
        <v>58933</v>
      </c>
      <c r="I16" s="20">
        <v>42784</v>
      </c>
      <c r="J16" s="20">
        <v>35755</v>
      </c>
      <c r="K16" s="20">
        <v>33547</v>
      </c>
      <c r="L16" s="20">
        <v>22824</v>
      </c>
      <c r="M16" s="20">
        <v>26162</v>
      </c>
      <c r="N16" s="20"/>
      <c r="O16" s="20">
        <v>44389</v>
      </c>
      <c r="P16" s="266"/>
      <c r="Q16" s="21"/>
      <c r="R16" s="265">
        <v>39759</v>
      </c>
      <c r="S16" s="22">
        <v>38325</v>
      </c>
      <c r="T16" s="22">
        <v>26634</v>
      </c>
      <c r="U16" s="22">
        <f>14430+2754+7859</f>
        <v>25043</v>
      </c>
      <c r="V16" s="22">
        <v>23840</v>
      </c>
      <c r="W16" s="22">
        <v>20057</v>
      </c>
      <c r="X16" s="22">
        <v>80502</v>
      </c>
      <c r="Y16" s="22">
        <v>56483</v>
      </c>
      <c r="Z16" s="22">
        <v>44233</v>
      </c>
      <c r="AA16" s="22">
        <v>38155</v>
      </c>
      <c r="AB16" s="22">
        <v>27540</v>
      </c>
      <c r="AC16" s="22">
        <v>25060</v>
      </c>
      <c r="AD16" s="267"/>
      <c r="AE16" s="23"/>
      <c r="AF16" s="22">
        <v>21326</v>
      </c>
      <c r="AG16" s="22">
        <v>17804</v>
      </c>
      <c r="AH16" s="22">
        <v>27157</v>
      </c>
      <c r="AI16" s="22">
        <v>19677</v>
      </c>
      <c r="AJ16" s="22">
        <v>18817</v>
      </c>
      <c r="AK16" s="22">
        <v>25034</v>
      </c>
      <c r="AL16" s="22">
        <v>28090</v>
      </c>
      <c r="AM16" s="22">
        <v>25660</v>
      </c>
      <c r="AN16" s="22">
        <v>33752</v>
      </c>
      <c r="AO16" s="22">
        <v>24699</v>
      </c>
      <c r="AP16" s="25">
        <v>19340</v>
      </c>
      <c r="AQ16" s="22">
        <v>29842</v>
      </c>
      <c r="AR16" s="22">
        <f t="shared" si="9"/>
        <v>29842</v>
      </c>
      <c r="AS16" s="23"/>
      <c r="AT16" s="22">
        <v>46493</v>
      </c>
      <c r="AU16" s="22">
        <v>37125</v>
      </c>
      <c r="AV16" s="22">
        <v>38574</v>
      </c>
      <c r="AW16" s="22">
        <v>43626</v>
      </c>
      <c r="AX16" s="22">
        <v>39641</v>
      </c>
      <c r="AY16" s="22">
        <v>55553</v>
      </c>
      <c r="AZ16" s="22">
        <v>48023</v>
      </c>
      <c r="BA16" s="22">
        <v>55043</v>
      </c>
      <c r="BB16" s="26">
        <v>50383</v>
      </c>
      <c r="BC16" s="22">
        <v>54355</v>
      </c>
      <c r="BD16" s="22">
        <v>82473</v>
      </c>
      <c r="BE16" s="22">
        <v>65398</v>
      </c>
      <c r="BF16" s="22">
        <f t="shared" si="11"/>
        <v>65398</v>
      </c>
      <c r="BG16" s="27"/>
      <c r="BH16" s="22">
        <v>68747</v>
      </c>
      <c r="BI16" s="22">
        <v>62843</v>
      </c>
      <c r="BJ16" s="22">
        <v>62154</v>
      </c>
      <c r="BK16" s="22">
        <v>49337</v>
      </c>
      <c r="BL16" s="22">
        <v>27730</v>
      </c>
      <c r="BM16" s="22">
        <v>42459</v>
      </c>
      <c r="BN16" s="22">
        <v>44049</v>
      </c>
      <c r="BO16" s="22">
        <v>29196</v>
      </c>
      <c r="BP16" s="22">
        <v>36882</v>
      </c>
      <c r="BQ16" s="22">
        <v>35965</v>
      </c>
      <c r="BR16" s="22">
        <v>31343</v>
      </c>
      <c r="BS16" s="22">
        <v>23087</v>
      </c>
      <c r="BT16" s="22">
        <f t="shared" ref="BT16:BT25" si="27">BS16</f>
        <v>23087</v>
      </c>
      <c r="BU16" s="28"/>
      <c r="BV16" s="22">
        <v>15202</v>
      </c>
      <c r="BW16" s="22">
        <v>12471</v>
      </c>
      <c r="BX16" s="22">
        <v>11483</v>
      </c>
      <c r="BY16" s="22">
        <v>14071</v>
      </c>
      <c r="BZ16" s="22">
        <v>49617</v>
      </c>
      <c r="CA16" s="22">
        <v>36385</v>
      </c>
      <c r="CB16" s="22">
        <v>25473</v>
      </c>
      <c r="CC16" s="22">
        <v>16933</v>
      </c>
      <c r="CD16" s="22">
        <v>12684</v>
      </c>
      <c r="CE16" s="22">
        <v>21084</v>
      </c>
      <c r="CF16" s="22">
        <v>15172</v>
      </c>
      <c r="CG16" s="22">
        <v>11469</v>
      </c>
      <c r="CH16" s="22">
        <f>CG16</f>
        <v>11469</v>
      </c>
      <c r="CI16">
        <f>7500*5</f>
        <v>37500</v>
      </c>
      <c r="CJ16" s="22">
        <v>9465</v>
      </c>
      <c r="CK16" s="22">
        <v>13722</v>
      </c>
      <c r="CL16" s="22">
        <v>10771</v>
      </c>
      <c r="CM16" s="22">
        <v>8538</v>
      </c>
      <c r="CN16" s="22"/>
      <c r="CO16" s="22"/>
      <c r="CP16" s="22"/>
      <c r="CQ16" s="22"/>
      <c r="CR16" s="22"/>
      <c r="CS16" s="22">
        <v>4128</v>
      </c>
      <c r="CT16" s="22"/>
      <c r="CU16" s="22"/>
      <c r="CV16" s="22">
        <v>0</v>
      </c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>
        <v>0</v>
      </c>
    </row>
    <row r="17" spans="1:115">
      <c r="A17" s="19">
        <v>3</v>
      </c>
      <c r="B17" s="702" t="s">
        <v>36</v>
      </c>
      <c r="C17" s="264"/>
      <c r="D17" s="268">
        <v>34116</v>
      </c>
      <c r="E17" s="269">
        <v>29277</v>
      </c>
      <c r="F17" s="269">
        <v>43008</v>
      </c>
      <c r="G17" s="269">
        <v>30524</v>
      </c>
      <c r="H17" s="269">
        <v>33235</v>
      </c>
      <c r="I17" s="269">
        <v>39842</v>
      </c>
      <c r="J17" s="269">
        <v>41021</v>
      </c>
      <c r="K17" s="269">
        <v>31224</v>
      </c>
      <c r="L17" s="269"/>
      <c r="M17" s="269">
        <v>10286</v>
      </c>
      <c r="N17" s="269"/>
      <c r="O17" s="269"/>
      <c r="P17" s="266"/>
      <c r="Q17" s="21"/>
      <c r="R17" s="268">
        <v>35516</v>
      </c>
      <c r="S17" s="270">
        <v>35962</v>
      </c>
      <c r="T17" s="270">
        <v>35962</v>
      </c>
      <c r="U17" s="270">
        <v>35962</v>
      </c>
      <c r="V17" s="270">
        <v>35000</v>
      </c>
      <c r="W17" s="270"/>
      <c r="X17" s="270">
        <v>6123</v>
      </c>
      <c r="Y17" s="270">
        <v>6123</v>
      </c>
      <c r="Z17" s="270">
        <v>4187</v>
      </c>
      <c r="AA17" s="270">
        <v>2745</v>
      </c>
      <c r="AB17" s="270"/>
      <c r="AC17" s="270"/>
      <c r="AD17" s="267"/>
      <c r="AE17" s="23"/>
      <c r="AF17" s="270">
        <v>8366</v>
      </c>
      <c r="AG17" s="270">
        <v>11534</v>
      </c>
      <c r="AH17" s="270">
        <v>11507</v>
      </c>
      <c r="AI17" s="270">
        <v>9148</v>
      </c>
      <c r="AJ17" s="22">
        <v>8524</v>
      </c>
      <c r="AK17" s="270">
        <v>25290</v>
      </c>
      <c r="AL17" s="270">
        <v>91080</v>
      </c>
      <c r="AM17" s="270">
        <v>66830</v>
      </c>
      <c r="AN17" s="270">
        <v>36866</v>
      </c>
      <c r="AO17" s="270">
        <v>16173</v>
      </c>
      <c r="AP17" s="271">
        <v>178274</v>
      </c>
      <c r="AQ17" s="270">
        <v>210665</v>
      </c>
      <c r="AR17" s="22">
        <f t="shared" si="9"/>
        <v>210665</v>
      </c>
      <c r="AS17" s="23"/>
      <c r="AT17" s="270">
        <v>121075</v>
      </c>
      <c r="AU17" s="270">
        <v>149376</v>
      </c>
      <c r="AV17" s="270">
        <v>104538</v>
      </c>
      <c r="AW17" s="270">
        <v>105262</v>
      </c>
      <c r="AX17" s="270">
        <v>121073</v>
      </c>
      <c r="AY17" s="270">
        <v>163931</v>
      </c>
      <c r="AZ17" s="270">
        <v>109964</v>
      </c>
      <c r="BA17" s="270">
        <v>148266</v>
      </c>
      <c r="BB17" s="26">
        <v>130697</v>
      </c>
      <c r="BC17" s="270">
        <v>113779</v>
      </c>
      <c r="BD17" s="270">
        <v>91119</v>
      </c>
      <c r="BE17" s="270">
        <v>103286</v>
      </c>
      <c r="BF17" s="22">
        <f t="shared" si="11"/>
        <v>103286</v>
      </c>
      <c r="BG17" s="27"/>
      <c r="BH17" s="270">
        <v>49631</v>
      </c>
      <c r="BI17" s="270">
        <v>52953</v>
      </c>
      <c r="BJ17" s="270">
        <v>28440</v>
      </c>
      <c r="BK17" s="270">
        <v>83601</v>
      </c>
      <c r="BL17" s="22">
        <v>25812</v>
      </c>
      <c r="BM17" s="22">
        <v>59545</v>
      </c>
      <c r="BN17" s="22">
        <v>83435</v>
      </c>
      <c r="BO17" s="22">
        <v>34041</v>
      </c>
      <c r="BP17" s="22">
        <v>22399</v>
      </c>
      <c r="BQ17" s="22">
        <v>24887</v>
      </c>
      <c r="BR17" s="22">
        <v>12183</v>
      </c>
      <c r="BS17" s="22">
        <v>12183</v>
      </c>
      <c r="BT17" s="22">
        <f t="shared" si="27"/>
        <v>12183</v>
      </c>
      <c r="BU17" s="28"/>
      <c r="BV17" s="270">
        <v>5216</v>
      </c>
      <c r="BW17" s="270"/>
      <c r="BX17" s="270">
        <v>65273</v>
      </c>
      <c r="BY17" s="270">
        <v>70182</v>
      </c>
      <c r="BZ17" s="22">
        <v>57659</v>
      </c>
      <c r="CA17" s="22">
        <v>71669</v>
      </c>
      <c r="CB17" s="22">
        <v>73078</v>
      </c>
      <c r="CC17" s="22">
        <v>85302</v>
      </c>
      <c r="CD17" s="22">
        <v>25343</v>
      </c>
      <c r="CE17" s="22">
        <v>19030</v>
      </c>
      <c r="CF17" s="22">
        <v>19422</v>
      </c>
      <c r="CG17" s="22">
        <v>25927</v>
      </c>
      <c r="CH17" s="22">
        <f>CG17</f>
        <v>25927</v>
      </c>
      <c r="CI17">
        <v>29000</v>
      </c>
      <c r="CJ17" s="270">
        <v>21580</v>
      </c>
      <c r="CK17" s="270">
        <v>18052</v>
      </c>
      <c r="CL17" s="270">
        <v>30722</v>
      </c>
      <c r="CM17" s="270">
        <v>33641</v>
      </c>
      <c r="CN17" s="22"/>
      <c r="CO17" s="22"/>
      <c r="CP17" s="22"/>
      <c r="CQ17" s="22"/>
      <c r="CR17" s="22"/>
      <c r="CS17" s="22">
        <v>10634</v>
      </c>
      <c r="CT17" s="22"/>
      <c r="CU17" s="22"/>
      <c r="CV17" s="22">
        <v>0</v>
      </c>
      <c r="CX17" s="270"/>
      <c r="CY17" s="270"/>
      <c r="CZ17" s="270"/>
      <c r="DA17" s="270"/>
      <c r="DB17" s="22"/>
      <c r="DC17" s="22"/>
      <c r="DD17" s="22"/>
      <c r="DE17" s="22"/>
      <c r="DF17" s="22"/>
      <c r="DG17" s="22"/>
      <c r="DH17" s="22"/>
      <c r="DI17" s="22"/>
      <c r="DJ17" s="22">
        <v>0</v>
      </c>
    </row>
    <row r="18" spans="1:115">
      <c r="A18" s="19">
        <v>4</v>
      </c>
      <c r="B18" s="702" t="s">
        <v>37</v>
      </c>
      <c r="C18" s="264"/>
      <c r="D18" s="268">
        <v>34116</v>
      </c>
      <c r="E18" s="269">
        <v>29277</v>
      </c>
      <c r="F18" s="269">
        <v>43008</v>
      </c>
      <c r="G18" s="269">
        <v>30524</v>
      </c>
      <c r="H18" s="269">
        <v>33235</v>
      </c>
      <c r="I18" s="269">
        <v>39842</v>
      </c>
      <c r="J18" s="269">
        <v>41021</v>
      </c>
      <c r="K18" s="269">
        <v>31224</v>
      </c>
      <c r="L18" s="269"/>
      <c r="M18" s="269">
        <v>10286</v>
      </c>
      <c r="N18" s="269"/>
      <c r="O18" s="269"/>
      <c r="P18" s="266"/>
      <c r="Q18" s="21"/>
      <c r="R18" s="268">
        <v>35516</v>
      </c>
      <c r="S18" s="270">
        <v>35962</v>
      </c>
      <c r="T18" s="270">
        <v>35962</v>
      </c>
      <c r="U18" s="270">
        <v>35962</v>
      </c>
      <c r="V18" s="270">
        <v>35000</v>
      </c>
      <c r="W18" s="270"/>
      <c r="X18" s="270">
        <v>6123</v>
      </c>
      <c r="Y18" s="270">
        <v>6123</v>
      </c>
      <c r="Z18" s="270">
        <v>4187</v>
      </c>
      <c r="AA18" s="270">
        <v>2745</v>
      </c>
      <c r="AB18" s="270"/>
      <c r="AC18" s="270"/>
      <c r="AD18" s="267"/>
      <c r="AE18" s="23"/>
      <c r="AF18" s="270">
        <v>8366</v>
      </c>
      <c r="AG18" s="270">
        <v>11534</v>
      </c>
      <c r="AH18" s="270">
        <v>11507</v>
      </c>
      <c r="AI18" s="270">
        <v>9148</v>
      </c>
      <c r="AJ18" s="22">
        <v>8524</v>
      </c>
      <c r="AK18" s="270">
        <v>25290</v>
      </c>
      <c r="AL18" s="270">
        <v>91080</v>
      </c>
      <c r="AM18" s="270">
        <v>66830</v>
      </c>
      <c r="AN18" s="270">
        <v>36866</v>
      </c>
      <c r="AO18" s="270">
        <v>16173</v>
      </c>
      <c r="AP18" s="271">
        <v>178274</v>
      </c>
      <c r="AQ18" s="270">
        <v>210665</v>
      </c>
      <c r="AR18" s="22">
        <f t="shared" si="9"/>
        <v>210665</v>
      </c>
      <c r="AS18" s="23"/>
      <c r="AT18" s="270">
        <v>121075</v>
      </c>
      <c r="AU18" s="270">
        <v>149376</v>
      </c>
      <c r="AV18" s="270">
        <v>104538</v>
      </c>
      <c r="AW18" s="270">
        <v>105262</v>
      </c>
      <c r="AX18" s="270">
        <v>121073</v>
      </c>
      <c r="AY18" s="270">
        <v>163931</v>
      </c>
      <c r="AZ18" s="270">
        <v>109964</v>
      </c>
      <c r="BA18" s="270">
        <v>148266</v>
      </c>
      <c r="BB18" s="26">
        <v>130697</v>
      </c>
      <c r="BC18" s="270">
        <v>113779</v>
      </c>
      <c r="BD18" s="270">
        <v>91119</v>
      </c>
      <c r="BE18" s="270">
        <v>103286</v>
      </c>
      <c r="BF18" s="22">
        <f t="shared" si="11"/>
        <v>103286</v>
      </c>
      <c r="BG18" s="27"/>
      <c r="BH18" s="270">
        <v>49631</v>
      </c>
      <c r="BI18" s="270">
        <v>52953</v>
      </c>
      <c r="BJ18" s="270">
        <v>28440</v>
      </c>
      <c r="BK18" s="270">
        <v>83601</v>
      </c>
      <c r="BL18" s="22">
        <v>25812</v>
      </c>
      <c r="BM18" s="22">
        <v>59545</v>
      </c>
      <c r="BN18" s="22">
        <v>83435</v>
      </c>
      <c r="BO18" s="22">
        <v>34041</v>
      </c>
      <c r="BP18" s="22">
        <v>22399</v>
      </c>
      <c r="BQ18" s="22">
        <v>24887</v>
      </c>
      <c r="BR18" s="22">
        <v>12183</v>
      </c>
      <c r="BS18" s="22">
        <v>12183</v>
      </c>
      <c r="BT18" s="22">
        <f t="shared" si="27"/>
        <v>12183</v>
      </c>
      <c r="BU18" s="28"/>
      <c r="BV18" s="270"/>
      <c r="BW18" s="270"/>
      <c r="BX18" s="270"/>
      <c r="BY18" s="270"/>
      <c r="BZ18" s="22"/>
      <c r="CA18" s="22"/>
      <c r="CB18" s="22"/>
      <c r="CC18" s="22"/>
      <c r="CD18" s="22">
        <v>6361</v>
      </c>
      <c r="CE18" s="22">
        <v>7759</v>
      </c>
      <c r="CF18" s="22">
        <v>6573</v>
      </c>
      <c r="CG18" s="22">
        <v>9541</v>
      </c>
      <c r="CH18" s="22">
        <f t="shared" si="24"/>
        <v>9541</v>
      </c>
      <c r="CI18">
        <f>CI15+CI16-CI17</f>
        <v>122500</v>
      </c>
      <c r="CJ18" s="270">
        <v>9582</v>
      </c>
      <c r="CK18" s="270">
        <v>7266</v>
      </c>
      <c r="CL18" s="270">
        <v>11364</v>
      </c>
      <c r="CM18" s="270">
        <v>10698</v>
      </c>
      <c r="CN18" s="22"/>
      <c r="CO18" s="22"/>
      <c r="CP18" s="22"/>
      <c r="CQ18" s="22"/>
      <c r="CR18" s="22"/>
      <c r="CS18" s="22">
        <v>2650</v>
      </c>
      <c r="CT18" s="22"/>
      <c r="CU18" s="22"/>
      <c r="CV18" s="22">
        <v>0</v>
      </c>
      <c r="CX18" s="270"/>
      <c r="CY18" s="270"/>
      <c r="CZ18" s="270"/>
      <c r="DA18" s="270"/>
      <c r="DB18" s="22"/>
      <c r="DC18" s="22"/>
      <c r="DD18" s="22"/>
      <c r="DE18" s="22"/>
      <c r="DF18" s="22"/>
      <c r="DG18" s="22"/>
      <c r="DH18" s="22"/>
      <c r="DI18" s="22"/>
      <c r="DJ18" s="22">
        <v>0</v>
      </c>
    </row>
    <row r="19" spans="1:115">
      <c r="A19" s="19">
        <v>1</v>
      </c>
      <c r="B19" s="158" t="s">
        <v>38</v>
      </c>
      <c r="C19" s="159"/>
      <c r="D19" s="265">
        <v>6409</v>
      </c>
      <c r="E19" s="20">
        <v>6860</v>
      </c>
      <c r="F19" s="20">
        <v>4970</v>
      </c>
      <c r="G19" s="20">
        <v>31203</v>
      </c>
      <c r="H19" s="20">
        <v>31499</v>
      </c>
      <c r="I19" s="20">
        <v>25903</v>
      </c>
      <c r="J19" s="20">
        <v>18606</v>
      </c>
      <c r="K19" s="20">
        <v>16014</v>
      </c>
      <c r="L19" s="20">
        <v>13416</v>
      </c>
      <c r="M19" s="20">
        <v>40079</v>
      </c>
      <c r="N19" s="20"/>
      <c r="O19" s="20">
        <v>0</v>
      </c>
      <c r="P19" s="266"/>
      <c r="Q19" s="21"/>
      <c r="R19" s="265">
        <v>3376</v>
      </c>
      <c r="S19" s="22">
        <v>11736</v>
      </c>
      <c r="T19" s="22">
        <v>22454</v>
      </c>
      <c r="U19" s="22">
        <v>21384</v>
      </c>
      <c r="V19" s="22">
        <v>66870</v>
      </c>
      <c r="W19" s="22">
        <v>73769</v>
      </c>
      <c r="X19" s="22">
        <v>13944</v>
      </c>
      <c r="Y19" s="22">
        <v>32750</v>
      </c>
      <c r="Z19" s="22">
        <v>18536</v>
      </c>
      <c r="AA19" s="22">
        <v>40211</v>
      </c>
      <c r="AB19" s="22">
        <v>44457</v>
      </c>
      <c r="AC19" s="22">
        <v>24504</v>
      </c>
      <c r="AD19" s="267"/>
      <c r="AE19" s="23"/>
      <c r="AF19" s="22">
        <v>18586</v>
      </c>
      <c r="AG19" s="22">
        <v>17539</v>
      </c>
      <c r="AH19" s="22">
        <v>20245</v>
      </c>
      <c r="AI19" s="22">
        <v>17669</v>
      </c>
      <c r="AJ19" s="22">
        <v>16769</v>
      </c>
      <c r="AK19" s="22">
        <v>31134</v>
      </c>
      <c r="AL19" s="22">
        <v>35711</v>
      </c>
      <c r="AM19" s="22">
        <v>29141</v>
      </c>
      <c r="AN19" s="22">
        <v>25307</v>
      </c>
      <c r="AO19" s="22">
        <v>35964</v>
      </c>
      <c r="AP19" s="25">
        <v>37378</v>
      </c>
      <c r="AQ19" s="22">
        <v>22159</v>
      </c>
      <c r="AR19" s="22">
        <f t="shared" si="9"/>
        <v>22159</v>
      </c>
      <c r="AS19" s="23"/>
      <c r="AT19" s="22">
        <v>24034</v>
      </c>
      <c r="AU19" s="270">
        <v>22061</v>
      </c>
      <c r="AV19" s="22">
        <v>22489</v>
      </c>
      <c r="AW19" s="22">
        <v>25124</v>
      </c>
      <c r="AX19" s="22">
        <v>22794</v>
      </c>
      <c r="AY19" s="22">
        <v>17777</v>
      </c>
      <c r="AZ19" s="22">
        <v>34345</v>
      </c>
      <c r="BA19" s="22">
        <v>17580</v>
      </c>
      <c r="BB19" s="26">
        <v>26992</v>
      </c>
      <c r="BC19" s="22">
        <v>21373</v>
      </c>
      <c r="BD19" s="22">
        <v>21202</v>
      </c>
      <c r="BE19" s="22">
        <v>19109</v>
      </c>
      <c r="BF19" s="22">
        <f t="shared" si="11"/>
        <v>19109</v>
      </c>
      <c r="BG19" s="27"/>
      <c r="BH19" s="22">
        <v>22216</v>
      </c>
      <c r="BI19" s="270">
        <v>19102</v>
      </c>
      <c r="BJ19" s="22">
        <v>20676</v>
      </c>
      <c r="BK19" s="22">
        <v>19892</v>
      </c>
      <c r="BL19" s="22">
        <v>48737</v>
      </c>
      <c r="BM19" s="22">
        <v>45521</v>
      </c>
      <c r="BN19" s="22">
        <v>41781</v>
      </c>
      <c r="BO19" s="22">
        <v>48019</v>
      </c>
      <c r="BP19" s="22">
        <v>43955</v>
      </c>
      <c r="BQ19" s="22">
        <v>41505</v>
      </c>
      <c r="BR19" s="22">
        <v>28306</v>
      </c>
      <c r="BS19" s="22">
        <v>23731</v>
      </c>
      <c r="BT19" s="22">
        <f t="shared" si="27"/>
        <v>23731</v>
      </c>
      <c r="BU19" s="28"/>
      <c r="BV19" s="22">
        <v>28505</v>
      </c>
      <c r="BW19" s="270">
        <v>25054</v>
      </c>
      <c r="BX19" s="22">
        <v>24396</v>
      </c>
      <c r="BY19" s="22">
        <v>21708</v>
      </c>
      <c r="BZ19" s="22">
        <v>17857</v>
      </c>
      <c r="CA19" s="22">
        <v>33103</v>
      </c>
      <c r="CB19" s="22">
        <v>29327</v>
      </c>
      <c r="CC19" s="22">
        <v>27562</v>
      </c>
      <c r="CD19" s="22">
        <v>19590</v>
      </c>
      <c r="CE19" s="22">
        <v>11730</v>
      </c>
      <c r="CF19" s="22">
        <v>10529</v>
      </c>
      <c r="CG19" s="22">
        <v>19978</v>
      </c>
      <c r="CH19" s="22">
        <f t="shared" si="24"/>
        <v>19978</v>
      </c>
      <c r="CJ19" s="22">
        <v>18456</v>
      </c>
      <c r="CK19" s="270">
        <v>15409</v>
      </c>
      <c r="CL19" s="22">
        <v>18755</v>
      </c>
      <c r="CM19" s="22">
        <v>15399</v>
      </c>
      <c r="CN19" s="22"/>
      <c r="CO19" s="22"/>
      <c r="CP19" s="22"/>
      <c r="CQ19" s="22"/>
      <c r="CR19" s="22"/>
      <c r="CS19" s="22">
        <v>14419</v>
      </c>
      <c r="CT19" s="22"/>
      <c r="CU19" s="22"/>
      <c r="CV19" s="22">
        <v>0</v>
      </c>
      <c r="CX19" s="22"/>
      <c r="CY19" s="270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>
        <v>0</v>
      </c>
    </row>
    <row r="20" spans="1:115">
      <c r="A20" s="19">
        <v>0</v>
      </c>
      <c r="B20" s="158" t="s">
        <v>39</v>
      </c>
      <c r="C20" s="159"/>
      <c r="D20" s="265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66"/>
      <c r="Q20" s="21"/>
      <c r="R20" s="265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67"/>
      <c r="AE20" s="23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5"/>
      <c r="AQ20" s="22"/>
      <c r="AR20" s="22"/>
      <c r="AS20" s="23"/>
      <c r="AT20" s="22"/>
      <c r="AU20" s="270"/>
      <c r="AV20" s="22"/>
      <c r="AW20" s="22"/>
      <c r="AX20" s="22"/>
      <c r="AY20" s="22"/>
      <c r="AZ20" s="22"/>
      <c r="BA20" s="22"/>
      <c r="BB20" s="26"/>
      <c r="BC20" s="22"/>
      <c r="BD20" s="22"/>
      <c r="BE20" s="22"/>
      <c r="BF20" s="22"/>
      <c r="BG20" s="27"/>
      <c r="BH20" s="22"/>
      <c r="BI20" s="270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8"/>
      <c r="BV20" s="22"/>
      <c r="BW20" s="270"/>
      <c r="BX20" s="22"/>
      <c r="BY20" s="22"/>
      <c r="BZ20" s="22"/>
      <c r="CA20" s="22"/>
      <c r="CB20" s="22"/>
      <c r="CC20" s="22"/>
      <c r="CD20" s="22"/>
      <c r="CE20" s="22">
        <v>34501</v>
      </c>
      <c r="CF20" s="22">
        <v>18809</v>
      </c>
      <c r="CG20" s="22">
        <v>12618</v>
      </c>
      <c r="CH20" s="22"/>
      <c r="CJ20" s="22">
        <v>11940</v>
      </c>
      <c r="CK20" s="270">
        <v>19956</v>
      </c>
      <c r="CL20" s="22">
        <v>15650</v>
      </c>
      <c r="CM20" s="22">
        <v>12005</v>
      </c>
      <c r="CN20" s="22"/>
      <c r="CO20" s="22"/>
      <c r="CP20" s="22"/>
      <c r="CQ20" s="22"/>
      <c r="CR20" s="22"/>
      <c r="CS20" s="22">
        <v>6064</v>
      </c>
      <c r="CT20" s="22"/>
      <c r="CU20" s="22"/>
      <c r="CV20" s="22"/>
      <c r="CX20" s="22"/>
      <c r="CY20" s="270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</row>
    <row r="21" spans="1:115">
      <c r="A21" s="19">
        <v>0</v>
      </c>
      <c r="B21" s="158" t="s">
        <v>40</v>
      </c>
      <c r="C21" s="159"/>
      <c r="D21" s="265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66"/>
      <c r="Q21" s="21"/>
      <c r="R21" s="265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67"/>
      <c r="AE21" s="23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5"/>
      <c r="AQ21" s="22"/>
      <c r="AR21" s="22"/>
      <c r="AS21" s="23"/>
      <c r="AT21" s="22"/>
      <c r="AU21" s="270"/>
      <c r="AV21" s="22"/>
      <c r="AW21" s="22"/>
      <c r="AX21" s="22"/>
      <c r="AY21" s="22"/>
      <c r="AZ21" s="22"/>
      <c r="BA21" s="22"/>
      <c r="BB21" s="26"/>
      <c r="BC21" s="22"/>
      <c r="BD21" s="22"/>
      <c r="BE21" s="22"/>
      <c r="BF21" s="22"/>
      <c r="BG21" s="27"/>
      <c r="BH21" s="22"/>
      <c r="BI21" s="270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8"/>
      <c r="BV21" s="22"/>
      <c r="BW21" s="270"/>
      <c r="BX21" s="22"/>
      <c r="BY21" s="22"/>
      <c r="BZ21" s="22"/>
      <c r="CA21" s="22"/>
      <c r="CB21" s="22"/>
      <c r="CC21" s="22"/>
      <c r="CD21" s="22"/>
      <c r="CE21" s="22">
        <v>12837</v>
      </c>
      <c r="CF21" s="22">
        <v>11839</v>
      </c>
      <c r="CG21" s="22">
        <v>20519</v>
      </c>
      <c r="CH21" s="22"/>
      <c r="CJ21" s="22">
        <v>17816</v>
      </c>
      <c r="CK21" s="270">
        <v>17432</v>
      </c>
      <c r="CL21" s="22">
        <v>21670</v>
      </c>
      <c r="CM21" s="22">
        <v>19092</v>
      </c>
      <c r="CN21" s="22"/>
      <c r="CO21" s="22"/>
      <c r="CP21" s="22"/>
      <c r="CQ21" s="22"/>
      <c r="CR21" s="22"/>
      <c r="CS21" s="22">
        <v>20858</v>
      </c>
      <c r="CT21" s="22"/>
      <c r="CU21" s="22"/>
      <c r="CV21" s="22"/>
      <c r="CX21" s="22"/>
      <c r="CY21" s="270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</row>
    <row r="22" spans="1:115">
      <c r="A22" s="29"/>
      <c r="B22" s="272" t="s">
        <v>41</v>
      </c>
      <c r="C22" s="273"/>
      <c r="D22" s="274">
        <f t="shared" ref="D22:O22" si="28">D10-D17</f>
        <v>270670</v>
      </c>
      <c r="E22" s="30">
        <f t="shared" si="28"/>
        <v>282709</v>
      </c>
      <c r="F22" s="30">
        <f t="shared" si="28"/>
        <v>285223</v>
      </c>
      <c r="G22" s="30">
        <f t="shared" si="28"/>
        <v>287349</v>
      </c>
      <c r="H22" s="30">
        <f t="shared" si="28"/>
        <v>313961</v>
      </c>
      <c r="I22" s="30">
        <f t="shared" si="28"/>
        <v>362411</v>
      </c>
      <c r="J22" s="30">
        <f t="shared" si="28"/>
        <v>413467</v>
      </c>
      <c r="K22" s="30">
        <f t="shared" si="28"/>
        <v>415958</v>
      </c>
      <c r="L22" s="30">
        <f t="shared" si="28"/>
        <v>416931</v>
      </c>
      <c r="M22" s="30">
        <f t="shared" si="28"/>
        <v>294116</v>
      </c>
      <c r="N22" s="30">
        <f t="shared" si="28"/>
        <v>0</v>
      </c>
      <c r="O22" s="30">
        <f t="shared" si="28"/>
        <v>188264</v>
      </c>
      <c r="P22" s="275"/>
      <c r="Q22" s="31"/>
      <c r="R22" s="274">
        <f t="shared" ref="R22:AB22" si="29">R10-R17</f>
        <v>247843</v>
      </c>
      <c r="S22" s="32">
        <f t="shared" si="29"/>
        <v>306756</v>
      </c>
      <c r="T22" s="32">
        <f t="shared" si="29"/>
        <v>277250</v>
      </c>
      <c r="U22" s="32">
        <f t="shared" si="29"/>
        <v>262131</v>
      </c>
      <c r="V22" s="32">
        <f t="shared" si="29"/>
        <v>171617</v>
      </c>
      <c r="W22" s="32">
        <f t="shared" si="29"/>
        <v>235875</v>
      </c>
      <c r="X22" s="32">
        <f t="shared" si="29"/>
        <v>354012</v>
      </c>
      <c r="Y22" s="32">
        <f t="shared" si="29"/>
        <v>355542</v>
      </c>
      <c r="Z22" s="32">
        <f t="shared" si="29"/>
        <v>349213</v>
      </c>
      <c r="AA22" s="32">
        <f t="shared" si="29"/>
        <v>269352</v>
      </c>
      <c r="AB22" s="32">
        <f t="shared" si="29"/>
        <v>170626</v>
      </c>
      <c r="AC22" s="32"/>
      <c r="AD22" s="276"/>
      <c r="AE22" s="17"/>
      <c r="AF22" s="32">
        <f t="shared" ref="AF22:AQ22" si="30">AF10-AF17</f>
        <v>246973</v>
      </c>
      <c r="AG22" s="32">
        <f t="shared" si="30"/>
        <v>281087</v>
      </c>
      <c r="AH22" s="32">
        <f t="shared" si="30"/>
        <v>386469</v>
      </c>
      <c r="AI22" s="32">
        <f t="shared" si="30"/>
        <v>379017</v>
      </c>
      <c r="AJ22" s="32">
        <f t="shared" si="30"/>
        <v>400777</v>
      </c>
      <c r="AK22" s="32">
        <f t="shared" si="30"/>
        <v>465623</v>
      </c>
      <c r="AL22" s="32">
        <f t="shared" si="30"/>
        <v>472149</v>
      </c>
      <c r="AM22" s="32">
        <f t="shared" si="30"/>
        <v>492339</v>
      </c>
      <c r="AN22" s="32">
        <f t="shared" si="30"/>
        <v>450428</v>
      </c>
      <c r="AO22" s="32">
        <f t="shared" si="30"/>
        <v>391441</v>
      </c>
      <c r="AP22" s="32">
        <f t="shared" si="30"/>
        <v>325482</v>
      </c>
      <c r="AQ22" s="32">
        <f t="shared" si="30"/>
        <v>321014</v>
      </c>
      <c r="AR22" s="32">
        <f t="shared" si="9"/>
        <v>321014</v>
      </c>
      <c r="AS22" s="17"/>
      <c r="AT22" s="32">
        <f t="shared" ref="AT22:BE22" si="31">AT10-AT17</f>
        <v>350303</v>
      </c>
      <c r="AU22" s="32">
        <f t="shared" si="31"/>
        <v>323931</v>
      </c>
      <c r="AV22" s="32">
        <f t="shared" si="31"/>
        <v>307980</v>
      </c>
      <c r="AW22" s="32">
        <f t="shared" si="31"/>
        <v>292777</v>
      </c>
      <c r="AX22" s="32">
        <f t="shared" si="31"/>
        <v>296754</v>
      </c>
      <c r="AY22" s="32">
        <f t="shared" si="31"/>
        <v>344037</v>
      </c>
      <c r="AZ22" s="32">
        <f t="shared" si="31"/>
        <v>367566</v>
      </c>
      <c r="BA22" s="32">
        <f t="shared" si="31"/>
        <v>372442</v>
      </c>
      <c r="BB22" s="32">
        <f t="shared" si="31"/>
        <v>375154</v>
      </c>
      <c r="BC22" s="32">
        <f t="shared" si="31"/>
        <v>340466</v>
      </c>
      <c r="BD22" s="32">
        <f t="shared" si="31"/>
        <v>314581</v>
      </c>
      <c r="BE22" s="32">
        <f t="shared" si="31"/>
        <v>253219</v>
      </c>
      <c r="BF22" s="32">
        <f t="shared" si="11"/>
        <v>253219</v>
      </c>
      <c r="BG22" s="17"/>
      <c r="BH22" s="32">
        <f t="shared" ref="BH22:BQ22" si="32">BH10-BH17</f>
        <v>307512</v>
      </c>
      <c r="BI22" s="32">
        <f t="shared" si="32"/>
        <v>302058</v>
      </c>
      <c r="BJ22" s="32">
        <f t="shared" si="32"/>
        <v>315841</v>
      </c>
      <c r="BK22" s="32">
        <f t="shared" si="32"/>
        <v>306027</v>
      </c>
      <c r="BL22" s="32">
        <f t="shared" si="32"/>
        <v>299077</v>
      </c>
      <c r="BM22" s="32">
        <f t="shared" si="32"/>
        <v>293121</v>
      </c>
      <c r="BN22" s="32">
        <f t="shared" si="32"/>
        <v>335286</v>
      </c>
      <c r="BO22" s="32">
        <f t="shared" si="32"/>
        <v>322561</v>
      </c>
      <c r="BP22" s="32">
        <f t="shared" si="32"/>
        <v>304307</v>
      </c>
      <c r="BQ22" s="32">
        <f t="shared" si="32"/>
        <v>280100</v>
      </c>
      <c r="BR22" s="32">
        <f>BR10-BR17</f>
        <v>215852</v>
      </c>
      <c r="BS22" s="32">
        <f>BS10-BS17</f>
        <v>188982</v>
      </c>
      <c r="BT22" s="32">
        <f>BS22</f>
        <v>188982</v>
      </c>
      <c r="BU22" s="28"/>
      <c r="BV22" s="32">
        <f t="shared" ref="BV22:CC22" si="33">BV15-BV17-BV18</f>
        <v>146255</v>
      </c>
      <c r="BW22" s="32">
        <f t="shared" si="33"/>
        <v>155653</v>
      </c>
      <c r="BX22" s="32">
        <f t="shared" si="33"/>
        <v>86338</v>
      </c>
      <c r="BY22" s="32">
        <f t="shared" si="33"/>
        <v>106862</v>
      </c>
      <c r="BZ22" s="32">
        <f t="shared" si="33"/>
        <v>112822</v>
      </c>
      <c r="CA22" s="32">
        <f t="shared" si="33"/>
        <v>149996</v>
      </c>
      <c r="CB22" s="32">
        <f t="shared" si="33"/>
        <v>145027</v>
      </c>
      <c r="CC22" s="32">
        <f t="shared" si="33"/>
        <v>102851</v>
      </c>
      <c r="CD22" s="32">
        <f>CD15-CD17-CD18</f>
        <v>116047</v>
      </c>
      <c r="CE22" s="32">
        <f>CE15-CE17-CE18</f>
        <v>86207</v>
      </c>
      <c r="CF22" s="32">
        <f>CF15-CF17-CF18</f>
        <v>109973</v>
      </c>
      <c r="CG22" s="32">
        <f>CG15-CG17-CG18</f>
        <v>94532</v>
      </c>
      <c r="CH22" s="32">
        <f t="shared" ref="CH22" si="34">CH15-CH17-CH18</f>
        <v>94532</v>
      </c>
      <c r="CJ22" s="32">
        <f t="shared" ref="CJ22:CU22" si="35">CJ15-CJ17-CJ18</f>
        <v>78423</v>
      </c>
      <c r="CK22" s="32">
        <f t="shared" si="35"/>
        <v>78497</v>
      </c>
      <c r="CL22" s="32">
        <f t="shared" si="35"/>
        <v>75052</v>
      </c>
      <c r="CM22" s="32">
        <f t="shared" si="35"/>
        <v>121130</v>
      </c>
      <c r="CN22" s="32">
        <f t="shared" si="35"/>
        <v>175907.8879612374</v>
      </c>
      <c r="CO22" s="32">
        <f t="shared" si="35"/>
        <v>238961.73306000742</v>
      </c>
      <c r="CP22" s="32">
        <f t="shared" si="35"/>
        <v>271844.22259587242</v>
      </c>
      <c r="CQ22" s="32">
        <f t="shared" si="35"/>
        <v>249838.52867182181</v>
      </c>
      <c r="CR22" s="32">
        <f t="shared" si="35"/>
        <v>201980.33782793995</v>
      </c>
      <c r="CS22" s="32">
        <f t="shared" si="35"/>
        <v>110850</v>
      </c>
      <c r="CT22" s="32">
        <f t="shared" si="35"/>
        <v>164077.14995780593</v>
      </c>
      <c r="CU22" s="32">
        <f t="shared" si="35"/>
        <v>148808.23717299581</v>
      </c>
      <c r="CV22" s="32">
        <v>116080.10690622788</v>
      </c>
      <c r="CX22" s="32">
        <v>242497</v>
      </c>
      <c r="CY22" s="32">
        <v>234422.08006563294</v>
      </c>
      <c r="CZ22" s="32">
        <v>194348.7132915963</v>
      </c>
      <c r="DA22" s="32">
        <v>223062.99421980139</v>
      </c>
      <c r="DB22" s="32">
        <v>228884.86858944659</v>
      </c>
      <c r="DC22" s="32">
        <v>240669.78918926936</v>
      </c>
      <c r="DD22" s="32">
        <v>234679.65868928705</v>
      </c>
      <c r="DE22" s="32">
        <v>197008.01236523816</v>
      </c>
      <c r="DF22" s="32">
        <v>148007.96159444697</v>
      </c>
      <c r="DG22" s="32">
        <v>111276.29521213027</v>
      </c>
      <c r="DH22" s="32">
        <v>93072.105643725808</v>
      </c>
      <c r="DI22" s="32">
        <v>116080.10690622788</v>
      </c>
      <c r="DJ22" s="32">
        <v>116080.10690622788</v>
      </c>
    </row>
    <row r="23" spans="1:115">
      <c r="A23" s="13" t="s">
        <v>42</v>
      </c>
      <c r="B23" s="259"/>
      <c r="C23" s="260" t="s">
        <v>43</v>
      </c>
      <c r="D23" s="277">
        <f>D15-D17</f>
        <v>162884</v>
      </c>
      <c r="E23" s="33">
        <f t="shared" ref="E23:O23" si="36">E15+E19-E17-E60</f>
        <v>200610</v>
      </c>
      <c r="F23" s="33">
        <f t="shared" si="36"/>
        <v>192475</v>
      </c>
      <c r="G23" s="33">
        <f t="shared" si="36"/>
        <v>231853</v>
      </c>
      <c r="H23" s="33">
        <f t="shared" si="36"/>
        <v>253292</v>
      </c>
      <c r="I23" s="33">
        <f t="shared" si="36"/>
        <v>305688</v>
      </c>
      <c r="J23" s="33">
        <f t="shared" si="36"/>
        <v>355297</v>
      </c>
      <c r="K23" s="33">
        <f t="shared" si="36"/>
        <v>367201</v>
      </c>
      <c r="L23" s="33">
        <f t="shared" si="36"/>
        <v>407523</v>
      </c>
      <c r="M23" s="33">
        <f t="shared" si="36"/>
        <v>297747</v>
      </c>
      <c r="N23" s="33">
        <f t="shared" si="36"/>
        <v>0</v>
      </c>
      <c r="O23" s="33">
        <f t="shared" si="36"/>
        <v>143875</v>
      </c>
      <c r="P23" s="262">
        <f>J23</f>
        <v>355297</v>
      </c>
      <c r="Q23" s="15"/>
      <c r="R23" s="277">
        <f>R15-R17</f>
        <v>172568</v>
      </c>
      <c r="S23" s="14">
        <f t="shared" ref="S23:AC23" si="37">S15+S19-S17-S60</f>
        <v>244205</v>
      </c>
      <c r="T23" s="14">
        <f t="shared" si="37"/>
        <v>237108</v>
      </c>
      <c r="U23" s="14">
        <f t="shared" si="37"/>
        <v>222510</v>
      </c>
      <c r="V23" s="14">
        <f t="shared" si="37"/>
        <v>179647</v>
      </c>
      <c r="W23" s="14">
        <f t="shared" si="37"/>
        <v>289587</v>
      </c>
      <c r="X23" s="14">
        <f t="shared" si="37"/>
        <v>281331</v>
      </c>
      <c r="Y23" s="14">
        <f t="shared" si="37"/>
        <v>325686</v>
      </c>
      <c r="Z23" s="14">
        <f t="shared" si="37"/>
        <v>319329</v>
      </c>
      <c r="AA23" s="14">
        <f t="shared" si="37"/>
        <v>268663</v>
      </c>
      <c r="AB23" s="14">
        <f t="shared" si="37"/>
        <v>187543</v>
      </c>
      <c r="AC23" s="14">
        <f t="shared" si="37"/>
        <v>196995</v>
      </c>
      <c r="AD23" s="263">
        <f>X23</f>
        <v>281331</v>
      </c>
      <c r="AE23" s="16"/>
      <c r="AF23" s="14">
        <f t="shared" ref="AF23:AQ23" si="38">AF15+AF17+AF16</f>
        <v>228387</v>
      </c>
      <c r="AG23" s="14">
        <f t="shared" si="38"/>
        <v>263548</v>
      </c>
      <c r="AH23" s="14">
        <f t="shared" si="38"/>
        <v>366224</v>
      </c>
      <c r="AI23" s="14">
        <f t="shared" si="38"/>
        <v>361348</v>
      </c>
      <c r="AJ23" s="14">
        <f t="shared" si="38"/>
        <v>384008</v>
      </c>
      <c r="AK23" s="14">
        <f t="shared" si="38"/>
        <v>434489</v>
      </c>
      <c r="AL23" s="14">
        <f t="shared" si="38"/>
        <v>436438</v>
      </c>
      <c r="AM23" s="14">
        <f t="shared" si="38"/>
        <v>463198</v>
      </c>
      <c r="AN23" s="14">
        <f t="shared" si="38"/>
        <v>425121</v>
      </c>
      <c r="AO23" s="14">
        <f t="shared" si="38"/>
        <v>355477</v>
      </c>
      <c r="AP23" s="14">
        <f t="shared" si="38"/>
        <v>288104</v>
      </c>
      <c r="AQ23" s="14">
        <f t="shared" si="38"/>
        <v>298855</v>
      </c>
      <c r="AR23" s="14">
        <f t="shared" si="9"/>
        <v>298855</v>
      </c>
      <c r="AS23" s="17"/>
      <c r="AT23" s="14">
        <f t="shared" ref="AT23:BE23" si="39">AT15+AT17+AT16</f>
        <v>326269</v>
      </c>
      <c r="AU23" s="14">
        <f t="shared" si="39"/>
        <v>301870</v>
      </c>
      <c r="AV23" s="14">
        <f t="shared" si="39"/>
        <v>285491</v>
      </c>
      <c r="AW23" s="14">
        <f t="shared" si="39"/>
        <v>267653</v>
      </c>
      <c r="AX23" s="14">
        <f t="shared" si="39"/>
        <v>273960</v>
      </c>
      <c r="AY23" s="14">
        <f t="shared" si="39"/>
        <v>326260</v>
      </c>
      <c r="AZ23" s="14">
        <f t="shared" si="39"/>
        <v>333221</v>
      </c>
      <c r="BA23" s="14">
        <f t="shared" si="39"/>
        <v>354862</v>
      </c>
      <c r="BB23" s="14">
        <f t="shared" si="39"/>
        <v>348162</v>
      </c>
      <c r="BC23" s="14">
        <f t="shared" si="39"/>
        <v>319093</v>
      </c>
      <c r="BD23" s="14">
        <f t="shared" si="39"/>
        <v>293379</v>
      </c>
      <c r="BE23" s="14">
        <f t="shared" si="39"/>
        <v>234110</v>
      </c>
      <c r="BF23" s="32">
        <f t="shared" ref="BF23:BF24" si="40">SUM(AT23:BE23)</f>
        <v>3664330</v>
      </c>
      <c r="BG23" s="17"/>
      <c r="BH23" s="14">
        <f t="shared" ref="BH23:BS23" si="41">BH15+BH17+BH16</f>
        <v>285296</v>
      </c>
      <c r="BI23" s="14">
        <f t="shared" si="41"/>
        <v>282956</v>
      </c>
      <c r="BJ23" s="14">
        <f t="shared" si="41"/>
        <v>295165</v>
      </c>
      <c r="BK23" s="14">
        <f t="shared" si="41"/>
        <v>286135</v>
      </c>
      <c r="BL23" s="14">
        <f t="shared" si="41"/>
        <v>250340</v>
      </c>
      <c r="BM23" s="14">
        <f t="shared" si="41"/>
        <v>247600</v>
      </c>
      <c r="BN23" s="14">
        <f t="shared" si="41"/>
        <v>293505</v>
      </c>
      <c r="BO23" s="14">
        <f t="shared" si="41"/>
        <v>274542</v>
      </c>
      <c r="BP23" s="14">
        <f t="shared" si="41"/>
        <v>260352</v>
      </c>
      <c r="BQ23" s="14">
        <f>BQ15+BQ17+BQ16</f>
        <v>238595</v>
      </c>
      <c r="BR23" s="14">
        <f t="shared" si="41"/>
        <v>187546</v>
      </c>
      <c r="BS23" s="14">
        <f t="shared" si="41"/>
        <v>189617</v>
      </c>
      <c r="BT23" s="14">
        <f t="shared" si="27"/>
        <v>189617</v>
      </c>
      <c r="BU23" s="18"/>
      <c r="BV23" s="14">
        <f>BV15+BV17+BV16</f>
        <v>171889</v>
      </c>
      <c r="BW23" s="14">
        <f>BW15+BW19+BW16</f>
        <v>193178</v>
      </c>
      <c r="BX23" s="14">
        <f>BX15+BX17+BX16</f>
        <v>228367</v>
      </c>
      <c r="BY23" s="14">
        <f>BY15+BY17+BY16</f>
        <v>261297</v>
      </c>
      <c r="BZ23" s="14">
        <f>BZ15+BZ17+BZ16</f>
        <v>277757</v>
      </c>
      <c r="CA23" s="14">
        <f>CA15+CA17+CA16</f>
        <v>329719</v>
      </c>
      <c r="CB23" s="14">
        <f>CB15+CB17+CB16</f>
        <v>316656</v>
      </c>
      <c r="CC23" s="14">
        <f>CC15+CC17+CC16</f>
        <v>290388</v>
      </c>
      <c r="CD23" s="14">
        <f>CD15+CD17+CD16</f>
        <v>185778</v>
      </c>
      <c r="CE23" s="14">
        <f>CE15+CE17+CE16</f>
        <v>153110</v>
      </c>
      <c r="CF23" s="14">
        <f>CF15+CF17+CF16</f>
        <v>170562</v>
      </c>
      <c r="CG23" s="14">
        <f>CG15+CG17+CG16</f>
        <v>167396</v>
      </c>
      <c r="CH23" s="14">
        <f t="shared" si="24"/>
        <v>167396</v>
      </c>
      <c r="CJ23" s="14">
        <v>224424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X23" s="14">
        <v>224424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</row>
    <row r="24" spans="1:115">
      <c r="A24" s="34" t="s">
        <v>44</v>
      </c>
      <c r="B24" s="278"/>
      <c r="C24" s="445" t="s">
        <v>45</v>
      </c>
      <c r="D24" s="277">
        <f t="shared" ref="D24:O24" si="42">D10-D19-D17</f>
        <v>264261</v>
      </c>
      <c r="E24" s="33">
        <f t="shared" si="42"/>
        <v>275849</v>
      </c>
      <c r="F24" s="33">
        <f t="shared" si="42"/>
        <v>280253</v>
      </c>
      <c r="G24" s="33">
        <f t="shared" si="42"/>
        <v>256146</v>
      </c>
      <c r="H24" s="33">
        <f t="shared" si="42"/>
        <v>282462</v>
      </c>
      <c r="I24" s="33">
        <f t="shared" si="42"/>
        <v>336508</v>
      </c>
      <c r="J24" s="33">
        <f t="shared" si="42"/>
        <v>394861</v>
      </c>
      <c r="K24" s="33">
        <f t="shared" si="42"/>
        <v>399944</v>
      </c>
      <c r="L24" s="33">
        <f t="shared" si="42"/>
        <v>403515</v>
      </c>
      <c r="M24" s="33">
        <f t="shared" si="42"/>
        <v>254037</v>
      </c>
      <c r="N24" s="33">
        <f t="shared" si="42"/>
        <v>0</v>
      </c>
      <c r="O24" s="33">
        <f t="shared" si="42"/>
        <v>188264</v>
      </c>
      <c r="P24" s="262">
        <f t="shared" ref="P24:P25" si="43">O24</f>
        <v>188264</v>
      </c>
      <c r="Q24" s="15"/>
      <c r="R24" s="277">
        <f t="shared" ref="R24:AC24" si="44">R10-R19-R17</f>
        <v>244467</v>
      </c>
      <c r="S24" s="14">
        <f t="shared" si="44"/>
        <v>295020</v>
      </c>
      <c r="T24" s="14">
        <f t="shared" si="44"/>
        <v>254796</v>
      </c>
      <c r="U24" s="14">
        <f t="shared" si="44"/>
        <v>240747</v>
      </c>
      <c r="V24" s="14">
        <f t="shared" si="44"/>
        <v>104747</v>
      </c>
      <c r="W24" s="14">
        <f t="shared" si="44"/>
        <v>162106</v>
      </c>
      <c r="X24" s="14">
        <f t="shared" si="44"/>
        <v>340068</v>
      </c>
      <c r="Y24" s="14">
        <f t="shared" si="44"/>
        <v>322792</v>
      </c>
      <c r="Z24" s="14">
        <f t="shared" si="44"/>
        <v>330677</v>
      </c>
      <c r="AA24" s="14">
        <f t="shared" si="44"/>
        <v>229141</v>
      </c>
      <c r="AB24" s="14">
        <f t="shared" si="44"/>
        <v>126169</v>
      </c>
      <c r="AC24" s="14">
        <f t="shared" si="44"/>
        <v>173047</v>
      </c>
      <c r="AD24" s="263">
        <f t="shared" ref="AD24:AD25" si="45">AC24</f>
        <v>173047</v>
      </c>
      <c r="AE24" s="16"/>
      <c r="AF24" s="261">
        <f t="shared" ref="AF24:AQ24" si="46">AF23-AF17</f>
        <v>220021</v>
      </c>
      <c r="AG24" s="261">
        <f t="shared" si="46"/>
        <v>252014</v>
      </c>
      <c r="AH24" s="261">
        <f t="shared" si="46"/>
        <v>354717</v>
      </c>
      <c r="AI24" s="261">
        <f t="shared" si="46"/>
        <v>352200</v>
      </c>
      <c r="AJ24" s="261">
        <f t="shared" si="46"/>
        <v>375484</v>
      </c>
      <c r="AK24" s="261">
        <f t="shared" si="46"/>
        <v>409199</v>
      </c>
      <c r="AL24" s="261">
        <f t="shared" si="46"/>
        <v>345358</v>
      </c>
      <c r="AM24" s="261">
        <f t="shared" si="46"/>
        <v>396368</v>
      </c>
      <c r="AN24" s="261">
        <f t="shared" si="46"/>
        <v>388255</v>
      </c>
      <c r="AO24" s="261">
        <f t="shared" si="46"/>
        <v>339304</v>
      </c>
      <c r="AP24" s="261">
        <f t="shared" si="46"/>
        <v>109830</v>
      </c>
      <c r="AQ24" s="261">
        <f t="shared" si="46"/>
        <v>88190</v>
      </c>
      <c r="AR24" s="14">
        <f t="shared" si="9"/>
        <v>88190</v>
      </c>
      <c r="AS24" s="17"/>
      <c r="AT24" s="261">
        <f t="shared" ref="AT24:BE24" si="47">AT23-AT17</f>
        <v>205194</v>
      </c>
      <c r="AU24" s="261">
        <f t="shared" si="47"/>
        <v>152494</v>
      </c>
      <c r="AV24" s="261">
        <f t="shared" si="47"/>
        <v>180953</v>
      </c>
      <c r="AW24" s="261">
        <f t="shared" si="47"/>
        <v>162391</v>
      </c>
      <c r="AX24" s="261">
        <f t="shared" si="47"/>
        <v>152887</v>
      </c>
      <c r="AY24" s="261">
        <f t="shared" si="47"/>
        <v>162329</v>
      </c>
      <c r="AZ24" s="261">
        <f t="shared" si="47"/>
        <v>223257</v>
      </c>
      <c r="BA24" s="261">
        <f t="shared" si="47"/>
        <v>206596</v>
      </c>
      <c r="BB24" s="261">
        <f t="shared" si="47"/>
        <v>217465</v>
      </c>
      <c r="BC24" s="261">
        <f t="shared" si="47"/>
        <v>205314</v>
      </c>
      <c r="BD24" s="261">
        <f t="shared" si="47"/>
        <v>202260</v>
      </c>
      <c r="BE24" s="261">
        <f t="shared" si="47"/>
        <v>130824</v>
      </c>
      <c r="BF24" s="32">
        <f t="shared" si="40"/>
        <v>2201964</v>
      </c>
      <c r="BG24" s="35">
        <f>SUM(AT27:AY27)/SUM(AF61:AK61)-1</f>
        <v>0.2283258050797119</v>
      </c>
      <c r="BH24" s="416">
        <f t="shared" ref="BH24:BS24" si="48">BH23-BH17</f>
        <v>235665</v>
      </c>
      <c r="BI24" s="416">
        <f t="shared" si="48"/>
        <v>230003</v>
      </c>
      <c r="BJ24" s="416">
        <f t="shared" si="48"/>
        <v>266725</v>
      </c>
      <c r="BK24" s="416">
        <f t="shared" si="48"/>
        <v>202534</v>
      </c>
      <c r="BL24" s="417">
        <f t="shared" si="48"/>
        <v>224528</v>
      </c>
      <c r="BM24" s="417">
        <f t="shared" si="48"/>
        <v>188055</v>
      </c>
      <c r="BN24" s="417">
        <f t="shared" si="48"/>
        <v>210070</v>
      </c>
      <c r="BO24" s="417">
        <f t="shared" si="48"/>
        <v>240501</v>
      </c>
      <c r="BP24" s="417">
        <f t="shared" si="48"/>
        <v>237953</v>
      </c>
      <c r="BQ24" s="417">
        <f t="shared" si="48"/>
        <v>213708</v>
      </c>
      <c r="BR24" s="417">
        <f t="shared" si="48"/>
        <v>175363</v>
      </c>
      <c r="BS24" s="417">
        <f t="shared" si="48"/>
        <v>177434</v>
      </c>
      <c r="BT24" s="417">
        <f t="shared" si="27"/>
        <v>177434</v>
      </c>
      <c r="BU24" s="18"/>
      <c r="BV24" s="261">
        <f>BV23-BV17</f>
        <v>166673</v>
      </c>
      <c r="BW24" s="261">
        <f>BW23-BW17</f>
        <v>193178</v>
      </c>
      <c r="BX24" s="261">
        <f>BX23-BX17</f>
        <v>163094</v>
      </c>
      <c r="BY24" s="416">
        <f>BY23-BY17</f>
        <v>191115</v>
      </c>
      <c r="BZ24" s="417">
        <f>BZ23-BZ17</f>
        <v>220098</v>
      </c>
      <c r="CA24" s="417">
        <f>CA23-CA17</f>
        <v>258050</v>
      </c>
      <c r="CB24" s="417">
        <f>CB23-CB17</f>
        <v>243578</v>
      </c>
      <c r="CC24" s="417">
        <f>CC23-CC17</f>
        <v>205086</v>
      </c>
      <c r="CD24" s="417">
        <f>CD23-CD17</f>
        <v>160435</v>
      </c>
      <c r="CE24" s="417">
        <f>CE23-CE17</f>
        <v>134080</v>
      </c>
      <c r="CF24" s="417">
        <f>CF23-CF17</f>
        <v>151140</v>
      </c>
      <c r="CG24" s="417">
        <f>CG23-CG17</f>
        <v>141469</v>
      </c>
      <c r="CH24" s="417">
        <f t="shared" si="24"/>
        <v>141469</v>
      </c>
      <c r="CJ24" s="261">
        <v>219208</v>
      </c>
      <c r="CK24" s="261">
        <v>0</v>
      </c>
      <c r="CL24" s="261">
        <v>0</v>
      </c>
      <c r="CM24" s="416">
        <v>0</v>
      </c>
      <c r="CN24" s="417">
        <v>0</v>
      </c>
      <c r="CO24" s="417">
        <v>0</v>
      </c>
      <c r="CP24" s="417">
        <v>0</v>
      </c>
      <c r="CQ24" s="417">
        <v>0</v>
      </c>
      <c r="CR24" s="417">
        <v>0</v>
      </c>
      <c r="CS24" s="417">
        <v>0</v>
      </c>
      <c r="CT24" s="417">
        <v>0</v>
      </c>
      <c r="CU24" s="417">
        <v>0</v>
      </c>
      <c r="CV24" s="417">
        <v>0</v>
      </c>
      <c r="CX24" s="261">
        <v>219208</v>
      </c>
      <c r="CY24" s="261">
        <v>0</v>
      </c>
      <c r="CZ24" s="261">
        <v>0</v>
      </c>
      <c r="DA24" s="416">
        <v>0</v>
      </c>
      <c r="DB24" s="417">
        <v>0</v>
      </c>
      <c r="DC24" s="417">
        <v>0</v>
      </c>
      <c r="DD24" s="417">
        <v>0</v>
      </c>
      <c r="DE24" s="417">
        <v>0</v>
      </c>
      <c r="DF24" s="417">
        <v>0</v>
      </c>
      <c r="DG24" s="417">
        <v>0</v>
      </c>
      <c r="DH24" s="417">
        <v>0</v>
      </c>
      <c r="DI24" s="417">
        <v>0</v>
      </c>
      <c r="DJ24" s="417">
        <v>0</v>
      </c>
    </row>
    <row r="25" spans="1:115" s="748" customFormat="1" ht="15.75">
      <c r="A25" s="739" t="s">
        <v>120</v>
      </c>
      <c r="B25" s="736"/>
      <c r="C25" s="737" t="s">
        <v>47</v>
      </c>
      <c r="D25" s="738">
        <f t="shared" ref="D25:O25" si="49">D10</f>
        <v>304786</v>
      </c>
      <c r="E25" s="740">
        <f t="shared" si="49"/>
        <v>311986</v>
      </c>
      <c r="F25" s="740">
        <f t="shared" si="49"/>
        <v>328231</v>
      </c>
      <c r="G25" s="740">
        <f t="shared" si="49"/>
        <v>317873</v>
      </c>
      <c r="H25" s="740">
        <f t="shared" si="49"/>
        <v>347196</v>
      </c>
      <c r="I25" s="740">
        <f t="shared" si="49"/>
        <v>402253</v>
      </c>
      <c r="J25" s="740">
        <f t="shared" si="49"/>
        <v>454488</v>
      </c>
      <c r="K25" s="740">
        <f t="shared" si="49"/>
        <v>447182</v>
      </c>
      <c r="L25" s="740">
        <f t="shared" si="49"/>
        <v>416931</v>
      </c>
      <c r="M25" s="740">
        <f t="shared" si="49"/>
        <v>304402</v>
      </c>
      <c r="N25" s="740">
        <f t="shared" si="49"/>
        <v>0</v>
      </c>
      <c r="O25" s="740">
        <f t="shared" si="49"/>
        <v>188264</v>
      </c>
      <c r="P25" s="741">
        <f t="shared" si="43"/>
        <v>188264</v>
      </c>
      <c r="Q25" s="742"/>
      <c r="R25" s="743">
        <f t="shared" ref="R25:AC25" si="50">R10</f>
        <v>283359</v>
      </c>
      <c r="S25" s="744">
        <f t="shared" si="50"/>
        <v>342718</v>
      </c>
      <c r="T25" s="744">
        <f t="shared" si="50"/>
        <v>313212</v>
      </c>
      <c r="U25" s="744">
        <f t="shared" si="50"/>
        <v>298093</v>
      </c>
      <c r="V25" s="744">
        <f t="shared" si="50"/>
        <v>206617</v>
      </c>
      <c r="W25" s="744">
        <f t="shared" si="50"/>
        <v>235875</v>
      </c>
      <c r="X25" s="744">
        <f t="shared" si="50"/>
        <v>360135</v>
      </c>
      <c r="Y25" s="744">
        <f t="shared" si="50"/>
        <v>361665</v>
      </c>
      <c r="Z25" s="744">
        <f t="shared" si="50"/>
        <v>353400</v>
      </c>
      <c r="AA25" s="744">
        <f t="shared" si="50"/>
        <v>272097</v>
      </c>
      <c r="AB25" s="744">
        <f t="shared" si="50"/>
        <v>170626</v>
      </c>
      <c r="AC25" s="744">
        <f t="shared" si="50"/>
        <v>197551</v>
      </c>
      <c r="AD25" s="745">
        <f t="shared" si="45"/>
        <v>197551</v>
      </c>
      <c r="AE25" s="746"/>
      <c r="AF25" s="744">
        <f>AF10-AF60</f>
        <v>255339</v>
      </c>
      <c r="AG25" s="744">
        <f t="shared" ref="AG25:AQ25" si="51">AG10-AG60</f>
        <v>292621</v>
      </c>
      <c r="AH25" s="744">
        <f t="shared" si="51"/>
        <v>397976</v>
      </c>
      <c r="AI25" s="744">
        <f t="shared" si="51"/>
        <v>388165</v>
      </c>
      <c r="AJ25" s="744">
        <f t="shared" si="51"/>
        <v>409301</v>
      </c>
      <c r="AK25" s="744">
        <f t="shared" si="51"/>
        <v>490913</v>
      </c>
      <c r="AL25" s="744">
        <f t="shared" si="51"/>
        <v>563229</v>
      </c>
      <c r="AM25" s="744">
        <f t="shared" si="51"/>
        <v>559169</v>
      </c>
      <c r="AN25" s="744">
        <f t="shared" si="51"/>
        <v>487294</v>
      </c>
      <c r="AO25" s="744">
        <f t="shared" si="51"/>
        <v>407614</v>
      </c>
      <c r="AP25" s="744">
        <f t="shared" si="51"/>
        <v>503756</v>
      </c>
      <c r="AQ25" s="744">
        <f t="shared" si="51"/>
        <v>522741</v>
      </c>
      <c r="AR25" s="744">
        <f t="shared" si="9"/>
        <v>522741</v>
      </c>
      <c r="AS25" s="746"/>
      <c r="AT25" s="744">
        <f t="shared" ref="AT25:BB25" si="52">AT10-AT60</f>
        <v>364736</v>
      </c>
      <c r="AU25" s="744">
        <f t="shared" si="52"/>
        <v>382608</v>
      </c>
      <c r="AV25" s="744">
        <f t="shared" si="52"/>
        <v>322837</v>
      </c>
      <c r="AW25" s="744">
        <f t="shared" si="52"/>
        <v>339249</v>
      </c>
      <c r="AX25" s="744">
        <f t="shared" si="52"/>
        <v>382307</v>
      </c>
      <c r="AY25" s="744">
        <f t="shared" si="52"/>
        <v>446417</v>
      </c>
      <c r="AZ25" s="744">
        <f t="shared" si="52"/>
        <v>406019</v>
      </c>
      <c r="BA25" s="744">
        <f t="shared" si="52"/>
        <v>457091</v>
      </c>
      <c r="BB25" s="744">
        <f t="shared" si="52"/>
        <v>439103</v>
      </c>
      <c r="BC25" s="744">
        <f>BB25-BC27+BC71-BC60</f>
        <v>267702.70924434217</v>
      </c>
      <c r="BD25" s="744">
        <f>BC25-BD27+BD71-BD60</f>
        <v>224792.12236286921</v>
      </c>
      <c r="BE25" s="744">
        <f>BD25-BE27+BE71-BE60</f>
        <v>209302.50939777523</v>
      </c>
      <c r="BF25" s="744">
        <f>BE25</f>
        <v>209302.50939777523</v>
      </c>
      <c r="BG25" s="747">
        <f>BG27/AR27</f>
        <v>7.0333736034655189E-2</v>
      </c>
      <c r="BH25" s="744">
        <f t="shared" ref="BH25:BS25" si="53">BH10-BH60</f>
        <v>287739</v>
      </c>
      <c r="BI25" s="744">
        <f t="shared" si="53"/>
        <v>274599</v>
      </c>
      <c r="BJ25" s="744">
        <f t="shared" si="53"/>
        <v>249895</v>
      </c>
      <c r="BK25" s="744">
        <f t="shared" si="53"/>
        <v>311315</v>
      </c>
      <c r="BL25" s="744">
        <f t="shared" si="53"/>
        <v>277855</v>
      </c>
      <c r="BM25" s="744">
        <f t="shared" si="53"/>
        <v>301815</v>
      </c>
      <c r="BN25" s="744">
        <f t="shared" si="53"/>
        <v>325519</v>
      </c>
      <c r="BO25" s="744">
        <f t="shared" si="53"/>
        <v>255915</v>
      </c>
      <c r="BP25" s="744">
        <f t="shared" si="53"/>
        <v>198711</v>
      </c>
      <c r="BQ25" s="744">
        <f t="shared" si="53"/>
        <v>182301</v>
      </c>
      <c r="BR25" s="744">
        <f t="shared" si="53"/>
        <v>228035</v>
      </c>
      <c r="BS25" s="744">
        <f t="shared" si="53"/>
        <v>201165</v>
      </c>
      <c r="BT25" s="744">
        <f t="shared" si="27"/>
        <v>201165</v>
      </c>
      <c r="BU25" s="746"/>
      <c r="BV25" s="744">
        <f>BV10-BV60</f>
        <v>247713</v>
      </c>
      <c r="BW25" s="744">
        <f>BW10-BW60</f>
        <v>278707</v>
      </c>
      <c r="BX25" s="744">
        <f>BX10-BX60</f>
        <v>281829</v>
      </c>
      <c r="BY25" s="744">
        <f>BY10-BY60</f>
        <v>317753</v>
      </c>
      <c r="BZ25" s="744">
        <f>BZ10-BZ60</f>
        <v>270339</v>
      </c>
      <c r="CA25" s="744">
        <f>CA10-CA60</f>
        <v>310383</v>
      </c>
      <c r="CB25" s="744">
        <f>CB10-CB60</f>
        <v>328365</v>
      </c>
      <c r="CC25" s="744">
        <f>CC10-CC60</f>
        <v>333476</v>
      </c>
      <c r="CD25" s="744">
        <f>CD10-CD60</f>
        <v>306264</v>
      </c>
      <c r="CE25" s="744">
        <f>CE10-CE60</f>
        <v>270370</v>
      </c>
      <c r="CF25" s="744">
        <f>CF10-CF60</f>
        <v>194014</v>
      </c>
      <c r="CG25" s="744">
        <f>CG10-CG60</f>
        <v>182266</v>
      </c>
      <c r="CH25" s="744">
        <f t="shared" si="24"/>
        <v>182266</v>
      </c>
      <c r="CJ25" s="744">
        <f t="shared" ref="CJ25:CL25" si="54">CJ21+CJ20+CJ11</f>
        <v>234793</v>
      </c>
      <c r="CK25" s="744">
        <f t="shared" si="54"/>
        <v>267818</v>
      </c>
      <c r="CL25" s="744">
        <f t="shared" si="54"/>
        <v>271663</v>
      </c>
      <c r="CM25" s="744">
        <f>CM21+CM20+CM11</f>
        <v>297485</v>
      </c>
      <c r="CN25" s="744">
        <f>CM25-CN27+CN71</f>
        <v>307923.8879612374</v>
      </c>
      <c r="CO25" s="744">
        <f>CN25-CO27+CO71</f>
        <v>370977.73306000745</v>
      </c>
      <c r="CP25" s="744">
        <f>CO25-CP27+CP71</f>
        <v>403860.22259587242</v>
      </c>
      <c r="CQ25" s="744">
        <f>CP25-CQ27+CQ71</f>
        <v>381854.52867182181</v>
      </c>
      <c r="CR25" s="744">
        <f>CQ25-CR27+CR71</f>
        <v>333996.33782793995</v>
      </c>
      <c r="CS25" s="744">
        <f>CR25-CS27+CS71</f>
        <v>289282.38677308767</v>
      </c>
      <c r="CT25" s="744">
        <f>CS25-CT27+CT71</f>
        <v>320518.78567604127</v>
      </c>
      <c r="CU25" s="744">
        <f>CT25-CU27+CU71</f>
        <v>300684.30327097798</v>
      </c>
      <c r="CV25" s="744">
        <v>116080.10690622788</v>
      </c>
      <c r="CW25" s="749">
        <f>CV27-459000</f>
        <v>1747146.215595962</v>
      </c>
      <c r="CX25" s="744">
        <f>CU25-CX27+CX71</f>
        <v>192374.39327097795</v>
      </c>
      <c r="CY25" s="744">
        <f>CX25-CY27+CY71</f>
        <v>82138.643270977947</v>
      </c>
      <c r="CZ25" s="744">
        <f t="shared" ref="CZ25:DI25" si="55">CY25-CZ27+CZ71</f>
        <v>36937.403270977928</v>
      </c>
      <c r="DA25" s="744">
        <f t="shared" si="55"/>
        <v>9098.0732709778822</v>
      </c>
      <c r="DB25" s="744">
        <f t="shared" si="55"/>
        <v>19527.823270977853</v>
      </c>
      <c r="DC25" s="744">
        <f t="shared" si="55"/>
        <v>83339.54327097784</v>
      </c>
      <c r="DD25" s="744">
        <f t="shared" si="55"/>
        <v>83075.263270977783</v>
      </c>
      <c r="DE25" s="744">
        <f t="shared" si="55"/>
        <v>51759.303270977747</v>
      </c>
      <c r="DF25" s="744">
        <f t="shared" si="55"/>
        <v>-49274.836729022267</v>
      </c>
      <c r="DG25" s="744">
        <f t="shared" si="55"/>
        <v>-135060.89706657501</v>
      </c>
      <c r="DH25" s="744">
        <f t="shared" si="55"/>
        <v>-149946.68381762988</v>
      </c>
      <c r="DI25" s="744">
        <f t="shared" si="55"/>
        <v>-119878.21938725014</v>
      </c>
      <c r="DJ25" s="744">
        <v>116080.10690622788</v>
      </c>
    </row>
    <row r="26" spans="1:115">
      <c r="A26" s="46"/>
      <c r="B26" s="47" t="s">
        <v>48</v>
      </c>
      <c r="C26" s="446"/>
      <c r="D26" s="283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284"/>
      <c r="Q26" s="49"/>
      <c r="R26" s="283"/>
      <c r="S26" s="50"/>
      <c r="T26" s="50"/>
      <c r="U26" s="50"/>
      <c r="V26" s="51"/>
      <c r="W26" s="51"/>
      <c r="X26" s="51"/>
      <c r="Y26" s="51"/>
      <c r="Z26" s="51"/>
      <c r="AA26" s="51"/>
      <c r="AB26" s="51"/>
      <c r="AC26" s="50"/>
      <c r="AD26" s="285"/>
      <c r="AE26" s="23"/>
      <c r="AF26" s="286">
        <f t="shared" ref="AF26:AP26" si="56">AF10/AG27</f>
        <v>1.4346741432881778</v>
      </c>
      <c r="AG26" s="286">
        <f t="shared" si="56"/>
        <v>3.9745327610561771</v>
      </c>
      <c r="AH26" s="286">
        <f t="shared" si="56"/>
        <v>4.4537254638644557</v>
      </c>
      <c r="AI26" s="286">
        <f t="shared" si="56"/>
        <v>3.1781895295331357</v>
      </c>
      <c r="AJ26" s="286">
        <f t="shared" si="56"/>
        <v>2.7551225094238019</v>
      </c>
      <c r="AK26" s="286">
        <f t="shared" si="56"/>
        <v>3.2297970327971317</v>
      </c>
      <c r="AL26" s="286">
        <f t="shared" si="56"/>
        <v>2.3575635299682296</v>
      </c>
      <c r="AM26" s="286">
        <f t="shared" si="56"/>
        <v>2.1413160582078121</v>
      </c>
      <c r="AN26" s="286">
        <f t="shared" si="56"/>
        <v>1.9042360296991012</v>
      </c>
      <c r="AO26" s="286">
        <f t="shared" si="56"/>
        <v>3.1686411691542289</v>
      </c>
      <c r="AP26" s="286">
        <f t="shared" si="56"/>
        <v>5.1487735077677845</v>
      </c>
      <c r="AQ26" s="286">
        <f>AQ10/AT27</f>
        <v>3.4807306746186968</v>
      </c>
      <c r="AR26" s="287">
        <f>AQ26</f>
        <v>3.4807306746186968</v>
      </c>
      <c r="AS26" s="23"/>
      <c r="AT26" s="286">
        <f>AT10/AU27</f>
        <v>2.7971286279646934</v>
      </c>
      <c r="AU26" s="286">
        <f>AU10/AV27</f>
        <v>3.0710063937614676</v>
      </c>
      <c r="AV26" s="286">
        <f>AV10/AW27</f>
        <v>2.5847779910329129</v>
      </c>
      <c r="AW26" s="286">
        <f>AW10/AX27</f>
        <v>3.3142307600651066</v>
      </c>
      <c r="AX26" s="286">
        <f>AX10/AY27</f>
        <v>3.0202081128011216</v>
      </c>
      <c r="AY26" s="286">
        <f t="shared" ref="AY26:BD26" si="57">AY10/(AZ57+AZ56)</f>
        <v>3.0375411110446691</v>
      </c>
      <c r="AZ26" s="286">
        <f t="shared" si="57"/>
        <v>1.7862994390436959</v>
      </c>
      <c r="BA26" s="286">
        <f t="shared" si="57"/>
        <v>2.3917338115287117</v>
      </c>
      <c r="BB26" s="286">
        <f t="shared" si="57"/>
        <v>2.0297186803388318</v>
      </c>
      <c r="BC26" s="286">
        <f t="shared" si="57"/>
        <v>2.9418601583113455</v>
      </c>
      <c r="BD26" s="286">
        <f t="shared" si="57"/>
        <v>5.3595753009100697</v>
      </c>
      <c r="BE26" s="286">
        <f>BE10/BH27</f>
        <v>2.3338657833234047</v>
      </c>
      <c r="BF26" s="52"/>
      <c r="BG26" s="27"/>
      <c r="BH26" s="418">
        <f t="shared" ref="BH26:BN26" si="58">BH10/BI27</f>
        <v>2.4324841588586663</v>
      </c>
      <c r="BI26" s="418">
        <f t="shared" si="58"/>
        <v>2.0694790126570033</v>
      </c>
      <c r="BJ26" s="418">
        <f t="shared" si="58"/>
        <v>2.1548303749075362</v>
      </c>
      <c r="BK26" s="418">
        <f t="shared" si="58"/>
        <v>2.940658548141605</v>
      </c>
      <c r="BL26" s="418">
        <f t="shared" si="58"/>
        <v>2.5009495450993295</v>
      </c>
      <c r="BM26" s="418">
        <f t="shared" si="58"/>
        <v>2.0577586855214944</v>
      </c>
      <c r="BN26" s="418">
        <f t="shared" si="58"/>
        <v>2.3320530115558045</v>
      </c>
      <c r="BO26" s="419"/>
      <c r="BP26" s="419"/>
      <c r="BQ26" s="419"/>
      <c r="BR26" s="419"/>
      <c r="BS26" s="419"/>
      <c r="BT26" s="419"/>
      <c r="BU26" s="54"/>
      <c r="BV26" s="286">
        <v>0</v>
      </c>
      <c r="BW26" s="286">
        <v>0</v>
      </c>
      <c r="BX26" s="286">
        <v>0</v>
      </c>
      <c r="BY26" s="418">
        <v>0</v>
      </c>
      <c r="BZ26" s="418">
        <v>0</v>
      </c>
      <c r="CA26" s="418">
        <v>0</v>
      </c>
      <c r="CB26" s="418">
        <v>0</v>
      </c>
      <c r="CC26" s="418">
        <v>0</v>
      </c>
      <c r="CD26" s="418">
        <v>0</v>
      </c>
      <c r="CE26" s="418">
        <v>0</v>
      </c>
      <c r="CF26" s="418">
        <v>0</v>
      </c>
      <c r="CG26" s="419"/>
      <c r="CH26" s="419"/>
      <c r="CJ26" s="286">
        <v>0</v>
      </c>
      <c r="CK26" s="286">
        <v>0</v>
      </c>
      <c r="CL26" s="286">
        <v>0</v>
      </c>
      <c r="CM26" s="418">
        <v>0</v>
      </c>
      <c r="CN26" s="418">
        <v>0</v>
      </c>
      <c r="CO26" s="418">
        <v>0</v>
      </c>
      <c r="CP26" s="418">
        <v>0</v>
      </c>
      <c r="CQ26" s="418">
        <v>0</v>
      </c>
      <c r="CR26" s="418">
        <v>0</v>
      </c>
      <c r="CS26" s="418">
        <v>0</v>
      </c>
      <c r="CT26" s="418">
        <v>0</v>
      </c>
      <c r="CU26" s="419"/>
      <c r="CV26" s="419"/>
      <c r="CX26" s="286">
        <v>0</v>
      </c>
      <c r="CY26" s="286">
        <v>0</v>
      </c>
      <c r="CZ26" s="286">
        <v>0</v>
      </c>
      <c r="DA26" s="418">
        <v>0</v>
      </c>
      <c r="DB26" s="418">
        <v>0</v>
      </c>
      <c r="DC26" s="418">
        <v>0</v>
      </c>
      <c r="DD26" s="418">
        <v>0</v>
      </c>
      <c r="DE26" s="418">
        <v>0</v>
      </c>
      <c r="DF26" s="418">
        <v>0</v>
      </c>
      <c r="DG26" s="418">
        <v>0</v>
      </c>
      <c r="DH26" s="418">
        <v>0</v>
      </c>
      <c r="DI26" s="419"/>
      <c r="DJ26" s="419"/>
    </row>
    <row r="27" spans="1:115" ht="18.75">
      <c r="A27" s="55">
        <v>6</v>
      </c>
      <c r="B27" s="56" t="s">
        <v>49</v>
      </c>
      <c r="C27" s="280"/>
      <c r="D27" s="288">
        <f t="shared" ref="D27:P27" si="59">SUM(D31:D54)</f>
        <v>82250</v>
      </c>
      <c r="E27" s="57">
        <f t="shared" si="59"/>
        <v>117000</v>
      </c>
      <c r="F27" s="57">
        <f t="shared" si="59"/>
        <v>121750</v>
      </c>
      <c r="G27" s="57">
        <f t="shared" si="59"/>
        <v>150000</v>
      </c>
      <c r="H27" s="57">
        <f t="shared" si="59"/>
        <v>99500</v>
      </c>
      <c r="I27" s="57">
        <f t="shared" si="59"/>
        <v>102000</v>
      </c>
      <c r="J27" s="57">
        <f t="shared" si="59"/>
        <v>177632</v>
      </c>
      <c r="K27" s="57">
        <f t="shared" si="59"/>
        <v>178158</v>
      </c>
      <c r="L27" s="57">
        <f t="shared" si="59"/>
        <v>199211</v>
      </c>
      <c r="M27" s="57">
        <f t="shared" si="59"/>
        <v>229474</v>
      </c>
      <c r="N27" s="57">
        <f t="shared" si="59"/>
        <v>122368</v>
      </c>
      <c r="O27" s="57">
        <f t="shared" si="59"/>
        <v>38421</v>
      </c>
      <c r="P27" s="289">
        <f t="shared" si="59"/>
        <v>1617764</v>
      </c>
      <c r="Q27" s="39"/>
      <c r="R27" s="288">
        <f t="shared" ref="R27:AC27" si="60">R31+R55</f>
        <v>136177.33998294926</v>
      </c>
      <c r="S27" s="58">
        <f t="shared" si="60"/>
        <v>143840.32639116928</v>
      </c>
      <c r="T27" s="58">
        <f t="shared" si="60"/>
        <v>142553.77192982455</v>
      </c>
      <c r="U27" s="58">
        <f t="shared" si="60"/>
        <v>19814.899999999998</v>
      </c>
      <c r="V27" s="58">
        <f t="shared" si="60"/>
        <v>52085</v>
      </c>
      <c r="W27" s="290">
        <f t="shared" si="60"/>
        <v>70169.381950239796</v>
      </c>
      <c r="X27" s="290">
        <f t="shared" si="60"/>
        <v>144463.33333333299</v>
      </c>
      <c r="Y27" s="290">
        <f t="shared" si="60"/>
        <v>226547.08333333331</v>
      </c>
      <c r="Z27" s="290">
        <f t="shared" si="60"/>
        <v>273187.5</v>
      </c>
      <c r="AA27" s="290">
        <f t="shared" si="60"/>
        <v>172100</v>
      </c>
      <c r="AB27" s="290">
        <f t="shared" si="60"/>
        <v>37500</v>
      </c>
      <c r="AC27" s="290">
        <f t="shared" si="60"/>
        <v>0</v>
      </c>
      <c r="AD27" s="291">
        <f>SUM(R27:AC27)</f>
        <v>1418438.6369208493</v>
      </c>
      <c r="AE27" s="59"/>
      <c r="AF27" s="292">
        <f>AF31+AF55</f>
        <v>128646</v>
      </c>
      <c r="AG27" s="58">
        <f t="shared" ref="AG27:AQ27" si="61">AG31+AG55</f>
        <v>177977</v>
      </c>
      <c r="AH27" s="58">
        <f t="shared" si="61"/>
        <v>73624</v>
      </c>
      <c r="AI27" s="58">
        <f t="shared" si="61"/>
        <v>89358</v>
      </c>
      <c r="AJ27" s="58">
        <f t="shared" si="61"/>
        <v>122134</v>
      </c>
      <c r="AK27" s="58">
        <f t="shared" si="61"/>
        <v>148560</v>
      </c>
      <c r="AL27" s="58">
        <f t="shared" si="61"/>
        <v>151995</v>
      </c>
      <c r="AM27" s="58">
        <f t="shared" si="61"/>
        <v>238903</v>
      </c>
      <c r="AN27" s="58">
        <f t="shared" si="61"/>
        <v>261133.33333333334</v>
      </c>
      <c r="AO27" s="58">
        <f t="shared" si="61"/>
        <v>255900</v>
      </c>
      <c r="AP27" s="58">
        <f t="shared" si="61"/>
        <v>128640</v>
      </c>
      <c r="AQ27" s="58">
        <f t="shared" si="61"/>
        <v>97840</v>
      </c>
      <c r="AR27" s="58">
        <f>SUM(AF27:AQ27)</f>
        <v>1874710.3333333333</v>
      </c>
      <c r="AS27" s="59"/>
      <c r="AT27" s="58">
        <f t="shared" ref="AT27:BD27" si="62">AT31+AT55</f>
        <v>152749.25</v>
      </c>
      <c r="AU27" s="58">
        <f t="shared" si="62"/>
        <v>168522.10344827586</v>
      </c>
      <c r="AV27" s="58">
        <f t="shared" si="62"/>
        <v>154121.13793103449</v>
      </c>
      <c r="AW27" s="58">
        <f t="shared" si="62"/>
        <v>159595.13793103449</v>
      </c>
      <c r="AX27" s="58">
        <f t="shared" si="62"/>
        <v>120099.96551724138</v>
      </c>
      <c r="AY27" s="58">
        <f t="shared" si="62"/>
        <v>138343.77777777778</v>
      </c>
      <c r="AZ27" s="58">
        <f t="shared" si="62"/>
        <v>166673.77777777778</v>
      </c>
      <c r="BA27" s="58">
        <f t="shared" si="62"/>
        <v>242442.29629629629</v>
      </c>
      <c r="BB27" s="58">
        <f t="shared" si="62"/>
        <v>243407.77777777778</v>
      </c>
      <c r="BC27" s="58">
        <f t="shared" si="62"/>
        <v>253368.29075565783</v>
      </c>
      <c r="BD27" s="58">
        <f t="shared" si="62"/>
        <v>134555.58688147296</v>
      </c>
      <c r="BE27" s="58">
        <f>BE31+BE56</f>
        <v>72686.612965093984</v>
      </c>
      <c r="BF27" s="58">
        <f t="shared" ref="BF27:BF29" si="63">SUM(AT27:BE27)</f>
        <v>2006565.7150594404</v>
      </c>
      <c r="BG27" s="59">
        <f>BF27-AR27</f>
        <v>131855.38172610709</v>
      </c>
      <c r="BH27" s="58">
        <f>BH28+BH55</f>
        <v>152753</v>
      </c>
      <c r="BI27" s="58">
        <f t="shared" ref="BI27:BN27" si="64">BI28+BI55</f>
        <v>146822.33333333331</v>
      </c>
      <c r="BJ27" s="58">
        <f t="shared" si="64"/>
        <v>171546.07407407407</v>
      </c>
      <c r="BK27" s="58">
        <f t="shared" si="64"/>
        <v>159771.74074074073</v>
      </c>
      <c r="BL27" s="58">
        <f t="shared" si="64"/>
        <v>132496.85185185185</v>
      </c>
      <c r="BM27" s="58">
        <f t="shared" si="64"/>
        <v>129906.25925925926</v>
      </c>
      <c r="BN27" s="58">
        <f t="shared" si="64"/>
        <v>171383.55555555556</v>
      </c>
      <c r="BO27" s="58">
        <f>BO28+BO56</f>
        <v>179550.37811111109</v>
      </c>
      <c r="BP27" s="58">
        <f>BP28+BP56</f>
        <v>202053.74953703705</v>
      </c>
      <c r="BQ27" s="58">
        <f>BQ28+BQ56</f>
        <v>163865</v>
      </c>
      <c r="BR27" s="58">
        <f>BR28+BR56</f>
        <v>175620.6</v>
      </c>
      <c r="BS27" s="58">
        <v>92285.6</v>
      </c>
      <c r="BT27" s="58">
        <f t="shared" ref="BT27:BT29" si="65">SUM(BH27:BS27)</f>
        <v>1878055.142462963</v>
      </c>
      <c r="BU27" s="60"/>
      <c r="BV27" s="58">
        <f>BV31+(BV56)*$CI$27</f>
        <v>161157.867486095</v>
      </c>
      <c r="BW27" s="58">
        <f t="shared" ref="BW27:CG27" si="66">BW31+(BW56)*$CI$27</f>
        <v>155966.83045180296</v>
      </c>
      <c r="BX27" s="58">
        <f>BX31+(BX56)*$CI$27</f>
        <v>196111.53846153844</v>
      </c>
      <c r="BY27" s="58">
        <f t="shared" si="66"/>
        <v>159169.23076923078</v>
      </c>
      <c r="BZ27" s="58">
        <f>BZ31+(BZ56)*$CI$27</f>
        <v>151482.39341785663</v>
      </c>
      <c r="CA27" s="58">
        <f t="shared" si="66"/>
        <v>141442.12910096842</v>
      </c>
      <c r="CB27" s="58">
        <f>CB31+(CB56)*$CI$27</f>
        <v>176986.21444761599</v>
      </c>
      <c r="CC27" s="58">
        <f t="shared" si="66"/>
        <v>201301.08944885107</v>
      </c>
      <c r="CD27" s="58">
        <f t="shared" si="66"/>
        <v>212833.04013559342</v>
      </c>
      <c r="CE27" s="58">
        <f t="shared" si="66"/>
        <v>215922.30386211892</v>
      </c>
      <c r="CF27" s="58">
        <f>CF31+(CF56)*$CI$27</f>
        <v>171115.84223630186</v>
      </c>
      <c r="CG27" s="58">
        <f t="shared" si="66"/>
        <v>87483.816691710366</v>
      </c>
      <c r="CH27" s="58">
        <f t="shared" ref="CH27:CH28" si="67">SUM(BV27:CG27)</f>
        <v>2030972.2965096838</v>
      </c>
      <c r="CI27" s="594">
        <v>0.95</v>
      </c>
      <c r="CJ27" s="705">
        <f>CJ31+CJ65</f>
        <v>157916.36697726426</v>
      </c>
      <c r="CK27" s="705">
        <f t="shared" ref="CK27:CU27" si="68">CK31+CK65</f>
        <v>174843.65981364145</v>
      </c>
      <c r="CL27" s="705">
        <f t="shared" si="68"/>
        <v>166692.33329854641</v>
      </c>
      <c r="CM27" s="705">
        <f t="shared" si="68"/>
        <v>165624.1587774879</v>
      </c>
      <c r="CN27" s="705">
        <f>CN31+CN65</f>
        <v>167851.1120387626</v>
      </c>
      <c r="CO27" s="705">
        <f>CO31+CO65</f>
        <v>134946.15490122998</v>
      </c>
      <c r="CP27" s="705">
        <f t="shared" si="68"/>
        <v>212117.51046413503</v>
      </c>
      <c r="CQ27" s="705">
        <f t="shared" si="68"/>
        <v>229905.6939240506</v>
      </c>
      <c r="CR27" s="705">
        <f t="shared" si="68"/>
        <v>265658.19084388186</v>
      </c>
      <c r="CS27" s="705">
        <f t="shared" si="68"/>
        <v>250292.95105485231</v>
      </c>
      <c r="CT27" s="705">
        <f>CT31+CT65</f>
        <v>173363.6010970464</v>
      </c>
      <c r="CU27" s="705">
        <f t="shared" si="68"/>
        <v>106934.48240506329</v>
      </c>
      <c r="CV27" s="705">
        <f>SUM(CJ27:CU27)</f>
        <v>2206146.215595962</v>
      </c>
      <c r="CW27" s="594"/>
      <c r="CX27" s="58">
        <f>CX31+CX65</f>
        <v>214489.91000000003</v>
      </c>
      <c r="CY27" s="58">
        <f>CY31+CY65</f>
        <v>235936.75</v>
      </c>
      <c r="CZ27" s="58">
        <f t="shared" ref="CZ27:DI27" si="69">CZ31+CZ65</f>
        <v>177381.24000000002</v>
      </c>
      <c r="DA27" s="58">
        <f t="shared" si="69"/>
        <v>177359.33000000005</v>
      </c>
      <c r="DB27" s="58">
        <f t="shared" si="69"/>
        <v>174950.25000000003</v>
      </c>
      <c r="DC27" s="58">
        <f t="shared" si="69"/>
        <v>130837.28000000001</v>
      </c>
      <c r="DD27" s="58">
        <f t="shared" si="69"/>
        <v>213451.28000000006</v>
      </c>
      <c r="DE27" s="58">
        <f t="shared" si="69"/>
        <v>225964.96000000002</v>
      </c>
      <c r="DF27" s="58">
        <f t="shared" si="69"/>
        <v>295683.14</v>
      </c>
      <c r="DG27" s="58">
        <f t="shared" si="69"/>
        <v>280435.06033755274</v>
      </c>
      <c r="DH27" s="58">
        <f t="shared" si="69"/>
        <v>190996.78675105487</v>
      </c>
      <c r="DI27" s="58">
        <f t="shared" si="69"/>
        <v>118235.53556962026</v>
      </c>
      <c r="DJ27" s="58">
        <f>SUM(CX27:DI27)</f>
        <v>2435721.5226582279</v>
      </c>
      <c r="DK27" s="598">
        <f>DJ27-CV27</f>
        <v>229575.30706226593</v>
      </c>
    </row>
    <row r="28" spans="1:115">
      <c r="A28" s="61"/>
      <c r="B28" s="62" t="s">
        <v>51</v>
      </c>
      <c r="C28" s="293"/>
      <c r="D28" s="294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295"/>
      <c r="Q28" s="64"/>
      <c r="R28" s="294"/>
      <c r="S28" s="65"/>
      <c r="T28" s="65"/>
      <c r="U28" s="65"/>
      <c r="V28" s="296"/>
      <c r="W28" s="297"/>
      <c r="X28" s="297"/>
      <c r="Y28" s="297"/>
      <c r="Z28" s="297"/>
      <c r="AA28" s="297"/>
      <c r="AB28" s="297"/>
      <c r="AC28" s="66"/>
      <c r="AD28" s="67"/>
      <c r="AE28" s="68"/>
      <c r="AF28" s="298"/>
      <c r="AG28" s="65"/>
      <c r="AH28" s="65"/>
      <c r="AI28" s="65"/>
      <c r="AJ28" s="296"/>
      <c r="AK28" s="296"/>
      <c r="AL28" s="296"/>
      <c r="AM28" s="296"/>
      <c r="AN28" s="65"/>
      <c r="AO28" s="65"/>
      <c r="AP28" s="65"/>
      <c r="AQ28" s="65"/>
      <c r="AR28" s="299"/>
      <c r="AS28" s="68"/>
      <c r="AT28" s="65"/>
      <c r="AU28" s="65"/>
      <c r="AV28" s="65"/>
      <c r="AW28" s="65"/>
      <c r="AX28" s="65"/>
      <c r="AY28" s="69">
        <f t="shared" ref="AY28:BA28" si="70">AY31+AY56</f>
        <v>119777.77777777778</v>
      </c>
      <c r="AZ28" s="69">
        <f t="shared" si="70"/>
        <v>150777.77777777778</v>
      </c>
      <c r="BA28" s="69">
        <f t="shared" si="70"/>
        <v>233098.4962962963</v>
      </c>
      <c r="BB28" s="69">
        <f>BB29/BB30</f>
        <v>210777.77777777778</v>
      </c>
      <c r="BC28" s="69">
        <f>BC31+BC56</f>
        <v>249806.29075565783</v>
      </c>
      <c r="BD28" s="69">
        <f t="shared" ref="BD28:BE28" si="71">BD31+BD56*0.85</f>
        <v>122960.58688147296</v>
      </c>
      <c r="BE28" s="69">
        <f t="shared" si="71"/>
        <v>66386.612965093984</v>
      </c>
      <c r="BF28" s="69">
        <f t="shared" si="63"/>
        <v>1153585.3202318544</v>
      </c>
      <c r="BG28" s="68"/>
      <c r="BH28" s="69">
        <f>BH29/BH30-0.1*BH29/BH30</f>
        <v>116600</v>
      </c>
      <c r="BI28" s="69">
        <f t="shared" ref="BI28" si="72">BI29/BI30-0.1*BI29/BI30</f>
        <v>111533.33333333333</v>
      </c>
      <c r="BJ28" s="69">
        <f t="shared" ref="BJ28:BP28" si="73">BJ29/BJ30-0.05*BJ29/BJ30</f>
        <v>135674.07407407407</v>
      </c>
      <c r="BK28" s="69">
        <f t="shared" si="73"/>
        <v>121740.74074074074</v>
      </c>
      <c r="BL28" s="69">
        <f t="shared" si="73"/>
        <v>93926.851851851854</v>
      </c>
      <c r="BM28" s="69">
        <f t="shared" si="73"/>
        <v>90679.259259259255</v>
      </c>
      <c r="BN28" s="69">
        <f t="shared" si="73"/>
        <v>130255.55555555556</v>
      </c>
      <c r="BO28" s="69">
        <f t="shared" si="73"/>
        <v>150550.37811111109</v>
      </c>
      <c r="BP28" s="69">
        <f t="shared" si="73"/>
        <v>161830.74953703705</v>
      </c>
      <c r="BQ28" s="69">
        <v>127130</v>
      </c>
      <c r="BR28" s="69">
        <v>138687.6</v>
      </c>
      <c r="BS28" s="69">
        <v>43639.199999999997</v>
      </c>
      <c r="BT28" s="69">
        <f t="shared" si="65"/>
        <v>1422247.7424629631</v>
      </c>
      <c r="BU28" s="54"/>
      <c r="BV28" s="69">
        <f>BV31+BV55</f>
        <v>166555.77995873816</v>
      </c>
      <c r="BW28" s="69">
        <f>BW31+BW55</f>
        <v>152835.36924465047</v>
      </c>
      <c r="BX28" s="69">
        <f t="shared" ref="BX28:CG28" si="74">BX31+BX55</f>
        <v>195319.2072937729</v>
      </c>
      <c r="BY28" s="69">
        <f t="shared" si="74"/>
        <v>158396.18906207831</v>
      </c>
      <c r="BZ28" s="69">
        <f t="shared" si="74"/>
        <v>152371.51475009107</v>
      </c>
      <c r="CA28" s="69">
        <f t="shared" si="74"/>
        <v>147696.01107361159</v>
      </c>
      <c r="CB28" s="69">
        <f t="shared" si="74"/>
        <v>189465.0513586243</v>
      </c>
      <c r="CC28" s="69">
        <f t="shared" si="74"/>
        <v>202914.10079748323</v>
      </c>
      <c r="CD28" s="69">
        <f t="shared" si="74"/>
        <v>214499.61628422557</v>
      </c>
      <c r="CE28" s="69">
        <f t="shared" si="74"/>
        <v>217682.99793575107</v>
      </c>
      <c r="CF28" s="69">
        <f t="shared" si="74"/>
        <v>179284.72030485788</v>
      </c>
      <c r="CG28" s="69">
        <f t="shared" si="74"/>
        <v>88389.319383536102</v>
      </c>
      <c r="CH28" s="69">
        <f t="shared" si="67"/>
        <v>2065409.8774474205</v>
      </c>
      <c r="CI28" s="395">
        <f>(CH28-BT62)/BT62</f>
        <v>0.48621753003500767</v>
      </c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395"/>
      <c r="CX28" s="69">
        <v>166555.77995873816</v>
      </c>
      <c r="CY28" s="69">
        <v>152835.36924465047</v>
      </c>
      <c r="CZ28" s="69">
        <v>195319.2072937729</v>
      </c>
      <c r="DA28" s="69">
        <v>158396.18906207831</v>
      </c>
      <c r="DB28" s="69">
        <v>152371.51475009107</v>
      </c>
      <c r="DC28" s="69">
        <v>147696.01107361159</v>
      </c>
      <c r="DD28" s="69">
        <v>189465.0513586243</v>
      </c>
      <c r="DE28" s="69">
        <v>202914.10079748323</v>
      </c>
      <c r="DF28" s="69">
        <v>214499.61628422557</v>
      </c>
      <c r="DG28" s="69">
        <v>217682.99793575107</v>
      </c>
      <c r="DH28" s="69">
        <v>179284.72030485788</v>
      </c>
      <c r="DI28" s="69">
        <v>88389.319383536102</v>
      </c>
      <c r="DJ28" s="69">
        <v>2065409.8774474205</v>
      </c>
    </row>
    <row r="29" spans="1:115">
      <c r="A29" s="61"/>
      <c r="B29" s="62" t="s">
        <v>52</v>
      </c>
      <c r="C29" s="293"/>
      <c r="D29" s="294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295"/>
      <c r="Q29" s="64"/>
      <c r="R29" s="294"/>
      <c r="S29" s="65"/>
      <c r="T29" s="65"/>
      <c r="U29" s="65"/>
      <c r="V29" s="296"/>
      <c r="W29" s="297"/>
      <c r="X29" s="297"/>
      <c r="Y29" s="297"/>
      <c r="Z29" s="297"/>
      <c r="AA29" s="297"/>
      <c r="AB29" s="297"/>
      <c r="AC29" s="66"/>
      <c r="AD29" s="67"/>
      <c r="AE29" s="68"/>
      <c r="AF29" s="298"/>
      <c r="AG29" s="65"/>
      <c r="AH29" s="65" t="s">
        <v>53</v>
      </c>
      <c r="AI29" s="65"/>
      <c r="AJ29" s="296"/>
      <c r="AK29" s="296"/>
      <c r="AL29" s="296"/>
      <c r="AM29" s="296"/>
      <c r="AN29" s="65">
        <v>6715000</v>
      </c>
      <c r="AO29" s="65">
        <v>6555000</v>
      </c>
      <c r="AP29" s="65">
        <v>2640000</v>
      </c>
      <c r="AQ29" s="65">
        <v>1302000</v>
      </c>
      <c r="AR29" s="299"/>
      <c r="AS29" s="68"/>
      <c r="AT29" s="65">
        <v>3264695</v>
      </c>
      <c r="AU29" s="65">
        <v>3863760</v>
      </c>
      <c r="AV29" s="65">
        <v>3429225</v>
      </c>
      <c r="AW29" s="65">
        <v>3525360</v>
      </c>
      <c r="AX29" s="65">
        <v>2509485</v>
      </c>
      <c r="AY29" s="65">
        <v>2829000</v>
      </c>
      <c r="AZ29" s="65">
        <v>3666000</v>
      </c>
      <c r="BA29" s="65">
        <v>5705000</v>
      </c>
      <c r="BB29" s="65">
        <v>5691000</v>
      </c>
      <c r="BC29" s="65">
        <v>5600000</v>
      </c>
      <c r="BD29" s="65">
        <v>2430000</v>
      </c>
      <c r="BE29" s="65">
        <v>800000</v>
      </c>
      <c r="BF29" s="69">
        <f t="shared" si="63"/>
        <v>43313525</v>
      </c>
      <c r="BG29" s="68"/>
      <c r="BH29" s="70">
        <v>3498000</v>
      </c>
      <c r="BI29" s="70">
        <v>3346000</v>
      </c>
      <c r="BJ29" s="70">
        <v>3856000</v>
      </c>
      <c r="BK29" s="70">
        <v>3460000</v>
      </c>
      <c r="BL29" s="70">
        <v>2669500</v>
      </c>
      <c r="BM29" s="70">
        <v>2577200</v>
      </c>
      <c r="BN29" s="70">
        <v>3702000</v>
      </c>
      <c r="BO29" s="70">
        <v>4278800.22</v>
      </c>
      <c r="BP29" s="70">
        <v>4599400.25</v>
      </c>
      <c r="BQ29" s="70">
        <f>BQ28*BQ30</f>
        <v>3432510</v>
      </c>
      <c r="BR29" s="70">
        <v>2954493.21</v>
      </c>
      <c r="BS29" s="70">
        <v>984831.07</v>
      </c>
      <c r="BT29" s="65">
        <f t="shared" si="65"/>
        <v>39358734.75</v>
      </c>
      <c r="BU29" s="54"/>
      <c r="BV29" s="70">
        <f>BV30*BV31</f>
        <v>3399704.5546384701</v>
      </c>
      <c r="BW29" s="70">
        <f t="shared" ref="BW29:CG29" si="75">BW30*BW31</f>
        <v>3264737.5917468769</v>
      </c>
      <c r="BX29" s="70">
        <f t="shared" si="75"/>
        <v>4184999.9999999995</v>
      </c>
      <c r="BY29" s="70">
        <f t="shared" si="75"/>
        <v>3348000.0000000005</v>
      </c>
      <c r="BZ29" s="70">
        <f t="shared" si="75"/>
        <v>3074042.2288642721</v>
      </c>
      <c r="CA29" s="70">
        <f t="shared" si="75"/>
        <v>2812995.3566251793</v>
      </c>
      <c r="CB29" s="70">
        <f t="shared" si="75"/>
        <v>3737141.5756380158</v>
      </c>
      <c r="CC29" s="70">
        <f t="shared" si="75"/>
        <v>4437000.7194458414</v>
      </c>
      <c r="CD29" s="70">
        <f t="shared" si="75"/>
        <v>4710370.4261011425</v>
      </c>
      <c r="CE29" s="70">
        <f t="shared" si="75"/>
        <v>4744197.0280408058</v>
      </c>
      <c r="CF29" s="70">
        <f t="shared" si="75"/>
        <v>3461011.8981438484</v>
      </c>
      <c r="CG29" s="70">
        <f t="shared" si="75"/>
        <v>792579.23398446955</v>
      </c>
      <c r="CH29" s="65">
        <f>SUM(BV29:CG29)</f>
        <v>41966780.613228925</v>
      </c>
      <c r="CJ29" s="70">
        <v>3470304</v>
      </c>
      <c r="CK29" s="70">
        <v>4047936</v>
      </c>
      <c r="CL29" s="70">
        <v>3793200</v>
      </c>
      <c r="CM29" s="70">
        <v>3664392</v>
      </c>
      <c r="CN29" s="70">
        <v>3656712</v>
      </c>
      <c r="CO29" s="70">
        <v>2773872</v>
      </c>
      <c r="CP29" s="70">
        <v>5165016</v>
      </c>
      <c r="CQ29" s="70">
        <v>5668920</v>
      </c>
      <c r="CR29" s="70">
        <v>6676728</v>
      </c>
      <c r="CS29" s="70">
        <v>6194424</v>
      </c>
      <c r="CT29" s="70">
        <v>3814800</v>
      </c>
      <c r="CU29" s="70">
        <v>1459296</v>
      </c>
      <c r="CV29" s="70">
        <f>SUM(CJ29:CU29)</f>
        <v>50385600</v>
      </c>
      <c r="CX29" s="70">
        <v>3399704.5546384701</v>
      </c>
      <c r="CY29" s="70">
        <v>3264737.5917468769</v>
      </c>
      <c r="CZ29" s="70">
        <v>4184999.9999999995</v>
      </c>
      <c r="DA29" s="70">
        <v>3348000.0000000005</v>
      </c>
      <c r="DB29" s="70">
        <v>3074042.2288642721</v>
      </c>
      <c r="DC29" s="70">
        <v>2812995.3566251793</v>
      </c>
      <c r="DD29" s="70">
        <v>3737141.5756380158</v>
      </c>
      <c r="DE29" s="70">
        <v>4437000.7194458414</v>
      </c>
      <c r="DF29" s="70">
        <v>4710370.4261011425</v>
      </c>
      <c r="DG29" s="70">
        <v>4744197.0280408058</v>
      </c>
      <c r="DH29" s="70">
        <v>3461011.8981438484</v>
      </c>
      <c r="DI29" s="70">
        <v>792579.23398446955</v>
      </c>
      <c r="DJ29" s="65">
        <v>41966780.613228925</v>
      </c>
    </row>
    <row r="30" spans="1:115">
      <c r="A30" s="71"/>
      <c r="B30" s="72" t="s">
        <v>54</v>
      </c>
      <c r="C30" s="300"/>
      <c r="D30" s="301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302"/>
      <c r="Q30" s="74"/>
      <c r="R30" s="301"/>
      <c r="S30" s="69"/>
      <c r="T30" s="69"/>
      <c r="U30" s="69"/>
      <c r="V30" s="303"/>
      <c r="W30" s="304"/>
      <c r="X30" s="304"/>
      <c r="Y30" s="304"/>
      <c r="Z30" s="304"/>
      <c r="AA30" s="304"/>
      <c r="AB30" s="304"/>
      <c r="AC30" s="75"/>
      <c r="AD30" s="76"/>
      <c r="AE30" s="77"/>
      <c r="AF30" s="305"/>
      <c r="AG30" s="69"/>
      <c r="AH30" s="69"/>
      <c r="AI30" s="69"/>
      <c r="AJ30" s="303"/>
      <c r="AK30" s="303"/>
      <c r="AL30" s="303"/>
      <c r="AM30" s="303"/>
      <c r="AN30" s="69">
        <f t="shared" ref="AN30:AQ30" si="76">30</f>
        <v>30</v>
      </c>
      <c r="AO30" s="69">
        <f t="shared" si="76"/>
        <v>30</v>
      </c>
      <c r="AP30" s="69">
        <f t="shared" si="76"/>
        <v>30</v>
      </c>
      <c r="AQ30" s="69">
        <f t="shared" si="76"/>
        <v>30</v>
      </c>
      <c r="AR30" s="306"/>
      <c r="AS30" s="77"/>
      <c r="AT30" s="69">
        <v>28</v>
      </c>
      <c r="AU30" s="69">
        <v>29</v>
      </c>
      <c r="AV30" s="69">
        <v>29</v>
      </c>
      <c r="AW30" s="69">
        <v>29</v>
      </c>
      <c r="AX30" s="69">
        <v>29</v>
      </c>
      <c r="AY30" s="69">
        <v>27</v>
      </c>
      <c r="AZ30" s="69">
        <v>27</v>
      </c>
      <c r="BA30" s="69">
        <v>27</v>
      </c>
      <c r="BB30" s="69">
        <v>27</v>
      </c>
      <c r="BC30" s="69">
        <v>26.07</v>
      </c>
      <c r="BD30" s="69">
        <v>26.07</v>
      </c>
      <c r="BE30" s="69">
        <v>26.07</v>
      </c>
      <c r="BF30" s="305"/>
      <c r="BG30" s="78"/>
      <c r="BH30" s="69">
        <v>27</v>
      </c>
      <c r="BI30" s="69">
        <v>27</v>
      </c>
      <c r="BJ30" s="69">
        <v>27</v>
      </c>
      <c r="BK30" s="69">
        <v>27</v>
      </c>
      <c r="BL30" s="69">
        <v>27</v>
      </c>
      <c r="BM30" s="69">
        <v>27</v>
      </c>
      <c r="BN30" s="69">
        <v>27</v>
      </c>
      <c r="BO30" s="69">
        <v>27</v>
      </c>
      <c r="BP30" s="69">
        <v>27</v>
      </c>
      <c r="BQ30" s="69">
        <v>27</v>
      </c>
      <c r="BR30" s="69">
        <v>27</v>
      </c>
      <c r="BS30" s="69">
        <v>27</v>
      </c>
      <c r="BT30" s="69"/>
      <c r="BU30" s="54"/>
      <c r="BV30" s="69">
        <v>26</v>
      </c>
      <c r="BW30" s="69">
        <v>26</v>
      </c>
      <c r="BX30" s="69">
        <v>26</v>
      </c>
      <c r="BY30" s="69">
        <v>26</v>
      </c>
      <c r="BZ30" s="69">
        <v>26</v>
      </c>
      <c r="CA30" s="69">
        <v>26</v>
      </c>
      <c r="CB30" s="69">
        <v>26</v>
      </c>
      <c r="CC30" s="69">
        <v>26</v>
      </c>
      <c r="CD30" s="69">
        <v>26</v>
      </c>
      <c r="CE30" s="69">
        <v>26</v>
      </c>
      <c r="CF30" s="69">
        <v>26</v>
      </c>
      <c r="CG30" s="69">
        <v>26</v>
      </c>
      <c r="CH30" s="69"/>
      <c r="CJ30" s="751">
        <v>26.83</v>
      </c>
      <c r="CK30" s="751">
        <f>CJ30</f>
        <v>26.83</v>
      </c>
      <c r="CL30" s="751">
        <f t="shared" ref="CL30:CV30" si="77">CK30</f>
        <v>26.83</v>
      </c>
      <c r="CM30" s="751">
        <f t="shared" si="77"/>
        <v>26.83</v>
      </c>
      <c r="CN30" s="751">
        <f t="shared" si="77"/>
        <v>26.83</v>
      </c>
      <c r="CO30" s="751">
        <f t="shared" si="77"/>
        <v>26.83</v>
      </c>
      <c r="CP30" s="751">
        <v>28.44</v>
      </c>
      <c r="CQ30" s="751">
        <f t="shared" si="77"/>
        <v>28.44</v>
      </c>
      <c r="CR30" s="751">
        <f t="shared" si="77"/>
        <v>28.44</v>
      </c>
      <c r="CS30" s="751">
        <f t="shared" si="77"/>
        <v>28.44</v>
      </c>
      <c r="CT30" s="751">
        <f t="shared" si="77"/>
        <v>28.44</v>
      </c>
      <c r="CU30" s="751">
        <f t="shared" si="77"/>
        <v>28.44</v>
      </c>
      <c r="CV30" s="69">
        <f t="shared" si="77"/>
        <v>28.44</v>
      </c>
      <c r="CX30" s="69">
        <v>26</v>
      </c>
      <c r="CY30" s="69">
        <v>26</v>
      </c>
      <c r="CZ30" s="69">
        <v>26</v>
      </c>
      <c r="DA30" s="69">
        <v>26</v>
      </c>
      <c r="DB30" s="69">
        <v>26</v>
      </c>
      <c r="DC30" s="69">
        <v>26</v>
      </c>
      <c r="DD30" s="69">
        <v>26</v>
      </c>
      <c r="DE30" s="69">
        <v>26</v>
      </c>
      <c r="DF30" s="69">
        <v>26</v>
      </c>
      <c r="DG30" s="69">
        <v>26</v>
      </c>
      <c r="DH30" s="69">
        <v>26</v>
      </c>
      <c r="DI30" s="69">
        <v>26</v>
      </c>
      <c r="DJ30" s="69"/>
    </row>
    <row r="31" spans="1:115" ht="15.75">
      <c r="A31" s="79"/>
      <c r="B31" s="80" t="s">
        <v>121</v>
      </c>
      <c r="C31" s="81"/>
      <c r="D31" s="288">
        <v>82250</v>
      </c>
      <c r="E31" s="57">
        <v>117000</v>
      </c>
      <c r="F31" s="57">
        <v>121750</v>
      </c>
      <c r="G31" s="57">
        <v>150000</v>
      </c>
      <c r="H31" s="57">
        <v>99500</v>
      </c>
      <c r="I31" s="57">
        <v>102000</v>
      </c>
      <c r="J31" s="57">
        <v>177632</v>
      </c>
      <c r="K31" s="57">
        <v>178158</v>
      </c>
      <c r="L31" s="57">
        <v>199211</v>
      </c>
      <c r="M31" s="57">
        <v>229474</v>
      </c>
      <c r="N31" s="57">
        <v>122368</v>
      </c>
      <c r="O31" s="57">
        <v>38421</v>
      </c>
      <c r="P31" s="289">
        <f>SUM(D31:O31)</f>
        <v>1617764</v>
      </c>
      <c r="Q31" s="39"/>
      <c r="R31" s="288">
        <v>115619.79612330014</v>
      </c>
      <c r="S31" s="58">
        <v>123327.78253152016</v>
      </c>
      <c r="T31" s="58">
        <v>128854</v>
      </c>
      <c r="U31" s="58">
        <f>126016*0.15</f>
        <v>18902.399999999998</v>
      </c>
      <c r="V31" s="58">
        <v>35234</v>
      </c>
      <c r="W31" s="290">
        <v>56469.381950239796</v>
      </c>
      <c r="X31" s="290">
        <v>118413.33333333299</v>
      </c>
      <c r="Y31" s="290">
        <v>198797.08333333331</v>
      </c>
      <c r="Z31" s="290">
        <v>242087.5</v>
      </c>
      <c r="AA31" s="290">
        <v>140000</v>
      </c>
      <c r="AB31" s="290">
        <v>0</v>
      </c>
      <c r="AC31" s="290">
        <v>-45300</v>
      </c>
      <c r="AD31" s="291">
        <f>SUM(R31:AC31)</f>
        <v>1132405.2772717264</v>
      </c>
      <c r="AE31" s="59"/>
      <c r="AF31" s="292">
        <v>90146</v>
      </c>
      <c r="AG31" s="58">
        <v>155577</v>
      </c>
      <c r="AH31" s="58">
        <v>62953</v>
      </c>
      <c r="AI31" s="58">
        <v>73261</v>
      </c>
      <c r="AJ31" s="58">
        <v>91856</v>
      </c>
      <c r="AK31" s="58">
        <v>120000</v>
      </c>
      <c r="AL31" s="58">
        <v>110295</v>
      </c>
      <c r="AM31" s="58">
        <v>200203</v>
      </c>
      <c r="AN31" s="58">
        <f t="shared" ref="AN31:AQ31" si="78">AN29/AN30</f>
        <v>223833.33333333334</v>
      </c>
      <c r="AO31" s="58">
        <f t="shared" si="78"/>
        <v>218500</v>
      </c>
      <c r="AP31" s="58">
        <f t="shared" si="78"/>
        <v>88000</v>
      </c>
      <c r="AQ31" s="58">
        <f t="shared" si="78"/>
        <v>43400</v>
      </c>
      <c r="AR31" s="58">
        <f>SUM(AF31:AQ31)</f>
        <v>1478024.3333333333</v>
      </c>
      <c r="AS31" s="59"/>
      <c r="AT31" s="58">
        <f t="shared" ref="AT31:BE31" si="79">AT29/AT30</f>
        <v>116596.25</v>
      </c>
      <c r="AU31" s="58">
        <f t="shared" si="79"/>
        <v>133233.10344827586</v>
      </c>
      <c r="AV31" s="58">
        <f t="shared" si="79"/>
        <v>118249.13793103448</v>
      </c>
      <c r="AW31" s="58">
        <f t="shared" si="79"/>
        <v>121564.13793103448</v>
      </c>
      <c r="AX31" s="58">
        <f t="shared" si="79"/>
        <v>86533.965517241377</v>
      </c>
      <c r="AY31" s="58">
        <f t="shared" si="79"/>
        <v>104777.77777777778</v>
      </c>
      <c r="AZ31" s="58">
        <f t="shared" si="79"/>
        <v>135777.77777777778</v>
      </c>
      <c r="BA31" s="58">
        <f t="shared" si="79"/>
        <v>211296.29629629629</v>
      </c>
      <c r="BB31" s="58">
        <f t="shared" si="79"/>
        <v>210777.77777777778</v>
      </c>
      <c r="BC31" s="58">
        <f t="shared" si="79"/>
        <v>214806.29075565783</v>
      </c>
      <c r="BD31" s="58">
        <f t="shared" si="79"/>
        <v>93210.586881472962</v>
      </c>
      <c r="BE31" s="58">
        <f t="shared" si="79"/>
        <v>30686.612965093977</v>
      </c>
      <c r="BF31" s="58">
        <f>SUM(AT31:BE31)</f>
        <v>1577509.7150594404</v>
      </c>
      <c r="BG31" s="59">
        <f>BF31-AR31</f>
        <v>99485.381726107094</v>
      </c>
      <c r="BH31" s="58">
        <f>BH28</f>
        <v>116600</v>
      </c>
      <c r="BI31" s="58">
        <f t="shared" ref="BI31:BT31" si="80">BI28</f>
        <v>111533.33333333333</v>
      </c>
      <c r="BJ31" s="58">
        <f t="shared" si="80"/>
        <v>135674.07407407407</v>
      </c>
      <c r="BK31" s="58">
        <f t="shared" si="80"/>
        <v>121740.74074074074</v>
      </c>
      <c r="BL31" s="58">
        <f t="shared" si="80"/>
        <v>93926.851851851854</v>
      </c>
      <c r="BM31" s="58">
        <f t="shared" si="80"/>
        <v>90679.259259259255</v>
      </c>
      <c r="BN31" s="58">
        <f t="shared" si="80"/>
        <v>130255.55555555556</v>
      </c>
      <c r="BO31" s="58">
        <f t="shared" si="80"/>
        <v>150550.37811111109</v>
      </c>
      <c r="BP31" s="58">
        <f t="shared" si="80"/>
        <v>161830.74953703705</v>
      </c>
      <c r="BQ31" s="58">
        <f t="shared" si="80"/>
        <v>127130</v>
      </c>
      <c r="BR31" s="58">
        <f>BR28</f>
        <v>138687.6</v>
      </c>
      <c r="BS31" s="58">
        <f t="shared" si="80"/>
        <v>43639.199999999997</v>
      </c>
      <c r="BT31" s="58">
        <f t="shared" si="80"/>
        <v>1422247.7424629631</v>
      </c>
      <c r="BU31" s="60"/>
      <c r="BV31" s="58">
        <f>'META  EM PEÇAS'!S73</f>
        <v>130757.867486095</v>
      </c>
      <c r="BW31" s="58">
        <f>'META  EM PEÇAS'!T73</f>
        <v>125566.83045180296</v>
      </c>
      <c r="BX31" s="58">
        <f>'META  EM PEÇAS'!U73</f>
        <v>160961.53846153844</v>
      </c>
      <c r="BY31" s="58">
        <f>'META  EM PEÇAS'!V73</f>
        <v>128769.23076923078</v>
      </c>
      <c r="BZ31" s="58">
        <f>'META  EM PEÇAS'!W73</f>
        <v>118232.39341785663</v>
      </c>
      <c r="CA31" s="58">
        <f>'META  EM PEÇAS'!X73</f>
        <v>108192.12910096844</v>
      </c>
      <c r="CB31" s="58">
        <f>'META  EM PEÇAS'!Y73</f>
        <v>143736.21444761599</v>
      </c>
      <c r="CC31" s="58">
        <f>'META  EM PEÇAS'!Z73</f>
        <v>170653.87382484006</v>
      </c>
      <c r="CD31" s="58">
        <f>'META  EM PEÇAS'!AA73</f>
        <v>181168.0933115824</v>
      </c>
      <c r="CE31" s="58">
        <f>'META  EM PEÇAS'!AB73</f>
        <v>182469.1164631079</v>
      </c>
      <c r="CF31" s="58">
        <f>'META  EM PEÇAS'!AC73</f>
        <v>133115.84223630186</v>
      </c>
      <c r="CG31" s="58">
        <f>'META  EM PEÇAS'!AD73</f>
        <v>30483.816691710366</v>
      </c>
      <c r="CH31" s="58">
        <v>45</v>
      </c>
      <c r="CI31">
        <f>CH31*26</f>
        <v>1170</v>
      </c>
      <c r="CJ31" s="58">
        <f>CJ29/CJ30</f>
        <v>129344.16697726426</v>
      </c>
      <c r="CK31" s="58">
        <f t="shared" ref="CK31:CU31" si="81">CK29/CK30</f>
        <v>150873.49981364145</v>
      </c>
      <c r="CL31" s="58">
        <f t="shared" si="81"/>
        <v>141379.05329854641</v>
      </c>
      <c r="CM31" s="58">
        <f t="shared" si="81"/>
        <v>136578.1587774879</v>
      </c>
      <c r="CN31" s="58">
        <f>CN29/CN30</f>
        <v>136291.91203876259</v>
      </c>
      <c r="CO31" s="58">
        <f t="shared" si="81"/>
        <v>103386.95490122997</v>
      </c>
      <c r="CP31" s="58">
        <f>CP29/CP30</f>
        <v>181610.97046413503</v>
      </c>
      <c r="CQ31" s="58">
        <f t="shared" si="81"/>
        <v>199329.11392405062</v>
      </c>
      <c r="CR31" s="58">
        <f t="shared" si="81"/>
        <v>234765.40084388186</v>
      </c>
      <c r="CS31" s="58">
        <f t="shared" si="81"/>
        <v>217806.7510548523</v>
      </c>
      <c r="CT31" s="58">
        <f>CT29/CT30</f>
        <v>134135.02109704641</v>
      </c>
      <c r="CU31" s="58">
        <f t="shared" si="81"/>
        <v>51311.392405063292</v>
      </c>
      <c r="CV31" s="58">
        <f>SUM(CJ31:CU31)</f>
        <v>1816812.3955959619</v>
      </c>
      <c r="CW31" s="594" t="s">
        <v>258</v>
      </c>
      <c r="CX31" s="58">
        <f>CX32*1.1</f>
        <v>185917.71000000002</v>
      </c>
      <c r="CY31" s="58">
        <f t="shared" ref="CY31:DI31" si="82">CY32*1.1</f>
        <v>211966.59</v>
      </c>
      <c r="CZ31" s="58">
        <f t="shared" si="82"/>
        <v>152067.96000000002</v>
      </c>
      <c r="DA31" s="58">
        <f t="shared" si="82"/>
        <v>148313.33000000005</v>
      </c>
      <c r="DB31" s="58">
        <f t="shared" si="82"/>
        <v>143391.05000000002</v>
      </c>
      <c r="DC31" s="58">
        <f t="shared" si="82"/>
        <v>99278.080000000016</v>
      </c>
      <c r="DD31" s="58">
        <f t="shared" si="82"/>
        <v>182944.74000000005</v>
      </c>
      <c r="DE31" s="58">
        <f t="shared" si="82"/>
        <v>195388.38</v>
      </c>
      <c r="DF31" s="58">
        <f t="shared" si="82"/>
        <v>264790.35000000003</v>
      </c>
      <c r="DG31" s="58">
        <f t="shared" si="82"/>
        <v>247948.86033755276</v>
      </c>
      <c r="DH31" s="58">
        <f t="shared" si="82"/>
        <v>151768.20675105488</v>
      </c>
      <c r="DI31" s="58">
        <f t="shared" si="82"/>
        <v>62612.445569620257</v>
      </c>
      <c r="DJ31" s="58">
        <f>SUM(CX31:DI31)</f>
        <v>2046387.7026582283</v>
      </c>
      <c r="DK31" s="598">
        <f>DJ31-CV31</f>
        <v>229575.30706226639</v>
      </c>
    </row>
    <row r="32" spans="1:115">
      <c r="A32" s="307"/>
      <c r="B32" s="82"/>
      <c r="C32" s="308" t="s">
        <v>122</v>
      </c>
      <c r="D32" s="309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310"/>
      <c r="Q32" s="84"/>
      <c r="R32" s="309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311"/>
      <c r="AE32" s="23"/>
      <c r="AF32" s="312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6"/>
      <c r="AS32" s="23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2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54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J32" s="87">
        <f t="shared" ref="CJ32:CT32" si="83">(CJ31*0.95)-2000</f>
        <v>120876.95862840104</v>
      </c>
      <c r="CK32" s="87">
        <f t="shared" si="83"/>
        <v>141329.82482295937</v>
      </c>
      <c r="CL32" s="87">
        <f t="shared" si="83"/>
        <v>132310.10063361909</v>
      </c>
      <c r="CM32" s="87">
        <f t="shared" si="83"/>
        <v>127749.2508386135</v>
      </c>
      <c r="CN32" s="87">
        <f t="shared" si="83"/>
        <v>127477.31643682445</v>
      </c>
      <c r="CO32" s="87">
        <f t="shared" si="83"/>
        <v>96217.607156168466</v>
      </c>
      <c r="CP32" s="87">
        <f>(CP31*0.95)-2000</f>
        <v>170530.42194092827</v>
      </c>
      <c r="CQ32" s="87">
        <f t="shared" si="83"/>
        <v>187362.65822784806</v>
      </c>
      <c r="CR32" s="87">
        <f t="shared" si="83"/>
        <v>221027.13080168774</v>
      </c>
      <c r="CS32" s="87">
        <f t="shared" si="83"/>
        <v>204916.41350210967</v>
      </c>
      <c r="CT32" s="87">
        <f t="shared" si="83"/>
        <v>125428.27004219408</v>
      </c>
      <c r="CU32" s="87">
        <f>(CU31*0.95)-2000</f>
        <v>46745.822784810123</v>
      </c>
      <c r="CV32" s="87">
        <f>SUM(CJ32:CU32)</f>
        <v>1701971.775816164</v>
      </c>
      <c r="CX32" s="87">
        <v>169016.1</v>
      </c>
      <c r="CY32" s="87">
        <v>192696.9</v>
      </c>
      <c r="CZ32" s="87">
        <v>138243.6</v>
      </c>
      <c r="DA32" s="87">
        <v>134830.30000000002</v>
      </c>
      <c r="DB32" s="87">
        <v>130355.5</v>
      </c>
      <c r="DC32" s="87">
        <v>90252.800000000003</v>
      </c>
      <c r="DD32" s="87">
        <v>166313.40000000002</v>
      </c>
      <c r="DE32" s="87">
        <v>177625.8</v>
      </c>
      <c r="DF32" s="87">
        <v>240718.5</v>
      </c>
      <c r="DG32" s="87">
        <v>225408.05485232067</v>
      </c>
      <c r="DH32" s="87">
        <v>137971.09704641352</v>
      </c>
      <c r="DI32" s="87">
        <v>56920.405063291139</v>
      </c>
      <c r="DJ32" s="87">
        <f>SUM(CX32:DI32)</f>
        <v>1860352.4569620253</v>
      </c>
    </row>
    <row r="33" spans="1:114">
      <c r="A33" s="709"/>
      <c r="B33" s="710"/>
      <c r="C33" s="710"/>
      <c r="D33" s="309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310"/>
      <c r="Q33" s="84"/>
      <c r="R33" s="309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311"/>
      <c r="AE33" s="23"/>
      <c r="AF33" s="312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6"/>
      <c r="AS33" s="23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2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54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J33" s="711">
        <f>(CJ31-CJ32)/CJ32</f>
        <v>7.0048158432683957E-2</v>
      </c>
      <c r="CK33" s="711">
        <f t="shared" ref="CK33:CU33" si="84">(CK31-CK32)/CK32</f>
        <v>6.7527678624361279E-2</v>
      </c>
      <c r="CL33" s="711">
        <f t="shared" si="84"/>
        <v>6.8543162022378201E-2</v>
      </c>
      <c r="CM33" s="711">
        <f t="shared" si="84"/>
        <v>6.911123064062441E-2</v>
      </c>
      <c r="CN33" s="711">
        <f t="shared" si="84"/>
        <v>6.9146385006516056E-2</v>
      </c>
      <c r="CO33" s="711">
        <f t="shared" si="84"/>
        <v>7.4511806694850649E-2</v>
      </c>
      <c r="CP33" s="711">
        <f t="shared" si="84"/>
        <v>6.4976960691770641E-2</v>
      </c>
      <c r="CQ33" s="711">
        <f t="shared" si="84"/>
        <v>6.3867879594504795E-2</v>
      </c>
      <c r="CR33" s="711">
        <f t="shared" si="84"/>
        <v>6.2156487270879454E-2</v>
      </c>
      <c r="CS33" s="711">
        <f t="shared" si="84"/>
        <v>6.2905344342316025E-2</v>
      </c>
      <c r="CT33" s="711">
        <f t="shared" si="84"/>
        <v>6.94161774847359E-2</v>
      </c>
      <c r="CU33" s="711">
        <f t="shared" si="84"/>
        <v>9.7667970061631554E-2</v>
      </c>
      <c r="CV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</row>
    <row r="34" spans="1:114" ht="15" customHeight="1" outlineLevel="1">
      <c r="A34" s="88">
        <v>1</v>
      </c>
      <c r="B34" s="1095" t="s">
        <v>56</v>
      </c>
      <c r="C34" s="1117"/>
      <c r="D34" s="313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ref="P34:P46" si="85">SUM(D34:O34)</f>
        <v>0</v>
      </c>
      <c r="Q34" s="90"/>
      <c r="R34" s="313">
        <v>7017.5438596491231</v>
      </c>
      <c r="S34" s="91">
        <v>7017.5438596491231</v>
      </c>
      <c r="T34" s="91">
        <f>7017.54385964912/2</f>
        <v>3508.7719298245602</v>
      </c>
      <c r="U34" s="91">
        <f>96*U7</f>
        <v>96</v>
      </c>
      <c r="V34" s="91">
        <v>3000</v>
      </c>
      <c r="W34" s="91">
        <v>7200</v>
      </c>
      <c r="X34" s="91">
        <v>8500</v>
      </c>
      <c r="Y34" s="91">
        <v>8500</v>
      </c>
      <c r="Z34" s="91">
        <v>8500</v>
      </c>
      <c r="AA34" s="91">
        <v>9000</v>
      </c>
      <c r="AB34" s="91">
        <v>9500</v>
      </c>
      <c r="AC34" s="91">
        <v>8500</v>
      </c>
      <c r="AD34" s="315">
        <f t="shared" ref="AD34:AD48" si="86">SUM(R34:AC34)</f>
        <v>80339.859649122809</v>
      </c>
      <c r="AE34" s="23"/>
      <c r="AF34" s="316">
        <v>8000</v>
      </c>
      <c r="AG34" s="91">
        <v>4000</v>
      </c>
      <c r="AH34" s="91">
        <v>5673</v>
      </c>
      <c r="AI34" s="91">
        <v>4500</v>
      </c>
      <c r="AJ34" s="91">
        <v>7892</v>
      </c>
      <c r="AK34" s="91">
        <v>6400</v>
      </c>
      <c r="AL34" s="91">
        <v>8000</v>
      </c>
      <c r="AM34" s="91">
        <v>8000</v>
      </c>
      <c r="AN34" s="91">
        <v>8000</v>
      </c>
      <c r="AO34" s="91">
        <v>8000</v>
      </c>
      <c r="AP34" s="91">
        <v>8800</v>
      </c>
      <c r="AQ34" s="91">
        <v>6400</v>
      </c>
      <c r="AR34" s="92">
        <f t="shared" ref="AR34:AR52" si="87">SUM(AF34:AQ34)</f>
        <v>83665</v>
      </c>
      <c r="AS34" s="23"/>
      <c r="AT34" s="91">
        <v>4861</v>
      </c>
      <c r="AU34" s="91">
        <v>5809</v>
      </c>
      <c r="AV34" s="91">
        <v>5072</v>
      </c>
      <c r="AW34" s="91">
        <v>4725</v>
      </c>
      <c r="AX34" s="317">
        <v>5832</v>
      </c>
      <c r="AY34" s="317">
        <v>5832</v>
      </c>
      <c r="AZ34" s="317">
        <v>5567</v>
      </c>
      <c r="BA34" s="317">
        <v>5567</v>
      </c>
      <c r="BB34" s="317">
        <v>5832</v>
      </c>
      <c r="BC34" s="317">
        <v>6892</v>
      </c>
      <c r="BD34" s="317">
        <v>7422</v>
      </c>
      <c r="BE34" s="317">
        <v>4241</v>
      </c>
      <c r="BF34" s="91">
        <f t="shared" ref="BF34:BF66" si="88">SUM(AT34:BE34)</f>
        <v>67652</v>
      </c>
      <c r="BG34" s="93">
        <f t="shared" ref="BG34:BG52" si="89">BF34/AR34-1</f>
        <v>-0.19139425088149165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>
        <v>36051</v>
      </c>
      <c r="BU34" s="54"/>
      <c r="BV34" s="91">
        <v>4782.99</v>
      </c>
      <c r="BW34" s="91">
        <v>2945.31</v>
      </c>
      <c r="BX34" s="91">
        <f>'META  EM PEÇAS'!U26-('META  EM PEÇAS'!U26*0.05)</f>
        <v>7080.3689999999997</v>
      </c>
      <c r="BY34" s="91">
        <f>'META  EM PEÇAS'!V26-('META  EM PEÇAS'!V26*0.05)</f>
        <v>4355.6549999999997</v>
      </c>
      <c r="BZ34" s="91">
        <f>'META  EM PEÇAS'!W26-('META  EM PEÇAS'!W26*0.05)</f>
        <v>5839.9349999999995</v>
      </c>
      <c r="CA34" s="91">
        <f>'META  EM PEÇAS'!X26-('META  EM PEÇAS'!X26*0.05)</f>
        <v>5900.8964999999989</v>
      </c>
      <c r="CB34" s="91">
        <f>'META  EM PEÇAS'!Y26-('META  EM PEÇAS'!Y26*0.05)</f>
        <v>5279.7959999999994</v>
      </c>
      <c r="CC34" s="91">
        <f>'META  EM PEÇAS'!Z26-('META  EM PEÇAS'!Z26*0.05)</f>
        <v>4897.2404999999999</v>
      </c>
      <c r="CD34" s="91">
        <f>'META  EM PEÇAS'!AA26-('META  EM PEÇAS'!AA26*0.05)</f>
        <v>5018.28</v>
      </c>
      <c r="CE34" s="91">
        <f>'META  EM PEÇAS'!AB26-('META  EM PEÇAS'!AB26*0.05)</f>
        <v>4641.0254999999997</v>
      </c>
      <c r="CF34" s="91">
        <f>'META  EM PEÇAS'!AC26-('META  EM PEÇAS'!AC26*0.05)</f>
        <v>6521.1134999999995</v>
      </c>
      <c r="CG34" s="91">
        <f>'META  EM PEÇAS'!AD26-('META  EM PEÇAS'!AD26*0.05)</f>
        <v>3929.8079999999995</v>
      </c>
      <c r="CH34" s="91">
        <v>4136.6400000000003</v>
      </c>
      <c r="CJ34" s="91">
        <v>4782.99</v>
      </c>
      <c r="CK34" s="91">
        <v>2945.31</v>
      </c>
      <c r="CL34" s="91">
        <v>7080.3689999999997</v>
      </c>
      <c r="CM34" s="91">
        <v>4355.6549999999997</v>
      </c>
      <c r="CN34" s="91">
        <v>5839.9349999999995</v>
      </c>
      <c r="CO34" s="91">
        <v>5900.8964999999989</v>
      </c>
      <c r="CP34" s="91">
        <v>5279.7959999999994</v>
      </c>
      <c r="CQ34" s="91">
        <v>4897.2404999999999</v>
      </c>
      <c r="CR34" s="91">
        <v>5018.28</v>
      </c>
      <c r="CS34" s="91">
        <v>4641.0254999999997</v>
      </c>
      <c r="CT34" s="91">
        <v>6521.1134999999995</v>
      </c>
      <c r="CU34" s="91">
        <v>3929.8079999999995</v>
      </c>
      <c r="CV34" s="91">
        <v>4136.6400000000003</v>
      </c>
      <c r="CX34" s="91">
        <v>4782.99</v>
      </c>
      <c r="CY34" s="91">
        <v>2945.31</v>
      </c>
      <c r="CZ34" s="91">
        <v>7080.3689999999997</v>
      </c>
      <c r="DA34" s="91">
        <v>4355.6549999999997</v>
      </c>
      <c r="DB34" s="91">
        <v>5839.9349999999995</v>
      </c>
      <c r="DC34" s="91">
        <v>5900.8964999999989</v>
      </c>
      <c r="DD34" s="91">
        <v>5279.7959999999994</v>
      </c>
      <c r="DE34" s="91">
        <v>4897.2404999999999</v>
      </c>
      <c r="DF34" s="91">
        <v>5018.28</v>
      </c>
      <c r="DG34" s="91">
        <v>4641.0254999999997</v>
      </c>
      <c r="DH34" s="91">
        <v>6521.1134999999995</v>
      </c>
      <c r="DI34" s="91">
        <v>3929.8079999999995</v>
      </c>
      <c r="DJ34" s="91">
        <v>4136.6400000000003</v>
      </c>
    </row>
    <row r="35" spans="1:114" ht="15" customHeight="1" outlineLevel="1">
      <c r="A35" s="94">
        <v>2</v>
      </c>
      <c r="B35" s="1092" t="s">
        <v>57</v>
      </c>
      <c r="C35" s="1118"/>
      <c r="D35" s="313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>
        <f t="shared" si="85"/>
        <v>0</v>
      </c>
      <c r="Q35" s="90"/>
      <c r="R35" s="313">
        <v>2909</v>
      </c>
      <c r="S35" s="91">
        <v>2545</v>
      </c>
      <c r="T35" s="91">
        <f>2727/1.2</f>
        <v>2272.5</v>
      </c>
      <c r="U35" s="91">
        <f>2*U7</f>
        <v>2</v>
      </c>
      <c r="V35" s="91">
        <v>500</v>
      </c>
      <c r="W35" s="91">
        <v>1300</v>
      </c>
      <c r="X35" s="91">
        <v>3200</v>
      </c>
      <c r="Y35" s="91">
        <v>3200</v>
      </c>
      <c r="Z35" s="91">
        <v>3600</v>
      </c>
      <c r="AA35" s="91">
        <v>3600</v>
      </c>
      <c r="AB35" s="91">
        <v>3600</v>
      </c>
      <c r="AC35" s="91">
        <v>4500</v>
      </c>
      <c r="AD35" s="315">
        <f t="shared" si="86"/>
        <v>31228.5</v>
      </c>
      <c r="AE35" s="23"/>
      <c r="AF35" s="316">
        <v>4000</v>
      </c>
      <c r="AG35" s="91">
        <v>1500</v>
      </c>
      <c r="AH35" s="91">
        <v>189</v>
      </c>
      <c r="AI35" s="91">
        <v>1842</v>
      </c>
      <c r="AJ35" s="91">
        <v>3764</v>
      </c>
      <c r="AK35" s="91">
        <v>3200</v>
      </c>
      <c r="AL35" s="91">
        <v>6000</v>
      </c>
      <c r="AM35" s="91">
        <v>5000</v>
      </c>
      <c r="AN35" s="91">
        <v>5000</v>
      </c>
      <c r="AO35" s="91">
        <v>5000</v>
      </c>
      <c r="AP35" s="91">
        <v>5000</v>
      </c>
      <c r="AQ35" s="91">
        <v>9000</v>
      </c>
      <c r="AR35" s="92">
        <f t="shared" si="87"/>
        <v>49495</v>
      </c>
      <c r="AS35" s="23"/>
      <c r="AT35" s="91">
        <v>5468</v>
      </c>
      <c r="AU35" s="91">
        <v>5468</v>
      </c>
      <c r="AV35" s="91">
        <v>6249</v>
      </c>
      <c r="AW35" s="91">
        <v>6249</v>
      </c>
      <c r="AX35" s="317">
        <v>3923</v>
      </c>
      <c r="AY35" s="317">
        <v>3923</v>
      </c>
      <c r="AZ35" s="317">
        <v>3745</v>
      </c>
      <c r="BA35" s="317">
        <v>3745</v>
      </c>
      <c r="BB35" s="317">
        <v>3923</v>
      </c>
      <c r="BC35" s="317">
        <v>4636</v>
      </c>
      <c r="BD35" s="317">
        <v>4993</v>
      </c>
      <c r="BE35" s="317">
        <v>7133</v>
      </c>
      <c r="BF35" s="91">
        <f t="shared" si="88"/>
        <v>59455</v>
      </c>
      <c r="BG35" s="93">
        <f t="shared" si="89"/>
        <v>0.20123244772199222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>
        <v>40562</v>
      </c>
      <c r="BU35" s="54"/>
      <c r="BV35" s="91">
        <v>4442.6099999999997</v>
      </c>
      <c r="BW35" s="91">
        <v>3433.56</v>
      </c>
      <c r="BX35" s="91">
        <f>'META  EM PEÇAS'!U27-('META  EM PEÇAS'!U27*0.05)</f>
        <v>3860.0114999999996</v>
      </c>
      <c r="BY35" s="91">
        <f>'META  EM PEÇAS'!V27-('META  EM PEÇAS'!V27*0.05)</f>
        <v>3578.1749999999997</v>
      </c>
      <c r="BZ35" s="91">
        <f>'META  EM PEÇAS'!W27-('META  EM PEÇAS'!W27*0.05)</f>
        <v>4015.5074999999997</v>
      </c>
      <c r="CA35" s="91">
        <f>'META  EM PEÇAS'!X27-('META  EM PEÇAS'!X27*0.05)</f>
        <v>4835.3954999999996</v>
      </c>
      <c r="CB35" s="91">
        <f>'META  EM PEÇAS'!Y27-('META  EM PEÇAS'!Y27*0.05)</f>
        <v>5815.1969999999992</v>
      </c>
      <c r="CC35" s="91">
        <f>'META  EM PEÇAS'!Z27-('META  EM PEÇAS'!Z27*0.05)</f>
        <v>3888.2835</v>
      </c>
      <c r="CD35" s="91">
        <f>'META  EM PEÇAS'!AA27-('META  EM PEÇAS'!AA27*0.05)</f>
        <v>4032.2939999999994</v>
      </c>
      <c r="CE35" s="91">
        <f>'META  EM PEÇAS'!AB27-('META  EM PEÇAS'!AB27*0.05)</f>
        <v>4375.0919999999996</v>
      </c>
      <c r="CF35" s="91">
        <f>'META  EM PEÇAS'!AC27-('META  EM PEÇAS'!AC27*0.05)</f>
        <v>5604.9239999999991</v>
      </c>
      <c r="CG35" s="91">
        <f>'META  EM PEÇAS'!AD27-('META  EM PEÇAS'!AD27*0.05)</f>
        <v>7897.606499999999</v>
      </c>
      <c r="CH35" s="91">
        <f>SUM(BV35:CG35)</f>
        <v>55778.656499999997</v>
      </c>
      <c r="CJ35" s="91">
        <v>4442.6099999999997</v>
      </c>
      <c r="CK35" s="91">
        <v>3433.56</v>
      </c>
      <c r="CL35" s="91">
        <v>3860.0114999999996</v>
      </c>
      <c r="CM35" s="91">
        <v>3578.1749999999997</v>
      </c>
      <c r="CN35" s="91">
        <v>4015.5074999999997</v>
      </c>
      <c r="CO35" s="91">
        <v>4835.3954999999996</v>
      </c>
      <c r="CP35" s="91">
        <v>5815.1969999999992</v>
      </c>
      <c r="CQ35" s="91">
        <v>3888.2835</v>
      </c>
      <c r="CR35" s="91">
        <v>4032.2939999999994</v>
      </c>
      <c r="CS35" s="91">
        <v>4375.0919999999996</v>
      </c>
      <c r="CT35" s="91">
        <v>5604.9239999999991</v>
      </c>
      <c r="CU35" s="91">
        <v>7897.606499999999</v>
      </c>
      <c r="CV35" s="91">
        <v>55778.656499999997</v>
      </c>
      <c r="CX35" s="91">
        <v>4442.6099999999997</v>
      </c>
      <c r="CY35" s="91">
        <v>3433.56</v>
      </c>
      <c r="CZ35" s="91">
        <v>3860.0114999999996</v>
      </c>
      <c r="DA35" s="91">
        <v>3578.1749999999997</v>
      </c>
      <c r="DB35" s="91">
        <v>4015.5074999999997</v>
      </c>
      <c r="DC35" s="91">
        <v>4835.3954999999996</v>
      </c>
      <c r="DD35" s="91">
        <v>5815.1969999999992</v>
      </c>
      <c r="DE35" s="91">
        <v>3888.2835</v>
      </c>
      <c r="DF35" s="91">
        <v>4032.2939999999994</v>
      </c>
      <c r="DG35" s="91">
        <v>4375.0919999999996</v>
      </c>
      <c r="DH35" s="91">
        <v>5604.9239999999991</v>
      </c>
      <c r="DI35" s="91">
        <v>7897.606499999999</v>
      </c>
      <c r="DJ35" s="91">
        <v>55778.656499999997</v>
      </c>
    </row>
    <row r="36" spans="1:114" ht="15" customHeight="1" outlineLevel="1">
      <c r="A36" s="94">
        <v>3</v>
      </c>
      <c r="B36" s="1092" t="s">
        <v>58</v>
      </c>
      <c r="C36" s="1118"/>
      <c r="D36" s="313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>
        <f t="shared" si="85"/>
        <v>0</v>
      </c>
      <c r="Q36" s="90"/>
      <c r="R36" s="313">
        <v>746</v>
      </c>
      <c r="S36" s="91">
        <v>653</v>
      </c>
      <c r="T36" s="91">
        <v>700</v>
      </c>
      <c r="U36" s="91">
        <v>0</v>
      </c>
      <c r="V36" s="91">
        <v>200</v>
      </c>
      <c r="W36" s="91">
        <v>400</v>
      </c>
      <c r="X36" s="91">
        <v>900</v>
      </c>
      <c r="Y36" s="91">
        <v>900</v>
      </c>
      <c r="Z36" s="91">
        <v>900</v>
      </c>
      <c r="AA36" s="91">
        <v>900</v>
      </c>
      <c r="AB36" s="91">
        <v>900</v>
      </c>
      <c r="AC36" s="91">
        <v>1200</v>
      </c>
      <c r="AD36" s="315">
        <f t="shared" si="86"/>
        <v>8399</v>
      </c>
      <c r="AE36" s="23"/>
      <c r="AF36" s="316">
        <v>1800</v>
      </c>
      <c r="AG36" s="91">
        <v>1200</v>
      </c>
      <c r="AH36" s="91">
        <v>230</v>
      </c>
      <c r="AI36" s="91">
        <v>472</v>
      </c>
      <c r="AJ36" s="91">
        <v>1495</v>
      </c>
      <c r="AK36" s="91">
        <v>1200</v>
      </c>
      <c r="AL36" s="91">
        <v>1500</v>
      </c>
      <c r="AM36" s="91">
        <v>1500</v>
      </c>
      <c r="AN36" s="91">
        <v>1500</v>
      </c>
      <c r="AO36" s="91">
        <v>1500</v>
      </c>
      <c r="AP36" s="91">
        <v>1650</v>
      </c>
      <c r="AQ36" s="91">
        <v>2400</v>
      </c>
      <c r="AR36" s="92">
        <f t="shared" si="87"/>
        <v>16447</v>
      </c>
      <c r="AS36" s="23"/>
      <c r="AT36" s="91">
        <v>2438</v>
      </c>
      <c r="AU36" s="91">
        <v>1501</v>
      </c>
      <c r="AV36" s="91">
        <v>1566</v>
      </c>
      <c r="AW36" s="91">
        <v>2127</v>
      </c>
      <c r="AX36" s="317">
        <v>1928</v>
      </c>
      <c r="AY36" s="317">
        <v>1928</v>
      </c>
      <c r="AZ36" s="317">
        <v>1840</v>
      </c>
      <c r="BA36" s="317">
        <v>1840</v>
      </c>
      <c r="BB36" s="317">
        <v>1928</v>
      </c>
      <c r="BC36" s="317">
        <v>2278</v>
      </c>
      <c r="BD36" s="317">
        <v>2454</v>
      </c>
      <c r="BE36" s="317">
        <v>3505</v>
      </c>
      <c r="BF36" s="91">
        <f t="shared" si="88"/>
        <v>25333</v>
      </c>
      <c r="BG36" s="93">
        <f t="shared" si="89"/>
        <v>0.54028090229221126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>
        <v>7784</v>
      </c>
      <c r="BU36" s="54"/>
      <c r="BV36" s="91">
        <v>450.99999999999989</v>
      </c>
      <c r="BW36" s="91">
        <v>348.59999999999991</v>
      </c>
      <c r="BX36" s="91">
        <f>'META  EM PEÇAS'!U28-('META  EM PEÇAS'!U28*0.05)</f>
        <v>391.96999999999991</v>
      </c>
      <c r="BY36" s="91">
        <f>'META  EM PEÇAS'!V28-('META  EM PEÇAS'!V28*0.05)</f>
        <v>363.27999999999992</v>
      </c>
      <c r="BZ36" s="91">
        <f>'META  EM PEÇAS'!W28-('META  EM PEÇAS'!W28*0.05)</f>
        <v>407.5499999999999</v>
      </c>
      <c r="CA36" s="91">
        <f>'META  EM PEÇAS'!X28-('META  EM PEÇAS'!X28*0.05)</f>
        <v>490.76999999999992</v>
      </c>
      <c r="CB36" s="91">
        <f>'META  EM PEÇAS'!Y28-('META  EM PEÇAS'!Y28*0.05)</f>
        <v>590.32999999999993</v>
      </c>
      <c r="CC36" s="91">
        <f>'META  EM PEÇAS'!Z28-('META  EM PEÇAS'!Z28*0.05)</f>
        <v>394.62999999999994</v>
      </c>
      <c r="CD36" s="91">
        <f>'META  EM PEÇAS'!AA28-('META  EM PEÇAS'!AA28*0.05)</f>
        <v>409.25999999999988</v>
      </c>
      <c r="CE36" s="91">
        <f>'META  EM PEÇAS'!AB28-('META  EM PEÇAS'!AB28*0.05)</f>
        <v>444.21999999999991</v>
      </c>
      <c r="CF36" s="91">
        <f>'META  EM PEÇAS'!AC28-('META  EM PEÇAS'!AC28*0.05)</f>
        <v>569.04999999999984</v>
      </c>
      <c r="CG36" s="91">
        <f>'META  EM PEÇAS'!AD28-('META  EM PEÇAS'!AD28*0.05)</f>
        <v>801.79999999999973</v>
      </c>
      <c r="CH36" s="91">
        <f t="shared" ref="CH36:CH49" si="90">SUM(BV36:CG36)</f>
        <v>5662.4599999999991</v>
      </c>
      <c r="CJ36" s="91">
        <v>450.99999999999989</v>
      </c>
      <c r="CK36" s="91">
        <v>348.59999999999991</v>
      </c>
      <c r="CL36" s="91">
        <v>391.96999999999991</v>
      </c>
      <c r="CM36" s="91">
        <v>363.27999999999992</v>
      </c>
      <c r="CN36" s="91">
        <v>407.5499999999999</v>
      </c>
      <c r="CO36" s="91">
        <v>490.76999999999992</v>
      </c>
      <c r="CP36" s="91">
        <v>590.32999999999993</v>
      </c>
      <c r="CQ36" s="91">
        <v>394.62999999999994</v>
      </c>
      <c r="CR36" s="91">
        <v>409.25999999999988</v>
      </c>
      <c r="CS36" s="91">
        <v>444.21999999999991</v>
      </c>
      <c r="CT36" s="91">
        <v>569.04999999999984</v>
      </c>
      <c r="CU36" s="91">
        <v>801.79999999999973</v>
      </c>
      <c r="CV36" s="91">
        <v>5662.4599999999991</v>
      </c>
      <c r="CX36" s="91">
        <v>450.99999999999989</v>
      </c>
      <c r="CY36" s="91">
        <v>348.59999999999991</v>
      </c>
      <c r="CZ36" s="91">
        <v>391.96999999999991</v>
      </c>
      <c r="DA36" s="91">
        <v>363.27999999999992</v>
      </c>
      <c r="DB36" s="91">
        <v>407.5499999999999</v>
      </c>
      <c r="DC36" s="91">
        <v>490.76999999999992</v>
      </c>
      <c r="DD36" s="91">
        <v>590.32999999999993</v>
      </c>
      <c r="DE36" s="91">
        <v>394.62999999999994</v>
      </c>
      <c r="DF36" s="91">
        <v>409.25999999999988</v>
      </c>
      <c r="DG36" s="91">
        <v>444.21999999999991</v>
      </c>
      <c r="DH36" s="91">
        <v>569.04999999999984</v>
      </c>
      <c r="DI36" s="91">
        <v>801.79999999999973</v>
      </c>
      <c r="DJ36" s="91">
        <v>5662.4599999999991</v>
      </c>
    </row>
    <row r="37" spans="1:114" ht="15" customHeight="1" outlineLevel="1">
      <c r="A37" s="94">
        <v>4</v>
      </c>
      <c r="B37" s="1092" t="s">
        <v>59</v>
      </c>
      <c r="C37" s="1118"/>
      <c r="D37" s="313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>
        <f t="shared" si="85"/>
        <v>0</v>
      </c>
      <c r="Q37" s="90"/>
      <c r="R37" s="313">
        <v>1455</v>
      </c>
      <c r="S37" s="91">
        <f>2036</f>
        <v>2036</v>
      </c>
      <c r="T37" s="91">
        <f>2182/2</f>
        <v>1091</v>
      </c>
      <c r="U37" s="91">
        <v>0</v>
      </c>
      <c r="V37" s="91">
        <v>200</v>
      </c>
      <c r="W37" s="91">
        <v>900</v>
      </c>
      <c r="X37" s="91">
        <v>1600</v>
      </c>
      <c r="Y37" s="91">
        <v>1600</v>
      </c>
      <c r="Z37" s="91">
        <v>1600</v>
      </c>
      <c r="AA37" s="91">
        <v>1600</v>
      </c>
      <c r="AB37" s="91">
        <v>2200</v>
      </c>
      <c r="AC37" s="91">
        <v>2500</v>
      </c>
      <c r="AD37" s="315">
        <f t="shared" si="86"/>
        <v>16782</v>
      </c>
      <c r="AE37" s="23"/>
      <c r="AF37" s="316">
        <v>2200</v>
      </c>
      <c r="AG37" s="91">
        <v>1500</v>
      </c>
      <c r="AH37" s="91">
        <v>121</v>
      </c>
      <c r="AI37" s="91">
        <v>565</v>
      </c>
      <c r="AJ37" s="91">
        <v>1514</v>
      </c>
      <c r="AK37" s="91">
        <v>1760</v>
      </c>
      <c r="AL37" s="91">
        <v>1800</v>
      </c>
      <c r="AM37" s="91">
        <v>2200</v>
      </c>
      <c r="AN37" s="91">
        <v>2200</v>
      </c>
      <c r="AO37" s="91">
        <v>2200</v>
      </c>
      <c r="AP37" s="91">
        <v>2420</v>
      </c>
      <c r="AQ37" s="91">
        <v>3520</v>
      </c>
      <c r="AR37" s="92">
        <f t="shared" si="87"/>
        <v>22000</v>
      </c>
      <c r="AS37" s="23"/>
      <c r="AT37" s="91">
        <v>1529</v>
      </c>
      <c r="AU37" s="91">
        <v>1516</v>
      </c>
      <c r="AV37" s="91">
        <v>1586</v>
      </c>
      <c r="AW37" s="91">
        <v>1979</v>
      </c>
      <c r="AX37" s="317">
        <v>1283</v>
      </c>
      <c r="AY37" s="317">
        <v>1283</v>
      </c>
      <c r="AZ37" s="317">
        <v>1224</v>
      </c>
      <c r="BA37" s="317">
        <v>1224</v>
      </c>
      <c r="BB37" s="317">
        <v>1283</v>
      </c>
      <c r="BC37" s="317">
        <v>1516</v>
      </c>
      <c r="BD37" s="317">
        <v>1632</v>
      </c>
      <c r="BE37" s="317">
        <v>2332</v>
      </c>
      <c r="BF37" s="91">
        <f t="shared" si="88"/>
        <v>18387</v>
      </c>
      <c r="BG37" s="93">
        <f t="shared" si="89"/>
        <v>-0.16422727272727278</v>
      </c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>
        <v>9018</v>
      </c>
      <c r="BU37" s="54"/>
      <c r="BV37" s="91">
        <v>1143.8999999999999</v>
      </c>
      <c r="BW37" s="91">
        <v>884.43</v>
      </c>
      <c r="BX37" s="91">
        <f>'META  EM PEÇAS'!U29-('META  EM PEÇAS'!U29*0.05)</f>
        <v>993.9375</v>
      </c>
      <c r="BY37" s="91">
        <f>'META  EM PEÇAS'!V29-('META  EM PEÇAS'!V29*0.05)</f>
        <v>921.49049999999988</v>
      </c>
      <c r="BZ37" s="91">
        <f>'META  EM PEÇAS'!W29-('META  EM PEÇAS'!W29*0.05)</f>
        <v>1033.6949999999999</v>
      </c>
      <c r="CA37" s="91">
        <f>'META  EM PEÇAS'!X29-('META  EM PEÇAS'!X29*0.05)</f>
        <v>1244.8515</v>
      </c>
      <c r="CB37" s="91">
        <f>'META  EM PEÇAS'!Y29-('META  EM PEÇAS'!Y29*0.05)</f>
        <v>1497.5324999999998</v>
      </c>
      <c r="CC37" s="91">
        <f>'META  EM PEÇAS'!Z29-('META  EM PEÇAS'!Z29*0.05)</f>
        <v>1001.0054999999999</v>
      </c>
      <c r="CD37" s="91">
        <f>'META  EM PEÇAS'!AA29-('META  EM PEÇAS'!AA29*0.05)</f>
        <v>1038.1125</v>
      </c>
      <c r="CE37" s="91">
        <f>'META  EM PEÇAS'!AB29-('META  EM PEÇAS'!AB29*0.05)</f>
        <v>1126.4625000000001</v>
      </c>
      <c r="CF37" s="91">
        <f>'META  EM PEÇAS'!AC29-('META  EM PEÇAS'!AC29*0.05)</f>
        <v>1443.6389999999999</v>
      </c>
      <c r="CG37" s="91">
        <f>'META  EM PEÇAS'!AD29-('META  EM PEÇAS'!AD29*0.05)</f>
        <v>2033.8169999999998</v>
      </c>
      <c r="CH37" s="91">
        <f t="shared" si="90"/>
        <v>14362.873499999996</v>
      </c>
      <c r="CJ37" s="91">
        <v>1143.8999999999999</v>
      </c>
      <c r="CK37" s="91">
        <v>884.43</v>
      </c>
      <c r="CL37" s="91">
        <v>993.9375</v>
      </c>
      <c r="CM37" s="91">
        <v>921.49049999999988</v>
      </c>
      <c r="CN37" s="91">
        <v>1033.6949999999999</v>
      </c>
      <c r="CO37" s="91">
        <v>1244.8515</v>
      </c>
      <c r="CP37" s="91">
        <v>1497.5324999999998</v>
      </c>
      <c r="CQ37" s="91">
        <v>1001.0054999999999</v>
      </c>
      <c r="CR37" s="91">
        <v>1038.1125</v>
      </c>
      <c r="CS37" s="91">
        <v>1126.4625000000001</v>
      </c>
      <c r="CT37" s="91">
        <v>1443.6389999999999</v>
      </c>
      <c r="CU37" s="91">
        <v>2033.8169999999998</v>
      </c>
      <c r="CV37" s="91">
        <v>14362.873499999996</v>
      </c>
      <c r="CX37" s="91">
        <v>1143.8999999999999</v>
      </c>
      <c r="CY37" s="91">
        <v>884.43</v>
      </c>
      <c r="CZ37" s="91">
        <v>993.9375</v>
      </c>
      <c r="DA37" s="91">
        <v>921.49049999999988</v>
      </c>
      <c r="DB37" s="91">
        <v>1033.6949999999999</v>
      </c>
      <c r="DC37" s="91">
        <v>1244.8515</v>
      </c>
      <c r="DD37" s="91">
        <v>1497.5324999999998</v>
      </c>
      <c r="DE37" s="91">
        <v>1001.0054999999999</v>
      </c>
      <c r="DF37" s="91">
        <v>1038.1125</v>
      </c>
      <c r="DG37" s="91">
        <v>1126.4625000000001</v>
      </c>
      <c r="DH37" s="91">
        <v>1443.6389999999999</v>
      </c>
      <c r="DI37" s="91">
        <v>2033.8169999999998</v>
      </c>
      <c r="DJ37" s="91">
        <v>14362.873499999996</v>
      </c>
    </row>
    <row r="38" spans="1:114" ht="15" customHeight="1" outlineLevel="1">
      <c r="A38" s="94">
        <v>5</v>
      </c>
      <c r="B38" s="1092" t="s">
        <v>60</v>
      </c>
      <c r="C38" s="1118"/>
      <c r="D38" s="313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>
        <f t="shared" si="85"/>
        <v>0</v>
      </c>
      <c r="Q38" s="90"/>
      <c r="R38" s="313">
        <v>1353</v>
      </c>
      <c r="S38" s="91">
        <v>1184</v>
      </c>
      <c r="T38" s="91">
        <v>1268</v>
      </c>
      <c r="U38" s="91">
        <f t="shared" ref="U38:V38" si="91">10*U7</f>
        <v>10</v>
      </c>
      <c r="V38" s="91">
        <f t="shared" si="91"/>
        <v>120</v>
      </c>
      <c r="W38" s="91">
        <v>600</v>
      </c>
      <c r="X38" s="91">
        <v>1600</v>
      </c>
      <c r="Y38" s="91">
        <v>1600</v>
      </c>
      <c r="Z38" s="91">
        <v>1600</v>
      </c>
      <c r="AA38" s="91">
        <v>1600</v>
      </c>
      <c r="AB38" s="91">
        <v>1600</v>
      </c>
      <c r="AC38" s="91">
        <v>2200</v>
      </c>
      <c r="AD38" s="315">
        <f t="shared" si="86"/>
        <v>14735</v>
      </c>
      <c r="AE38" s="23"/>
      <c r="AF38" s="316">
        <v>1800</v>
      </c>
      <c r="AG38" s="91">
        <v>1200</v>
      </c>
      <c r="AH38" s="91">
        <v>181</v>
      </c>
      <c r="AI38" s="91">
        <v>628</v>
      </c>
      <c r="AJ38" s="91">
        <v>1169</v>
      </c>
      <c r="AK38" s="91">
        <v>960</v>
      </c>
      <c r="AL38" s="91">
        <v>1500</v>
      </c>
      <c r="AM38" s="91">
        <v>1200</v>
      </c>
      <c r="AN38" s="91">
        <v>1200</v>
      </c>
      <c r="AO38" s="91">
        <v>1200</v>
      </c>
      <c r="AP38" s="91">
        <v>1320</v>
      </c>
      <c r="AQ38" s="91">
        <v>1920</v>
      </c>
      <c r="AR38" s="92">
        <f t="shared" si="87"/>
        <v>14278</v>
      </c>
      <c r="AS38" s="23"/>
      <c r="AT38" s="91">
        <v>1496</v>
      </c>
      <c r="AU38" s="91">
        <v>1200</v>
      </c>
      <c r="AV38" s="91">
        <v>1227</v>
      </c>
      <c r="AW38" s="91">
        <v>1655</v>
      </c>
      <c r="AX38" s="317">
        <v>1141</v>
      </c>
      <c r="AY38" s="317">
        <v>1141</v>
      </c>
      <c r="AZ38" s="317">
        <v>1089</v>
      </c>
      <c r="BA38" s="317">
        <v>1089</v>
      </c>
      <c r="BB38" s="317">
        <v>1141</v>
      </c>
      <c r="BC38" s="317">
        <v>1349</v>
      </c>
      <c r="BD38" s="317">
        <v>1453</v>
      </c>
      <c r="BE38" s="317">
        <v>2075</v>
      </c>
      <c r="BF38" s="91">
        <f t="shared" si="88"/>
        <v>16056</v>
      </c>
      <c r="BG38" s="93">
        <f t="shared" si="89"/>
        <v>0.1245272447121446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>
        <v>10591</v>
      </c>
      <c r="BU38" s="54"/>
      <c r="BV38" s="91">
        <v>1474.9799999999998</v>
      </c>
      <c r="BW38" s="91">
        <v>1140.1799999999998</v>
      </c>
      <c r="BX38" s="91">
        <f>'META  EM PEÇAS'!U30-('META  EM PEÇAS'!U30*0.05)</f>
        <v>1281.9584999999997</v>
      </c>
      <c r="BY38" s="91">
        <f>'META  EM PEÇAS'!V30-('META  EM PEÇAS'!V30*0.05)</f>
        <v>1188.3074999999999</v>
      </c>
      <c r="BZ38" s="91">
        <f>'META  EM PEÇAS'!W30-('META  EM PEÇAS'!W30*0.05)</f>
        <v>1333.2014999999999</v>
      </c>
      <c r="CA38" s="91">
        <f>'META  EM PEÇAS'!X30-('META  EM PEÇAS'!X30*0.05)</f>
        <v>1606.2029999999997</v>
      </c>
      <c r="CB38" s="91">
        <f>'META  EM PEÇAS'!Y30-('META  EM PEÇAS'!Y30*0.05)</f>
        <v>1931.3309999999997</v>
      </c>
      <c r="CC38" s="91">
        <f>'META  EM PEÇAS'!Z30-('META  EM PEÇAS'!Z30*0.05)</f>
        <v>1291.6769999999999</v>
      </c>
      <c r="CD38" s="91">
        <f>'META  EM PEÇAS'!AA30-('META  EM PEÇAS'!AA30*0.05)</f>
        <v>1339.386</v>
      </c>
      <c r="CE38" s="91">
        <f>'META  EM PEÇAS'!AB30-('META  EM PEÇAS'!AB30*0.05)</f>
        <v>1453.3574999999998</v>
      </c>
      <c r="CF38" s="91">
        <f>'META  EM PEÇAS'!AC30-('META  EM PEÇAS'!AC30*0.05)</f>
        <v>1861.5344999999998</v>
      </c>
      <c r="CG38" s="91">
        <f>'META  EM PEÇAS'!AD30-('META  EM PEÇAS'!AD30*0.05)</f>
        <v>2623.1114999999995</v>
      </c>
      <c r="CH38" s="91">
        <f t="shared" si="90"/>
        <v>18525.227999999999</v>
      </c>
      <c r="CI38" s="450"/>
      <c r="CJ38" s="91">
        <v>1474.9799999999998</v>
      </c>
      <c r="CK38" s="91">
        <v>1140.1799999999998</v>
      </c>
      <c r="CL38" s="91">
        <v>1281.9584999999997</v>
      </c>
      <c r="CM38" s="91">
        <v>1188.3074999999999</v>
      </c>
      <c r="CN38" s="91">
        <v>1333.2014999999999</v>
      </c>
      <c r="CO38" s="91">
        <v>1606.2029999999997</v>
      </c>
      <c r="CP38" s="91">
        <v>1931.3309999999997</v>
      </c>
      <c r="CQ38" s="91">
        <v>1291.6769999999999</v>
      </c>
      <c r="CR38" s="91">
        <v>1339.386</v>
      </c>
      <c r="CS38" s="91">
        <v>1453.3574999999998</v>
      </c>
      <c r="CT38" s="91">
        <v>1861.5344999999998</v>
      </c>
      <c r="CU38" s="91">
        <v>2623.1114999999995</v>
      </c>
      <c r="CV38" s="91">
        <v>18525.227999999999</v>
      </c>
      <c r="CW38" s="450"/>
      <c r="CX38" s="91">
        <v>1474.9799999999998</v>
      </c>
      <c r="CY38" s="91">
        <v>1140.1799999999998</v>
      </c>
      <c r="CZ38" s="91">
        <v>1281.9584999999997</v>
      </c>
      <c r="DA38" s="91">
        <v>1188.3074999999999</v>
      </c>
      <c r="DB38" s="91">
        <v>1333.2014999999999</v>
      </c>
      <c r="DC38" s="91">
        <v>1606.2029999999997</v>
      </c>
      <c r="DD38" s="91">
        <v>1931.3309999999997</v>
      </c>
      <c r="DE38" s="91">
        <v>1291.6769999999999</v>
      </c>
      <c r="DF38" s="91">
        <v>1339.386</v>
      </c>
      <c r="DG38" s="91">
        <v>1453.3574999999998</v>
      </c>
      <c r="DH38" s="91">
        <v>1861.5344999999998</v>
      </c>
      <c r="DI38" s="91">
        <v>2623.1114999999995</v>
      </c>
      <c r="DJ38" s="91">
        <v>18525.227999999999</v>
      </c>
    </row>
    <row r="39" spans="1:114" ht="15" customHeight="1" outlineLevel="1">
      <c r="A39" s="94">
        <v>6</v>
      </c>
      <c r="B39" s="1092" t="s">
        <v>61</v>
      </c>
      <c r="C39" s="1118"/>
      <c r="D39" s="313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314">
        <f t="shared" si="85"/>
        <v>0</v>
      </c>
      <c r="Q39" s="90"/>
      <c r="R39" s="313">
        <v>1455</v>
      </c>
      <c r="S39" s="91">
        <v>1273</v>
      </c>
      <c r="T39" s="91">
        <v>1364</v>
      </c>
      <c r="U39" s="91">
        <v>0</v>
      </c>
      <c r="V39" s="91">
        <v>200</v>
      </c>
      <c r="W39" s="91">
        <v>800</v>
      </c>
      <c r="X39" s="91">
        <v>1600</v>
      </c>
      <c r="Y39" s="91">
        <v>1600</v>
      </c>
      <c r="Z39" s="91">
        <v>1600</v>
      </c>
      <c r="AA39" s="91">
        <v>1600</v>
      </c>
      <c r="AB39" s="91">
        <v>1800</v>
      </c>
      <c r="AC39" s="91">
        <v>2400</v>
      </c>
      <c r="AD39" s="315">
        <f t="shared" si="86"/>
        <v>15692</v>
      </c>
      <c r="AE39" s="23"/>
      <c r="AF39" s="316">
        <v>1500</v>
      </c>
      <c r="AG39" s="91">
        <v>1200</v>
      </c>
      <c r="AH39" s="91">
        <v>127</v>
      </c>
      <c r="AI39" s="91">
        <v>426</v>
      </c>
      <c r="AJ39" s="91">
        <v>1063</v>
      </c>
      <c r="AK39" s="91">
        <v>960</v>
      </c>
      <c r="AL39" s="91">
        <v>1500</v>
      </c>
      <c r="AM39" s="91">
        <v>1200</v>
      </c>
      <c r="AN39" s="91">
        <v>1200</v>
      </c>
      <c r="AO39" s="91">
        <v>1200</v>
      </c>
      <c r="AP39" s="91">
        <v>1320</v>
      </c>
      <c r="AQ39" s="91">
        <v>1920</v>
      </c>
      <c r="AR39" s="92">
        <f t="shared" si="87"/>
        <v>13616</v>
      </c>
      <c r="AS39" s="23"/>
      <c r="AT39" s="91">
        <v>1222</v>
      </c>
      <c r="AU39" s="91">
        <v>1200</v>
      </c>
      <c r="AV39" s="91">
        <v>1117</v>
      </c>
      <c r="AW39" s="91">
        <v>1463</v>
      </c>
      <c r="AX39" s="317">
        <v>1087</v>
      </c>
      <c r="AY39" s="317">
        <v>1087</v>
      </c>
      <c r="AZ39" s="317">
        <v>1038</v>
      </c>
      <c r="BA39" s="317">
        <v>1038</v>
      </c>
      <c r="BB39" s="317">
        <v>1087</v>
      </c>
      <c r="BC39" s="317">
        <v>1285</v>
      </c>
      <c r="BD39" s="317">
        <v>1384</v>
      </c>
      <c r="BE39" s="317">
        <v>1977</v>
      </c>
      <c r="BF39" s="91">
        <f t="shared" si="88"/>
        <v>14985</v>
      </c>
      <c r="BG39" s="93">
        <f t="shared" si="89"/>
        <v>0.10054347826086962</v>
      </c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>
        <v>10087</v>
      </c>
      <c r="BU39" s="54"/>
      <c r="BV39" s="91">
        <v>1214.58</v>
      </c>
      <c r="BW39" s="91">
        <v>939.3</v>
      </c>
      <c r="BX39" s="91">
        <f>'META  EM PEÇAS'!U31-('META  EM PEÇAS'!U31*0.05)</f>
        <v>1055.7824999999998</v>
      </c>
      <c r="BY39" s="91">
        <f>'META  EM PEÇAS'!V31-('META  EM PEÇAS'!V31*0.05)</f>
        <v>978.03449999999998</v>
      </c>
      <c r="BZ39" s="91">
        <f>'META  EM PEÇAS'!W31-('META  EM PEÇAS'!W31*0.05)</f>
        <v>1098.1904999999999</v>
      </c>
      <c r="CA39" s="91">
        <f>'META  EM PEÇAS'!X31-('META  EM PEÇAS'!X31*0.05)</f>
        <v>1322.5994999999998</v>
      </c>
      <c r="CB39" s="91">
        <f>'META  EM PEÇAS'!Y31-('META  EM PEÇAS'!Y31*0.05)</f>
        <v>1590.3</v>
      </c>
      <c r="CC39" s="91">
        <f>'META  EM PEÇAS'!Z31-('META  EM PEÇAS'!Z31*0.05)</f>
        <v>1062.8505</v>
      </c>
      <c r="CD39" s="91">
        <f>'META  EM PEÇAS'!AA31-('META  EM PEÇAS'!AA31*0.05)</f>
        <v>1102.6079999999999</v>
      </c>
      <c r="CE39" s="91">
        <f>'META  EM PEÇAS'!AB31-('META  EM PEÇAS'!AB31*0.05)</f>
        <v>1196.259</v>
      </c>
      <c r="CF39" s="91">
        <f>'META  EM PEÇAS'!AC31-('META  EM PEÇAS'!AC31*0.05)</f>
        <v>1532.8724999999999</v>
      </c>
      <c r="CG39" s="91">
        <f>'META  EM PEÇAS'!AD31-('META  EM PEÇAS'!AD31*0.05)</f>
        <v>2160.1574999999998</v>
      </c>
      <c r="CH39" s="91">
        <f t="shared" si="90"/>
        <v>15253.534499999998</v>
      </c>
      <c r="CJ39" s="91">
        <v>1214.58</v>
      </c>
      <c r="CK39" s="91">
        <v>939.3</v>
      </c>
      <c r="CL39" s="91">
        <v>1055.7824999999998</v>
      </c>
      <c r="CM39" s="91">
        <v>978.03449999999998</v>
      </c>
      <c r="CN39" s="91">
        <v>1098.1904999999999</v>
      </c>
      <c r="CO39" s="91">
        <v>1322.5994999999998</v>
      </c>
      <c r="CP39" s="91">
        <v>1590.3</v>
      </c>
      <c r="CQ39" s="91">
        <v>1062.8505</v>
      </c>
      <c r="CR39" s="91">
        <v>1102.6079999999999</v>
      </c>
      <c r="CS39" s="91">
        <v>1196.259</v>
      </c>
      <c r="CT39" s="91">
        <v>1532.8724999999999</v>
      </c>
      <c r="CU39" s="91">
        <v>2160.1574999999998</v>
      </c>
      <c r="CV39" s="91">
        <v>15253.534499999998</v>
      </c>
      <c r="CX39" s="91">
        <v>1214.58</v>
      </c>
      <c r="CY39" s="91">
        <v>939.3</v>
      </c>
      <c r="CZ39" s="91">
        <v>1055.7824999999998</v>
      </c>
      <c r="DA39" s="91">
        <v>978.03449999999998</v>
      </c>
      <c r="DB39" s="91">
        <v>1098.1904999999999</v>
      </c>
      <c r="DC39" s="91">
        <v>1322.5994999999998</v>
      </c>
      <c r="DD39" s="91">
        <v>1590.3</v>
      </c>
      <c r="DE39" s="91">
        <v>1062.8505</v>
      </c>
      <c r="DF39" s="91">
        <v>1102.6079999999999</v>
      </c>
      <c r="DG39" s="91">
        <v>1196.259</v>
      </c>
      <c r="DH39" s="91">
        <v>1532.8724999999999</v>
      </c>
      <c r="DI39" s="91">
        <v>2160.1574999999998</v>
      </c>
      <c r="DJ39" s="91">
        <v>15253.534499999998</v>
      </c>
    </row>
    <row r="40" spans="1:114" ht="15" customHeight="1" outlineLevel="1">
      <c r="A40" s="94">
        <v>7</v>
      </c>
      <c r="B40" s="1092" t="s">
        <v>62</v>
      </c>
      <c r="C40" s="1118"/>
      <c r="D40" s="313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314">
        <f t="shared" si="85"/>
        <v>0</v>
      </c>
      <c r="Q40" s="90"/>
      <c r="R40" s="313">
        <v>2000</v>
      </c>
      <c r="S40" s="91">
        <f>2182</f>
        <v>2182</v>
      </c>
      <c r="T40" s="91">
        <f>2455/2</f>
        <v>1227.5</v>
      </c>
      <c r="U40" s="91">
        <f>4*U7</f>
        <v>4</v>
      </c>
      <c r="V40" s="91">
        <v>200</v>
      </c>
      <c r="W40" s="91">
        <v>700</v>
      </c>
      <c r="X40" s="91">
        <v>1600</v>
      </c>
      <c r="Y40" s="91">
        <v>1600</v>
      </c>
      <c r="Z40" s="91">
        <v>1600</v>
      </c>
      <c r="AA40" s="91">
        <v>1600</v>
      </c>
      <c r="AB40" s="91">
        <v>2500</v>
      </c>
      <c r="AC40" s="91">
        <v>3200</v>
      </c>
      <c r="AD40" s="315">
        <f t="shared" si="86"/>
        <v>18413.5</v>
      </c>
      <c r="AE40" s="23"/>
      <c r="AF40" s="316">
        <v>2600</v>
      </c>
      <c r="AG40" s="91">
        <v>1000</v>
      </c>
      <c r="AH40" s="91">
        <v>195</v>
      </c>
      <c r="AI40" s="91">
        <v>844</v>
      </c>
      <c r="AJ40" s="91">
        <v>1973</v>
      </c>
      <c r="AK40" s="91">
        <v>1840</v>
      </c>
      <c r="AL40" s="91">
        <v>2000</v>
      </c>
      <c r="AM40" s="91">
        <v>2300</v>
      </c>
      <c r="AN40" s="91">
        <v>2300</v>
      </c>
      <c r="AO40" s="91">
        <v>2300</v>
      </c>
      <c r="AP40" s="91">
        <v>2530</v>
      </c>
      <c r="AQ40" s="91">
        <v>3680</v>
      </c>
      <c r="AR40" s="92">
        <f t="shared" si="87"/>
        <v>23562</v>
      </c>
      <c r="AS40" s="23"/>
      <c r="AT40" s="91">
        <v>1888</v>
      </c>
      <c r="AU40" s="91">
        <v>1414</v>
      </c>
      <c r="AV40" s="91">
        <v>2073</v>
      </c>
      <c r="AW40" s="91">
        <v>2338</v>
      </c>
      <c r="AX40" s="317">
        <v>1857</v>
      </c>
      <c r="AY40" s="317">
        <v>1857</v>
      </c>
      <c r="AZ40" s="317">
        <v>1772</v>
      </c>
      <c r="BA40" s="317">
        <v>1772</v>
      </c>
      <c r="BB40" s="317">
        <v>1857</v>
      </c>
      <c r="BC40" s="317">
        <v>2194</v>
      </c>
      <c r="BD40" s="317">
        <v>2363</v>
      </c>
      <c r="BE40" s="317">
        <v>3376</v>
      </c>
      <c r="BF40" s="91">
        <f t="shared" si="88"/>
        <v>24761</v>
      </c>
      <c r="BG40" s="93">
        <f t="shared" si="89"/>
        <v>5.0887021475256811E-2</v>
      </c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>
        <v>22941</v>
      </c>
      <c r="BU40" s="54"/>
      <c r="BV40" s="91">
        <v>3211.29</v>
      </c>
      <c r="BW40" s="91">
        <v>2482.1699999999996</v>
      </c>
      <c r="BX40" s="91">
        <f>'META  EM PEÇAS'!U32-('META  EM PEÇAS'!U32*0.05)</f>
        <v>2790.0929999999998</v>
      </c>
      <c r="BY40" s="91">
        <f>'META  EM PEÇAS'!V32-('META  EM PEÇAS'!V32*0.05)</f>
        <v>2586.0044999999996</v>
      </c>
      <c r="BZ40" s="91">
        <f>'META  EM PEÇAS'!W32-('META  EM PEÇAS'!W32*0.05)</f>
        <v>2902.2974999999997</v>
      </c>
      <c r="CA40" s="91">
        <f>'META  EM PEÇAS'!X32-('META  EM PEÇAS'!X32*0.05)</f>
        <v>3495.1259999999997</v>
      </c>
      <c r="CB40" s="91">
        <f>'META  EM PEÇAS'!Y32-('META  EM PEÇAS'!Y32*0.05)</f>
        <v>4203.6929999999993</v>
      </c>
      <c r="CC40" s="91">
        <f>'META  EM PEÇAS'!Z32-('META  EM PEÇAS'!Z32*0.05)</f>
        <v>2810.4135000000001</v>
      </c>
      <c r="CD40" s="91">
        <f>'META  EM PEÇAS'!AA32-('META  EM PEÇAS'!AA32*0.05)</f>
        <v>2914.6664999999998</v>
      </c>
      <c r="CE40" s="91">
        <f>'META  EM PEÇAS'!AB32-('META  EM PEÇAS'!AB32*0.05)</f>
        <v>3162.93</v>
      </c>
      <c r="CF40" s="91">
        <f>'META  EM PEÇAS'!AC32-('META  EM PEÇAS'!AC32*0.05)</f>
        <v>4051.7309999999998</v>
      </c>
      <c r="CG40" s="91">
        <f>'META  EM PEÇAS'!AD32-('META  EM PEÇAS'!AD32*0.05)</f>
        <v>5709.1769999999997</v>
      </c>
      <c r="CH40" s="91">
        <f t="shared" si="90"/>
        <v>40319.59199999999</v>
      </c>
      <c r="CJ40" s="91">
        <v>3211.29</v>
      </c>
      <c r="CK40" s="91">
        <v>2482.1699999999996</v>
      </c>
      <c r="CL40" s="91">
        <v>2790.0929999999998</v>
      </c>
      <c r="CM40" s="91">
        <v>2586.0044999999996</v>
      </c>
      <c r="CN40" s="91">
        <v>2902.2974999999997</v>
      </c>
      <c r="CO40" s="91">
        <v>3495.1259999999997</v>
      </c>
      <c r="CP40" s="91">
        <v>4203.6929999999993</v>
      </c>
      <c r="CQ40" s="91">
        <v>2810.4135000000001</v>
      </c>
      <c r="CR40" s="91">
        <v>2914.6664999999998</v>
      </c>
      <c r="CS40" s="91">
        <v>3162.93</v>
      </c>
      <c r="CT40" s="91">
        <v>4051.7309999999998</v>
      </c>
      <c r="CU40" s="91">
        <v>5709.1769999999997</v>
      </c>
      <c r="CV40" s="91">
        <v>40319.59199999999</v>
      </c>
      <c r="CX40" s="91">
        <v>3211.29</v>
      </c>
      <c r="CY40" s="91">
        <v>2482.1699999999996</v>
      </c>
      <c r="CZ40" s="91">
        <v>2790.0929999999998</v>
      </c>
      <c r="DA40" s="91">
        <v>2586.0044999999996</v>
      </c>
      <c r="DB40" s="91">
        <v>2902.2974999999997</v>
      </c>
      <c r="DC40" s="91">
        <v>3495.1259999999997</v>
      </c>
      <c r="DD40" s="91">
        <v>4203.6929999999993</v>
      </c>
      <c r="DE40" s="91">
        <v>2810.4135000000001</v>
      </c>
      <c r="DF40" s="91">
        <v>2914.6664999999998</v>
      </c>
      <c r="DG40" s="91">
        <v>3162.93</v>
      </c>
      <c r="DH40" s="91">
        <v>4051.7309999999998</v>
      </c>
      <c r="DI40" s="91">
        <v>5709.1769999999997</v>
      </c>
      <c r="DJ40" s="91">
        <v>40319.59199999999</v>
      </c>
    </row>
    <row r="41" spans="1:114" ht="15" customHeight="1" outlineLevel="1">
      <c r="A41" s="94">
        <v>9</v>
      </c>
      <c r="B41" s="1092" t="s">
        <v>63</v>
      </c>
      <c r="C41" s="1118"/>
      <c r="D41" s="313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314">
        <f t="shared" si="85"/>
        <v>0</v>
      </c>
      <c r="Q41" s="90"/>
      <c r="R41" s="313">
        <v>1636</v>
      </c>
      <c r="S41" s="91">
        <v>1636</v>
      </c>
      <c r="T41" s="91">
        <f t="shared" ref="T41:T42" si="92">1818/2</f>
        <v>909</v>
      </c>
      <c r="U41" s="91">
        <v>0</v>
      </c>
      <c r="V41" s="91">
        <v>200</v>
      </c>
      <c r="W41" s="91">
        <v>300</v>
      </c>
      <c r="X41" s="91">
        <v>1000</v>
      </c>
      <c r="Y41" s="91">
        <v>1200</v>
      </c>
      <c r="Z41" s="91">
        <v>1600</v>
      </c>
      <c r="AA41" s="91">
        <v>1600</v>
      </c>
      <c r="AB41" s="91">
        <v>1800</v>
      </c>
      <c r="AC41" s="91">
        <v>2300</v>
      </c>
      <c r="AD41" s="315">
        <f t="shared" si="86"/>
        <v>14181</v>
      </c>
      <c r="AE41" s="23"/>
      <c r="AF41" s="316">
        <v>1500</v>
      </c>
      <c r="AG41" s="91">
        <v>1000</v>
      </c>
      <c r="AH41" s="91">
        <v>126</v>
      </c>
      <c r="AI41" s="91">
        <v>387</v>
      </c>
      <c r="AJ41" s="91">
        <v>895</v>
      </c>
      <c r="AK41" s="91">
        <v>800</v>
      </c>
      <c r="AL41" s="91">
        <v>1500</v>
      </c>
      <c r="AM41" s="91">
        <v>1000</v>
      </c>
      <c r="AN41" s="91">
        <v>1000</v>
      </c>
      <c r="AO41" s="91">
        <v>1000</v>
      </c>
      <c r="AP41" s="91">
        <v>1100</v>
      </c>
      <c r="AQ41" s="91">
        <v>1600</v>
      </c>
      <c r="AR41" s="92">
        <f t="shared" si="87"/>
        <v>11908</v>
      </c>
      <c r="AS41" s="23"/>
      <c r="AT41" s="91">
        <v>1182</v>
      </c>
      <c r="AU41" s="91">
        <v>1200</v>
      </c>
      <c r="AV41" s="91">
        <v>932</v>
      </c>
      <c r="AW41" s="91">
        <v>1020</v>
      </c>
      <c r="AX41" s="317">
        <v>0</v>
      </c>
      <c r="AY41" s="317">
        <v>0</v>
      </c>
      <c r="AZ41" s="317">
        <v>0</v>
      </c>
      <c r="BA41" s="317">
        <v>0</v>
      </c>
      <c r="BB41" s="317">
        <v>0</v>
      </c>
      <c r="BC41" s="317">
        <v>0</v>
      </c>
      <c r="BD41" s="317">
        <v>0</v>
      </c>
      <c r="BE41" s="317">
        <v>0</v>
      </c>
      <c r="BF41" s="91">
        <f t="shared" si="88"/>
        <v>4334</v>
      </c>
      <c r="BG41" s="93">
        <f t="shared" si="89"/>
        <v>-0.63604299630500505</v>
      </c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>
        <v>7070</v>
      </c>
      <c r="BU41" s="54"/>
      <c r="BV41" s="91">
        <v>928.14</v>
      </c>
      <c r="BW41" s="91">
        <v>717.95999999999992</v>
      </c>
      <c r="BX41" s="91">
        <f>'META  EM PEÇAS'!U37-('META  EM PEÇAS'!U37*0.05)</f>
        <v>806.63549999999987</v>
      </c>
      <c r="BY41" s="91">
        <f>'META  EM PEÇAS'!V37-('META  EM PEÇAS'!V37*0.05)</f>
        <v>747.44100000000003</v>
      </c>
      <c r="BZ41" s="91">
        <f>'META  EM PEÇAS'!W37-('META  EM PEÇAS'!W37*0.05)</f>
        <v>839.32499999999993</v>
      </c>
      <c r="CA41" s="91">
        <f>'META  EM PEÇAS'!X37-('META  EM PEÇAS'!X37*0.05)</f>
        <v>1010.7239999999998</v>
      </c>
      <c r="CB41" s="91">
        <f>'META  EM PEÇAS'!Y37-('META  EM PEÇAS'!Y37*0.05)</f>
        <v>1214.8125</v>
      </c>
      <c r="CC41" s="91">
        <f>'META  EM PEÇAS'!Z37-('META  EM PEÇAS'!Z37*0.05)</f>
        <v>812.81999999999994</v>
      </c>
      <c r="CD41" s="91">
        <f>'META  EM PEÇAS'!AA37-('META  EM PEÇAS'!AA37*0.05)</f>
        <v>842.85899999999992</v>
      </c>
      <c r="CE41" s="91">
        <f>'META  EM PEÇAS'!AB37-('META  EM PEÇAS'!AB37*0.05)</f>
        <v>914.4224999999999</v>
      </c>
      <c r="CF41" s="91">
        <f>'META  EM PEÇAS'!AC37-('META  EM PEÇAS'!AC37*0.05)</f>
        <v>1171.5209999999997</v>
      </c>
      <c r="CG41" s="91">
        <f>'META  EM PEÇAS'!AD37-('META  EM PEÇAS'!AD37*0.05)</f>
        <v>1650.3779999999997</v>
      </c>
      <c r="CH41" s="91">
        <f t="shared" si="90"/>
        <v>11657.038499999999</v>
      </c>
      <c r="CJ41" s="91">
        <v>928.14</v>
      </c>
      <c r="CK41" s="91">
        <v>717.95999999999992</v>
      </c>
      <c r="CL41" s="91">
        <v>806.63549999999987</v>
      </c>
      <c r="CM41" s="91">
        <v>747.44100000000003</v>
      </c>
      <c r="CN41" s="91">
        <v>839.32499999999993</v>
      </c>
      <c r="CO41" s="91">
        <v>1010.7239999999998</v>
      </c>
      <c r="CP41" s="91">
        <v>1214.8125</v>
      </c>
      <c r="CQ41" s="91">
        <v>812.81999999999994</v>
      </c>
      <c r="CR41" s="91">
        <v>842.85899999999992</v>
      </c>
      <c r="CS41" s="91">
        <v>914.4224999999999</v>
      </c>
      <c r="CT41" s="91">
        <v>1171.5209999999997</v>
      </c>
      <c r="CU41" s="91">
        <v>1650.3779999999997</v>
      </c>
      <c r="CV41" s="91">
        <v>11657.038499999999</v>
      </c>
      <c r="CX41" s="91">
        <v>928.14</v>
      </c>
      <c r="CY41" s="91">
        <v>717.95999999999992</v>
      </c>
      <c r="CZ41" s="91">
        <v>806.63549999999987</v>
      </c>
      <c r="DA41" s="91">
        <v>747.44100000000003</v>
      </c>
      <c r="DB41" s="91">
        <v>839.32499999999993</v>
      </c>
      <c r="DC41" s="91">
        <v>1010.7239999999998</v>
      </c>
      <c r="DD41" s="91">
        <v>1214.8125</v>
      </c>
      <c r="DE41" s="91">
        <v>812.81999999999994</v>
      </c>
      <c r="DF41" s="91">
        <v>842.85899999999992</v>
      </c>
      <c r="DG41" s="91">
        <v>914.4224999999999</v>
      </c>
      <c r="DH41" s="91">
        <v>1171.5209999999997</v>
      </c>
      <c r="DI41" s="91">
        <v>1650.3779999999997</v>
      </c>
      <c r="DJ41" s="91">
        <v>11657.038499999999</v>
      </c>
    </row>
    <row r="42" spans="1:114" ht="15" customHeight="1" outlineLevel="1">
      <c r="A42" s="94">
        <v>10</v>
      </c>
      <c r="B42" s="1092" t="s">
        <v>64</v>
      </c>
      <c r="C42" s="1118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si="85"/>
        <v>0</v>
      </c>
      <c r="Q42" s="90"/>
      <c r="R42" s="313">
        <v>1636</v>
      </c>
      <c r="S42" s="91">
        <v>1636</v>
      </c>
      <c r="T42" s="91">
        <f t="shared" si="92"/>
        <v>909</v>
      </c>
      <c r="U42" s="91">
        <f>0.5*U7</f>
        <v>0.5</v>
      </c>
      <c r="V42" s="91">
        <v>200</v>
      </c>
      <c r="W42" s="91">
        <v>300</v>
      </c>
      <c r="X42" s="91">
        <v>1000</v>
      </c>
      <c r="Y42" s="91">
        <v>1200</v>
      </c>
      <c r="Z42" s="91">
        <v>1600</v>
      </c>
      <c r="AA42" s="91">
        <v>1600</v>
      </c>
      <c r="AB42" s="91">
        <v>1800</v>
      </c>
      <c r="AC42" s="91">
        <v>2300</v>
      </c>
      <c r="AD42" s="315">
        <f t="shared" si="86"/>
        <v>14181.5</v>
      </c>
      <c r="AE42" s="23"/>
      <c r="AF42" s="316">
        <v>1500</v>
      </c>
      <c r="AG42" s="91">
        <v>1000</v>
      </c>
      <c r="AH42" s="91">
        <v>764</v>
      </c>
      <c r="AI42" s="91">
        <v>561</v>
      </c>
      <c r="AJ42" s="91">
        <v>1353</v>
      </c>
      <c r="AK42" s="91">
        <v>960</v>
      </c>
      <c r="AL42" s="91">
        <v>1500</v>
      </c>
      <c r="AM42" s="91">
        <v>1200</v>
      </c>
      <c r="AN42" s="91">
        <v>1200</v>
      </c>
      <c r="AO42" s="91">
        <v>1200</v>
      </c>
      <c r="AP42" s="91">
        <v>1320</v>
      </c>
      <c r="AQ42" s="91">
        <v>1920</v>
      </c>
      <c r="AR42" s="92">
        <f t="shared" si="87"/>
        <v>14478</v>
      </c>
      <c r="AS42" s="23"/>
      <c r="AT42" s="91">
        <v>1285</v>
      </c>
      <c r="AU42" s="91">
        <v>957</v>
      </c>
      <c r="AV42" s="91">
        <v>1426</v>
      </c>
      <c r="AW42" s="91">
        <v>1595</v>
      </c>
      <c r="AX42" s="317">
        <v>1767</v>
      </c>
      <c r="AY42" s="317">
        <v>1767</v>
      </c>
      <c r="AZ42" s="317">
        <v>1686</v>
      </c>
      <c r="BA42" s="317">
        <v>1686</v>
      </c>
      <c r="BB42" s="317">
        <v>1767</v>
      </c>
      <c r="BC42" s="317">
        <v>2088</v>
      </c>
      <c r="BD42" s="317">
        <v>2248</v>
      </c>
      <c r="BE42" s="317">
        <v>3212</v>
      </c>
      <c r="BF42" s="91">
        <f t="shared" si="88"/>
        <v>21484</v>
      </c>
      <c r="BG42" s="93">
        <f t="shared" si="89"/>
        <v>0.48390661693604087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16952</v>
      </c>
      <c r="BU42" s="54"/>
      <c r="BV42" s="91">
        <v>2631.8999999999996</v>
      </c>
      <c r="BW42" s="91">
        <v>2034.84</v>
      </c>
      <c r="BX42" s="91">
        <f>'META  EM PEÇAS'!U33-('META  EM PEÇAS'!U33*0.05)</f>
        <v>2287.3815</v>
      </c>
      <c r="BY42" s="91">
        <f>'META  EM PEÇAS'!V33-('META  EM PEÇAS'!V33*0.05)</f>
        <v>2119.5164999999997</v>
      </c>
      <c r="BZ42" s="91">
        <f>'META  EM PEÇAS'!W33-('META  EM PEÇAS'!W33*0.05)</f>
        <v>2379.2655</v>
      </c>
      <c r="CA42" s="91">
        <f>'META  EM PEÇAS'!X33-('META  EM PEÇAS'!X33*0.05)</f>
        <v>2865.1904999999997</v>
      </c>
      <c r="CB42" s="91">
        <f>'META  EM PEÇAS'!Y33-('META  EM PEÇAS'!Y33*0.05)</f>
        <v>3445.6499999999996</v>
      </c>
      <c r="CC42" s="91">
        <f>'META  EM PEÇAS'!Z33-('META  EM PEÇAS'!Z33*0.05)</f>
        <v>2303.2844999999998</v>
      </c>
      <c r="CD42" s="91">
        <f>'META  EM PEÇAS'!AA33-('META  EM PEÇAS'!AA33*0.05)</f>
        <v>2388.9839999999999</v>
      </c>
      <c r="CE42" s="91">
        <f>'META  EM PEÇAS'!AB33-('META  EM PEÇAS'!AB33*0.05)</f>
        <v>2592.1889999999999</v>
      </c>
      <c r="CF42" s="91">
        <f>'META  EM PEÇAS'!AC33-('META  EM PEÇAS'!AC33*0.05)</f>
        <v>3321.0765000000001</v>
      </c>
      <c r="CG42" s="91">
        <f>'META  EM PEÇAS'!AD33-('META  EM PEÇAS'!AD33*0.05)</f>
        <v>4679.8995000000004</v>
      </c>
      <c r="CH42" s="91">
        <f t="shared" si="90"/>
        <v>33049.177499999998</v>
      </c>
      <c r="CJ42" s="91">
        <v>2631.8999999999996</v>
      </c>
      <c r="CK42" s="91">
        <v>2034.84</v>
      </c>
      <c r="CL42" s="91">
        <v>2287.3815</v>
      </c>
      <c r="CM42" s="91">
        <v>2119.5164999999997</v>
      </c>
      <c r="CN42" s="91">
        <v>2379.2655</v>
      </c>
      <c r="CO42" s="91">
        <v>2865.1904999999997</v>
      </c>
      <c r="CP42" s="91">
        <v>3445.6499999999996</v>
      </c>
      <c r="CQ42" s="91">
        <v>2303.2844999999998</v>
      </c>
      <c r="CR42" s="91">
        <v>2388.9839999999999</v>
      </c>
      <c r="CS42" s="91">
        <v>2592.1889999999999</v>
      </c>
      <c r="CT42" s="91">
        <v>3321.0765000000001</v>
      </c>
      <c r="CU42" s="91">
        <v>4679.8995000000004</v>
      </c>
      <c r="CV42" s="91">
        <v>33049.177499999998</v>
      </c>
      <c r="CX42" s="91">
        <v>2631.8999999999996</v>
      </c>
      <c r="CY42" s="91">
        <v>2034.84</v>
      </c>
      <c r="CZ42" s="91">
        <v>2287.3815</v>
      </c>
      <c r="DA42" s="91">
        <v>2119.5164999999997</v>
      </c>
      <c r="DB42" s="91">
        <v>2379.2655</v>
      </c>
      <c r="DC42" s="91">
        <v>2865.1904999999997</v>
      </c>
      <c r="DD42" s="91">
        <v>3445.6499999999996</v>
      </c>
      <c r="DE42" s="91">
        <v>2303.2844999999998</v>
      </c>
      <c r="DF42" s="91">
        <v>2388.9839999999999</v>
      </c>
      <c r="DG42" s="91">
        <v>2592.1889999999999</v>
      </c>
      <c r="DH42" s="91">
        <v>3321.0765000000001</v>
      </c>
      <c r="DI42" s="91">
        <v>4679.8995000000004</v>
      </c>
      <c r="DJ42" s="91">
        <v>33049.177499999998</v>
      </c>
    </row>
    <row r="43" spans="1:114" ht="15" customHeight="1" outlineLevel="1">
      <c r="A43" s="94">
        <v>10</v>
      </c>
      <c r="B43" s="1092" t="s">
        <v>65</v>
      </c>
      <c r="C43" s="1118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>
        <f t="shared" si="85"/>
        <v>0</v>
      </c>
      <c r="Q43" s="90"/>
      <c r="R43" s="313">
        <v>0</v>
      </c>
      <c r="S43" s="91">
        <v>0</v>
      </c>
      <c r="T43" s="91">
        <v>0</v>
      </c>
      <c r="U43" s="91">
        <v>0</v>
      </c>
      <c r="V43" s="91">
        <v>3500</v>
      </c>
      <c r="W43" s="91">
        <v>350</v>
      </c>
      <c r="X43" s="91">
        <v>800</v>
      </c>
      <c r="Y43" s="91">
        <v>1000</v>
      </c>
      <c r="Z43" s="91">
        <v>1600</v>
      </c>
      <c r="AA43" s="91">
        <v>2000</v>
      </c>
      <c r="AB43" s="91">
        <v>2400</v>
      </c>
      <c r="AC43" s="91">
        <v>3000</v>
      </c>
      <c r="AD43" s="315">
        <f t="shared" si="86"/>
        <v>14650</v>
      </c>
      <c r="AE43" s="23"/>
      <c r="AF43" s="316">
        <v>2500</v>
      </c>
      <c r="AG43" s="91">
        <v>1000</v>
      </c>
      <c r="AH43" s="91">
        <f>2500*0.15</f>
        <v>375</v>
      </c>
      <c r="AI43" s="91">
        <v>787</v>
      </c>
      <c r="AJ43" s="91">
        <v>1569</v>
      </c>
      <c r="AK43" s="91">
        <v>2000</v>
      </c>
      <c r="AL43" s="91">
        <v>2500</v>
      </c>
      <c r="AM43" s="91">
        <v>2500</v>
      </c>
      <c r="AN43" s="91">
        <v>2500</v>
      </c>
      <c r="AO43" s="91">
        <v>2500</v>
      </c>
      <c r="AP43" s="91">
        <v>2750</v>
      </c>
      <c r="AQ43" s="91">
        <v>4000</v>
      </c>
      <c r="AR43" s="92">
        <f t="shared" si="87"/>
        <v>24981</v>
      </c>
      <c r="AS43" s="23"/>
      <c r="AT43" s="91">
        <v>1806</v>
      </c>
      <c r="AU43" s="91">
        <v>2046</v>
      </c>
      <c r="AV43" s="91">
        <v>1646</v>
      </c>
      <c r="AW43" s="91">
        <v>1902</v>
      </c>
      <c r="AX43" s="317">
        <v>1545</v>
      </c>
      <c r="AY43" s="317">
        <v>1545</v>
      </c>
      <c r="AZ43" s="317">
        <v>1475</v>
      </c>
      <c r="BA43" s="317">
        <v>1475</v>
      </c>
      <c r="BB43" s="317">
        <v>1545</v>
      </c>
      <c r="BC43" s="317">
        <v>1826</v>
      </c>
      <c r="BD43" s="317">
        <v>0</v>
      </c>
      <c r="BE43" s="317">
        <v>0</v>
      </c>
      <c r="BF43" s="91">
        <f t="shared" si="88"/>
        <v>16811</v>
      </c>
      <c r="BG43" s="93">
        <f t="shared" si="89"/>
        <v>-0.32704855690324641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10230</v>
      </c>
      <c r="BU43" s="54"/>
      <c r="BV43" s="91">
        <v>1335.48</v>
      </c>
      <c r="BW43" s="91">
        <v>1032.3</v>
      </c>
      <c r="BX43" s="91">
        <f>'META  EM PEÇAS'!U39-('META  EM PEÇAS'!U39*0.05)</f>
        <v>1160.0355</v>
      </c>
      <c r="BY43" s="91">
        <f>'META  EM PEÇAS'!V39-('META  EM PEÇAS'!V39*0.05)</f>
        <v>1075.2194999999999</v>
      </c>
      <c r="BZ43" s="91">
        <f>'META  EM PEÇAS'!W39-('META  EM PEÇAS'!W39*0.05)</f>
        <v>1206.8609999999999</v>
      </c>
      <c r="CA43" s="91">
        <f>'META  EM PEÇAS'!X39-('META  EM PEÇAS'!X39*0.05)</f>
        <v>1453.3574999999998</v>
      </c>
      <c r="CB43" s="91">
        <f>'META  EM PEÇAS'!Y39-('META  EM PEÇAS'!Y39*0.05)</f>
        <v>1747.5629999999999</v>
      </c>
      <c r="CC43" s="91">
        <f>'META  EM PEÇAS'!Z39-('META  EM PEÇAS'!Z39*0.05)</f>
        <v>1168.8705</v>
      </c>
      <c r="CD43" s="91">
        <f>'META  EM PEÇAS'!AA39-('META  EM PEÇAS'!AA39*0.05)</f>
        <v>1212.1619999999998</v>
      </c>
      <c r="CE43" s="91">
        <f>'META  EM PEÇAS'!AB39-('META  EM PEÇAS'!AB39*0.05)</f>
        <v>1314.6479999999999</v>
      </c>
      <c r="CF43" s="91">
        <f>'META  EM PEÇAS'!AC39-('META  EM PEÇAS'!AC39*0.05)</f>
        <v>1684.8344999999999</v>
      </c>
      <c r="CG43" s="91">
        <f>'META  EM PEÇAS'!AD39-('META  EM PEÇAS'!AD39*0.05)</f>
        <v>2373.9645</v>
      </c>
      <c r="CH43" s="91">
        <f t="shared" si="90"/>
        <v>16765.295999999995</v>
      </c>
      <c r="CJ43" s="91">
        <v>1335.48</v>
      </c>
      <c r="CK43" s="91">
        <v>1032.3</v>
      </c>
      <c r="CL43" s="91">
        <v>1160.0355</v>
      </c>
      <c r="CM43" s="91">
        <v>1075.2194999999999</v>
      </c>
      <c r="CN43" s="91">
        <v>1206.8609999999999</v>
      </c>
      <c r="CO43" s="91">
        <v>1453.3574999999998</v>
      </c>
      <c r="CP43" s="91">
        <v>1747.5629999999999</v>
      </c>
      <c r="CQ43" s="91">
        <v>1168.8705</v>
      </c>
      <c r="CR43" s="91">
        <v>1212.1619999999998</v>
      </c>
      <c r="CS43" s="91">
        <v>1314.6479999999999</v>
      </c>
      <c r="CT43" s="91">
        <v>1684.8344999999999</v>
      </c>
      <c r="CU43" s="91">
        <v>2373.9645</v>
      </c>
      <c r="CV43" s="91">
        <v>16765.295999999995</v>
      </c>
      <c r="CX43" s="91">
        <v>1335.48</v>
      </c>
      <c r="CY43" s="91">
        <v>1032.3</v>
      </c>
      <c r="CZ43" s="91">
        <v>1160.0355</v>
      </c>
      <c r="DA43" s="91">
        <v>1075.2194999999999</v>
      </c>
      <c r="DB43" s="91">
        <v>1206.8609999999999</v>
      </c>
      <c r="DC43" s="91">
        <v>1453.3574999999998</v>
      </c>
      <c r="DD43" s="91">
        <v>1747.5629999999999</v>
      </c>
      <c r="DE43" s="91">
        <v>1168.8705</v>
      </c>
      <c r="DF43" s="91">
        <v>1212.1619999999998</v>
      </c>
      <c r="DG43" s="91">
        <v>1314.6479999999999</v>
      </c>
      <c r="DH43" s="91">
        <v>1684.8344999999999</v>
      </c>
      <c r="DI43" s="91">
        <v>2373.9645</v>
      </c>
      <c r="DJ43" s="91">
        <v>16765.295999999995</v>
      </c>
    </row>
    <row r="44" spans="1:114" ht="15" customHeight="1" outlineLevel="1">
      <c r="A44" s="94">
        <v>11</v>
      </c>
      <c r="B44" s="210" t="s">
        <v>66</v>
      </c>
      <c r="C44" s="211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>
        <f t="shared" si="85"/>
        <v>0</v>
      </c>
      <c r="Q44" s="90"/>
      <c r="R44" s="313">
        <v>0</v>
      </c>
      <c r="S44" s="91">
        <v>0</v>
      </c>
      <c r="T44" s="91">
        <v>0</v>
      </c>
      <c r="U44" s="91">
        <v>0</v>
      </c>
      <c r="V44" s="91">
        <v>4000</v>
      </c>
      <c r="W44" s="91">
        <v>100</v>
      </c>
      <c r="X44" s="91">
        <v>800</v>
      </c>
      <c r="Y44" s="91">
        <v>800</v>
      </c>
      <c r="Z44" s="91">
        <v>1200</v>
      </c>
      <c r="AA44" s="91">
        <v>1200</v>
      </c>
      <c r="AB44" s="91">
        <v>1800</v>
      </c>
      <c r="AC44" s="91">
        <v>2300</v>
      </c>
      <c r="AD44" s="315">
        <f t="shared" si="86"/>
        <v>12200</v>
      </c>
      <c r="AE44" s="23"/>
      <c r="AF44" s="316">
        <v>1500</v>
      </c>
      <c r="AG44" s="91">
        <v>1000</v>
      </c>
      <c r="AH44" s="91">
        <f t="shared" ref="AH44:AH45" si="93">1500*0.15</f>
        <v>225</v>
      </c>
      <c r="AI44" s="91">
        <v>324</v>
      </c>
      <c r="AJ44" s="91">
        <v>869</v>
      </c>
      <c r="AK44" s="91">
        <v>800</v>
      </c>
      <c r="AL44" s="91">
        <v>1500</v>
      </c>
      <c r="AM44" s="91">
        <v>1000</v>
      </c>
      <c r="AN44" s="91">
        <v>1000</v>
      </c>
      <c r="AO44" s="91">
        <v>1000</v>
      </c>
      <c r="AP44" s="91">
        <v>1100</v>
      </c>
      <c r="AQ44" s="91">
        <v>1600</v>
      </c>
      <c r="AR44" s="92">
        <f t="shared" si="87"/>
        <v>11918</v>
      </c>
      <c r="AS44" s="23"/>
      <c r="AT44" s="91">
        <v>1191</v>
      </c>
      <c r="AU44" s="91">
        <v>1191</v>
      </c>
      <c r="AV44" s="91">
        <v>1191</v>
      </c>
      <c r="AW44" s="91">
        <v>1191</v>
      </c>
      <c r="AX44" s="317">
        <v>876</v>
      </c>
      <c r="AY44" s="317">
        <v>876</v>
      </c>
      <c r="AZ44" s="317">
        <v>836</v>
      </c>
      <c r="BA44" s="317">
        <v>836</v>
      </c>
      <c r="BB44" s="317">
        <v>876</v>
      </c>
      <c r="BC44" s="317">
        <v>1035</v>
      </c>
      <c r="BD44" s="317">
        <v>0</v>
      </c>
      <c r="BE44" s="317">
        <v>0</v>
      </c>
      <c r="BF44" s="91">
        <f t="shared" si="88"/>
        <v>10099</v>
      </c>
      <c r="BG44" s="93">
        <f t="shared" si="89"/>
        <v>-0.15262627957711028</v>
      </c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>
        <v>7342</v>
      </c>
      <c r="BU44" s="54"/>
      <c r="BV44" s="91">
        <v>1643.31</v>
      </c>
      <c r="BW44" s="91">
        <v>1270.3799999999999</v>
      </c>
      <c r="BX44" s="91">
        <f>'META  EM PEÇAS'!U40-('META  EM PEÇAS'!U40*0.05)</f>
        <v>1427.7359999999999</v>
      </c>
      <c r="BY44" s="91">
        <f>'META  EM PEÇAS'!V40-('META  EM PEÇAS'!V40*0.05)</f>
        <v>1323.4829999999999</v>
      </c>
      <c r="BZ44" s="91">
        <f>'META  EM PEÇAS'!W40-('META  EM PEÇAS'!W40*0.05)</f>
        <v>1485.1634999999999</v>
      </c>
      <c r="CA44" s="91">
        <f>'META  EM PEÇAS'!X40-('META  EM PEÇAS'!X40*0.05)</f>
        <v>1788.204</v>
      </c>
      <c r="CB44" s="91">
        <f>'META  EM PEÇAS'!Y40-('META  EM PEÇAS'!Y40*0.05)</f>
        <v>2151.3224999999998</v>
      </c>
      <c r="CC44" s="91">
        <f>'META  EM PEÇAS'!Z40-('META  EM PEÇAS'!Z40*0.05)</f>
        <v>1438.338</v>
      </c>
      <c r="CD44" s="91">
        <f>'META  EM PEÇAS'!AA40-('META  EM PEÇAS'!AA40*0.05)</f>
        <v>1491.348</v>
      </c>
      <c r="CE44" s="91">
        <f>'META  EM PEÇAS'!AB40-('META  EM PEÇAS'!AB40*0.05)</f>
        <v>1618.5719999999999</v>
      </c>
      <c r="CF44" s="91">
        <f>'META  EM PEÇAS'!AC40-('META  EM PEÇAS'!AC40*0.05)</f>
        <v>2073.5745000000002</v>
      </c>
      <c r="CG44" s="91">
        <f>'META  EM PEÇAS'!AD40-('META  EM PEÇAS'!AD40*0.05)</f>
        <v>2921.7344999999996</v>
      </c>
      <c r="CH44" s="91">
        <f t="shared" si="90"/>
        <v>20633.165999999997</v>
      </c>
      <c r="CJ44" s="91">
        <v>1643.31</v>
      </c>
      <c r="CK44" s="91">
        <v>1270.3799999999999</v>
      </c>
      <c r="CL44" s="91">
        <v>1427.7359999999999</v>
      </c>
      <c r="CM44" s="91">
        <v>1323.4829999999999</v>
      </c>
      <c r="CN44" s="91">
        <v>1485.1634999999999</v>
      </c>
      <c r="CO44" s="91">
        <v>1788.204</v>
      </c>
      <c r="CP44" s="91">
        <v>2151.3224999999998</v>
      </c>
      <c r="CQ44" s="91">
        <v>1438.338</v>
      </c>
      <c r="CR44" s="91">
        <v>1491.348</v>
      </c>
      <c r="CS44" s="91">
        <v>1618.5719999999999</v>
      </c>
      <c r="CT44" s="91">
        <v>2073.5745000000002</v>
      </c>
      <c r="CU44" s="91">
        <v>2921.7344999999996</v>
      </c>
      <c r="CV44" s="91">
        <v>20633.165999999997</v>
      </c>
      <c r="CX44" s="91">
        <v>1643.31</v>
      </c>
      <c r="CY44" s="91">
        <v>1270.3799999999999</v>
      </c>
      <c r="CZ44" s="91">
        <v>1427.7359999999999</v>
      </c>
      <c r="DA44" s="91">
        <v>1323.4829999999999</v>
      </c>
      <c r="DB44" s="91">
        <v>1485.1634999999999</v>
      </c>
      <c r="DC44" s="91">
        <v>1788.204</v>
      </c>
      <c r="DD44" s="91">
        <v>2151.3224999999998</v>
      </c>
      <c r="DE44" s="91">
        <v>1438.338</v>
      </c>
      <c r="DF44" s="91">
        <v>1491.348</v>
      </c>
      <c r="DG44" s="91">
        <v>1618.5719999999999</v>
      </c>
      <c r="DH44" s="91">
        <v>2073.5745000000002</v>
      </c>
      <c r="DI44" s="91">
        <v>2921.7344999999996</v>
      </c>
      <c r="DJ44" s="91">
        <v>20633.165999999997</v>
      </c>
    </row>
    <row r="45" spans="1:114" ht="15" customHeight="1" outlineLevel="1">
      <c r="A45" s="94">
        <v>12</v>
      </c>
      <c r="B45" s="210" t="s">
        <v>67</v>
      </c>
      <c r="C45" s="211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>
        <f t="shared" si="85"/>
        <v>0</v>
      </c>
      <c r="Q45" s="90"/>
      <c r="R45" s="313">
        <v>0</v>
      </c>
      <c r="S45" s="91">
        <v>0</v>
      </c>
      <c r="T45" s="91">
        <v>0</v>
      </c>
      <c r="U45" s="91">
        <v>0</v>
      </c>
      <c r="V45" s="91">
        <v>4000</v>
      </c>
      <c r="W45" s="91">
        <v>0</v>
      </c>
      <c r="X45" s="91">
        <v>800</v>
      </c>
      <c r="Y45" s="91">
        <v>1000</v>
      </c>
      <c r="Z45" s="91">
        <v>1200</v>
      </c>
      <c r="AA45" s="91">
        <v>1200</v>
      </c>
      <c r="AB45" s="91">
        <v>1800</v>
      </c>
      <c r="AC45" s="91">
        <v>2300</v>
      </c>
      <c r="AD45" s="315">
        <f t="shared" si="86"/>
        <v>12300</v>
      </c>
      <c r="AE45" s="23"/>
      <c r="AF45" s="316">
        <v>1500</v>
      </c>
      <c r="AG45" s="91">
        <v>1200</v>
      </c>
      <c r="AH45" s="91">
        <f t="shared" si="93"/>
        <v>225</v>
      </c>
      <c r="AI45" s="91">
        <v>332</v>
      </c>
      <c r="AJ45" s="91">
        <v>945</v>
      </c>
      <c r="AK45" s="91">
        <v>960</v>
      </c>
      <c r="AL45" s="91">
        <v>1500</v>
      </c>
      <c r="AM45" s="91">
        <v>1200</v>
      </c>
      <c r="AN45" s="91">
        <v>1200</v>
      </c>
      <c r="AO45" s="91">
        <v>1200</v>
      </c>
      <c r="AP45" s="91">
        <v>1320</v>
      </c>
      <c r="AQ45" s="91">
        <v>1920</v>
      </c>
      <c r="AR45" s="92">
        <f t="shared" si="87"/>
        <v>13502</v>
      </c>
      <c r="AS45" s="23"/>
      <c r="AT45" s="91">
        <v>1254</v>
      </c>
      <c r="AU45" s="91">
        <v>1254</v>
      </c>
      <c r="AV45" s="91">
        <v>1254</v>
      </c>
      <c r="AW45" s="91">
        <v>1254</v>
      </c>
      <c r="AX45" s="317">
        <v>1236</v>
      </c>
      <c r="AY45" s="317">
        <v>1236</v>
      </c>
      <c r="AZ45" s="317">
        <v>0</v>
      </c>
      <c r="BA45" s="317">
        <v>0</v>
      </c>
      <c r="BB45" s="317">
        <v>0</v>
      </c>
      <c r="BC45" s="317">
        <v>0</v>
      </c>
      <c r="BD45" s="317">
        <v>0</v>
      </c>
      <c r="BE45" s="317">
        <v>0</v>
      </c>
      <c r="BF45" s="91">
        <f t="shared" si="88"/>
        <v>7488</v>
      </c>
      <c r="BG45" s="93">
        <f t="shared" si="89"/>
        <v>-0.44541549400088876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>
        <v>16899</v>
      </c>
      <c r="BU45" s="54"/>
      <c r="BV45" s="91">
        <v>2552.85</v>
      </c>
      <c r="BW45" s="91">
        <v>1973.4599999999998</v>
      </c>
      <c r="BX45" s="91">
        <f>'META  EM PEÇAS'!U34-('META  EM PEÇAS'!U34*0.05)</f>
        <v>2218.4684999999999</v>
      </c>
      <c r="BY45" s="91">
        <f>'META  EM PEÇAS'!V34-('META  EM PEÇAS'!V34*0.05)</f>
        <v>2056.788</v>
      </c>
      <c r="BZ45" s="91">
        <f>'META  EM PEÇAS'!W34-('META  EM PEÇAS'!W34*0.05)</f>
        <v>2307.7019999999998</v>
      </c>
      <c r="CA45" s="91">
        <f>'META  EM PEÇAS'!X34-('META  EM PEÇAS'!X34*0.05)</f>
        <v>2778.6075000000001</v>
      </c>
      <c r="CB45" s="91">
        <f>'META  EM PEÇAS'!Y34-('META  EM PEÇAS'!Y34*0.05)</f>
        <v>3342.2804999999998</v>
      </c>
      <c r="CC45" s="91">
        <f>'META  EM PEÇAS'!Z34-('META  EM PEÇAS'!Z34*0.05)</f>
        <v>2234.3714999999997</v>
      </c>
      <c r="CD45" s="91">
        <f>'META  EM PEÇAS'!AA34-('META  EM PEÇAS'!AA34*0.05)</f>
        <v>2317.4204999999997</v>
      </c>
      <c r="CE45" s="91">
        <f>'META  EM PEÇAS'!AB34-('META  EM PEÇAS'!AB34*0.05)</f>
        <v>2514.4409999999998</v>
      </c>
      <c r="CF45" s="91">
        <f>'META  EM PEÇAS'!AC34-('META  EM PEÇAS'!AC34*0.05)</f>
        <v>3221.241</v>
      </c>
      <c r="CG45" s="91">
        <f>'META  EM PEÇAS'!AD34-('META  EM PEÇAS'!AD34*0.05)</f>
        <v>4539.4229999999989</v>
      </c>
      <c r="CH45" s="91">
        <f t="shared" si="90"/>
        <v>32057.053499999998</v>
      </c>
      <c r="CJ45" s="91">
        <v>2552.85</v>
      </c>
      <c r="CK45" s="91">
        <v>1973.4599999999998</v>
      </c>
      <c r="CL45" s="91">
        <v>2218.4684999999999</v>
      </c>
      <c r="CM45" s="91">
        <v>2056.788</v>
      </c>
      <c r="CN45" s="91">
        <v>2307.7019999999998</v>
      </c>
      <c r="CO45" s="91">
        <v>2778.6075000000001</v>
      </c>
      <c r="CP45" s="91">
        <v>3342.2804999999998</v>
      </c>
      <c r="CQ45" s="91">
        <v>2234.3714999999997</v>
      </c>
      <c r="CR45" s="91">
        <v>2317.4204999999997</v>
      </c>
      <c r="CS45" s="91">
        <v>2514.4409999999998</v>
      </c>
      <c r="CT45" s="91">
        <v>3221.241</v>
      </c>
      <c r="CU45" s="91">
        <v>4539.4229999999989</v>
      </c>
      <c r="CV45" s="91">
        <v>32057.053499999998</v>
      </c>
      <c r="CX45" s="91">
        <v>2552.85</v>
      </c>
      <c r="CY45" s="91">
        <v>1973.4599999999998</v>
      </c>
      <c r="CZ45" s="91">
        <v>2218.4684999999999</v>
      </c>
      <c r="DA45" s="91">
        <v>2056.788</v>
      </c>
      <c r="DB45" s="91">
        <v>2307.7019999999998</v>
      </c>
      <c r="DC45" s="91">
        <v>2778.6075000000001</v>
      </c>
      <c r="DD45" s="91">
        <v>3342.2804999999998</v>
      </c>
      <c r="DE45" s="91">
        <v>2234.3714999999997</v>
      </c>
      <c r="DF45" s="91">
        <v>2317.4204999999997</v>
      </c>
      <c r="DG45" s="91">
        <v>2514.4409999999998</v>
      </c>
      <c r="DH45" s="91">
        <v>3221.241</v>
      </c>
      <c r="DI45" s="91">
        <v>4539.4229999999989</v>
      </c>
      <c r="DJ45" s="91">
        <v>32057.053499999998</v>
      </c>
    </row>
    <row r="46" spans="1:114" ht="15" customHeight="1" outlineLevel="1">
      <c r="A46" s="94">
        <v>13</v>
      </c>
      <c r="B46" s="210" t="s">
        <v>68</v>
      </c>
      <c r="C46" s="212"/>
      <c r="D46" s="313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314">
        <f t="shared" si="85"/>
        <v>0</v>
      </c>
      <c r="Q46" s="90"/>
      <c r="R46" s="313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2000</v>
      </c>
      <c r="Y46" s="91">
        <v>800</v>
      </c>
      <c r="Z46" s="91">
        <v>800</v>
      </c>
      <c r="AA46" s="91">
        <v>1200</v>
      </c>
      <c r="AB46" s="91">
        <v>1800</v>
      </c>
      <c r="AC46" s="91">
        <v>2300</v>
      </c>
      <c r="AD46" s="315">
        <f t="shared" si="86"/>
        <v>8900</v>
      </c>
      <c r="AE46" s="23"/>
      <c r="AF46" s="316">
        <v>1800</v>
      </c>
      <c r="AG46" s="91">
        <v>1200</v>
      </c>
      <c r="AH46" s="91">
        <f>1800*0.15</f>
        <v>270</v>
      </c>
      <c r="AI46" s="91">
        <v>896</v>
      </c>
      <c r="AJ46" s="91">
        <v>1339</v>
      </c>
      <c r="AK46" s="91">
        <v>1600</v>
      </c>
      <c r="AL46" s="91">
        <v>1800</v>
      </c>
      <c r="AM46" s="91">
        <v>2000</v>
      </c>
      <c r="AN46" s="91">
        <v>2000</v>
      </c>
      <c r="AO46" s="91">
        <v>2000</v>
      </c>
      <c r="AP46" s="91">
        <v>2200</v>
      </c>
      <c r="AQ46" s="91">
        <v>3200</v>
      </c>
      <c r="AR46" s="92">
        <f t="shared" si="87"/>
        <v>20305</v>
      </c>
      <c r="AS46" s="23"/>
      <c r="AT46" s="91">
        <v>1980</v>
      </c>
      <c r="AU46" s="91">
        <v>1980</v>
      </c>
      <c r="AV46" s="91">
        <v>1980</v>
      </c>
      <c r="AW46" s="91">
        <v>1980</v>
      </c>
      <c r="AX46" s="317">
        <v>1409</v>
      </c>
      <c r="AY46" s="317">
        <v>1409</v>
      </c>
      <c r="AZ46" s="317">
        <v>1345</v>
      </c>
      <c r="BA46" s="317">
        <v>1345</v>
      </c>
      <c r="BB46" s="317">
        <v>1409</v>
      </c>
      <c r="BC46" s="317">
        <v>1665</v>
      </c>
      <c r="BD46" s="317">
        <v>1793</v>
      </c>
      <c r="BE46" s="317">
        <v>2562</v>
      </c>
      <c r="BF46" s="91">
        <f t="shared" si="88"/>
        <v>20857</v>
      </c>
      <c r="BG46" s="93">
        <f t="shared" si="89"/>
        <v>2.7185422309775831E-2</v>
      </c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>
        <v>11555</v>
      </c>
      <c r="BU46" s="54"/>
      <c r="BV46" s="91">
        <v>1903.7099999999998</v>
      </c>
      <c r="BW46" s="91">
        <v>1471.26</v>
      </c>
      <c r="BX46" s="91">
        <f>'META  EM PEÇAS'!U35-('META  EM PEÇAS'!U35*0.05)</f>
        <v>1654.7954999999999</v>
      </c>
      <c r="BY46" s="91">
        <f>'META  EM PEÇAS'!V35-('META  EM PEÇAS'!V35*0.05)</f>
        <v>1533.7559999999999</v>
      </c>
      <c r="BZ46" s="91">
        <f>'META  EM PEÇAS'!W35-('META  EM PEÇAS'!W35*0.05)</f>
        <v>1721.058</v>
      </c>
      <c r="CA46" s="91">
        <f>'META  EM PEÇAS'!X35-('META  EM PEÇAS'!X35*0.05)</f>
        <v>2071.8074999999999</v>
      </c>
      <c r="CB46" s="91">
        <f>'META  EM PEÇAS'!Y35-('META  EM PEÇAS'!Y35*0.05)</f>
        <v>2492.3534999999997</v>
      </c>
      <c r="CC46" s="91">
        <f>'META  EM PEÇAS'!Z35-('META  EM PEÇAS'!Z35*0.05)</f>
        <v>1666.2809999999997</v>
      </c>
      <c r="CD46" s="91">
        <f>'META  EM PEÇAS'!AA35-('META  EM PEÇAS'!AA35*0.05)</f>
        <v>1728.126</v>
      </c>
      <c r="CE46" s="91">
        <f>'META  EM PEÇAS'!AB35-('META  EM PEÇAS'!AB35*0.05)</f>
        <v>1874.7869999999998</v>
      </c>
      <c r="CF46" s="91">
        <f>'META  EM PEÇAS'!AC35-('META  EM PEÇAS'!AC35*0.05)</f>
        <v>2402.2364999999995</v>
      </c>
      <c r="CG46" s="91">
        <f>'META  EM PEÇAS'!AD35-('META  EM PEÇAS'!AD35*0.05)</f>
        <v>3384.6884999999997</v>
      </c>
      <c r="CH46" s="91">
        <f t="shared" si="90"/>
        <v>23904.859499999995</v>
      </c>
      <c r="CJ46" s="91">
        <v>1903.7099999999998</v>
      </c>
      <c r="CK46" s="91">
        <v>1471.26</v>
      </c>
      <c r="CL46" s="91">
        <v>1654.7954999999999</v>
      </c>
      <c r="CM46" s="91">
        <v>1533.7559999999999</v>
      </c>
      <c r="CN46" s="91">
        <v>1721.058</v>
      </c>
      <c r="CO46" s="91">
        <v>2071.8074999999999</v>
      </c>
      <c r="CP46" s="91">
        <v>2492.3534999999997</v>
      </c>
      <c r="CQ46" s="91">
        <v>1666.2809999999997</v>
      </c>
      <c r="CR46" s="91">
        <v>1728.126</v>
      </c>
      <c r="CS46" s="91">
        <v>1874.7869999999998</v>
      </c>
      <c r="CT46" s="91">
        <v>2402.2364999999995</v>
      </c>
      <c r="CU46" s="91">
        <v>3384.6884999999997</v>
      </c>
      <c r="CV46" s="91">
        <v>23904.859499999995</v>
      </c>
      <c r="CX46" s="91">
        <v>1903.7099999999998</v>
      </c>
      <c r="CY46" s="91">
        <v>1471.26</v>
      </c>
      <c r="CZ46" s="91">
        <v>1654.7954999999999</v>
      </c>
      <c r="DA46" s="91">
        <v>1533.7559999999999</v>
      </c>
      <c r="DB46" s="91">
        <v>1721.058</v>
      </c>
      <c r="DC46" s="91">
        <v>2071.8074999999999</v>
      </c>
      <c r="DD46" s="91">
        <v>2492.3534999999997</v>
      </c>
      <c r="DE46" s="91">
        <v>1666.2809999999997</v>
      </c>
      <c r="DF46" s="91">
        <v>1728.126</v>
      </c>
      <c r="DG46" s="91">
        <v>1874.7869999999998</v>
      </c>
      <c r="DH46" s="91">
        <v>2402.2364999999995</v>
      </c>
      <c r="DI46" s="91">
        <v>3384.6884999999997</v>
      </c>
      <c r="DJ46" s="91">
        <v>23904.859499999995</v>
      </c>
    </row>
    <row r="47" spans="1:114" ht="15" customHeight="1" outlineLevel="1">
      <c r="A47" s="94">
        <v>14</v>
      </c>
      <c r="B47" s="210" t="s">
        <v>69</v>
      </c>
      <c r="C47" s="212"/>
      <c r="D47" s="313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314"/>
      <c r="Q47" s="90"/>
      <c r="R47" s="313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2000</v>
      </c>
      <c r="Z47" s="91">
        <v>800</v>
      </c>
      <c r="AA47" s="91">
        <v>800</v>
      </c>
      <c r="AB47" s="91">
        <v>1200</v>
      </c>
      <c r="AC47" s="91">
        <v>1800</v>
      </c>
      <c r="AD47" s="315">
        <f t="shared" si="86"/>
        <v>6600</v>
      </c>
      <c r="AE47" s="23"/>
      <c r="AF47" s="316">
        <v>1500</v>
      </c>
      <c r="AG47" s="91">
        <v>1200</v>
      </c>
      <c r="AH47" s="91">
        <f>1500*0.15</f>
        <v>225</v>
      </c>
      <c r="AI47" s="91">
        <v>374</v>
      </c>
      <c r="AJ47" s="91">
        <v>990</v>
      </c>
      <c r="AK47" s="91">
        <v>960</v>
      </c>
      <c r="AL47" s="91">
        <v>1800</v>
      </c>
      <c r="AM47" s="91">
        <v>1200</v>
      </c>
      <c r="AN47" s="91">
        <v>1200</v>
      </c>
      <c r="AO47" s="91">
        <v>1200</v>
      </c>
      <c r="AP47" s="91">
        <v>1320</v>
      </c>
      <c r="AQ47" s="91">
        <v>1920</v>
      </c>
      <c r="AR47" s="92">
        <f t="shared" si="87"/>
        <v>13889</v>
      </c>
      <c r="AS47" s="23"/>
      <c r="AT47" s="91">
        <v>1518</v>
      </c>
      <c r="AU47" s="91">
        <v>1518</v>
      </c>
      <c r="AV47" s="91">
        <v>1518</v>
      </c>
      <c r="AW47" s="91">
        <v>1518</v>
      </c>
      <c r="AX47" s="317">
        <v>1276</v>
      </c>
      <c r="AY47" s="317">
        <v>1276</v>
      </c>
      <c r="AZ47" s="317">
        <v>1218</v>
      </c>
      <c r="BA47" s="317">
        <v>1218</v>
      </c>
      <c r="BB47" s="317">
        <v>1276</v>
      </c>
      <c r="BC47" s="317">
        <v>1508</v>
      </c>
      <c r="BD47" s="317">
        <v>1624</v>
      </c>
      <c r="BE47" s="317">
        <v>2320</v>
      </c>
      <c r="BF47" s="91">
        <f t="shared" si="88"/>
        <v>17788</v>
      </c>
      <c r="BG47" s="93">
        <f t="shared" si="89"/>
        <v>0.2807257541939665</v>
      </c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>
        <v>19018</v>
      </c>
      <c r="BU47" s="54"/>
      <c r="BV47" s="91">
        <v>2737.9199999999996</v>
      </c>
      <c r="BW47" s="91">
        <v>2116.6799999999998</v>
      </c>
      <c r="BX47" s="91">
        <f>'META  EM PEÇAS'!U36-('META  EM PEÇAS'!U36*0.05)</f>
        <v>2379.2655</v>
      </c>
      <c r="BY47" s="91">
        <f>'META  EM PEÇAS'!V36-('META  EM PEÇAS'!V36*0.05)</f>
        <v>2205.2159999999999</v>
      </c>
      <c r="BZ47" s="91">
        <f>'META  EM PEÇAS'!W36-('META  EM PEÇAS'!W36*0.05)</f>
        <v>2474.6834999999996</v>
      </c>
      <c r="CA47" s="91">
        <f>'META  EM PEÇAS'!X36-('META  EM PEÇAS'!X36*0.05)</f>
        <v>2980.0454999999997</v>
      </c>
      <c r="CB47" s="91">
        <f>'META  EM PEÇAS'!Y36-('META  EM PEÇAS'!Y36*0.05)</f>
        <v>3584.3594999999996</v>
      </c>
      <c r="CC47" s="91">
        <f>'META  EM PEÇAS'!Z36-('META  EM PEÇAS'!Z36*0.05)</f>
        <v>2396.0519999999997</v>
      </c>
      <c r="CD47" s="91">
        <f>'META  EM PEÇAS'!AA36-('META  EM PEÇAS'!AA36*0.05)</f>
        <v>2485.2854999999995</v>
      </c>
      <c r="CE47" s="91">
        <f>'META  EM PEÇAS'!AB36-('META  EM PEÇAS'!AB36*0.05)</f>
        <v>2696.4419999999996</v>
      </c>
      <c r="CF47" s="91">
        <f>'META  EM PEÇAS'!AC36-('META  EM PEÇAS'!AC36*0.05)</f>
        <v>3454.4849999999997</v>
      </c>
      <c r="CG47" s="91">
        <f>'META  EM PEÇAS'!AD36-('META  EM PEÇAS'!AD36*0.05)</f>
        <v>4868.0849999999991</v>
      </c>
      <c r="CH47" s="91">
        <f t="shared" si="90"/>
        <v>34378.519499999995</v>
      </c>
      <c r="CJ47" s="91">
        <v>2737.9199999999996</v>
      </c>
      <c r="CK47" s="91">
        <v>2116.6799999999998</v>
      </c>
      <c r="CL47" s="91">
        <v>2379.2655</v>
      </c>
      <c r="CM47" s="91">
        <v>2205.2159999999999</v>
      </c>
      <c r="CN47" s="91">
        <v>2474.6834999999996</v>
      </c>
      <c r="CO47" s="91">
        <v>2980.0454999999997</v>
      </c>
      <c r="CP47" s="91">
        <v>3584.3594999999996</v>
      </c>
      <c r="CQ47" s="91">
        <v>2396.0519999999997</v>
      </c>
      <c r="CR47" s="91">
        <v>2485.2854999999995</v>
      </c>
      <c r="CS47" s="91">
        <v>2696.4419999999996</v>
      </c>
      <c r="CT47" s="91">
        <v>3454.4849999999997</v>
      </c>
      <c r="CU47" s="91">
        <v>4868.0849999999991</v>
      </c>
      <c r="CV47" s="91">
        <v>34378.519499999995</v>
      </c>
      <c r="CX47" s="91">
        <v>2737.9199999999996</v>
      </c>
      <c r="CY47" s="91">
        <v>2116.6799999999998</v>
      </c>
      <c r="CZ47" s="91">
        <v>2379.2655</v>
      </c>
      <c r="DA47" s="91">
        <v>2205.2159999999999</v>
      </c>
      <c r="DB47" s="91">
        <v>2474.6834999999996</v>
      </c>
      <c r="DC47" s="91">
        <v>2980.0454999999997</v>
      </c>
      <c r="DD47" s="91">
        <v>3584.3594999999996</v>
      </c>
      <c r="DE47" s="91">
        <v>2396.0519999999997</v>
      </c>
      <c r="DF47" s="91">
        <v>2485.2854999999995</v>
      </c>
      <c r="DG47" s="91">
        <v>2696.4419999999996</v>
      </c>
      <c r="DH47" s="91">
        <v>3454.4849999999997</v>
      </c>
      <c r="DI47" s="91">
        <v>4868.0849999999991</v>
      </c>
      <c r="DJ47" s="91">
        <v>34378.519499999995</v>
      </c>
    </row>
    <row r="48" spans="1:114" ht="15" customHeight="1" outlineLevel="1">
      <c r="A48" s="94">
        <v>15</v>
      </c>
      <c r="B48" s="210" t="s">
        <v>70</v>
      </c>
      <c r="C48" s="212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314"/>
      <c r="Q48" s="90"/>
      <c r="R48" s="313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91">
        <v>0</v>
      </c>
      <c r="Z48" s="91">
        <v>2000</v>
      </c>
      <c r="AA48" s="91">
        <v>800</v>
      </c>
      <c r="AB48" s="91">
        <v>800</v>
      </c>
      <c r="AC48" s="91">
        <v>1500</v>
      </c>
      <c r="AD48" s="315">
        <f t="shared" si="86"/>
        <v>5100</v>
      </c>
      <c r="AE48" s="23"/>
      <c r="AF48" s="316">
        <v>1800</v>
      </c>
      <c r="AG48" s="91">
        <v>1200</v>
      </c>
      <c r="AH48" s="91">
        <f>1800*0.4</f>
        <v>720</v>
      </c>
      <c r="AI48" s="91">
        <v>1147</v>
      </c>
      <c r="AJ48" s="91">
        <v>1155</v>
      </c>
      <c r="AK48" s="91">
        <v>1600</v>
      </c>
      <c r="AL48" s="91">
        <v>1800</v>
      </c>
      <c r="AM48" s="91">
        <v>2000</v>
      </c>
      <c r="AN48" s="91">
        <v>2000</v>
      </c>
      <c r="AO48" s="91">
        <v>2000</v>
      </c>
      <c r="AP48" s="91">
        <v>2200</v>
      </c>
      <c r="AQ48" s="91">
        <v>3200</v>
      </c>
      <c r="AR48" s="92">
        <f t="shared" si="87"/>
        <v>20822</v>
      </c>
      <c r="AS48" s="23"/>
      <c r="AT48" s="91">
        <v>1544</v>
      </c>
      <c r="AU48" s="91">
        <v>1544</v>
      </c>
      <c r="AV48" s="91">
        <v>1544</v>
      </c>
      <c r="AW48" s="91">
        <v>1544</v>
      </c>
      <c r="AX48" s="317">
        <v>862</v>
      </c>
      <c r="AY48" s="317">
        <v>862</v>
      </c>
      <c r="AZ48" s="317">
        <v>823</v>
      </c>
      <c r="BA48" s="317">
        <v>823</v>
      </c>
      <c r="BB48" s="317">
        <v>862</v>
      </c>
      <c r="BC48" s="317">
        <v>1019</v>
      </c>
      <c r="BD48" s="317">
        <v>1098</v>
      </c>
      <c r="BE48" s="317">
        <v>1568</v>
      </c>
      <c r="BF48" s="91">
        <f t="shared" si="88"/>
        <v>14093</v>
      </c>
      <c r="BG48" s="93">
        <f t="shared" si="89"/>
        <v>-0.32316780328498707</v>
      </c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>
        <v>21133</v>
      </c>
      <c r="BU48" s="54"/>
      <c r="BV48" s="91">
        <v>3593.52</v>
      </c>
      <c r="BW48" s="91">
        <v>2776.98</v>
      </c>
      <c r="BX48" s="91">
        <f>'META  EM PEÇAS'!U38-('META  EM PEÇAS'!U38*0.05)</f>
        <v>3122.2889999999998</v>
      </c>
      <c r="BY48" s="91">
        <f>'META  EM PEÇAS'!V38-('META  EM PEÇAS'!V38*0.05)</f>
        <v>2893.4625000000001</v>
      </c>
      <c r="BZ48" s="91">
        <f>'META  EM PEÇAS'!W38-('META  EM PEÇAS'!W38*0.05)</f>
        <v>3247.7459999999996</v>
      </c>
      <c r="CA48" s="91">
        <f>'META  EM PEÇAS'!X38-('META  EM PEÇAS'!X38*0.05)</f>
        <v>3910.3709999999992</v>
      </c>
      <c r="CB48" s="91">
        <f>'META  EM PEÇAS'!Y38-('META  EM PEÇAS'!Y38*0.05)</f>
        <v>4703.7539999999999</v>
      </c>
      <c r="CC48" s="91">
        <f>'META  EM PEÇAS'!Z38-('META  EM PEÇAS'!Z38*0.05)</f>
        <v>3144.3764999999999</v>
      </c>
      <c r="CD48" s="91">
        <f>'META  EM PEÇAS'!AA38-('META  EM PEÇAS'!AA38*0.05)</f>
        <v>3260.9984999999997</v>
      </c>
      <c r="CE48" s="91">
        <f>'META  EM PEÇAS'!AB38-('META  EM PEÇAS'!AB38*0.05)</f>
        <v>3539.3009999999999</v>
      </c>
      <c r="CF48" s="91">
        <f>'META  EM PEÇAS'!AC38-('META  EM PEÇAS'!AC38*0.05)</f>
        <v>4533.2384999999995</v>
      </c>
      <c r="CG48" s="91">
        <f>'META  EM PEÇAS'!AD38-('META  EM PEÇAS'!AD38*0.05)</f>
        <v>6387.7049999999999</v>
      </c>
      <c r="CH48" s="91">
        <f t="shared" si="90"/>
        <v>45113.741999999998</v>
      </c>
      <c r="CJ48" s="91">
        <v>3593.52</v>
      </c>
      <c r="CK48" s="91">
        <v>2776.98</v>
      </c>
      <c r="CL48" s="91">
        <v>3122.2889999999998</v>
      </c>
      <c r="CM48" s="91">
        <v>2893.4625000000001</v>
      </c>
      <c r="CN48" s="91">
        <v>3247.7459999999996</v>
      </c>
      <c r="CO48" s="91">
        <v>3910.3709999999992</v>
      </c>
      <c r="CP48" s="91">
        <v>4703.7539999999999</v>
      </c>
      <c r="CQ48" s="91">
        <v>3144.3764999999999</v>
      </c>
      <c r="CR48" s="91">
        <v>3260.9984999999997</v>
      </c>
      <c r="CS48" s="91">
        <v>3539.3009999999999</v>
      </c>
      <c r="CT48" s="91">
        <v>4533.2384999999995</v>
      </c>
      <c r="CU48" s="91">
        <v>6387.7049999999999</v>
      </c>
      <c r="CV48" s="91">
        <v>45113.741999999998</v>
      </c>
      <c r="CX48" s="91">
        <v>3593.52</v>
      </c>
      <c r="CY48" s="91">
        <v>2776.98</v>
      </c>
      <c r="CZ48" s="91">
        <v>3122.2889999999998</v>
      </c>
      <c r="DA48" s="91">
        <v>2893.4625000000001</v>
      </c>
      <c r="DB48" s="91">
        <v>3247.7459999999996</v>
      </c>
      <c r="DC48" s="91">
        <v>3910.3709999999992</v>
      </c>
      <c r="DD48" s="91">
        <v>4703.7539999999999</v>
      </c>
      <c r="DE48" s="91">
        <v>3144.3764999999999</v>
      </c>
      <c r="DF48" s="91">
        <v>3260.9984999999997</v>
      </c>
      <c r="DG48" s="91">
        <v>3539.3009999999999</v>
      </c>
      <c r="DH48" s="91">
        <v>4533.2384999999995</v>
      </c>
      <c r="DI48" s="91">
        <v>6387.7049999999999</v>
      </c>
      <c r="DJ48" s="91">
        <v>45113.741999999998</v>
      </c>
    </row>
    <row r="49" spans="1:114" ht="15" customHeight="1" outlineLevel="1">
      <c r="A49" s="94">
        <v>16</v>
      </c>
      <c r="B49" s="216" t="s">
        <v>71</v>
      </c>
      <c r="C49" s="212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/>
      <c r="Q49" s="90"/>
      <c r="R49" s="313"/>
      <c r="S49" s="91"/>
      <c r="T49" s="91"/>
      <c r="U49" s="91"/>
      <c r="V49" s="91"/>
      <c r="W49" s="91"/>
      <c r="X49" s="91"/>
      <c r="Y49" s="91"/>
      <c r="Z49" s="91"/>
      <c r="AA49" s="91">
        <v>800</v>
      </c>
      <c r="AB49" s="91">
        <v>800</v>
      </c>
      <c r="AC49" s="91">
        <v>1500</v>
      </c>
      <c r="AD49" s="315"/>
      <c r="AE49" s="23"/>
      <c r="AF49" s="316">
        <v>1500</v>
      </c>
      <c r="AG49" s="91">
        <v>1200</v>
      </c>
      <c r="AH49" s="91">
        <f>1500*0.15</f>
        <v>225</v>
      </c>
      <c r="AI49" s="91">
        <v>192</v>
      </c>
      <c r="AJ49" s="91">
        <v>663</v>
      </c>
      <c r="AK49" s="91">
        <v>800</v>
      </c>
      <c r="AL49" s="91">
        <v>1500</v>
      </c>
      <c r="AM49" s="91">
        <v>1000</v>
      </c>
      <c r="AN49" s="91">
        <v>1000</v>
      </c>
      <c r="AO49" s="91">
        <v>1000</v>
      </c>
      <c r="AP49" s="91">
        <v>1100</v>
      </c>
      <c r="AQ49" s="91">
        <v>1600</v>
      </c>
      <c r="AR49" s="92">
        <f t="shared" si="87"/>
        <v>11780</v>
      </c>
      <c r="AS49" s="23"/>
      <c r="AT49" s="91">
        <v>960</v>
      </c>
      <c r="AU49" s="91">
        <v>960</v>
      </c>
      <c r="AV49" s="91">
        <v>960</v>
      </c>
      <c r="AW49" s="91">
        <v>960</v>
      </c>
      <c r="AX49" s="317">
        <v>1414</v>
      </c>
      <c r="AY49" s="317">
        <v>1414</v>
      </c>
      <c r="AZ49" s="317">
        <v>1350</v>
      </c>
      <c r="BA49" s="317">
        <v>1350</v>
      </c>
      <c r="BB49" s="317">
        <v>1414</v>
      </c>
      <c r="BC49" s="317">
        <v>1671</v>
      </c>
      <c r="BD49" s="317">
        <v>1800</v>
      </c>
      <c r="BE49" s="317">
        <v>2571</v>
      </c>
      <c r="BF49" s="91">
        <f t="shared" si="88"/>
        <v>16824</v>
      </c>
      <c r="BG49" s="93">
        <f t="shared" si="89"/>
        <v>0.42818336162988113</v>
      </c>
      <c r="BH49" s="91">
        <v>900</v>
      </c>
      <c r="BI49" s="91">
        <v>643</v>
      </c>
      <c r="BJ49" s="91">
        <v>891</v>
      </c>
      <c r="BK49" s="91">
        <v>679</v>
      </c>
      <c r="BL49" s="91">
        <v>940</v>
      </c>
      <c r="BM49" s="91">
        <v>948</v>
      </c>
      <c r="BN49" s="91">
        <v>1124</v>
      </c>
      <c r="BO49" s="91">
        <v>913</v>
      </c>
      <c r="BP49" s="91">
        <v>911</v>
      </c>
      <c r="BQ49" s="91">
        <v>898</v>
      </c>
      <c r="BR49" s="91">
        <v>1465</v>
      </c>
      <c r="BS49" s="91">
        <v>1278</v>
      </c>
      <c r="BT49" s="91">
        <f>SUM(BH49:BS49)</f>
        <v>11590</v>
      </c>
      <c r="BU49" s="54"/>
      <c r="BV49" s="91">
        <f>'META  EM PEÇAS'!T47</f>
        <v>1749.7324726431702</v>
      </c>
      <c r="BW49" s="91">
        <f>'META  EM PEÇAS'!T48</f>
        <v>1701.1287928475265</v>
      </c>
      <c r="BX49" s="91">
        <f>'META  EM PEÇAS'!T49</f>
        <v>1846.9398322344578</v>
      </c>
      <c r="BY49" s="91">
        <f>'META  EM PEÇAS'!T50</f>
        <v>1701.1287928475265</v>
      </c>
      <c r="BZ49" s="91">
        <f>'META  EM PEÇAS'!T51</f>
        <v>1846.9398322344578</v>
      </c>
      <c r="CA49" s="91">
        <f>'META  EM PEÇAS'!T52</f>
        <v>1749.7324726431702</v>
      </c>
      <c r="CB49" s="91">
        <f>'META  EM PEÇAS'!T53</f>
        <v>2138.5619110083194</v>
      </c>
      <c r="CC49" s="91">
        <f>'META  EM PEÇAS'!T54</f>
        <v>1749.7324726431702</v>
      </c>
      <c r="CD49" s="91">
        <f>'META  EM PEÇAS'!T55</f>
        <v>1749.7324726431702</v>
      </c>
      <c r="CE49" s="91">
        <f>'META  EM PEÇAS'!T56</f>
        <v>1749.7324726431702</v>
      </c>
      <c r="CF49" s="91">
        <f>'META  EM PEÇAS'!T57</f>
        <v>2721.8060685560426</v>
      </c>
      <c r="CG49" s="91">
        <f>'META  EM PEÇAS'!T58</f>
        <v>1944.1471918257448</v>
      </c>
      <c r="CH49" s="91">
        <f t="shared" si="90"/>
        <v>22649.314784769926</v>
      </c>
      <c r="CJ49" s="91">
        <v>1749.7324726431702</v>
      </c>
      <c r="CK49" s="91">
        <v>1701.1287928475265</v>
      </c>
      <c r="CL49" s="91">
        <v>1846.9398322344578</v>
      </c>
      <c r="CM49" s="91">
        <v>1701.1287928475265</v>
      </c>
      <c r="CN49" s="91">
        <v>1846.9398322344578</v>
      </c>
      <c r="CO49" s="91">
        <v>1749.7324726431702</v>
      </c>
      <c r="CP49" s="91">
        <v>2138.5619110083194</v>
      </c>
      <c r="CQ49" s="91">
        <v>1749.7324726431702</v>
      </c>
      <c r="CR49" s="91">
        <v>1749.7324726431702</v>
      </c>
      <c r="CS49" s="91">
        <v>1749.7324726431702</v>
      </c>
      <c r="CT49" s="91">
        <v>2721.8060685560426</v>
      </c>
      <c r="CU49" s="91">
        <v>1944.1471918257448</v>
      </c>
      <c r="CV49" s="91">
        <v>22649.314784769926</v>
      </c>
      <c r="CX49" s="91">
        <v>1749.7324726431702</v>
      </c>
      <c r="CY49" s="91">
        <v>1701.1287928475265</v>
      </c>
      <c r="CZ49" s="91">
        <v>1846.9398322344578</v>
      </c>
      <c r="DA49" s="91">
        <v>1701.1287928475265</v>
      </c>
      <c r="DB49" s="91">
        <v>1846.9398322344578</v>
      </c>
      <c r="DC49" s="91">
        <v>1749.7324726431702</v>
      </c>
      <c r="DD49" s="91">
        <v>2138.5619110083194</v>
      </c>
      <c r="DE49" s="91">
        <v>1749.7324726431702</v>
      </c>
      <c r="DF49" s="91">
        <v>1749.7324726431702</v>
      </c>
      <c r="DG49" s="91">
        <v>1749.7324726431702</v>
      </c>
      <c r="DH49" s="91">
        <v>2721.8060685560426</v>
      </c>
      <c r="DI49" s="91">
        <v>1944.1471918257448</v>
      </c>
      <c r="DJ49" s="91">
        <v>22649.314784769926</v>
      </c>
    </row>
    <row r="50" spans="1:114" ht="15" customHeight="1" outlineLevel="1">
      <c r="A50" s="94"/>
      <c r="B50" s="210"/>
      <c r="C50" s="213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0</v>
      </c>
      <c r="AG50" s="91">
        <v>0</v>
      </c>
      <c r="AH50" s="91">
        <v>0</v>
      </c>
      <c r="AI50" s="91">
        <v>0</v>
      </c>
      <c r="AJ50" s="91">
        <v>0</v>
      </c>
      <c r="AK50" s="91">
        <v>400</v>
      </c>
      <c r="AL50" s="91">
        <v>500</v>
      </c>
      <c r="AM50" s="91">
        <v>500</v>
      </c>
      <c r="AN50" s="91">
        <v>600</v>
      </c>
      <c r="AO50" s="91">
        <v>600</v>
      </c>
      <c r="AP50" s="91">
        <v>660</v>
      </c>
      <c r="AQ50" s="91">
        <v>960</v>
      </c>
      <c r="AR50" s="92">
        <f t="shared" si="87"/>
        <v>4220</v>
      </c>
      <c r="AS50" s="23"/>
      <c r="AT50" s="91">
        <v>960</v>
      </c>
      <c r="AU50" s="91">
        <v>960</v>
      </c>
      <c r="AV50" s="91">
        <v>960</v>
      </c>
      <c r="AW50" s="91">
        <v>960</v>
      </c>
      <c r="AX50" s="317">
        <v>580</v>
      </c>
      <c r="AY50" s="317">
        <v>580</v>
      </c>
      <c r="AZ50" s="317">
        <v>554</v>
      </c>
      <c r="BA50" s="317">
        <v>554</v>
      </c>
      <c r="BB50" s="317">
        <v>580</v>
      </c>
      <c r="BC50" s="317">
        <v>686</v>
      </c>
      <c r="BD50" s="317">
        <v>739</v>
      </c>
      <c r="BE50" s="317">
        <v>1055</v>
      </c>
      <c r="BF50" s="91">
        <f t="shared" si="88"/>
        <v>9168</v>
      </c>
      <c r="BG50" s="93">
        <f t="shared" si="89"/>
        <v>1.172511848341232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54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J50" s="91"/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</row>
    <row r="51" spans="1:114" ht="15" customHeight="1" outlineLevel="1">
      <c r="A51" s="95"/>
      <c r="B51" s="216"/>
      <c r="C51" s="420"/>
      <c r="D51" s="421"/>
      <c r="E51" s="422"/>
      <c r="F51" s="422"/>
      <c r="G51" s="422"/>
      <c r="H51" s="422"/>
      <c r="I51" s="422"/>
      <c r="J51" s="422"/>
      <c r="K51" s="422"/>
      <c r="L51" s="422"/>
      <c r="M51" s="422"/>
      <c r="N51" s="422"/>
      <c r="O51" s="422"/>
      <c r="P51" s="423"/>
      <c r="Q51" s="424"/>
      <c r="R51" s="421"/>
      <c r="S51" s="425"/>
      <c r="T51" s="425"/>
      <c r="U51" s="425"/>
      <c r="V51" s="425"/>
      <c r="W51" s="425"/>
      <c r="X51" s="425"/>
      <c r="Y51" s="425"/>
      <c r="Z51" s="425"/>
      <c r="AA51" s="425"/>
      <c r="AB51" s="425"/>
      <c r="AC51" s="425"/>
      <c r="AD51" s="426"/>
      <c r="AE51" s="427"/>
      <c r="AF51" s="428">
        <v>0</v>
      </c>
      <c r="AG51" s="425">
        <v>0</v>
      </c>
      <c r="AH51" s="425">
        <v>0</v>
      </c>
      <c r="AI51" s="425">
        <v>0</v>
      </c>
      <c r="AJ51" s="425">
        <v>0</v>
      </c>
      <c r="AK51" s="425">
        <v>0</v>
      </c>
      <c r="AL51" s="425">
        <v>2500</v>
      </c>
      <c r="AM51" s="425">
        <v>2000</v>
      </c>
      <c r="AN51" s="425">
        <v>500</v>
      </c>
      <c r="AO51" s="425">
        <v>600</v>
      </c>
      <c r="AP51" s="425">
        <v>660</v>
      </c>
      <c r="AQ51" s="425">
        <v>960</v>
      </c>
      <c r="AR51" s="429">
        <f t="shared" si="87"/>
        <v>7220</v>
      </c>
      <c r="AS51" s="23"/>
      <c r="AT51" s="425">
        <v>1518</v>
      </c>
      <c r="AU51" s="425">
        <v>1518</v>
      </c>
      <c r="AV51" s="425">
        <v>1518</v>
      </c>
      <c r="AW51" s="425">
        <v>1518</v>
      </c>
      <c r="AX51" s="317">
        <v>1943</v>
      </c>
      <c r="AY51" s="317">
        <v>1943</v>
      </c>
      <c r="AZ51" s="317">
        <v>1854</v>
      </c>
      <c r="BA51" s="317">
        <v>1854</v>
      </c>
      <c r="BB51" s="317">
        <v>1943</v>
      </c>
      <c r="BC51" s="317">
        <v>2296</v>
      </c>
      <c r="BD51" s="317">
        <v>2472</v>
      </c>
      <c r="BE51" s="317">
        <v>3532</v>
      </c>
      <c r="BF51" s="425">
        <f t="shared" si="88"/>
        <v>23909</v>
      </c>
      <c r="BG51" s="93">
        <f t="shared" si="89"/>
        <v>2.3114958448753464</v>
      </c>
      <c r="BH51" s="425"/>
      <c r="BI51" s="425"/>
      <c r="BJ51" s="425"/>
      <c r="BK51" s="425"/>
      <c r="BL51" s="91"/>
      <c r="BM51" s="91"/>
      <c r="BN51" s="91"/>
      <c r="BO51" s="91"/>
      <c r="BP51" s="91"/>
      <c r="BQ51" s="91"/>
      <c r="BR51" s="91"/>
      <c r="BS51" s="91"/>
      <c r="BT51" s="91"/>
      <c r="BU51" s="54"/>
      <c r="BV51" s="425"/>
      <c r="BW51" s="425"/>
      <c r="BX51" s="425"/>
      <c r="BY51" s="425"/>
      <c r="BZ51" s="91"/>
      <c r="CA51" s="91"/>
      <c r="CB51" s="91"/>
      <c r="CC51" s="91"/>
      <c r="CD51" s="91"/>
      <c r="CE51" s="91"/>
      <c r="CF51" s="91"/>
      <c r="CG51" s="91"/>
      <c r="CH51" s="91"/>
      <c r="CJ51" s="425"/>
      <c r="CK51" s="425"/>
      <c r="CL51" s="425"/>
      <c r="CM51" s="425"/>
      <c r="CN51" s="91"/>
      <c r="CO51" s="91"/>
      <c r="CP51" s="91"/>
      <c r="CQ51" s="91"/>
      <c r="CR51" s="91"/>
      <c r="CS51" s="91"/>
      <c r="CT51" s="91"/>
      <c r="CU51" s="91"/>
      <c r="CV51" s="91"/>
      <c r="CX51" s="425"/>
      <c r="CY51" s="425"/>
      <c r="CZ51" s="425"/>
      <c r="DA51" s="425"/>
      <c r="DB51" s="91"/>
      <c r="DC51" s="91"/>
      <c r="DD51" s="91"/>
      <c r="DE51" s="91"/>
      <c r="DF51" s="91"/>
      <c r="DG51" s="91"/>
      <c r="DH51" s="91"/>
      <c r="DI51" s="91"/>
      <c r="DJ51" s="91"/>
    </row>
    <row r="52" spans="1:114" ht="15" customHeight="1" outlineLevel="1">
      <c r="A52" s="434"/>
      <c r="B52" s="1093"/>
      <c r="C52" s="1094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6"/>
      <c r="AF52" s="437">
        <v>0</v>
      </c>
      <c r="AG52" s="437">
        <v>0</v>
      </c>
      <c r="AH52" s="437">
        <v>0</v>
      </c>
      <c r="AI52" s="437">
        <v>0</v>
      </c>
      <c r="AJ52" s="437">
        <v>0</v>
      </c>
      <c r="AK52" s="437">
        <v>0</v>
      </c>
      <c r="AL52" s="437">
        <v>0</v>
      </c>
      <c r="AM52" s="437">
        <v>0</v>
      </c>
      <c r="AN52" s="437">
        <v>0</v>
      </c>
      <c r="AO52" s="437">
        <v>0</v>
      </c>
      <c r="AP52" s="437">
        <v>0</v>
      </c>
      <c r="AQ52" s="437">
        <v>0</v>
      </c>
      <c r="AR52" s="438">
        <f t="shared" si="87"/>
        <v>0</v>
      </c>
      <c r="AS52" s="322"/>
      <c r="AT52" s="437">
        <v>0</v>
      </c>
      <c r="AU52" s="437">
        <v>0</v>
      </c>
      <c r="AV52" s="437">
        <v>0</v>
      </c>
      <c r="AW52" s="437">
        <v>0</v>
      </c>
      <c r="AX52" s="439">
        <v>800</v>
      </c>
      <c r="AY52" s="317">
        <v>800</v>
      </c>
      <c r="AZ52" s="317">
        <v>800</v>
      </c>
      <c r="BA52" s="317">
        <v>1050</v>
      </c>
      <c r="BB52" s="317">
        <v>1100</v>
      </c>
      <c r="BC52" s="317">
        <v>1300</v>
      </c>
      <c r="BD52" s="317">
        <v>1400</v>
      </c>
      <c r="BE52" s="440">
        <v>2000</v>
      </c>
      <c r="BF52" s="437">
        <f t="shared" si="88"/>
        <v>9250</v>
      </c>
      <c r="BG52" s="325" t="e">
        <f t="shared" si="89"/>
        <v>#DIV/0!</v>
      </c>
      <c r="BH52" s="437"/>
      <c r="BI52" s="437"/>
      <c r="BJ52" s="437"/>
      <c r="BK52" s="437"/>
      <c r="BL52" s="439"/>
      <c r="BM52" s="317"/>
      <c r="BN52" s="317"/>
      <c r="BO52" s="317"/>
      <c r="BP52" s="317"/>
      <c r="BQ52" s="317"/>
      <c r="BR52" s="317"/>
      <c r="BS52" s="317"/>
      <c r="BT52" s="317"/>
      <c r="BU52" s="326"/>
      <c r="BV52" s="443"/>
      <c r="BW52" s="443"/>
      <c r="BX52" s="443"/>
      <c r="BY52" s="443"/>
      <c r="BZ52" s="444"/>
      <c r="CA52" s="317"/>
      <c r="CB52" s="317"/>
      <c r="CC52" s="317"/>
      <c r="CD52" s="317"/>
      <c r="CE52" s="317"/>
      <c r="CF52" s="317"/>
      <c r="CG52" s="317"/>
      <c r="CH52" s="317"/>
      <c r="CJ52" s="443"/>
      <c r="CK52" s="443"/>
      <c r="CL52" s="443"/>
      <c r="CM52" s="443"/>
      <c r="CN52" s="444"/>
      <c r="CO52" s="317"/>
      <c r="CP52" s="317"/>
      <c r="CQ52" s="317"/>
      <c r="CR52" s="317"/>
      <c r="CS52" s="317"/>
      <c r="CT52" s="317"/>
      <c r="CU52" s="317"/>
      <c r="CV52" s="317"/>
      <c r="CX52" s="443"/>
      <c r="CY52" s="443"/>
      <c r="CZ52" s="443"/>
      <c r="DA52" s="443"/>
      <c r="DB52" s="444"/>
      <c r="DC52" s="317"/>
      <c r="DD52" s="317"/>
      <c r="DE52" s="317"/>
      <c r="DF52" s="317"/>
      <c r="DG52" s="317"/>
      <c r="DH52" s="317"/>
      <c r="DI52" s="317"/>
      <c r="DJ52" s="317"/>
    </row>
    <row r="53" spans="1:114" ht="15" customHeight="1" outlineLevel="1">
      <c r="A53" s="430"/>
      <c r="B53" s="214"/>
      <c r="C53" s="431"/>
      <c r="D53" s="424"/>
      <c r="E53" s="424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32"/>
      <c r="T53" s="432"/>
      <c r="U53" s="432"/>
      <c r="V53" s="432"/>
      <c r="W53" s="432"/>
      <c r="X53" s="432"/>
      <c r="Y53" s="432"/>
      <c r="Z53" s="432"/>
      <c r="AA53" s="432"/>
      <c r="AB53" s="432"/>
      <c r="AC53" s="432"/>
      <c r="AD53" s="432"/>
      <c r="AE53" s="427"/>
      <c r="AF53" s="432"/>
      <c r="AG53" s="432"/>
      <c r="AH53" s="432"/>
      <c r="AI53" s="432"/>
      <c r="AJ53" s="432"/>
      <c r="AK53" s="432"/>
      <c r="AL53" s="432"/>
      <c r="AM53" s="432"/>
      <c r="AN53" s="432"/>
      <c r="AO53" s="432"/>
      <c r="AP53" s="432"/>
      <c r="AQ53" s="432"/>
      <c r="AR53" s="433"/>
      <c r="AS53" s="23"/>
      <c r="AT53" s="97"/>
      <c r="AU53" s="97"/>
      <c r="AV53" s="97"/>
      <c r="AW53" s="97"/>
      <c r="AX53" s="91"/>
      <c r="AY53" s="91"/>
      <c r="AZ53" s="91"/>
      <c r="BA53" s="91"/>
      <c r="BB53" s="91"/>
      <c r="BC53" s="91"/>
      <c r="BD53" s="91">
        <v>600</v>
      </c>
      <c r="BE53" s="315">
        <v>700</v>
      </c>
      <c r="BF53" s="437">
        <f t="shared" si="88"/>
        <v>1300</v>
      </c>
      <c r="BG53" s="93"/>
      <c r="BH53" s="442"/>
      <c r="BI53" s="442"/>
      <c r="BJ53" s="442"/>
      <c r="BK53" s="442"/>
      <c r="BL53" s="316"/>
      <c r="BM53" s="91"/>
      <c r="BN53" s="91"/>
      <c r="BO53" s="91"/>
      <c r="BP53" s="91"/>
      <c r="BQ53" s="91"/>
      <c r="BR53" s="91"/>
      <c r="BS53" s="91"/>
      <c r="BT53" s="91"/>
      <c r="BU53" s="54"/>
      <c r="BV53" s="442"/>
      <c r="BW53" s="442"/>
      <c r="BX53" s="442"/>
      <c r="BY53" s="442"/>
      <c r="BZ53" s="442"/>
      <c r="CA53" s="316"/>
      <c r="CB53" s="91">
        <v>60</v>
      </c>
      <c r="CC53" s="91"/>
      <c r="CD53" s="91"/>
      <c r="CE53" s="91"/>
      <c r="CF53" s="91"/>
      <c r="CG53" s="91"/>
      <c r="CH53" s="91"/>
      <c r="CJ53" s="708">
        <f>(CJ55-CJ54)/CJ54</f>
        <v>0.03</v>
      </c>
      <c r="CK53" s="708">
        <f t="shared" ref="CK53:CU53" si="94">(CK55-CK54)/CK54</f>
        <v>3.0000000000000079E-2</v>
      </c>
      <c r="CL53" s="708">
        <f t="shared" si="94"/>
        <v>3.0000000000000058E-2</v>
      </c>
      <c r="CM53" s="708">
        <f t="shared" si="94"/>
        <v>3.0000000000000034E-2</v>
      </c>
      <c r="CN53" s="708">
        <f t="shared" si="94"/>
        <v>3.000000000000011E-2</v>
      </c>
      <c r="CO53" s="708">
        <f t="shared" si="94"/>
        <v>3.000000000000012E-2</v>
      </c>
      <c r="CP53" s="708">
        <f t="shared" si="94"/>
        <v>3.0000000000000113E-2</v>
      </c>
      <c r="CQ53" s="708">
        <f t="shared" si="94"/>
        <v>3.0000000000000127E-2</v>
      </c>
      <c r="CR53" s="708">
        <f t="shared" si="94"/>
        <v>3.0000000000000068E-2</v>
      </c>
      <c r="CS53" s="708">
        <f t="shared" si="94"/>
        <v>2.9999999999999982E-2</v>
      </c>
      <c r="CT53" s="708">
        <f t="shared" si="94"/>
        <v>2.9999999999999961E-2</v>
      </c>
      <c r="CU53" s="708">
        <f t="shared" si="94"/>
        <v>0.03</v>
      </c>
      <c r="CV53" s="91"/>
      <c r="CX53" s="442"/>
      <c r="CY53" s="442"/>
      <c r="CZ53" s="442"/>
      <c r="DA53" s="442"/>
      <c r="DB53" s="442"/>
      <c r="DC53" s="316"/>
      <c r="DD53" s="91"/>
      <c r="DE53" s="91"/>
      <c r="DF53" s="91"/>
      <c r="DG53" s="91"/>
      <c r="DH53" s="91"/>
      <c r="DI53" s="91"/>
      <c r="DJ53" s="91"/>
    </row>
    <row r="54" spans="1:114" ht="15" customHeight="1" outlineLevel="1">
      <c r="A54" s="95"/>
      <c r="B54" s="216" t="s">
        <v>71</v>
      </c>
      <c r="C54" s="211"/>
      <c r="D54" s="313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314">
        <f t="shared" ref="P54:P55" si="95">SUM(D54:O54)</f>
        <v>0</v>
      </c>
      <c r="Q54" s="90"/>
      <c r="R54" s="313">
        <v>350</v>
      </c>
      <c r="S54" s="91">
        <v>350</v>
      </c>
      <c r="T54" s="91">
        <v>450</v>
      </c>
      <c r="U54" s="91">
        <v>800</v>
      </c>
      <c r="V54" s="91">
        <v>531</v>
      </c>
      <c r="W54" s="91">
        <v>750</v>
      </c>
      <c r="X54" s="91">
        <v>650</v>
      </c>
      <c r="Y54" s="91">
        <v>750</v>
      </c>
      <c r="Z54" s="91">
        <v>900</v>
      </c>
      <c r="AA54" s="91">
        <v>1000</v>
      </c>
      <c r="AB54" s="91">
        <v>1200</v>
      </c>
      <c r="AC54" s="91">
        <v>1500</v>
      </c>
      <c r="AD54" s="315">
        <f t="shared" ref="AD54:AD55" si="96">SUM(R54:AC54)</f>
        <v>9231</v>
      </c>
      <c r="AE54" s="23"/>
      <c r="AF54" s="316">
        <v>1500</v>
      </c>
      <c r="AG54" s="91">
        <v>800</v>
      </c>
      <c r="AH54" s="91">
        <v>800</v>
      </c>
      <c r="AI54" s="91">
        <v>1820</v>
      </c>
      <c r="AJ54" s="91">
        <v>1630</v>
      </c>
      <c r="AK54" s="91">
        <v>1360</v>
      </c>
      <c r="AL54" s="91">
        <v>1000</v>
      </c>
      <c r="AM54" s="91">
        <v>1700</v>
      </c>
      <c r="AN54" s="91">
        <v>1700</v>
      </c>
      <c r="AO54" s="91">
        <v>1700</v>
      </c>
      <c r="AP54" s="91">
        <v>1870</v>
      </c>
      <c r="AQ54" s="91">
        <v>2720</v>
      </c>
      <c r="AR54" s="92">
        <f t="shared" ref="AR54:AR55" si="97">SUM(AF54:AQ54)</f>
        <v>18600</v>
      </c>
      <c r="AS54" s="23"/>
      <c r="AT54" s="91">
        <v>2053</v>
      </c>
      <c r="AU54" s="91">
        <v>2053</v>
      </c>
      <c r="AV54" s="91">
        <v>2053</v>
      </c>
      <c r="AW54" s="91">
        <v>2053</v>
      </c>
      <c r="AX54" s="91">
        <v>2807</v>
      </c>
      <c r="AY54" s="91">
        <v>2807</v>
      </c>
      <c r="AZ54" s="91">
        <v>2680</v>
      </c>
      <c r="BA54" s="91">
        <v>2680</v>
      </c>
      <c r="BB54" s="91">
        <v>2807</v>
      </c>
      <c r="BC54" s="91">
        <v>3318</v>
      </c>
      <c r="BD54" s="91">
        <v>5870</v>
      </c>
      <c r="BE54" s="91">
        <v>5104</v>
      </c>
      <c r="BF54" s="441">
        <f t="shared" si="88"/>
        <v>36285</v>
      </c>
      <c r="BG54" s="93">
        <f>BF54/AR54-1</f>
        <v>0.95080645161290334</v>
      </c>
      <c r="BH54" s="441"/>
      <c r="BI54" s="441"/>
      <c r="BJ54" s="441"/>
      <c r="BK54" s="441"/>
      <c r="BL54" s="91"/>
      <c r="BM54" s="91"/>
      <c r="BN54" s="91"/>
      <c r="BO54" s="91"/>
      <c r="BP54" s="91"/>
      <c r="BQ54" s="91"/>
      <c r="BR54" s="91"/>
      <c r="BS54" s="91"/>
      <c r="BT54" s="91">
        <f>SUM(BH54:BS54)</f>
        <v>0</v>
      </c>
      <c r="BU54" s="54"/>
      <c r="BV54" s="441"/>
      <c r="BW54" s="441"/>
      <c r="BX54" s="441"/>
      <c r="BY54" s="441"/>
      <c r="BZ54" s="441"/>
      <c r="CA54" s="91"/>
      <c r="CB54" s="91"/>
      <c r="CC54" s="91"/>
      <c r="CD54" s="91"/>
      <c r="CE54" s="91"/>
      <c r="CF54" s="91"/>
      <c r="CG54" s="91"/>
      <c r="CH54" s="91"/>
      <c r="CJ54" s="441">
        <f>BV64</f>
        <v>38900</v>
      </c>
      <c r="CK54" s="441">
        <f t="shared" ref="CK54:CU54" si="98">BW64</f>
        <v>31376</v>
      </c>
      <c r="CL54" s="441">
        <f t="shared" si="98"/>
        <v>29886</v>
      </c>
      <c r="CM54" s="441">
        <f t="shared" si="98"/>
        <v>30671</v>
      </c>
      <c r="CN54" s="441">
        <f t="shared" si="98"/>
        <v>34553</v>
      </c>
      <c r="CO54" s="441">
        <f t="shared" si="98"/>
        <v>36515</v>
      </c>
      <c r="CP54" s="441">
        <f t="shared" si="98"/>
        <v>38915</v>
      </c>
      <c r="CQ54" s="441">
        <f t="shared" si="98"/>
        <v>34615</v>
      </c>
      <c r="CR54" s="441">
        <f t="shared" si="98"/>
        <v>29617</v>
      </c>
      <c r="CS54" s="441">
        <f t="shared" si="98"/>
        <v>34538</v>
      </c>
      <c r="CT54" s="441">
        <f t="shared" si="98"/>
        <v>45914</v>
      </c>
      <c r="CU54" s="441">
        <f t="shared" si="98"/>
        <v>60875</v>
      </c>
      <c r="CV54" s="91"/>
      <c r="CX54" s="441"/>
      <c r="CY54" s="441"/>
      <c r="CZ54" s="441"/>
      <c r="DA54" s="441"/>
      <c r="DB54" s="441"/>
      <c r="DC54" s="91"/>
      <c r="DD54" s="91"/>
      <c r="DE54" s="91"/>
      <c r="DF54" s="91"/>
      <c r="DG54" s="91"/>
      <c r="DH54" s="91"/>
      <c r="DI54" s="91"/>
      <c r="DJ54" s="91"/>
    </row>
    <row r="55" spans="1:114" ht="15.75">
      <c r="A55" s="55"/>
      <c r="B55" s="56" t="s">
        <v>123</v>
      </c>
      <c r="C55" s="753"/>
      <c r="D55" s="288">
        <f t="shared" ref="D55:O55" si="99">SUM(D34:D54)</f>
        <v>0</v>
      </c>
      <c r="E55" s="57">
        <f t="shared" si="99"/>
        <v>0</v>
      </c>
      <c r="F55" s="57">
        <f t="shared" si="99"/>
        <v>0</v>
      </c>
      <c r="G55" s="57">
        <f t="shared" si="99"/>
        <v>0</v>
      </c>
      <c r="H55" s="57">
        <f t="shared" si="99"/>
        <v>0</v>
      </c>
      <c r="I55" s="57">
        <f t="shared" si="99"/>
        <v>0</v>
      </c>
      <c r="J55" s="57">
        <f t="shared" si="99"/>
        <v>0</v>
      </c>
      <c r="K55" s="57">
        <f t="shared" si="99"/>
        <v>0</v>
      </c>
      <c r="L55" s="57">
        <f t="shared" si="99"/>
        <v>0</v>
      </c>
      <c r="M55" s="57">
        <f t="shared" si="99"/>
        <v>0</v>
      </c>
      <c r="N55" s="57">
        <f t="shared" si="99"/>
        <v>0</v>
      </c>
      <c r="O55" s="57">
        <f t="shared" si="99"/>
        <v>0</v>
      </c>
      <c r="P55" s="289">
        <f t="shared" si="95"/>
        <v>0</v>
      </c>
      <c r="Q55" s="39"/>
      <c r="R55" s="288">
        <f t="shared" ref="R55:AC55" si="100">SUM(R34:R54)</f>
        <v>20557.543859649122</v>
      </c>
      <c r="S55" s="58">
        <f t="shared" si="100"/>
        <v>20512.543859649122</v>
      </c>
      <c r="T55" s="58">
        <f t="shared" si="100"/>
        <v>13699.771929824561</v>
      </c>
      <c r="U55" s="58">
        <f t="shared" si="100"/>
        <v>912.5</v>
      </c>
      <c r="V55" s="58">
        <f t="shared" si="100"/>
        <v>16851</v>
      </c>
      <c r="W55" s="290">
        <f t="shared" si="100"/>
        <v>13700</v>
      </c>
      <c r="X55" s="290">
        <f t="shared" si="100"/>
        <v>26050</v>
      </c>
      <c r="Y55" s="290">
        <f t="shared" si="100"/>
        <v>27750</v>
      </c>
      <c r="Z55" s="290">
        <f t="shared" si="100"/>
        <v>31100</v>
      </c>
      <c r="AA55" s="290">
        <f t="shared" si="100"/>
        <v>32100</v>
      </c>
      <c r="AB55" s="290">
        <f t="shared" si="100"/>
        <v>37500</v>
      </c>
      <c r="AC55" s="290">
        <f t="shared" si="100"/>
        <v>45300</v>
      </c>
      <c r="AD55" s="291">
        <f t="shared" si="96"/>
        <v>286033.35964912281</v>
      </c>
      <c r="AE55" s="59"/>
      <c r="AF55" s="292">
        <f>SUM(AF34:AF54)</f>
        <v>38500</v>
      </c>
      <c r="AG55" s="58">
        <f t="shared" ref="AG55:AQ55" si="101">SUM(AG34:AG54)</f>
        <v>22400</v>
      </c>
      <c r="AH55" s="58">
        <f t="shared" si="101"/>
        <v>10671</v>
      </c>
      <c r="AI55" s="58">
        <f t="shared" si="101"/>
        <v>16097</v>
      </c>
      <c r="AJ55" s="58">
        <f t="shared" si="101"/>
        <v>30278</v>
      </c>
      <c r="AK55" s="58">
        <f t="shared" si="101"/>
        <v>28560</v>
      </c>
      <c r="AL55" s="58">
        <f t="shared" si="101"/>
        <v>41700</v>
      </c>
      <c r="AM55" s="58">
        <f t="shared" si="101"/>
        <v>38700</v>
      </c>
      <c r="AN55" s="58">
        <f t="shared" si="101"/>
        <v>37300</v>
      </c>
      <c r="AO55" s="58">
        <f t="shared" si="101"/>
        <v>37400</v>
      </c>
      <c r="AP55" s="58">
        <f t="shared" si="101"/>
        <v>40640</v>
      </c>
      <c r="AQ55" s="58">
        <f t="shared" si="101"/>
        <v>54440</v>
      </c>
      <c r="AR55" s="58">
        <f t="shared" si="97"/>
        <v>396686</v>
      </c>
      <c r="AS55" s="59"/>
      <c r="AT55" s="58">
        <f t="shared" ref="AT55:BE55" si="102">SUM(AT34:AT54)</f>
        <v>36153</v>
      </c>
      <c r="AU55" s="58">
        <f>SUM(AU34:AU54)</f>
        <v>35289</v>
      </c>
      <c r="AV55" s="58">
        <f t="shared" si="102"/>
        <v>35872</v>
      </c>
      <c r="AW55" s="58">
        <f t="shared" si="102"/>
        <v>38031</v>
      </c>
      <c r="AX55" s="58">
        <f t="shared" si="102"/>
        <v>33566</v>
      </c>
      <c r="AY55" s="58">
        <f t="shared" si="102"/>
        <v>33566</v>
      </c>
      <c r="AZ55" s="58">
        <f t="shared" si="102"/>
        <v>30896</v>
      </c>
      <c r="BA55" s="58">
        <f t="shared" si="102"/>
        <v>31146</v>
      </c>
      <c r="BB55" s="58">
        <f t="shared" si="102"/>
        <v>32630</v>
      </c>
      <c r="BC55" s="58">
        <f t="shared" si="102"/>
        <v>38562</v>
      </c>
      <c r="BD55" s="58">
        <f t="shared" si="102"/>
        <v>41345</v>
      </c>
      <c r="BE55" s="58">
        <f t="shared" si="102"/>
        <v>49263</v>
      </c>
      <c r="BF55" s="58">
        <f>SUM(AT55:BE55)</f>
        <v>436319</v>
      </c>
      <c r="BG55" s="59">
        <f>BF55-AR55</f>
        <v>39633</v>
      </c>
      <c r="BH55" s="58">
        <v>36153</v>
      </c>
      <c r="BI55" s="58">
        <v>35289</v>
      </c>
      <c r="BJ55" s="58">
        <v>35872</v>
      </c>
      <c r="BK55" s="58">
        <v>38031</v>
      </c>
      <c r="BL55" s="58">
        <v>38570</v>
      </c>
      <c r="BM55" s="58">
        <v>39227</v>
      </c>
      <c r="BN55" s="58">
        <v>41128</v>
      </c>
      <c r="BO55" s="58">
        <v>38191</v>
      </c>
      <c r="BP55" s="58">
        <v>38191</v>
      </c>
      <c r="BQ55" s="58">
        <v>40225</v>
      </c>
      <c r="BR55" s="58">
        <v>43272</v>
      </c>
      <c r="BS55" s="58">
        <v>60327</v>
      </c>
      <c r="BT55" s="58">
        <f t="shared" ref="BT55:BT59" si="103">SUM(BH55:BS55)</f>
        <v>484476</v>
      </c>
      <c r="BU55" s="60"/>
      <c r="BV55" s="58">
        <f>SUM(BV34:BV51)</f>
        <v>35797.912472643162</v>
      </c>
      <c r="BW55" s="58">
        <f t="shared" ref="BW55:CG55" si="104">SUM(BW34:BW51)</f>
        <v>27268.538792847521</v>
      </c>
      <c r="BX55" s="58">
        <f t="shared" si="104"/>
        <v>34357.668832234456</v>
      </c>
      <c r="BY55" s="58">
        <f t="shared" si="104"/>
        <v>29626.958292847525</v>
      </c>
      <c r="BZ55" s="58">
        <f t="shared" si="104"/>
        <v>34139.121332234456</v>
      </c>
      <c r="CA55" s="58">
        <f t="shared" si="104"/>
        <v>39503.881972643161</v>
      </c>
      <c r="CB55" s="58">
        <f t="shared" si="104"/>
        <v>45728.836911008315</v>
      </c>
      <c r="CC55" s="58">
        <f t="shared" si="104"/>
        <v>32260.226972643166</v>
      </c>
      <c r="CD55" s="58">
        <f t="shared" si="104"/>
        <v>33331.522972643164</v>
      </c>
      <c r="CE55" s="58">
        <f t="shared" si="104"/>
        <v>35213.881472643166</v>
      </c>
      <c r="CF55" s="58">
        <f t="shared" si="104"/>
        <v>46168.878068556034</v>
      </c>
      <c r="CG55" s="58">
        <f t="shared" si="104"/>
        <v>57905.502691825735</v>
      </c>
      <c r="CH55" s="58">
        <f>SUM(BV55:CG55)</f>
        <v>451302.93078476982</v>
      </c>
      <c r="CI55" s="395">
        <f>(CH55-BT64)/BT64</f>
        <v>5.1833718555945915E-2</v>
      </c>
      <c r="CJ55" s="58">
        <f>BV64*1.03</f>
        <v>40067</v>
      </c>
      <c r="CK55" s="58">
        <f t="shared" ref="CK55:CU55" si="105">BW64*1.03</f>
        <v>32317.280000000002</v>
      </c>
      <c r="CL55" s="58">
        <f t="shared" si="105"/>
        <v>30782.58</v>
      </c>
      <c r="CM55" s="58">
        <f>BY64*1.03</f>
        <v>31591.13</v>
      </c>
      <c r="CN55" s="58">
        <f t="shared" si="105"/>
        <v>35589.590000000004</v>
      </c>
      <c r="CO55" s="58">
        <f t="shared" si="105"/>
        <v>37610.450000000004</v>
      </c>
      <c r="CP55" s="58">
        <f t="shared" si="105"/>
        <v>40082.450000000004</v>
      </c>
      <c r="CQ55" s="58">
        <f t="shared" si="105"/>
        <v>35653.450000000004</v>
      </c>
      <c r="CR55" s="58">
        <f t="shared" si="105"/>
        <v>30505.510000000002</v>
      </c>
      <c r="CS55" s="58">
        <f>CE64*1.03</f>
        <v>35574.14</v>
      </c>
      <c r="CT55" s="58">
        <f t="shared" si="105"/>
        <v>47291.42</v>
      </c>
      <c r="CU55" s="58">
        <f t="shared" si="105"/>
        <v>62701.25</v>
      </c>
      <c r="CV55" s="58">
        <f>SUM(CJ55:CU55)</f>
        <v>459766.25</v>
      </c>
      <c r="CW55" s="395">
        <f>(CV55-CH64)/CH64</f>
        <v>0.03</v>
      </c>
      <c r="CX55" s="58">
        <v>25453.360000000001</v>
      </c>
      <c r="CY55" s="58">
        <v>21658.84</v>
      </c>
      <c r="CZ55" s="58">
        <v>25209.25</v>
      </c>
      <c r="DA55" s="58">
        <v>27828.54</v>
      </c>
      <c r="DB55" s="58">
        <v>32049.480000000003</v>
      </c>
      <c r="DC55" s="58">
        <v>32772.54</v>
      </c>
      <c r="DD55" s="58">
        <v>34046.649999999994</v>
      </c>
      <c r="DE55" s="58">
        <v>30567.31</v>
      </c>
      <c r="DF55" s="58">
        <v>29170.629999999997</v>
      </c>
      <c r="DG55" s="58">
        <v>33460.786</v>
      </c>
      <c r="DH55" s="58">
        <v>40405.437400000003</v>
      </c>
      <c r="DI55" s="58">
        <v>57291.782700000003</v>
      </c>
      <c r="DJ55" s="58">
        <f>SUM(CX55:DI55)</f>
        <v>389914.60609999998</v>
      </c>
    </row>
    <row r="56" spans="1:114">
      <c r="A56" s="99"/>
      <c r="B56" s="451" t="s">
        <v>73</v>
      </c>
      <c r="C56" s="328"/>
      <c r="D56" s="301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302"/>
      <c r="Q56" s="74"/>
      <c r="R56" s="301"/>
      <c r="S56" s="69"/>
      <c r="T56" s="69"/>
      <c r="U56" s="69"/>
      <c r="V56" s="303"/>
      <c r="W56" s="304"/>
      <c r="X56" s="304"/>
      <c r="Y56" s="304"/>
      <c r="Z56" s="304"/>
      <c r="AA56" s="304"/>
      <c r="AB56" s="304"/>
      <c r="AC56" s="75"/>
      <c r="AD56" s="76"/>
      <c r="AE56" s="77"/>
      <c r="AF56" s="305"/>
      <c r="AG56" s="69"/>
      <c r="AH56" s="69"/>
      <c r="AI56" s="69"/>
      <c r="AJ56" s="303"/>
      <c r="AK56" s="303"/>
      <c r="AL56" s="303"/>
      <c r="AM56" s="303"/>
      <c r="AN56" s="69"/>
      <c r="AO56" s="69"/>
      <c r="AP56" s="69"/>
      <c r="AQ56" s="69"/>
      <c r="AR56" s="306"/>
      <c r="AS56" s="77"/>
      <c r="AT56" s="69"/>
      <c r="AU56" s="69"/>
      <c r="AV56" s="69"/>
      <c r="AW56" s="69"/>
      <c r="AX56" s="69"/>
      <c r="AY56" s="69">
        <v>15000</v>
      </c>
      <c r="AZ56" s="69">
        <v>15000</v>
      </c>
      <c r="BA56" s="69">
        <f t="shared" ref="BA56:BB56" si="106">BA55*70%</f>
        <v>21802.199999999997</v>
      </c>
      <c r="BB56" s="69">
        <f t="shared" si="106"/>
        <v>22841</v>
      </c>
      <c r="BC56" s="69">
        <v>35000</v>
      </c>
      <c r="BD56" s="69">
        <v>35000</v>
      </c>
      <c r="BE56" s="69">
        <v>42000</v>
      </c>
      <c r="BF56" s="69">
        <f t="shared" si="88"/>
        <v>186643.20000000001</v>
      </c>
      <c r="BG56" s="77"/>
      <c r="BH56" s="69">
        <f t="shared" ref="BH56:BM56" si="107">BH55*0.8</f>
        <v>28922.400000000001</v>
      </c>
      <c r="BI56" s="69">
        <f t="shared" si="107"/>
        <v>28231.200000000001</v>
      </c>
      <c r="BJ56" s="69">
        <f t="shared" si="107"/>
        <v>28697.600000000002</v>
      </c>
      <c r="BK56" s="69">
        <f t="shared" si="107"/>
        <v>30424.800000000003</v>
      </c>
      <c r="BL56" s="69">
        <f t="shared" si="107"/>
        <v>30856</v>
      </c>
      <c r="BM56" s="69">
        <f t="shared" si="107"/>
        <v>31381.600000000002</v>
      </c>
      <c r="BN56" s="69">
        <f>BN55*0.85</f>
        <v>34958.799999999996</v>
      </c>
      <c r="BO56" s="69">
        <v>29000</v>
      </c>
      <c r="BP56" s="69">
        <v>40223</v>
      </c>
      <c r="BQ56" s="69">
        <v>36735</v>
      </c>
      <c r="BR56" s="69">
        <v>36933</v>
      </c>
      <c r="BS56" s="69">
        <v>52283</v>
      </c>
      <c r="BT56" s="69">
        <f t="shared" si="103"/>
        <v>408646.40000000002</v>
      </c>
      <c r="BU56" s="28"/>
      <c r="BV56" s="69">
        <v>32000</v>
      </c>
      <c r="BW56" s="69">
        <v>32000</v>
      </c>
      <c r="BX56" s="69">
        <v>37000</v>
      </c>
      <c r="BY56" s="69">
        <v>32000</v>
      </c>
      <c r="BZ56" s="69">
        <v>35000</v>
      </c>
      <c r="CA56" s="69">
        <v>35000</v>
      </c>
      <c r="CB56" s="69">
        <v>35000</v>
      </c>
      <c r="CC56" s="69">
        <f>CC55*1</f>
        <v>32260.226972643166</v>
      </c>
      <c r="CD56" s="69">
        <f>CD55*1</f>
        <v>33331.522972643164</v>
      </c>
      <c r="CE56" s="69">
        <f>CE55</f>
        <v>35213.881472643166</v>
      </c>
      <c r="CF56" s="69">
        <v>40000</v>
      </c>
      <c r="CG56" s="69">
        <v>60000</v>
      </c>
      <c r="CH56" s="69"/>
      <c r="CI56" s="395"/>
      <c r="CJ56" s="69">
        <v>32000</v>
      </c>
      <c r="CK56" s="69">
        <v>30000</v>
      </c>
      <c r="CL56" s="69">
        <v>31500</v>
      </c>
      <c r="CM56" s="69">
        <v>32000</v>
      </c>
      <c r="CN56" s="69">
        <v>45000</v>
      </c>
      <c r="CO56" s="69">
        <v>35000</v>
      </c>
      <c r="CP56" s="69">
        <v>36000</v>
      </c>
      <c r="CQ56" s="69">
        <v>35000</v>
      </c>
      <c r="CR56" s="69">
        <v>35000</v>
      </c>
      <c r="CS56" s="69">
        <v>40000</v>
      </c>
      <c r="CT56" s="69">
        <v>51000</v>
      </c>
      <c r="CU56" s="69">
        <v>60000</v>
      </c>
      <c r="CV56" s="69">
        <f>SUM(CJ56:CU56)</f>
        <v>462500</v>
      </c>
      <c r="CW56" s="395"/>
      <c r="CX56" s="69">
        <v>28638.329978114532</v>
      </c>
      <c r="CY56" s="69">
        <v>21814.831034278017</v>
      </c>
      <c r="CZ56" s="69">
        <v>27486.135065787566</v>
      </c>
      <c r="DA56" s="69">
        <v>23701.566634278021</v>
      </c>
      <c r="DB56" s="69">
        <v>27311.297065787567</v>
      </c>
      <c r="DC56" s="69">
        <v>31603.10557811453</v>
      </c>
      <c r="DD56" s="69">
        <v>36583.069528806656</v>
      </c>
      <c r="DE56" s="69">
        <v>25808.181578114534</v>
      </c>
      <c r="DF56" s="69">
        <v>26665.218378114532</v>
      </c>
      <c r="DG56" s="69">
        <v>28171.105178114536</v>
      </c>
      <c r="DH56" s="69">
        <v>36935.102454844826</v>
      </c>
      <c r="DI56" s="69">
        <v>46324.402153460593</v>
      </c>
      <c r="DJ56" s="69"/>
    </row>
    <row r="57" spans="1:114" ht="14.25" customHeight="1">
      <c r="A57" s="55" t="s">
        <v>74</v>
      </c>
      <c r="B57" s="56"/>
      <c r="C57" s="280"/>
      <c r="D57" s="28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289"/>
      <c r="Q57" s="39"/>
      <c r="R57" s="288"/>
      <c r="S57" s="58"/>
      <c r="T57" s="58"/>
      <c r="U57" s="58"/>
      <c r="V57" s="58"/>
      <c r="W57" s="290"/>
      <c r="X57" s="290"/>
      <c r="Y57" s="290"/>
      <c r="Z57" s="290"/>
      <c r="AA57" s="290"/>
      <c r="AB57" s="290"/>
      <c r="AC57" s="290"/>
      <c r="AD57" s="291"/>
      <c r="AE57" s="59"/>
      <c r="AF57" s="292"/>
      <c r="AG57" s="58"/>
      <c r="AH57" s="58"/>
      <c r="AI57" s="58"/>
      <c r="AJ57" s="58"/>
      <c r="AK57" s="58"/>
      <c r="AL57" s="58">
        <f>AL55/AVERAGE($AF$55:$AQ$55)</f>
        <v>1.2614511225503295</v>
      </c>
      <c r="AM57" s="58"/>
      <c r="AN57" s="58"/>
      <c r="AO57" s="58"/>
      <c r="AP57" s="58">
        <f t="shared" ref="AP57:AQ57" si="108">AP55/AVERAGE($AF$55:$AQ$55)</f>
        <v>1.2293854585238704</v>
      </c>
      <c r="AQ57" s="58">
        <f t="shared" si="108"/>
        <v>1.6468441033966412</v>
      </c>
      <c r="AR57" s="58"/>
      <c r="AS57" s="59"/>
      <c r="AT57" s="58">
        <v>109190</v>
      </c>
      <c r="AU57" s="58">
        <v>153667</v>
      </c>
      <c r="AV57" s="58">
        <v>178778</v>
      </c>
      <c r="AW57" s="58">
        <v>151970</v>
      </c>
      <c r="AX57" s="58">
        <v>142416</v>
      </c>
      <c r="AY57" s="58">
        <v>177335</v>
      </c>
      <c r="AZ57" s="58">
        <v>152230</v>
      </c>
      <c r="BA57" s="58">
        <v>245527</v>
      </c>
      <c r="BB57" s="58">
        <f>5261504/27</f>
        <v>194870.51851851851</v>
      </c>
      <c r="BC57" s="58">
        <f>5784000/27</f>
        <v>214222.22222222222</v>
      </c>
      <c r="BD57" s="58">
        <f>3224000/27</f>
        <v>119407.4074074074</v>
      </c>
      <c r="BE57" s="58">
        <f>909800/27</f>
        <v>33696.296296296299</v>
      </c>
      <c r="BF57" s="58">
        <f t="shared" si="88"/>
        <v>1873309.4444444445</v>
      </c>
      <c r="BG57" s="59"/>
      <c r="BH57" s="58">
        <v>156208</v>
      </c>
      <c r="BI57" s="58">
        <v>147340</v>
      </c>
      <c r="BJ57" s="58">
        <v>166759</v>
      </c>
      <c r="BK57" s="58">
        <v>152352</v>
      </c>
      <c r="BL57" s="58">
        <v>128446</v>
      </c>
      <c r="BM57" s="58">
        <v>126790</v>
      </c>
      <c r="BN57" s="58">
        <v>173761</v>
      </c>
      <c r="BO57" s="58">
        <f>144510.599073001+BO56</f>
        <v>173510.59907300101</v>
      </c>
      <c r="BP57" s="58">
        <f>162574.422556972+BP56</f>
        <v>202797.42255697199</v>
      </c>
      <c r="BQ57" s="58">
        <f>166187.186558517+BQ56</f>
        <v>202922.18655851699</v>
      </c>
      <c r="BR57" s="58">
        <f>BQ31+BR27*0.6</f>
        <v>232502.36</v>
      </c>
      <c r="BS57" s="58">
        <f>BR27*0.4+BS27*0.5</f>
        <v>116391.04000000001</v>
      </c>
      <c r="BT57" s="58">
        <f t="shared" si="103"/>
        <v>1979779.6081884899</v>
      </c>
      <c r="BU57" s="60"/>
      <c r="BV57" s="58">
        <f t="shared" ref="BV57:CC57" si="109">BV31+BV56</f>
        <v>162757.867486095</v>
      </c>
      <c r="BW57" s="58">
        <f t="shared" si="109"/>
        <v>157566.83045180296</v>
      </c>
      <c r="BX57" s="58">
        <f t="shared" si="109"/>
        <v>197961.53846153844</v>
      </c>
      <c r="BY57" s="58">
        <f t="shared" si="109"/>
        <v>160769.23076923078</v>
      </c>
      <c r="BZ57" s="58">
        <f t="shared" si="109"/>
        <v>153232.39341785663</v>
      </c>
      <c r="CA57" s="58">
        <f t="shared" si="109"/>
        <v>143192.12910096842</v>
      </c>
      <c r="CB57" s="58">
        <f t="shared" si="109"/>
        <v>178736.21444761599</v>
      </c>
      <c r="CC57" s="58">
        <f t="shared" si="109"/>
        <v>202914.10079748323</v>
      </c>
      <c r="CD57" s="58">
        <f>CD31+CD56</f>
        <v>214499.61628422557</v>
      </c>
      <c r="CE57" s="58">
        <f>CE31+CE56</f>
        <v>217682.99793575107</v>
      </c>
      <c r="CF57" s="58">
        <f>CF31+CF56</f>
        <v>173115.84223630186</v>
      </c>
      <c r="CG57" s="58">
        <f t="shared" ref="BY57:CG57" si="110">BS57</f>
        <v>116391.04000000001</v>
      </c>
      <c r="CH57" s="58"/>
      <c r="CJ57" s="58">
        <f>CJ31+CJ56</f>
        <v>161344.16697726428</v>
      </c>
      <c r="CK57" s="58">
        <f t="shared" ref="CK57:CU57" si="111">CK31+CK56</f>
        <v>180873.49981364145</v>
      </c>
      <c r="CL57" s="58">
        <f t="shared" si="111"/>
        <v>172879.05329854641</v>
      </c>
      <c r="CM57" s="58">
        <f t="shared" si="111"/>
        <v>168578.1587774879</v>
      </c>
      <c r="CN57" s="58">
        <f t="shared" si="111"/>
        <v>181291.91203876259</v>
      </c>
      <c r="CO57" s="58">
        <f t="shared" si="111"/>
        <v>138386.95490122997</v>
      </c>
      <c r="CP57" s="58">
        <f t="shared" si="111"/>
        <v>217610.97046413503</v>
      </c>
      <c r="CQ57" s="58">
        <f>CQ31+CQ56</f>
        <v>234329.11392405062</v>
      </c>
      <c r="CR57" s="58">
        <f t="shared" si="111"/>
        <v>269765.40084388189</v>
      </c>
      <c r="CS57" s="58">
        <f t="shared" si="111"/>
        <v>257806.7510548523</v>
      </c>
      <c r="CT57" s="58">
        <f>CT31+CT56</f>
        <v>185135.02109704641</v>
      </c>
      <c r="CU57" s="58">
        <f t="shared" si="111"/>
        <v>111311.39240506329</v>
      </c>
      <c r="CV57" s="58">
        <f>SUM(CJ57:CU57)</f>
        <v>2279312.3955959622</v>
      </c>
      <c r="CX57" s="58">
        <v>98000</v>
      </c>
      <c r="CY57" s="58">
        <v>147381.66148608096</v>
      </c>
      <c r="CZ57" s="58">
        <v>188447.673527326</v>
      </c>
      <c r="DA57" s="58">
        <v>152352</v>
      </c>
      <c r="DB57" s="58">
        <v>128446</v>
      </c>
      <c r="DC57" s="58">
        <v>126790</v>
      </c>
      <c r="DD57" s="58">
        <v>173761</v>
      </c>
      <c r="DE57" s="58">
        <v>173510.59907300101</v>
      </c>
      <c r="DF57" s="58">
        <v>202797.42255697199</v>
      </c>
      <c r="DG57" s="58">
        <v>202922.18655851699</v>
      </c>
      <c r="DH57" s="58">
        <v>232502.36</v>
      </c>
      <c r="DI57" s="58">
        <v>116391.04000000001</v>
      </c>
      <c r="DJ57" s="58"/>
    </row>
    <row r="58" spans="1:114">
      <c r="A58" s="101" t="s">
        <v>75</v>
      </c>
      <c r="B58" s="102"/>
      <c r="C58" s="260"/>
      <c r="D58" s="277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262"/>
      <c r="Q58" s="15"/>
      <c r="R58" s="277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263"/>
      <c r="AE58" s="16"/>
      <c r="AF58" s="261">
        <v>133791</v>
      </c>
      <c r="AG58" s="14">
        <v>166459</v>
      </c>
      <c r="AH58" s="14">
        <v>149450</v>
      </c>
      <c r="AI58" s="14">
        <v>151073</v>
      </c>
      <c r="AJ58" s="14">
        <v>192944</v>
      </c>
      <c r="AK58" s="14">
        <v>166139</v>
      </c>
      <c r="AL58" s="14">
        <v>151874</v>
      </c>
      <c r="AM58" s="14">
        <v>157771</v>
      </c>
      <c r="AN58" s="14">
        <v>200312</v>
      </c>
      <c r="AO58" s="14">
        <v>202691</v>
      </c>
      <c r="AP58" s="14">
        <v>207768</v>
      </c>
      <c r="AQ58" s="14">
        <v>113286</v>
      </c>
      <c r="AR58" s="14">
        <f>SUM(AF58:AK58)</f>
        <v>959856</v>
      </c>
      <c r="AS58" s="17"/>
      <c r="AT58" s="14">
        <v>89680</v>
      </c>
      <c r="AU58" s="14">
        <v>128308</v>
      </c>
      <c r="AV58" s="14">
        <v>144871</v>
      </c>
      <c r="AW58" s="32">
        <v>161772</v>
      </c>
      <c r="AX58" s="32">
        <v>144516</v>
      </c>
      <c r="AY58" s="32">
        <v>103667</v>
      </c>
      <c r="AZ58" s="32">
        <v>141023</v>
      </c>
      <c r="BA58" s="32">
        <v>172093</v>
      </c>
      <c r="BB58" s="32">
        <f>166606+10000</f>
        <v>176606</v>
      </c>
      <c r="BC58" s="32">
        <v>181091</v>
      </c>
      <c r="BD58" s="32">
        <v>169802</v>
      </c>
      <c r="BE58" s="32">
        <v>120406</v>
      </c>
      <c r="BF58" s="32">
        <f t="shared" si="88"/>
        <v>1733835</v>
      </c>
      <c r="BG58" s="17">
        <f>BG55/AR55</f>
        <v>9.9910256474894502E-2</v>
      </c>
      <c r="BH58" s="14">
        <v>78906</v>
      </c>
      <c r="BI58" s="14">
        <v>119296</v>
      </c>
      <c r="BJ58" s="14">
        <v>165286</v>
      </c>
      <c r="BK58" s="14">
        <v>144532</v>
      </c>
      <c r="BL58" s="32">
        <v>157691</v>
      </c>
      <c r="BM58" s="32">
        <v>129096</v>
      </c>
      <c r="BN58" s="32">
        <v>125800</v>
      </c>
      <c r="BO58" s="32">
        <v>176354</v>
      </c>
      <c r="BP58" s="32">
        <v>173554</v>
      </c>
      <c r="BQ58" s="32">
        <v>185766</v>
      </c>
      <c r="BR58" s="32"/>
      <c r="BS58" s="32"/>
      <c r="BT58" s="32">
        <f t="shared" si="103"/>
        <v>1456281</v>
      </c>
      <c r="BU58" s="28"/>
      <c r="BV58" s="14"/>
      <c r="BW58" s="14"/>
      <c r="BX58" s="14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J58" s="14"/>
      <c r="CK58" s="14"/>
      <c r="CL58" s="14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X58" s="14"/>
      <c r="CY58" s="14"/>
      <c r="CZ58" s="14"/>
      <c r="DA58" s="32"/>
      <c r="DB58" s="32"/>
      <c r="DC58" s="32"/>
      <c r="DD58" s="32"/>
      <c r="DE58" s="32"/>
      <c r="DF58" s="32"/>
      <c r="DG58" s="32"/>
      <c r="DH58" s="32"/>
      <c r="DI58" s="32"/>
      <c r="DJ58" s="32"/>
    </row>
    <row r="59" spans="1:114" ht="15.75">
      <c r="A59" s="103"/>
      <c r="B59" s="329" t="s">
        <v>76</v>
      </c>
      <c r="C59" s="330"/>
      <c r="D59" s="331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332"/>
      <c r="Q59" s="105"/>
      <c r="R59" s="333"/>
      <c r="S59" s="333"/>
      <c r="T59" s="333"/>
      <c r="U59" s="333"/>
      <c r="V59" s="333"/>
      <c r="W59" s="333"/>
      <c r="X59" s="333"/>
      <c r="Y59" s="333"/>
      <c r="Z59" s="333"/>
      <c r="AA59" s="333"/>
      <c r="AB59" s="333"/>
      <c r="AC59" s="333"/>
      <c r="AD59" s="334"/>
      <c r="AE59" s="106"/>
      <c r="AF59" s="333">
        <f t="shared" ref="AF59:AQ59" si="112">AF58-AF26</f>
        <v>133789.5653258567</v>
      </c>
      <c r="AG59" s="333">
        <f t="shared" si="112"/>
        <v>166455.02546723894</v>
      </c>
      <c r="AH59" s="333">
        <f t="shared" si="112"/>
        <v>149445.54627453614</v>
      </c>
      <c r="AI59" s="333">
        <f t="shared" si="112"/>
        <v>151069.82181047046</v>
      </c>
      <c r="AJ59" s="333">
        <f t="shared" si="112"/>
        <v>192941.24487749056</v>
      </c>
      <c r="AK59" s="333">
        <f t="shared" si="112"/>
        <v>166135.77020296719</v>
      </c>
      <c r="AL59" s="333">
        <f t="shared" si="112"/>
        <v>151871.64243647002</v>
      </c>
      <c r="AM59" s="333">
        <f t="shared" si="112"/>
        <v>157768.8586839418</v>
      </c>
      <c r="AN59" s="333">
        <f t="shared" si="112"/>
        <v>200310.09576397031</v>
      </c>
      <c r="AO59" s="333">
        <f t="shared" si="112"/>
        <v>202687.83135883085</v>
      </c>
      <c r="AP59" s="333">
        <f t="shared" si="112"/>
        <v>207762.85122649223</v>
      </c>
      <c r="AQ59" s="333">
        <f t="shared" si="112"/>
        <v>113282.51926932538</v>
      </c>
      <c r="AR59" s="107">
        <f t="shared" ref="AR59:AR67" si="113">SUM(AF59:AQ59)</f>
        <v>1993520.772697591</v>
      </c>
      <c r="AS59" s="106"/>
      <c r="AT59" s="333">
        <f t="shared" ref="AT59:BE59" si="114">AT58-AT57</f>
        <v>-19510</v>
      </c>
      <c r="AU59" s="333">
        <f t="shared" si="114"/>
        <v>-25359</v>
      </c>
      <c r="AV59" s="333">
        <f t="shared" si="114"/>
        <v>-33907</v>
      </c>
      <c r="AW59" s="333">
        <f t="shared" si="114"/>
        <v>9802</v>
      </c>
      <c r="AX59" s="333">
        <f t="shared" si="114"/>
        <v>2100</v>
      </c>
      <c r="AY59" s="333">
        <f t="shared" si="114"/>
        <v>-73668</v>
      </c>
      <c r="AZ59" s="333">
        <f t="shared" si="114"/>
        <v>-11207</v>
      </c>
      <c r="BA59" s="333">
        <f t="shared" si="114"/>
        <v>-73434</v>
      </c>
      <c r="BB59" s="333">
        <f t="shared" si="114"/>
        <v>-18264.518518518511</v>
      </c>
      <c r="BC59" s="333">
        <f t="shared" si="114"/>
        <v>-33131.222222222219</v>
      </c>
      <c r="BD59" s="333">
        <f t="shared" si="114"/>
        <v>50394.592592592599</v>
      </c>
      <c r="BE59" s="333">
        <f t="shared" si="114"/>
        <v>86709.703703703708</v>
      </c>
      <c r="BF59" s="108">
        <f t="shared" si="88"/>
        <v>-139474.44444444444</v>
      </c>
      <c r="BG59" s="106"/>
      <c r="BH59" s="333">
        <f t="shared" ref="BH59:BQ59" si="115">BH58-BH57</f>
        <v>-77302</v>
      </c>
      <c r="BI59" s="333">
        <f t="shared" si="115"/>
        <v>-28044</v>
      </c>
      <c r="BJ59" s="333">
        <f t="shared" si="115"/>
        <v>-1473</v>
      </c>
      <c r="BK59" s="333">
        <f t="shared" si="115"/>
        <v>-7820</v>
      </c>
      <c r="BL59" s="333">
        <f t="shared" si="115"/>
        <v>29245</v>
      </c>
      <c r="BM59" s="333">
        <f t="shared" si="115"/>
        <v>2306</v>
      </c>
      <c r="BN59" s="333">
        <f t="shared" si="115"/>
        <v>-47961</v>
      </c>
      <c r="BO59" s="333">
        <f t="shared" si="115"/>
        <v>2843.4009269989911</v>
      </c>
      <c r="BP59" s="333">
        <f t="shared" si="115"/>
        <v>-29243.422556971986</v>
      </c>
      <c r="BQ59" s="333">
        <f t="shared" si="115"/>
        <v>-17156.186558516987</v>
      </c>
      <c r="BR59" s="108"/>
      <c r="BS59" s="108"/>
      <c r="BT59" s="108">
        <f t="shared" si="103"/>
        <v>-174605.20818848998</v>
      </c>
      <c r="BU59" s="28"/>
      <c r="BV59" s="333"/>
      <c r="BW59" s="333"/>
      <c r="BX59" s="333"/>
      <c r="BY59" s="333"/>
      <c r="BZ59" s="108"/>
      <c r="CA59" s="108"/>
      <c r="CB59" s="108"/>
      <c r="CC59" s="108"/>
      <c r="CD59" s="108"/>
      <c r="CE59" s="108"/>
      <c r="CF59" s="108"/>
      <c r="CG59" s="108"/>
      <c r="CH59" s="108"/>
      <c r="CJ59" s="333"/>
      <c r="CK59" s="333"/>
      <c r="CL59" s="333"/>
      <c r="CM59" s="333"/>
      <c r="CN59" s="108"/>
      <c r="CO59" s="108"/>
      <c r="CP59" s="108"/>
      <c r="CQ59" s="108"/>
      <c r="CR59" s="108"/>
      <c r="CS59" s="108"/>
      <c r="CT59" s="108"/>
      <c r="CU59" s="108"/>
      <c r="CV59" s="108"/>
      <c r="CX59" s="333"/>
      <c r="CY59" s="333"/>
      <c r="CZ59" s="333"/>
      <c r="DA59" s="333"/>
      <c r="DB59" s="108"/>
      <c r="DC59" s="108"/>
      <c r="DD59" s="108"/>
      <c r="DE59" s="108"/>
      <c r="DF59" s="108"/>
      <c r="DG59" s="108"/>
      <c r="DH59" s="108"/>
      <c r="DI59" s="108"/>
      <c r="DJ59" s="108"/>
    </row>
    <row r="60" spans="1:114" ht="15.75" customHeight="1">
      <c r="A60" s="94">
        <v>5</v>
      </c>
      <c r="B60" s="210" t="s">
        <v>77</v>
      </c>
      <c r="C60" s="335"/>
      <c r="D60" s="313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>
        <v>0</v>
      </c>
      <c r="P60" s="314">
        <f>SUM(D60:O60)</f>
        <v>0</v>
      </c>
      <c r="Q60" s="90"/>
      <c r="R60" s="313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315">
        <f>SUM(R60:AC60)</f>
        <v>0</v>
      </c>
      <c r="AE60" s="23"/>
      <c r="AF60" s="316">
        <v>0</v>
      </c>
      <c r="AG60" s="91">
        <v>0</v>
      </c>
      <c r="AH60" s="91">
        <v>0</v>
      </c>
      <c r="AI60" s="91">
        <v>0</v>
      </c>
      <c r="AJ60" s="91">
        <v>0</v>
      </c>
      <c r="AK60" s="91">
        <v>0</v>
      </c>
      <c r="AL60" s="91">
        <v>0</v>
      </c>
      <c r="AM60" s="91">
        <v>0</v>
      </c>
      <c r="AN60" s="91">
        <v>0</v>
      </c>
      <c r="AO60" s="91">
        <v>0</v>
      </c>
      <c r="AP60" s="91"/>
      <c r="AQ60" s="91">
        <v>8938</v>
      </c>
      <c r="AR60" s="92">
        <f t="shared" si="113"/>
        <v>8938</v>
      </c>
      <c r="AS60" s="23"/>
      <c r="AT60" s="91">
        <v>106642</v>
      </c>
      <c r="AU60" s="91">
        <v>90699</v>
      </c>
      <c r="AV60" s="91">
        <v>89681</v>
      </c>
      <c r="AW60" s="91">
        <v>58790</v>
      </c>
      <c r="AX60" s="91">
        <v>35520</v>
      </c>
      <c r="AY60" s="91">
        <v>61551</v>
      </c>
      <c r="AZ60" s="91">
        <v>71511</v>
      </c>
      <c r="BA60" s="91">
        <v>63617</v>
      </c>
      <c r="BB60" s="91">
        <v>66748</v>
      </c>
      <c r="BC60" s="91">
        <v>75532</v>
      </c>
      <c r="BD60" s="91">
        <v>37786</v>
      </c>
      <c r="BE60" s="91">
        <v>4503</v>
      </c>
      <c r="BF60" s="91">
        <f t="shared" si="88"/>
        <v>762580</v>
      </c>
      <c r="BG60" s="27"/>
      <c r="BH60" s="91">
        <v>69404</v>
      </c>
      <c r="BI60" s="91">
        <v>80412</v>
      </c>
      <c r="BJ60" s="91">
        <v>94386</v>
      </c>
      <c r="BK60" s="91">
        <v>78313</v>
      </c>
      <c r="BL60" s="91">
        <v>47034</v>
      </c>
      <c r="BM60" s="91">
        <v>50851</v>
      </c>
      <c r="BN60" s="91">
        <v>93202</v>
      </c>
      <c r="BO60" s="91">
        <v>100687</v>
      </c>
      <c r="BP60" s="91">
        <v>127995</v>
      </c>
      <c r="BQ60" s="91">
        <v>122686</v>
      </c>
      <c r="BR60" s="91"/>
      <c r="BS60" s="91"/>
      <c r="BT60" s="91"/>
      <c r="BU60" s="28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  <c r="CX60" s="91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</row>
    <row r="61" spans="1:114">
      <c r="A61" s="13" t="s">
        <v>78</v>
      </c>
      <c r="B61" s="259"/>
      <c r="C61" s="260"/>
      <c r="D61" s="277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262"/>
      <c r="Q61" s="15"/>
      <c r="R61" s="277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263"/>
      <c r="AE61" s="16"/>
      <c r="AF61" s="261">
        <f t="shared" ref="AF61:AQ61" si="116">AF62+AF64</f>
        <v>118364</v>
      </c>
      <c r="AG61" s="261">
        <f t="shared" si="116"/>
        <v>173742</v>
      </c>
      <c r="AH61" s="261">
        <f t="shared" si="116"/>
        <v>73470</v>
      </c>
      <c r="AI61" s="261">
        <f t="shared" si="116"/>
        <v>87377</v>
      </c>
      <c r="AJ61" s="261">
        <f t="shared" si="116"/>
        <v>119657</v>
      </c>
      <c r="AK61" s="261">
        <f t="shared" si="116"/>
        <v>154747</v>
      </c>
      <c r="AL61" s="261">
        <f t="shared" si="116"/>
        <v>138073</v>
      </c>
      <c r="AM61" s="261">
        <f t="shared" si="116"/>
        <v>180773</v>
      </c>
      <c r="AN61" s="261">
        <f t="shared" si="116"/>
        <v>194598</v>
      </c>
      <c r="AO61" s="261">
        <f t="shared" si="116"/>
        <v>242931</v>
      </c>
      <c r="AP61" s="261">
        <f t="shared" si="116"/>
        <v>107346</v>
      </c>
      <c r="AQ61" s="261">
        <f t="shared" si="116"/>
        <v>87384</v>
      </c>
      <c r="AR61" s="14">
        <f t="shared" si="113"/>
        <v>1678462</v>
      </c>
      <c r="AS61" s="17"/>
      <c r="AT61" s="261">
        <f t="shared" ref="AT61:BE61" si="117">AT62+AT64</f>
        <v>155346</v>
      </c>
      <c r="AU61" s="261">
        <f t="shared" si="117"/>
        <v>123370</v>
      </c>
      <c r="AV61" s="261">
        <f t="shared" si="117"/>
        <v>144065</v>
      </c>
      <c r="AW61" s="261">
        <f t="shared" si="117"/>
        <v>127865</v>
      </c>
      <c r="AX61" s="261">
        <f t="shared" si="117"/>
        <v>123461</v>
      </c>
      <c r="AY61" s="261">
        <f t="shared" si="117"/>
        <v>121196</v>
      </c>
      <c r="AZ61" s="261">
        <f t="shared" si="117"/>
        <v>168029</v>
      </c>
      <c r="BA61" s="261">
        <f t="shared" si="117"/>
        <v>164268</v>
      </c>
      <c r="BB61" s="261">
        <f t="shared" si="117"/>
        <v>185112</v>
      </c>
      <c r="BC61" s="261">
        <f t="shared" si="117"/>
        <v>147235</v>
      </c>
      <c r="BD61" s="261">
        <f t="shared" si="117"/>
        <v>135608</v>
      </c>
      <c r="BE61" s="261">
        <f t="shared" si="117"/>
        <v>90194</v>
      </c>
      <c r="BF61" s="32">
        <f t="shared" si="88"/>
        <v>1685749</v>
      </c>
      <c r="BG61" s="35">
        <f t="shared" ref="BG61:BG62" si="118">BF61/AR61-1</f>
        <v>4.3414745165515356E-3</v>
      </c>
      <c r="BH61" s="261">
        <f>BH62+BH64</f>
        <v>144332</v>
      </c>
      <c r="BI61" s="261">
        <f t="shared" ref="BI61:BQ61" si="119">BI62+BI64</f>
        <v>128781</v>
      </c>
      <c r="BJ61" s="261">
        <f t="shared" si="119"/>
        <v>193129</v>
      </c>
      <c r="BK61" s="261">
        <f t="shared" si="119"/>
        <v>106092</v>
      </c>
      <c r="BL61" s="261">
        <f t="shared" si="119"/>
        <v>132638</v>
      </c>
      <c r="BM61" s="261">
        <f t="shared" si="119"/>
        <v>139193</v>
      </c>
      <c r="BN61" s="261">
        <f t="shared" si="119"/>
        <v>173703</v>
      </c>
      <c r="BO61" s="261">
        <f t="shared" si="119"/>
        <v>186902</v>
      </c>
      <c r="BP61" s="261">
        <f t="shared" si="119"/>
        <v>200686</v>
      </c>
      <c r="BQ61" s="261">
        <f t="shared" si="119"/>
        <v>191324</v>
      </c>
      <c r="BR61" s="14"/>
      <c r="BS61" s="14"/>
      <c r="BT61" s="14">
        <f t="shared" ref="BT61:BT66" si="120">SUM(BH61:BS61)</f>
        <v>1596780</v>
      </c>
      <c r="BU61" s="18"/>
      <c r="BV61" s="261"/>
      <c r="BW61" s="261"/>
      <c r="BX61" s="261"/>
      <c r="BY61" s="261"/>
      <c r="BZ61" s="14"/>
      <c r="CA61" s="14"/>
      <c r="CB61" s="14"/>
      <c r="CC61" s="14"/>
      <c r="CD61" s="14"/>
      <c r="CE61" s="14"/>
      <c r="CF61" s="14"/>
      <c r="CG61" s="14"/>
      <c r="CH61" s="14"/>
      <c r="CJ61" s="261">
        <f>CJ62+CJ64</f>
        <v>204853</v>
      </c>
      <c r="CK61" s="261">
        <f t="shared" ref="CK61:CM61" si="121">CK62+CK64</f>
        <v>0</v>
      </c>
      <c r="CL61" s="261">
        <f t="shared" si="121"/>
        <v>0</v>
      </c>
      <c r="CM61" s="261">
        <f t="shared" si="121"/>
        <v>0</v>
      </c>
      <c r="CN61" s="14"/>
      <c r="CO61" s="14"/>
      <c r="CP61" s="14"/>
      <c r="CQ61" s="14"/>
      <c r="CR61" s="14"/>
      <c r="CS61" s="14"/>
      <c r="CT61" s="14"/>
      <c r="CU61" s="14"/>
      <c r="CV61" s="14"/>
      <c r="CX61" s="261"/>
      <c r="CY61" s="261"/>
      <c r="CZ61" s="261"/>
      <c r="DA61" s="261"/>
      <c r="DB61" s="14"/>
      <c r="DC61" s="14"/>
      <c r="DD61" s="14"/>
      <c r="DE61" s="14"/>
      <c r="DF61" s="14"/>
      <c r="DG61" s="14"/>
      <c r="DH61" s="14"/>
      <c r="DI61" s="14"/>
      <c r="DJ61" s="14"/>
    </row>
    <row r="62" spans="1:114" ht="15.75" customHeight="1">
      <c r="A62" s="210"/>
      <c r="B62" s="210" t="s">
        <v>79</v>
      </c>
      <c r="C62" s="316"/>
      <c r="D62" s="313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315"/>
      <c r="AE62" s="23"/>
      <c r="AF62" s="316">
        <v>92193</v>
      </c>
      <c r="AG62" s="91">
        <v>152006</v>
      </c>
      <c r="AH62" s="91">
        <v>62734</v>
      </c>
      <c r="AI62" s="91">
        <v>71526</v>
      </c>
      <c r="AJ62" s="91">
        <v>89409</v>
      </c>
      <c r="AK62" s="91">
        <v>120675</v>
      </c>
      <c r="AL62" s="91">
        <v>100592</v>
      </c>
      <c r="AM62" s="91">
        <v>148128</v>
      </c>
      <c r="AN62" s="91">
        <v>164346</v>
      </c>
      <c r="AO62" s="91">
        <v>203437</v>
      </c>
      <c r="AP62" s="91">
        <v>64957</v>
      </c>
      <c r="AQ62" s="91">
        <v>31837</v>
      </c>
      <c r="AR62" s="92">
        <f t="shared" si="113"/>
        <v>1301840</v>
      </c>
      <c r="AS62" s="23"/>
      <c r="AT62" s="91">
        <v>125048</v>
      </c>
      <c r="AU62" s="91">
        <v>96006</v>
      </c>
      <c r="AV62" s="91">
        <v>111470</v>
      </c>
      <c r="AW62" s="91">
        <v>99222</v>
      </c>
      <c r="AX62" s="91">
        <v>91253</v>
      </c>
      <c r="AY62" s="91">
        <v>90595</v>
      </c>
      <c r="AZ62" s="91">
        <v>129147</v>
      </c>
      <c r="BA62" s="91">
        <v>133525</v>
      </c>
      <c r="BB62" s="91">
        <v>159291</v>
      </c>
      <c r="BC62" s="91">
        <v>115573</v>
      </c>
      <c r="BD62" s="91">
        <v>98386</v>
      </c>
      <c r="BE62" s="91">
        <v>36527</v>
      </c>
      <c r="BF62" s="91">
        <f t="shared" si="88"/>
        <v>1286043</v>
      </c>
      <c r="BG62" s="93">
        <f t="shared" si="118"/>
        <v>-1.2134363669882631E-2</v>
      </c>
      <c r="BH62" s="91">
        <v>110235</v>
      </c>
      <c r="BI62" s="91">
        <v>103047</v>
      </c>
      <c r="BJ62" s="91">
        <v>158855</v>
      </c>
      <c r="BK62" s="91">
        <v>77254</v>
      </c>
      <c r="BL62" s="91">
        <v>99853</v>
      </c>
      <c r="BM62" s="91">
        <v>100723</v>
      </c>
      <c r="BN62" s="91">
        <v>125338</v>
      </c>
      <c r="BO62" s="91">
        <v>153622</v>
      </c>
      <c r="BP62" s="91">
        <v>166483</v>
      </c>
      <c r="BQ62" s="91">
        <v>156140</v>
      </c>
      <c r="BR62" s="91">
        <v>111391</v>
      </c>
      <c r="BS62" s="91">
        <v>26768</v>
      </c>
      <c r="BT62" s="91">
        <f t="shared" si="120"/>
        <v>1389709</v>
      </c>
      <c r="BU62" s="28"/>
      <c r="BV62" s="91">
        <v>128446</v>
      </c>
      <c r="BW62" s="91">
        <v>119229</v>
      </c>
      <c r="BX62" s="91">
        <v>134860</v>
      </c>
      <c r="BY62" s="91">
        <v>111992</v>
      </c>
      <c r="BZ62" s="91">
        <v>102725</v>
      </c>
      <c r="CA62" s="91">
        <v>74472</v>
      </c>
      <c r="CB62" s="91">
        <v>164045</v>
      </c>
      <c r="CC62" s="91">
        <v>148167</v>
      </c>
      <c r="CD62" s="91">
        <v>189715</v>
      </c>
      <c r="CE62" s="91">
        <v>165488</v>
      </c>
      <c r="CF62" s="91">
        <v>103829</v>
      </c>
      <c r="CG62" s="91">
        <v>39967</v>
      </c>
      <c r="CH62" s="91">
        <f t="shared" ref="CH62:CH65" si="122">SUM(BV62:CG62)</f>
        <v>1482935</v>
      </c>
      <c r="CJ62" s="91">
        <v>167136</v>
      </c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91"/>
      <c r="CV62" s="91"/>
      <c r="CX62" s="91">
        <v>54245</v>
      </c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</row>
    <row r="63" spans="1:114" ht="15.75">
      <c r="A63" s="103"/>
      <c r="B63" s="329" t="s">
        <v>80</v>
      </c>
      <c r="C63" s="330"/>
      <c r="D63" s="331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332"/>
      <c r="Q63" s="105"/>
      <c r="R63" s="333"/>
      <c r="S63" s="333"/>
      <c r="T63" s="333"/>
      <c r="U63" s="333"/>
      <c r="V63" s="333"/>
      <c r="W63" s="333"/>
      <c r="X63" s="333"/>
      <c r="Y63" s="333"/>
      <c r="Z63" s="333"/>
      <c r="AA63" s="333"/>
      <c r="AB63" s="333"/>
      <c r="AC63" s="333"/>
      <c r="AD63" s="334"/>
      <c r="AE63" s="106"/>
      <c r="AF63" s="333">
        <f t="shared" ref="AF63:AQ63" si="123">AF62-AF31</f>
        <v>2047</v>
      </c>
      <c r="AG63" s="333">
        <f t="shared" si="123"/>
        <v>-3571</v>
      </c>
      <c r="AH63" s="333">
        <f t="shared" si="123"/>
        <v>-219</v>
      </c>
      <c r="AI63" s="333">
        <f t="shared" si="123"/>
        <v>-1735</v>
      </c>
      <c r="AJ63" s="333">
        <f t="shared" si="123"/>
        <v>-2447</v>
      </c>
      <c r="AK63" s="333">
        <f t="shared" si="123"/>
        <v>675</v>
      </c>
      <c r="AL63" s="333">
        <f t="shared" si="123"/>
        <v>-9703</v>
      </c>
      <c r="AM63" s="333">
        <f t="shared" si="123"/>
        <v>-52075</v>
      </c>
      <c r="AN63" s="333">
        <f t="shared" si="123"/>
        <v>-59487.333333333343</v>
      </c>
      <c r="AO63" s="333">
        <f t="shared" si="123"/>
        <v>-15063</v>
      </c>
      <c r="AP63" s="333">
        <f t="shared" si="123"/>
        <v>-23043</v>
      </c>
      <c r="AQ63" s="333">
        <f t="shared" si="123"/>
        <v>-11563</v>
      </c>
      <c r="AR63" s="107">
        <f t="shared" si="113"/>
        <v>-176184.33333333334</v>
      </c>
      <c r="AS63" s="106"/>
      <c r="AT63" s="333">
        <f t="shared" ref="AT63:BE63" si="124">AT62-AT31</f>
        <v>8451.75</v>
      </c>
      <c r="AU63" s="333">
        <f t="shared" si="124"/>
        <v>-37227.103448275855</v>
      </c>
      <c r="AV63" s="333">
        <f t="shared" si="124"/>
        <v>-6779.1379310344782</v>
      </c>
      <c r="AW63" s="333">
        <f t="shared" si="124"/>
        <v>-22342.137931034478</v>
      </c>
      <c r="AX63" s="333">
        <f t="shared" si="124"/>
        <v>4719.0344827586232</v>
      </c>
      <c r="AY63" s="333">
        <f t="shared" si="124"/>
        <v>-14182.777777777781</v>
      </c>
      <c r="AZ63" s="333">
        <f t="shared" si="124"/>
        <v>-6630.777777777781</v>
      </c>
      <c r="BA63" s="333">
        <f t="shared" si="124"/>
        <v>-77771.296296296292</v>
      </c>
      <c r="BB63" s="333">
        <f t="shared" si="124"/>
        <v>-51486.777777777781</v>
      </c>
      <c r="BC63" s="333">
        <f t="shared" si="124"/>
        <v>-99233.290755657828</v>
      </c>
      <c r="BD63" s="333">
        <f t="shared" si="124"/>
        <v>5175.413118527038</v>
      </c>
      <c r="BE63" s="333">
        <f t="shared" si="124"/>
        <v>5840.3870349060235</v>
      </c>
      <c r="BF63" s="108">
        <f t="shared" si="88"/>
        <v>-291466.71505944064</v>
      </c>
      <c r="BG63" s="106"/>
      <c r="BH63" s="333">
        <f t="shared" ref="BH63:BQ63" si="125">BH62-BH28</f>
        <v>-6365</v>
      </c>
      <c r="BI63" s="333">
        <f t="shared" si="125"/>
        <v>-8486.3333333333285</v>
      </c>
      <c r="BJ63" s="333">
        <f t="shared" si="125"/>
        <v>23180.925925925927</v>
      </c>
      <c r="BK63" s="333">
        <f t="shared" si="125"/>
        <v>-44486.740740740745</v>
      </c>
      <c r="BL63" s="333">
        <f t="shared" si="125"/>
        <v>5926.148148148146</v>
      </c>
      <c r="BM63" s="333">
        <f t="shared" si="125"/>
        <v>10043.740740740745</v>
      </c>
      <c r="BN63" s="333">
        <f t="shared" si="125"/>
        <v>-4917.555555555562</v>
      </c>
      <c r="BO63" s="333">
        <f t="shared" si="125"/>
        <v>3071.6218888889125</v>
      </c>
      <c r="BP63" s="333">
        <f t="shared" si="125"/>
        <v>4652.2504629629548</v>
      </c>
      <c r="BQ63" s="333">
        <f t="shared" si="125"/>
        <v>29010</v>
      </c>
      <c r="BR63" s="108"/>
      <c r="BS63" s="108"/>
      <c r="BT63" s="108">
        <f t="shared" si="120"/>
        <v>11629.05753703705</v>
      </c>
      <c r="BU63" s="28"/>
      <c r="BV63" s="333">
        <v>124435</v>
      </c>
      <c r="BW63" s="333">
        <v>117564</v>
      </c>
      <c r="BX63" s="333">
        <v>133262</v>
      </c>
      <c r="BY63" s="333">
        <v>110312</v>
      </c>
      <c r="BZ63" s="108">
        <v>101441</v>
      </c>
      <c r="CA63" s="108">
        <v>67535</v>
      </c>
      <c r="CB63" s="108">
        <v>155594</v>
      </c>
      <c r="CC63" s="108"/>
      <c r="CD63" s="108"/>
      <c r="CE63" s="108"/>
      <c r="CF63" s="108"/>
      <c r="CG63" s="108"/>
      <c r="CH63" s="108">
        <f t="shared" si="122"/>
        <v>810143</v>
      </c>
      <c r="CJ63" s="333">
        <v>159683</v>
      </c>
      <c r="CK63" s="333">
        <v>182683</v>
      </c>
      <c r="CL63" s="333">
        <v>137562</v>
      </c>
      <c r="CM63" s="333">
        <v>131937</v>
      </c>
      <c r="CN63" s="108"/>
      <c r="CO63" s="108"/>
      <c r="CP63" s="108"/>
      <c r="CQ63" s="108"/>
      <c r="CR63" s="108"/>
      <c r="CS63" s="108"/>
      <c r="CT63" s="108"/>
      <c r="CU63" s="108"/>
      <c r="CV63" s="108"/>
      <c r="CX63" s="333"/>
      <c r="CY63" s="333"/>
      <c r="CZ63" s="333"/>
      <c r="DA63" s="333"/>
      <c r="DB63" s="108"/>
      <c r="DC63" s="108"/>
      <c r="DD63" s="108"/>
      <c r="DE63" s="108"/>
      <c r="DF63" s="108"/>
      <c r="DG63" s="108"/>
      <c r="DH63" s="108"/>
      <c r="DI63" s="108"/>
      <c r="DJ63" s="108"/>
    </row>
    <row r="64" spans="1:114" ht="15.75" customHeight="1">
      <c r="A64" s="94"/>
      <c r="B64" s="336" t="s">
        <v>81</v>
      </c>
      <c r="C64" s="335"/>
      <c r="D64" s="313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314"/>
      <c r="Q64" s="90"/>
      <c r="R64" s="316"/>
      <c r="S64" s="31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5"/>
      <c r="AE64" s="23"/>
      <c r="AF64" s="316">
        <v>26171</v>
      </c>
      <c r="AG64" s="316">
        <v>21736</v>
      </c>
      <c r="AH64" s="316">
        <v>10736</v>
      </c>
      <c r="AI64" s="316">
        <v>15851</v>
      </c>
      <c r="AJ64" s="316">
        <v>30248</v>
      </c>
      <c r="AK64" s="316">
        <v>34072</v>
      </c>
      <c r="AL64" s="316">
        <v>37481</v>
      </c>
      <c r="AM64" s="91">
        <v>32645</v>
      </c>
      <c r="AN64" s="91">
        <v>30252</v>
      </c>
      <c r="AO64" s="91">
        <v>39494</v>
      </c>
      <c r="AP64" s="91">
        <v>42389</v>
      </c>
      <c r="AQ64" s="91">
        <v>55547</v>
      </c>
      <c r="AR64" s="92">
        <f t="shared" si="113"/>
        <v>376622</v>
      </c>
      <c r="AS64" s="23"/>
      <c r="AT64" s="91">
        <v>30298</v>
      </c>
      <c r="AU64" s="91">
        <v>27364</v>
      </c>
      <c r="AV64" s="91">
        <v>32595</v>
      </c>
      <c r="AW64" s="91">
        <v>28643</v>
      </c>
      <c r="AX64" s="91">
        <v>32208</v>
      </c>
      <c r="AY64" s="91">
        <v>30601</v>
      </c>
      <c r="AZ64" s="91">
        <v>38882</v>
      </c>
      <c r="BA64" s="91">
        <v>30743</v>
      </c>
      <c r="BB64" s="91">
        <f>24621+1200</f>
        <v>25821</v>
      </c>
      <c r="BC64" s="91">
        <v>31662</v>
      </c>
      <c r="BD64" s="91">
        <v>37222</v>
      </c>
      <c r="BE64" s="91">
        <v>53667</v>
      </c>
      <c r="BF64" s="91">
        <f t="shared" si="88"/>
        <v>399706</v>
      </c>
      <c r="BG64" s="93">
        <f>BF64/AR64-1</f>
        <v>6.1292224033646425E-2</v>
      </c>
      <c r="BH64" s="91">
        <v>34097</v>
      </c>
      <c r="BI64" s="91">
        <v>25734</v>
      </c>
      <c r="BJ64" s="91">
        <v>34274</v>
      </c>
      <c r="BK64" s="91">
        <v>28838</v>
      </c>
      <c r="BL64" s="91">
        <v>32785</v>
      </c>
      <c r="BM64" s="91">
        <v>38470</v>
      </c>
      <c r="BN64" s="91">
        <v>48365</v>
      </c>
      <c r="BO64" s="91">
        <v>33280</v>
      </c>
      <c r="BP64" s="91">
        <v>34203</v>
      </c>
      <c r="BQ64" s="91">
        <v>35184</v>
      </c>
      <c r="BR64" s="91">
        <v>34873</v>
      </c>
      <c r="BS64" s="91">
        <v>48960</v>
      </c>
      <c r="BT64" s="91">
        <f t="shared" si="120"/>
        <v>429063</v>
      </c>
      <c r="BU64" s="28"/>
      <c r="BV64" s="91">
        <v>38900</v>
      </c>
      <c r="BW64" s="91">
        <v>31376</v>
      </c>
      <c r="BX64" s="91">
        <v>29886</v>
      </c>
      <c r="BY64" s="91">
        <v>30671</v>
      </c>
      <c r="BZ64" s="91">
        <v>34553</v>
      </c>
      <c r="CA64" s="91">
        <v>36515</v>
      </c>
      <c r="CB64" s="91">
        <v>38915</v>
      </c>
      <c r="CC64" s="91">
        <v>34615</v>
      </c>
      <c r="CD64" s="91">
        <v>29617</v>
      </c>
      <c r="CE64" s="91">
        <v>34538</v>
      </c>
      <c r="CF64" s="91">
        <v>45914</v>
      </c>
      <c r="CG64" s="91">
        <v>60875</v>
      </c>
      <c r="CH64" s="91">
        <f t="shared" si="122"/>
        <v>446375</v>
      </c>
      <c r="CJ64" s="91">
        <v>37717</v>
      </c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X64" s="91">
        <v>22115</v>
      </c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</row>
    <row r="65" spans="1:115" ht="15.75">
      <c r="A65" s="103"/>
      <c r="B65" s="329" t="s">
        <v>82</v>
      </c>
      <c r="C65" s="330"/>
      <c r="D65" s="331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332"/>
      <c r="Q65" s="105"/>
      <c r="R65" s="333"/>
      <c r="S65" s="333"/>
      <c r="T65" s="333"/>
      <c r="U65" s="333"/>
      <c r="V65" s="333"/>
      <c r="W65" s="333"/>
      <c r="X65" s="333"/>
      <c r="Y65" s="333"/>
      <c r="Z65" s="333"/>
      <c r="AA65" s="333"/>
      <c r="AB65" s="333"/>
      <c r="AC65" s="333"/>
      <c r="AD65" s="334"/>
      <c r="AE65" s="106"/>
      <c r="AF65" s="333">
        <f t="shared" ref="AF65:AQ65" si="126">AF64-AF55</f>
        <v>-12329</v>
      </c>
      <c r="AG65" s="333">
        <f t="shared" si="126"/>
        <v>-664</v>
      </c>
      <c r="AH65" s="333">
        <f t="shared" si="126"/>
        <v>65</v>
      </c>
      <c r="AI65" s="333">
        <f t="shared" si="126"/>
        <v>-246</v>
      </c>
      <c r="AJ65" s="333">
        <f t="shared" si="126"/>
        <v>-30</v>
      </c>
      <c r="AK65" s="333">
        <f t="shared" si="126"/>
        <v>5512</v>
      </c>
      <c r="AL65" s="333">
        <f t="shared" si="126"/>
        <v>-4219</v>
      </c>
      <c r="AM65" s="333">
        <f t="shared" si="126"/>
        <v>-6055</v>
      </c>
      <c r="AN65" s="333">
        <f t="shared" si="126"/>
        <v>-7048</v>
      </c>
      <c r="AO65" s="333">
        <f t="shared" si="126"/>
        <v>2094</v>
      </c>
      <c r="AP65" s="333">
        <f t="shared" si="126"/>
        <v>1749</v>
      </c>
      <c r="AQ65" s="333">
        <f t="shared" si="126"/>
        <v>1107</v>
      </c>
      <c r="AR65" s="107">
        <f t="shared" si="113"/>
        <v>-20064</v>
      </c>
      <c r="AS65" s="106"/>
      <c r="AT65" s="333">
        <f t="shared" ref="AT65:BE65" si="127">AT64-AT55</f>
        <v>-5855</v>
      </c>
      <c r="AU65" s="333">
        <f t="shared" si="127"/>
        <v>-7925</v>
      </c>
      <c r="AV65" s="333">
        <f t="shared" si="127"/>
        <v>-3277</v>
      </c>
      <c r="AW65" s="333">
        <f t="shared" si="127"/>
        <v>-9388</v>
      </c>
      <c r="AX65" s="333">
        <f t="shared" si="127"/>
        <v>-1358</v>
      </c>
      <c r="AY65" s="333">
        <f t="shared" si="127"/>
        <v>-2965</v>
      </c>
      <c r="AZ65" s="333">
        <f t="shared" si="127"/>
        <v>7986</v>
      </c>
      <c r="BA65" s="333">
        <f t="shared" si="127"/>
        <v>-403</v>
      </c>
      <c r="BB65" s="333">
        <f t="shared" si="127"/>
        <v>-6809</v>
      </c>
      <c r="BC65" s="333">
        <f t="shared" si="127"/>
        <v>-6900</v>
      </c>
      <c r="BD65" s="333">
        <f t="shared" si="127"/>
        <v>-4123</v>
      </c>
      <c r="BE65" s="333">
        <f t="shared" si="127"/>
        <v>4404</v>
      </c>
      <c r="BF65" s="108">
        <f t="shared" si="88"/>
        <v>-36613</v>
      </c>
      <c r="BG65" s="106"/>
      <c r="BH65" s="333">
        <f t="shared" ref="BH65:BQ65" si="128">BH64-BH55</f>
        <v>-2056</v>
      </c>
      <c r="BI65" s="333">
        <f t="shared" si="128"/>
        <v>-9555</v>
      </c>
      <c r="BJ65" s="333">
        <f t="shared" si="128"/>
        <v>-1598</v>
      </c>
      <c r="BK65" s="333">
        <f t="shared" si="128"/>
        <v>-9193</v>
      </c>
      <c r="BL65" s="333">
        <f t="shared" si="128"/>
        <v>-5785</v>
      </c>
      <c r="BM65" s="333">
        <f t="shared" si="128"/>
        <v>-757</v>
      </c>
      <c r="BN65" s="333">
        <f t="shared" si="128"/>
        <v>7237</v>
      </c>
      <c r="BO65" s="333">
        <f t="shared" si="128"/>
        <v>-4911</v>
      </c>
      <c r="BP65" s="333">
        <f t="shared" si="128"/>
        <v>-3988</v>
      </c>
      <c r="BQ65" s="333">
        <f t="shared" si="128"/>
        <v>-5041</v>
      </c>
      <c r="BR65" s="108"/>
      <c r="BS65" s="108"/>
      <c r="BT65" s="108">
        <f t="shared" si="120"/>
        <v>-35647</v>
      </c>
      <c r="BU65" s="28"/>
      <c r="BV65" s="333">
        <v>27740</v>
      </c>
      <c r="BW65" s="333">
        <v>23272</v>
      </c>
      <c r="BX65" s="333">
        <v>24576</v>
      </c>
      <c r="BY65" s="108">
        <v>26006</v>
      </c>
      <c r="BZ65" s="108">
        <v>30640</v>
      </c>
      <c r="CA65" s="108">
        <v>30640</v>
      </c>
      <c r="CB65" s="108">
        <v>29618</v>
      </c>
      <c r="CC65" s="108">
        <v>29686</v>
      </c>
      <c r="CD65" s="108">
        <v>29993</v>
      </c>
      <c r="CE65" s="108">
        <v>31540</v>
      </c>
      <c r="CF65" s="108">
        <v>38086</v>
      </c>
      <c r="CG65" s="108">
        <v>54003</v>
      </c>
      <c r="CH65" s="108">
        <f t="shared" si="122"/>
        <v>375800</v>
      </c>
      <c r="CJ65" s="333">
        <f>BV65*1.03</f>
        <v>28572.2</v>
      </c>
      <c r="CK65" s="333">
        <f>BW65*1.03</f>
        <v>23970.16</v>
      </c>
      <c r="CL65" s="333">
        <f t="shared" ref="CK65:CU65" si="129">BX65*1.03</f>
        <v>25313.279999999999</v>
      </c>
      <c r="CM65" s="333">
        <v>29046</v>
      </c>
      <c r="CN65" s="333">
        <f t="shared" si="129"/>
        <v>31559.200000000001</v>
      </c>
      <c r="CO65" s="333">
        <f t="shared" si="129"/>
        <v>31559.200000000001</v>
      </c>
      <c r="CP65" s="333">
        <f t="shared" si="129"/>
        <v>30506.54</v>
      </c>
      <c r="CQ65" s="333">
        <f t="shared" si="129"/>
        <v>30576.58</v>
      </c>
      <c r="CR65" s="333">
        <f t="shared" si="129"/>
        <v>30892.79</v>
      </c>
      <c r="CS65" s="333">
        <f t="shared" si="129"/>
        <v>32486.2</v>
      </c>
      <c r="CT65" s="333">
        <f t="shared" si="129"/>
        <v>39228.58</v>
      </c>
      <c r="CU65" s="333">
        <f t="shared" si="129"/>
        <v>55623.090000000004</v>
      </c>
      <c r="CV65" s="108">
        <f>SUM(CJ65:CU65)</f>
        <v>389333.82000000007</v>
      </c>
      <c r="CX65" s="333">
        <f>CJ65</f>
        <v>28572.2</v>
      </c>
      <c r="CY65" s="333">
        <f t="shared" ref="CY65:DI65" si="130">CK65</f>
        <v>23970.16</v>
      </c>
      <c r="CZ65" s="333">
        <f t="shared" si="130"/>
        <v>25313.279999999999</v>
      </c>
      <c r="DA65" s="333">
        <f t="shared" si="130"/>
        <v>29046</v>
      </c>
      <c r="DB65" s="333">
        <f t="shared" si="130"/>
        <v>31559.200000000001</v>
      </c>
      <c r="DC65" s="333">
        <f t="shared" si="130"/>
        <v>31559.200000000001</v>
      </c>
      <c r="DD65" s="333">
        <f t="shared" si="130"/>
        <v>30506.54</v>
      </c>
      <c r="DE65" s="333">
        <f t="shared" si="130"/>
        <v>30576.58</v>
      </c>
      <c r="DF65" s="333">
        <f t="shared" si="130"/>
        <v>30892.79</v>
      </c>
      <c r="DG65" s="333">
        <f t="shared" si="130"/>
        <v>32486.2</v>
      </c>
      <c r="DH65" s="333">
        <f t="shared" si="130"/>
        <v>39228.58</v>
      </c>
      <c r="DI65" s="333">
        <f t="shared" si="130"/>
        <v>55623.090000000004</v>
      </c>
      <c r="DJ65" s="108">
        <f>SUM(CX65:DI65)</f>
        <v>389333.82000000007</v>
      </c>
      <c r="DK65" s="598">
        <f>DJ65-CV65</f>
        <v>0</v>
      </c>
    </row>
    <row r="66" spans="1:115" ht="15.75">
      <c r="A66" s="103" t="s">
        <v>83</v>
      </c>
      <c r="B66" s="337" t="s">
        <v>84</v>
      </c>
      <c r="C66" s="330"/>
      <c r="D66" s="331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332"/>
      <c r="Q66" s="105"/>
      <c r="R66" s="333"/>
      <c r="S66" s="333"/>
      <c r="T66" s="333"/>
      <c r="U66" s="333"/>
      <c r="V66" s="333"/>
      <c r="W66" s="333"/>
      <c r="X66" s="333"/>
      <c r="Y66" s="333"/>
      <c r="Z66" s="333"/>
      <c r="AA66" s="333"/>
      <c r="AB66" s="333"/>
      <c r="AC66" s="333"/>
      <c r="AD66" s="334"/>
      <c r="AE66" s="106"/>
      <c r="AF66" s="333">
        <f>AF61-AF27</f>
        <v>-10282</v>
      </c>
      <c r="AG66" s="333">
        <f>AG61-AG27</f>
        <v>-4235</v>
      </c>
      <c r="AH66" s="333">
        <f>AH61-AH27</f>
        <v>-154</v>
      </c>
      <c r="AI66" s="333">
        <f>AI61-AI27</f>
        <v>-1981</v>
      </c>
      <c r="AJ66" s="333">
        <f>AJ61-AJ27</f>
        <v>-2477</v>
      </c>
      <c r="AK66" s="333">
        <f>AK61-AK27</f>
        <v>6187</v>
      </c>
      <c r="AL66" s="333">
        <f>AL61-AL27</f>
        <v>-13922</v>
      </c>
      <c r="AM66" s="333">
        <f>AM61-AM27</f>
        <v>-58130</v>
      </c>
      <c r="AN66" s="333">
        <f>AN61-AN27</f>
        <v>-66535.333333333343</v>
      </c>
      <c r="AO66" s="333">
        <f>AO61-AO27</f>
        <v>-12969</v>
      </c>
      <c r="AP66" s="333">
        <f>AP61-AP27</f>
        <v>-21294</v>
      </c>
      <c r="AQ66" s="333">
        <f>AQ61-AQ27</f>
        <v>-10456</v>
      </c>
      <c r="AR66" s="107">
        <f t="shared" si="113"/>
        <v>-196248.33333333334</v>
      </c>
      <c r="AS66" s="106"/>
      <c r="AT66" s="333">
        <f t="shared" ref="AT66:BE66" si="131">AT61-AT27</f>
        <v>2596.75</v>
      </c>
      <c r="AU66" s="333">
        <f t="shared" si="131"/>
        <v>-45152.103448275855</v>
      </c>
      <c r="AV66" s="333">
        <f t="shared" si="131"/>
        <v>-10056.137931034493</v>
      </c>
      <c r="AW66" s="333">
        <f t="shared" si="131"/>
        <v>-31730.137931034493</v>
      </c>
      <c r="AX66" s="333">
        <f t="shared" si="131"/>
        <v>3361.0344827586232</v>
      </c>
      <c r="AY66" s="333">
        <f t="shared" si="131"/>
        <v>-17147.777777777781</v>
      </c>
      <c r="AZ66" s="333">
        <f t="shared" si="131"/>
        <v>1355.222222222219</v>
      </c>
      <c r="BA66" s="333">
        <f t="shared" si="131"/>
        <v>-78174.296296296292</v>
      </c>
      <c r="BB66" s="333">
        <f t="shared" si="131"/>
        <v>-58295.777777777781</v>
      </c>
      <c r="BC66" s="333">
        <f t="shared" si="131"/>
        <v>-106133.29075565783</v>
      </c>
      <c r="BD66" s="333">
        <f t="shared" si="131"/>
        <v>1052.413118527038</v>
      </c>
      <c r="BE66" s="333">
        <f t="shared" si="131"/>
        <v>17507.387034906016</v>
      </c>
      <c r="BF66" s="108">
        <f t="shared" si="88"/>
        <v>-320816.71505944064</v>
      </c>
      <c r="BG66" s="106"/>
      <c r="BH66" s="333">
        <f t="shared" ref="BH66:BQ66" si="132">BH61-BH27</f>
        <v>-8421</v>
      </c>
      <c r="BI66" s="333">
        <f t="shared" si="132"/>
        <v>-18041.333333333314</v>
      </c>
      <c r="BJ66" s="333">
        <f t="shared" si="132"/>
        <v>21582.925925925927</v>
      </c>
      <c r="BK66" s="333">
        <f t="shared" si="132"/>
        <v>-53679.74074074073</v>
      </c>
      <c r="BL66" s="333">
        <f t="shared" si="132"/>
        <v>141.14814814814599</v>
      </c>
      <c r="BM66" s="333">
        <f t="shared" si="132"/>
        <v>9286.7407407407445</v>
      </c>
      <c r="BN66" s="333">
        <f t="shared" si="132"/>
        <v>2319.444444444438</v>
      </c>
      <c r="BO66" s="333">
        <f t="shared" si="132"/>
        <v>7351.6218888889125</v>
      </c>
      <c r="BP66" s="333">
        <f t="shared" si="132"/>
        <v>-1367.7495370370452</v>
      </c>
      <c r="BQ66" s="333">
        <f t="shared" si="132"/>
        <v>27459</v>
      </c>
      <c r="BR66" s="108"/>
      <c r="BS66" s="108"/>
      <c r="BT66" s="108">
        <f t="shared" si="120"/>
        <v>-13368.942462962921</v>
      </c>
      <c r="BU66" s="28"/>
      <c r="BV66" s="333"/>
      <c r="BW66" s="333"/>
      <c r="BX66" s="333"/>
      <c r="BY66" s="333"/>
      <c r="BZ66" s="108"/>
      <c r="CA66" s="108"/>
      <c r="CB66" s="108">
        <f>CB65+CB62</f>
        <v>193663</v>
      </c>
      <c r="CC66" s="108">
        <f>CC65+CC62</f>
        <v>177853</v>
      </c>
      <c r="CD66" s="108">
        <f t="shared" ref="CC66:CG66" si="133">CD65+CD62</f>
        <v>219708</v>
      </c>
      <c r="CE66" s="108">
        <f t="shared" si="133"/>
        <v>197028</v>
      </c>
      <c r="CF66" s="108">
        <f t="shared" si="133"/>
        <v>141915</v>
      </c>
      <c r="CG66" s="108">
        <f t="shared" si="133"/>
        <v>93970</v>
      </c>
      <c r="CH66" s="108"/>
      <c r="CJ66" s="333">
        <v>27785</v>
      </c>
      <c r="CK66" s="333">
        <v>23447</v>
      </c>
      <c r="CL66" s="333">
        <v>26944</v>
      </c>
      <c r="CM66" s="333"/>
      <c r="CN66" s="108"/>
      <c r="CO66" s="108"/>
      <c r="CP66" s="108"/>
      <c r="CQ66" s="108"/>
      <c r="CR66" s="108"/>
      <c r="CS66" s="108"/>
      <c r="CT66" s="108"/>
      <c r="CU66" s="108"/>
      <c r="CV66" s="108"/>
      <c r="CX66" s="333"/>
      <c r="CY66" s="333"/>
      <c r="CZ66" s="333"/>
      <c r="DA66" s="333"/>
      <c r="DB66" s="108"/>
      <c r="DC66" s="108"/>
      <c r="DD66" s="108"/>
      <c r="DE66" s="108"/>
      <c r="DF66" s="108"/>
      <c r="DG66" s="108"/>
      <c r="DH66" s="108"/>
      <c r="DI66" s="108"/>
      <c r="DJ66" s="108"/>
    </row>
    <row r="67" spans="1:115" ht="15.75">
      <c r="A67" s="103" t="s">
        <v>85</v>
      </c>
      <c r="B67" s="337"/>
      <c r="C67" s="330"/>
      <c r="D67" s="331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332"/>
      <c r="Q67" s="105"/>
      <c r="R67" s="333"/>
      <c r="S67" s="333"/>
      <c r="T67" s="333"/>
      <c r="U67" s="333"/>
      <c r="V67" s="333"/>
      <c r="W67" s="333"/>
      <c r="X67" s="333"/>
      <c r="Y67" s="333"/>
      <c r="Z67" s="333"/>
      <c r="AA67" s="333"/>
      <c r="AB67" s="333"/>
      <c r="AC67" s="333"/>
      <c r="AD67" s="334"/>
      <c r="AE67" s="106"/>
      <c r="AF67" s="333">
        <f>AF62-AF28</f>
        <v>92193</v>
      </c>
      <c r="AG67" s="333">
        <f>AG62-AG28</f>
        <v>152006</v>
      </c>
      <c r="AH67" s="333">
        <f>AH62-AH28</f>
        <v>62734</v>
      </c>
      <c r="AI67" s="333">
        <f>AI62-AI28</f>
        <v>71526</v>
      </c>
      <c r="AJ67" s="333">
        <f>AJ62-AJ28</f>
        <v>89409</v>
      </c>
      <c r="AK67" s="333">
        <f>AK62-AK28</f>
        <v>120675</v>
      </c>
      <c r="AL67" s="333">
        <f>AL62-AL28</f>
        <v>100592</v>
      </c>
      <c r="AM67" s="333">
        <f>AM62-AM28</f>
        <v>148128</v>
      </c>
      <c r="AN67" s="333">
        <f>AN62-AN28</f>
        <v>164346</v>
      </c>
      <c r="AO67" s="333">
        <f>AO62-AO28</f>
        <v>203437</v>
      </c>
      <c r="AP67" s="333">
        <f>AP62-AP28</f>
        <v>64957</v>
      </c>
      <c r="AQ67" s="333">
        <f>AQ62-AQ28</f>
        <v>31837</v>
      </c>
      <c r="AR67" s="107">
        <f t="shared" si="113"/>
        <v>1301840</v>
      </c>
      <c r="AS67" s="106"/>
      <c r="AT67" s="338">
        <f t="shared" ref="AT67:BE67" si="134">AT66/AT27</f>
        <v>1.7000083470131603E-2</v>
      </c>
      <c r="AU67" s="338">
        <f t="shared" si="134"/>
        <v>-0.26792985919579565</v>
      </c>
      <c r="AV67" s="338">
        <f t="shared" si="134"/>
        <v>-6.5248272015318062E-2</v>
      </c>
      <c r="AW67" s="338">
        <f t="shared" si="134"/>
        <v>-0.19881644480138216</v>
      </c>
      <c r="AX67" s="338">
        <f t="shared" si="134"/>
        <v>2.798530764170884E-2</v>
      </c>
      <c r="AY67" s="338">
        <f t="shared" si="134"/>
        <v>-0.12395048084722922</v>
      </c>
      <c r="AZ67" s="338">
        <f t="shared" si="134"/>
        <v>8.1309864112464342E-3</v>
      </c>
      <c r="BA67" s="338">
        <f t="shared" si="134"/>
        <v>-0.32244495902957893</v>
      </c>
      <c r="BB67" s="338">
        <f t="shared" si="134"/>
        <v>-0.23949841829212068</v>
      </c>
      <c r="BC67" s="338">
        <f t="shared" si="134"/>
        <v>-0.41888939787658819</v>
      </c>
      <c r="BD67" s="338">
        <f t="shared" si="134"/>
        <v>7.8214003811977375E-3</v>
      </c>
      <c r="BE67" s="338">
        <f t="shared" si="134"/>
        <v>0.24086123043473662</v>
      </c>
      <c r="BF67" s="109">
        <f>AVERAGE(AT67:BE67)</f>
        <v>-0.11124823530991597</v>
      </c>
      <c r="BG67" s="106"/>
      <c r="BH67" s="338">
        <f t="shared" ref="BH67:BQ67" si="135">BH66/BH27</f>
        <v>-5.512821352117471E-2</v>
      </c>
      <c r="BI67" s="338">
        <f t="shared" si="135"/>
        <v>-0.12287867195499311</v>
      </c>
      <c r="BJ67" s="338">
        <f t="shared" si="135"/>
        <v>0.12581416416796784</v>
      </c>
      <c r="BK67" s="338">
        <f t="shared" si="135"/>
        <v>-0.33597769224938256</v>
      </c>
      <c r="BL67" s="338">
        <f t="shared" si="135"/>
        <v>1.0652943536044719E-3</v>
      </c>
      <c r="BM67" s="338">
        <f t="shared" si="135"/>
        <v>7.1488016002422286E-2</v>
      </c>
      <c r="BN67" s="338">
        <f t="shared" si="135"/>
        <v>1.3533646427895287E-2</v>
      </c>
      <c r="BO67" s="338">
        <f t="shared" si="135"/>
        <v>4.0944619366602007E-2</v>
      </c>
      <c r="BP67" s="338">
        <f t="shared" si="135"/>
        <v>-6.7692361075750926E-3</v>
      </c>
      <c r="BQ67" s="338">
        <f t="shared" si="135"/>
        <v>0.16757086626186191</v>
      </c>
      <c r="BR67" s="109"/>
      <c r="BS67" s="109"/>
      <c r="BT67" s="338">
        <f>BT66/BT27</f>
        <v>-7.1185036907011742E-3</v>
      </c>
      <c r="BU67" s="54"/>
      <c r="BV67" s="338"/>
      <c r="BW67" s="338"/>
      <c r="BX67" s="338"/>
      <c r="BY67" s="338"/>
      <c r="BZ67" s="109"/>
      <c r="CA67" s="109"/>
      <c r="CB67" s="109"/>
      <c r="CC67" s="109"/>
      <c r="CD67" s="109"/>
      <c r="CE67" s="109"/>
      <c r="CF67" s="109"/>
      <c r="CG67" s="109"/>
      <c r="CH67" s="109"/>
      <c r="CJ67" s="338"/>
      <c r="CK67" s="338"/>
      <c r="CL67" s="338"/>
      <c r="CM67" s="338"/>
      <c r="CN67" s="109"/>
      <c r="CO67" s="109"/>
      <c r="CP67" s="109"/>
      <c r="CQ67" s="109"/>
      <c r="CR67" s="109"/>
      <c r="CS67" s="109"/>
      <c r="CT67" s="109"/>
      <c r="CU67" s="109"/>
      <c r="CV67" s="109"/>
      <c r="CX67" s="338"/>
      <c r="CY67" s="338"/>
      <c r="CZ67" s="338"/>
      <c r="DA67" s="338"/>
      <c r="DB67" s="109"/>
      <c r="DC67" s="109"/>
      <c r="DD67" s="109"/>
      <c r="DE67" s="109"/>
      <c r="DF67" s="109"/>
      <c r="DG67" s="109"/>
      <c r="DH67" s="109"/>
      <c r="DI67" s="109"/>
      <c r="DJ67" s="109"/>
    </row>
    <row r="68" spans="1:115" ht="14.25" customHeight="1">
      <c r="A68" s="55" t="s">
        <v>86</v>
      </c>
      <c r="B68" s="56"/>
      <c r="C68" s="280"/>
      <c r="D68" s="288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289"/>
      <c r="Q68" s="39"/>
      <c r="R68" s="288"/>
      <c r="S68" s="58"/>
      <c r="T68" s="58"/>
      <c r="U68" s="58"/>
      <c r="V68" s="58"/>
      <c r="W68" s="290"/>
      <c r="X68" s="290"/>
      <c r="Y68" s="290"/>
      <c r="Z68" s="290"/>
      <c r="AA68" s="290"/>
      <c r="AB68" s="290"/>
      <c r="AC68" s="290"/>
      <c r="AD68" s="291"/>
      <c r="AE68" s="59"/>
      <c r="AF68" s="292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9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9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60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</row>
    <row r="69" spans="1:115" ht="21" customHeight="1">
      <c r="A69" s="55"/>
      <c r="B69" s="56" t="s">
        <v>87</v>
      </c>
      <c r="C69" s="280"/>
      <c r="D69" s="288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289"/>
      <c r="Q69" s="39"/>
      <c r="R69" s="288"/>
      <c r="S69" s="58"/>
      <c r="T69" s="58"/>
      <c r="U69" s="58"/>
      <c r="V69" s="58"/>
      <c r="W69" s="290"/>
      <c r="X69" s="290"/>
      <c r="Y69" s="290"/>
      <c r="Z69" s="290"/>
      <c r="AA69" s="290"/>
      <c r="AB69" s="290"/>
      <c r="AC69" s="290"/>
      <c r="AD69" s="291"/>
      <c r="AE69" s="59"/>
      <c r="AF69" s="292"/>
      <c r="AG69" s="292"/>
      <c r="AH69" s="292"/>
      <c r="AI69" s="292"/>
      <c r="AJ69" s="292"/>
      <c r="AK69" s="292"/>
      <c r="AL69" s="292"/>
      <c r="AM69" s="292"/>
      <c r="AN69" s="292"/>
      <c r="AO69" s="292"/>
      <c r="AP69" s="292"/>
      <c r="AQ69" s="292"/>
      <c r="AR69" s="58"/>
      <c r="AS69" s="59"/>
      <c r="AT69" s="292"/>
      <c r="AU69" s="292"/>
      <c r="AV69" s="292"/>
      <c r="AW69" s="292"/>
      <c r="AX69" s="292"/>
      <c r="AY69" s="292"/>
      <c r="AZ69" s="292"/>
      <c r="BA69" s="292"/>
      <c r="BB69" s="292"/>
      <c r="BC69" s="292"/>
      <c r="BD69" s="292"/>
      <c r="BE69" s="292"/>
      <c r="BF69" s="58"/>
      <c r="BG69" s="59"/>
      <c r="BH69" s="292"/>
      <c r="BI69" s="292"/>
      <c r="BJ69" s="292"/>
      <c r="BK69" s="292"/>
      <c r="BL69" s="292"/>
      <c r="BM69" s="292"/>
      <c r="BN69" s="292"/>
      <c r="BO69" s="292"/>
      <c r="BP69" s="292"/>
      <c r="BQ69" s="292"/>
      <c r="BR69" s="292"/>
      <c r="BS69" s="292"/>
      <c r="BT69" s="292"/>
      <c r="BU69" s="60"/>
      <c r="BV69" s="400">
        <v>152642</v>
      </c>
      <c r="BW69" s="400">
        <v>141495</v>
      </c>
      <c r="BX69" s="400">
        <v>158268</v>
      </c>
      <c r="BY69" s="400">
        <v>135742</v>
      </c>
      <c r="BZ69" s="400">
        <v>130614</v>
      </c>
      <c r="CA69" s="400">
        <v>97296</v>
      </c>
      <c r="CB69" s="400">
        <v>180319</v>
      </c>
      <c r="CC69" s="400">
        <v>175137</v>
      </c>
      <c r="CD69" s="400">
        <v>216035</v>
      </c>
      <c r="CE69" s="400">
        <v>188049</v>
      </c>
      <c r="CF69" s="400">
        <v>139782</v>
      </c>
      <c r="CG69" s="400">
        <v>90604</v>
      </c>
      <c r="CH69" s="412">
        <f>SUM(BV69:CG69)</f>
        <v>1805983</v>
      </c>
      <c r="CJ69" s="400" t="s">
        <v>88</v>
      </c>
      <c r="CK69" s="400">
        <f t="shared" ref="CK69:CV69" si="136">BW69</f>
        <v>141495</v>
      </c>
      <c r="CL69" s="400">
        <f t="shared" si="136"/>
        <v>158268</v>
      </c>
      <c r="CM69" s="400">
        <f t="shared" si="136"/>
        <v>135742</v>
      </c>
      <c r="CN69" s="400">
        <f t="shared" si="136"/>
        <v>130614</v>
      </c>
      <c r="CO69" s="400">
        <f t="shared" si="136"/>
        <v>97296</v>
      </c>
      <c r="CP69" s="400">
        <f t="shared" si="136"/>
        <v>180319</v>
      </c>
      <c r="CQ69" s="400">
        <f t="shared" si="136"/>
        <v>175137</v>
      </c>
      <c r="CR69" s="400">
        <f t="shared" si="136"/>
        <v>216035</v>
      </c>
      <c r="CS69" s="400">
        <f>CS70</f>
        <v>237402.61350210969</v>
      </c>
      <c r="CT69" s="400">
        <f>CT70</f>
        <v>164656.85004219407</v>
      </c>
      <c r="CU69" s="400">
        <f t="shared" ref="CT69:CU69" si="137">CU70</f>
        <v>102368.91278481012</v>
      </c>
      <c r="CV69" s="400">
        <f t="shared" si="136"/>
        <v>1805983</v>
      </c>
      <c r="CX69" s="400"/>
      <c r="CY69" s="400"/>
      <c r="CZ69" s="400"/>
      <c r="DA69" s="400"/>
      <c r="DB69" s="400"/>
      <c r="DC69" s="400"/>
      <c r="DD69" s="292"/>
      <c r="DE69" s="292"/>
      <c r="DF69" s="292"/>
      <c r="DG69" s="292"/>
      <c r="DH69" s="292"/>
      <c r="DI69" s="292">
        <v>114212.18776329115</v>
      </c>
      <c r="DJ69" s="292"/>
    </row>
    <row r="70" spans="1:115" s="414" customFormat="1" ht="22.5" customHeight="1">
      <c r="A70" s="401"/>
      <c r="B70" s="402" t="s">
        <v>89</v>
      </c>
      <c r="C70" s="403"/>
      <c r="D70" s="404"/>
      <c r="E70" s="405"/>
      <c r="F70" s="405"/>
      <c r="G70" s="405"/>
      <c r="H70" s="405"/>
      <c r="I70" s="405"/>
      <c r="J70" s="405"/>
      <c r="K70" s="405"/>
      <c r="L70" s="405"/>
      <c r="M70" s="405"/>
      <c r="N70" s="405"/>
      <c r="O70" s="405"/>
      <c r="P70" s="406"/>
      <c r="Q70" s="407"/>
      <c r="R70" s="404"/>
      <c r="S70" s="408"/>
      <c r="T70" s="408"/>
      <c r="U70" s="408"/>
      <c r="V70" s="408"/>
      <c r="W70" s="409"/>
      <c r="X70" s="409"/>
      <c r="Y70" s="409"/>
      <c r="Z70" s="409"/>
      <c r="AA70" s="409"/>
      <c r="AB70" s="409"/>
      <c r="AC70" s="409"/>
      <c r="AD70" s="410"/>
      <c r="AE70" s="411"/>
      <c r="AF70" s="412"/>
      <c r="AG70" s="412"/>
      <c r="AH70" s="412"/>
      <c r="AI70" s="412"/>
      <c r="AJ70" s="412"/>
      <c r="AK70" s="412"/>
      <c r="AL70" s="412"/>
      <c r="AM70" s="412"/>
      <c r="AN70" s="412"/>
      <c r="AO70" s="412"/>
      <c r="AP70" s="412"/>
      <c r="AQ70" s="412"/>
      <c r="AR70" s="408"/>
      <c r="AS70" s="411"/>
      <c r="AT70" s="412"/>
      <c r="AU70" s="412"/>
      <c r="AV70" s="412"/>
      <c r="AW70" s="412"/>
      <c r="AX70" s="412"/>
      <c r="AY70" s="412"/>
      <c r="AZ70" s="412"/>
      <c r="BA70" s="412"/>
      <c r="BB70" s="412"/>
      <c r="BC70" s="412"/>
      <c r="BD70" s="412"/>
      <c r="BE70" s="412"/>
      <c r="BF70" s="408"/>
      <c r="BG70" s="411"/>
      <c r="BH70" s="412"/>
      <c r="BI70" s="412"/>
      <c r="BJ70" s="412"/>
      <c r="BK70" s="412"/>
      <c r="BL70" s="412"/>
      <c r="BM70" s="412"/>
      <c r="BN70" s="412"/>
      <c r="BO70" s="412"/>
      <c r="BP70" s="412"/>
      <c r="BQ70" s="412"/>
      <c r="BR70" s="412"/>
      <c r="BS70" s="412"/>
      <c r="BT70" s="412"/>
      <c r="BU70" s="60"/>
      <c r="BV70" s="413">
        <f>BV27</f>
        <v>161157.867486095</v>
      </c>
      <c r="BW70" s="413">
        <f>BW27</f>
        <v>155966.83045180296</v>
      </c>
      <c r="BX70" s="413">
        <f t="shared" ref="BW70:CG70" si="138">BX27</f>
        <v>196111.53846153844</v>
      </c>
      <c r="BY70" s="413">
        <f t="shared" si="138"/>
        <v>159169.23076923078</v>
      </c>
      <c r="BZ70" s="413">
        <f t="shared" si="138"/>
        <v>151482.39341785663</v>
      </c>
      <c r="CA70" s="413">
        <f t="shared" si="138"/>
        <v>141442.12910096842</v>
      </c>
      <c r="CB70" s="413">
        <f t="shared" si="138"/>
        <v>176986.21444761599</v>
      </c>
      <c r="CC70" s="413">
        <f t="shared" si="138"/>
        <v>201301.08944885107</v>
      </c>
      <c r="CD70" s="413">
        <f t="shared" si="138"/>
        <v>212833.04013559342</v>
      </c>
      <c r="CE70" s="413">
        <f t="shared" si="138"/>
        <v>215922.30386211892</v>
      </c>
      <c r="CF70" s="413">
        <f t="shared" si="138"/>
        <v>171115.84223630186</v>
      </c>
      <c r="CG70" s="413">
        <f t="shared" si="138"/>
        <v>87483.816691710366</v>
      </c>
      <c r="CH70" s="412">
        <f>SUM(BV70:CG70)</f>
        <v>2030972.2965096838</v>
      </c>
      <c r="CI70"/>
      <c r="CJ70" s="413">
        <f>CJ65+CJ32</f>
        <v>149449.15862840106</v>
      </c>
      <c r="CK70" s="413">
        <f t="shared" ref="CK70:CU70" si="139">CK65+CK32</f>
        <v>165299.98482295938</v>
      </c>
      <c r="CL70" s="413">
        <f t="shared" si="139"/>
        <v>157623.38063361909</v>
      </c>
      <c r="CM70" s="413">
        <f t="shared" si="139"/>
        <v>156795.25083861349</v>
      </c>
      <c r="CN70" s="413">
        <f>CN65+CN32</f>
        <v>159036.51643682446</v>
      </c>
      <c r="CO70" s="413">
        <f t="shared" si="139"/>
        <v>127776.80715616846</v>
      </c>
      <c r="CP70" s="413">
        <f t="shared" si="139"/>
        <v>201036.96194092827</v>
      </c>
      <c r="CQ70" s="413">
        <f t="shared" si="139"/>
        <v>217939.23822784808</v>
      </c>
      <c r="CR70" s="413">
        <f>CR65+CR32</f>
        <v>251919.92080168775</v>
      </c>
      <c r="CS70" s="413">
        <f>CS65+CS32</f>
        <v>237402.61350210969</v>
      </c>
      <c r="CT70" s="413">
        <f>CT65+CT32</f>
        <v>164656.85004219407</v>
      </c>
      <c r="CU70" s="413">
        <f>CU65+CU32</f>
        <v>102368.91278481012</v>
      </c>
      <c r="CV70" s="413">
        <f>SUM(CJ70:CU70)</f>
        <v>2091305.5958161643</v>
      </c>
      <c r="CW70"/>
      <c r="CX70" s="413">
        <f>CX85-CX88</f>
        <v>130527.46000000002</v>
      </c>
      <c r="CY70" s="413">
        <f t="shared" ref="CY70:DC70" si="140">CY85-CY88</f>
        <v>104053.88999999998</v>
      </c>
      <c r="CZ70" s="413">
        <f t="shared" si="140"/>
        <v>159680.57</v>
      </c>
      <c r="DA70" s="413">
        <f t="shared" si="140"/>
        <v>107816.44</v>
      </c>
      <c r="DB70" s="413">
        <f t="shared" si="140"/>
        <v>125851.75999999998</v>
      </c>
      <c r="DC70" s="413">
        <f t="shared" si="140"/>
        <v>94994.62</v>
      </c>
      <c r="DD70" s="413">
        <v>211625.73</v>
      </c>
      <c r="DE70" s="413">
        <v>208193.11</v>
      </c>
      <c r="DF70" s="413">
        <v>269889.13</v>
      </c>
      <c r="DG70" s="413">
        <v>258868.84085232066</v>
      </c>
      <c r="DH70" s="413">
        <v>178376.53444641351</v>
      </c>
      <c r="DI70" s="413">
        <v>114212.18776329115</v>
      </c>
      <c r="DJ70" s="412">
        <f>SUM(CX70:DI70)</f>
        <v>1964090.2730620254</v>
      </c>
    </row>
    <row r="71" spans="1:115" s="594" customFormat="1" ht="15.75" customHeight="1" outlineLevel="1">
      <c r="A71" s="719">
        <v>7</v>
      </c>
      <c r="B71" s="720" t="s">
        <v>90</v>
      </c>
      <c r="C71" s="721"/>
      <c r="D71" s="722">
        <v>98048</v>
      </c>
      <c r="E71" s="723">
        <v>128688</v>
      </c>
      <c r="F71" s="723">
        <v>124704</v>
      </c>
      <c r="G71" s="723">
        <v>157500</v>
      </c>
      <c r="H71" s="723">
        <v>182600</v>
      </c>
      <c r="I71" s="723">
        <v>157700</v>
      </c>
      <c r="J71" s="723">
        <v>181700</v>
      </c>
      <c r="K71" s="723">
        <v>165900</v>
      </c>
      <c r="L71" s="723">
        <v>174300</v>
      </c>
      <c r="M71" s="723">
        <v>215800</v>
      </c>
      <c r="N71" s="723">
        <v>180000</v>
      </c>
      <c r="O71" s="723">
        <v>112500</v>
      </c>
      <c r="P71" s="724">
        <f t="shared" ref="P71:P72" si="141">SUM(D71:O71)</f>
        <v>1879440</v>
      </c>
      <c r="Q71" s="725"/>
      <c r="R71" s="722">
        <v>158400</v>
      </c>
      <c r="S71" s="726">
        <v>161000</v>
      </c>
      <c r="T71" s="726">
        <v>117800</v>
      </c>
      <c r="U71" s="726">
        <v>2000</v>
      </c>
      <c r="V71" s="726">
        <v>53800</v>
      </c>
      <c r="W71" s="726">
        <v>190600</v>
      </c>
      <c r="X71" s="726">
        <v>187900</v>
      </c>
      <c r="Y71" s="726">
        <v>196800</v>
      </c>
      <c r="Z71" s="726">
        <v>192300</v>
      </c>
      <c r="AA71" s="726">
        <v>182300</v>
      </c>
      <c r="AB71" s="726">
        <v>175000</v>
      </c>
      <c r="AC71" s="726">
        <v>134100</v>
      </c>
      <c r="AD71" s="727">
        <f>SUM(R71:AC71)</f>
        <v>1752000</v>
      </c>
      <c r="AE71" s="728"/>
      <c r="AF71" s="729">
        <f t="shared" ref="AF71:AL71" si="142">SUM(AF72,AF74)</f>
        <v>161400</v>
      </c>
      <c r="AG71" s="729">
        <f t="shared" si="142"/>
        <v>166000</v>
      </c>
      <c r="AH71" s="729">
        <f t="shared" si="142"/>
        <v>150471</v>
      </c>
      <c r="AI71" s="729">
        <f t="shared" si="142"/>
        <v>149040</v>
      </c>
      <c r="AJ71" s="729">
        <f t="shared" si="142"/>
        <v>196360</v>
      </c>
      <c r="AK71" s="729">
        <f t="shared" si="142"/>
        <v>163300</v>
      </c>
      <c r="AL71" s="729">
        <f t="shared" si="142"/>
        <v>190000</v>
      </c>
      <c r="AM71" s="729">
        <f t="shared" ref="AM71:AQ71" si="143">SUM(AM72,AM74,AM75)</f>
        <v>167000</v>
      </c>
      <c r="AN71" s="729">
        <f t="shared" si="143"/>
        <v>170500</v>
      </c>
      <c r="AO71" s="729">
        <f t="shared" si="143"/>
        <v>140000</v>
      </c>
      <c r="AP71" s="729">
        <f t="shared" si="143"/>
        <v>130000</v>
      </c>
      <c r="AQ71" s="729">
        <f t="shared" si="143"/>
        <v>100000</v>
      </c>
      <c r="AR71" s="730">
        <f t="shared" ref="AR71:AR72" si="144">SUM(AF71:AQ71)</f>
        <v>1884071</v>
      </c>
      <c r="AS71" s="728"/>
      <c r="AT71" s="729">
        <f t="shared" ref="AT71:BC71" si="145">SUM(AT72,AT74,AT75)</f>
        <v>133000</v>
      </c>
      <c r="AU71" s="729">
        <f t="shared" si="145"/>
        <v>125180</v>
      </c>
      <c r="AV71" s="729">
        <f t="shared" si="145"/>
        <v>117228</v>
      </c>
      <c r="AW71" s="729">
        <f t="shared" si="145"/>
        <v>127500</v>
      </c>
      <c r="AX71" s="729">
        <f t="shared" si="145"/>
        <v>140000</v>
      </c>
      <c r="AY71" s="729">
        <f t="shared" si="145"/>
        <v>158342.99999899999</v>
      </c>
      <c r="AZ71" s="729">
        <f t="shared" si="145"/>
        <v>152409</v>
      </c>
      <c r="BA71" s="729">
        <f t="shared" si="145"/>
        <v>173520</v>
      </c>
      <c r="BB71" s="729">
        <f t="shared" si="145"/>
        <v>165000</v>
      </c>
      <c r="BC71" s="729">
        <f t="shared" si="145"/>
        <v>157500</v>
      </c>
      <c r="BD71" s="729">
        <v>129431</v>
      </c>
      <c r="BE71" s="729">
        <v>61700</v>
      </c>
      <c r="BF71" s="726">
        <f t="shared" ref="BF71:BF72" si="146">SUM(AT71:BE71)</f>
        <v>1640810.999999</v>
      </c>
      <c r="BG71" s="728">
        <f>BF71-AR71</f>
        <v>-243260.00000100001</v>
      </c>
      <c r="BH71" s="731">
        <f>SUM(BH72,BH74,BH75)</f>
        <v>139760</v>
      </c>
      <c r="BI71" s="731">
        <f t="shared" ref="BI71:BP71" si="147">SUM(BI72,BI74,BI75)</f>
        <v>116580</v>
      </c>
      <c r="BJ71" s="731">
        <f t="shared" si="147"/>
        <v>148340</v>
      </c>
      <c r="BK71" s="731">
        <f t="shared" si="147"/>
        <v>112360</v>
      </c>
      <c r="BL71" s="731">
        <f t="shared" si="147"/>
        <v>108660</v>
      </c>
      <c r="BM71" s="731">
        <f t="shared" si="147"/>
        <v>153416</v>
      </c>
      <c r="BN71" s="731">
        <f t="shared" si="147"/>
        <v>137676</v>
      </c>
      <c r="BO71" s="731">
        <f t="shared" si="147"/>
        <v>160654</v>
      </c>
      <c r="BP71" s="731">
        <f t="shared" si="147"/>
        <v>157000</v>
      </c>
      <c r="BQ71" s="731">
        <v>156725</v>
      </c>
      <c r="BR71" s="731">
        <v>182069</v>
      </c>
      <c r="BS71" s="731">
        <f>BS72+BS75</f>
        <v>156420</v>
      </c>
      <c r="BT71" s="731">
        <f t="shared" ref="BT71:BT72" si="148">SUM(BH71:BS71)</f>
        <v>1729660</v>
      </c>
      <c r="BU71" s="732"/>
      <c r="BV71" s="599">
        <f t="shared" ref="BV71:BX71" si="149">BV7*BV73</f>
        <v>133000</v>
      </c>
      <c r="BW71" s="599">
        <f t="shared" si="149"/>
        <v>133000</v>
      </c>
      <c r="BX71" s="599">
        <f t="shared" si="149"/>
        <v>147000</v>
      </c>
      <c r="BY71" s="599">
        <f>BY7*BY73</f>
        <v>172800</v>
      </c>
      <c r="BZ71" s="599">
        <f>BZ7*BZ73</f>
        <v>165600</v>
      </c>
      <c r="CA71" s="599">
        <f>CA7*CA73</f>
        <v>158400</v>
      </c>
      <c r="CB71" s="599">
        <f>CB7*CB73</f>
        <v>180000</v>
      </c>
      <c r="CC71" s="599">
        <f t="shared" ref="CC71:CG71" si="150">CC7*CC73</f>
        <v>172800</v>
      </c>
      <c r="CD71" s="599">
        <f t="shared" si="150"/>
        <v>172800</v>
      </c>
      <c r="CE71" s="599">
        <f>CE7*CE73</f>
        <v>172800</v>
      </c>
      <c r="CF71" s="599">
        <f t="shared" si="150"/>
        <v>167200</v>
      </c>
      <c r="CG71" s="599">
        <f t="shared" si="150"/>
        <v>98800</v>
      </c>
      <c r="CH71" s="599">
        <f t="shared" ref="CH69:CH72" si="151">SUM(BV71:CG71)</f>
        <v>1874200</v>
      </c>
      <c r="CI71" s="599"/>
      <c r="CJ71" s="599">
        <f>CJ7*CJ73</f>
        <v>165000</v>
      </c>
      <c r="CK71" s="599">
        <f t="shared" ref="CK71:CT71" si="152">CK7*CK73</f>
        <v>188600</v>
      </c>
      <c r="CL71" s="599">
        <f>CL7*CL73</f>
        <v>171000</v>
      </c>
      <c r="CM71" s="599">
        <f>CM7*CM73</f>
        <v>200000</v>
      </c>
      <c r="CN71" s="599">
        <f t="shared" si="152"/>
        <v>178290</v>
      </c>
      <c r="CO71" s="599">
        <f t="shared" si="152"/>
        <v>198000</v>
      </c>
      <c r="CP71" s="599">
        <f>CP7*CP73</f>
        <v>245000</v>
      </c>
      <c r="CQ71" s="599">
        <f>CQ7*CQ73</f>
        <v>207900</v>
      </c>
      <c r="CR71" s="599">
        <f t="shared" si="152"/>
        <v>217800</v>
      </c>
      <c r="CS71" s="599">
        <v>205579</v>
      </c>
      <c r="CT71" s="599">
        <f>CT7*CT73</f>
        <v>204600</v>
      </c>
      <c r="CU71" s="599">
        <f>(CU7*CU73)-71000</f>
        <v>87100</v>
      </c>
      <c r="CV71" s="731">
        <f>SUM(CJ71:CU71)</f>
        <v>2268869</v>
      </c>
      <c r="CW71" s="599"/>
      <c r="CX71" s="599">
        <f>(CX7*CX73)-CX87</f>
        <v>106180</v>
      </c>
      <c r="CY71" s="599">
        <f t="shared" ref="CY71:DC71" si="153">(CY7*CY73)-CY87</f>
        <v>125701</v>
      </c>
      <c r="CZ71" s="599">
        <f t="shared" si="153"/>
        <v>132180</v>
      </c>
      <c r="DA71" s="599">
        <f t="shared" si="153"/>
        <v>149520</v>
      </c>
      <c r="DB71" s="599">
        <f t="shared" si="153"/>
        <v>185380</v>
      </c>
      <c r="DC71" s="599">
        <f t="shared" si="153"/>
        <v>194649</v>
      </c>
      <c r="DD71" s="599">
        <f>DD7*DD73</f>
        <v>213187</v>
      </c>
      <c r="DE71" s="599">
        <f t="shared" ref="DE71:DJ71" si="154">DE7*DE73</f>
        <v>194649</v>
      </c>
      <c r="DF71" s="599">
        <f t="shared" si="154"/>
        <v>194649</v>
      </c>
      <c r="DG71" s="599">
        <f t="shared" si="154"/>
        <v>194649</v>
      </c>
      <c r="DH71" s="599">
        <f t="shared" si="154"/>
        <v>176111</v>
      </c>
      <c r="DI71" s="599">
        <f>DI7*DI73</f>
        <v>148304</v>
      </c>
      <c r="DJ71" s="731">
        <f>SUM(CX71:DI71)</f>
        <v>2015159</v>
      </c>
    </row>
    <row r="72" spans="1:115" ht="15.75" outlineLevel="1">
      <c r="A72" s="94"/>
      <c r="B72" s="210" t="s">
        <v>91</v>
      </c>
      <c r="C72" s="335"/>
      <c r="D72" s="313">
        <v>98048</v>
      </c>
      <c r="E72" s="89">
        <v>128688</v>
      </c>
      <c r="F72" s="89">
        <v>124704</v>
      </c>
      <c r="G72" s="89">
        <v>157500</v>
      </c>
      <c r="H72" s="89">
        <v>182600</v>
      </c>
      <c r="I72" s="89">
        <v>157700</v>
      </c>
      <c r="J72" s="89">
        <v>181700</v>
      </c>
      <c r="K72" s="89">
        <v>165900</v>
      </c>
      <c r="L72" s="89">
        <v>174300</v>
      </c>
      <c r="M72" s="89">
        <v>215800</v>
      </c>
      <c r="N72" s="89">
        <v>180000</v>
      </c>
      <c r="O72" s="89">
        <v>112500</v>
      </c>
      <c r="P72" s="314">
        <f t="shared" si="141"/>
        <v>1879440</v>
      </c>
      <c r="Q72" s="90"/>
      <c r="R72" s="313">
        <v>158400</v>
      </c>
      <c r="S72" s="91">
        <v>146000</v>
      </c>
      <c r="T72" s="91">
        <v>102200</v>
      </c>
      <c r="U72" s="91">
        <v>0</v>
      </c>
      <c r="V72" s="91">
        <v>43800</v>
      </c>
      <c r="W72" s="91">
        <v>160600</v>
      </c>
      <c r="X72" s="91">
        <v>167900</v>
      </c>
      <c r="Y72" s="91">
        <v>153300</v>
      </c>
      <c r="Z72" s="91">
        <v>153300</v>
      </c>
      <c r="AA72" s="91">
        <v>153300</v>
      </c>
      <c r="AB72" s="91">
        <v>146000</v>
      </c>
      <c r="AC72" s="91">
        <v>124100</v>
      </c>
      <c r="AD72" s="315"/>
      <c r="AE72" s="23"/>
      <c r="AF72" s="316">
        <v>131400</v>
      </c>
      <c r="AG72" s="91">
        <v>146000</v>
      </c>
      <c r="AH72" s="91">
        <v>125511</v>
      </c>
      <c r="AI72" s="91">
        <v>135000</v>
      </c>
      <c r="AJ72" s="91">
        <v>177320</v>
      </c>
      <c r="AK72" s="91">
        <v>151300</v>
      </c>
      <c r="AL72" s="91">
        <v>176000</v>
      </c>
      <c r="AM72" s="91">
        <f>AM73*AM7</f>
        <v>154000</v>
      </c>
      <c r="AN72" s="91">
        <f>AN73*AN7</f>
        <v>157500</v>
      </c>
      <c r="AO72" s="91">
        <f>AO73*AO7</f>
        <v>140000</v>
      </c>
      <c r="AP72" s="91">
        <f>AP73*AP7</f>
        <v>130000</v>
      </c>
      <c r="AQ72" s="91">
        <f>AQ73*AQ7+16000</f>
        <v>100000</v>
      </c>
      <c r="AR72" s="92">
        <f t="shared" si="144"/>
        <v>1724031</v>
      </c>
      <c r="AS72" s="23"/>
      <c r="AT72" s="91">
        <f>AT73*AT7</f>
        <v>133000</v>
      </c>
      <c r="AU72" s="91">
        <f>125180</f>
        <v>125180</v>
      </c>
      <c r="AV72" s="91">
        <f>AV73*AV7+7428</f>
        <v>117228</v>
      </c>
      <c r="AW72" s="91">
        <f>AW73*AW7</f>
        <v>123500</v>
      </c>
      <c r="AX72" s="91">
        <f>AX73*AX7</f>
        <v>132000</v>
      </c>
      <c r="AY72" s="91">
        <f>AY73*AY7</f>
        <v>153342.99999899999</v>
      </c>
      <c r="AZ72" s="91">
        <v>142409</v>
      </c>
      <c r="BA72" s="91">
        <v>163520</v>
      </c>
      <c r="BB72" s="91">
        <f>BB73*BB7</f>
        <v>165000</v>
      </c>
      <c r="BC72" s="91">
        <f>BC73*BC7</f>
        <v>157500</v>
      </c>
      <c r="BD72" s="316">
        <v>129431</v>
      </c>
      <c r="BE72" s="316">
        <v>61700</v>
      </c>
      <c r="BF72" s="91">
        <f t="shared" si="146"/>
        <v>1603810.999999</v>
      </c>
      <c r="BG72" s="27">
        <f>BF72+BF75-AR72-AR75</f>
        <v>-113040.00000100001</v>
      </c>
      <c r="BH72" s="91">
        <v>136760</v>
      </c>
      <c r="BI72" s="91">
        <v>116580</v>
      </c>
      <c r="BJ72" s="91">
        <v>148340</v>
      </c>
      <c r="BK72" s="91">
        <v>112360</v>
      </c>
      <c r="BL72" s="91">
        <v>108660</v>
      </c>
      <c r="BM72" s="91">
        <v>153416</v>
      </c>
      <c r="BN72" s="91">
        <v>137676</v>
      </c>
      <c r="BO72" s="91">
        <v>150654</v>
      </c>
      <c r="BP72" s="91">
        <f>7100*BP7</f>
        <v>142000</v>
      </c>
      <c r="BQ72" s="91">
        <f t="shared" ref="BQ72:BR72" si="155">BQ71-BQ75</f>
        <v>136725</v>
      </c>
      <c r="BR72" s="91">
        <f t="shared" si="155"/>
        <v>167069</v>
      </c>
      <c r="BS72" s="91">
        <v>124020</v>
      </c>
      <c r="BT72" s="91">
        <f t="shared" si="148"/>
        <v>1634260</v>
      </c>
      <c r="BU72" s="28"/>
      <c r="BV72" s="397">
        <f>BV73*BV74-24551</f>
        <v>108449</v>
      </c>
      <c r="BW72" s="397">
        <f>BW73*BW74</f>
        <v>133000</v>
      </c>
      <c r="BX72" s="397">
        <f t="shared" ref="BX72:CG72" si="156">BX73*BX74</f>
        <v>147000</v>
      </c>
      <c r="BY72" s="397">
        <f>BY73*BY74</f>
        <v>172800</v>
      </c>
      <c r="BZ72" s="397">
        <f>BZ73*BZ74</f>
        <v>165600</v>
      </c>
      <c r="CA72" s="397">
        <f>CA73*CA74</f>
        <v>158400</v>
      </c>
      <c r="CB72" s="397">
        <f>CB73*CB74</f>
        <v>180000</v>
      </c>
      <c r="CC72" s="397">
        <f t="shared" si="156"/>
        <v>172800</v>
      </c>
      <c r="CD72" s="397">
        <f t="shared" si="156"/>
        <v>172800</v>
      </c>
      <c r="CE72" s="397">
        <f t="shared" si="156"/>
        <v>172800</v>
      </c>
      <c r="CF72" s="397">
        <f t="shared" si="156"/>
        <v>167200</v>
      </c>
      <c r="CG72" s="397">
        <f t="shared" si="156"/>
        <v>98800</v>
      </c>
      <c r="CH72" s="91">
        <f t="shared" si="151"/>
        <v>1849649</v>
      </c>
      <c r="CI72" s="395">
        <f>(CH72-BT78)/BT78</f>
        <v>0.29391868731173409</v>
      </c>
      <c r="CJ72" s="397">
        <f>CJ71</f>
        <v>165000</v>
      </c>
      <c r="CK72" s="397">
        <f t="shared" ref="CK72:CO72" si="157">CK71</f>
        <v>188600</v>
      </c>
      <c r="CL72" s="397">
        <f t="shared" si="157"/>
        <v>171000</v>
      </c>
      <c r="CM72" s="397">
        <f t="shared" si="157"/>
        <v>200000</v>
      </c>
      <c r="CN72" s="397">
        <f t="shared" si="157"/>
        <v>178290</v>
      </c>
      <c r="CO72" s="397">
        <f t="shared" si="157"/>
        <v>198000</v>
      </c>
      <c r="CP72" s="397">
        <v>168760</v>
      </c>
      <c r="CQ72" s="397">
        <v>194340</v>
      </c>
      <c r="CR72" s="397">
        <v>208000</v>
      </c>
      <c r="CS72" s="397">
        <v>201780</v>
      </c>
      <c r="CT72" s="397">
        <v>154060</v>
      </c>
      <c r="CU72" s="397">
        <v>96720</v>
      </c>
      <c r="CV72" s="91">
        <v>1949109</v>
      </c>
      <c r="CW72" s="395">
        <f>(CV72-CH78)/CH78</f>
        <v>0.11040221771781523</v>
      </c>
      <c r="CX72" s="397">
        <f>CX71</f>
        <v>106180</v>
      </c>
      <c r="CY72" s="397">
        <f t="shared" ref="CY72:DC72" si="158">CY71</f>
        <v>125701</v>
      </c>
      <c r="CZ72" s="397">
        <f t="shared" si="158"/>
        <v>132180</v>
      </c>
      <c r="DA72" s="397">
        <f t="shared" si="158"/>
        <v>149520</v>
      </c>
      <c r="DB72" s="397">
        <f t="shared" si="158"/>
        <v>185380</v>
      </c>
      <c r="DC72" s="397">
        <f t="shared" si="158"/>
        <v>194649</v>
      </c>
      <c r="DD72" s="397">
        <v>168760</v>
      </c>
      <c r="DE72" s="397">
        <v>194340</v>
      </c>
      <c r="DF72" s="397">
        <v>208000</v>
      </c>
      <c r="DG72" s="397">
        <v>201780</v>
      </c>
      <c r="DH72" s="397">
        <v>154060</v>
      </c>
      <c r="DI72" s="397">
        <v>96720</v>
      </c>
      <c r="DJ72" s="91">
        <v>1949109</v>
      </c>
    </row>
    <row r="73" spans="1:115" ht="15.75" customHeight="1" outlineLevel="1">
      <c r="A73" s="94"/>
      <c r="B73" s="210" t="s">
        <v>92</v>
      </c>
      <c r="C73" s="335"/>
      <c r="D73" s="313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314"/>
      <c r="Q73" s="90"/>
      <c r="R73" s="316">
        <f t="shared" ref="R73:AC73" si="159">R72/R7</f>
        <v>7200</v>
      </c>
      <c r="S73" s="316">
        <f t="shared" si="159"/>
        <v>7300</v>
      </c>
      <c r="T73" s="316">
        <f t="shared" si="159"/>
        <v>7300</v>
      </c>
      <c r="U73" s="316">
        <f t="shared" si="159"/>
        <v>0</v>
      </c>
      <c r="V73" s="316">
        <f t="shared" si="159"/>
        <v>3650</v>
      </c>
      <c r="W73" s="316">
        <f t="shared" si="159"/>
        <v>7300</v>
      </c>
      <c r="X73" s="316">
        <f t="shared" si="159"/>
        <v>7300</v>
      </c>
      <c r="Y73" s="316">
        <f t="shared" si="159"/>
        <v>7300</v>
      </c>
      <c r="Z73" s="316">
        <f t="shared" si="159"/>
        <v>7300</v>
      </c>
      <c r="AA73" s="316">
        <f t="shared" si="159"/>
        <v>7300</v>
      </c>
      <c r="AB73" s="316">
        <f t="shared" si="159"/>
        <v>7300</v>
      </c>
      <c r="AC73" s="316">
        <f t="shared" si="159"/>
        <v>7300</v>
      </c>
      <c r="AD73" s="315"/>
      <c r="AE73" s="23"/>
      <c r="AF73" s="316">
        <f t="shared" ref="AF73:AL73" si="160">AF72/AF7</f>
        <v>7300</v>
      </c>
      <c r="AG73" s="316">
        <f t="shared" si="160"/>
        <v>7300</v>
      </c>
      <c r="AH73" s="316">
        <f t="shared" si="160"/>
        <v>6275.55</v>
      </c>
      <c r="AI73" s="316">
        <f t="shared" si="160"/>
        <v>6750</v>
      </c>
      <c r="AJ73" s="316">
        <f t="shared" si="160"/>
        <v>8060</v>
      </c>
      <c r="AK73" s="316">
        <f t="shared" si="160"/>
        <v>7565</v>
      </c>
      <c r="AL73" s="316">
        <f t="shared" si="160"/>
        <v>8000</v>
      </c>
      <c r="AM73" s="91">
        <v>7000</v>
      </c>
      <c r="AN73" s="91">
        <v>7500</v>
      </c>
      <c r="AO73" s="91">
        <v>7000</v>
      </c>
      <c r="AP73" s="91">
        <v>6500</v>
      </c>
      <c r="AQ73" s="91">
        <v>7000</v>
      </c>
      <c r="AR73" s="92">
        <f>AVERAGE(AF73:AQ73)</f>
        <v>7187.5458333333336</v>
      </c>
      <c r="AS73" s="23"/>
      <c r="AT73" s="91">
        <v>7000</v>
      </c>
      <c r="AU73" s="91">
        <f>AU72/AU7</f>
        <v>6588.4210526315792</v>
      </c>
      <c r="AV73" s="91">
        <v>6100</v>
      </c>
      <c r="AW73" s="91">
        <v>6500</v>
      </c>
      <c r="AX73" s="91">
        <v>6000</v>
      </c>
      <c r="AY73" s="91">
        <v>7302.0476189999999</v>
      </c>
      <c r="AZ73" s="91">
        <v>7000</v>
      </c>
      <c r="BA73" s="91">
        <f>BA72/BA7</f>
        <v>7432.727272727273</v>
      </c>
      <c r="BB73" s="91">
        <v>7500</v>
      </c>
      <c r="BC73" s="91">
        <v>7500</v>
      </c>
      <c r="BD73" s="91">
        <f>BD72/BD7</f>
        <v>6471.55</v>
      </c>
      <c r="BE73" s="91">
        <f>BE72/BE7</f>
        <v>6170</v>
      </c>
      <c r="BF73" s="91">
        <f>AVERAGE(AT73:BE73)</f>
        <v>6797.0621620299053</v>
      </c>
      <c r="BG73" s="27"/>
      <c r="BH73" s="91">
        <f t="shared" ref="BH73:BS73" si="161">BH72/BH7</f>
        <v>6838</v>
      </c>
      <c r="BI73" s="91">
        <f t="shared" si="161"/>
        <v>6857.6470588235297</v>
      </c>
      <c r="BJ73" s="91">
        <f t="shared" si="161"/>
        <v>6449.565217391304</v>
      </c>
      <c r="BK73" s="91">
        <f t="shared" si="161"/>
        <v>6242.2222222222226</v>
      </c>
      <c r="BL73" s="91">
        <f t="shared" si="161"/>
        <v>4939.090909090909</v>
      </c>
      <c r="BM73" s="91">
        <f t="shared" si="161"/>
        <v>6670.260869565217</v>
      </c>
      <c r="BN73" s="91">
        <f t="shared" si="161"/>
        <v>6556</v>
      </c>
      <c r="BO73" s="91">
        <f t="shared" si="161"/>
        <v>7174</v>
      </c>
      <c r="BP73" s="91">
        <f t="shared" si="161"/>
        <v>7100</v>
      </c>
      <c r="BQ73" s="91">
        <f t="shared" si="161"/>
        <v>6510.7142857142853</v>
      </c>
      <c r="BR73" s="91">
        <f t="shared" si="161"/>
        <v>8353.4500000000007</v>
      </c>
      <c r="BS73" s="91">
        <f t="shared" si="161"/>
        <v>8858.5714285714294</v>
      </c>
      <c r="BT73" s="91">
        <f>AVERAGE(BH73:BS73)</f>
        <v>6879.1268326149084</v>
      </c>
      <c r="BU73" s="28"/>
      <c r="BV73" s="91">
        <v>7000</v>
      </c>
      <c r="BW73" s="91">
        <v>7000</v>
      </c>
      <c r="BX73" s="91">
        <v>7000</v>
      </c>
      <c r="BY73" s="91">
        <v>7200</v>
      </c>
      <c r="BZ73" s="91">
        <v>7200</v>
      </c>
      <c r="CA73" s="91">
        <v>7200</v>
      </c>
      <c r="CB73" s="91">
        <v>7200</v>
      </c>
      <c r="CC73" s="91">
        <f t="shared" ref="CC73" si="162">CB73</f>
        <v>7200</v>
      </c>
      <c r="CD73" s="91">
        <v>7200</v>
      </c>
      <c r="CE73" s="91">
        <v>7200</v>
      </c>
      <c r="CF73" s="91">
        <v>7600</v>
      </c>
      <c r="CG73" s="91">
        <v>7600</v>
      </c>
      <c r="CH73" s="91"/>
      <c r="CI73" s="596"/>
      <c r="CJ73" s="91">
        <v>7500</v>
      </c>
      <c r="CK73" s="91">
        <v>8200</v>
      </c>
      <c r="CL73" s="91">
        <v>9000</v>
      </c>
      <c r="CM73" s="91">
        <v>10000</v>
      </c>
      <c r="CN73" s="91">
        <v>8490</v>
      </c>
      <c r="CO73" s="91">
        <v>9000</v>
      </c>
      <c r="CP73" s="91">
        <v>9800</v>
      </c>
      <c r="CQ73" s="91">
        <v>9900</v>
      </c>
      <c r="CR73" s="91">
        <f t="shared" ref="CO73:CU73" si="163">CQ73</f>
        <v>9900</v>
      </c>
      <c r="CS73" s="91">
        <v>9300</v>
      </c>
      <c r="CT73" s="91">
        <v>9300</v>
      </c>
      <c r="CU73" s="91">
        <f t="shared" si="163"/>
        <v>9300</v>
      </c>
      <c r="CV73" s="91"/>
      <c r="CW73" s="596"/>
      <c r="CX73" s="91">
        <v>9319</v>
      </c>
      <c r="CY73" s="91">
        <f>CX73</f>
        <v>9319</v>
      </c>
      <c r="CZ73" s="91">
        <v>9269</v>
      </c>
      <c r="DA73" s="91">
        <f t="shared" ref="DA73" si="164">CZ73</f>
        <v>9269</v>
      </c>
      <c r="DB73" s="91">
        <f t="shared" ref="DB73" si="165">DA73</f>
        <v>9269</v>
      </c>
      <c r="DC73" s="91">
        <f t="shared" ref="DC73" si="166">DB73</f>
        <v>9269</v>
      </c>
      <c r="DD73" s="91">
        <f t="shared" ref="DD73" si="167">DC73</f>
        <v>9269</v>
      </c>
      <c r="DE73" s="91">
        <f t="shared" ref="DE73" si="168">DD73</f>
        <v>9269</v>
      </c>
      <c r="DF73" s="91">
        <f t="shared" ref="DF73" si="169">DE73</f>
        <v>9269</v>
      </c>
      <c r="DG73" s="91">
        <f t="shared" ref="DG73" si="170">DF73</f>
        <v>9269</v>
      </c>
      <c r="DH73" s="91">
        <f t="shared" ref="DH73" si="171">DG73</f>
        <v>9269</v>
      </c>
      <c r="DI73" s="91">
        <f t="shared" ref="DI73" si="172">DH73</f>
        <v>9269</v>
      </c>
      <c r="DJ73" s="91"/>
    </row>
    <row r="74" spans="1:115" ht="15.75" customHeight="1" outlineLevel="1">
      <c r="A74" s="94"/>
      <c r="B74" s="210" t="s">
        <v>93</v>
      </c>
      <c r="C74" s="335"/>
      <c r="D74" s="313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314"/>
      <c r="Q74" s="90"/>
      <c r="R74" s="313"/>
      <c r="S74" s="91">
        <v>15000</v>
      </c>
      <c r="T74" s="91">
        <v>15600</v>
      </c>
      <c r="U74" s="91">
        <v>2000</v>
      </c>
      <c r="V74" s="91">
        <v>10000</v>
      </c>
      <c r="W74" s="91">
        <v>30000</v>
      </c>
      <c r="X74" s="91">
        <v>20000</v>
      </c>
      <c r="Y74" s="91">
        <v>30000</v>
      </c>
      <c r="Z74" s="91">
        <v>30000</v>
      </c>
      <c r="AA74" s="91">
        <v>20000</v>
      </c>
      <c r="AB74" s="91">
        <v>20000</v>
      </c>
      <c r="AC74" s="91">
        <v>10000</v>
      </c>
      <c r="AD74" s="315"/>
      <c r="AE74" s="23"/>
      <c r="AF74" s="316">
        <v>30000</v>
      </c>
      <c r="AG74" s="91">
        <v>20000</v>
      </c>
      <c r="AH74" s="91">
        <v>24960</v>
      </c>
      <c r="AI74" s="91">
        <v>14040</v>
      </c>
      <c r="AJ74" s="91">
        <v>19040</v>
      </c>
      <c r="AK74" s="91">
        <v>12000</v>
      </c>
      <c r="AL74" s="91">
        <v>14000</v>
      </c>
      <c r="AM74" s="91">
        <v>13000</v>
      </c>
      <c r="AN74" s="91">
        <v>13000</v>
      </c>
      <c r="AO74" s="91">
        <v>0</v>
      </c>
      <c r="AP74" s="91">
        <v>0</v>
      </c>
      <c r="AQ74" s="91">
        <v>0</v>
      </c>
      <c r="AR74" s="92">
        <f t="shared" ref="AR74:AR75" si="173">SUM(AF74:AQ74)</f>
        <v>160040</v>
      </c>
      <c r="AS74" s="23"/>
      <c r="AT74" s="91">
        <v>0</v>
      </c>
      <c r="AU74" s="91">
        <v>0</v>
      </c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>
        <f t="shared" ref="BF74:BF75" si="174">SUM(AT74:BE74)</f>
        <v>0</v>
      </c>
      <c r="BG74" s="27">
        <f>BF74-AR74</f>
        <v>-160040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>
        <f t="shared" ref="BT74" si="175">SUM(BH74:BS74)</f>
        <v>0</v>
      </c>
      <c r="BU74" s="28"/>
      <c r="BV74" s="399">
        <f t="shared" ref="BV74:BZ74" si="176">BV7</f>
        <v>19</v>
      </c>
      <c r="BW74" s="399">
        <f t="shared" si="176"/>
        <v>19</v>
      </c>
      <c r="BX74" s="399">
        <f t="shared" si="176"/>
        <v>21</v>
      </c>
      <c r="BY74" s="399">
        <f t="shared" si="176"/>
        <v>24</v>
      </c>
      <c r="BZ74" s="399">
        <f t="shared" si="176"/>
        <v>23</v>
      </c>
      <c r="CA74" s="399">
        <f>CA7</f>
        <v>22</v>
      </c>
      <c r="CB74" s="399">
        <f t="shared" ref="CB74:CG74" si="177">CB7</f>
        <v>25</v>
      </c>
      <c r="CC74" s="399">
        <f t="shared" si="177"/>
        <v>24</v>
      </c>
      <c r="CD74" s="399">
        <f t="shared" si="177"/>
        <v>24</v>
      </c>
      <c r="CE74" s="399">
        <f t="shared" si="177"/>
        <v>24</v>
      </c>
      <c r="CF74" s="399">
        <f t="shared" si="177"/>
        <v>22</v>
      </c>
      <c r="CG74" s="399">
        <f t="shared" si="177"/>
        <v>13</v>
      </c>
      <c r="CH74" s="91">
        <f t="shared" ref="CH74" si="178">SUM(BV74:CG74)</f>
        <v>260</v>
      </c>
      <c r="CJ74" s="597">
        <f>CJ7</f>
        <v>22</v>
      </c>
      <c r="CK74" s="597">
        <f t="shared" ref="CK74:CO74" si="179">CK7</f>
        <v>23</v>
      </c>
      <c r="CL74" s="597">
        <f t="shared" si="179"/>
        <v>19</v>
      </c>
      <c r="CM74" s="597">
        <f t="shared" si="179"/>
        <v>20</v>
      </c>
      <c r="CN74" s="597">
        <f t="shared" si="179"/>
        <v>21</v>
      </c>
      <c r="CO74" s="597">
        <f t="shared" si="179"/>
        <v>22</v>
      </c>
      <c r="CP74" s="91"/>
      <c r="CQ74" s="91"/>
      <c r="CR74" s="91"/>
      <c r="CS74" s="91"/>
      <c r="CT74" s="91"/>
      <c r="CU74" s="91"/>
      <c r="CV74" s="91">
        <v>131</v>
      </c>
      <c r="CX74" s="597">
        <f>CX7</f>
        <v>20</v>
      </c>
      <c r="CY74" s="597">
        <f t="shared" ref="CY74:DC74" si="180">CY7</f>
        <v>19</v>
      </c>
      <c r="CZ74" s="597">
        <f t="shared" si="180"/>
        <v>20</v>
      </c>
      <c r="DA74" s="597">
        <f t="shared" si="180"/>
        <v>20</v>
      </c>
      <c r="DB74" s="597">
        <f t="shared" si="180"/>
        <v>20</v>
      </c>
      <c r="DC74" s="597">
        <f>DC7</f>
        <v>21</v>
      </c>
      <c r="DD74" s="597">
        <f t="shared" ref="DD74:DI74" si="181">DD7</f>
        <v>23</v>
      </c>
      <c r="DE74" s="597">
        <f t="shared" si="181"/>
        <v>21</v>
      </c>
      <c r="DF74" s="597">
        <f t="shared" si="181"/>
        <v>21</v>
      </c>
      <c r="DG74" s="597">
        <f t="shared" si="181"/>
        <v>21</v>
      </c>
      <c r="DH74" s="597">
        <f t="shared" si="181"/>
        <v>19</v>
      </c>
      <c r="DI74" s="597">
        <f t="shared" si="181"/>
        <v>16</v>
      </c>
      <c r="DJ74" s="91">
        <v>131</v>
      </c>
    </row>
    <row r="75" spans="1:115" ht="15.75" customHeight="1" outlineLevel="1">
      <c r="A75" s="94"/>
      <c r="B75" s="210" t="s">
        <v>94</v>
      </c>
      <c r="C75" s="335"/>
      <c r="D75" s="313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314"/>
      <c r="Q75" s="90"/>
      <c r="R75" s="313"/>
      <c r="S75" s="91"/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13500</v>
      </c>
      <c r="Z75" s="91">
        <v>9000</v>
      </c>
      <c r="AA75" s="91">
        <v>9000</v>
      </c>
      <c r="AB75" s="91">
        <v>9000</v>
      </c>
      <c r="AC75" s="91">
        <v>0</v>
      </c>
      <c r="AD75" s="315"/>
      <c r="AE75" s="23"/>
      <c r="AF75" s="91">
        <v>13500</v>
      </c>
      <c r="AG75" s="91">
        <v>13500</v>
      </c>
      <c r="AH75" s="91">
        <v>2820</v>
      </c>
      <c r="AI75" s="91">
        <v>0</v>
      </c>
      <c r="AJ75" s="91">
        <v>0</v>
      </c>
      <c r="AK75" s="91">
        <v>0</v>
      </c>
      <c r="AL75" s="91">
        <v>0</v>
      </c>
      <c r="AM75" s="91"/>
      <c r="AN75" s="91"/>
      <c r="AO75" s="91"/>
      <c r="AP75" s="91"/>
      <c r="AQ75" s="91"/>
      <c r="AR75" s="92">
        <f t="shared" si="173"/>
        <v>29820</v>
      </c>
      <c r="AS75" s="23"/>
      <c r="AT75" s="91"/>
      <c r="AU75" s="91"/>
      <c r="AV75" s="91"/>
      <c r="AW75" s="91">
        <v>4000</v>
      </c>
      <c r="AX75" s="91">
        <v>8000</v>
      </c>
      <c r="AY75" s="91">
        <v>5000</v>
      </c>
      <c r="AZ75" s="91">
        <v>10000</v>
      </c>
      <c r="BA75" s="91">
        <v>10000</v>
      </c>
      <c r="BB75" s="91">
        <v>0</v>
      </c>
      <c r="BC75" s="91">
        <v>0</v>
      </c>
      <c r="BD75" s="91">
        <v>0</v>
      </c>
      <c r="BE75" s="91"/>
      <c r="BF75" s="91">
        <f t="shared" si="174"/>
        <v>37000</v>
      </c>
      <c r="BG75" s="27"/>
      <c r="BH75" s="91">
        <v>3000</v>
      </c>
      <c r="BI75" s="91"/>
      <c r="BJ75" s="91"/>
      <c r="BK75" s="91"/>
      <c r="BL75" s="91"/>
      <c r="BM75" s="91"/>
      <c r="BN75" s="91"/>
      <c r="BO75" s="91">
        <v>10000</v>
      </c>
      <c r="BP75" s="91">
        <v>15000</v>
      </c>
      <c r="BQ75" s="91">
        <v>20000</v>
      </c>
      <c r="BR75" s="91">
        <v>15000</v>
      </c>
      <c r="BS75" s="91">
        <f>7200*9/2</f>
        <v>32400</v>
      </c>
      <c r="BT75" s="91">
        <f>SUM(BH75:BS75)</f>
        <v>95400</v>
      </c>
      <c r="BU75" s="28"/>
      <c r="BV75" s="91">
        <f>BV78-BV71</f>
        <v>21584</v>
      </c>
      <c r="BW75" s="91">
        <f t="shared" ref="BW75:CG75" si="182">BW78-BW71</f>
        <v>18963</v>
      </c>
      <c r="BX75" s="91">
        <f t="shared" si="182"/>
        <v>-2354</v>
      </c>
      <c r="BY75" s="91">
        <f t="shared" si="182"/>
        <v>5998</v>
      </c>
      <c r="BZ75" s="91">
        <f t="shared" si="182"/>
        <v>-13737</v>
      </c>
      <c r="CA75" s="91">
        <f t="shared" si="182"/>
        <v>-6090</v>
      </c>
      <c r="CB75" s="91">
        <f t="shared" si="182"/>
        <v>-2176</v>
      </c>
      <c r="CC75" s="91">
        <f t="shared" si="182"/>
        <v>-17344</v>
      </c>
      <c r="CD75" s="91">
        <f t="shared" si="182"/>
        <v>-13369</v>
      </c>
      <c r="CE75" s="91">
        <f t="shared" si="182"/>
        <v>793</v>
      </c>
      <c r="CF75" s="91">
        <f t="shared" si="182"/>
        <v>-12350</v>
      </c>
      <c r="CG75" s="91">
        <f t="shared" si="182"/>
        <v>-98800</v>
      </c>
      <c r="CH75" s="92">
        <f>SUM(CD75:CG75)</f>
        <v>-123726</v>
      </c>
      <c r="CJ75" s="91">
        <f>BV78</f>
        <v>154584</v>
      </c>
      <c r="CK75" s="91">
        <f t="shared" ref="CK75:CO75" si="183">BW78</f>
        <v>151963</v>
      </c>
      <c r="CL75" s="91">
        <f>BX78</f>
        <v>144646</v>
      </c>
      <c r="CM75" s="91">
        <f t="shared" si="183"/>
        <v>178798</v>
      </c>
      <c r="CN75" s="91">
        <f t="shared" si="183"/>
        <v>151863</v>
      </c>
      <c r="CO75" s="91">
        <f t="shared" si="183"/>
        <v>152310</v>
      </c>
      <c r="CP75" s="91">
        <f t="shared" ref="CP75" si="184">CB78</f>
        <v>177824</v>
      </c>
      <c r="CQ75" s="91">
        <f t="shared" ref="CQ75" si="185">CC78</f>
        <v>155456</v>
      </c>
      <c r="CR75" s="91">
        <f t="shared" ref="CR75" si="186">CD78</f>
        <v>159431</v>
      </c>
      <c r="CS75" s="91">
        <f t="shared" ref="CS75" si="187">CE78</f>
        <v>173593</v>
      </c>
      <c r="CT75" s="91">
        <v>146546</v>
      </c>
      <c r="CU75" s="91">
        <v>111901</v>
      </c>
      <c r="CV75" s="91">
        <v>127800</v>
      </c>
      <c r="CX75" s="91">
        <f>CJ75</f>
        <v>154584</v>
      </c>
      <c r="CY75" s="91">
        <f t="shared" ref="CY75:DI75" si="188">CK75</f>
        <v>151963</v>
      </c>
      <c r="CZ75" s="91">
        <f t="shared" si="188"/>
        <v>144646</v>
      </c>
      <c r="DA75" s="91">
        <f t="shared" si="188"/>
        <v>178798</v>
      </c>
      <c r="DB75" s="91">
        <f t="shared" si="188"/>
        <v>151863</v>
      </c>
      <c r="DC75" s="91">
        <f t="shared" si="188"/>
        <v>152310</v>
      </c>
      <c r="DD75" s="91">
        <f t="shared" si="188"/>
        <v>177824</v>
      </c>
      <c r="DE75" s="91">
        <f t="shared" si="188"/>
        <v>155456</v>
      </c>
      <c r="DF75" s="91">
        <f t="shared" si="188"/>
        <v>159431</v>
      </c>
      <c r="DG75" s="91">
        <f t="shared" si="188"/>
        <v>173593</v>
      </c>
      <c r="DH75" s="91">
        <f t="shared" si="188"/>
        <v>146546</v>
      </c>
      <c r="DI75" s="91">
        <f t="shared" si="188"/>
        <v>111901</v>
      </c>
      <c r="DJ75" s="91">
        <v>127800</v>
      </c>
    </row>
    <row r="76" spans="1:115" ht="15.75" customHeight="1" outlineLevel="1">
      <c r="A76" s="94"/>
      <c r="B76" s="210" t="s">
        <v>105</v>
      </c>
      <c r="C76" s="335"/>
      <c r="D76" s="313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314"/>
      <c r="Q76" s="90"/>
      <c r="R76" s="313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315"/>
      <c r="AE76" s="23"/>
      <c r="AF76" s="91"/>
      <c r="AG76" s="91"/>
      <c r="AH76" s="91"/>
      <c r="AI76" s="91"/>
      <c r="AJ76" s="91"/>
      <c r="AK76" s="91"/>
      <c r="AL76" s="91"/>
      <c r="AM76" s="91"/>
      <c r="AN76" s="91"/>
      <c r="AO76" s="91">
        <f t="shared" ref="AO76:AQ76" si="189">AO71*9.68</f>
        <v>1355200</v>
      </c>
      <c r="AP76" s="91">
        <f t="shared" si="189"/>
        <v>1258400</v>
      </c>
      <c r="AQ76" s="91">
        <f t="shared" si="189"/>
        <v>968000</v>
      </c>
      <c r="AR76" s="92"/>
      <c r="AS76" s="23"/>
      <c r="AT76" s="91">
        <f t="shared" ref="AT76:BF76" si="190">AT71*9.68</f>
        <v>1287440</v>
      </c>
      <c r="AU76" s="91">
        <f t="shared" si="190"/>
        <v>1211742.3999999999</v>
      </c>
      <c r="AV76" s="91">
        <f t="shared" si="190"/>
        <v>1134767.04</v>
      </c>
      <c r="AW76" s="91">
        <f t="shared" si="190"/>
        <v>1234200</v>
      </c>
      <c r="AX76" s="91">
        <f t="shared" si="190"/>
        <v>1355200</v>
      </c>
      <c r="AY76" s="91">
        <f t="shared" si="190"/>
        <v>1532760.2399903198</v>
      </c>
      <c r="AZ76" s="91">
        <f t="shared" si="190"/>
        <v>1475319.1199999999</v>
      </c>
      <c r="BA76" s="91">
        <f t="shared" si="190"/>
        <v>1679673.5999999999</v>
      </c>
      <c r="BB76" s="91">
        <f t="shared" si="190"/>
        <v>1597200</v>
      </c>
      <c r="BC76" s="91">
        <f t="shared" si="190"/>
        <v>1524600</v>
      </c>
      <c r="BD76" s="91">
        <f t="shared" si="190"/>
        <v>1252892.08</v>
      </c>
      <c r="BE76" s="91">
        <f t="shared" si="190"/>
        <v>597256</v>
      </c>
      <c r="BF76" s="91">
        <f t="shared" si="190"/>
        <v>15883050.47999032</v>
      </c>
      <c r="BG76" s="27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28"/>
      <c r="BV76" s="91"/>
      <c r="BW76" s="91"/>
      <c r="BX76" s="91"/>
      <c r="BY76" s="91"/>
      <c r="BZ76" s="91"/>
      <c r="CA76" s="91"/>
      <c r="CB76" s="91"/>
      <c r="CC76" s="91"/>
      <c r="CD76" s="91" t="s">
        <v>96</v>
      </c>
      <c r="CE76" s="91"/>
      <c r="CF76" s="601" t="s">
        <v>97</v>
      </c>
      <c r="CG76" s="91"/>
      <c r="CH76" s="91"/>
      <c r="CJ76" s="91"/>
      <c r="CK76" s="91"/>
      <c r="CL76" s="91"/>
      <c r="CM76" s="91">
        <v>61884.012959999985</v>
      </c>
      <c r="CN76" s="91">
        <f>CM76</f>
        <v>61884.012959999985</v>
      </c>
      <c r="CO76" s="91">
        <f t="shared" ref="CO76:CU76" si="191">CN76</f>
        <v>61884.012959999985</v>
      </c>
      <c r="CP76" s="91">
        <f t="shared" si="191"/>
        <v>61884.012959999985</v>
      </c>
      <c r="CQ76" s="91">
        <f t="shared" si="191"/>
        <v>61884.012959999985</v>
      </c>
      <c r="CR76" s="91">
        <f t="shared" si="191"/>
        <v>61884.012959999985</v>
      </c>
      <c r="CS76" s="91">
        <f t="shared" si="191"/>
        <v>61884.012959999985</v>
      </c>
      <c r="CT76" s="91">
        <f t="shared" si="191"/>
        <v>61884.012959999985</v>
      </c>
      <c r="CU76" s="91">
        <f t="shared" si="191"/>
        <v>61884.012959999985</v>
      </c>
      <c r="CV76" s="91"/>
      <c r="CX76" s="91" t="s">
        <v>133</v>
      </c>
      <c r="CY76" s="91"/>
      <c r="CZ76" s="91"/>
      <c r="DA76" s="91"/>
      <c r="DB76" s="91"/>
      <c r="DC76" s="91"/>
      <c r="DD76" s="91"/>
      <c r="DE76" s="91"/>
      <c r="DF76" s="91"/>
      <c r="DG76" s="91"/>
      <c r="DH76" s="91"/>
      <c r="DI76" s="91"/>
      <c r="DJ76" s="91"/>
    </row>
    <row r="77" spans="1:115" ht="15.75" customHeight="1" outlineLevel="1">
      <c r="A77" s="94"/>
      <c r="B77" s="210" t="s">
        <v>98</v>
      </c>
      <c r="C77" s="335"/>
      <c r="D77" s="313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314"/>
      <c r="Q77" s="90"/>
      <c r="R77" s="313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315"/>
      <c r="AE77" s="23"/>
      <c r="AF77" s="316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2"/>
      <c r="AS77" s="23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27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28"/>
      <c r="BV77" s="91"/>
      <c r="BW77" s="91"/>
      <c r="BX77" s="91"/>
      <c r="BY77" s="91"/>
      <c r="BZ77" s="91"/>
      <c r="CA77" s="91"/>
      <c r="CB77" s="91"/>
      <c r="CC77" s="91"/>
      <c r="CD77" s="91"/>
      <c r="CE77" s="91"/>
      <c r="CF77" s="601"/>
      <c r="CG77" s="91"/>
      <c r="CH77" s="91"/>
      <c r="CJ77" s="91"/>
      <c r="CK77" s="91"/>
      <c r="CL77" s="91"/>
      <c r="CM77" s="91">
        <f>CM76*CM7</f>
        <v>1237680.2591999997</v>
      </c>
      <c r="CN77" s="91">
        <f>CN76*CN7</f>
        <v>1299564.2721599997</v>
      </c>
      <c r="CO77" s="91">
        <f t="shared" ref="CN77:CU77" si="192">CO76*CO7</f>
        <v>1361448.2851199997</v>
      </c>
      <c r="CP77" s="91">
        <f t="shared" si="192"/>
        <v>1547100.3239999996</v>
      </c>
      <c r="CQ77" s="91">
        <f>CQ76*CQ7</f>
        <v>1299564.2721599997</v>
      </c>
      <c r="CR77" s="91">
        <f t="shared" si="192"/>
        <v>1361448.2851199997</v>
      </c>
      <c r="CS77" s="91">
        <f t="shared" si="192"/>
        <v>1423332.2980799996</v>
      </c>
      <c r="CT77" s="91">
        <f t="shared" si="192"/>
        <v>1361448.2851199997</v>
      </c>
      <c r="CU77" s="91">
        <f t="shared" si="192"/>
        <v>1052028.2203199998</v>
      </c>
      <c r="CV77" s="91"/>
      <c r="CX77" s="91"/>
      <c r="CY77" s="91"/>
      <c r="CZ77" s="91"/>
      <c r="DA77" s="91"/>
      <c r="DB77" s="91"/>
      <c r="DC77" s="91"/>
      <c r="DD77" s="91"/>
      <c r="DE77" s="91"/>
      <c r="DF77" s="91"/>
      <c r="DG77" s="91"/>
      <c r="DH77" s="91"/>
      <c r="DI77" s="91"/>
      <c r="DJ77" s="91"/>
    </row>
    <row r="78" spans="1:115">
      <c r="A78" s="110" t="s">
        <v>99</v>
      </c>
      <c r="B78" s="340" t="s">
        <v>100</v>
      </c>
      <c r="C78" s="341"/>
      <c r="D78" s="342">
        <v>95972</v>
      </c>
      <c r="E78" s="111">
        <v>130805</v>
      </c>
      <c r="F78" s="111">
        <v>121914</v>
      </c>
      <c r="G78" s="111">
        <v>165455</v>
      </c>
      <c r="H78" s="111">
        <v>192013</v>
      </c>
      <c r="I78" s="111">
        <v>167281</v>
      </c>
      <c r="J78" s="111">
        <v>181409</v>
      </c>
      <c r="K78" s="111">
        <v>163138</v>
      </c>
      <c r="L78" s="111">
        <v>169051</v>
      </c>
      <c r="M78" s="111">
        <v>183254</v>
      </c>
      <c r="N78" s="111"/>
      <c r="O78" s="111"/>
      <c r="P78" s="343">
        <f>SUM(D78:O78)</f>
        <v>1570292</v>
      </c>
      <c r="Q78" s="84"/>
      <c r="R78" s="342">
        <v>149582</v>
      </c>
      <c r="S78" s="112">
        <v>152735</v>
      </c>
      <c r="T78" s="112">
        <v>107681</v>
      </c>
      <c r="U78" s="112">
        <v>2974</v>
      </c>
      <c r="V78" s="112">
        <v>32639</v>
      </c>
      <c r="W78" s="112">
        <v>153121</v>
      </c>
      <c r="X78" s="112">
        <v>198635</v>
      </c>
      <c r="Y78" s="112">
        <v>160489</v>
      </c>
      <c r="Z78" s="112">
        <v>160893</v>
      </c>
      <c r="AA78" s="112">
        <v>180999</v>
      </c>
      <c r="AB78" s="112">
        <v>167265</v>
      </c>
      <c r="AC78" s="112">
        <v>135424</v>
      </c>
      <c r="AD78" s="344">
        <f>SUM(R78:AC78)</f>
        <v>1602437</v>
      </c>
      <c r="AE78" s="113"/>
      <c r="AF78" s="345">
        <v>145616</v>
      </c>
      <c r="AG78" s="112">
        <v>168450</v>
      </c>
      <c r="AH78" s="112">
        <v>153291</v>
      </c>
      <c r="AI78" s="112">
        <v>149378</v>
      </c>
      <c r="AJ78" s="112">
        <v>196360</v>
      </c>
      <c r="AK78" s="112">
        <v>170558</v>
      </c>
      <c r="AL78" s="112">
        <v>171758</v>
      </c>
      <c r="AM78" s="112">
        <f t="shared" ref="AM78:AQ78" si="193">SUM(AM79:AM80)</f>
        <v>168974</v>
      </c>
      <c r="AN78" s="112">
        <f t="shared" si="193"/>
        <v>144792</v>
      </c>
      <c r="AO78" s="112">
        <f t="shared" si="193"/>
        <v>141375</v>
      </c>
      <c r="AP78" s="112">
        <f t="shared" si="193"/>
        <v>143221</v>
      </c>
      <c r="AQ78" s="112">
        <f t="shared" si="193"/>
        <v>85543</v>
      </c>
      <c r="AR78" s="112">
        <f t="shared" ref="AR78:AR82" si="194">SUM(AF78:AQ78)</f>
        <v>1839316</v>
      </c>
      <c r="AS78" s="23"/>
      <c r="AT78" s="112">
        <f t="shared" ref="AT78:BE78" si="195">SUM(AT79:AT80)</f>
        <v>120211</v>
      </c>
      <c r="AU78" s="112">
        <f t="shared" si="195"/>
        <v>120216</v>
      </c>
      <c r="AV78" s="112">
        <f t="shared" si="195"/>
        <v>101053</v>
      </c>
      <c r="AW78" s="112">
        <f t="shared" si="195"/>
        <v>137388</v>
      </c>
      <c r="AX78" s="112">
        <f t="shared" si="195"/>
        <v>137400</v>
      </c>
      <c r="AY78" s="112">
        <f t="shared" si="195"/>
        <v>135412</v>
      </c>
      <c r="AZ78" s="112">
        <f t="shared" si="195"/>
        <v>157032</v>
      </c>
      <c r="BA78" s="112">
        <f t="shared" si="195"/>
        <v>173287</v>
      </c>
      <c r="BB78" s="114">
        <f t="shared" si="195"/>
        <v>166815</v>
      </c>
      <c r="BC78" s="114">
        <f t="shared" si="195"/>
        <v>153816</v>
      </c>
      <c r="BD78" s="114">
        <f t="shared" si="195"/>
        <v>138051</v>
      </c>
      <c r="BE78" s="114">
        <f t="shared" si="195"/>
        <v>55950</v>
      </c>
      <c r="BF78" s="114">
        <f t="shared" ref="BF78:BF82" si="196">SUM(AT78:BE78)</f>
        <v>1596631</v>
      </c>
      <c r="BG78" s="93">
        <f>BF78/AR78-1</f>
        <v>-0.1319430701412917</v>
      </c>
      <c r="BH78" s="112">
        <f t="shared" ref="BH78:BQ78" si="197">SUM(BH79:BH80)</f>
        <v>138562</v>
      </c>
      <c r="BI78" s="112">
        <f t="shared" si="197"/>
        <v>109391</v>
      </c>
      <c r="BJ78" s="112">
        <f t="shared" si="197"/>
        <v>160056</v>
      </c>
      <c r="BK78" s="112">
        <f t="shared" si="197"/>
        <v>124826</v>
      </c>
      <c r="BL78" s="112">
        <f t="shared" si="197"/>
        <v>151185</v>
      </c>
      <c r="BM78" s="112">
        <f t="shared" si="197"/>
        <v>134688</v>
      </c>
      <c r="BN78" s="112">
        <f t="shared" si="197"/>
        <v>157005</v>
      </c>
      <c r="BO78" s="112">
        <f t="shared" si="197"/>
        <v>151231</v>
      </c>
      <c r="BP78" s="112">
        <f t="shared" si="197"/>
        <v>143335</v>
      </c>
      <c r="BQ78" s="112">
        <f t="shared" si="197"/>
        <v>159215</v>
      </c>
      <c r="BR78" s="112"/>
      <c r="BS78" s="112"/>
      <c r="BT78" s="112">
        <f t="shared" ref="BT78:BT82" si="198">SUM(BH78:BS78)</f>
        <v>1429494</v>
      </c>
      <c r="BU78" s="18"/>
      <c r="BV78" s="112">
        <v>154584</v>
      </c>
      <c r="BW78" s="112">
        <v>151963</v>
      </c>
      <c r="BX78" s="112">
        <v>144646</v>
      </c>
      <c r="BY78" s="112">
        <v>178798</v>
      </c>
      <c r="BZ78" s="112">
        <v>151863</v>
      </c>
      <c r="CA78" s="112">
        <v>152310</v>
      </c>
      <c r="CB78" s="112">
        <f>CB79+CB80</f>
        <v>177824</v>
      </c>
      <c r="CC78" s="112">
        <f t="shared" ref="CC78:CJ78" si="199">CC79+CC80</f>
        <v>155456</v>
      </c>
      <c r="CD78" s="112">
        <f t="shared" si="199"/>
        <v>159431</v>
      </c>
      <c r="CE78" s="112">
        <v>173593</v>
      </c>
      <c r="CF78" s="112">
        <v>154850</v>
      </c>
      <c r="CG78" s="112">
        <f t="shared" si="199"/>
        <v>0</v>
      </c>
      <c r="CH78" s="112">
        <f t="shared" ref="CH78" si="200">SUM(BV78:CG78)</f>
        <v>1755318</v>
      </c>
      <c r="CJ78" s="112">
        <v>155428</v>
      </c>
      <c r="CK78" s="112">
        <f>SUM(CK79:CK80)</f>
        <v>182595</v>
      </c>
      <c r="CL78" s="112">
        <f>SUM(CL79:CL80)</f>
        <v>175111</v>
      </c>
      <c r="CM78" s="112">
        <f>SUM(CM79:CM80)</f>
        <v>192052</v>
      </c>
      <c r="CN78" s="112">
        <v>214788</v>
      </c>
      <c r="CO78" s="112">
        <v>143727</v>
      </c>
      <c r="CP78" s="112">
        <v>191217</v>
      </c>
      <c r="CQ78" s="112">
        <v>180648</v>
      </c>
      <c r="CR78" s="112">
        <v>180874</v>
      </c>
      <c r="CS78" s="112"/>
      <c r="CT78" s="112"/>
      <c r="CU78" s="112"/>
      <c r="CV78" s="112"/>
      <c r="CX78" s="112">
        <f>CJ78</f>
        <v>155428</v>
      </c>
      <c r="CY78" s="112">
        <f t="shared" ref="CY78:DI78" si="201">CK78</f>
        <v>182595</v>
      </c>
      <c r="CZ78" s="112">
        <f t="shared" si="201"/>
        <v>175111</v>
      </c>
      <c r="DA78" s="112">
        <f t="shared" si="201"/>
        <v>192052</v>
      </c>
      <c r="DB78" s="112">
        <f t="shared" si="201"/>
        <v>214788</v>
      </c>
      <c r="DC78" s="112">
        <f t="shared" si="201"/>
        <v>143727</v>
      </c>
      <c r="DD78" s="112">
        <f t="shared" si="201"/>
        <v>191217</v>
      </c>
      <c r="DE78" s="112">
        <f t="shared" si="201"/>
        <v>180648</v>
      </c>
      <c r="DF78" s="112">
        <f t="shared" si="201"/>
        <v>180874</v>
      </c>
      <c r="DG78" s="112">
        <f t="shared" si="201"/>
        <v>0</v>
      </c>
      <c r="DH78" s="112">
        <f t="shared" si="201"/>
        <v>0</v>
      </c>
      <c r="DI78" s="112">
        <f t="shared" si="201"/>
        <v>0</v>
      </c>
      <c r="DJ78" s="112"/>
    </row>
    <row r="79" spans="1:115" ht="15.75" customHeight="1">
      <c r="A79" s="115"/>
      <c r="B79" s="346" t="s">
        <v>259</v>
      </c>
      <c r="C79" s="347"/>
      <c r="D79" s="265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66"/>
      <c r="Q79" s="116"/>
      <c r="R79" s="265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67"/>
      <c r="AE79" s="23"/>
      <c r="AF79" s="348">
        <v>126362</v>
      </c>
      <c r="AG79" s="22">
        <v>153970</v>
      </c>
      <c r="AH79" s="22">
        <v>128331</v>
      </c>
      <c r="AI79" s="22">
        <v>135338</v>
      </c>
      <c r="AJ79" s="22">
        <v>177312</v>
      </c>
      <c r="AK79" s="22">
        <v>150818</v>
      </c>
      <c r="AL79" s="22">
        <v>158858</v>
      </c>
      <c r="AM79" s="22">
        <v>153933</v>
      </c>
      <c r="AN79" s="22">
        <v>134244</v>
      </c>
      <c r="AO79" s="22">
        <v>137435</v>
      </c>
      <c r="AP79" s="22">
        <v>143221</v>
      </c>
      <c r="AQ79" s="22">
        <v>85543</v>
      </c>
      <c r="AR79" s="117">
        <f t="shared" si="194"/>
        <v>1685365</v>
      </c>
      <c r="AS79" s="23"/>
      <c r="AT79" s="22">
        <v>120211</v>
      </c>
      <c r="AU79" s="22">
        <v>120216</v>
      </c>
      <c r="AV79" s="22">
        <v>101053</v>
      </c>
      <c r="AW79" s="22">
        <v>137388</v>
      </c>
      <c r="AX79" s="22">
        <v>137400</v>
      </c>
      <c r="AY79" s="22">
        <v>135412</v>
      </c>
      <c r="AZ79" s="22">
        <v>157032</v>
      </c>
      <c r="BA79" s="22">
        <v>172227</v>
      </c>
      <c r="BB79" s="22">
        <f>157995+8500</f>
        <v>166495</v>
      </c>
      <c r="BC79" s="22">
        <v>153816</v>
      </c>
      <c r="BD79" s="22">
        <v>138051</v>
      </c>
      <c r="BE79" s="22">
        <v>55950</v>
      </c>
      <c r="BF79" s="22">
        <f t="shared" si="196"/>
        <v>1595251</v>
      </c>
      <c r="BG79" s="27"/>
      <c r="BH79" s="22">
        <v>138562</v>
      </c>
      <c r="BI79" s="22">
        <v>109391</v>
      </c>
      <c r="BJ79" s="22">
        <v>160056</v>
      </c>
      <c r="BK79" s="22">
        <v>124826</v>
      </c>
      <c r="BL79" s="22">
        <v>151185</v>
      </c>
      <c r="BM79" s="22">
        <v>134688</v>
      </c>
      <c r="BN79" s="22">
        <v>157005</v>
      </c>
      <c r="BO79" s="22">
        <v>151231</v>
      </c>
      <c r="BP79" s="22">
        <v>143335</v>
      </c>
      <c r="BQ79" s="22">
        <v>159215</v>
      </c>
      <c r="BR79" s="22"/>
      <c r="BS79" s="22"/>
      <c r="BT79" s="22">
        <f t="shared" si="198"/>
        <v>1429494</v>
      </c>
      <c r="BU79" s="28"/>
      <c r="BV79" s="22">
        <v>154584</v>
      </c>
      <c r="BW79" s="22">
        <v>151963</v>
      </c>
      <c r="BX79" s="22">
        <v>144646</v>
      </c>
      <c r="BY79" s="22">
        <v>178798</v>
      </c>
      <c r="BZ79" s="22">
        <v>151863</v>
      </c>
      <c r="CA79" s="22">
        <v>152310</v>
      </c>
      <c r="CB79" s="22">
        <v>177824</v>
      </c>
      <c r="CC79" s="22">
        <v>155456</v>
      </c>
      <c r="CD79" s="22">
        <v>159431</v>
      </c>
      <c r="CE79" s="22"/>
      <c r="CF79" s="22"/>
      <c r="CG79" s="22"/>
      <c r="CH79" s="22"/>
      <c r="CJ79" s="22">
        <v>145276</v>
      </c>
      <c r="CK79" s="22">
        <v>157921</v>
      </c>
      <c r="CL79" s="22">
        <v>147905</v>
      </c>
      <c r="CM79" s="22">
        <v>157807</v>
      </c>
      <c r="CN79" s="22"/>
      <c r="CO79" s="22"/>
      <c r="CP79" s="22"/>
      <c r="CQ79" s="22"/>
      <c r="CR79" s="22"/>
      <c r="CS79" s="22"/>
      <c r="CT79" s="22"/>
      <c r="CU79" s="22"/>
      <c r="CV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</row>
    <row r="80" spans="1:115" ht="15.75" customHeight="1">
      <c r="A80" s="115"/>
      <c r="B80" s="346" t="s">
        <v>260</v>
      </c>
      <c r="C80" s="347"/>
      <c r="D80" s="265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66"/>
      <c r="Q80" s="116"/>
      <c r="R80" s="265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67"/>
      <c r="AE80" s="23"/>
      <c r="AF80" s="22">
        <f t="shared" ref="AF80:AL80" si="202">AF78-AF79</f>
        <v>19254</v>
      </c>
      <c r="AG80" s="22">
        <f t="shared" si="202"/>
        <v>14480</v>
      </c>
      <c r="AH80" s="22">
        <f t="shared" si="202"/>
        <v>24960</v>
      </c>
      <c r="AI80" s="22">
        <f t="shared" si="202"/>
        <v>14040</v>
      </c>
      <c r="AJ80" s="22">
        <f t="shared" si="202"/>
        <v>19048</v>
      </c>
      <c r="AK80" s="22">
        <f t="shared" si="202"/>
        <v>19740</v>
      </c>
      <c r="AL80" s="22">
        <f t="shared" si="202"/>
        <v>12900</v>
      </c>
      <c r="AM80" s="22">
        <v>15041</v>
      </c>
      <c r="AN80" s="22">
        <v>10548</v>
      </c>
      <c r="AO80" s="22">
        <v>3940</v>
      </c>
      <c r="AP80" s="22">
        <v>0</v>
      </c>
      <c r="AQ80" s="22">
        <v>0</v>
      </c>
      <c r="AR80" s="117">
        <f t="shared" si="194"/>
        <v>153951</v>
      </c>
      <c r="AS80" s="23"/>
      <c r="AT80" s="22">
        <v>0</v>
      </c>
      <c r="AU80" s="22">
        <v>0</v>
      </c>
      <c r="AV80" s="22">
        <v>0</v>
      </c>
      <c r="AW80" s="22">
        <v>0</v>
      </c>
      <c r="AX80" s="22">
        <v>0</v>
      </c>
      <c r="AY80" s="22">
        <v>0</v>
      </c>
      <c r="AZ80" s="22">
        <v>0</v>
      </c>
      <c r="BA80" s="22">
        <v>1060</v>
      </c>
      <c r="BB80" s="22">
        <v>320</v>
      </c>
      <c r="BC80" s="22">
        <v>0</v>
      </c>
      <c r="BD80" s="22">
        <v>0</v>
      </c>
      <c r="BE80" s="22"/>
      <c r="BF80" s="22">
        <f t="shared" si="196"/>
        <v>1380</v>
      </c>
      <c r="BG80" s="27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>
        <f t="shared" si="198"/>
        <v>0</v>
      </c>
      <c r="BU80" s="28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J80" s="22">
        <v>14444</v>
      </c>
      <c r="CK80" s="22">
        <v>24674</v>
      </c>
      <c r="CL80" s="22">
        <v>27206</v>
      </c>
      <c r="CM80" s="22">
        <v>34245</v>
      </c>
      <c r="CN80" s="22"/>
      <c r="CO80" s="22"/>
      <c r="CP80" s="22"/>
      <c r="CQ80" s="22"/>
      <c r="CR80" s="22"/>
      <c r="CS80" s="22"/>
      <c r="CT80" s="22"/>
      <c r="CU80" s="22"/>
      <c r="CV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</row>
    <row r="81" spans="1:114" ht="15.75">
      <c r="A81" s="103" t="s">
        <v>103</v>
      </c>
      <c r="B81" s="337"/>
      <c r="C81" s="330"/>
      <c r="D81" s="331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332"/>
      <c r="Q81" s="105"/>
      <c r="R81" s="333"/>
      <c r="S81" s="333"/>
      <c r="T81" s="333"/>
      <c r="U81" s="333"/>
      <c r="V81" s="333"/>
      <c r="W81" s="333"/>
      <c r="X81" s="333"/>
      <c r="Y81" s="333"/>
      <c r="Z81" s="333"/>
      <c r="AA81" s="333"/>
      <c r="AB81" s="333"/>
      <c r="AC81" s="333"/>
      <c r="AD81" s="334"/>
      <c r="AE81" s="106"/>
      <c r="AF81" s="333">
        <f t="shared" ref="AF81:AQ81" si="203">AF78-AF71</f>
        <v>-15784</v>
      </c>
      <c r="AG81" s="333">
        <f t="shared" si="203"/>
        <v>2450</v>
      </c>
      <c r="AH81" s="333">
        <f t="shared" si="203"/>
        <v>2820</v>
      </c>
      <c r="AI81" s="333">
        <f t="shared" si="203"/>
        <v>338</v>
      </c>
      <c r="AJ81" s="333">
        <f t="shared" si="203"/>
        <v>0</v>
      </c>
      <c r="AK81" s="333">
        <f t="shared" si="203"/>
        <v>7258</v>
      </c>
      <c r="AL81" s="333">
        <f t="shared" si="203"/>
        <v>-18242</v>
      </c>
      <c r="AM81" s="333">
        <f t="shared" si="203"/>
        <v>1974</v>
      </c>
      <c r="AN81" s="333">
        <f t="shared" si="203"/>
        <v>-25708</v>
      </c>
      <c r="AO81" s="333">
        <f t="shared" si="203"/>
        <v>1375</v>
      </c>
      <c r="AP81" s="333">
        <f t="shared" si="203"/>
        <v>13221</v>
      </c>
      <c r="AQ81" s="333">
        <f t="shared" si="203"/>
        <v>-14457</v>
      </c>
      <c r="AR81" s="107">
        <f t="shared" si="194"/>
        <v>-44755</v>
      </c>
      <c r="AS81" s="106"/>
      <c r="AT81" s="333">
        <f t="shared" ref="AT81:BE81" si="204">AT78-AT71</f>
        <v>-12789</v>
      </c>
      <c r="AU81" s="333">
        <f t="shared" si="204"/>
        <v>-4964</v>
      </c>
      <c r="AV81" s="333">
        <f t="shared" si="204"/>
        <v>-16175</v>
      </c>
      <c r="AW81" s="333">
        <f t="shared" si="204"/>
        <v>9888</v>
      </c>
      <c r="AX81" s="333">
        <f t="shared" si="204"/>
        <v>-2600</v>
      </c>
      <c r="AY81" s="333">
        <f t="shared" si="204"/>
        <v>-22930.999998999992</v>
      </c>
      <c r="AZ81" s="333">
        <f t="shared" si="204"/>
        <v>4623</v>
      </c>
      <c r="BA81" s="333">
        <f t="shared" si="204"/>
        <v>-233</v>
      </c>
      <c r="BB81" s="333">
        <f t="shared" si="204"/>
        <v>1815</v>
      </c>
      <c r="BC81" s="333">
        <f t="shared" si="204"/>
        <v>-3684</v>
      </c>
      <c r="BD81" s="333">
        <f t="shared" si="204"/>
        <v>8620</v>
      </c>
      <c r="BE81" s="333">
        <f t="shared" si="204"/>
        <v>-5750</v>
      </c>
      <c r="BF81" s="108">
        <f t="shared" si="196"/>
        <v>-44179.999998999992</v>
      </c>
      <c r="BG81" s="106"/>
      <c r="BH81" s="333">
        <f t="shared" ref="BH81:BQ81" si="205">BH78-BH71</f>
        <v>-1198</v>
      </c>
      <c r="BI81" s="333">
        <f t="shared" si="205"/>
        <v>-7189</v>
      </c>
      <c r="BJ81" s="333">
        <f t="shared" si="205"/>
        <v>11716</v>
      </c>
      <c r="BK81" s="333">
        <f t="shared" si="205"/>
        <v>12466</v>
      </c>
      <c r="BL81" s="333">
        <f t="shared" si="205"/>
        <v>42525</v>
      </c>
      <c r="BM81" s="333">
        <f t="shared" si="205"/>
        <v>-18728</v>
      </c>
      <c r="BN81" s="333">
        <f t="shared" si="205"/>
        <v>19329</v>
      </c>
      <c r="BO81" s="333">
        <f t="shared" si="205"/>
        <v>-9423</v>
      </c>
      <c r="BP81" s="333">
        <f t="shared" si="205"/>
        <v>-13665</v>
      </c>
      <c r="BQ81" s="333">
        <f t="shared" si="205"/>
        <v>2490</v>
      </c>
      <c r="BR81" s="108"/>
      <c r="BS81" s="108"/>
      <c r="BT81" s="108">
        <f t="shared" si="198"/>
        <v>38323</v>
      </c>
      <c r="BU81" s="28"/>
      <c r="BV81" s="333"/>
      <c r="BW81" s="333"/>
      <c r="BX81" s="333"/>
      <c r="BY81" s="333">
        <f>BY78-BY71</f>
        <v>5998</v>
      </c>
      <c r="BZ81" s="333">
        <f t="shared" ref="BZ81:CG81" si="206">BZ78-BZ71</f>
        <v>-13737</v>
      </c>
      <c r="CA81" s="333">
        <f t="shared" si="206"/>
        <v>-6090</v>
      </c>
      <c r="CB81" s="333">
        <f t="shared" si="206"/>
        <v>-2176</v>
      </c>
      <c r="CC81" s="333">
        <f t="shared" si="206"/>
        <v>-17344</v>
      </c>
      <c r="CD81" s="333">
        <f t="shared" si="206"/>
        <v>-13369</v>
      </c>
      <c r="CE81" s="333">
        <f t="shared" si="206"/>
        <v>793</v>
      </c>
      <c r="CF81" s="333">
        <f t="shared" si="206"/>
        <v>-12350</v>
      </c>
      <c r="CG81" s="333">
        <f t="shared" si="206"/>
        <v>-98800</v>
      </c>
      <c r="CH81" s="333">
        <f>CH78-CH71</f>
        <v>-118882</v>
      </c>
      <c r="CJ81" s="333">
        <f t="shared" ref="CJ81:CV81" si="207">CJ78-CJ71</f>
        <v>-9572</v>
      </c>
      <c r="CK81" s="333">
        <f>CK78-CK71</f>
        <v>-6005</v>
      </c>
      <c r="CL81" s="333">
        <f t="shared" si="207"/>
        <v>4111</v>
      </c>
      <c r="CM81" s="333">
        <f t="shared" si="207"/>
        <v>-7948</v>
      </c>
      <c r="CN81" s="333">
        <f t="shared" si="207"/>
        <v>36498</v>
      </c>
      <c r="CO81" s="333">
        <f t="shared" si="207"/>
        <v>-54273</v>
      </c>
      <c r="CP81" s="333">
        <f t="shared" si="207"/>
        <v>-53783</v>
      </c>
      <c r="CQ81" s="333">
        <f t="shared" si="207"/>
        <v>-27252</v>
      </c>
      <c r="CR81" s="333">
        <f t="shared" si="207"/>
        <v>-36926</v>
      </c>
      <c r="CS81" s="333">
        <f t="shared" si="207"/>
        <v>-205579</v>
      </c>
      <c r="CT81" s="333">
        <f t="shared" si="207"/>
        <v>-204600</v>
      </c>
      <c r="CU81" s="333">
        <f t="shared" si="207"/>
        <v>-87100</v>
      </c>
      <c r="CV81" s="333">
        <f t="shared" si="207"/>
        <v>-2268869</v>
      </c>
      <c r="CX81" s="333">
        <f t="shared" ref="CX81:DJ81" si="208">CX78-CX71</f>
        <v>49248</v>
      </c>
      <c r="CY81" s="333">
        <f t="shared" si="208"/>
        <v>56894</v>
      </c>
      <c r="CZ81" s="333">
        <f t="shared" si="208"/>
        <v>42931</v>
      </c>
      <c r="DA81" s="333">
        <f t="shared" si="208"/>
        <v>42532</v>
      </c>
      <c r="DB81" s="333">
        <f t="shared" si="208"/>
        <v>29408</v>
      </c>
      <c r="DC81" s="333">
        <f t="shared" si="208"/>
        <v>-50922</v>
      </c>
      <c r="DD81" s="333">
        <f t="shared" si="208"/>
        <v>-21970</v>
      </c>
      <c r="DE81" s="333">
        <f t="shared" si="208"/>
        <v>-14001</v>
      </c>
      <c r="DF81" s="333">
        <f t="shared" si="208"/>
        <v>-13775</v>
      </c>
      <c r="DG81" s="333">
        <f t="shared" si="208"/>
        <v>-194649</v>
      </c>
      <c r="DH81" s="333">
        <f t="shared" si="208"/>
        <v>-176111</v>
      </c>
      <c r="DI81" s="333">
        <f t="shared" si="208"/>
        <v>-148304</v>
      </c>
      <c r="DJ81" s="333">
        <f t="shared" si="208"/>
        <v>-2015159</v>
      </c>
    </row>
    <row r="82" spans="1:114" ht="14.25" customHeight="1">
      <c r="A82" s="55" t="s">
        <v>104</v>
      </c>
      <c r="B82" s="56"/>
      <c r="C82" s="280"/>
      <c r="D82" s="288" t="e">
        <f t="shared" ref="D82:F82" si="209">#REF!-#REF!</f>
        <v>#REF!</v>
      </c>
      <c r="E82" s="57" t="e">
        <f t="shared" si="209"/>
        <v>#REF!</v>
      </c>
      <c r="F82" s="57" t="e">
        <f t="shared" si="209"/>
        <v>#REF!</v>
      </c>
      <c r="G82" s="57" t="e">
        <f t="shared" ref="G82:I82" si="210">G71-#REF!</f>
        <v>#REF!</v>
      </c>
      <c r="H82" s="57" t="e">
        <f t="shared" si="210"/>
        <v>#REF!</v>
      </c>
      <c r="I82" s="57" t="e">
        <f t="shared" si="210"/>
        <v>#REF!</v>
      </c>
      <c r="J82" s="57" t="e">
        <f t="shared" ref="J82:K82" si="211">#REF!-#REF!</f>
        <v>#REF!</v>
      </c>
      <c r="K82" s="57" t="e">
        <f t="shared" si="211"/>
        <v>#REF!</v>
      </c>
      <c r="L82" s="57">
        <f>L71-L27</f>
        <v>-24911</v>
      </c>
      <c r="M82" s="57">
        <f>M71-M27</f>
        <v>-13674</v>
      </c>
      <c r="N82" s="57">
        <f>N71-N27</f>
        <v>57632</v>
      </c>
      <c r="O82" s="57">
        <f>O71-O27</f>
        <v>74079</v>
      </c>
      <c r="P82" s="289" t="e">
        <f>SUM(D82:O82)</f>
        <v>#REF!</v>
      </c>
      <c r="Q82" s="39"/>
      <c r="R82" s="288">
        <f t="shared" ref="R82:AD82" si="212">R71-R27</f>
        <v>22222.660017050745</v>
      </c>
      <c r="S82" s="58">
        <f t="shared" si="212"/>
        <v>17159.673608830723</v>
      </c>
      <c r="T82" s="58">
        <f t="shared" si="212"/>
        <v>-24753.77192982455</v>
      </c>
      <c r="U82" s="58">
        <f t="shared" si="212"/>
        <v>-17814.899999999998</v>
      </c>
      <c r="V82" s="58">
        <f t="shared" si="212"/>
        <v>1715</v>
      </c>
      <c r="W82" s="290">
        <f t="shared" si="212"/>
        <v>120430.6180497602</v>
      </c>
      <c r="X82" s="290">
        <f t="shared" si="212"/>
        <v>43436.666666667006</v>
      </c>
      <c r="Y82" s="290">
        <f t="shared" si="212"/>
        <v>-29747.083333333314</v>
      </c>
      <c r="Z82" s="290">
        <f t="shared" si="212"/>
        <v>-80887.5</v>
      </c>
      <c r="AA82" s="290">
        <f t="shared" si="212"/>
        <v>10200</v>
      </c>
      <c r="AB82" s="290">
        <f t="shared" si="212"/>
        <v>137500</v>
      </c>
      <c r="AC82" s="290">
        <f t="shared" si="212"/>
        <v>134100</v>
      </c>
      <c r="AD82" s="291">
        <f t="shared" si="212"/>
        <v>333561.36307915067</v>
      </c>
      <c r="AE82" s="59"/>
      <c r="AF82" s="292">
        <f t="shared" ref="AF82:AQ82" si="213">AF71-AF27</f>
        <v>32754</v>
      </c>
      <c r="AG82" s="58">
        <f t="shared" si="213"/>
        <v>-11977</v>
      </c>
      <c r="AH82" s="58">
        <f t="shared" si="213"/>
        <v>76847</v>
      </c>
      <c r="AI82" s="58">
        <f t="shared" si="213"/>
        <v>59682</v>
      </c>
      <c r="AJ82" s="58">
        <f t="shared" si="213"/>
        <v>74226</v>
      </c>
      <c r="AK82" s="58">
        <f t="shared" si="213"/>
        <v>14740</v>
      </c>
      <c r="AL82" s="58">
        <f t="shared" si="213"/>
        <v>38005</v>
      </c>
      <c r="AM82" s="58">
        <f t="shared" si="213"/>
        <v>-71903</v>
      </c>
      <c r="AN82" s="58">
        <f t="shared" si="213"/>
        <v>-90633.333333333343</v>
      </c>
      <c r="AO82" s="58">
        <f t="shared" si="213"/>
        <v>-115900</v>
      </c>
      <c r="AP82" s="58">
        <f t="shared" si="213"/>
        <v>1360</v>
      </c>
      <c r="AQ82" s="58">
        <f t="shared" si="213"/>
        <v>2160</v>
      </c>
      <c r="AR82" s="58">
        <f t="shared" si="194"/>
        <v>9360.666666666657</v>
      </c>
      <c r="AS82" s="59"/>
      <c r="AT82" s="58">
        <f t="shared" ref="AT82:BE82" si="214">AT71-AT27</f>
        <v>-19749.25</v>
      </c>
      <c r="AU82" s="58">
        <f t="shared" si="214"/>
        <v>-43342.103448275855</v>
      </c>
      <c r="AV82" s="58">
        <f t="shared" si="214"/>
        <v>-36893.137931034493</v>
      </c>
      <c r="AW82" s="58">
        <f t="shared" si="214"/>
        <v>-32095.137931034493</v>
      </c>
      <c r="AX82" s="58">
        <f t="shared" si="214"/>
        <v>19900.034482758623</v>
      </c>
      <c r="AY82" s="58">
        <f t="shared" si="214"/>
        <v>19999.222221222211</v>
      </c>
      <c r="AZ82" s="58">
        <f t="shared" si="214"/>
        <v>-14264.777777777781</v>
      </c>
      <c r="BA82" s="58">
        <f t="shared" si="214"/>
        <v>-68922.296296296292</v>
      </c>
      <c r="BB82" s="58">
        <f t="shared" si="214"/>
        <v>-78407.777777777781</v>
      </c>
      <c r="BC82" s="58">
        <f t="shared" si="214"/>
        <v>-95868.290755657828</v>
      </c>
      <c r="BD82" s="58">
        <f t="shared" si="214"/>
        <v>-5124.586881472962</v>
      </c>
      <c r="BE82" s="58">
        <f t="shared" si="214"/>
        <v>-10986.612965093984</v>
      </c>
      <c r="BF82" s="58">
        <f t="shared" si="196"/>
        <v>-365754.71506044065</v>
      </c>
      <c r="BG82" s="59"/>
      <c r="BH82" s="58">
        <f t="shared" ref="BH82:BQ82" si="215">BH71-BH27</f>
        <v>-12993</v>
      </c>
      <c r="BI82" s="58">
        <f t="shared" si="215"/>
        <v>-30242.333333333314</v>
      </c>
      <c r="BJ82" s="58">
        <f t="shared" si="215"/>
        <v>-23206.074074074073</v>
      </c>
      <c r="BK82" s="58">
        <f t="shared" si="215"/>
        <v>-47411.74074074073</v>
      </c>
      <c r="BL82" s="58">
        <f t="shared" si="215"/>
        <v>-23836.851851851854</v>
      </c>
      <c r="BM82" s="58">
        <f t="shared" si="215"/>
        <v>23509.740740740745</v>
      </c>
      <c r="BN82" s="58">
        <f t="shared" si="215"/>
        <v>-33707.555555555562</v>
      </c>
      <c r="BO82" s="58">
        <f t="shared" si="215"/>
        <v>-18896.378111111087</v>
      </c>
      <c r="BP82" s="58">
        <f t="shared" si="215"/>
        <v>-45053.749537037045</v>
      </c>
      <c r="BQ82" s="58">
        <f t="shared" si="215"/>
        <v>-7140</v>
      </c>
      <c r="BR82" s="58"/>
      <c r="BS82" s="58"/>
      <c r="BT82" s="58">
        <f t="shared" si="198"/>
        <v>-218977.94246296291</v>
      </c>
      <c r="BU82" s="60"/>
      <c r="BV82" s="58"/>
      <c r="BW82" s="58"/>
      <c r="BX82" s="58"/>
      <c r="BY82" s="58">
        <f>BY71-BY27</f>
        <v>13630.76923076922</v>
      </c>
      <c r="BZ82" s="58">
        <f t="shared" ref="BZ82:CG82" si="216">BZ71-BZ27</f>
        <v>14117.606582143373</v>
      </c>
      <c r="CA82" s="58">
        <f t="shared" si="216"/>
        <v>16957.870899031579</v>
      </c>
      <c r="CB82" s="58">
        <f t="shared" si="216"/>
        <v>3013.7855523840117</v>
      </c>
      <c r="CC82" s="58">
        <f t="shared" si="216"/>
        <v>-28501.089448851068</v>
      </c>
      <c r="CD82" s="58">
        <f t="shared" si="216"/>
        <v>-40033.040135593415</v>
      </c>
      <c r="CE82" s="58">
        <f t="shared" si="216"/>
        <v>-43122.303862118919</v>
      </c>
      <c r="CF82" s="58">
        <f t="shared" si="216"/>
        <v>-3915.8422363018617</v>
      </c>
      <c r="CG82" s="58">
        <f t="shared" si="216"/>
        <v>11316.183308289634</v>
      </c>
      <c r="CH82" s="58">
        <f>CH78-CH69</f>
        <v>-50665</v>
      </c>
      <c r="CJ82" s="58">
        <f t="shared" ref="CJ82:CV82" si="217">CJ71-CJ27</f>
        <v>7083.6330227357394</v>
      </c>
      <c r="CK82" s="58">
        <f t="shared" si="217"/>
        <v>13756.340186358546</v>
      </c>
      <c r="CL82" s="58">
        <f t="shared" si="217"/>
        <v>4307.6667014535924</v>
      </c>
      <c r="CM82" s="58">
        <f t="shared" si="217"/>
        <v>34375.841222512099</v>
      </c>
      <c r="CN82" s="58">
        <f t="shared" si="217"/>
        <v>10438.8879612374</v>
      </c>
      <c r="CO82" s="58">
        <f t="shared" si="217"/>
        <v>63053.84509877002</v>
      </c>
      <c r="CP82" s="58">
        <f t="shared" si="217"/>
        <v>32882.489535864966</v>
      </c>
      <c r="CQ82" s="58">
        <f t="shared" si="217"/>
        <v>-22005.693924050604</v>
      </c>
      <c r="CR82" s="58">
        <f t="shared" si="217"/>
        <v>-47858.190843881865</v>
      </c>
      <c r="CS82" s="58">
        <f t="shared" si="217"/>
        <v>-44713.95105485231</v>
      </c>
      <c r="CT82" s="58">
        <f t="shared" si="217"/>
        <v>31236.398902953602</v>
      </c>
      <c r="CU82" s="58">
        <f t="shared" si="217"/>
        <v>-19834.482405063289</v>
      </c>
      <c r="CV82" s="58">
        <f t="shared" si="217"/>
        <v>62722.784404037986</v>
      </c>
      <c r="CX82" s="58">
        <f t="shared" ref="CX82:DJ82" si="218">CX71-CX27</f>
        <v>-108309.91000000003</v>
      </c>
      <c r="CY82" s="58">
        <f t="shared" si="218"/>
        <v>-110235.75</v>
      </c>
      <c r="CZ82" s="58">
        <f t="shared" si="218"/>
        <v>-45201.24000000002</v>
      </c>
      <c r="DA82" s="58">
        <f t="shared" si="218"/>
        <v>-27839.330000000045</v>
      </c>
      <c r="DB82" s="58">
        <f t="shared" si="218"/>
        <v>10429.749999999971</v>
      </c>
      <c r="DC82" s="58">
        <f t="shared" si="218"/>
        <v>63811.719999999987</v>
      </c>
      <c r="DD82" s="58">
        <f t="shared" si="218"/>
        <v>-264.28000000005704</v>
      </c>
      <c r="DE82" s="58">
        <f t="shared" si="218"/>
        <v>-31315.960000000021</v>
      </c>
      <c r="DF82" s="58">
        <f t="shared" si="218"/>
        <v>-101034.14000000001</v>
      </c>
      <c r="DG82" s="58">
        <f t="shared" si="218"/>
        <v>-85786.060337552743</v>
      </c>
      <c r="DH82" s="58">
        <f t="shared" si="218"/>
        <v>-14885.786751054868</v>
      </c>
      <c r="DI82" s="58">
        <f t="shared" si="218"/>
        <v>30068.464430379739</v>
      </c>
      <c r="DJ82" s="58">
        <f t="shared" si="218"/>
        <v>-420562.52265822794</v>
      </c>
    </row>
    <row r="83" spans="1:114" ht="15" customHeight="1">
      <c r="B83" t="s">
        <v>106</v>
      </c>
      <c r="BZ83" s="598"/>
      <c r="CA83" s="598">
        <f>BZ83+CA82</f>
        <v>16957.870899031579</v>
      </c>
      <c r="CB83" s="598">
        <f t="shared" ref="CB83:CG83" si="219">CA83+CB82</f>
        <v>19971.656451415591</v>
      </c>
      <c r="CC83" s="598">
        <f t="shared" si="219"/>
        <v>-8529.4329974354769</v>
      </c>
      <c r="CD83" s="598">
        <f t="shared" si="219"/>
        <v>-48562.473133028892</v>
      </c>
      <c r="CE83" s="598">
        <f t="shared" si="219"/>
        <v>-91684.776995147811</v>
      </c>
      <c r="CF83" s="598">
        <f t="shared" si="219"/>
        <v>-95600.619231449673</v>
      </c>
      <c r="CG83" s="598">
        <f t="shared" si="219"/>
        <v>-84284.435923160039</v>
      </c>
      <c r="CN83">
        <v>147</v>
      </c>
      <c r="CO83">
        <v>147</v>
      </c>
      <c r="CP83">
        <v>147</v>
      </c>
      <c r="CQ83">
        <v>147</v>
      </c>
      <c r="CR83">
        <v>147</v>
      </c>
      <c r="CS83">
        <v>147</v>
      </c>
      <c r="CT83">
        <v>147</v>
      </c>
      <c r="CU83">
        <v>147</v>
      </c>
    </row>
    <row r="84" spans="1:114" ht="15" customHeight="1">
      <c r="B84" t="s">
        <v>107</v>
      </c>
      <c r="CN84" s="735">
        <f>CN77/CN83</f>
        <v>8840.5732799999987</v>
      </c>
      <c r="CO84" s="735">
        <f t="shared" ref="CO84:CU84" si="220">CO77/CO83</f>
        <v>9261.5529599999973</v>
      </c>
      <c r="CP84" s="735">
        <f t="shared" si="220"/>
        <v>10524.491999999997</v>
      </c>
      <c r="CQ84" s="735">
        <f t="shared" si="220"/>
        <v>8840.5732799999987</v>
      </c>
      <c r="CR84" s="735">
        <f t="shared" si="220"/>
        <v>9261.5529599999973</v>
      </c>
      <c r="CS84" s="735">
        <f t="shared" si="220"/>
        <v>9682.5326399999976</v>
      </c>
      <c r="CT84" s="735">
        <f t="shared" si="220"/>
        <v>9261.5529599999973</v>
      </c>
      <c r="CU84" s="735">
        <f t="shared" si="220"/>
        <v>7156.654559999999</v>
      </c>
    </row>
    <row r="85" spans="1:114" ht="15" customHeight="1">
      <c r="CO85" s="598">
        <f>CO73</f>
        <v>9000</v>
      </c>
      <c r="CP85" s="598">
        <f t="shared" ref="CP85:CU85" si="221">CP73</f>
        <v>9800</v>
      </c>
      <c r="CQ85" s="598">
        <f t="shared" si="221"/>
        <v>9900</v>
      </c>
      <c r="CR85" s="598">
        <f t="shared" si="221"/>
        <v>9900</v>
      </c>
      <c r="CS85" s="598">
        <f t="shared" si="221"/>
        <v>9300</v>
      </c>
      <c r="CT85" s="598">
        <f t="shared" si="221"/>
        <v>9300</v>
      </c>
      <c r="CU85" s="598">
        <f t="shared" si="221"/>
        <v>9300</v>
      </c>
      <c r="CX85" s="413">
        <v>194469.46000000002</v>
      </c>
      <c r="CY85" s="413">
        <v>159466.88999999998</v>
      </c>
      <c r="CZ85" s="413">
        <v>208203.57</v>
      </c>
      <c r="DA85" s="413">
        <v>158532.44</v>
      </c>
      <c r="DB85" s="413">
        <v>157404.75999999998</v>
      </c>
      <c r="DC85" s="413">
        <v>118894.62</v>
      </c>
      <c r="DD85" s="413">
        <v>211625.73</v>
      </c>
      <c r="DE85" s="413">
        <v>208193.11</v>
      </c>
      <c r="DF85" s="413">
        <v>269889.13</v>
      </c>
      <c r="DG85" s="413">
        <v>258868.84085232066</v>
      </c>
      <c r="DH85" s="413">
        <v>178376.53444641351</v>
      </c>
      <c r="DI85" s="413">
        <v>114212.18776329115</v>
      </c>
    </row>
    <row r="86" spans="1:114" ht="15" customHeight="1">
      <c r="CO86">
        <f>CO71*0.95</f>
        <v>188100</v>
      </c>
      <c r="CP86">
        <f t="shared" ref="CP86:CU86" si="222">CP71*0.95</f>
        <v>232750</v>
      </c>
      <c r="CQ86">
        <f t="shared" si="222"/>
        <v>197505</v>
      </c>
      <c r="CR86">
        <f t="shared" si="222"/>
        <v>206910</v>
      </c>
      <c r="CS86">
        <f t="shared" si="222"/>
        <v>195300.05</v>
      </c>
      <c r="CT86">
        <f t="shared" si="222"/>
        <v>194370</v>
      </c>
      <c r="CU86">
        <f t="shared" si="222"/>
        <v>82745</v>
      </c>
    </row>
    <row r="87" spans="1:114" ht="15" customHeight="1">
      <c r="CX87">
        <v>80200</v>
      </c>
      <c r="CY87">
        <v>51360</v>
      </c>
      <c r="CZ87">
        <v>53200</v>
      </c>
      <c r="DA87">
        <v>35860</v>
      </c>
    </row>
    <row r="88" spans="1:114" ht="15" customHeight="1">
      <c r="CX88" s="755">
        <v>63942</v>
      </c>
      <c r="CY88" s="755">
        <v>55413</v>
      </c>
      <c r="CZ88" s="755">
        <v>48523</v>
      </c>
      <c r="DA88" s="755">
        <v>50716</v>
      </c>
      <c r="DB88" s="755">
        <v>31553</v>
      </c>
      <c r="DC88" s="755">
        <v>23900</v>
      </c>
    </row>
  </sheetData>
  <mergeCells count="26">
    <mergeCell ref="B42:C42"/>
    <mergeCell ref="B43:C43"/>
    <mergeCell ref="B52:C52"/>
    <mergeCell ref="CJ2:CU2"/>
    <mergeCell ref="B34:C34"/>
    <mergeCell ref="B35:C35"/>
    <mergeCell ref="B36:C36"/>
    <mergeCell ref="B37:C37"/>
    <mergeCell ref="B38:C38"/>
    <mergeCell ref="D2:P2"/>
    <mergeCell ref="R2:AD2"/>
    <mergeCell ref="AF2:AR2"/>
    <mergeCell ref="AT2:BF2"/>
    <mergeCell ref="BH2:BS2"/>
    <mergeCell ref="BV2:CG2"/>
    <mergeCell ref="B39:C39"/>
    <mergeCell ref="CX1:DI1"/>
    <mergeCell ref="CX2:DI2"/>
    <mergeCell ref="B40:C40"/>
    <mergeCell ref="B41:C41"/>
    <mergeCell ref="CJ1:CU1"/>
    <mergeCell ref="R1:AD1"/>
    <mergeCell ref="AF1:AR1"/>
    <mergeCell ref="AT1:BF1"/>
    <mergeCell ref="BH1:BS1"/>
    <mergeCell ref="BV1:CG1"/>
  </mergeCells>
  <pageMargins left="0.25" right="0.25" top="0.75" bottom="0.75" header="0" footer="0"/>
  <pageSetup paperSize="9" scale="55"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B2DB-3E8C-4F5E-A90F-B896C044B7DD}">
  <sheetPr>
    <tabColor rgb="FFFF0000"/>
  </sheetPr>
  <dimension ref="A1:DJ83"/>
  <sheetViews>
    <sheetView showGridLines="0" zoomScale="80" zoomScaleNormal="80" workbookViewId="0">
      <pane xSplit="3" ySplit="9" topLeftCell="CO73" activePane="bottomRight" state="frozen"/>
      <selection pane="bottomRight" activeCell="CO73" sqref="CO73"/>
      <selection pane="bottomLeft" activeCell="A6" sqref="A6"/>
      <selection pane="topRight" activeCell="D1" sqref="D1"/>
    </sheetView>
  </sheetViews>
  <sheetFormatPr defaultColWidth="14.42578125" defaultRowHeight="15" customHeight="1" outlineLevelRow="1" outlineLevelCol="1"/>
  <cols>
    <col min="1" max="1" width="16.85546875" customWidth="1"/>
    <col min="2" max="2" width="17.85546875" customWidth="1"/>
    <col min="3" max="3" width="20.14062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3.140625" customWidth="1" collapsed="1"/>
    <col min="74" max="84" width="13.140625" hidden="1" customWidth="1" outlineLevel="1"/>
    <col min="85" max="85" width="12.140625" hidden="1" customWidth="1" outlineLevel="1"/>
    <col min="86" max="86" width="16.42578125" hidden="1" customWidth="1" outlineLevel="1"/>
    <col min="87" max="87" width="11.5703125" hidden="1" customWidth="1" outlineLevel="1"/>
    <col min="88" max="88" width="13" customWidth="1" collapsed="1"/>
    <col min="89" max="100" width="13" customWidth="1"/>
  </cols>
  <sheetData>
    <row r="1" spans="1:114" ht="12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s="699" t="s">
        <v>1</v>
      </c>
      <c r="CJ1" s="1089" t="s">
        <v>2</v>
      </c>
      <c r="CK1" s="1090"/>
      <c r="CL1" s="1090"/>
      <c r="CM1" s="1090"/>
      <c r="CN1" s="1090"/>
      <c r="CO1" s="1090"/>
      <c r="CP1" s="1090"/>
      <c r="CQ1" s="1090"/>
      <c r="CR1" s="1090"/>
      <c r="CS1" s="1090"/>
      <c r="CT1" s="1090"/>
      <c r="CU1" s="1091"/>
      <c r="CX1" s="1081" t="s">
        <v>0</v>
      </c>
      <c r="CY1" s="1113"/>
      <c r="CZ1" s="1113"/>
      <c r="DA1" s="1113"/>
      <c r="DB1" s="1113"/>
      <c r="DC1" s="1113"/>
      <c r="DD1" s="1113"/>
      <c r="DE1" s="1113"/>
      <c r="DF1" s="1113"/>
      <c r="DG1" s="1113"/>
      <c r="DH1" s="1113"/>
      <c r="DI1" s="1114"/>
    </row>
    <row r="2" spans="1:114" ht="15" customHeight="1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H2" s="700" t="s">
        <v>3</v>
      </c>
      <c r="CJ2" s="1085" t="s">
        <v>4</v>
      </c>
      <c r="CK2" s="1086"/>
      <c r="CL2" s="1086"/>
      <c r="CM2" s="1086"/>
      <c r="CN2" s="1086"/>
      <c r="CO2" s="1086"/>
      <c r="CP2" s="1086"/>
      <c r="CQ2" s="1086"/>
      <c r="CR2" s="1086"/>
      <c r="CS2" s="1086"/>
      <c r="CT2" s="1086"/>
      <c r="CU2" s="1087"/>
      <c r="CX2" s="1077">
        <v>2026</v>
      </c>
      <c r="CY2" s="1115"/>
      <c r="CZ2" s="1115"/>
      <c r="DA2" s="1115"/>
      <c r="DB2" s="1115"/>
      <c r="DC2" s="1115"/>
      <c r="DD2" s="1115"/>
      <c r="DE2" s="1115"/>
      <c r="DF2" s="1115"/>
      <c r="DG2" s="1115"/>
      <c r="DH2" s="1115"/>
      <c r="DI2" s="1116"/>
    </row>
    <row r="3" spans="1:114" ht="15.75">
      <c r="A3" s="703" t="s">
        <v>5</v>
      </c>
      <c r="B3" s="4"/>
      <c r="C3" s="4" t="str">
        <f>A3</f>
        <v>Dias Uteis Produção</v>
      </c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H3" t="s">
        <v>6</v>
      </c>
      <c r="CJ3" s="253">
        <v>23</v>
      </c>
      <c r="CK3" s="566">
        <v>20</v>
      </c>
      <c r="CL3" s="566">
        <v>21</v>
      </c>
      <c r="CM3" s="252">
        <v>3</v>
      </c>
      <c r="CN3" s="248">
        <v>22</v>
      </c>
      <c r="CO3" s="248">
        <v>21</v>
      </c>
      <c r="CP3" s="248">
        <v>23</v>
      </c>
      <c r="CQ3" s="248">
        <v>21</v>
      </c>
      <c r="CR3" s="248">
        <v>21</v>
      </c>
      <c r="CS3" s="248">
        <v>23</v>
      </c>
      <c r="CT3" s="248">
        <v>20</v>
      </c>
      <c r="CU3" s="248">
        <v>13</v>
      </c>
      <c r="CX3" s="253">
        <v>23</v>
      </c>
      <c r="CY3" s="566">
        <v>20</v>
      </c>
      <c r="CZ3" s="566">
        <v>21</v>
      </c>
      <c r="DA3" s="252">
        <v>22</v>
      </c>
      <c r="DB3" s="248">
        <v>22</v>
      </c>
      <c r="DC3" s="248">
        <v>21</v>
      </c>
      <c r="DD3" s="248">
        <v>23</v>
      </c>
      <c r="DE3" s="248">
        <v>21</v>
      </c>
      <c r="DF3" s="248">
        <v>21</v>
      </c>
      <c r="DG3" s="248">
        <v>23</v>
      </c>
      <c r="DH3" s="248">
        <v>20</v>
      </c>
      <c r="DI3" s="248">
        <v>13</v>
      </c>
    </row>
    <row r="4" spans="1:114" ht="15.75">
      <c r="A4" s="703" t="s">
        <v>7</v>
      </c>
      <c r="B4" s="4"/>
      <c r="C4" s="4" t="str">
        <f t="shared" ref="C4:C7" si="0">A4</f>
        <v>(-) FÉRIAS</v>
      </c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H4" t="s">
        <v>8</v>
      </c>
      <c r="CJ4" s="253">
        <v>3</v>
      </c>
      <c r="CK4" s="566"/>
      <c r="CL4" s="566">
        <v>1.5</v>
      </c>
      <c r="CM4" s="252"/>
      <c r="CN4" s="248"/>
      <c r="CO4" s="248"/>
      <c r="CP4" s="248"/>
      <c r="CQ4" s="248"/>
      <c r="CR4" s="248"/>
      <c r="CS4" s="248"/>
      <c r="CT4" s="248"/>
      <c r="CU4" s="248"/>
      <c r="CX4" s="253">
        <v>3</v>
      </c>
      <c r="CY4" s="566">
        <v>5</v>
      </c>
      <c r="CZ4" s="566"/>
      <c r="DA4" s="252"/>
      <c r="DB4" s="248"/>
      <c r="DC4" s="248"/>
      <c r="DD4" s="248"/>
      <c r="DE4" s="248"/>
      <c r="DF4" s="248"/>
      <c r="DG4" s="248"/>
      <c r="DH4" s="248"/>
      <c r="DI4" s="248"/>
    </row>
    <row r="5" spans="1:114" ht="15.75">
      <c r="A5" s="703" t="s">
        <v>9</v>
      </c>
      <c r="B5" s="4"/>
      <c r="C5" s="4" t="str">
        <f t="shared" si="0"/>
        <v>(+) SABADO</v>
      </c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H5" t="s">
        <v>10</v>
      </c>
      <c r="CJ5" s="701">
        <v>2</v>
      </c>
      <c r="CK5" s="701">
        <v>3</v>
      </c>
      <c r="CL5" s="701">
        <v>1.5</v>
      </c>
      <c r="CM5" s="733">
        <v>0</v>
      </c>
      <c r="CN5" s="733">
        <v>0</v>
      </c>
      <c r="CO5" s="733">
        <v>1.5</v>
      </c>
      <c r="CP5" s="679">
        <v>1</v>
      </c>
      <c r="CQ5" s="679">
        <v>1.5</v>
      </c>
      <c r="CR5" s="679">
        <v>1.5</v>
      </c>
      <c r="CS5" s="679">
        <v>1.5</v>
      </c>
      <c r="CT5" s="679">
        <v>0</v>
      </c>
      <c r="CU5" s="643"/>
      <c r="CX5" s="644"/>
      <c r="CY5" s="679"/>
      <c r="CZ5" s="679"/>
      <c r="DA5" s="679">
        <v>0</v>
      </c>
      <c r="DB5" s="679">
        <v>0</v>
      </c>
      <c r="DC5" s="679">
        <v>0</v>
      </c>
      <c r="DD5" s="679">
        <v>0</v>
      </c>
      <c r="DE5" s="679">
        <v>0</v>
      </c>
      <c r="DF5" s="679">
        <v>0</v>
      </c>
      <c r="DG5" s="643">
        <v>1</v>
      </c>
      <c r="DH5" s="643">
        <v>0</v>
      </c>
      <c r="DI5" s="643"/>
    </row>
    <row r="6" spans="1:114" ht="15.75">
      <c r="A6" s="703" t="s">
        <v>11</v>
      </c>
      <c r="B6" s="4"/>
      <c r="C6" s="4" t="str">
        <f t="shared" si="0"/>
        <v>(-)FERIADO</v>
      </c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 t="s">
        <v>12</v>
      </c>
      <c r="CJ6" s="644"/>
      <c r="CK6" s="679"/>
      <c r="CL6" s="679">
        <v>2</v>
      </c>
      <c r="CM6" s="679">
        <v>2</v>
      </c>
      <c r="CN6" s="679">
        <v>1</v>
      </c>
      <c r="CO6" s="679">
        <v>1</v>
      </c>
      <c r="CP6" s="679"/>
      <c r="CQ6" s="679"/>
      <c r="CR6" s="679">
        <v>1</v>
      </c>
      <c r="CS6" s="643">
        <v>1</v>
      </c>
      <c r="CT6" s="643">
        <v>1</v>
      </c>
      <c r="CU6" s="643"/>
      <c r="CX6" s="644"/>
      <c r="CY6" s="679"/>
      <c r="CZ6" s="679">
        <v>2</v>
      </c>
      <c r="DA6" s="679">
        <v>2</v>
      </c>
      <c r="DB6" s="679">
        <v>1</v>
      </c>
      <c r="DC6" s="679">
        <v>1</v>
      </c>
      <c r="DD6" s="679"/>
      <c r="DE6" s="679"/>
      <c r="DF6" s="679">
        <v>1</v>
      </c>
      <c r="DG6" s="643">
        <v>1</v>
      </c>
      <c r="DH6" s="643">
        <v>1</v>
      </c>
      <c r="DI6" s="643"/>
    </row>
    <row r="7" spans="1:114">
      <c r="A7" s="704" t="s">
        <v>13</v>
      </c>
      <c r="B7" s="3"/>
      <c r="C7" s="3" t="str">
        <f t="shared" si="0"/>
        <v>Dias Trabalhados</v>
      </c>
      <c r="D7" s="252">
        <v>16</v>
      </c>
      <c r="E7" s="252">
        <v>21</v>
      </c>
      <c r="F7" s="252">
        <v>18</v>
      </c>
      <c r="G7" s="252">
        <v>21</v>
      </c>
      <c r="H7" s="252">
        <v>22</v>
      </c>
      <c r="I7" s="252">
        <v>19</v>
      </c>
      <c r="J7" s="252">
        <v>23</v>
      </c>
      <c r="K7" s="252">
        <v>21</v>
      </c>
      <c r="L7" s="252">
        <v>21</v>
      </c>
      <c r="M7" s="252">
        <v>26</v>
      </c>
      <c r="N7" s="252">
        <v>24</v>
      </c>
      <c r="O7" s="252">
        <v>15</v>
      </c>
      <c r="P7" s="4"/>
      <c r="Q7" s="247"/>
      <c r="R7" s="252">
        <v>22</v>
      </c>
      <c r="S7" s="252">
        <v>20</v>
      </c>
      <c r="T7" s="252">
        <v>14</v>
      </c>
      <c r="U7" s="252">
        <v>1</v>
      </c>
      <c r="V7" s="252">
        <v>12</v>
      </c>
      <c r="W7" s="252">
        <v>22</v>
      </c>
      <c r="X7" s="252">
        <v>23</v>
      </c>
      <c r="Y7" s="252">
        <v>21</v>
      </c>
      <c r="Z7" s="252">
        <v>21</v>
      </c>
      <c r="AA7" s="252">
        <v>21</v>
      </c>
      <c r="AB7" s="252">
        <v>20</v>
      </c>
      <c r="AC7" s="252">
        <v>17</v>
      </c>
      <c r="AD7" s="2"/>
      <c r="AE7" s="253"/>
      <c r="AF7" s="254">
        <v>18</v>
      </c>
      <c r="AG7" s="252">
        <v>20</v>
      </c>
      <c r="AH7" s="248">
        <v>20</v>
      </c>
      <c r="AI7" s="248">
        <v>20</v>
      </c>
      <c r="AJ7" s="252">
        <v>22</v>
      </c>
      <c r="AK7" s="252">
        <v>20</v>
      </c>
      <c r="AL7" s="252">
        <v>22</v>
      </c>
      <c r="AM7" s="252">
        <v>22</v>
      </c>
      <c r="AN7" s="252">
        <v>21</v>
      </c>
      <c r="AO7" s="252">
        <v>20</v>
      </c>
      <c r="AP7" s="252">
        <v>20</v>
      </c>
      <c r="AQ7" s="248">
        <v>12</v>
      </c>
      <c r="AR7" s="2"/>
      <c r="AS7" s="124"/>
      <c r="AT7" s="253">
        <v>19</v>
      </c>
      <c r="AU7" s="248">
        <v>19</v>
      </c>
      <c r="AV7" s="248">
        <v>18</v>
      </c>
      <c r="AW7" s="248">
        <v>19</v>
      </c>
      <c r="AX7" s="248">
        <v>22</v>
      </c>
      <c r="AY7" s="248">
        <v>21</v>
      </c>
      <c r="AZ7" s="248">
        <v>21</v>
      </c>
      <c r="BA7" s="248">
        <v>22</v>
      </c>
      <c r="BB7" s="248">
        <v>22</v>
      </c>
      <c r="BC7" s="248">
        <v>21</v>
      </c>
      <c r="BD7" s="248">
        <v>20</v>
      </c>
      <c r="BE7" s="248">
        <v>10</v>
      </c>
      <c r="BF7" s="2"/>
      <c r="BG7" s="125"/>
      <c r="BH7" s="253">
        <v>20</v>
      </c>
      <c r="BI7" s="248">
        <v>17</v>
      </c>
      <c r="BJ7" s="248">
        <v>23</v>
      </c>
      <c r="BK7" s="248">
        <v>18</v>
      </c>
      <c r="BL7" s="248">
        <v>22</v>
      </c>
      <c r="BM7" s="248">
        <v>23</v>
      </c>
      <c r="BN7" s="248">
        <v>21</v>
      </c>
      <c r="BO7" s="248">
        <v>21</v>
      </c>
      <c r="BP7" s="248">
        <v>20</v>
      </c>
      <c r="BQ7" s="248">
        <v>21</v>
      </c>
      <c r="BR7" s="248">
        <v>20</v>
      </c>
      <c r="BS7" s="248">
        <v>14</v>
      </c>
      <c r="BT7" s="253">
        <v>20</v>
      </c>
      <c r="BU7" s="252"/>
      <c r="BV7" s="253">
        <v>19</v>
      </c>
      <c r="BW7" s="248">
        <v>19</v>
      </c>
      <c r="BX7" s="566">
        <v>21</v>
      </c>
      <c r="BY7" s="566">
        <f>22+2</f>
        <v>24</v>
      </c>
      <c r="BZ7" s="248">
        <f>21+2</f>
        <v>23</v>
      </c>
      <c r="CA7" s="567">
        <f>20+2</f>
        <v>22</v>
      </c>
      <c r="CB7" s="567">
        <f>23+2</f>
        <v>25</v>
      </c>
      <c r="CC7" s="252">
        <f>21+3</f>
        <v>24</v>
      </c>
      <c r="CD7" s="252">
        <f>21+3</f>
        <v>24</v>
      </c>
      <c r="CE7" s="248">
        <f>23+1</f>
        <v>24</v>
      </c>
      <c r="CF7" s="248">
        <f>19+3</f>
        <v>22</v>
      </c>
      <c r="CG7" s="248">
        <f>12+1</f>
        <v>13</v>
      </c>
      <c r="CH7" s="248"/>
      <c r="CJ7" s="253">
        <f>CJ3+CJ5-CJ6-CJ4</f>
        <v>22</v>
      </c>
      <c r="CK7" s="253">
        <f>CK3+CK5-CK6-CK4</f>
        <v>23</v>
      </c>
      <c r="CL7" s="253">
        <v>19</v>
      </c>
      <c r="CM7" s="734">
        <f t="shared" ref="CM7:CQ7" si="1">CM3+CM5-CM6-CM4</f>
        <v>1</v>
      </c>
      <c r="CN7" s="734">
        <f>CN3+CN5-CN6-CN4</f>
        <v>21</v>
      </c>
      <c r="CO7" s="734">
        <f t="shared" si="1"/>
        <v>21.5</v>
      </c>
      <c r="CP7" s="734">
        <f t="shared" ref="CP7:CU7" si="2">CP3+CP5-CP6</f>
        <v>24</v>
      </c>
      <c r="CQ7" s="734">
        <f>CQ3+CQ5-CQ6</f>
        <v>22.5</v>
      </c>
      <c r="CR7" s="734">
        <f t="shared" si="2"/>
        <v>21.5</v>
      </c>
      <c r="CS7" s="734">
        <f>CS3+CS5-CS6</f>
        <v>23.5</v>
      </c>
      <c r="CT7" s="734">
        <f>CT3+CT5-CT6</f>
        <v>19</v>
      </c>
      <c r="CU7" s="734">
        <f t="shared" si="2"/>
        <v>13</v>
      </c>
      <c r="CV7" s="248"/>
      <c r="CX7" s="253">
        <f>CX3+CX5-CX6-CX4</f>
        <v>20</v>
      </c>
      <c r="CY7" s="253">
        <f t="shared" ref="CY7:DC7" si="3">CY3+CY5-CY6-CY4</f>
        <v>15</v>
      </c>
      <c r="CZ7" s="253">
        <f t="shared" si="3"/>
        <v>19</v>
      </c>
      <c r="DA7" s="253">
        <f t="shared" si="3"/>
        <v>20</v>
      </c>
      <c r="DB7" s="253">
        <f t="shared" si="3"/>
        <v>21</v>
      </c>
      <c r="DC7" s="253">
        <f t="shared" si="3"/>
        <v>20</v>
      </c>
      <c r="DD7" s="253">
        <f t="shared" ref="DD7:DI7" si="4">DD3+DD5-DD6</f>
        <v>23</v>
      </c>
      <c r="DE7" s="253">
        <f>DE3+DE5-DE6</f>
        <v>21</v>
      </c>
      <c r="DF7" s="253">
        <f t="shared" ref="DF7:DJ7" si="5">DF3+DF5-DF6</f>
        <v>20</v>
      </c>
      <c r="DG7" s="253">
        <f>DG3+DG5-DG6</f>
        <v>23</v>
      </c>
      <c r="DH7" s="253">
        <f>DH3+DH5-DH6</f>
        <v>19</v>
      </c>
      <c r="DI7" s="253">
        <f t="shared" ref="DI7:DJ7" si="6">DI3+DI5-DI6</f>
        <v>13</v>
      </c>
      <c r="DJ7" s="248"/>
    </row>
    <row r="8" spans="1:114" ht="18" customHeight="1">
      <c r="A8" s="8"/>
      <c r="B8" s="255"/>
      <c r="C8" s="256"/>
      <c r="D8" s="257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258" t="s">
        <v>26</v>
      </c>
      <c r="Q8" s="10"/>
      <c r="R8" s="257" t="s">
        <v>14</v>
      </c>
      <c r="S8" s="9" t="s">
        <v>15</v>
      </c>
      <c r="T8" s="9" t="s">
        <v>16</v>
      </c>
      <c r="U8" s="9" t="s">
        <v>17</v>
      </c>
      <c r="V8" s="9" t="s">
        <v>18</v>
      </c>
      <c r="W8" s="9" t="s">
        <v>19</v>
      </c>
      <c r="X8" s="9" t="s">
        <v>20</v>
      </c>
      <c r="Y8" s="9" t="s">
        <v>21</v>
      </c>
      <c r="Z8" s="9" t="s">
        <v>22</v>
      </c>
      <c r="AA8" s="9" t="s">
        <v>23</v>
      </c>
      <c r="AB8" s="9" t="s">
        <v>24</v>
      </c>
      <c r="AC8" s="9" t="s">
        <v>25</v>
      </c>
      <c r="AD8" s="258" t="s">
        <v>26</v>
      </c>
      <c r="AE8" s="11"/>
      <c r="AF8" s="257" t="s">
        <v>14</v>
      </c>
      <c r="AG8" s="9" t="s">
        <v>15</v>
      </c>
      <c r="AH8" s="9" t="s">
        <v>16</v>
      </c>
      <c r="AI8" s="9" t="s">
        <v>17</v>
      </c>
      <c r="AJ8" s="9" t="s">
        <v>18</v>
      </c>
      <c r="AK8" s="9" t="s">
        <v>19</v>
      </c>
      <c r="AL8" s="9" t="s">
        <v>20</v>
      </c>
      <c r="AM8" s="9" t="s">
        <v>21</v>
      </c>
      <c r="AN8" s="9" t="s">
        <v>22</v>
      </c>
      <c r="AO8" s="9" t="s">
        <v>23</v>
      </c>
      <c r="AP8" s="9" t="s">
        <v>24</v>
      </c>
      <c r="AQ8" s="9" t="s">
        <v>25</v>
      </c>
      <c r="AR8" s="9" t="s">
        <v>26</v>
      </c>
      <c r="AS8" s="11"/>
      <c r="AT8" s="9" t="s">
        <v>14</v>
      </c>
      <c r="AU8" s="9" t="s">
        <v>15</v>
      </c>
      <c r="AV8" s="9" t="s">
        <v>16</v>
      </c>
      <c r="AW8" s="9" t="s">
        <v>17</v>
      </c>
      <c r="AX8" s="9" t="s">
        <v>18</v>
      </c>
      <c r="AY8" s="9" t="s">
        <v>19</v>
      </c>
      <c r="AZ8" s="9" t="s">
        <v>20</v>
      </c>
      <c r="BA8" s="9" t="s">
        <v>21</v>
      </c>
      <c r="BB8" s="9" t="s">
        <v>22</v>
      </c>
      <c r="BC8" s="9" t="s">
        <v>23</v>
      </c>
      <c r="BD8" s="9" t="s">
        <v>24</v>
      </c>
      <c r="BE8" s="9" t="s">
        <v>25</v>
      </c>
      <c r="BF8" s="9" t="s">
        <v>26</v>
      </c>
      <c r="BG8" s="10"/>
      <c r="BH8" s="9" t="s">
        <v>14</v>
      </c>
      <c r="BI8" s="9" t="s">
        <v>15</v>
      </c>
      <c r="BJ8" s="9" t="s">
        <v>16</v>
      </c>
      <c r="BK8" s="9" t="s">
        <v>17</v>
      </c>
      <c r="BL8" s="9" t="s">
        <v>18</v>
      </c>
      <c r="BM8" s="9" t="s">
        <v>19</v>
      </c>
      <c r="BN8" s="9" t="s">
        <v>20</v>
      </c>
      <c r="BO8" s="9" t="s">
        <v>21</v>
      </c>
      <c r="BP8" s="9" t="s">
        <v>22</v>
      </c>
      <c r="BQ8" s="9" t="s">
        <v>23</v>
      </c>
      <c r="BR8" s="9" t="s">
        <v>24</v>
      </c>
      <c r="BS8" s="9" t="s">
        <v>25</v>
      </c>
      <c r="BT8" s="9" t="s">
        <v>26</v>
      </c>
      <c r="BU8" s="12"/>
      <c r="BV8" s="9" t="s">
        <v>14</v>
      </c>
      <c r="BW8" s="9" t="s">
        <v>15</v>
      </c>
      <c r="BX8" s="9" t="s">
        <v>16</v>
      </c>
      <c r="BY8" s="9" t="s">
        <v>17</v>
      </c>
      <c r="BZ8" s="9" t="s">
        <v>18</v>
      </c>
      <c r="CA8" s="9" t="s">
        <v>19</v>
      </c>
      <c r="CB8" s="9" t="s">
        <v>20</v>
      </c>
      <c r="CC8" s="9" t="s">
        <v>21</v>
      </c>
      <c r="CD8" s="9" t="s">
        <v>22</v>
      </c>
      <c r="CE8" s="9" t="s">
        <v>23</v>
      </c>
      <c r="CF8" s="9" t="s">
        <v>24</v>
      </c>
      <c r="CG8" s="9" t="s">
        <v>25</v>
      </c>
      <c r="CH8" s="9" t="s">
        <v>26</v>
      </c>
      <c r="CJ8" s="9" t="s">
        <v>14</v>
      </c>
      <c r="CK8" s="9" t="s">
        <v>15</v>
      </c>
      <c r="CL8" s="9" t="s">
        <v>16</v>
      </c>
      <c r="CM8" s="9" t="s">
        <v>17</v>
      </c>
      <c r="CN8" s="9" t="s">
        <v>18</v>
      </c>
      <c r="CO8" s="9" t="s">
        <v>19</v>
      </c>
      <c r="CP8" s="9" t="s">
        <v>20</v>
      </c>
      <c r="CQ8" s="9" t="s">
        <v>21</v>
      </c>
      <c r="CR8" s="9" t="s">
        <v>22</v>
      </c>
      <c r="CS8" s="9" t="s">
        <v>23</v>
      </c>
      <c r="CT8" s="9" t="s">
        <v>24</v>
      </c>
      <c r="CU8" s="9" t="s">
        <v>25</v>
      </c>
      <c r="CV8" s="9" t="s">
        <v>26</v>
      </c>
      <c r="CX8" s="9" t="s">
        <v>14</v>
      </c>
      <c r="CY8" s="9" t="s">
        <v>15</v>
      </c>
      <c r="CZ8" s="9" t="s">
        <v>16</v>
      </c>
      <c r="DA8" s="9" t="s">
        <v>17</v>
      </c>
      <c r="DB8" s="9" t="s">
        <v>18</v>
      </c>
      <c r="DC8" s="9" t="s">
        <v>19</v>
      </c>
      <c r="DD8" s="9" t="s">
        <v>20</v>
      </c>
      <c r="DE8" s="9" t="s">
        <v>21</v>
      </c>
      <c r="DF8" s="9" t="s">
        <v>22</v>
      </c>
      <c r="DG8" s="9" t="s">
        <v>23</v>
      </c>
      <c r="DH8" s="9" t="s">
        <v>24</v>
      </c>
      <c r="DI8" s="9" t="s">
        <v>25</v>
      </c>
      <c r="DJ8" s="9" t="s">
        <v>26</v>
      </c>
    </row>
    <row r="9" spans="1:114" ht="10.5" hidden="1" customHeight="1">
      <c r="A9" s="13"/>
      <c r="B9" s="259"/>
      <c r="C9" s="260"/>
      <c r="D9" s="26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62"/>
      <c r="Q9" s="15"/>
      <c r="R9" s="261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263"/>
      <c r="AE9" s="16"/>
      <c r="AF9" s="261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7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7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8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682" t="s">
        <v>27</v>
      </c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682" t="s">
        <v>27</v>
      </c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</row>
    <row r="10" spans="1:114" ht="30.75">
      <c r="A10" s="13" t="s">
        <v>28</v>
      </c>
      <c r="B10" s="706" t="s">
        <v>29</v>
      </c>
      <c r="C10" s="260"/>
      <c r="D10" s="261">
        <f t="shared" ref="D10:O10" si="7">SUM(D15:D17)</f>
        <v>304786</v>
      </c>
      <c r="E10" s="14">
        <f t="shared" si="7"/>
        <v>311986</v>
      </c>
      <c r="F10" s="14">
        <f t="shared" si="7"/>
        <v>328231</v>
      </c>
      <c r="G10" s="14">
        <f t="shared" si="7"/>
        <v>317873</v>
      </c>
      <c r="H10" s="14">
        <f t="shared" si="7"/>
        <v>347196</v>
      </c>
      <c r="I10" s="14">
        <f t="shared" si="7"/>
        <v>402253</v>
      </c>
      <c r="J10" s="14">
        <f t="shared" si="7"/>
        <v>454488</v>
      </c>
      <c r="K10" s="14">
        <f t="shared" si="7"/>
        <v>447182</v>
      </c>
      <c r="L10" s="14">
        <f t="shared" si="7"/>
        <v>416931</v>
      </c>
      <c r="M10" s="14">
        <f t="shared" si="7"/>
        <v>304402</v>
      </c>
      <c r="N10" s="14">
        <f t="shared" si="7"/>
        <v>0</v>
      </c>
      <c r="O10" s="14">
        <f t="shared" si="7"/>
        <v>188264</v>
      </c>
      <c r="P10" s="262"/>
      <c r="Q10" s="15"/>
      <c r="R10" s="14">
        <f t="shared" ref="R10:AC10" si="8">SUM(R15:R17)</f>
        <v>283359</v>
      </c>
      <c r="S10" s="14">
        <f t="shared" si="8"/>
        <v>342718</v>
      </c>
      <c r="T10" s="14">
        <f t="shared" si="8"/>
        <v>313212</v>
      </c>
      <c r="U10" s="14">
        <f t="shared" si="8"/>
        <v>298093</v>
      </c>
      <c r="V10" s="14">
        <f t="shared" si="8"/>
        <v>206617</v>
      </c>
      <c r="W10" s="14">
        <f t="shared" si="8"/>
        <v>235875</v>
      </c>
      <c r="X10" s="14">
        <f t="shared" si="8"/>
        <v>360135</v>
      </c>
      <c r="Y10" s="14">
        <f t="shared" si="8"/>
        <v>361665</v>
      </c>
      <c r="Z10" s="14">
        <f t="shared" si="8"/>
        <v>353400</v>
      </c>
      <c r="AA10" s="14">
        <f t="shared" si="8"/>
        <v>272097</v>
      </c>
      <c r="AB10" s="14">
        <f t="shared" si="8"/>
        <v>170626</v>
      </c>
      <c r="AC10" s="14">
        <f t="shared" si="8"/>
        <v>197551</v>
      </c>
      <c r="AD10" s="263"/>
      <c r="AE10" s="16"/>
      <c r="AF10" s="14">
        <f t="shared" ref="AF10:AQ10" si="9">SUM(AF15:AF19)</f>
        <v>255339</v>
      </c>
      <c r="AG10" s="14">
        <f t="shared" si="9"/>
        <v>292621</v>
      </c>
      <c r="AH10" s="14">
        <f t="shared" si="9"/>
        <v>397976</v>
      </c>
      <c r="AI10" s="14">
        <f t="shared" si="9"/>
        <v>388165</v>
      </c>
      <c r="AJ10" s="14">
        <f t="shared" si="9"/>
        <v>409301</v>
      </c>
      <c r="AK10" s="14">
        <f t="shared" si="9"/>
        <v>490913</v>
      </c>
      <c r="AL10" s="14">
        <f t="shared" si="9"/>
        <v>563229</v>
      </c>
      <c r="AM10" s="14">
        <f t="shared" si="9"/>
        <v>559169</v>
      </c>
      <c r="AN10" s="14">
        <f t="shared" si="9"/>
        <v>487294</v>
      </c>
      <c r="AO10" s="14">
        <f t="shared" si="9"/>
        <v>407614</v>
      </c>
      <c r="AP10" s="14">
        <f t="shared" si="9"/>
        <v>503756</v>
      </c>
      <c r="AQ10" s="14">
        <f t="shared" si="9"/>
        <v>531679</v>
      </c>
      <c r="AR10" s="14">
        <f t="shared" ref="AR10:AR25" si="10">AQ10</f>
        <v>531679</v>
      </c>
      <c r="AS10" s="17"/>
      <c r="AT10" s="14">
        <f t="shared" ref="AT10:BE10" si="11">SUM(AT15:AT19)</f>
        <v>471378</v>
      </c>
      <c r="AU10" s="14">
        <f t="shared" si="11"/>
        <v>473307</v>
      </c>
      <c r="AV10" s="14">
        <f t="shared" si="11"/>
        <v>412518</v>
      </c>
      <c r="AW10" s="14">
        <f t="shared" si="11"/>
        <v>398039</v>
      </c>
      <c r="AX10" s="14">
        <f t="shared" si="11"/>
        <v>417827</v>
      </c>
      <c r="AY10" s="14">
        <f t="shared" si="11"/>
        <v>507968</v>
      </c>
      <c r="AZ10" s="14">
        <f t="shared" si="11"/>
        <v>477530</v>
      </c>
      <c r="BA10" s="14">
        <f t="shared" si="11"/>
        <v>520708</v>
      </c>
      <c r="BB10" s="14">
        <f t="shared" si="11"/>
        <v>505851</v>
      </c>
      <c r="BC10" s="14">
        <f t="shared" si="11"/>
        <v>454245</v>
      </c>
      <c r="BD10" s="14">
        <f t="shared" si="11"/>
        <v>405700</v>
      </c>
      <c r="BE10" s="14">
        <f t="shared" si="11"/>
        <v>356505</v>
      </c>
      <c r="BF10" s="14">
        <f t="shared" ref="BF10:BF22" si="12">BE10</f>
        <v>356505</v>
      </c>
      <c r="BG10" s="17"/>
      <c r="BH10" s="14">
        <f t="shared" ref="BH10:BQ10" si="13">SUM(BH15:BH19)</f>
        <v>357143</v>
      </c>
      <c r="BI10" s="14">
        <f t="shared" si="13"/>
        <v>355011</v>
      </c>
      <c r="BJ10" s="14">
        <f t="shared" si="13"/>
        <v>344281</v>
      </c>
      <c r="BK10" s="14">
        <f t="shared" si="13"/>
        <v>389628</v>
      </c>
      <c r="BL10" s="14">
        <f t="shared" si="13"/>
        <v>324889</v>
      </c>
      <c r="BM10" s="14">
        <f t="shared" si="13"/>
        <v>352666</v>
      </c>
      <c r="BN10" s="14">
        <f t="shared" si="13"/>
        <v>418721</v>
      </c>
      <c r="BO10" s="14">
        <f t="shared" si="13"/>
        <v>356602</v>
      </c>
      <c r="BP10" s="14">
        <f t="shared" si="13"/>
        <v>326706</v>
      </c>
      <c r="BQ10" s="14">
        <f t="shared" si="13"/>
        <v>304987</v>
      </c>
      <c r="BR10" s="14">
        <f>SUM(BR15:BR19)</f>
        <v>228035</v>
      </c>
      <c r="BS10" s="14">
        <f>BS15+BS16+BS19</f>
        <v>201165</v>
      </c>
      <c r="BT10" s="14">
        <f>BS10</f>
        <v>201165</v>
      </c>
      <c r="BU10" s="18"/>
      <c r="BV10" s="14">
        <f>BV11+BV16+BV19</f>
        <v>247713</v>
      </c>
      <c r="BW10" s="14">
        <f t="shared" ref="BW10:CF10" si="14">BW11+BW16+BW19</f>
        <v>278707</v>
      </c>
      <c r="BX10" s="14">
        <f t="shared" si="14"/>
        <v>281829</v>
      </c>
      <c r="BY10" s="14">
        <f t="shared" si="14"/>
        <v>317753</v>
      </c>
      <c r="BZ10" s="14">
        <f t="shared" si="14"/>
        <v>270339</v>
      </c>
      <c r="CA10" s="14">
        <f t="shared" si="14"/>
        <v>310383</v>
      </c>
      <c r="CB10" s="14">
        <f t="shared" si="14"/>
        <v>328365</v>
      </c>
      <c r="CC10" s="14">
        <f t="shared" si="14"/>
        <v>333476</v>
      </c>
      <c r="CD10" s="14">
        <f>CD11+CD16+CD19</f>
        <v>306264</v>
      </c>
      <c r="CE10" s="14">
        <f t="shared" si="14"/>
        <v>270370</v>
      </c>
      <c r="CF10" s="14">
        <f t="shared" si="14"/>
        <v>194014</v>
      </c>
      <c r="CG10" s="14">
        <f>CG11+CG16+CG19</f>
        <v>182266</v>
      </c>
      <c r="CH10" s="14">
        <f t="shared" ref="CH10" si="15">CH15+CH16+CH19</f>
        <v>161447</v>
      </c>
      <c r="CJ10" s="14">
        <f>CH10+CJ71-CJ27</f>
        <v>145024.06</v>
      </c>
      <c r="CK10" s="14">
        <f>CJ10+CK71-CK27</f>
        <v>167771.39000000001</v>
      </c>
      <c r="CL10" s="14">
        <f>CK10+CL71-CL27</f>
        <v>152974.71000000002</v>
      </c>
      <c r="CM10" s="14">
        <f>CL10+CM71-CM27</f>
        <v>8266.5300000000279</v>
      </c>
      <c r="CN10" s="14">
        <f>CM10+CN71-CN27</f>
        <v>53964.580000000016</v>
      </c>
      <c r="CO10" s="14">
        <f t="shared" ref="CO10:CU10" si="16">CN10+CO71-CO27</f>
        <v>138033.70000000001</v>
      </c>
      <c r="CP10" s="14">
        <f t="shared" si="16"/>
        <v>140313.61000000002</v>
      </c>
      <c r="CQ10" s="14">
        <f>CP10+CQ71-CQ27</f>
        <v>135918.29999999999</v>
      </c>
      <c r="CR10" s="14">
        <f t="shared" si="16"/>
        <v>72764.66</v>
      </c>
      <c r="CS10" s="14">
        <f t="shared" si="16"/>
        <v>54847.74000000002</v>
      </c>
      <c r="CT10" s="14">
        <f t="shared" si="16"/>
        <v>63062.650000000023</v>
      </c>
      <c r="CU10" s="14">
        <f t="shared" si="16"/>
        <v>76878.830000000016</v>
      </c>
      <c r="CV10" s="14">
        <v>116080.10690622788</v>
      </c>
      <c r="CX10" s="14">
        <f>CV10+CX71-CX27</f>
        <v>105586.01990622788</v>
      </c>
      <c r="CY10" s="14">
        <f>CX10+CY71-CY27</f>
        <v>66440.716406227904</v>
      </c>
      <c r="CZ10" s="14">
        <f>CY10+CZ71-CZ27</f>
        <v>42354.202406227909</v>
      </c>
      <c r="DA10" s="14">
        <f>CZ10+DA71-DA27</f>
        <v>59910.613406227902</v>
      </c>
      <c r="DB10" s="14">
        <f>DA10+DB71-DB27</f>
        <v>87418.565906227886</v>
      </c>
      <c r="DC10" s="14">
        <f t="shared" ref="DC10:DI10" si="17">DB10+DC71-DC27</f>
        <v>141228.64190622792</v>
      </c>
      <c r="DD10" s="14">
        <f t="shared" si="17"/>
        <v>111222.54740622791</v>
      </c>
      <c r="DE10" s="14">
        <f t="shared" si="17"/>
        <v>82982.471906227904</v>
      </c>
      <c r="DF10" s="14">
        <f t="shared" si="17"/>
        <v>-6503.850093772111</v>
      </c>
      <c r="DG10" s="14">
        <f t="shared" si="17"/>
        <v>-40391.616093772143</v>
      </c>
      <c r="DH10" s="14">
        <f t="shared" si="17"/>
        <v>-40315.96059377215</v>
      </c>
      <c r="DI10" s="14">
        <f t="shared" si="17"/>
        <v>-31658.971593772163</v>
      </c>
      <c r="DJ10" s="14">
        <v>116080.10690622788</v>
      </c>
    </row>
    <row r="11" spans="1:114">
      <c r="A11" s="19">
        <v>0</v>
      </c>
      <c r="B11" s="158" t="s">
        <v>30</v>
      </c>
      <c r="C11" s="264"/>
      <c r="D11" s="265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66"/>
      <c r="Q11" s="21"/>
      <c r="R11" s="265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67"/>
      <c r="AE11" s="23"/>
      <c r="AF11" s="22"/>
      <c r="AG11" s="22"/>
      <c r="AH11" s="22"/>
      <c r="AI11" s="22"/>
      <c r="AJ11" s="24"/>
      <c r="AK11" s="22"/>
      <c r="AL11" s="22"/>
      <c r="AM11" s="22"/>
      <c r="AN11" s="22"/>
      <c r="AO11" s="22"/>
      <c r="AP11" s="25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6"/>
      <c r="BC11" s="22"/>
      <c r="BD11" s="22"/>
      <c r="BE11" s="22"/>
      <c r="BF11" s="22"/>
      <c r="BG11" s="27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8"/>
      <c r="BV11" s="22">
        <v>204006</v>
      </c>
      <c r="BW11" s="22">
        <v>241182</v>
      </c>
      <c r="BX11" s="22">
        <v>245950</v>
      </c>
      <c r="BY11" s="22">
        <v>281974</v>
      </c>
      <c r="BZ11" s="22">
        <v>202865</v>
      </c>
      <c r="CA11" s="22">
        <v>240895</v>
      </c>
      <c r="CB11" s="22">
        <v>273565</v>
      </c>
      <c r="CC11" s="22">
        <v>288981</v>
      </c>
      <c r="CD11" s="22">
        <v>273990</v>
      </c>
      <c r="CE11" s="22">
        <v>237556</v>
      </c>
      <c r="CF11" s="22">
        <v>168313</v>
      </c>
      <c r="CG11" s="22">
        <v>150819</v>
      </c>
      <c r="CH11" s="22">
        <f>CG11</f>
        <v>150819</v>
      </c>
      <c r="CJ11" s="22">
        <v>205037</v>
      </c>
      <c r="CK11" s="22">
        <v>230430</v>
      </c>
      <c r="CL11" s="22">
        <v>234343</v>
      </c>
      <c r="CM11" s="22">
        <v>262404</v>
      </c>
      <c r="CN11" s="22"/>
      <c r="CO11" s="22"/>
      <c r="CP11" s="22"/>
      <c r="CQ11" s="22"/>
      <c r="CR11" s="22"/>
      <c r="CS11" s="22"/>
      <c r="CT11" s="22"/>
      <c r="CU11" s="22"/>
      <c r="CV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</row>
    <row r="12" spans="1:114">
      <c r="A12" s="19">
        <v>0</v>
      </c>
      <c r="B12" s="158" t="s">
        <v>31</v>
      </c>
      <c r="C12" s="264"/>
      <c r="D12" s="265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66"/>
      <c r="Q12" s="21"/>
      <c r="R12" s="265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67"/>
      <c r="AE12" s="23"/>
      <c r="AF12" s="22"/>
      <c r="AG12" s="22"/>
      <c r="AH12" s="22"/>
      <c r="AI12" s="22"/>
      <c r="AJ12" s="24"/>
      <c r="AK12" s="22"/>
      <c r="AL12" s="22"/>
      <c r="AM12" s="22"/>
      <c r="AN12" s="22"/>
      <c r="AO12" s="22"/>
      <c r="AP12" s="25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6"/>
      <c r="BC12" s="22"/>
      <c r="BD12" s="22"/>
      <c r="BE12" s="22"/>
      <c r="BF12" s="22"/>
      <c r="BG12" s="27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8"/>
      <c r="BV12" s="22">
        <v>80956</v>
      </c>
      <c r="BW12" s="22">
        <v>110544</v>
      </c>
      <c r="BX12" s="22">
        <v>134506</v>
      </c>
      <c r="BY12" s="22">
        <v>127959</v>
      </c>
      <c r="BZ12" s="22">
        <v>66136</v>
      </c>
      <c r="CA12" s="22">
        <v>72582</v>
      </c>
      <c r="CB12" s="22">
        <v>94286</v>
      </c>
      <c r="CC12" s="22">
        <v>133081</v>
      </c>
      <c r="CD12" s="22">
        <v>148174</v>
      </c>
      <c r="CE12" s="22">
        <v>154201</v>
      </c>
      <c r="CF12" s="22">
        <v>97365</v>
      </c>
      <c r="CG12" s="22">
        <v>30184</v>
      </c>
      <c r="CH12" s="22"/>
      <c r="CJ12" s="22">
        <v>132209</v>
      </c>
      <c r="CK12" s="22">
        <v>180000</v>
      </c>
      <c r="CL12" s="22">
        <v>177643</v>
      </c>
      <c r="CM12" s="22">
        <v>148159</v>
      </c>
      <c r="CN12" s="22"/>
      <c r="CO12" s="22"/>
      <c r="CP12" s="22"/>
      <c r="CQ12" s="22"/>
      <c r="CR12" s="22"/>
      <c r="CS12" s="22"/>
      <c r="CT12" s="22"/>
      <c r="CU12" s="22"/>
      <c r="CV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</row>
    <row r="13" spans="1:114">
      <c r="A13" s="19">
        <v>0</v>
      </c>
      <c r="B13" s="158" t="s">
        <v>32</v>
      </c>
      <c r="C13" s="264"/>
      <c r="D13" s="26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66"/>
      <c r="Q13" s="21"/>
      <c r="R13" s="265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67"/>
      <c r="AE13" s="23"/>
      <c r="AF13" s="22"/>
      <c r="AG13" s="22"/>
      <c r="AH13" s="22"/>
      <c r="AI13" s="22"/>
      <c r="AJ13" s="24"/>
      <c r="AK13" s="22"/>
      <c r="AL13" s="22"/>
      <c r="AM13" s="22"/>
      <c r="AN13" s="22"/>
      <c r="AO13" s="22"/>
      <c r="AP13" s="25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6"/>
      <c r="BC13" s="22"/>
      <c r="BD13" s="22"/>
      <c r="BE13" s="22"/>
      <c r="BF13" s="22"/>
      <c r="BG13" s="27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8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J13" s="22">
        <v>150321</v>
      </c>
      <c r="CK13" s="22">
        <v>133602</v>
      </c>
      <c r="CL13" s="22">
        <v>135672</v>
      </c>
      <c r="CM13" s="22">
        <v>127653</v>
      </c>
      <c r="CN13" s="22"/>
      <c r="CO13" s="22"/>
      <c r="CP13" s="22"/>
      <c r="CQ13" s="22"/>
      <c r="CR13" s="22"/>
      <c r="CS13" s="22"/>
      <c r="CT13" s="22"/>
      <c r="CU13" s="22"/>
      <c r="CV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</row>
    <row r="14" spans="1:114">
      <c r="A14" s="19">
        <v>0</v>
      </c>
      <c r="B14" s="717" t="s">
        <v>33</v>
      </c>
      <c r="C14" s="264"/>
      <c r="D14" s="26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66"/>
      <c r="Q14" s="21"/>
      <c r="R14" s="265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67"/>
      <c r="AE14" s="23"/>
      <c r="AF14" s="22"/>
      <c r="AG14" s="22"/>
      <c r="AH14" s="22"/>
      <c r="AI14" s="22"/>
      <c r="AJ14" s="24"/>
      <c r="AK14" s="22"/>
      <c r="AL14" s="22"/>
      <c r="AM14" s="22"/>
      <c r="AN14" s="22"/>
      <c r="AO14" s="22"/>
      <c r="AP14" s="25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6"/>
      <c r="BC14" s="22"/>
      <c r="BD14" s="22"/>
      <c r="BE14" s="22"/>
      <c r="BF14" s="22"/>
      <c r="BG14" s="27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8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J14" s="718">
        <v>36757</v>
      </c>
      <c r="CK14" s="718">
        <v>55826</v>
      </c>
      <c r="CL14" s="718">
        <v>60438</v>
      </c>
      <c r="CM14" s="718">
        <v>50114</v>
      </c>
      <c r="CN14" s="22"/>
      <c r="CO14" s="22"/>
      <c r="CP14" s="22"/>
      <c r="CQ14" s="22"/>
      <c r="CR14" s="22"/>
      <c r="CS14" s="22"/>
      <c r="CT14" s="22"/>
      <c r="CU14" s="22"/>
      <c r="CV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</row>
    <row r="15" spans="1:114" s="698" customFormat="1" ht="15.75">
      <c r="A15" s="683">
        <v>1</v>
      </c>
      <c r="B15" s="684" t="s">
        <v>34</v>
      </c>
      <c r="C15" s="685"/>
      <c r="D15" s="686">
        <v>197000</v>
      </c>
      <c r="E15" s="687">
        <v>223027</v>
      </c>
      <c r="F15" s="687">
        <v>230513</v>
      </c>
      <c r="G15" s="687">
        <v>231174</v>
      </c>
      <c r="H15" s="687">
        <v>255028</v>
      </c>
      <c r="I15" s="687">
        <f>316386+3241</f>
        <v>319627</v>
      </c>
      <c r="J15" s="687">
        <v>377712</v>
      </c>
      <c r="K15" s="687">
        <v>382411</v>
      </c>
      <c r="L15" s="687">
        <v>394107</v>
      </c>
      <c r="M15" s="687">
        <v>267954</v>
      </c>
      <c r="N15" s="687"/>
      <c r="O15" s="687">
        <v>143875</v>
      </c>
      <c r="P15" s="688"/>
      <c r="Q15" s="689"/>
      <c r="R15" s="686">
        <v>208084</v>
      </c>
      <c r="S15" s="690">
        <v>268431</v>
      </c>
      <c r="T15" s="690">
        <v>250616</v>
      </c>
      <c r="U15" s="690">
        <v>237088</v>
      </c>
      <c r="V15" s="690">
        <v>147777</v>
      </c>
      <c r="W15" s="690">
        <v>215818</v>
      </c>
      <c r="X15" s="690">
        <v>273510</v>
      </c>
      <c r="Y15" s="690">
        <v>299059</v>
      </c>
      <c r="Z15" s="690">
        <v>304980</v>
      </c>
      <c r="AA15" s="690">
        <v>231197</v>
      </c>
      <c r="AB15" s="690">
        <v>143086</v>
      </c>
      <c r="AC15" s="690">
        <v>172491</v>
      </c>
      <c r="AD15" s="691"/>
      <c r="AE15" s="692"/>
      <c r="AF15" s="690">
        <v>198695</v>
      </c>
      <c r="AG15" s="690">
        <v>234210</v>
      </c>
      <c r="AH15" s="690">
        <v>327560</v>
      </c>
      <c r="AI15" s="690">
        <v>332523</v>
      </c>
      <c r="AJ15" s="693">
        <v>356667</v>
      </c>
      <c r="AK15" s="690">
        <v>384165</v>
      </c>
      <c r="AL15" s="690">
        <v>317268</v>
      </c>
      <c r="AM15" s="690">
        <v>370708</v>
      </c>
      <c r="AN15" s="690">
        <v>354503</v>
      </c>
      <c r="AO15" s="690">
        <v>314605</v>
      </c>
      <c r="AP15" s="694">
        <v>90490</v>
      </c>
      <c r="AQ15" s="690">
        <v>58348</v>
      </c>
      <c r="AR15" s="690">
        <f t="shared" si="10"/>
        <v>58348</v>
      </c>
      <c r="AS15" s="692"/>
      <c r="AT15" s="690">
        <v>158701</v>
      </c>
      <c r="AU15" s="690">
        <v>115369</v>
      </c>
      <c r="AV15" s="690">
        <v>142379</v>
      </c>
      <c r="AW15" s="690">
        <v>118765</v>
      </c>
      <c r="AX15" s="690">
        <v>113246</v>
      </c>
      <c r="AY15" s="690">
        <v>106776</v>
      </c>
      <c r="AZ15" s="690">
        <v>175234</v>
      </c>
      <c r="BA15" s="690">
        <v>151553</v>
      </c>
      <c r="BB15" s="695">
        <v>167082</v>
      </c>
      <c r="BC15" s="690">
        <v>150959</v>
      </c>
      <c r="BD15" s="690">
        <v>119787</v>
      </c>
      <c r="BE15" s="690">
        <v>65426</v>
      </c>
      <c r="BF15" s="690">
        <f t="shared" si="12"/>
        <v>65426</v>
      </c>
      <c r="BG15" s="696"/>
      <c r="BH15" s="690">
        <v>166918</v>
      </c>
      <c r="BI15" s="690">
        <v>167160</v>
      </c>
      <c r="BJ15" s="690">
        <v>204571</v>
      </c>
      <c r="BK15" s="690">
        <v>153197</v>
      </c>
      <c r="BL15" s="690">
        <v>196798</v>
      </c>
      <c r="BM15" s="690">
        <v>145596</v>
      </c>
      <c r="BN15" s="690">
        <v>166021</v>
      </c>
      <c r="BO15" s="690">
        <v>211305</v>
      </c>
      <c r="BP15" s="690">
        <v>201071</v>
      </c>
      <c r="BQ15" s="690">
        <v>177743</v>
      </c>
      <c r="BR15" s="690">
        <v>144020</v>
      </c>
      <c r="BS15" s="690">
        <v>154347</v>
      </c>
      <c r="BT15" s="690">
        <f>BS15</f>
        <v>154347</v>
      </c>
      <c r="BU15" s="697"/>
      <c r="BV15" s="690">
        <v>151471</v>
      </c>
      <c r="BW15" s="690">
        <v>155653</v>
      </c>
      <c r="BX15" s="690">
        <v>151611</v>
      </c>
      <c r="BY15" s="690">
        <v>177044</v>
      </c>
      <c r="BZ15" s="690">
        <v>170481</v>
      </c>
      <c r="CA15" s="690">
        <v>221665</v>
      </c>
      <c r="CB15" s="690">
        <v>218105</v>
      </c>
      <c r="CC15" s="690">
        <v>188153</v>
      </c>
      <c r="CD15" s="690">
        <v>147751</v>
      </c>
      <c r="CE15" s="690">
        <v>112996</v>
      </c>
      <c r="CF15" s="690">
        <v>135968</v>
      </c>
      <c r="CG15" s="690">
        <v>130000</v>
      </c>
      <c r="CH15" s="690">
        <f t="shared" ref="CH15:CH25" si="18">CG15</f>
        <v>130000</v>
      </c>
      <c r="CI15" s="707">
        <v>114000</v>
      </c>
      <c r="CJ15" s="690">
        <v>109585</v>
      </c>
      <c r="CK15" s="690">
        <v>103815</v>
      </c>
      <c r="CL15" s="690">
        <v>117138</v>
      </c>
      <c r="CM15" s="690">
        <v>164362</v>
      </c>
      <c r="CN15" s="690">
        <f t="shared" ref="CN15:CU15" si="19">CM15+CN71-CN27</f>
        <v>210060.05</v>
      </c>
      <c r="CO15" s="690">
        <f t="shared" si="19"/>
        <v>294129.17</v>
      </c>
      <c r="CP15" s="690">
        <f t="shared" si="19"/>
        <v>296409.07999999996</v>
      </c>
      <c r="CQ15" s="690">
        <f t="shared" si="19"/>
        <v>292013.76999999996</v>
      </c>
      <c r="CR15" s="690">
        <f t="shared" si="19"/>
        <v>228860.12999999998</v>
      </c>
      <c r="CS15" s="690">
        <f t="shared" si="19"/>
        <v>210943.21</v>
      </c>
      <c r="CT15" s="690">
        <f t="shared" si="19"/>
        <v>219158.11999999997</v>
      </c>
      <c r="CU15" s="690">
        <f t="shared" si="19"/>
        <v>232974.3</v>
      </c>
      <c r="CV15" s="690"/>
      <c r="CX15" s="690">
        <f>CU15+CX71-CX27</f>
        <v>222480.21299999999</v>
      </c>
      <c r="CY15" s="690">
        <f>CX15+CY71-CY27</f>
        <v>183334.90950000001</v>
      </c>
      <c r="CZ15" s="690">
        <f t="shared" ref="CZ15:DI15" si="20">CY15+CZ71-CZ27</f>
        <v>159248.39550000001</v>
      </c>
      <c r="DA15" s="690">
        <f t="shared" si="20"/>
        <v>176804.80649999998</v>
      </c>
      <c r="DB15" s="690">
        <f t="shared" si="20"/>
        <v>204312.75899999993</v>
      </c>
      <c r="DC15" s="690">
        <f t="shared" si="20"/>
        <v>258122.83499999996</v>
      </c>
      <c r="DD15" s="690">
        <f t="shared" si="20"/>
        <v>228116.74049999996</v>
      </c>
      <c r="DE15" s="690">
        <f t="shared" si="20"/>
        <v>199876.66499999995</v>
      </c>
      <c r="DF15" s="690">
        <f t="shared" si="20"/>
        <v>110390.34299999994</v>
      </c>
      <c r="DG15" s="690">
        <f t="shared" si="20"/>
        <v>76502.576999999903</v>
      </c>
      <c r="DH15" s="690">
        <f t="shared" si="20"/>
        <v>76578.232499999896</v>
      </c>
      <c r="DI15" s="690">
        <f t="shared" si="20"/>
        <v>85235.221499999883</v>
      </c>
      <c r="DJ15" s="690">
        <v>0</v>
      </c>
    </row>
    <row r="16" spans="1:114">
      <c r="A16" s="19">
        <v>2</v>
      </c>
      <c r="B16" s="702" t="s">
        <v>35</v>
      </c>
      <c r="C16" s="264"/>
      <c r="D16" s="265">
        <v>73670</v>
      </c>
      <c r="E16" s="20">
        <v>59682</v>
      </c>
      <c r="F16" s="20">
        <v>54710</v>
      </c>
      <c r="G16" s="20">
        <v>56175</v>
      </c>
      <c r="H16" s="20">
        <v>58933</v>
      </c>
      <c r="I16" s="20">
        <v>42784</v>
      </c>
      <c r="J16" s="20">
        <v>35755</v>
      </c>
      <c r="K16" s="20">
        <v>33547</v>
      </c>
      <c r="L16" s="20">
        <v>22824</v>
      </c>
      <c r="M16" s="20">
        <v>26162</v>
      </c>
      <c r="N16" s="20"/>
      <c r="O16" s="20">
        <v>44389</v>
      </c>
      <c r="P16" s="266"/>
      <c r="Q16" s="21"/>
      <c r="R16" s="265">
        <v>39759</v>
      </c>
      <c r="S16" s="22">
        <v>38325</v>
      </c>
      <c r="T16" s="22">
        <v>26634</v>
      </c>
      <c r="U16" s="22">
        <f>14430+2754+7859</f>
        <v>25043</v>
      </c>
      <c r="V16" s="22">
        <v>23840</v>
      </c>
      <c r="W16" s="22">
        <v>20057</v>
      </c>
      <c r="X16" s="22">
        <v>80502</v>
      </c>
      <c r="Y16" s="22">
        <v>56483</v>
      </c>
      <c r="Z16" s="22">
        <v>44233</v>
      </c>
      <c r="AA16" s="22">
        <v>38155</v>
      </c>
      <c r="AB16" s="22">
        <v>27540</v>
      </c>
      <c r="AC16" s="22">
        <v>25060</v>
      </c>
      <c r="AD16" s="267"/>
      <c r="AE16" s="23"/>
      <c r="AF16" s="22">
        <v>21326</v>
      </c>
      <c r="AG16" s="22">
        <v>17804</v>
      </c>
      <c r="AH16" s="22">
        <v>27157</v>
      </c>
      <c r="AI16" s="22">
        <v>19677</v>
      </c>
      <c r="AJ16" s="22">
        <v>18817</v>
      </c>
      <c r="AK16" s="22">
        <v>25034</v>
      </c>
      <c r="AL16" s="22">
        <v>28090</v>
      </c>
      <c r="AM16" s="22">
        <v>25660</v>
      </c>
      <c r="AN16" s="22">
        <v>33752</v>
      </c>
      <c r="AO16" s="22">
        <v>24699</v>
      </c>
      <c r="AP16" s="25">
        <v>19340</v>
      </c>
      <c r="AQ16" s="22">
        <v>29842</v>
      </c>
      <c r="AR16" s="22">
        <f t="shared" si="10"/>
        <v>29842</v>
      </c>
      <c r="AS16" s="23"/>
      <c r="AT16" s="22">
        <v>46493</v>
      </c>
      <c r="AU16" s="22">
        <v>37125</v>
      </c>
      <c r="AV16" s="22">
        <v>38574</v>
      </c>
      <c r="AW16" s="22">
        <v>43626</v>
      </c>
      <c r="AX16" s="22">
        <v>39641</v>
      </c>
      <c r="AY16" s="22">
        <v>55553</v>
      </c>
      <c r="AZ16" s="22">
        <v>48023</v>
      </c>
      <c r="BA16" s="22">
        <v>55043</v>
      </c>
      <c r="BB16" s="26">
        <v>50383</v>
      </c>
      <c r="BC16" s="22">
        <v>54355</v>
      </c>
      <c r="BD16" s="22">
        <v>82473</v>
      </c>
      <c r="BE16" s="22">
        <v>65398</v>
      </c>
      <c r="BF16" s="22">
        <f t="shared" si="12"/>
        <v>65398</v>
      </c>
      <c r="BG16" s="27"/>
      <c r="BH16" s="22">
        <v>68747</v>
      </c>
      <c r="BI16" s="22">
        <v>62843</v>
      </c>
      <c r="BJ16" s="22">
        <v>62154</v>
      </c>
      <c r="BK16" s="22">
        <v>49337</v>
      </c>
      <c r="BL16" s="22">
        <v>27730</v>
      </c>
      <c r="BM16" s="22">
        <v>42459</v>
      </c>
      <c r="BN16" s="22">
        <v>44049</v>
      </c>
      <c r="BO16" s="22">
        <v>29196</v>
      </c>
      <c r="BP16" s="22">
        <v>36882</v>
      </c>
      <c r="BQ16" s="22">
        <v>35965</v>
      </c>
      <c r="BR16" s="22">
        <v>31343</v>
      </c>
      <c r="BS16" s="22">
        <v>23087</v>
      </c>
      <c r="BT16" s="22">
        <f t="shared" ref="BT16:BT25" si="21">BS16</f>
        <v>23087</v>
      </c>
      <c r="BU16" s="28"/>
      <c r="BV16" s="22">
        <v>15202</v>
      </c>
      <c r="BW16" s="22">
        <v>12471</v>
      </c>
      <c r="BX16" s="22">
        <v>11483</v>
      </c>
      <c r="BY16" s="22">
        <v>14071</v>
      </c>
      <c r="BZ16" s="22">
        <v>49617</v>
      </c>
      <c r="CA16" s="22">
        <v>36385</v>
      </c>
      <c r="CB16" s="22">
        <v>25473</v>
      </c>
      <c r="CC16" s="22">
        <v>16933</v>
      </c>
      <c r="CD16" s="22">
        <v>12684</v>
      </c>
      <c r="CE16" s="22">
        <v>21084</v>
      </c>
      <c r="CF16" s="22">
        <v>15172</v>
      </c>
      <c r="CG16" s="22">
        <v>11469</v>
      </c>
      <c r="CH16" s="22">
        <f>CG16</f>
        <v>11469</v>
      </c>
      <c r="CI16">
        <f>7500*5</f>
        <v>37500</v>
      </c>
      <c r="CJ16" s="22">
        <v>9465</v>
      </c>
      <c r="CK16" s="22">
        <v>13722</v>
      </c>
      <c r="CL16" s="22">
        <v>10771</v>
      </c>
      <c r="CM16" s="22">
        <v>8991</v>
      </c>
      <c r="CN16" s="22"/>
      <c r="CO16" s="22"/>
      <c r="CP16" s="22"/>
      <c r="CQ16" s="22"/>
      <c r="CR16" s="22"/>
      <c r="CS16" s="22"/>
      <c r="CT16" s="22"/>
      <c r="CU16" s="22"/>
      <c r="CV16" s="22">
        <v>0</v>
      </c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>
        <v>0</v>
      </c>
    </row>
    <row r="17" spans="1:114">
      <c r="A17" s="19">
        <v>3</v>
      </c>
      <c r="B17" s="702" t="s">
        <v>36</v>
      </c>
      <c r="C17" s="264"/>
      <c r="D17" s="268">
        <v>34116</v>
      </c>
      <c r="E17" s="269">
        <v>29277</v>
      </c>
      <c r="F17" s="269">
        <v>43008</v>
      </c>
      <c r="G17" s="269">
        <v>30524</v>
      </c>
      <c r="H17" s="269">
        <v>33235</v>
      </c>
      <c r="I17" s="269">
        <v>39842</v>
      </c>
      <c r="J17" s="269">
        <v>41021</v>
      </c>
      <c r="K17" s="269">
        <v>31224</v>
      </c>
      <c r="L17" s="269"/>
      <c r="M17" s="269">
        <v>10286</v>
      </c>
      <c r="N17" s="269"/>
      <c r="O17" s="269"/>
      <c r="P17" s="266"/>
      <c r="Q17" s="21"/>
      <c r="R17" s="268">
        <v>35516</v>
      </c>
      <c r="S17" s="270">
        <v>35962</v>
      </c>
      <c r="T17" s="270">
        <v>35962</v>
      </c>
      <c r="U17" s="270">
        <v>35962</v>
      </c>
      <c r="V17" s="270">
        <v>35000</v>
      </c>
      <c r="W17" s="270"/>
      <c r="X17" s="270">
        <v>6123</v>
      </c>
      <c r="Y17" s="270">
        <v>6123</v>
      </c>
      <c r="Z17" s="270">
        <v>4187</v>
      </c>
      <c r="AA17" s="270">
        <v>2745</v>
      </c>
      <c r="AB17" s="270"/>
      <c r="AC17" s="270"/>
      <c r="AD17" s="267"/>
      <c r="AE17" s="23"/>
      <c r="AF17" s="270">
        <v>8366</v>
      </c>
      <c r="AG17" s="270">
        <v>11534</v>
      </c>
      <c r="AH17" s="270">
        <v>11507</v>
      </c>
      <c r="AI17" s="270">
        <v>9148</v>
      </c>
      <c r="AJ17" s="22">
        <v>8524</v>
      </c>
      <c r="AK17" s="270">
        <v>25290</v>
      </c>
      <c r="AL17" s="270">
        <v>91080</v>
      </c>
      <c r="AM17" s="270">
        <v>66830</v>
      </c>
      <c r="AN17" s="270">
        <v>36866</v>
      </c>
      <c r="AO17" s="270">
        <v>16173</v>
      </c>
      <c r="AP17" s="271">
        <v>178274</v>
      </c>
      <c r="AQ17" s="270">
        <v>210665</v>
      </c>
      <c r="AR17" s="22">
        <f t="shared" si="10"/>
        <v>210665</v>
      </c>
      <c r="AS17" s="23"/>
      <c r="AT17" s="270">
        <v>121075</v>
      </c>
      <c r="AU17" s="270">
        <v>149376</v>
      </c>
      <c r="AV17" s="270">
        <v>104538</v>
      </c>
      <c r="AW17" s="270">
        <v>105262</v>
      </c>
      <c r="AX17" s="270">
        <v>121073</v>
      </c>
      <c r="AY17" s="270">
        <v>163931</v>
      </c>
      <c r="AZ17" s="270">
        <v>109964</v>
      </c>
      <c r="BA17" s="270">
        <v>148266</v>
      </c>
      <c r="BB17" s="26">
        <v>130697</v>
      </c>
      <c r="BC17" s="270">
        <v>113779</v>
      </c>
      <c r="BD17" s="270">
        <v>91119</v>
      </c>
      <c r="BE17" s="270">
        <v>103286</v>
      </c>
      <c r="BF17" s="22">
        <f t="shared" si="12"/>
        <v>103286</v>
      </c>
      <c r="BG17" s="27"/>
      <c r="BH17" s="270">
        <v>49631</v>
      </c>
      <c r="BI17" s="270">
        <v>52953</v>
      </c>
      <c r="BJ17" s="270">
        <v>28440</v>
      </c>
      <c r="BK17" s="270">
        <v>83601</v>
      </c>
      <c r="BL17" s="22">
        <v>25812</v>
      </c>
      <c r="BM17" s="22">
        <v>59545</v>
      </c>
      <c r="BN17" s="22">
        <v>83435</v>
      </c>
      <c r="BO17" s="22">
        <v>34041</v>
      </c>
      <c r="BP17" s="22">
        <v>22399</v>
      </c>
      <c r="BQ17" s="22">
        <v>24887</v>
      </c>
      <c r="BR17" s="22">
        <v>12183</v>
      </c>
      <c r="BS17" s="22">
        <v>12183</v>
      </c>
      <c r="BT17" s="22">
        <f t="shared" si="21"/>
        <v>12183</v>
      </c>
      <c r="BU17" s="28"/>
      <c r="BV17" s="270">
        <v>5216</v>
      </c>
      <c r="BW17" s="270"/>
      <c r="BX17" s="270">
        <v>65273</v>
      </c>
      <c r="BY17" s="270">
        <v>70182</v>
      </c>
      <c r="BZ17" s="22">
        <v>57659</v>
      </c>
      <c r="CA17" s="22">
        <v>71669</v>
      </c>
      <c r="CB17" s="22">
        <v>73078</v>
      </c>
      <c r="CC17" s="22">
        <v>85302</v>
      </c>
      <c r="CD17" s="22">
        <v>25343</v>
      </c>
      <c r="CE17" s="22">
        <v>19030</v>
      </c>
      <c r="CF17" s="22">
        <v>19422</v>
      </c>
      <c r="CG17" s="22">
        <v>25927</v>
      </c>
      <c r="CH17" s="22">
        <f>CG17</f>
        <v>25927</v>
      </c>
      <c r="CI17">
        <v>29000</v>
      </c>
      <c r="CJ17" s="270">
        <v>21580</v>
      </c>
      <c r="CK17" s="270">
        <v>18052</v>
      </c>
      <c r="CL17" s="270">
        <v>30722</v>
      </c>
      <c r="CM17" s="270">
        <v>55095</v>
      </c>
      <c r="CN17" s="22"/>
      <c r="CO17" s="22"/>
      <c r="CP17" s="22"/>
      <c r="CQ17" s="22"/>
      <c r="CR17" s="22"/>
      <c r="CS17" s="22"/>
      <c r="CT17" s="22"/>
      <c r="CU17" s="22"/>
      <c r="CV17" s="22">
        <v>0</v>
      </c>
      <c r="CX17" s="270"/>
      <c r="CY17" s="270"/>
      <c r="CZ17" s="270"/>
      <c r="DA17" s="270"/>
      <c r="DB17" s="22"/>
      <c r="DC17" s="22"/>
      <c r="DD17" s="22"/>
      <c r="DE17" s="22"/>
      <c r="DF17" s="22"/>
      <c r="DG17" s="22"/>
      <c r="DH17" s="22"/>
      <c r="DI17" s="22"/>
      <c r="DJ17" s="22">
        <v>0</v>
      </c>
    </row>
    <row r="18" spans="1:114">
      <c r="A18" s="19">
        <v>4</v>
      </c>
      <c r="B18" s="702" t="s">
        <v>37</v>
      </c>
      <c r="C18" s="264"/>
      <c r="D18" s="268">
        <v>34116</v>
      </c>
      <c r="E18" s="269">
        <v>29277</v>
      </c>
      <c r="F18" s="269">
        <v>43008</v>
      </c>
      <c r="G18" s="269">
        <v>30524</v>
      </c>
      <c r="H18" s="269">
        <v>33235</v>
      </c>
      <c r="I18" s="269">
        <v>39842</v>
      </c>
      <c r="J18" s="269">
        <v>41021</v>
      </c>
      <c r="K18" s="269">
        <v>31224</v>
      </c>
      <c r="L18" s="269"/>
      <c r="M18" s="269">
        <v>10286</v>
      </c>
      <c r="N18" s="269"/>
      <c r="O18" s="269"/>
      <c r="P18" s="266"/>
      <c r="Q18" s="21"/>
      <c r="R18" s="268">
        <v>35516</v>
      </c>
      <c r="S18" s="270">
        <v>35962</v>
      </c>
      <c r="T18" s="270">
        <v>35962</v>
      </c>
      <c r="U18" s="270">
        <v>35962</v>
      </c>
      <c r="V18" s="270">
        <v>35000</v>
      </c>
      <c r="W18" s="270"/>
      <c r="X18" s="270">
        <v>6123</v>
      </c>
      <c r="Y18" s="270">
        <v>6123</v>
      </c>
      <c r="Z18" s="270">
        <v>4187</v>
      </c>
      <c r="AA18" s="270">
        <v>2745</v>
      </c>
      <c r="AB18" s="270"/>
      <c r="AC18" s="270"/>
      <c r="AD18" s="267"/>
      <c r="AE18" s="23"/>
      <c r="AF18" s="270">
        <v>8366</v>
      </c>
      <c r="AG18" s="270">
        <v>11534</v>
      </c>
      <c r="AH18" s="270">
        <v>11507</v>
      </c>
      <c r="AI18" s="270">
        <v>9148</v>
      </c>
      <c r="AJ18" s="22">
        <v>8524</v>
      </c>
      <c r="AK18" s="270">
        <v>25290</v>
      </c>
      <c r="AL18" s="270">
        <v>91080</v>
      </c>
      <c r="AM18" s="270">
        <v>66830</v>
      </c>
      <c r="AN18" s="270">
        <v>36866</v>
      </c>
      <c r="AO18" s="270">
        <v>16173</v>
      </c>
      <c r="AP18" s="271">
        <v>178274</v>
      </c>
      <c r="AQ18" s="270">
        <v>210665</v>
      </c>
      <c r="AR18" s="22">
        <f t="shared" si="10"/>
        <v>210665</v>
      </c>
      <c r="AS18" s="23"/>
      <c r="AT18" s="270">
        <v>121075</v>
      </c>
      <c r="AU18" s="270">
        <v>149376</v>
      </c>
      <c r="AV18" s="270">
        <v>104538</v>
      </c>
      <c r="AW18" s="270">
        <v>105262</v>
      </c>
      <c r="AX18" s="270">
        <v>121073</v>
      </c>
      <c r="AY18" s="270">
        <v>163931</v>
      </c>
      <c r="AZ18" s="270">
        <v>109964</v>
      </c>
      <c r="BA18" s="270">
        <v>148266</v>
      </c>
      <c r="BB18" s="26">
        <v>130697</v>
      </c>
      <c r="BC18" s="270">
        <v>113779</v>
      </c>
      <c r="BD18" s="270">
        <v>91119</v>
      </c>
      <c r="BE18" s="270">
        <v>103286</v>
      </c>
      <c r="BF18" s="22">
        <f t="shared" si="12"/>
        <v>103286</v>
      </c>
      <c r="BG18" s="27"/>
      <c r="BH18" s="270">
        <v>49631</v>
      </c>
      <c r="BI18" s="270">
        <v>52953</v>
      </c>
      <c r="BJ18" s="270">
        <v>28440</v>
      </c>
      <c r="BK18" s="270">
        <v>83601</v>
      </c>
      <c r="BL18" s="22">
        <v>25812</v>
      </c>
      <c r="BM18" s="22">
        <v>59545</v>
      </c>
      <c r="BN18" s="22">
        <v>83435</v>
      </c>
      <c r="BO18" s="22">
        <v>34041</v>
      </c>
      <c r="BP18" s="22">
        <v>22399</v>
      </c>
      <c r="BQ18" s="22">
        <v>24887</v>
      </c>
      <c r="BR18" s="22">
        <v>12183</v>
      </c>
      <c r="BS18" s="22">
        <v>12183</v>
      </c>
      <c r="BT18" s="22">
        <f t="shared" si="21"/>
        <v>12183</v>
      </c>
      <c r="BU18" s="28"/>
      <c r="BV18" s="270"/>
      <c r="BW18" s="270"/>
      <c r="BX18" s="270"/>
      <c r="BY18" s="270"/>
      <c r="BZ18" s="22"/>
      <c r="CA18" s="22"/>
      <c r="CB18" s="22"/>
      <c r="CC18" s="22"/>
      <c r="CD18" s="22">
        <v>6361</v>
      </c>
      <c r="CE18" s="22">
        <v>7759</v>
      </c>
      <c r="CF18" s="22">
        <v>6573</v>
      </c>
      <c r="CG18" s="22">
        <v>9541</v>
      </c>
      <c r="CH18" s="22">
        <f t="shared" si="18"/>
        <v>9541</v>
      </c>
      <c r="CI18">
        <f>CI15+CI16-CI17</f>
        <v>122500</v>
      </c>
      <c r="CJ18" s="270">
        <v>9582</v>
      </c>
      <c r="CK18" s="270">
        <v>7266</v>
      </c>
      <c r="CL18" s="270">
        <v>11364</v>
      </c>
      <c r="CM18" s="270">
        <v>15500</v>
      </c>
      <c r="CN18" s="22"/>
      <c r="CO18" s="22"/>
      <c r="CP18" s="22"/>
      <c r="CQ18" s="22"/>
      <c r="CR18" s="22"/>
      <c r="CS18" s="22"/>
      <c r="CT18" s="22"/>
      <c r="CU18" s="22"/>
      <c r="CV18" s="22">
        <v>0</v>
      </c>
      <c r="CX18" s="270"/>
      <c r="CY18" s="270"/>
      <c r="CZ18" s="270"/>
      <c r="DA18" s="270"/>
      <c r="DB18" s="22"/>
      <c r="DC18" s="22"/>
      <c r="DD18" s="22"/>
      <c r="DE18" s="22"/>
      <c r="DF18" s="22"/>
      <c r="DG18" s="22"/>
      <c r="DH18" s="22"/>
      <c r="DI18" s="22"/>
      <c r="DJ18" s="22">
        <v>0</v>
      </c>
    </row>
    <row r="19" spans="1:114">
      <c r="A19" s="19">
        <v>1</v>
      </c>
      <c r="B19" s="158" t="s">
        <v>38</v>
      </c>
      <c r="C19" s="159"/>
      <c r="D19" s="265">
        <v>6409</v>
      </c>
      <c r="E19" s="20">
        <v>6860</v>
      </c>
      <c r="F19" s="20">
        <v>4970</v>
      </c>
      <c r="G19" s="20">
        <v>31203</v>
      </c>
      <c r="H19" s="20">
        <v>31499</v>
      </c>
      <c r="I19" s="20">
        <v>25903</v>
      </c>
      <c r="J19" s="20">
        <v>18606</v>
      </c>
      <c r="K19" s="20">
        <v>16014</v>
      </c>
      <c r="L19" s="20">
        <v>13416</v>
      </c>
      <c r="M19" s="20">
        <v>40079</v>
      </c>
      <c r="N19" s="20"/>
      <c r="O19" s="20">
        <v>0</v>
      </c>
      <c r="P19" s="266"/>
      <c r="Q19" s="21"/>
      <c r="R19" s="265">
        <v>3376</v>
      </c>
      <c r="S19" s="22">
        <v>11736</v>
      </c>
      <c r="T19" s="22">
        <v>22454</v>
      </c>
      <c r="U19" s="22">
        <v>21384</v>
      </c>
      <c r="V19" s="22">
        <v>66870</v>
      </c>
      <c r="W19" s="22">
        <v>73769</v>
      </c>
      <c r="X19" s="22">
        <v>13944</v>
      </c>
      <c r="Y19" s="22">
        <v>32750</v>
      </c>
      <c r="Z19" s="22">
        <v>18536</v>
      </c>
      <c r="AA19" s="22">
        <v>40211</v>
      </c>
      <c r="AB19" s="22">
        <v>44457</v>
      </c>
      <c r="AC19" s="22">
        <v>24504</v>
      </c>
      <c r="AD19" s="267"/>
      <c r="AE19" s="23"/>
      <c r="AF19" s="22">
        <v>18586</v>
      </c>
      <c r="AG19" s="22">
        <v>17539</v>
      </c>
      <c r="AH19" s="22">
        <v>20245</v>
      </c>
      <c r="AI19" s="22">
        <v>17669</v>
      </c>
      <c r="AJ19" s="22">
        <v>16769</v>
      </c>
      <c r="AK19" s="22">
        <v>31134</v>
      </c>
      <c r="AL19" s="22">
        <v>35711</v>
      </c>
      <c r="AM19" s="22">
        <v>29141</v>
      </c>
      <c r="AN19" s="22">
        <v>25307</v>
      </c>
      <c r="AO19" s="22">
        <v>35964</v>
      </c>
      <c r="AP19" s="25">
        <v>37378</v>
      </c>
      <c r="AQ19" s="22">
        <v>22159</v>
      </c>
      <c r="AR19" s="22">
        <f t="shared" si="10"/>
        <v>22159</v>
      </c>
      <c r="AS19" s="23"/>
      <c r="AT19" s="22">
        <v>24034</v>
      </c>
      <c r="AU19" s="270">
        <v>22061</v>
      </c>
      <c r="AV19" s="22">
        <v>22489</v>
      </c>
      <c r="AW19" s="22">
        <v>25124</v>
      </c>
      <c r="AX19" s="22">
        <v>22794</v>
      </c>
      <c r="AY19" s="22">
        <v>17777</v>
      </c>
      <c r="AZ19" s="22">
        <v>34345</v>
      </c>
      <c r="BA19" s="22">
        <v>17580</v>
      </c>
      <c r="BB19" s="26">
        <v>26992</v>
      </c>
      <c r="BC19" s="22">
        <v>21373</v>
      </c>
      <c r="BD19" s="22">
        <v>21202</v>
      </c>
      <c r="BE19" s="22">
        <v>19109</v>
      </c>
      <c r="BF19" s="22">
        <f t="shared" si="12"/>
        <v>19109</v>
      </c>
      <c r="BG19" s="27"/>
      <c r="BH19" s="22">
        <v>22216</v>
      </c>
      <c r="BI19" s="270">
        <v>19102</v>
      </c>
      <c r="BJ19" s="22">
        <v>20676</v>
      </c>
      <c r="BK19" s="22">
        <v>19892</v>
      </c>
      <c r="BL19" s="22">
        <v>48737</v>
      </c>
      <c r="BM19" s="22">
        <v>45521</v>
      </c>
      <c r="BN19" s="22">
        <v>41781</v>
      </c>
      <c r="BO19" s="22">
        <v>48019</v>
      </c>
      <c r="BP19" s="22">
        <v>43955</v>
      </c>
      <c r="BQ19" s="22">
        <v>41505</v>
      </c>
      <c r="BR19" s="22">
        <v>28306</v>
      </c>
      <c r="BS19" s="22">
        <v>23731</v>
      </c>
      <c r="BT19" s="22">
        <f t="shared" si="21"/>
        <v>23731</v>
      </c>
      <c r="BU19" s="28"/>
      <c r="BV19" s="22">
        <v>28505</v>
      </c>
      <c r="BW19" s="270">
        <v>25054</v>
      </c>
      <c r="BX19" s="22">
        <v>24396</v>
      </c>
      <c r="BY19" s="22">
        <v>21708</v>
      </c>
      <c r="BZ19" s="22">
        <v>17857</v>
      </c>
      <c r="CA19" s="22">
        <v>33103</v>
      </c>
      <c r="CB19" s="22">
        <v>29327</v>
      </c>
      <c r="CC19" s="22">
        <v>27562</v>
      </c>
      <c r="CD19" s="22">
        <v>19590</v>
      </c>
      <c r="CE19" s="22">
        <v>11730</v>
      </c>
      <c r="CF19" s="22">
        <v>10529</v>
      </c>
      <c r="CG19" s="22">
        <v>19978</v>
      </c>
      <c r="CH19" s="22">
        <f t="shared" si="18"/>
        <v>19978</v>
      </c>
      <c r="CJ19" s="22">
        <v>18456</v>
      </c>
      <c r="CK19" s="270">
        <v>15409</v>
      </c>
      <c r="CL19" s="22">
        <v>18755</v>
      </c>
      <c r="CM19" s="22">
        <v>15700</v>
      </c>
      <c r="CN19" s="22"/>
      <c r="CO19" s="22"/>
      <c r="CP19" s="22"/>
      <c r="CQ19" s="22"/>
      <c r="CR19" s="22"/>
      <c r="CS19" s="22"/>
      <c r="CT19" s="22"/>
      <c r="CU19" s="22"/>
      <c r="CV19" s="22">
        <v>0</v>
      </c>
      <c r="CX19" s="22"/>
      <c r="CY19" s="270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>
        <v>0</v>
      </c>
    </row>
    <row r="20" spans="1:114">
      <c r="A20" s="19">
        <v>0</v>
      </c>
      <c r="B20" s="158" t="s">
        <v>39</v>
      </c>
      <c r="C20" s="159"/>
      <c r="D20" s="265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66"/>
      <c r="Q20" s="21"/>
      <c r="R20" s="265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67"/>
      <c r="AE20" s="23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5"/>
      <c r="AQ20" s="22"/>
      <c r="AR20" s="22"/>
      <c r="AS20" s="23"/>
      <c r="AT20" s="22"/>
      <c r="AU20" s="270"/>
      <c r="AV20" s="22"/>
      <c r="AW20" s="22"/>
      <c r="AX20" s="22"/>
      <c r="AY20" s="22"/>
      <c r="AZ20" s="22"/>
      <c r="BA20" s="22"/>
      <c r="BB20" s="26"/>
      <c r="BC20" s="22"/>
      <c r="BD20" s="22"/>
      <c r="BE20" s="22"/>
      <c r="BF20" s="22"/>
      <c r="BG20" s="27"/>
      <c r="BH20" s="22"/>
      <c r="BI20" s="270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8"/>
      <c r="BV20" s="22"/>
      <c r="BW20" s="270"/>
      <c r="BX20" s="22"/>
      <c r="BY20" s="22"/>
      <c r="BZ20" s="22"/>
      <c r="CA20" s="22"/>
      <c r="CB20" s="22"/>
      <c r="CC20" s="22"/>
      <c r="CD20" s="22"/>
      <c r="CE20" s="22">
        <v>34501</v>
      </c>
      <c r="CF20" s="22">
        <v>18809</v>
      </c>
      <c r="CG20" s="22">
        <v>12618</v>
      </c>
      <c r="CH20" s="22"/>
      <c r="CJ20" s="22">
        <v>11940</v>
      </c>
      <c r="CK20" s="270">
        <v>19956</v>
      </c>
      <c r="CL20" s="22">
        <v>15650</v>
      </c>
      <c r="CM20" s="22">
        <v>11745</v>
      </c>
      <c r="CN20" s="22"/>
      <c r="CO20" s="22"/>
      <c r="CP20" s="22"/>
      <c r="CQ20" s="22"/>
      <c r="CR20" s="22"/>
      <c r="CS20" s="22"/>
      <c r="CT20" s="22"/>
      <c r="CU20" s="22"/>
      <c r="CV20" s="22"/>
      <c r="CX20" s="22"/>
      <c r="CY20" s="270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</row>
    <row r="21" spans="1:114">
      <c r="A21" s="19">
        <v>0</v>
      </c>
      <c r="B21" s="158" t="s">
        <v>40</v>
      </c>
      <c r="C21" s="159"/>
      <c r="D21" s="265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66"/>
      <c r="Q21" s="21"/>
      <c r="R21" s="265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67"/>
      <c r="AE21" s="23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5"/>
      <c r="AQ21" s="22"/>
      <c r="AR21" s="22"/>
      <c r="AS21" s="23"/>
      <c r="AT21" s="22"/>
      <c r="AU21" s="270"/>
      <c r="AV21" s="22"/>
      <c r="AW21" s="22"/>
      <c r="AX21" s="22"/>
      <c r="AY21" s="22"/>
      <c r="AZ21" s="22"/>
      <c r="BA21" s="22"/>
      <c r="BB21" s="26"/>
      <c r="BC21" s="22"/>
      <c r="BD21" s="22"/>
      <c r="BE21" s="22"/>
      <c r="BF21" s="22"/>
      <c r="BG21" s="27"/>
      <c r="BH21" s="22"/>
      <c r="BI21" s="270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8"/>
      <c r="BV21" s="22"/>
      <c r="BW21" s="270"/>
      <c r="BX21" s="22"/>
      <c r="BY21" s="22"/>
      <c r="BZ21" s="22"/>
      <c r="CA21" s="22"/>
      <c r="CB21" s="22"/>
      <c r="CC21" s="22"/>
      <c r="CD21" s="22"/>
      <c r="CE21" s="22">
        <v>12837</v>
      </c>
      <c r="CF21" s="22">
        <v>11839</v>
      </c>
      <c r="CG21" s="22">
        <v>20519</v>
      </c>
      <c r="CH21" s="22"/>
      <c r="CJ21" s="22">
        <v>17816</v>
      </c>
      <c r="CK21" s="270">
        <v>17432</v>
      </c>
      <c r="CL21" s="22">
        <v>21670</v>
      </c>
      <c r="CM21" s="22">
        <v>19814</v>
      </c>
      <c r="CN21" s="22"/>
      <c r="CO21" s="22"/>
      <c r="CP21" s="22"/>
      <c r="CQ21" s="22"/>
      <c r="CR21" s="22"/>
      <c r="CS21" s="22"/>
      <c r="CT21" s="22"/>
      <c r="CU21" s="22"/>
      <c r="CV21" s="22"/>
      <c r="CX21" s="22"/>
      <c r="CY21" s="270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</row>
    <row r="22" spans="1:114">
      <c r="A22" s="29"/>
      <c r="B22" s="272" t="s">
        <v>41</v>
      </c>
      <c r="C22" s="273"/>
      <c r="D22" s="274">
        <f t="shared" ref="D22:O22" si="22">D10-D17</f>
        <v>270670</v>
      </c>
      <c r="E22" s="30">
        <f t="shared" si="22"/>
        <v>282709</v>
      </c>
      <c r="F22" s="30">
        <f t="shared" si="22"/>
        <v>285223</v>
      </c>
      <c r="G22" s="30">
        <f t="shared" si="22"/>
        <v>287349</v>
      </c>
      <c r="H22" s="30">
        <f t="shared" si="22"/>
        <v>313961</v>
      </c>
      <c r="I22" s="30">
        <f t="shared" si="22"/>
        <v>362411</v>
      </c>
      <c r="J22" s="30">
        <f t="shared" si="22"/>
        <v>413467</v>
      </c>
      <c r="K22" s="30">
        <f t="shared" si="22"/>
        <v>415958</v>
      </c>
      <c r="L22" s="30">
        <f t="shared" si="22"/>
        <v>416931</v>
      </c>
      <c r="M22" s="30">
        <f t="shared" si="22"/>
        <v>294116</v>
      </c>
      <c r="N22" s="30">
        <f t="shared" si="22"/>
        <v>0</v>
      </c>
      <c r="O22" s="30">
        <f t="shared" si="22"/>
        <v>188264</v>
      </c>
      <c r="P22" s="275"/>
      <c r="Q22" s="31"/>
      <c r="R22" s="274">
        <f t="shared" ref="R22:AB22" si="23">R10-R17</f>
        <v>247843</v>
      </c>
      <c r="S22" s="32">
        <f t="shared" si="23"/>
        <v>306756</v>
      </c>
      <c r="T22" s="32">
        <f t="shared" si="23"/>
        <v>277250</v>
      </c>
      <c r="U22" s="32">
        <f t="shared" si="23"/>
        <v>262131</v>
      </c>
      <c r="V22" s="32">
        <f t="shared" si="23"/>
        <v>171617</v>
      </c>
      <c r="W22" s="32">
        <f t="shared" si="23"/>
        <v>235875</v>
      </c>
      <c r="X22" s="32">
        <f t="shared" si="23"/>
        <v>354012</v>
      </c>
      <c r="Y22" s="32">
        <f t="shared" si="23"/>
        <v>355542</v>
      </c>
      <c r="Z22" s="32">
        <f t="shared" si="23"/>
        <v>349213</v>
      </c>
      <c r="AA22" s="32">
        <f t="shared" si="23"/>
        <v>269352</v>
      </c>
      <c r="AB22" s="32">
        <f t="shared" si="23"/>
        <v>170626</v>
      </c>
      <c r="AC22" s="32"/>
      <c r="AD22" s="276"/>
      <c r="AE22" s="17"/>
      <c r="AF22" s="32">
        <f t="shared" ref="AF22:AQ22" si="24">AF10-AF17</f>
        <v>246973</v>
      </c>
      <c r="AG22" s="32">
        <f t="shared" si="24"/>
        <v>281087</v>
      </c>
      <c r="AH22" s="32">
        <f t="shared" si="24"/>
        <v>386469</v>
      </c>
      <c r="AI22" s="32">
        <f t="shared" si="24"/>
        <v>379017</v>
      </c>
      <c r="AJ22" s="32">
        <f t="shared" si="24"/>
        <v>400777</v>
      </c>
      <c r="AK22" s="32">
        <f t="shared" si="24"/>
        <v>465623</v>
      </c>
      <c r="AL22" s="32">
        <f t="shared" si="24"/>
        <v>472149</v>
      </c>
      <c r="AM22" s="32">
        <f t="shared" si="24"/>
        <v>492339</v>
      </c>
      <c r="AN22" s="32">
        <f t="shared" si="24"/>
        <v>450428</v>
      </c>
      <c r="AO22" s="32">
        <f t="shared" si="24"/>
        <v>391441</v>
      </c>
      <c r="AP22" s="32">
        <f t="shared" si="24"/>
        <v>325482</v>
      </c>
      <c r="AQ22" s="32">
        <f t="shared" si="24"/>
        <v>321014</v>
      </c>
      <c r="AR22" s="32">
        <f t="shared" si="10"/>
        <v>321014</v>
      </c>
      <c r="AS22" s="17"/>
      <c r="AT22" s="32">
        <f t="shared" ref="AT22:BE22" si="25">AT10-AT17</f>
        <v>350303</v>
      </c>
      <c r="AU22" s="32">
        <f t="shared" si="25"/>
        <v>323931</v>
      </c>
      <c r="AV22" s="32">
        <f t="shared" si="25"/>
        <v>307980</v>
      </c>
      <c r="AW22" s="32">
        <f t="shared" si="25"/>
        <v>292777</v>
      </c>
      <c r="AX22" s="32">
        <f t="shared" si="25"/>
        <v>296754</v>
      </c>
      <c r="AY22" s="32">
        <f t="shared" si="25"/>
        <v>344037</v>
      </c>
      <c r="AZ22" s="32">
        <f t="shared" si="25"/>
        <v>367566</v>
      </c>
      <c r="BA22" s="32">
        <f t="shared" si="25"/>
        <v>372442</v>
      </c>
      <c r="BB22" s="32">
        <f t="shared" si="25"/>
        <v>375154</v>
      </c>
      <c r="BC22" s="32">
        <f t="shared" si="25"/>
        <v>340466</v>
      </c>
      <c r="BD22" s="32">
        <f t="shared" si="25"/>
        <v>314581</v>
      </c>
      <c r="BE22" s="32">
        <f t="shared" si="25"/>
        <v>253219</v>
      </c>
      <c r="BF22" s="32">
        <f t="shared" si="12"/>
        <v>253219</v>
      </c>
      <c r="BG22" s="17"/>
      <c r="BH22" s="32">
        <f t="shared" ref="BH22:BQ22" si="26">BH10-BH17</f>
        <v>307512</v>
      </c>
      <c r="BI22" s="32">
        <f t="shared" si="26"/>
        <v>302058</v>
      </c>
      <c r="BJ22" s="32">
        <f t="shared" si="26"/>
        <v>315841</v>
      </c>
      <c r="BK22" s="32">
        <f t="shared" si="26"/>
        <v>306027</v>
      </c>
      <c r="BL22" s="32">
        <f t="shared" si="26"/>
        <v>299077</v>
      </c>
      <c r="BM22" s="32">
        <f t="shared" si="26"/>
        <v>293121</v>
      </c>
      <c r="BN22" s="32">
        <f t="shared" si="26"/>
        <v>335286</v>
      </c>
      <c r="BO22" s="32">
        <f t="shared" si="26"/>
        <v>322561</v>
      </c>
      <c r="BP22" s="32">
        <f t="shared" si="26"/>
        <v>304307</v>
      </c>
      <c r="BQ22" s="32">
        <f t="shared" si="26"/>
        <v>280100</v>
      </c>
      <c r="BR22" s="32">
        <f>BR10-BR17</f>
        <v>215852</v>
      </c>
      <c r="BS22" s="32">
        <f>BS10-BS17</f>
        <v>188982</v>
      </c>
      <c r="BT22" s="32">
        <f>BS22</f>
        <v>188982</v>
      </c>
      <c r="BU22" s="28"/>
      <c r="BV22" s="32">
        <f t="shared" ref="BV22:CC22" si="27">BV15-BV17-BV18</f>
        <v>146255</v>
      </c>
      <c r="BW22" s="32">
        <f t="shared" si="27"/>
        <v>155653</v>
      </c>
      <c r="BX22" s="32">
        <f t="shared" si="27"/>
        <v>86338</v>
      </c>
      <c r="BY22" s="32">
        <f t="shared" si="27"/>
        <v>106862</v>
      </c>
      <c r="BZ22" s="32">
        <f t="shared" si="27"/>
        <v>112822</v>
      </c>
      <c r="CA22" s="32">
        <f t="shared" si="27"/>
        <v>149996</v>
      </c>
      <c r="CB22" s="32">
        <f t="shared" si="27"/>
        <v>145027</v>
      </c>
      <c r="CC22" s="32">
        <f t="shared" si="27"/>
        <v>102851</v>
      </c>
      <c r="CD22" s="32">
        <f>CD15-CD17-CD18</f>
        <v>116047</v>
      </c>
      <c r="CE22" s="32">
        <f>CE15-CE17-CE18</f>
        <v>86207</v>
      </c>
      <c r="CF22" s="32">
        <f>CF15-CF17-CF18</f>
        <v>109973</v>
      </c>
      <c r="CG22" s="32">
        <f>CG15-CG17-CG18</f>
        <v>94532</v>
      </c>
      <c r="CH22" s="32">
        <f t="shared" ref="CH22" si="28">CH15-CH17-CH18</f>
        <v>94532</v>
      </c>
      <c r="CJ22" s="32">
        <f t="shared" ref="CJ22:CU22" si="29">CJ15-CJ17-CJ18</f>
        <v>78423</v>
      </c>
      <c r="CK22" s="32">
        <f t="shared" si="29"/>
        <v>78497</v>
      </c>
      <c r="CL22" s="32">
        <f t="shared" si="29"/>
        <v>75052</v>
      </c>
      <c r="CM22" s="32">
        <f t="shared" si="29"/>
        <v>93767</v>
      </c>
      <c r="CN22" s="32">
        <f t="shared" si="29"/>
        <v>210060.05</v>
      </c>
      <c r="CO22" s="32">
        <f t="shared" si="29"/>
        <v>294129.17</v>
      </c>
      <c r="CP22" s="32">
        <f t="shared" si="29"/>
        <v>296409.07999999996</v>
      </c>
      <c r="CQ22" s="32">
        <f t="shared" si="29"/>
        <v>292013.76999999996</v>
      </c>
      <c r="CR22" s="32">
        <f t="shared" si="29"/>
        <v>228860.12999999998</v>
      </c>
      <c r="CS22" s="32">
        <f t="shared" si="29"/>
        <v>210943.21</v>
      </c>
      <c r="CT22" s="32">
        <f t="shared" si="29"/>
        <v>219158.11999999997</v>
      </c>
      <c r="CU22" s="32">
        <f t="shared" si="29"/>
        <v>232974.3</v>
      </c>
      <c r="CV22" s="32">
        <v>116080.10690622788</v>
      </c>
      <c r="CX22" s="32">
        <v>242497</v>
      </c>
      <c r="CY22" s="32">
        <v>234422.08006563294</v>
      </c>
      <c r="CZ22" s="32">
        <v>194348.7132915963</v>
      </c>
      <c r="DA22" s="32">
        <v>223062.99421980139</v>
      </c>
      <c r="DB22" s="32">
        <v>228884.86858944659</v>
      </c>
      <c r="DC22" s="32">
        <v>240669.78918926936</v>
      </c>
      <c r="DD22" s="32">
        <v>234679.65868928705</v>
      </c>
      <c r="DE22" s="32">
        <v>197008.01236523816</v>
      </c>
      <c r="DF22" s="32">
        <v>148007.96159444697</v>
      </c>
      <c r="DG22" s="32">
        <v>111276.29521213027</v>
      </c>
      <c r="DH22" s="32">
        <v>93072.105643725808</v>
      </c>
      <c r="DI22" s="32">
        <v>116080.10690622788</v>
      </c>
      <c r="DJ22" s="32">
        <v>116080.10690622788</v>
      </c>
    </row>
    <row r="23" spans="1:114">
      <c r="A23" s="13" t="s">
        <v>42</v>
      </c>
      <c r="B23" s="259"/>
      <c r="C23" s="260" t="s">
        <v>43</v>
      </c>
      <c r="D23" s="277">
        <f>D15-D17</f>
        <v>162884</v>
      </c>
      <c r="E23" s="33">
        <f t="shared" ref="E23:O23" si="30">E15+E19-E17-E60</f>
        <v>200610</v>
      </c>
      <c r="F23" s="33">
        <f t="shared" si="30"/>
        <v>192475</v>
      </c>
      <c r="G23" s="33">
        <f t="shared" si="30"/>
        <v>231853</v>
      </c>
      <c r="H23" s="33">
        <f t="shared" si="30"/>
        <v>253292</v>
      </c>
      <c r="I23" s="33">
        <f t="shared" si="30"/>
        <v>305688</v>
      </c>
      <c r="J23" s="33">
        <f t="shared" si="30"/>
        <v>355297</v>
      </c>
      <c r="K23" s="33">
        <f t="shared" si="30"/>
        <v>367201</v>
      </c>
      <c r="L23" s="33">
        <f t="shared" si="30"/>
        <v>407523</v>
      </c>
      <c r="M23" s="33">
        <f t="shared" si="30"/>
        <v>297747</v>
      </c>
      <c r="N23" s="33">
        <f t="shared" si="30"/>
        <v>0</v>
      </c>
      <c r="O23" s="33">
        <f t="shared" si="30"/>
        <v>143875</v>
      </c>
      <c r="P23" s="262">
        <f>J23</f>
        <v>355297</v>
      </c>
      <c r="Q23" s="15"/>
      <c r="R23" s="277">
        <f>R15-R17</f>
        <v>172568</v>
      </c>
      <c r="S23" s="14">
        <f t="shared" ref="S23:AC23" si="31">S15+S19-S17-S60</f>
        <v>244205</v>
      </c>
      <c r="T23" s="14">
        <f t="shared" si="31"/>
        <v>237108</v>
      </c>
      <c r="U23" s="14">
        <f t="shared" si="31"/>
        <v>222510</v>
      </c>
      <c r="V23" s="14">
        <f t="shared" si="31"/>
        <v>179647</v>
      </c>
      <c r="W23" s="14">
        <f t="shared" si="31"/>
        <v>289587</v>
      </c>
      <c r="X23" s="14">
        <f t="shared" si="31"/>
        <v>281331</v>
      </c>
      <c r="Y23" s="14">
        <f t="shared" si="31"/>
        <v>325686</v>
      </c>
      <c r="Z23" s="14">
        <f t="shared" si="31"/>
        <v>319329</v>
      </c>
      <c r="AA23" s="14">
        <f t="shared" si="31"/>
        <v>268663</v>
      </c>
      <c r="AB23" s="14">
        <f t="shared" si="31"/>
        <v>187543</v>
      </c>
      <c r="AC23" s="14">
        <f t="shared" si="31"/>
        <v>196995</v>
      </c>
      <c r="AD23" s="263">
        <f>X23</f>
        <v>281331</v>
      </c>
      <c r="AE23" s="16"/>
      <c r="AF23" s="14">
        <f t="shared" ref="AF23:AQ23" si="32">AF15+AF17+AF16</f>
        <v>228387</v>
      </c>
      <c r="AG23" s="14">
        <f t="shared" si="32"/>
        <v>263548</v>
      </c>
      <c r="AH23" s="14">
        <f t="shared" si="32"/>
        <v>366224</v>
      </c>
      <c r="AI23" s="14">
        <f t="shared" si="32"/>
        <v>361348</v>
      </c>
      <c r="AJ23" s="14">
        <f t="shared" si="32"/>
        <v>384008</v>
      </c>
      <c r="AK23" s="14">
        <f t="shared" si="32"/>
        <v>434489</v>
      </c>
      <c r="AL23" s="14">
        <f t="shared" si="32"/>
        <v>436438</v>
      </c>
      <c r="AM23" s="14">
        <f t="shared" si="32"/>
        <v>463198</v>
      </c>
      <c r="AN23" s="14">
        <f t="shared" si="32"/>
        <v>425121</v>
      </c>
      <c r="AO23" s="14">
        <f t="shared" si="32"/>
        <v>355477</v>
      </c>
      <c r="AP23" s="14">
        <f t="shared" si="32"/>
        <v>288104</v>
      </c>
      <c r="AQ23" s="14">
        <f t="shared" si="32"/>
        <v>298855</v>
      </c>
      <c r="AR23" s="14">
        <f t="shared" si="10"/>
        <v>298855</v>
      </c>
      <c r="AS23" s="17"/>
      <c r="AT23" s="14">
        <f t="shared" ref="AT23:BE23" si="33">AT15+AT17+AT16</f>
        <v>326269</v>
      </c>
      <c r="AU23" s="14">
        <f t="shared" si="33"/>
        <v>301870</v>
      </c>
      <c r="AV23" s="14">
        <f t="shared" si="33"/>
        <v>285491</v>
      </c>
      <c r="AW23" s="14">
        <f t="shared" si="33"/>
        <v>267653</v>
      </c>
      <c r="AX23" s="14">
        <f t="shared" si="33"/>
        <v>273960</v>
      </c>
      <c r="AY23" s="14">
        <f t="shared" si="33"/>
        <v>326260</v>
      </c>
      <c r="AZ23" s="14">
        <f t="shared" si="33"/>
        <v>333221</v>
      </c>
      <c r="BA23" s="14">
        <f t="shared" si="33"/>
        <v>354862</v>
      </c>
      <c r="BB23" s="14">
        <f t="shared" si="33"/>
        <v>348162</v>
      </c>
      <c r="BC23" s="14">
        <f t="shared" si="33"/>
        <v>319093</v>
      </c>
      <c r="BD23" s="14">
        <f t="shared" si="33"/>
        <v>293379</v>
      </c>
      <c r="BE23" s="14">
        <f t="shared" si="33"/>
        <v>234110</v>
      </c>
      <c r="BF23" s="32">
        <f t="shared" ref="BF23:BF24" si="34">SUM(AT23:BE23)</f>
        <v>3664330</v>
      </c>
      <c r="BG23" s="17"/>
      <c r="BH23" s="14">
        <f t="shared" ref="BH23:BS23" si="35">BH15+BH17+BH16</f>
        <v>285296</v>
      </c>
      <c r="BI23" s="14">
        <f t="shared" si="35"/>
        <v>282956</v>
      </c>
      <c r="BJ23" s="14">
        <f t="shared" si="35"/>
        <v>295165</v>
      </c>
      <c r="BK23" s="14">
        <f t="shared" si="35"/>
        <v>286135</v>
      </c>
      <c r="BL23" s="14">
        <f t="shared" si="35"/>
        <v>250340</v>
      </c>
      <c r="BM23" s="14">
        <f t="shared" si="35"/>
        <v>247600</v>
      </c>
      <c r="BN23" s="14">
        <f t="shared" si="35"/>
        <v>293505</v>
      </c>
      <c r="BO23" s="14">
        <f t="shared" si="35"/>
        <v>274542</v>
      </c>
      <c r="BP23" s="14">
        <f t="shared" si="35"/>
        <v>260352</v>
      </c>
      <c r="BQ23" s="14">
        <f>BQ15+BQ17+BQ16</f>
        <v>238595</v>
      </c>
      <c r="BR23" s="14">
        <f t="shared" si="35"/>
        <v>187546</v>
      </c>
      <c r="BS23" s="14">
        <f t="shared" si="35"/>
        <v>189617</v>
      </c>
      <c r="BT23" s="14">
        <f t="shared" si="21"/>
        <v>189617</v>
      </c>
      <c r="BU23" s="18"/>
      <c r="BV23" s="14">
        <f>BV15+BV17+BV16</f>
        <v>171889</v>
      </c>
      <c r="BW23" s="14">
        <f>BW15+BW19+BW16</f>
        <v>193178</v>
      </c>
      <c r="BX23" s="14">
        <f>BX15+BX17+BX16</f>
        <v>228367</v>
      </c>
      <c r="BY23" s="14">
        <f>BY15+BY17+BY16</f>
        <v>261297</v>
      </c>
      <c r="BZ23" s="14">
        <f>BZ15+BZ17+BZ16</f>
        <v>277757</v>
      </c>
      <c r="CA23" s="14">
        <f>CA15+CA17+CA16</f>
        <v>329719</v>
      </c>
      <c r="CB23" s="14">
        <f>CB15+CB17+CB16</f>
        <v>316656</v>
      </c>
      <c r="CC23" s="14">
        <f>CC15+CC17+CC16</f>
        <v>290388</v>
      </c>
      <c r="CD23" s="14">
        <f>CD15+CD17+CD16</f>
        <v>185778</v>
      </c>
      <c r="CE23" s="14">
        <f>CE15+CE17+CE16</f>
        <v>153110</v>
      </c>
      <c r="CF23" s="14">
        <f>CF15+CF17+CF16</f>
        <v>170562</v>
      </c>
      <c r="CG23" s="14">
        <f>CG15+CG17+CG16</f>
        <v>167396</v>
      </c>
      <c r="CH23" s="14">
        <f t="shared" si="18"/>
        <v>167396</v>
      </c>
      <c r="CJ23" s="14">
        <v>224424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X23" s="14">
        <v>224424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</row>
    <row r="24" spans="1:114">
      <c r="A24" s="34" t="s">
        <v>44</v>
      </c>
      <c r="B24" s="278"/>
      <c r="C24" s="445" t="s">
        <v>45</v>
      </c>
      <c r="D24" s="277">
        <f t="shared" ref="D24:O24" si="36">D10-D19-D17</f>
        <v>264261</v>
      </c>
      <c r="E24" s="33">
        <f t="shared" si="36"/>
        <v>275849</v>
      </c>
      <c r="F24" s="33">
        <f t="shared" si="36"/>
        <v>280253</v>
      </c>
      <c r="G24" s="33">
        <f t="shared" si="36"/>
        <v>256146</v>
      </c>
      <c r="H24" s="33">
        <f t="shared" si="36"/>
        <v>282462</v>
      </c>
      <c r="I24" s="33">
        <f t="shared" si="36"/>
        <v>336508</v>
      </c>
      <c r="J24" s="33">
        <f t="shared" si="36"/>
        <v>394861</v>
      </c>
      <c r="K24" s="33">
        <f t="shared" si="36"/>
        <v>399944</v>
      </c>
      <c r="L24" s="33">
        <f t="shared" si="36"/>
        <v>403515</v>
      </c>
      <c r="M24" s="33">
        <f t="shared" si="36"/>
        <v>254037</v>
      </c>
      <c r="N24" s="33">
        <f t="shared" si="36"/>
        <v>0</v>
      </c>
      <c r="O24" s="33">
        <f t="shared" si="36"/>
        <v>188264</v>
      </c>
      <c r="P24" s="262">
        <f t="shared" ref="P24:P25" si="37">O24</f>
        <v>188264</v>
      </c>
      <c r="Q24" s="15"/>
      <c r="R24" s="277">
        <f t="shared" ref="R24:AC24" si="38">R10-R19-R17</f>
        <v>244467</v>
      </c>
      <c r="S24" s="14">
        <f t="shared" si="38"/>
        <v>295020</v>
      </c>
      <c r="T24" s="14">
        <f t="shared" si="38"/>
        <v>254796</v>
      </c>
      <c r="U24" s="14">
        <f t="shared" si="38"/>
        <v>240747</v>
      </c>
      <c r="V24" s="14">
        <f t="shared" si="38"/>
        <v>104747</v>
      </c>
      <c r="W24" s="14">
        <f t="shared" si="38"/>
        <v>162106</v>
      </c>
      <c r="X24" s="14">
        <f t="shared" si="38"/>
        <v>340068</v>
      </c>
      <c r="Y24" s="14">
        <f t="shared" si="38"/>
        <v>322792</v>
      </c>
      <c r="Z24" s="14">
        <f t="shared" si="38"/>
        <v>330677</v>
      </c>
      <c r="AA24" s="14">
        <f t="shared" si="38"/>
        <v>229141</v>
      </c>
      <c r="AB24" s="14">
        <f t="shared" si="38"/>
        <v>126169</v>
      </c>
      <c r="AC24" s="14">
        <f t="shared" si="38"/>
        <v>173047</v>
      </c>
      <c r="AD24" s="263">
        <f t="shared" ref="AD24:AD25" si="39">AC24</f>
        <v>173047</v>
      </c>
      <c r="AE24" s="16"/>
      <c r="AF24" s="261">
        <f t="shared" ref="AF24:AQ24" si="40">AF23-AF17</f>
        <v>220021</v>
      </c>
      <c r="AG24" s="261">
        <f t="shared" si="40"/>
        <v>252014</v>
      </c>
      <c r="AH24" s="261">
        <f t="shared" si="40"/>
        <v>354717</v>
      </c>
      <c r="AI24" s="261">
        <f t="shared" si="40"/>
        <v>352200</v>
      </c>
      <c r="AJ24" s="261">
        <f t="shared" si="40"/>
        <v>375484</v>
      </c>
      <c r="AK24" s="261">
        <f t="shared" si="40"/>
        <v>409199</v>
      </c>
      <c r="AL24" s="261">
        <f t="shared" si="40"/>
        <v>345358</v>
      </c>
      <c r="AM24" s="261">
        <f t="shared" si="40"/>
        <v>396368</v>
      </c>
      <c r="AN24" s="261">
        <f t="shared" si="40"/>
        <v>388255</v>
      </c>
      <c r="AO24" s="261">
        <f t="shared" si="40"/>
        <v>339304</v>
      </c>
      <c r="AP24" s="261">
        <f t="shared" si="40"/>
        <v>109830</v>
      </c>
      <c r="AQ24" s="261">
        <f t="shared" si="40"/>
        <v>88190</v>
      </c>
      <c r="AR24" s="14">
        <f t="shared" si="10"/>
        <v>88190</v>
      </c>
      <c r="AS24" s="17"/>
      <c r="AT24" s="261">
        <f t="shared" ref="AT24:BE24" si="41">AT23-AT17</f>
        <v>205194</v>
      </c>
      <c r="AU24" s="261">
        <f t="shared" si="41"/>
        <v>152494</v>
      </c>
      <c r="AV24" s="261">
        <f t="shared" si="41"/>
        <v>180953</v>
      </c>
      <c r="AW24" s="261">
        <f t="shared" si="41"/>
        <v>162391</v>
      </c>
      <c r="AX24" s="261">
        <f t="shared" si="41"/>
        <v>152887</v>
      </c>
      <c r="AY24" s="261">
        <f t="shared" si="41"/>
        <v>162329</v>
      </c>
      <c r="AZ24" s="261">
        <f t="shared" si="41"/>
        <v>223257</v>
      </c>
      <c r="BA24" s="261">
        <f t="shared" si="41"/>
        <v>206596</v>
      </c>
      <c r="BB24" s="261">
        <f t="shared" si="41"/>
        <v>217465</v>
      </c>
      <c r="BC24" s="261">
        <f t="shared" si="41"/>
        <v>205314</v>
      </c>
      <c r="BD24" s="261">
        <f t="shared" si="41"/>
        <v>202260</v>
      </c>
      <c r="BE24" s="261">
        <f t="shared" si="41"/>
        <v>130824</v>
      </c>
      <c r="BF24" s="32">
        <f t="shared" si="34"/>
        <v>2201964</v>
      </c>
      <c r="BG24" s="35">
        <f>SUM(AT27:AY27)/SUM(AF61:AK61)-1</f>
        <v>0.2283258050797119</v>
      </c>
      <c r="BH24" s="416">
        <f t="shared" ref="BH24:BS24" si="42">BH23-BH17</f>
        <v>235665</v>
      </c>
      <c r="BI24" s="416">
        <f t="shared" si="42"/>
        <v>230003</v>
      </c>
      <c r="BJ24" s="416">
        <f t="shared" si="42"/>
        <v>266725</v>
      </c>
      <c r="BK24" s="416">
        <f t="shared" si="42"/>
        <v>202534</v>
      </c>
      <c r="BL24" s="417">
        <f t="shared" si="42"/>
        <v>224528</v>
      </c>
      <c r="BM24" s="417">
        <f t="shared" si="42"/>
        <v>188055</v>
      </c>
      <c r="BN24" s="417">
        <f t="shared" si="42"/>
        <v>210070</v>
      </c>
      <c r="BO24" s="417">
        <f t="shared" si="42"/>
        <v>240501</v>
      </c>
      <c r="BP24" s="417">
        <f t="shared" si="42"/>
        <v>237953</v>
      </c>
      <c r="BQ24" s="417">
        <f t="shared" si="42"/>
        <v>213708</v>
      </c>
      <c r="BR24" s="417">
        <f t="shared" si="42"/>
        <v>175363</v>
      </c>
      <c r="BS24" s="417">
        <f t="shared" si="42"/>
        <v>177434</v>
      </c>
      <c r="BT24" s="417">
        <f t="shared" si="21"/>
        <v>177434</v>
      </c>
      <c r="BU24" s="18"/>
      <c r="BV24" s="261">
        <f>BV23-BV17</f>
        <v>166673</v>
      </c>
      <c r="BW24" s="261">
        <f>BW23-BW17</f>
        <v>193178</v>
      </c>
      <c r="BX24" s="261">
        <f>BX23-BX17</f>
        <v>163094</v>
      </c>
      <c r="BY24" s="416">
        <f>BY23-BY17</f>
        <v>191115</v>
      </c>
      <c r="BZ24" s="417">
        <f>BZ23-BZ17</f>
        <v>220098</v>
      </c>
      <c r="CA24" s="417">
        <f>CA23-CA17</f>
        <v>258050</v>
      </c>
      <c r="CB24" s="417">
        <f>CB23-CB17</f>
        <v>243578</v>
      </c>
      <c r="CC24" s="417">
        <f>CC23-CC17</f>
        <v>205086</v>
      </c>
      <c r="CD24" s="417">
        <f>CD23-CD17</f>
        <v>160435</v>
      </c>
      <c r="CE24" s="417">
        <f>CE23-CE17</f>
        <v>134080</v>
      </c>
      <c r="CF24" s="417">
        <f>CF23-CF17</f>
        <v>151140</v>
      </c>
      <c r="CG24" s="417">
        <f>CG23-CG17</f>
        <v>141469</v>
      </c>
      <c r="CH24" s="417">
        <f t="shared" si="18"/>
        <v>141469</v>
      </c>
      <c r="CJ24" s="261">
        <v>219208</v>
      </c>
      <c r="CK24" s="261">
        <v>0</v>
      </c>
      <c r="CL24" s="261">
        <v>0</v>
      </c>
      <c r="CM24" s="416">
        <v>0</v>
      </c>
      <c r="CN24" s="417">
        <v>0</v>
      </c>
      <c r="CO24" s="417">
        <v>0</v>
      </c>
      <c r="CP24" s="417">
        <v>0</v>
      </c>
      <c r="CQ24" s="417">
        <v>0</v>
      </c>
      <c r="CR24" s="417">
        <v>0</v>
      </c>
      <c r="CS24" s="417">
        <v>0</v>
      </c>
      <c r="CT24" s="417">
        <v>0</v>
      </c>
      <c r="CU24" s="417">
        <v>0</v>
      </c>
      <c r="CV24" s="417">
        <v>0</v>
      </c>
      <c r="CX24" s="261">
        <v>219208</v>
      </c>
      <c r="CY24" s="261">
        <v>0</v>
      </c>
      <c r="CZ24" s="261">
        <v>0</v>
      </c>
      <c r="DA24" s="416">
        <v>0</v>
      </c>
      <c r="DB24" s="417">
        <v>0</v>
      </c>
      <c r="DC24" s="417">
        <v>0</v>
      </c>
      <c r="DD24" s="417">
        <v>0</v>
      </c>
      <c r="DE24" s="417">
        <v>0</v>
      </c>
      <c r="DF24" s="417">
        <v>0</v>
      </c>
      <c r="DG24" s="417">
        <v>0</v>
      </c>
      <c r="DH24" s="417">
        <v>0</v>
      </c>
      <c r="DI24" s="417">
        <v>0</v>
      </c>
      <c r="DJ24" s="417">
        <v>0</v>
      </c>
    </row>
    <row r="25" spans="1:114" ht="15.75">
      <c r="A25" s="447" t="s">
        <v>46</v>
      </c>
      <c r="B25" s="448"/>
      <c r="C25" s="449" t="s">
        <v>47</v>
      </c>
      <c r="D25" s="281">
        <f t="shared" ref="D25:O25" si="43">D10</f>
        <v>304786</v>
      </c>
      <c r="E25" s="37">
        <f t="shared" si="43"/>
        <v>311986</v>
      </c>
      <c r="F25" s="37">
        <f t="shared" si="43"/>
        <v>328231</v>
      </c>
      <c r="G25" s="37">
        <f t="shared" si="43"/>
        <v>317873</v>
      </c>
      <c r="H25" s="37">
        <f t="shared" si="43"/>
        <v>347196</v>
      </c>
      <c r="I25" s="37">
        <f t="shared" si="43"/>
        <v>402253</v>
      </c>
      <c r="J25" s="37">
        <f t="shared" si="43"/>
        <v>454488</v>
      </c>
      <c r="K25" s="37">
        <f t="shared" si="43"/>
        <v>447182</v>
      </c>
      <c r="L25" s="37">
        <f t="shared" si="43"/>
        <v>416931</v>
      </c>
      <c r="M25" s="37">
        <f t="shared" si="43"/>
        <v>304402</v>
      </c>
      <c r="N25" s="37">
        <f t="shared" si="43"/>
        <v>0</v>
      </c>
      <c r="O25" s="37">
        <f t="shared" si="43"/>
        <v>188264</v>
      </c>
      <c r="P25" s="38">
        <f t="shared" si="37"/>
        <v>188264</v>
      </c>
      <c r="Q25" s="39"/>
      <c r="R25" s="40">
        <f t="shared" ref="R25:AC25" si="44">R10</f>
        <v>283359</v>
      </c>
      <c r="S25" s="41">
        <f t="shared" si="44"/>
        <v>342718</v>
      </c>
      <c r="T25" s="41">
        <f t="shared" si="44"/>
        <v>313212</v>
      </c>
      <c r="U25" s="41">
        <f t="shared" si="44"/>
        <v>298093</v>
      </c>
      <c r="V25" s="41">
        <f t="shared" si="44"/>
        <v>206617</v>
      </c>
      <c r="W25" s="41">
        <f t="shared" si="44"/>
        <v>235875</v>
      </c>
      <c r="X25" s="41">
        <f t="shared" si="44"/>
        <v>360135</v>
      </c>
      <c r="Y25" s="41">
        <f t="shared" si="44"/>
        <v>361665</v>
      </c>
      <c r="Z25" s="41">
        <f t="shared" si="44"/>
        <v>353400</v>
      </c>
      <c r="AA25" s="41">
        <f t="shared" si="44"/>
        <v>272097</v>
      </c>
      <c r="AB25" s="41">
        <f t="shared" si="44"/>
        <v>170626</v>
      </c>
      <c r="AC25" s="41">
        <f t="shared" si="44"/>
        <v>197551</v>
      </c>
      <c r="AD25" s="229">
        <f t="shared" si="39"/>
        <v>197551</v>
      </c>
      <c r="AE25" s="42"/>
      <c r="AF25" s="41">
        <f>AF10-AF60</f>
        <v>255339</v>
      </c>
      <c r="AG25" s="41">
        <f t="shared" ref="AG25:AQ25" si="45">AG10-AG60</f>
        <v>292621</v>
      </c>
      <c r="AH25" s="41">
        <f t="shared" si="45"/>
        <v>397976</v>
      </c>
      <c r="AI25" s="41">
        <f t="shared" si="45"/>
        <v>388165</v>
      </c>
      <c r="AJ25" s="41">
        <f t="shared" si="45"/>
        <v>409301</v>
      </c>
      <c r="AK25" s="41">
        <f t="shared" si="45"/>
        <v>490913</v>
      </c>
      <c r="AL25" s="41">
        <f t="shared" si="45"/>
        <v>563229</v>
      </c>
      <c r="AM25" s="41">
        <f t="shared" si="45"/>
        <v>559169</v>
      </c>
      <c r="AN25" s="41">
        <f t="shared" si="45"/>
        <v>487294</v>
      </c>
      <c r="AO25" s="41">
        <f t="shared" si="45"/>
        <v>407614</v>
      </c>
      <c r="AP25" s="41">
        <f t="shared" si="45"/>
        <v>503756</v>
      </c>
      <c r="AQ25" s="41">
        <f t="shared" si="45"/>
        <v>522741</v>
      </c>
      <c r="AR25" s="41">
        <f t="shared" si="10"/>
        <v>522741</v>
      </c>
      <c r="AS25" s="42"/>
      <c r="AT25" s="41">
        <f t="shared" ref="AT25:BB25" si="46">AT10-AT60</f>
        <v>364736</v>
      </c>
      <c r="AU25" s="41">
        <f t="shared" si="46"/>
        <v>382608</v>
      </c>
      <c r="AV25" s="41">
        <f t="shared" si="46"/>
        <v>322837</v>
      </c>
      <c r="AW25" s="41">
        <f t="shared" si="46"/>
        <v>339249</v>
      </c>
      <c r="AX25" s="41">
        <f t="shared" si="46"/>
        <v>382307</v>
      </c>
      <c r="AY25" s="41">
        <f t="shared" si="46"/>
        <v>446417</v>
      </c>
      <c r="AZ25" s="41">
        <f t="shared" si="46"/>
        <v>406019</v>
      </c>
      <c r="BA25" s="41">
        <f t="shared" si="46"/>
        <v>457091</v>
      </c>
      <c r="BB25" s="41">
        <f t="shared" si="46"/>
        <v>439103</v>
      </c>
      <c r="BC25" s="41">
        <f>BB25-BC27+BC71-BC60</f>
        <v>267702.70924434217</v>
      </c>
      <c r="BD25" s="41">
        <f>BC25-BD27+BD71-BD60</f>
        <v>224792.12236286921</v>
      </c>
      <c r="BE25" s="41">
        <f>BD25-BE27+BE71-BE60</f>
        <v>209302.50939777523</v>
      </c>
      <c r="BF25" s="41">
        <f>BE25</f>
        <v>209302.50939777523</v>
      </c>
      <c r="BG25" s="43">
        <f>BG27/AR27</f>
        <v>7.0333736034655189E-2</v>
      </c>
      <c r="BH25" s="41">
        <f t="shared" ref="BH25:BS25" si="47">BH10-BH60</f>
        <v>287739</v>
      </c>
      <c r="BI25" s="41">
        <f t="shared" si="47"/>
        <v>274599</v>
      </c>
      <c r="BJ25" s="41">
        <f t="shared" si="47"/>
        <v>249895</v>
      </c>
      <c r="BK25" s="41">
        <f t="shared" si="47"/>
        <v>311315</v>
      </c>
      <c r="BL25" s="41">
        <f t="shared" si="47"/>
        <v>277855</v>
      </c>
      <c r="BM25" s="41">
        <f t="shared" si="47"/>
        <v>301815</v>
      </c>
      <c r="BN25" s="41">
        <f t="shared" si="47"/>
        <v>325519</v>
      </c>
      <c r="BO25" s="41">
        <f t="shared" si="47"/>
        <v>255915</v>
      </c>
      <c r="BP25" s="41">
        <f t="shared" si="47"/>
        <v>198711</v>
      </c>
      <c r="BQ25" s="41">
        <f t="shared" si="47"/>
        <v>182301</v>
      </c>
      <c r="BR25" s="41">
        <f t="shared" si="47"/>
        <v>228035</v>
      </c>
      <c r="BS25" s="41">
        <f t="shared" si="47"/>
        <v>201165</v>
      </c>
      <c r="BT25" s="41">
        <f t="shared" si="21"/>
        <v>201165</v>
      </c>
      <c r="BU25" s="45"/>
      <c r="BV25" s="41">
        <f>BV10-BV60</f>
        <v>247713</v>
      </c>
      <c r="BW25" s="41">
        <f>BW10-BW60</f>
        <v>278707</v>
      </c>
      <c r="BX25" s="41">
        <f>BX10-BX60</f>
        <v>281829</v>
      </c>
      <c r="BY25" s="41">
        <f>BY10-BY60</f>
        <v>317753</v>
      </c>
      <c r="BZ25" s="41">
        <f>BZ10-BZ60</f>
        <v>270339</v>
      </c>
      <c r="CA25" s="41">
        <f>CA10-CA60</f>
        <v>310383</v>
      </c>
      <c r="CB25" s="41">
        <f>CB10-CB60</f>
        <v>328365</v>
      </c>
      <c r="CC25" s="41">
        <f>CC10-CC60</f>
        <v>333476</v>
      </c>
      <c r="CD25" s="41">
        <f>CD10-CD60</f>
        <v>306264</v>
      </c>
      <c r="CE25" s="41">
        <f>CE10-CE60</f>
        <v>270370</v>
      </c>
      <c r="CF25" s="41">
        <f>CF10-CF60</f>
        <v>194014</v>
      </c>
      <c r="CG25" s="41">
        <f>CG10-CG60</f>
        <v>182266</v>
      </c>
      <c r="CH25" s="41">
        <f t="shared" si="18"/>
        <v>182266</v>
      </c>
      <c r="CJ25" s="41">
        <v>247713</v>
      </c>
      <c r="CK25" s="41">
        <v>234422.08006563294</v>
      </c>
      <c r="CL25" s="41">
        <v>194348.7132915963</v>
      </c>
      <c r="CM25" s="41">
        <v>223062.99421980139</v>
      </c>
      <c r="CN25" s="41">
        <v>228884.86858944659</v>
      </c>
      <c r="CO25" s="41">
        <v>240669.78918926936</v>
      </c>
      <c r="CP25" s="41">
        <v>234679.65868928705</v>
      </c>
      <c r="CQ25" s="41">
        <v>197008.01236523816</v>
      </c>
      <c r="CR25" s="41">
        <v>148007.96159444697</v>
      </c>
      <c r="CS25" s="41">
        <v>111276.29521213027</v>
      </c>
      <c r="CT25" s="41">
        <v>93072.105643725808</v>
      </c>
      <c r="CU25" s="41">
        <v>116080.10690622788</v>
      </c>
      <c r="CV25" s="41">
        <v>116080.10690622788</v>
      </c>
      <c r="CW25" s="598">
        <f>CV27-459000</f>
        <v>1687418.17</v>
      </c>
      <c r="CX25" s="41">
        <v>247713</v>
      </c>
      <c r="CY25" s="41">
        <v>234422.08006563294</v>
      </c>
      <c r="CZ25" s="41">
        <v>194348.7132915963</v>
      </c>
      <c r="DA25" s="41">
        <v>223062.99421980139</v>
      </c>
      <c r="DB25" s="41">
        <v>228884.86858944659</v>
      </c>
      <c r="DC25" s="41">
        <v>240669.78918926936</v>
      </c>
      <c r="DD25" s="41">
        <v>234679.65868928705</v>
      </c>
      <c r="DE25" s="41">
        <v>197008.01236523816</v>
      </c>
      <c r="DF25" s="41">
        <v>148007.96159444697</v>
      </c>
      <c r="DG25" s="41">
        <v>111276.29521213027</v>
      </c>
      <c r="DH25" s="41">
        <v>93072.105643725808</v>
      </c>
      <c r="DI25" s="41">
        <v>116080.10690622788</v>
      </c>
      <c r="DJ25" s="41">
        <v>116080.10690622788</v>
      </c>
    </row>
    <row r="26" spans="1:114">
      <c r="A26" s="46"/>
      <c r="B26" s="47" t="s">
        <v>48</v>
      </c>
      <c r="C26" s="446"/>
      <c r="D26" s="283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284"/>
      <c r="Q26" s="49"/>
      <c r="R26" s="283"/>
      <c r="S26" s="50"/>
      <c r="T26" s="50"/>
      <c r="U26" s="50"/>
      <c r="V26" s="51"/>
      <c r="W26" s="51"/>
      <c r="X26" s="51"/>
      <c r="Y26" s="51"/>
      <c r="Z26" s="51"/>
      <c r="AA26" s="51"/>
      <c r="AB26" s="51"/>
      <c r="AC26" s="50"/>
      <c r="AD26" s="285"/>
      <c r="AE26" s="23"/>
      <c r="AF26" s="286">
        <f t="shared" ref="AF26:AP26" si="48">AF10/AG27</f>
        <v>1.4346741432881778</v>
      </c>
      <c r="AG26" s="286">
        <f t="shared" si="48"/>
        <v>3.9745327610561771</v>
      </c>
      <c r="AH26" s="286">
        <f t="shared" si="48"/>
        <v>4.4537254638644557</v>
      </c>
      <c r="AI26" s="286">
        <f t="shared" si="48"/>
        <v>3.1781895295331357</v>
      </c>
      <c r="AJ26" s="286">
        <f t="shared" si="48"/>
        <v>2.7551225094238019</v>
      </c>
      <c r="AK26" s="286">
        <f t="shared" si="48"/>
        <v>3.2297970327971317</v>
      </c>
      <c r="AL26" s="286">
        <f t="shared" si="48"/>
        <v>2.3575635299682296</v>
      </c>
      <c r="AM26" s="286">
        <f t="shared" si="48"/>
        <v>2.1413160582078121</v>
      </c>
      <c r="AN26" s="286">
        <f t="shared" si="48"/>
        <v>1.9042360296991012</v>
      </c>
      <c r="AO26" s="286">
        <f t="shared" si="48"/>
        <v>3.1686411691542289</v>
      </c>
      <c r="AP26" s="286">
        <f t="shared" si="48"/>
        <v>5.1487735077677845</v>
      </c>
      <c r="AQ26" s="286">
        <f>AQ10/AT27</f>
        <v>3.4807306746186968</v>
      </c>
      <c r="AR26" s="287">
        <f>AQ26</f>
        <v>3.4807306746186968</v>
      </c>
      <c r="AS26" s="23"/>
      <c r="AT26" s="286">
        <f>AT10/AU27</f>
        <v>2.7971286279646934</v>
      </c>
      <c r="AU26" s="286">
        <f>AU10/AV27</f>
        <v>3.0710063937614676</v>
      </c>
      <c r="AV26" s="286">
        <f>AV10/AW27</f>
        <v>2.5847779910329129</v>
      </c>
      <c r="AW26" s="286">
        <f>AW10/AX27</f>
        <v>3.3142307600651066</v>
      </c>
      <c r="AX26" s="286">
        <f>AX10/AY27</f>
        <v>3.0202081128011216</v>
      </c>
      <c r="AY26" s="286">
        <f t="shared" ref="AY26:BD26" si="49">AY10/(AZ57+AZ56)</f>
        <v>3.0375411110446691</v>
      </c>
      <c r="AZ26" s="286">
        <f t="shared" si="49"/>
        <v>1.7862994390436959</v>
      </c>
      <c r="BA26" s="286">
        <f t="shared" si="49"/>
        <v>2.3917338115287117</v>
      </c>
      <c r="BB26" s="286">
        <f t="shared" si="49"/>
        <v>2.0297186803388318</v>
      </c>
      <c r="BC26" s="286">
        <f t="shared" si="49"/>
        <v>2.9418601583113455</v>
      </c>
      <c r="BD26" s="286">
        <f t="shared" si="49"/>
        <v>5.3595753009100697</v>
      </c>
      <c r="BE26" s="286">
        <f>BE10/BH27</f>
        <v>2.3338657833234047</v>
      </c>
      <c r="BF26" s="52"/>
      <c r="BG26" s="27"/>
      <c r="BH26" s="418">
        <f t="shared" ref="BH26:BN26" si="50">BH10/BI27</f>
        <v>2.4324841588586663</v>
      </c>
      <c r="BI26" s="418">
        <f t="shared" si="50"/>
        <v>2.0694790126570033</v>
      </c>
      <c r="BJ26" s="418">
        <f t="shared" si="50"/>
        <v>2.1548303749075362</v>
      </c>
      <c r="BK26" s="418">
        <f t="shared" si="50"/>
        <v>2.940658548141605</v>
      </c>
      <c r="BL26" s="418">
        <f t="shared" si="50"/>
        <v>2.5009495450993295</v>
      </c>
      <c r="BM26" s="418">
        <f t="shared" si="50"/>
        <v>2.0577586855214944</v>
      </c>
      <c r="BN26" s="418">
        <f t="shared" si="50"/>
        <v>2.3320530115558045</v>
      </c>
      <c r="BO26" s="419"/>
      <c r="BP26" s="419"/>
      <c r="BQ26" s="419"/>
      <c r="BR26" s="419"/>
      <c r="BS26" s="419"/>
      <c r="BT26" s="419"/>
      <c r="BU26" s="54"/>
      <c r="BV26" s="286">
        <v>0</v>
      </c>
      <c r="BW26" s="286">
        <v>0</v>
      </c>
      <c r="BX26" s="286">
        <v>0</v>
      </c>
      <c r="BY26" s="418">
        <v>0</v>
      </c>
      <c r="BZ26" s="418">
        <v>0</v>
      </c>
      <c r="CA26" s="418">
        <v>0</v>
      </c>
      <c r="CB26" s="418">
        <v>0</v>
      </c>
      <c r="CC26" s="418">
        <v>0</v>
      </c>
      <c r="CD26" s="418">
        <v>0</v>
      </c>
      <c r="CE26" s="418">
        <v>0</v>
      </c>
      <c r="CF26" s="418">
        <v>0</v>
      </c>
      <c r="CG26" s="419"/>
      <c r="CH26" s="419"/>
      <c r="CJ26" s="286">
        <v>0</v>
      </c>
      <c r="CK26" s="286">
        <v>0</v>
      </c>
      <c r="CL26" s="286">
        <v>0</v>
      </c>
      <c r="CM26" s="418">
        <v>0</v>
      </c>
      <c r="CN26" s="418">
        <v>0</v>
      </c>
      <c r="CO26" s="418">
        <v>0</v>
      </c>
      <c r="CP26" s="418">
        <v>0</v>
      </c>
      <c r="CQ26" s="418">
        <v>0</v>
      </c>
      <c r="CR26" s="418">
        <v>0</v>
      </c>
      <c r="CS26" s="418">
        <v>0</v>
      </c>
      <c r="CT26" s="418">
        <v>0</v>
      </c>
      <c r="CU26" s="419"/>
      <c r="CV26" s="419"/>
      <c r="CX26" s="286">
        <v>0</v>
      </c>
      <c r="CY26" s="286">
        <v>0</v>
      </c>
      <c r="CZ26" s="286">
        <v>0</v>
      </c>
      <c r="DA26" s="418">
        <v>0</v>
      </c>
      <c r="DB26" s="418">
        <v>0</v>
      </c>
      <c r="DC26" s="418">
        <v>0</v>
      </c>
      <c r="DD26" s="418">
        <v>0</v>
      </c>
      <c r="DE26" s="418">
        <v>0</v>
      </c>
      <c r="DF26" s="418">
        <v>0</v>
      </c>
      <c r="DG26" s="418">
        <v>0</v>
      </c>
      <c r="DH26" s="418">
        <v>0</v>
      </c>
      <c r="DI26" s="419"/>
      <c r="DJ26" s="419"/>
    </row>
    <row r="27" spans="1:114" ht="18.75">
      <c r="A27" s="55">
        <v>6</v>
      </c>
      <c r="B27" s="56" t="s">
        <v>49</v>
      </c>
      <c r="C27" s="280"/>
      <c r="D27" s="288">
        <f t="shared" ref="D27:P27" si="51">SUM(D31:D54)</f>
        <v>82250</v>
      </c>
      <c r="E27" s="57">
        <f t="shared" si="51"/>
        <v>117000</v>
      </c>
      <c r="F27" s="57">
        <f t="shared" si="51"/>
        <v>121750</v>
      </c>
      <c r="G27" s="57">
        <f t="shared" si="51"/>
        <v>150000</v>
      </c>
      <c r="H27" s="57">
        <f t="shared" si="51"/>
        <v>99500</v>
      </c>
      <c r="I27" s="57">
        <f t="shared" si="51"/>
        <v>102000</v>
      </c>
      <c r="J27" s="57">
        <f t="shared" si="51"/>
        <v>177632</v>
      </c>
      <c r="K27" s="57">
        <f t="shared" si="51"/>
        <v>178158</v>
      </c>
      <c r="L27" s="57">
        <f t="shared" si="51"/>
        <v>199211</v>
      </c>
      <c r="M27" s="57">
        <f t="shared" si="51"/>
        <v>229474</v>
      </c>
      <c r="N27" s="57">
        <f t="shared" si="51"/>
        <v>122368</v>
      </c>
      <c r="O27" s="57">
        <f t="shared" si="51"/>
        <v>38421</v>
      </c>
      <c r="P27" s="289">
        <f t="shared" si="51"/>
        <v>1617764</v>
      </c>
      <c r="Q27" s="39"/>
      <c r="R27" s="288">
        <f t="shared" ref="R27:AC27" si="52">R31+R55</f>
        <v>136177.33998294926</v>
      </c>
      <c r="S27" s="58">
        <f t="shared" si="52"/>
        <v>143840.32639116928</v>
      </c>
      <c r="T27" s="58">
        <f t="shared" si="52"/>
        <v>142553.77192982455</v>
      </c>
      <c r="U27" s="58">
        <f t="shared" si="52"/>
        <v>19814.899999999998</v>
      </c>
      <c r="V27" s="58">
        <f t="shared" si="52"/>
        <v>52085</v>
      </c>
      <c r="W27" s="290">
        <f t="shared" si="52"/>
        <v>70169.381950239796</v>
      </c>
      <c r="X27" s="290">
        <f t="shared" si="52"/>
        <v>144463.33333333299</v>
      </c>
      <c r="Y27" s="290">
        <f t="shared" si="52"/>
        <v>226547.08333333331</v>
      </c>
      <c r="Z27" s="290">
        <f t="shared" si="52"/>
        <v>273187.5</v>
      </c>
      <c r="AA27" s="290">
        <f t="shared" si="52"/>
        <v>172100</v>
      </c>
      <c r="AB27" s="290">
        <f t="shared" si="52"/>
        <v>37500</v>
      </c>
      <c r="AC27" s="290">
        <f t="shared" si="52"/>
        <v>0</v>
      </c>
      <c r="AD27" s="291">
        <f>SUM(R27:AC27)</f>
        <v>1418438.6369208493</v>
      </c>
      <c r="AE27" s="59"/>
      <c r="AF27" s="292">
        <f>AF31+AF55</f>
        <v>128646</v>
      </c>
      <c r="AG27" s="58">
        <f t="shared" ref="AG27:AQ27" si="53">AG31+AG55</f>
        <v>177977</v>
      </c>
      <c r="AH27" s="58">
        <f t="shared" si="53"/>
        <v>73624</v>
      </c>
      <c r="AI27" s="58">
        <f t="shared" si="53"/>
        <v>89358</v>
      </c>
      <c r="AJ27" s="58">
        <f t="shared" si="53"/>
        <v>122134</v>
      </c>
      <c r="AK27" s="58">
        <f t="shared" si="53"/>
        <v>148560</v>
      </c>
      <c r="AL27" s="58">
        <f t="shared" si="53"/>
        <v>151995</v>
      </c>
      <c r="AM27" s="58">
        <f t="shared" si="53"/>
        <v>238903</v>
      </c>
      <c r="AN27" s="58">
        <f t="shared" si="53"/>
        <v>261133.33333333334</v>
      </c>
      <c r="AO27" s="58">
        <f t="shared" si="53"/>
        <v>255900</v>
      </c>
      <c r="AP27" s="58">
        <f t="shared" si="53"/>
        <v>128640</v>
      </c>
      <c r="AQ27" s="58">
        <f t="shared" si="53"/>
        <v>97840</v>
      </c>
      <c r="AR27" s="58">
        <f>SUM(AF27:AQ27)</f>
        <v>1874710.3333333333</v>
      </c>
      <c r="AS27" s="59"/>
      <c r="AT27" s="58">
        <f t="shared" ref="AT27:BD27" si="54">AT31+AT55</f>
        <v>152749.25</v>
      </c>
      <c r="AU27" s="58">
        <f t="shared" si="54"/>
        <v>168522.10344827586</v>
      </c>
      <c r="AV27" s="58">
        <f t="shared" si="54"/>
        <v>154121.13793103449</v>
      </c>
      <c r="AW27" s="58">
        <f t="shared" si="54"/>
        <v>159595.13793103449</v>
      </c>
      <c r="AX27" s="58">
        <f t="shared" si="54"/>
        <v>120099.96551724138</v>
      </c>
      <c r="AY27" s="58">
        <f t="shared" si="54"/>
        <v>138343.77777777778</v>
      </c>
      <c r="AZ27" s="58">
        <f t="shared" si="54"/>
        <v>166673.77777777778</v>
      </c>
      <c r="BA27" s="58">
        <f t="shared" si="54"/>
        <v>242442.29629629629</v>
      </c>
      <c r="BB27" s="58">
        <f t="shared" si="54"/>
        <v>243407.77777777778</v>
      </c>
      <c r="BC27" s="58">
        <f t="shared" si="54"/>
        <v>253368.29075565783</v>
      </c>
      <c r="BD27" s="58">
        <f t="shared" si="54"/>
        <v>134555.58688147296</v>
      </c>
      <c r="BE27" s="58">
        <f>BE31+BE56</f>
        <v>72686.612965093984</v>
      </c>
      <c r="BF27" s="58">
        <f t="shared" ref="BF27:BF29" si="55">SUM(AT27:BE27)</f>
        <v>2006565.7150594404</v>
      </c>
      <c r="BG27" s="59">
        <f>BF27-AR27</f>
        <v>131855.38172610709</v>
      </c>
      <c r="BH27" s="58">
        <f>BH28+BH55</f>
        <v>152753</v>
      </c>
      <c r="BI27" s="58">
        <f t="shared" ref="BI27:BN27" si="56">BI28+BI55</f>
        <v>146822.33333333331</v>
      </c>
      <c r="BJ27" s="58">
        <f t="shared" si="56"/>
        <v>171546.07407407407</v>
      </c>
      <c r="BK27" s="58">
        <f t="shared" si="56"/>
        <v>159771.74074074073</v>
      </c>
      <c r="BL27" s="58">
        <f t="shared" si="56"/>
        <v>132496.85185185185</v>
      </c>
      <c r="BM27" s="58">
        <f t="shared" si="56"/>
        <v>129906.25925925926</v>
      </c>
      <c r="BN27" s="58">
        <f t="shared" si="56"/>
        <v>171383.55555555556</v>
      </c>
      <c r="BO27" s="58">
        <f>BO28+BO56</f>
        <v>179550.37811111109</v>
      </c>
      <c r="BP27" s="58">
        <f>BP28+BP56</f>
        <v>202053.74953703705</v>
      </c>
      <c r="BQ27" s="58">
        <f>BQ28+BQ56</f>
        <v>163865</v>
      </c>
      <c r="BR27" s="58">
        <f>BR28+BR56</f>
        <v>175620.6</v>
      </c>
      <c r="BS27" s="58">
        <v>92285.6</v>
      </c>
      <c r="BT27" s="58">
        <f t="shared" ref="BT27:BT29" si="57">SUM(BH27:BS27)</f>
        <v>1878055.142462963</v>
      </c>
      <c r="BU27" s="60"/>
      <c r="BV27" s="58">
        <f>BV31+(BV56)*$CI$27</f>
        <v>161157.867486095</v>
      </c>
      <c r="BW27" s="58">
        <f t="shared" ref="BW27:CG27" si="58">BW31+(BW56)*$CI$27</f>
        <v>155966.83045180296</v>
      </c>
      <c r="BX27" s="58">
        <f>BX31+(BX56)*$CI$27</f>
        <v>196111.53846153844</v>
      </c>
      <c r="BY27" s="58">
        <f t="shared" si="58"/>
        <v>159169.23076923078</v>
      </c>
      <c r="BZ27" s="58">
        <f>BZ31+(BZ56)*$CI$27</f>
        <v>151482.39341785663</v>
      </c>
      <c r="CA27" s="58">
        <f t="shared" si="58"/>
        <v>141442.12910096842</v>
      </c>
      <c r="CB27" s="58">
        <f>CB31+(CB56)*$CI$27</f>
        <v>176986.21444761599</v>
      </c>
      <c r="CC27" s="58">
        <f t="shared" si="58"/>
        <v>201301.08944885107</v>
      </c>
      <c r="CD27" s="58">
        <f t="shared" si="58"/>
        <v>212833.04013559342</v>
      </c>
      <c r="CE27" s="58">
        <f t="shared" si="58"/>
        <v>215922.30386211892</v>
      </c>
      <c r="CF27" s="58">
        <f>CF31+(CF56)*$CI$27</f>
        <v>171115.84223630186</v>
      </c>
      <c r="CG27" s="58">
        <f t="shared" si="58"/>
        <v>87483.816691710366</v>
      </c>
      <c r="CH27" s="58">
        <f t="shared" ref="CH27:CH28" si="59">SUM(BV27:CG27)</f>
        <v>2030972.2965096838</v>
      </c>
      <c r="CI27" s="594">
        <v>0.95</v>
      </c>
      <c r="CJ27" s="705">
        <f>CJ31+CJ65</f>
        <v>181422.94</v>
      </c>
      <c r="CK27" s="705">
        <f>CK31+CK65</f>
        <v>165852.66999999998</v>
      </c>
      <c r="CL27" s="705">
        <f t="shared" ref="CL27:CV27" si="60">CL31+CL65</f>
        <v>185796.68</v>
      </c>
      <c r="CM27" s="705">
        <f>CM31+CM65</f>
        <v>154708.18</v>
      </c>
      <c r="CN27" s="705">
        <f>CN31+CN65</f>
        <v>153801.95000000001</v>
      </c>
      <c r="CO27" s="705">
        <f t="shared" si="60"/>
        <v>120180.87999999999</v>
      </c>
      <c r="CP27" s="705">
        <f>CP31+CP65</f>
        <v>225720.09</v>
      </c>
      <c r="CQ27" s="705">
        <f t="shared" si="60"/>
        <v>206895.31</v>
      </c>
      <c r="CR27" s="705">
        <f t="shared" si="60"/>
        <v>256653.63999999998</v>
      </c>
      <c r="CS27" s="705">
        <f t="shared" si="60"/>
        <v>229416.92</v>
      </c>
      <c r="CT27" s="705">
        <f t="shared" si="60"/>
        <v>162785.09</v>
      </c>
      <c r="CU27" s="705">
        <f t="shared" si="60"/>
        <v>103183.82</v>
      </c>
      <c r="CV27" s="705">
        <f>SUM(CJ27:CU27)</f>
        <v>2146418.17</v>
      </c>
      <c r="CW27" s="594" t="s">
        <v>50</v>
      </c>
      <c r="CX27" s="58">
        <f>CJ27*1.05</f>
        <v>190494.087</v>
      </c>
      <c r="CY27" s="58">
        <f t="shared" ref="CY27:DI27" si="61">CK27*1.05</f>
        <v>174145.30349999998</v>
      </c>
      <c r="CZ27" s="58">
        <f t="shared" si="61"/>
        <v>195086.514</v>
      </c>
      <c r="DA27" s="58">
        <f t="shared" si="61"/>
        <v>162443.58900000001</v>
      </c>
      <c r="DB27" s="58">
        <f t="shared" si="61"/>
        <v>161492.04750000002</v>
      </c>
      <c r="DC27" s="58">
        <f t="shared" si="61"/>
        <v>126189.924</v>
      </c>
      <c r="DD27" s="58">
        <f t="shared" si="61"/>
        <v>237006.09450000001</v>
      </c>
      <c r="DE27" s="58">
        <f t="shared" si="61"/>
        <v>217240.07550000001</v>
      </c>
      <c r="DF27" s="58">
        <f t="shared" si="61"/>
        <v>269486.32199999999</v>
      </c>
      <c r="DG27" s="58">
        <f t="shared" si="61"/>
        <v>240887.76600000003</v>
      </c>
      <c r="DH27" s="58">
        <f t="shared" si="61"/>
        <v>170924.34450000001</v>
      </c>
      <c r="DI27" s="58">
        <f t="shared" si="61"/>
        <v>108343.01100000001</v>
      </c>
      <c r="DJ27" s="58">
        <v>1957097.174059076</v>
      </c>
    </row>
    <row r="28" spans="1:114">
      <c r="A28" s="61"/>
      <c r="B28" s="62" t="s">
        <v>51</v>
      </c>
      <c r="C28" s="293"/>
      <c r="D28" s="294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295"/>
      <c r="Q28" s="64"/>
      <c r="R28" s="294"/>
      <c r="S28" s="65"/>
      <c r="T28" s="65"/>
      <c r="U28" s="65"/>
      <c r="V28" s="296"/>
      <c r="W28" s="297"/>
      <c r="X28" s="297"/>
      <c r="Y28" s="297"/>
      <c r="Z28" s="297"/>
      <c r="AA28" s="297"/>
      <c r="AB28" s="297"/>
      <c r="AC28" s="66"/>
      <c r="AD28" s="67"/>
      <c r="AE28" s="68"/>
      <c r="AF28" s="298"/>
      <c r="AG28" s="65"/>
      <c r="AH28" s="65"/>
      <c r="AI28" s="65"/>
      <c r="AJ28" s="296"/>
      <c r="AK28" s="296"/>
      <c r="AL28" s="296"/>
      <c r="AM28" s="296"/>
      <c r="AN28" s="65"/>
      <c r="AO28" s="65"/>
      <c r="AP28" s="65"/>
      <c r="AQ28" s="65"/>
      <c r="AR28" s="299"/>
      <c r="AS28" s="68"/>
      <c r="AT28" s="65"/>
      <c r="AU28" s="65"/>
      <c r="AV28" s="65"/>
      <c r="AW28" s="65"/>
      <c r="AX28" s="65"/>
      <c r="AY28" s="69">
        <f t="shared" ref="AY28:BA28" si="62">AY31+AY56</f>
        <v>119777.77777777778</v>
      </c>
      <c r="AZ28" s="69">
        <f t="shared" si="62"/>
        <v>150777.77777777778</v>
      </c>
      <c r="BA28" s="69">
        <f t="shared" si="62"/>
        <v>233098.4962962963</v>
      </c>
      <c r="BB28" s="69">
        <f>BB29/BB30</f>
        <v>210777.77777777778</v>
      </c>
      <c r="BC28" s="69">
        <f>BC31+BC56</f>
        <v>249806.29075565783</v>
      </c>
      <c r="BD28" s="69">
        <f t="shared" ref="BD28:BE28" si="63">BD31+BD56*0.85</f>
        <v>122960.58688147296</v>
      </c>
      <c r="BE28" s="69">
        <f t="shared" si="63"/>
        <v>66386.612965093984</v>
      </c>
      <c r="BF28" s="69">
        <f t="shared" si="55"/>
        <v>1153585.3202318544</v>
      </c>
      <c r="BG28" s="68"/>
      <c r="BH28" s="69">
        <f>BH29/BH30-0.1*BH29/BH30</f>
        <v>116600</v>
      </c>
      <c r="BI28" s="69">
        <f t="shared" ref="BI28" si="64">BI29/BI30-0.1*BI29/BI30</f>
        <v>111533.33333333333</v>
      </c>
      <c r="BJ28" s="69">
        <f t="shared" ref="BJ28:BP28" si="65">BJ29/BJ30-0.05*BJ29/BJ30</f>
        <v>135674.07407407407</v>
      </c>
      <c r="BK28" s="69">
        <f t="shared" si="65"/>
        <v>121740.74074074074</v>
      </c>
      <c r="BL28" s="69">
        <f t="shared" si="65"/>
        <v>93926.851851851854</v>
      </c>
      <c r="BM28" s="69">
        <f t="shared" si="65"/>
        <v>90679.259259259255</v>
      </c>
      <c r="BN28" s="69">
        <f t="shared" si="65"/>
        <v>130255.55555555556</v>
      </c>
      <c r="BO28" s="69">
        <f t="shared" si="65"/>
        <v>150550.37811111109</v>
      </c>
      <c r="BP28" s="69">
        <f t="shared" si="65"/>
        <v>161830.74953703705</v>
      </c>
      <c r="BQ28" s="69">
        <v>127130</v>
      </c>
      <c r="BR28" s="69">
        <v>138687.6</v>
      </c>
      <c r="BS28" s="69">
        <v>43639.199999999997</v>
      </c>
      <c r="BT28" s="69">
        <f t="shared" si="57"/>
        <v>1422247.7424629631</v>
      </c>
      <c r="BU28" s="54"/>
      <c r="BV28" s="69">
        <f>BV31+BV55</f>
        <v>166555.77995873816</v>
      </c>
      <c r="BW28" s="69">
        <f>BW31+BW55</f>
        <v>152835.36924465047</v>
      </c>
      <c r="BX28" s="69">
        <f t="shared" ref="BX28:CG28" si="66">BX31+BX55</f>
        <v>195319.2072937729</v>
      </c>
      <c r="BY28" s="69">
        <f t="shared" si="66"/>
        <v>158396.18906207831</v>
      </c>
      <c r="BZ28" s="69">
        <f t="shared" si="66"/>
        <v>152371.51475009107</v>
      </c>
      <c r="CA28" s="69">
        <f t="shared" si="66"/>
        <v>147696.01107361159</v>
      </c>
      <c r="CB28" s="69">
        <f t="shared" si="66"/>
        <v>189465.0513586243</v>
      </c>
      <c r="CC28" s="69">
        <f t="shared" si="66"/>
        <v>202914.10079748323</v>
      </c>
      <c r="CD28" s="69">
        <f t="shared" si="66"/>
        <v>214499.61628422557</v>
      </c>
      <c r="CE28" s="69">
        <f t="shared" si="66"/>
        <v>217682.99793575107</v>
      </c>
      <c r="CF28" s="69">
        <f t="shared" si="66"/>
        <v>179284.72030485788</v>
      </c>
      <c r="CG28" s="69">
        <f t="shared" si="66"/>
        <v>88389.319383536102</v>
      </c>
      <c r="CH28" s="69">
        <f t="shared" si="59"/>
        <v>2065409.8774474205</v>
      </c>
      <c r="CI28" s="395">
        <f>(CH28-BT62)/BT62</f>
        <v>0.48621753003500767</v>
      </c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395">
        <f>(CV28-CH62)/CH62</f>
        <v>-1</v>
      </c>
      <c r="CX28" s="69">
        <v>166555.77995873816</v>
      </c>
      <c r="CY28" s="69">
        <v>152835.36924465047</v>
      </c>
      <c r="CZ28" s="69">
        <v>195319.2072937729</v>
      </c>
      <c r="DA28" s="69">
        <v>158396.18906207831</v>
      </c>
      <c r="DB28" s="69">
        <v>152371.51475009107</v>
      </c>
      <c r="DC28" s="69">
        <v>147696.01107361159</v>
      </c>
      <c r="DD28" s="69">
        <v>189465.0513586243</v>
      </c>
      <c r="DE28" s="69">
        <v>202914.10079748323</v>
      </c>
      <c r="DF28" s="69">
        <v>214499.61628422557</v>
      </c>
      <c r="DG28" s="69">
        <v>217682.99793575107</v>
      </c>
      <c r="DH28" s="69">
        <v>179284.72030485788</v>
      </c>
      <c r="DI28" s="69">
        <v>88389.319383536102</v>
      </c>
      <c r="DJ28" s="69">
        <v>2065409.8774474205</v>
      </c>
    </row>
    <row r="29" spans="1:114">
      <c r="A29" s="61"/>
      <c r="B29" s="62" t="s">
        <v>52</v>
      </c>
      <c r="C29" s="293"/>
      <c r="D29" s="294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295"/>
      <c r="Q29" s="64"/>
      <c r="R29" s="294"/>
      <c r="S29" s="65"/>
      <c r="T29" s="65"/>
      <c r="U29" s="65"/>
      <c r="V29" s="296"/>
      <c r="W29" s="297"/>
      <c r="X29" s="297"/>
      <c r="Y29" s="297"/>
      <c r="Z29" s="297"/>
      <c r="AA29" s="297"/>
      <c r="AB29" s="297"/>
      <c r="AC29" s="66"/>
      <c r="AD29" s="67"/>
      <c r="AE29" s="68"/>
      <c r="AF29" s="298"/>
      <c r="AG29" s="65"/>
      <c r="AH29" s="65" t="s">
        <v>53</v>
      </c>
      <c r="AI29" s="65"/>
      <c r="AJ29" s="296"/>
      <c r="AK29" s="296"/>
      <c r="AL29" s="296"/>
      <c r="AM29" s="296"/>
      <c r="AN29" s="65">
        <v>6715000</v>
      </c>
      <c r="AO29" s="65">
        <v>6555000</v>
      </c>
      <c r="AP29" s="65">
        <v>2640000</v>
      </c>
      <c r="AQ29" s="65">
        <v>1302000</v>
      </c>
      <c r="AR29" s="299"/>
      <c r="AS29" s="68"/>
      <c r="AT29" s="65">
        <v>3264695</v>
      </c>
      <c r="AU29" s="65">
        <v>3863760</v>
      </c>
      <c r="AV29" s="65">
        <v>3429225</v>
      </c>
      <c r="AW29" s="65">
        <v>3525360</v>
      </c>
      <c r="AX29" s="65">
        <v>2509485</v>
      </c>
      <c r="AY29" s="65">
        <v>2829000</v>
      </c>
      <c r="AZ29" s="65">
        <v>3666000</v>
      </c>
      <c r="BA29" s="65">
        <v>5705000</v>
      </c>
      <c r="BB29" s="65">
        <v>5691000</v>
      </c>
      <c r="BC29" s="65">
        <v>5600000</v>
      </c>
      <c r="BD29" s="65">
        <v>2430000</v>
      </c>
      <c r="BE29" s="65">
        <v>800000</v>
      </c>
      <c r="BF29" s="69">
        <f t="shared" si="55"/>
        <v>43313525</v>
      </c>
      <c r="BG29" s="68"/>
      <c r="BH29" s="70">
        <v>3498000</v>
      </c>
      <c r="BI29" s="70">
        <v>3346000</v>
      </c>
      <c r="BJ29" s="70">
        <v>3856000</v>
      </c>
      <c r="BK29" s="70">
        <v>3460000</v>
      </c>
      <c r="BL29" s="70">
        <v>2669500</v>
      </c>
      <c r="BM29" s="70">
        <v>2577200</v>
      </c>
      <c r="BN29" s="70">
        <v>3702000</v>
      </c>
      <c r="BO29" s="70">
        <v>4278800.22</v>
      </c>
      <c r="BP29" s="70">
        <v>4599400.25</v>
      </c>
      <c r="BQ29" s="70">
        <f>BQ28*BQ30</f>
        <v>3432510</v>
      </c>
      <c r="BR29" s="70">
        <v>2954493.21</v>
      </c>
      <c r="BS29" s="70">
        <v>984831.07</v>
      </c>
      <c r="BT29" s="65">
        <f t="shared" si="57"/>
        <v>39358734.75</v>
      </c>
      <c r="BU29" s="54"/>
      <c r="BV29" s="70">
        <f>BV30*BV31</f>
        <v>3399704.5546384701</v>
      </c>
      <c r="BW29" s="70">
        <f t="shared" ref="BW29:CG29" si="67">BW30*BW31</f>
        <v>3264737.5917468769</v>
      </c>
      <c r="BX29" s="70">
        <f t="shared" si="67"/>
        <v>4184999.9999999995</v>
      </c>
      <c r="BY29" s="70">
        <f t="shared" si="67"/>
        <v>3348000.0000000005</v>
      </c>
      <c r="BZ29" s="70">
        <f t="shared" si="67"/>
        <v>3074042.2288642721</v>
      </c>
      <c r="CA29" s="70">
        <f t="shared" si="67"/>
        <v>2812995.3566251793</v>
      </c>
      <c r="CB29" s="70">
        <f t="shared" si="67"/>
        <v>3737141.5756380158</v>
      </c>
      <c r="CC29" s="70">
        <f t="shared" si="67"/>
        <v>4437000.7194458414</v>
      </c>
      <c r="CD29" s="70">
        <f t="shared" si="67"/>
        <v>4710370.4261011425</v>
      </c>
      <c r="CE29" s="70">
        <f t="shared" si="67"/>
        <v>4744197.0280408058</v>
      </c>
      <c r="CF29" s="70">
        <f t="shared" si="67"/>
        <v>3461011.8981438484</v>
      </c>
      <c r="CG29" s="70">
        <f t="shared" si="67"/>
        <v>792579.23398446955</v>
      </c>
      <c r="CH29" s="65">
        <f>SUM(BV29:CG29)</f>
        <v>41966780.613228925</v>
      </c>
      <c r="CJ29" s="70">
        <f>CJ30*CJ31</f>
        <v>4023031.4767999998</v>
      </c>
      <c r="CK29" s="70">
        <f t="shared" ref="CK29:CU29" si="68">CK30*CK31</f>
        <v>3734347.6631999994</v>
      </c>
      <c r="CL29" s="70">
        <f t="shared" si="68"/>
        <v>4223923.0879999995</v>
      </c>
      <c r="CM29" s="70">
        <f t="shared" si="68"/>
        <v>3366907.04</v>
      </c>
      <c r="CN29" s="70">
        <f t="shared" si="68"/>
        <v>3217429.18</v>
      </c>
      <c r="CO29" s="70">
        <f t="shared" si="68"/>
        <v>2332522.6176</v>
      </c>
      <c r="CP29" s="70">
        <f t="shared" si="68"/>
        <v>5138020.6359999999</v>
      </c>
      <c r="CQ29" s="70">
        <f t="shared" si="68"/>
        <v>4640708.9735999992</v>
      </c>
      <c r="CR29" s="70">
        <f t="shared" si="68"/>
        <v>5942025.5719999997</v>
      </c>
      <c r="CS29" s="70">
        <f t="shared" si="68"/>
        <v>5183216.5504000001</v>
      </c>
      <c r="CT29" s="70">
        <f t="shared" si="68"/>
        <v>3252007.3432</v>
      </c>
      <c r="CU29" s="70">
        <f>CU30*CU31</f>
        <v>1251798.4135999999</v>
      </c>
      <c r="CV29" s="70">
        <f>CV30*CV31</f>
        <v>46305938.554399997</v>
      </c>
      <c r="CX29" s="70">
        <v>3399704.5546384701</v>
      </c>
      <c r="CY29" s="70">
        <v>3264737.5917468769</v>
      </c>
      <c r="CZ29" s="70">
        <v>4184999.9999999995</v>
      </c>
      <c r="DA29" s="70">
        <v>3348000.0000000005</v>
      </c>
      <c r="DB29" s="70">
        <v>3074042.2288642721</v>
      </c>
      <c r="DC29" s="70">
        <v>2812995.3566251793</v>
      </c>
      <c r="DD29" s="70">
        <v>3737141.5756380158</v>
      </c>
      <c r="DE29" s="70">
        <v>4437000.7194458414</v>
      </c>
      <c r="DF29" s="70">
        <v>4710370.4261011425</v>
      </c>
      <c r="DG29" s="70">
        <v>4744197.0280408058</v>
      </c>
      <c r="DH29" s="70">
        <v>3461011.8981438484</v>
      </c>
      <c r="DI29" s="70">
        <v>792579.23398446955</v>
      </c>
      <c r="DJ29" s="65">
        <v>41966780.613228925</v>
      </c>
    </row>
    <row r="30" spans="1:114">
      <c r="A30" s="71"/>
      <c r="B30" s="72" t="s">
        <v>54</v>
      </c>
      <c r="C30" s="300"/>
      <c r="D30" s="301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302"/>
      <c r="Q30" s="74"/>
      <c r="R30" s="301"/>
      <c r="S30" s="69"/>
      <c r="T30" s="69"/>
      <c r="U30" s="69"/>
      <c r="V30" s="303"/>
      <c r="W30" s="304"/>
      <c r="X30" s="304"/>
      <c r="Y30" s="304"/>
      <c r="Z30" s="304"/>
      <c r="AA30" s="304"/>
      <c r="AB30" s="304"/>
      <c r="AC30" s="75"/>
      <c r="AD30" s="76"/>
      <c r="AE30" s="77"/>
      <c r="AF30" s="305"/>
      <c r="AG30" s="69"/>
      <c r="AH30" s="69"/>
      <c r="AI30" s="69"/>
      <c r="AJ30" s="303"/>
      <c r="AK30" s="303"/>
      <c r="AL30" s="303"/>
      <c r="AM30" s="303"/>
      <c r="AN30" s="69">
        <f t="shared" ref="AN30:AQ30" si="69">30</f>
        <v>30</v>
      </c>
      <c r="AO30" s="69">
        <f t="shared" si="69"/>
        <v>30</v>
      </c>
      <c r="AP30" s="69">
        <f t="shared" si="69"/>
        <v>30</v>
      </c>
      <c r="AQ30" s="69">
        <f t="shared" si="69"/>
        <v>30</v>
      </c>
      <c r="AR30" s="306"/>
      <c r="AS30" s="77"/>
      <c r="AT30" s="69">
        <v>28</v>
      </c>
      <c r="AU30" s="69">
        <v>29</v>
      </c>
      <c r="AV30" s="69">
        <v>29</v>
      </c>
      <c r="AW30" s="69">
        <v>29</v>
      </c>
      <c r="AX30" s="69">
        <v>29</v>
      </c>
      <c r="AY30" s="69">
        <v>27</v>
      </c>
      <c r="AZ30" s="69">
        <v>27</v>
      </c>
      <c r="BA30" s="69">
        <v>27</v>
      </c>
      <c r="BB30" s="69">
        <v>27</v>
      </c>
      <c r="BC30" s="69">
        <v>26.07</v>
      </c>
      <c r="BD30" s="69">
        <v>26.07</v>
      </c>
      <c r="BE30" s="69">
        <v>26.07</v>
      </c>
      <c r="BF30" s="305"/>
      <c r="BG30" s="78"/>
      <c r="BH30" s="69">
        <v>27</v>
      </c>
      <c r="BI30" s="69">
        <v>27</v>
      </c>
      <c r="BJ30" s="69">
        <v>27</v>
      </c>
      <c r="BK30" s="69">
        <v>27</v>
      </c>
      <c r="BL30" s="69">
        <v>27</v>
      </c>
      <c r="BM30" s="69">
        <v>27</v>
      </c>
      <c r="BN30" s="69">
        <v>27</v>
      </c>
      <c r="BO30" s="69">
        <v>27</v>
      </c>
      <c r="BP30" s="69">
        <v>27</v>
      </c>
      <c r="BQ30" s="69">
        <v>27</v>
      </c>
      <c r="BR30" s="69">
        <v>27</v>
      </c>
      <c r="BS30" s="69">
        <v>27</v>
      </c>
      <c r="BT30" s="69"/>
      <c r="BU30" s="54"/>
      <c r="BV30" s="69">
        <v>26</v>
      </c>
      <c r="BW30" s="69">
        <v>26</v>
      </c>
      <c r="BX30" s="69">
        <v>26</v>
      </c>
      <c r="BY30" s="69">
        <v>26</v>
      </c>
      <c r="BZ30" s="69">
        <v>26</v>
      </c>
      <c r="CA30" s="69">
        <v>26</v>
      </c>
      <c r="CB30" s="69">
        <v>26</v>
      </c>
      <c r="CC30" s="69">
        <v>26</v>
      </c>
      <c r="CD30" s="69">
        <v>26</v>
      </c>
      <c r="CE30" s="69">
        <v>26</v>
      </c>
      <c r="CF30" s="69">
        <v>26</v>
      </c>
      <c r="CG30" s="69">
        <v>26</v>
      </c>
      <c r="CH30" s="69"/>
      <c r="CJ30" s="69">
        <v>26.32</v>
      </c>
      <c r="CK30" s="69">
        <f>CJ30</f>
        <v>26.32</v>
      </c>
      <c r="CL30" s="69">
        <f t="shared" ref="CL30:CV30" si="70">CK30</f>
        <v>26.32</v>
      </c>
      <c r="CM30" s="69">
        <f t="shared" si="70"/>
        <v>26.32</v>
      </c>
      <c r="CN30" s="69">
        <f t="shared" si="70"/>
        <v>26.32</v>
      </c>
      <c r="CO30" s="69">
        <f t="shared" si="70"/>
        <v>26.32</v>
      </c>
      <c r="CP30" s="69">
        <f t="shared" si="70"/>
        <v>26.32</v>
      </c>
      <c r="CQ30" s="69">
        <f t="shared" si="70"/>
        <v>26.32</v>
      </c>
      <c r="CR30" s="69">
        <f t="shared" si="70"/>
        <v>26.32</v>
      </c>
      <c r="CS30" s="69">
        <f t="shared" si="70"/>
        <v>26.32</v>
      </c>
      <c r="CT30" s="69">
        <f t="shared" si="70"/>
        <v>26.32</v>
      </c>
      <c r="CU30" s="69">
        <f t="shared" si="70"/>
        <v>26.32</v>
      </c>
      <c r="CV30" s="69">
        <f t="shared" si="70"/>
        <v>26.32</v>
      </c>
      <c r="CX30" s="69">
        <v>26</v>
      </c>
      <c r="CY30" s="69">
        <v>26</v>
      </c>
      <c r="CZ30" s="69">
        <v>26</v>
      </c>
      <c r="DA30" s="69">
        <v>26</v>
      </c>
      <c r="DB30" s="69">
        <v>26</v>
      </c>
      <c r="DC30" s="69">
        <v>26</v>
      </c>
      <c r="DD30" s="69">
        <v>26</v>
      </c>
      <c r="DE30" s="69">
        <v>26</v>
      </c>
      <c r="DF30" s="69">
        <v>26</v>
      </c>
      <c r="DG30" s="69">
        <v>26</v>
      </c>
      <c r="DH30" s="69">
        <v>26</v>
      </c>
      <c r="DI30" s="69">
        <v>26</v>
      </c>
      <c r="DJ30" s="69"/>
    </row>
    <row r="31" spans="1:114" ht="15.75">
      <c r="A31" s="79"/>
      <c r="B31" s="80" t="s">
        <v>55</v>
      </c>
      <c r="C31" s="81"/>
      <c r="D31" s="288">
        <v>82250</v>
      </c>
      <c r="E31" s="57">
        <v>117000</v>
      </c>
      <c r="F31" s="57">
        <v>121750</v>
      </c>
      <c r="G31" s="57">
        <v>150000</v>
      </c>
      <c r="H31" s="57">
        <v>99500</v>
      </c>
      <c r="I31" s="57">
        <v>102000</v>
      </c>
      <c r="J31" s="57">
        <v>177632</v>
      </c>
      <c r="K31" s="57">
        <v>178158</v>
      </c>
      <c r="L31" s="57">
        <v>199211</v>
      </c>
      <c r="M31" s="57">
        <v>229474</v>
      </c>
      <c r="N31" s="57">
        <v>122368</v>
      </c>
      <c r="O31" s="57">
        <v>38421</v>
      </c>
      <c r="P31" s="289">
        <f>SUM(D31:O31)</f>
        <v>1617764</v>
      </c>
      <c r="Q31" s="39"/>
      <c r="R31" s="288">
        <v>115619.79612330014</v>
      </c>
      <c r="S31" s="58">
        <v>123327.78253152016</v>
      </c>
      <c r="T31" s="58">
        <v>128854</v>
      </c>
      <c r="U31" s="58">
        <f>126016*0.15</f>
        <v>18902.399999999998</v>
      </c>
      <c r="V31" s="58">
        <v>35234</v>
      </c>
      <c r="W31" s="290">
        <v>56469.381950239796</v>
      </c>
      <c r="X31" s="290">
        <v>118413.33333333299</v>
      </c>
      <c r="Y31" s="290">
        <v>198797.08333333331</v>
      </c>
      <c r="Z31" s="290">
        <v>242087.5</v>
      </c>
      <c r="AA31" s="290">
        <v>140000</v>
      </c>
      <c r="AB31" s="290">
        <v>0</v>
      </c>
      <c r="AC31" s="290">
        <v>-45300</v>
      </c>
      <c r="AD31" s="291">
        <f>SUM(R31:AC31)</f>
        <v>1132405.2772717264</v>
      </c>
      <c r="AE31" s="59"/>
      <c r="AF31" s="292">
        <v>90146</v>
      </c>
      <c r="AG31" s="58">
        <v>155577</v>
      </c>
      <c r="AH31" s="58">
        <v>62953</v>
      </c>
      <c r="AI31" s="58">
        <v>73261</v>
      </c>
      <c r="AJ31" s="58">
        <v>91856</v>
      </c>
      <c r="AK31" s="58">
        <v>120000</v>
      </c>
      <c r="AL31" s="58">
        <v>110295</v>
      </c>
      <c r="AM31" s="58">
        <v>200203</v>
      </c>
      <c r="AN31" s="58">
        <f t="shared" ref="AN31:AQ31" si="71">AN29/AN30</f>
        <v>223833.33333333334</v>
      </c>
      <c r="AO31" s="58">
        <f t="shared" si="71"/>
        <v>218500</v>
      </c>
      <c r="AP31" s="58">
        <f t="shared" si="71"/>
        <v>88000</v>
      </c>
      <c r="AQ31" s="58">
        <f t="shared" si="71"/>
        <v>43400</v>
      </c>
      <c r="AR31" s="58">
        <f>SUM(AF31:AQ31)</f>
        <v>1478024.3333333333</v>
      </c>
      <c r="AS31" s="59"/>
      <c r="AT31" s="58">
        <f t="shared" ref="AT31:BE31" si="72">AT29/AT30</f>
        <v>116596.25</v>
      </c>
      <c r="AU31" s="58">
        <f t="shared" si="72"/>
        <v>133233.10344827586</v>
      </c>
      <c r="AV31" s="58">
        <f t="shared" si="72"/>
        <v>118249.13793103448</v>
      </c>
      <c r="AW31" s="58">
        <f t="shared" si="72"/>
        <v>121564.13793103448</v>
      </c>
      <c r="AX31" s="58">
        <f t="shared" si="72"/>
        <v>86533.965517241377</v>
      </c>
      <c r="AY31" s="58">
        <f t="shared" si="72"/>
        <v>104777.77777777778</v>
      </c>
      <c r="AZ31" s="58">
        <f t="shared" si="72"/>
        <v>135777.77777777778</v>
      </c>
      <c r="BA31" s="58">
        <f t="shared" si="72"/>
        <v>211296.29629629629</v>
      </c>
      <c r="BB31" s="58">
        <f t="shared" si="72"/>
        <v>210777.77777777778</v>
      </c>
      <c r="BC31" s="58">
        <f t="shared" si="72"/>
        <v>214806.29075565783</v>
      </c>
      <c r="BD31" s="58">
        <f t="shared" si="72"/>
        <v>93210.586881472962</v>
      </c>
      <c r="BE31" s="58">
        <f t="shared" si="72"/>
        <v>30686.612965093977</v>
      </c>
      <c r="BF31" s="58">
        <f>SUM(AT31:BE31)</f>
        <v>1577509.7150594404</v>
      </c>
      <c r="BG31" s="59">
        <f>BF31-AR31</f>
        <v>99485.381726107094</v>
      </c>
      <c r="BH31" s="58">
        <f>BH28</f>
        <v>116600</v>
      </c>
      <c r="BI31" s="58">
        <f t="shared" ref="BI31:BT31" si="73">BI28</f>
        <v>111533.33333333333</v>
      </c>
      <c r="BJ31" s="58">
        <f t="shared" si="73"/>
        <v>135674.07407407407</v>
      </c>
      <c r="BK31" s="58">
        <f t="shared" si="73"/>
        <v>121740.74074074074</v>
      </c>
      <c r="BL31" s="58">
        <f t="shared" si="73"/>
        <v>93926.851851851854</v>
      </c>
      <c r="BM31" s="58">
        <f t="shared" si="73"/>
        <v>90679.259259259255</v>
      </c>
      <c r="BN31" s="58">
        <f t="shared" si="73"/>
        <v>130255.55555555556</v>
      </c>
      <c r="BO31" s="58">
        <f t="shared" si="73"/>
        <v>150550.37811111109</v>
      </c>
      <c r="BP31" s="58">
        <f t="shared" si="73"/>
        <v>161830.74953703705</v>
      </c>
      <c r="BQ31" s="58">
        <f t="shared" si="73"/>
        <v>127130</v>
      </c>
      <c r="BR31" s="58">
        <f>BR28</f>
        <v>138687.6</v>
      </c>
      <c r="BS31" s="58">
        <f t="shared" si="73"/>
        <v>43639.199999999997</v>
      </c>
      <c r="BT31" s="58">
        <f t="shared" si="73"/>
        <v>1422247.7424629631</v>
      </c>
      <c r="BU31" s="60"/>
      <c r="BV31" s="58">
        <f>'META  EM PEÇAS'!S73</f>
        <v>130757.867486095</v>
      </c>
      <c r="BW31" s="58">
        <f>'META  EM PEÇAS'!T73</f>
        <v>125566.83045180296</v>
      </c>
      <c r="BX31" s="58">
        <f>'META  EM PEÇAS'!U73</f>
        <v>160961.53846153844</v>
      </c>
      <c r="BY31" s="58">
        <f>'META  EM PEÇAS'!V73</f>
        <v>128769.23076923078</v>
      </c>
      <c r="BZ31" s="58">
        <f>'META  EM PEÇAS'!W73</f>
        <v>118232.39341785663</v>
      </c>
      <c r="CA31" s="58">
        <f>'META  EM PEÇAS'!X73</f>
        <v>108192.12910096844</v>
      </c>
      <c r="CB31" s="58">
        <f>'META  EM PEÇAS'!Y73</f>
        <v>143736.21444761599</v>
      </c>
      <c r="CC31" s="58">
        <f>'META  EM PEÇAS'!Z73</f>
        <v>170653.87382484006</v>
      </c>
      <c r="CD31" s="58">
        <f>'META  EM PEÇAS'!AA73</f>
        <v>181168.0933115824</v>
      </c>
      <c r="CE31" s="58">
        <f>'META  EM PEÇAS'!AB73</f>
        <v>182469.1164631079</v>
      </c>
      <c r="CF31" s="58">
        <f>'META  EM PEÇAS'!AC73</f>
        <v>133115.84223630186</v>
      </c>
      <c r="CG31" s="58">
        <f>'META  EM PEÇAS'!AD73</f>
        <v>30483.816691710366</v>
      </c>
      <c r="CH31" s="58">
        <v>45</v>
      </c>
      <c r="CI31">
        <f>CH31*26</f>
        <v>1170</v>
      </c>
      <c r="CJ31" s="58">
        <f>BV62*1.19</f>
        <v>152850.74</v>
      </c>
      <c r="CK31" s="58">
        <f t="shared" ref="CK31:CT31" si="74">BW62*1.19</f>
        <v>141882.50999999998</v>
      </c>
      <c r="CL31" s="58">
        <f>BX62*1.19</f>
        <v>160483.4</v>
      </c>
      <c r="CM31" s="58">
        <v>127922</v>
      </c>
      <c r="CN31" s="58">
        <f t="shared" si="74"/>
        <v>122242.75</v>
      </c>
      <c r="CO31" s="58">
        <f t="shared" si="74"/>
        <v>88621.68</v>
      </c>
      <c r="CP31" s="58">
        <f>CB62*1.19</f>
        <v>195213.55</v>
      </c>
      <c r="CQ31" s="58">
        <f t="shared" si="74"/>
        <v>176318.72999999998</v>
      </c>
      <c r="CR31" s="58">
        <f t="shared" si="74"/>
        <v>225760.84999999998</v>
      </c>
      <c r="CS31" s="58">
        <f t="shared" si="74"/>
        <v>196930.72</v>
      </c>
      <c r="CT31" s="58">
        <f t="shared" si="74"/>
        <v>123556.51</v>
      </c>
      <c r="CU31" s="58">
        <f>CG62*1.19</f>
        <v>47560.729999999996</v>
      </c>
      <c r="CV31" s="58">
        <f>SUM(CJ31:CU31)</f>
        <v>1759344.17</v>
      </c>
      <c r="CW31">
        <f>CV31*26</f>
        <v>45742948.420000002</v>
      </c>
      <c r="CX31" s="58">
        <v>130757.867486095</v>
      </c>
      <c r="CY31" s="58">
        <v>125566.83045180296</v>
      </c>
      <c r="CZ31" s="58">
        <v>160961.53846153844</v>
      </c>
      <c r="DA31" s="58">
        <v>128769.23076923078</v>
      </c>
      <c r="DB31" s="58">
        <v>118232.39341785663</v>
      </c>
      <c r="DC31" s="58">
        <v>108192.12910096844</v>
      </c>
      <c r="DD31" s="58">
        <v>143736.21444761599</v>
      </c>
      <c r="DE31" s="58">
        <v>170653.87382484006</v>
      </c>
      <c r="DF31" s="58">
        <v>181168.0933115824</v>
      </c>
      <c r="DG31" s="58">
        <v>182469.1164631079</v>
      </c>
      <c r="DH31" s="58">
        <v>133115.84223630186</v>
      </c>
      <c r="DI31" s="58">
        <v>30483.816691710366</v>
      </c>
      <c r="DJ31" s="58">
        <v>1614106.9466626509</v>
      </c>
    </row>
    <row r="32" spans="1:114">
      <c r="A32" s="307"/>
      <c r="B32" s="82"/>
      <c r="C32" s="308"/>
      <c r="D32" s="309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310"/>
      <c r="Q32" s="84"/>
      <c r="R32" s="309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311"/>
      <c r="AE32" s="23"/>
      <c r="AF32" s="312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6"/>
      <c r="AS32" s="23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2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54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J32" s="87">
        <f>BV62</f>
        <v>128446</v>
      </c>
      <c r="CK32" s="87">
        <f t="shared" ref="CK32:CU32" si="75">BW62</f>
        <v>119229</v>
      </c>
      <c r="CL32" s="87">
        <f t="shared" si="75"/>
        <v>134860</v>
      </c>
      <c r="CM32" s="87">
        <f t="shared" si="75"/>
        <v>111992</v>
      </c>
      <c r="CN32" s="87">
        <f t="shared" si="75"/>
        <v>102725</v>
      </c>
      <c r="CO32" s="87">
        <f t="shared" si="75"/>
        <v>74472</v>
      </c>
      <c r="CP32" s="87">
        <f t="shared" si="75"/>
        <v>164045</v>
      </c>
      <c r="CQ32" s="87">
        <f t="shared" si="75"/>
        <v>148167</v>
      </c>
      <c r="CR32" s="87">
        <f t="shared" si="75"/>
        <v>189715</v>
      </c>
      <c r="CS32" s="87">
        <f t="shared" si="75"/>
        <v>165488</v>
      </c>
      <c r="CT32" s="87">
        <f t="shared" si="75"/>
        <v>103829</v>
      </c>
      <c r="CU32" s="87">
        <f t="shared" si="75"/>
        <v>39967</v>
      </c>
      <c r="CV32" s="87">
        <f>SUM(CJ32:CU32)</f>
        <v>1482935</v>
      </c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</row>
    <row r="33" spans="1:114">
      <c r="A33" s="709"/>
      <c r="B33" s="710"/>
      <c r="C33" s="710"/>
      <c r="D33" s="309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310"/>
      <c r="Q33" s="84"/>
      <c r="R33" s="309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311"/>
      <c r="AE33" s="23"/>
      <c r="AF33" s="312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6"/>
      <c r="AS33" s="23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2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54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J33" s="711">
        <f>(CJ31-CJ32)/CJ32</f>
        <v>0.18999999999999992</v>
      </c>
      <c r="CK33" s="711">
        <f t="shared" ref="CK33:CU33" si="76">(CK31-CK32)/CK32</f>
        <v>0.18999999999999984</v>
      </c>
      <c r="CL33" s="711">
        <f t="shared" si="76"/>
        <v>0.18999999999999995</v>
      </c>
      <c r="CM33" s="711">
        <f t="shared" si="76"/>
        <v>0.1422423030216444</v>
      </c>
      <c r="CN33" s="711">
        <f t="shared" si="76"/>
        <v>0.19</v>
      </c>
      <c r="CO33" s="711">
        <f t="shared" si="76"/>
        <v>0.18999999999999992</v>
      </c>
      <c r="CP33" s="711">
        <f t="shared" si="76"/>
        <v>0.18999999999999992</v>
      </c>
      <c r="CQ33" s="711">
        <f t="shared" si="76"/>
        <v>0.18999999999999986</v>
      </c>
      <c r="CR33" s="711">
        <f t="shared" si="76"/>
        <v>0.18999999999999986</v>
      </c>
      <c r="CS33" s="711">
        <f t="shared" si="76"/>
        <v>0.19</v>
      </c>
      <c r="CT33" s="711">
        <f t="shared" si="76"/>
        <v>0.18999999999999995</v>
      </c>
      <c r="CU33" s="711">
        <f t="shared" si="76"/>
        <v>0.18999999999999989</v>
      </c>
      <c r="CV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</row>
    <row r="34" spans="1:114" ht="15" customHeight="1" outlineLevel="1">
      <c r="A34" s="88">
        <v>1</v>
      </c>
      <c r="B34" s="1095" t="s">
        <v>56</v>
      </c>
      <c r="C34" s="1117"/>
      <c r="D34" s="313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ref="P34:P46" si="77">SUM(D34:O34)</f>
        <v>0</v>
      </c>
      <c r="Q34" s="90"/>
      <c r="R34" s="313">
        <v>7017.5438596491231</v>
      </c>
      <c r="S34" s="91">
        <v>7017.5438596491231</v>
      </c>
      <c r="T34" s="91">
        <f>7017.54385964912/2</f>
        <v>3508.7719298245602</v>
      </c>
      <c r="U34" s="91">
        <f>96*U7</f>
        <v>96</v>
      </c>
      <c r="V34" s="91">
        <v>3000</v>
      </c>
      <c r="W34" s="91">
        <v>7200</v>
      </c>
      <c r="X34" s="91">
        <v>8500</v>
      </c>
      <c r="Y34" s="91">
        <v>8500</v>
      </c>
      <c r="Z34" s="91">
        <v>8500</v>
      </c>
      <c r="AA34" s="91">
        <v>9000</v>
      </c>
      <c r="AB34" s="91">
        <v>9500</v>
      </c>
      <c r="AC34" s="91">
        <v>8500</v>
      </c>
      <c r="AD34" s="315">
        <f t="shared" ref="AD34:AD48" si="78">SUM(R34:AC34)</f>
        <v>80339.859649122809</v>
      </c>
      <c r="AE34" s="23"/>
      <c r="AF34" s="316">
        <v>8000</v>
      </c>
      <c r="AG34" s="91">
        <v>4000</v>
      </c>
      <c r="AH34" s="91">
        <v>5673</v>
      </c>
      <c r="AI34" s="91">
        <v>4500</v>
      </c>
      <c r="AJ34" s="91">
        <v>7892</v>
      </c>
      <c r="AK34" s="91">
        <v>6400</v>
      </c>
      <c r="AL34" s="91">
        <v>8000</v>
      </c>
      <c r="AM34" s="91">
        <v>8000</v>
      </c>
      <c r="AN34" s="91">
        <v>8000</v>
      </c>
      <c r="AO34" s="91">
        <v>8000</v>
      </c>
      <c r="AP34" s="91">
        <v>8800</v>
      </c>
      <c r="AQ34" s="91">
        <v>6400</v>
      </c>
      <c r="AR34" s="92">
        <f t="shared" ref="AR34:AR52" si="79">SUM(AF34:AQ34)</f>
        <v>83665</v>
      </c>
      <c r="AS34" s="23"/>
      <c r="AT34" s="91">
        <v>4861</v>
      </c>
      <c r="AU34" s="91">
        <v>5809</v>
      </c>
      <c r="AV34" s="91">
        <v>5072</v>
      </c>
      <c r="AW34" s="91">
        <v>4725</v>
      </c>
      <c r="AX34" s="317">
        <v>5832</v>
      </c>
      <c r="AY34" s="317">
        <v>5832</v>
      </c>
      <c r="AZ34" s="317">
        <v>5567</v>
      </c>
      <c r="BA34" s="317">
        <v>5567</v>
      </c>
      <c r="BB34" s="317">
        <v>5832</v>
      </c>
      <c r="BC34" s="317">
        <v>6892</v>
      </c>
      <c r="BD34" s="317">
        <v>7422</v>
      </c>
      <c r="BE34" s="317">
        <v>4241</v>
      </c>
      <c r="BF34" s="91">
        <f t="shared" ref="BF34:BF66" si="80">SUM(AT34:BE34)</f>
        <v>67652</v>
      </c>
      <c r="BG34" s="93">
        <f t="shared" ref="BG34:BG52" si="81">BF34/AR34-1</f>
        <v>-0.19139425088149165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>
        <v>36051</v>
      </c>
      <c r="BU34" s="54"/>
      <c r="BV34" s="91">
        <v>4782.99</v>
      </c>
      <c r="BW34" s="91">
        <v>2945.31</v>
      </c>
      <c r="BX34" s="91">
        <f>'META  EM PEÇAS'!U26-('META  EM PEÇAS'!U26*0.05)</f>
        <v>7080.3689999999997</v>
      </c>
      <c r="BY34" s="91">
        <f>'META  EM PEÇAS'!V26-('META  EM PEÇAS'!V26*0.05)</f>
        <v>4355.6549999999997</v>
      </c>
      <c r="BZ34" s="91">
        <f>'META  EM PEÇAS'!W26-('META  EM PEÇAS'!W26*0.05)</f>
        <v>5839.9349999999995</v>
      </c>
      <c r="CA34" s="91">
        <f>'META  EM PEÇAS'!X26-('META  EM PEÇAS'!X26*0.05)</f>
        <v>5900.8964999999989</v>
      </c>
      <c r="CB34" s="91">
        <f>'META  EM PEÇAS'!Y26-('META  EM PEÇAS'!Y26*0.05)</f>
        <v>5279.7959999999994</v>
      </c>
      <c r="CC34" s="91">
        <f>'META  EM PEÇAS'!Z26-('META  EM PEÇAS'!Z26*0.05)</f>
        <v>4897.2404999999999</v>
      </c>
      <c r="CD34" s="91">
        <f>'META  EM PEÇAS'!AA26-('META  EM PEÇAS'!AA26*0.05)</f>
        <v>5018.28</v>
      </c>
      <c r="CE34" s="91">
        <f>'META  EM PEÇAS'!AB26-('META  EM PEÇAS'!AB26*0.05)</f>
        <v>4641.0254999999997</v>
      </c>
      <c r="CF34" s="91">
        <f>'META  EM PEÇAS'!AC26-('META  EM PEÇAS'!AC26*0.05)</f>
        <v>6521.1134999999995</v>
      </c>
      <c r="CG34" s="91">
        <f>'META  EM PEÇAS'!AD26-('META  EM PEÇAS'!AD26*0.05)</f>
        <v>3929.8079999999995</v>
      </c>
      <c r="CH34" s="91">
        <v>4136.6400000000003</v>
      </c>
      <c r="CJ34" s="91">
        <v>4782.99</v>
      </c>
      <c r="CK34" s="91">
        <v>2945.31</v>
      </c>
      <c r="CL34" s="91">
        <v>7080.3689999999997</v>
      </c>
      <c r="CM34" s="91">
        <v>4355.6549999999997</v>
      </c>
      <c r="CN34" s="91">
        <v>5839.9349999999995</v>
      </c>
      <c r="CO34" s="91">
        <v>5900.8964999999989</v>
      </c>
      <c r="CP34" s="91">
        <v>5279.7959999999994</v>
      </c>
      <c r="CQ34" s="91">
        <v>4897.2404999999999</v>
      </c>
      <c r="CR34" s="91">
        <v>5018.28</v>
      </c>
      <c r="CS34" s="91">
        <v>4641.0254999999997</v>
      </c>
      <c r="CT34" s="91">
        <v>6521.1134999999995</v>
      </c>
      <c r="CU34" s="91">
        <v>3929.8079999999995</v>
      </c>
      <c r="CV34" s="91">
        <v>4136.6400000000003</v>
      </c>
      <c r="CX34" s="91">
        <v>4782.99</v>
      </c>
      <c r="CY34" s="91">
        <v>2945.31</v>
      </c>
      <c r="CZ34" s="91">
        <v>7080.3689999999997</v>
      </c>
      <c r="DA34" s="91">
        <v>4355.6549999999997</v>
      </c>
      <c r="DB34" s="91">
        <v>5839.9349999999995</v>
      </c>
      <c r="DC34" s="91">
        <v>5900.8964999999989</v>
      </c>
      <c r="DD34" s="91">
        <v>5279.7959999999994</v>
      </c>
      <c r="DE34" s="91">
        <v>4897.2404999999999</v>
      </c>
      <c r="DF34" s="91">
        <v>5018.28</v>
      </c>
      <c r="DG34" s="91">
        <v>4641.0254999999997</v>
      </c>
      <c r="DH34" s="91">
        <v>6521.1134999999995</v>
      </c>
      <c r="DI34" s="91">
        <v>3929.8079999999995</v>
      </c>
      <c r="DJ34" s="91">
        <v>4136.6400000000003</v>
      </c>
    </row>
    <row r="35" spans="1:114" ht="15" customHeight="1" outlineLevel="1">
      <c r="A35" s="94">
        <v>2</v>
      </c>
      <c r="B35" s="1092" t="s">
        <v>57</v>
      </c>
      <c r="C35" s="1118"/>
      <c r="D35" s="313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>
        <f t="shared" si="77"/>
        <v>0</v>
      </c>
      <c r="Q35" s="90"/>
      <c r="R35" s="313">
        <v>2909</v>
      </c>
      <c r="S35" s="91">
        <v>2545</v>
      </c>
      <c r="T35" s="91">
        <f>2727/1.2</f>
        <v>2272.5</v>
      </c>
      <c r="U35" s="91">
        <f>2*U7</f>
        <v>2</v>
      </c>
      <c r="V35" s="91">
        <v>500</v>
      </c>
      <c r="W35" s="91">
        <v>1300</v>
      </c>
      <c r="X35" s="91">
        <v>3200</v>
      </c>
      <c r="Y35" s="91">
        <v>3200</v>
      </c>
      <c r="Z35" s="91">
        <v>3600</v>
      </c>
      <c r="AA35" s="91">
        <v>3600</v>
      </c>
      <c r="AB35" s="91">
        <v>3600</v>
      </c>
      <c r="AC35" s="91">
        <v>4500</v>
      </c>
      <c r="AD35" s="315">
        <f t="shared" si="78"/>
        <v>31228.5</v>
      </c>
      <c r="AE35" s="23"/>
      <c r="AF35" s="316">
        <v>4000</v>
      </c>
      <c r="AG35" s="91">
        <v>1500</v>
      </c>
      <c r="AH35" s="91">
        <v>189</v>
      </c>
      <c r="AI35" s="91">
        <v>1842</v>
      </c>
      <c r="AJ35" s="91">
        <v>3764</v>
      </c>
      <c r="AK35" s="91">
        <v>3200</v>
      </c>
      <c r="AL35" s="91">
        <v>6000</v>
      </c>
      <c r="AM35" s="91">
        <v>5000</v>
      </c>
      <c r="AN35" s="91">
        <v>5000</v>
      </c>
      <c r="AO35" s="91">
        <v>5000</v>
      </c>
      <c r="AP35" s="91">
        <v>5000</v>
      </c>
      <c r="AQ35" s="91">
        <v>9000</v>
      </c>
      <c r="AR35" s="92">
        <f t="shared" si="79"/>
        <v>49495</v>
      </c>
      <c r="AS35" s="23"/>
      <c r="AT35" s="91">
        <v>5468</v>
      </c>
      <c r="AU35" s="91">
        <v>5468</v>
      </c>
      <c r="AV35" s="91">
        <v>6249</v>
      </c>
      <c r="AW35" s="91">
        <v>6249</v>
      </c>
      <c r="AX35" s="317">
        <v>3923</v>
      </c>
      <c r="AY35" s="317">
        <v>3923</v>
      </c>
      <c r="AZ35" s="317">
        <v>3745</v>
      </c>
      <c r="BA35" s="317">
        <v>3745</v>
      </c>
      <c r="BB35" s="317">
        <v>3923</v>
      </c>
      <c r="BC35" s="317">
        <v>4636</v>
      </c>
      <c r="BD35" s="317">
        <v>4993</v>
      </c>
      <c r="BE35" s="317">
        <v>7133</v>
      </c>
      <c r="BF35" s="91">
        <f t="shared" si="80"/>
        <v>59455</v>
      </c>
      <c r="BG35" s="93">
        <f t="shared" si="81"/>
        <v>0.20123244772199222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>
        <v>40562</v>
      </c>
      <c r="BU35" s="54"/>
      <c r="BV35" s="91">
        <v>4442.6099999999997</v>
      </c>
      <c r="BW35" s="91">
        <v>3433.56</v>
      </c>
      <c r="BX35" s="91">
        <f>'META  EM PEÇAS'!U27-('META  EM PEÇAS'!U27*0.05)</f>
        <v>3860.0114999999996</v>
      </c>
      <c r="BY35" s="91">
        <f>'META  EM PEÇAS'!V27-('META  EM PEÇAS'!V27*0.05)</f>
        <v>3578.1749999999997</v>
      </c>
      <c r="BZ35" s="91">
        <f>'META  EM PEÇAS'!W27-('META  EM PEÇAS'!W27*0.05)</f>
        <v>4015.5074999999997</v>
      </c>
      <c r="CA35" s="91">
        <f>'META  EM PEÇAS'!X27-('META  EM PEÇAS'!X27*0.05)</f>
        <v>4835.3954999999996</v>
      </c>
      <c r="CB35" s="91">
        <f>'META  EM PEÇAS'!Y27-('META  EM PEÇAS'!Y27*0.05)</f>
        <v>5815.1969999999992</v>
      </c>
      <c r="CC35" s="91">
        <f>'META  EM PEÇAS'!Z27-('META  EM PEÇAS'!Z27*0.05)</f>
        <v>3888.2835</v>
      </c>
      <c r="CD35" s="91">
        <f>'META  EM PEÇAS'!AA27-('META  EM PEÇAS'!AA27*0.05)</f>
        <v>4032.2939999999994</v>
      </c>
      <c r="CE35" s="91">
        <f>'META  EM PEÇAS'!AB27-('META  EM PEÇAS'!AB27*0.05)</f>
        <v>4375.0919999999996</v>
      </c>
      <c r="CF35" s="91">
        <f>'META  EM PEÇAS'!AC27-('META  EM PEÇAS'!AC27*0.05)</f>
        <v>5604.9239999999991</v>
      </c>
      <c r="CG35" s="91">
        <f>'META  EM PEÇAS'!AD27-('META  EM PEÇAS'!AD27*0.05)</f>
        <v>7897.606499999999</v>
      </c>
      <c r="CH35" s="91">
        <f>SUM(BV35:CG35)</f>
        <v>55778.656499999997</v>
      </c>
      <c r="CJ35" s="91">
        <v>4442.6099999999997</v>
      </c>
      <c r="CK35" s="91">
        <v>3433.56</v>
      </c>
      <c r="CL35" s="91">
        <v>3860.0114999999996</v>
      </c>
      <c r="CM35" s="91">
        <v>3578.1749999999997</v>
      </c>
      <c r="CN35" s="91">
        <v>4015.5074999999997</v>
      </c>
      <c r="CO35" s="91">
        <v>4835.3954999999996</v>
      </c>
      <c r="CP35" s="91">
        <v>5815.1969999999992</v>
      </c>
      <c r="CQ35" s="91">
        <v>3888.2835</v>
      </c>
      <c r="CR35" s="91">
        <v>4032.2939999999994</v>
      </c>
      <c r="CS35" s="91">
        <v>4375.0919999999996</v>
      </c>
      <c r="CT35" s="91">
        <v>5604.9239999999991</v>
      </c>
      <c r="CU35" s="91">
        <v>7897.606499999999</v>
      </c>
      <c r="CV35" s="91">
        <v>55778.656499999997</v>
      </c>
      <c r="CX35" s="91">
        <v>4442.6099999999997</v>
      </c>
      <c r="CY35" s="91">
        <v>3433.56</v>
      </c>
      <c r="CZ35" s="91">
        <v>3860.0114999999996</v>
      </c>
      <c r="DA35" s="91">
        <v>3578.1749999999997</v>
      </c>
      <c r="DB35" s="91">
        <v>4015.5074999999997</v>
      </c>
      <c r="DC35" s="91">
        <v>4835.3954999999996</v>
      </c>
      <c r="DD35" s="91">
        <v>5815.1969999999992</v>
      </c>
      <c r="DE35" s="91">
        <v>3888.2835</v>
      </c>
      <c r="DF35" s="91">
        <v>4032.2939999999994</v>
      </c>
      <c r="DG35" s="91">
        <v>4375.0919999999996</v>
      </c>
      <c r="DH35" s="91">
        <v>5604.9239999999991</v>
      </c>
      <c r="DI35" s="91">
        <v>7897.606499999999</v>
      </c>
      <c r="DJ35" s="91">
        <v>55778.656499999997</v>
      </c>
    </row>
    <row r="36" spans="1:114" ht="15" customHeight="1" outlineLevel="1">
      <c r="A36" s="94">
        <v>3</v>
      </c>
      <c r="B36" s="1092" t="s">
        <v>58</v>
      </c>
      <c r="C36" s="1118"/>
      <c r="D36" s="313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>
        <f t="shared" si="77"/>
        <v>0</v>
      </c>
      <c r="Q36" s="90"/>
      <c r="R36" s="313">
        <v>746</v>
      </c>
      <c r="S36" s="91">
        <v>653</v>
      </c>
      <c r="T36" s="91">
        <v>700</v>
      </c>
      <c r="U36" s="91">
        <v>0</v>
      </c>
      <c r="V36" s="91">
        <v>200</v>
      </c>
      <c r="W36" s="91">
        <v>400</v>
      </c>
      <c r="X36" s="91">
        <v>900</v>
      </c>
      <c r="Y36" s="91">
        <v>900</v>
      </c>
      <c r="Z36" s="91">
        <v>900</v>
      </c>
      <c r="AA36" s="91">
        <v>900</v>
      </c>
      <c r="AB36" s="91">
        <v>900</v>
      </c>
      <c r="AC36" s="91">
        <v>1200</v>
      </c>
      <c r="AD36" s="315">
        <f t="shared" si="78"/>
        <v>8399</v>
      </c>
      <c r="AE36" s="23"/>
      <c r="AF36" s="316">
        <v>1800</v>
      </c>
      <c r="AG36" s="91">
        <v>1200</v>
      </c>
      <c r="AH36" s="91">
        <v>230</v>
      </c>
      <c r="AI36" s="91">
        <v>472</v>
      </c>
      <c r="AJ36" s="91">
        <v>1495</v>
      </c>
      <c r="AK36" s="91">
        <v>1200</v>
      </c>
      <c r="AL36" s="91">
        <v>1500</v>
      </c>
      <c r="AM36" s="91">
        <v>1500</v>
      </c>
      <c r="AN36" s="91">
        <v>1500</v>
      </c>
      <c r="AO36" s="91">
        <v>1500</v>
      </c>
      <c r="AP36" s="91">
        <v>1650</v>
      </c>
      <c r="AQ36" s="91">
        <v>2400</v>
      </c>
      <c r="AR36" s="92">
        <f t="shared" si="79"/>
        <v>16447</v>
      </c>
      <c r="AS36" s="23"/>
      <c r="AT36" s="91">
        <v>2438</v>
      </c>
      <c r="AU36" s="91">
        <v>1501</v>
      </c>
      <c r="AV36" s="91">
        <v>1566</v>
      </c>
      <c r="AW36" s="91">
        <v>2127</v>
      </c>
      <c r="AX36" s="317">
        <v>1928</v>
      </c>
      <c r="AY36" s="317">
        <v>1928</v>
      </c>
      <c r="AZ36" s="317">
        <v>1840</v>
      </c>
      <c r="BA36" s="317">
        <v>1840</v>
      </c>
      <c r="BB36" s="317">
        <v>1928</v>
      </c>
      <c r="BC36" s="317">
        <v>2278</v>
      </c>
      <c r="BD36" s="317">
        <v>2454</v>
      </c>
      <c r="BE36" s="317">
        <v>3505</v>
      </c>
      <c r="BF36" s="91">
        <f t="shared" si="80"/>
        <v>25333</v>
      </c>
      <c r="BG36" s="93">
        <f t="shared" si="81"/>
        <v>0.54028090229221126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>
        <v>7784</v>
      </c>
      <c r="BU36" s="54"/>
      <c r="BV36" s="91">
        <v>450.99999999999989</v>
      </c>
      <c r="BW36" s="91">
        <v>348.59999999999991</v>
      </c>
      <c r="BX36" s="91">
        <f>'META  EM PEÇAS'!U28-('META  EM PEÇAS'!U28*0.05)</f>
        <v>391.96999999999991</v>
      </c>
      <c r="BY36" s="91">
        <f>'META  EM PEÇAS'!V28-('META  EM PEÇAS'!V28*0.05)</f>
        <v>363.27999999999992</v>
      </c>
      <c r="BZ36" s="91">
        <f>'META  EM PEÇAS'!W28-('META  EM PEÇAS'!W28*0.05)</f>
        <v>407.5499999999999</v>
      </c>
      <c r="CA36" s="91">
        <f>'META  EM PEÇAS'!X28-('META  EM PEÇAS'!X28*0.05)</f>
        <v>490.76999999999992</v>
      </c>
      <c r="CB36" s="91">
        <f>'META  EM PEÇAS'!Y28-('META  EM PEÇAS'!Y28*0.05)</f>
        <v>590.32999999999993</v>
      </c>
      <c r="CC36" s="91">
        <f>'META  EM PEÇAS'!Z28-('META  EM PEÇAS'!Z28*0.05)</f>
        <v>394.62999999999994</v>
      </c>
      <c r="CD36" s="91">
        <f>'META  EM PEÇAS'!AA28-('META  EM PEÇAS'!AA28*0.05)</f>
        <v>409.25999999999988</v>
      </c>
      <c r="CE36" s="91">
        <f>'META  EM PEÇAS'!AB28-('META  EM PEÇAS'!AB28*0.05)</f>
        <v>444.21999999999991</v>
      </c>
      <c r="CF36" s="91">
        <f>'META  EM PEÇAS'!AC28-('META  EM PEÇAS'!AC28*0.05)</f>
        <v>569.04999999999984</v>
      </c>
      <c r="CG36" s="91">
        <f>'META  EM PEÇAS'!AD28-('META  EM PEÇAS'!AD28*0.05)</f>
        <v>801.79999999999973</v>
      </c>
      <c r="CH36" s="91">
        <f t="shared" ref="CH36:CH49" si="82">SUM(BV36:CG36)</f>
        <v>5662.4599999999991</v>
      </c>
      <c r="CJ36" s="91">
        <v>450.99999999999989</v>
      </c>
      <c r="CK36" s="91">
        <v>348.59999999999991</v>
      </c>
      <c r="CL36" s="91">
        <v>391.96999999999991</v>
      </c>
      <c r="CM36" s="91">
        <v>363.27999999999992</v>
      </c>
      <c r="CN36" s="91">
        <v>407.5499999999999</v>
      </c>
      <c r="CO36" s="91">
        <v>490.76999999999992</v>
      </c>
      <c r="CP36" s="91">
        <v>590.32999999999993</v>
      </c>
      <c r="CQ36" s="91">
        <v>394.62999999999994</v>
      </c>
      <c r="CR36" s="91">
        <v>409.25999999999988</v>
      </c>
      <c r="CS36" s="91">
        <v>444.21999999999991</v>
      </c>
      <c r="CT36" s="91">
        <v>569.04999999999984</v>
      </c>
      <c r="CU36" s="91">
        <v>801.79999999999973</v>
      </c>
      <c r="CV36" s="91">
        <v>5662.4599999999991</v>
      </c>
      <c r="CX36" s="91">
        <v>450.99999999999989</v>
      </c>
      <c r="CY36" s="91">
        <v>348.59999999999991</v>
      </c>
      <c r="CZ36" s="91">
        <v>391.96999999999991</v>
      </c>
      <c r="DA36" s="91">
        <v>363.27999999999992</v>
      </c>
      <c r="DB36" s="91">
        <v>407.5499999999999</v>
      </c>
      <c r="DC36" s="91">
        <v>490.76999999999992</v>
      </c>
      <c r="DD36" s="91">
        <v>590.32999999999993</v>
      </c>
      <c r="DE36" s="91">
        <v>394.62999999999994</v>
      </c>
      <c r="DF36" s="91">
        <v>409.25999999999988</v>
      </c>
      <c r="DG36" s="91">
        <v>444.21999999999991</v>
      </c>
      <c r="DH36" s="91">
        <v>569.04999999999984</v>
      </c>
      <c r="DI36" s="91">
        <v>801.79999999999973</v>
      </c>
      <c r="DJ36" s="91">
        <v>5662.4599999999991</v>
      </c>
    </row>
    <row r="37" spans="1:114" ht="15" customHeight="1" outlineLevel="1">
      <c r="A37" s="94">
        <v>4</v>
      </c>
      <c r="B37" s="1092" t="s">
        <v>59</v>
      </c>
      <c r="C37" s="1118"/>
      <c r="D37" s="313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>
        <f t="shared" si="77"/>
        <v>0</v>
      </c>
      <c r="Q37" s="90"/>
      <c r="R37" s="313">
        <v>1455</v>
      </c>
      <c r="S37" s="91">
        <f>2036</f>
        <v>2036</v>
      </c>
      <c r="T37" s="91">
        <f>2182/2</f>
        <v>1091</v>
      </c>
      <c r="U37" s="91">
        <v>0</v>
      </c>
      <c r="V37" s="91">
        <v>200</v>
      </c>
      <c r="W37" s="91">
        <v>900</v>
      </c>
      <c r="X37" s="91">
        <v>1600</v>
      </c>
      <c r="Y37" s="91">
        <v>1600</v>
      </c>
      <c r="Z37" s="91">
        <v>1600</v>
      </c>
      <c r="AA37" s="91">
        <v>1600</v>
      </c>
      <c r="AB37" s="91">
        <v>2200</v>
      </c>
      <c r="AC37" s="91">
        <v>2500</v>
      </c>
      <c r="AD37" s="315">
        <f t="shared" si="78"/>
        <v>16782</v>
      </c>
      <c r="AE37" s="23"/>
      <c r="AF37" s="316">
        <v>2200</v>
      </c>
      <c r="AG37" s="91">
        <v>1500</v>
      </c>
      <c r="AH37" s="91">
        <v>121</v>
      </c>
      <c r="AI37" s="91">
        <v>565</v>
      </c>
      <c r="AJ37" s="91">
        <v>1514</v>
      </c>
      <c r="AK37" s="91">
        <v>1760</v>
      </c>
      <c r="AL37" s="91">
        <v>1800</v>
      </c>
      <c r="AM37" s="91">
        <v>2200</v>
      </c>
      <c r="AN37" s="91">
        <v>2200</v>
      </c>
      <c r="AO37" s="91">
        <v>2200</v>
      </c>
      <c r="AP37" s="91">
        <v>2420</v>
      </c>
      <c r="AQ37" s="91">
        <v>3520</v>
      </c>
      <c r="AR37" s="92">
        <f t="shared" si="79"/>
        <v>22000</v>
      </c>
      <c r="AS37" s="23"/>
      <c r="AT37" s="91">
        <v>1529</v>
      </c>
      <c r="AU37" s="91">
        <v>1516</v>
      </c>
      <c r="AV37" s="91">
        <v>1586</v>
      </c>
      <c r="AW37" s="91">
        <v>1979</v>
      </c>
      <c r="AX37" s="317">
        <v>1283</v>
      </c>
      <c r="AY37" s="317">
        <v>1283</v>
      </c>
      <c r="AZ37" s="317">
        <v>1224</v>
      </c>
      <c r="BA37" s="317">
        <v>1224</v>
      </c>
      <c r="BB37" s="317">
        <v>1283</v>
      </c>
      <c r="BC37" s="317">
        <v>1516</v>
      </c>
      <c r="BD37" s="317">
        <v>1632</v>
      </c>
      <c r="BE37" s="317">
        <v>2332</v>
      </c>
      <c r="BF37" s="91">
        <f t="shared" si="80"/>
        <v>18387</v>
      </c>
      <c r="BG37" s="93">
        <f t="shared" si="81"/>
        <v>-0.16422727272727278</v>
      </c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>
        <v>9018</v>
      </c>
      <c r="BU37" s="54"/>
      <c r="BV37" s="91">
        <v>1143.8999999999999</v>
      </c>
      <c r="BW37" s="91">
        <v>884.43</v>
      </c>
      <c r="BX37" s="91">
        <f>'META  EM PEÇAS'!U29-('META  EM PEÇAS'!U29*0.05)</f>
        <v>993.9375</v>
      </c>
      <c r="BY37" s="91">
        <f>'META  EM PEÇAS'!V29-('META  EM PEÇAS'!V29*0.05)</f>
        <v>921.49049999999988</v>
      </c>
      <c r="BZ37" s="91">
        <f>'META  EM PEÇAS'!W29-('META  EM PEÇAS'!W29*0.05)</f>
        <v>1033.6949999999999</v>
      </c>
      <c r="CA37" s="91">
        <f>'META  EM PEÇAS'!X29-('META  EM PEÇAS'!X29*0.05)</f>
        <v>1244.8515</v>
      </c>
      <c r="CB37" s="91">
        <f>'META  EM PEÇAS'!Y29-('META  EM PEÇAS'!Y29*0.05)</f>
        <v>1497.5324999999998</v>
      </c>
      <c r="CC37" s="91">
        <f>'META  EM PEÇAS'!Z29-('META  EM PEÇAS'!Z29*0.05)</f>
        <v>1001.0054999999999</v>
      </c>
      <c r="CD37" s="91">
        <f>'META  EM PEÇAS'!AA29-('META  EM PEÇAS'!AA29*0.05)</f>
        <v>1038.1125</v>
      </c>
      <c r="CE37" s="91">
        <f>'META  EM PEÇAS'!AB29-('META  EM PEÇAS'!AB29*0.05)</f>
        <v>1126.4625000000001</v>
      </c>
      <c r="CF37" s="91">
        <f>'META  EM PEÇAS'!AC29-('META  EM PEÇAS'!AC29*0.05)</f>
        <v>1443.6389999999999</v>
      </c>
      <c r="CG37" s="91">
        <f>'META  EM PEÇAS'!AD29-('META  EM PEÇAS'!AD29*0.05)</f>
        <v>2033.8169999999998</v>
      </c>
      <c r="CH37" s="91">
        <f t="shared" si="82"/>
        <v>14362.873499999996</v>
      </c>
      <c r="CJ37" s="91">
        <v>1143.8999999999999</v>
      </c>
      <c r="CK37" s="91">
        <v>884.43</v>
      </c>
      <c r="CL37" s="91">
        <v>993.9375</v>
      </c>
      <c r="CM37" s="91">
        <v>921.49049999999988</v>
      </c>
      <c r="CN37" s="91">
        <v>1033.6949999999999</v>
      </c>
      <c r="CO37" s="91">
        <v>1244.8515</v>
      </c>
      <c r="CP37" s="91">
        <v>1497.5324999999998</v>
      </c>
      <c r="CQ37" s="91">
        <v>1001.0054999999999</v>
      </c>
      <c r="CR37" s="91">
        <v>1038.1125</v>
      </c>
      <c r="CS37" s="91">
        <v>1126.4625000000001</v>
      </c>
      <c r="CT37" s="91">
        <v>1443.6389999999999</v>
      </c>
      <c r="CU37" s="91">
        <v>2033.8169999999998</v>
      </c>
      <c r="CV37" s="91">
        <v>14362.873499999996</v>
      </c>
      <c r="CX37" s="91">
        <v>1143.8999999999999</v>
      </c>
      <c r="CY37" s="91">
        <v>884.43</v>
      </c>
      <c r="CZ37" s="91">
        <v>993.9375</v>
      </c>
      <c r="DA37" s="91">
        <v>921.49049999999988</v>
      </c>
      <c r="DB37" s="91">
        <v>1033.6949999999999</v>
      </c>
      <c r="DC37" s="91">
        <v>1244.8515</v>
      </c>
      <c r="DD37" s="91">
        <v>1497.5324999999998</v>
      </c>
      <c r="DE37" s="91">
        <v>1001.0054999999999</v>
      </c>
      <c r="DF37" s="91">
        <v>1038.1125</v>
      </c>
      <c r="DG37" s="91">
        <v>1126.4625000000001</v>
      </c>
      <c r="DH37" s="91">
        <v>1443.6389999999999</v>
      </c>
      <c r="DI37" s="91">
        <v>2033.8169999999998</v>
      </c>
      <c r="DJ37" s="91">
        <v>14362.873499999996</v>
      </c>
    </row>
    <row r="38" spans="1:114" ht="15" customHeight="1" outlineLevel="1">
      <c r="A38" s="94">
        <v>5</v>
      </c>
      <c r="B38" s="1092" t="s">
        <v>60</v>
      </c>
      <c r="C38" s="1118"/>
      <c r="D38" s="313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>
        <f t="shared" si="77"/>
        <v>0</v>
      </c>
      <c r="Q38" s="90"/>
      <c r="R38" s="313">
        <v>1353</v>
      </c>
      <c r="S38" s="91">
        <v>1184</v>
      </c>
      <c r="T38" s="91">
        <v>1268</v>
      </c>
      <c r="U38" s="91">
        <f t="shared" ref="U38:V38" si="83">10*U7</f>
        <v>10</v>
      </c>
      <c r="V38" s="91">
        <f t="shared" si="83"/>
        <v>120</v>
      </c>
      <c r="W38" s="91">
        <v>600</v>
      </c>
      <c r="X38" s="91">
        <v>1600</v>
      </c>
      <c r="Y38" s="91">
        <v>1600</v>
      </c>
      <c r="Z38" s="91">
        <v>1600</v>
      </c>
      <c r="AA38" s="91">
        <v>1600</v>
      </c>
      <c r="AB38" s="91">
        <v>1600</v>
      </c>
      <c r="AC38" s="91">
        <v>2200</v>
      </c>
      <c r="AD38" s="315">
        <f t="shared" si="78"/>
        <v>14735</v>
      </c>
      <c r="AE38" s="23"/>
      <c r="AF38" s="316">
        <v>1800</v>
      </c>
      <c r="AG38" s="91">
        <v>1200</v>
      </c>
      <c r="AH38" s="91">
        <v>181</v>
      </c>
      <c r="AI38" s="91">
        <v>628</v>
      </c>
      <c r="AJ38" s="91">
        <v>1169</v>
      </c>
      <c r="AK38" s="91">
        <v>960</v>
      </c>
      <c r="AL38" s="91">
        <v>1500</v>
      </c>
      <c r="AM38" s="91">
        <v>1200</v>
      </c>
      <c r="AN38" s="91">
        <v>1200</v>
      </c>
      <c r="AO38" s="91">
        <v>1200</v>
      </c>
      <c r="AP38" s="91">
        <v>1320</v>
      </c>
      <c r="AQ38" s="91">
        <v>1920</v>
      </c>
      <c r="AR38" s="92">
        <f t="shared" si="79"/>
        <v>14278</v>
      </c>
      <c r="AS38" s="23"/>
      <c r="AT38" s="91">
        <v>1496</v>
      </c>
      <c r="AU38" s="91">
        <v>1200</v>
      </c>
      <c r="AV38" s="91">
        <v>1227</v>
      </c>
      <c r="AW38" s="91">
        <v>1655</v>
      </c>
      <c r="AX38" s="317">
        <v>1141</v>
      </c>
      <c r="AY38" s="317">
        <v>1141</v>
      </c>
      <c r="AZ38" s="317">
        <v>1089</v>
      </c>
      <c r="BA38" s="317">
        <v>1089</v>
      </c>
      <c r="BB38" s="317">
        <v>1141</v>
      </c>
      <c r="BC38" s="317">
        <v>1349</v>
      </c>
      <c r="BD38" s="317">
        <v>1453</v>
      </c>
      <c r="BE38" s="317">
        <v>2075</v>
      </c>
      <c r="BF38" s="91">
        <f t="shared" si="80"/>
        <v>16056</v>
      </c>
      <c r="BG38" s="93">
        <f t="shared" si="81"/>
        <v>0.1245272447121446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>
        <v>10591</v>
      </c>
      <c r="BU38" s="54"/>
      <c r="BV38" s="91">
        <v>1474.9799999999998</v>
      </c>
      <c r="BW38" s="91">
        <v>1140.1799999999998</v>
      </c>
      <c r="BX38" s="91">
        <f>'META  EM PEÇAS'!U30-('META  EM PEÇAS'!U30*0.05)</f>
        <v>1281.9584999999997</v>
      </c>
      <c r="BY38" s="91">
        <f>'META  EM PEÇAS'!V30-('META  EM PEÇAS'!V30*0.05)</f>
        <v>1188.3074999999999</v>
      </c>
      <c r="BZ38" s="91">
        <f>'META  EM PEÇAS'!W30-('META  EM PEÇAS'!W30*0.05)</f>
        <v>1333.2014999999999</v>
      </c>
      <c r="CA38" s="91">
        <f>'META  EM PEÇAS'!X30-('META  EM PEÇAS'!X30*0.05)</f>
        <v>1606.2029999999997</v>
      </c>
      <c r="CB38" s="91">
        <f>'META  EM PEÇAS'!Y30-('META  EM PEÇAS'!Y30*0.05)</f>
        <v>1931.3309999999997</v>
      </c>
      <c r="CC38" s="91">
        <f>'META  EM PEÇAS'!Z30-('META  EM PEÇAS'!Z30*0.05)</f>
        <v>1291.6769999999999</v>
      </c>
      <c r="CD38" s="91">
        <f>'META  EM PEÇAS'!AA30-('META  EM PEÇAS'!AA30*0.05)</f>
        <v>1339.386</v>
      </c>
      <c r="CE38" s="91">
        <f>'META  EM PEÇAS'!AB30-('META  EM PEÇAS'!AB30*0.05)</f>
        <v>1453.3574999999998</v>
      </c>
      <c r="CF38" s="91">
        <f>'META  EM PEÇAS'!AC30-('META  EM PEÇAS'!AC30*0.05)</f>
        <v>1861.5344999999998</v>
      </c>
      <c r="CG38" s="91">
        <f>'META  EM PEÇAS'!AD30-('META  EM PEÇAS'!AD30*0.05)</f>
        <v>2623.1114999999995</v>
      </c>
      <c r="CH38" s="91">
        <f t="shared" si="82"/>
        <v>18525.227999999999</v>
      </c>
      <c r="CI38" s="450"/>
      <c r="CJ38" s="91">
        <v>1474.9799999999998</v>
      </c>
      <c r="CK38" s="91">
        <v>1140.1799999999998</v>
      </c>
      <c r="CL38" s="91">
        <v>1281.9584999999997</v>
      </c>
      <c r="CM38" s="91">
        <v>1188.3074999999999</v>
      </c>
      <c r="CN38" s="91">
        <v>1333.2014999999999</v>
      </c>
      <c r="CO38" s="91">
        <v>1606.2029999999997</v>
      </c>
      <c r="CP38" s="91">
        <v>1931.3309999999997</v>
      </c>
      <c r="CQ38" s="91">
        <v>1291.6769999999999</v>
      </c>
      <c r="CR38" s="91">
        <v>1339.386</v>
      </c>
      <c r="CS38" s="91">
        <v>1453.3574999999998</v>
      </c>
      <c r="CT38" s="91">
        <v>1861.5344999999998</v>
      </c>
      <c r="CU38" s="91">
        <v>2623.1114999999995</v>
      </c>
      <c r="CV38" s="91">
        <v>18525.227999999999</v>
      </c>
      <c r="CW38" s="450"/>
      <c r="CX38" s="91">
        <v>1474.9799999999998</v>
      </c>
      <c r="CY38" s="91">
        <v>1140.1799999999998</v>
      </c>
      <c r="CZ38" s="91">
        <v>1281.9584999999997</v>
      </c>
      <c r="DA38" s="91">
        <v>1188.3074999999999</v>
      </c>
      <c r="DB38" s="91">
        <v>1333.2014999999999</v>
      </c>
      <c r="DC38" s="91">
        <v>1606.2029999999997</v>
      </c>
      <c r="DD38" s="91">
        <v>1931.3309999999997</v>
      </c>
      <c r="DE38" s="91">
        <v>1291.6769999999999</v>
      </c>
      <c r="DF38" s="91">
        <v>1339.386</v>
      </c>
      <c r="DG38" s="91">
        <v>1453.3574999999998</v>
      </c>
      <c r="DH38" s="91">
        <v>1861.5344999999998</v>
      </c>
      <c r="DI38" s="91">
        <v>2623.1114999999995</v>
      </c>
      <c r="DJ38" s="91">
        <v>18525.227999999999</v>
      </c>
    </row>
    <row r="39" spans="1:114" ht="15" customHeight="1" outlineLevel="1">
      <c r="A39" s="94">
        <v>6</v>
      </c>
      <c r="B39" s="1092" t="s">
        <v>61</v>
      </c>
      <c r="C39" s="1118"/>
      <c r="D39" s="313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314">
        <f t="shared" si="77"/>
        <v>0</v>
      </c>
      <c r="Q39" s="90"/>
      <c r="R39" s="313">
        <v>1455</v>
      </c>
      <c r="S39" s="91">
        <v>1273</v>
      </c>
      <c r="T39" s="91">
        <v>1364</v>
      </c>
      <c r="U39" s="91">
        <v>0</v>
      </c>
      <c r="V39" s="91">
        <v>200</v>
      </c>
      <c r="W39" s="91">
        <v>800</v>
      </c>
      <c r="X39" s="91">
        <v>1600</v>
      </c>
      <c r="Y39" s="91">
        <v>1600</v>
      </c>
      <c r="Z39" s="91">
        <v>1600</v>
      </c>
      <c r="AA39" s="91">
        <v>1600</v>
      </c>
      <c r="AB39" s="91">
        <v>1800</v>
      </c>
      <c r="AC39" s="91">
        <v>2400</v>
      </c>
      <c r="AD39" s="315">
        <f t="shared" si="78"/>
        <v>15692</v>
      </c>
      <c r="AE39" s="23"/>
      <c r="AF39" s="316">
        <v>1500</v>
      </c>
      <c r="AG39" s="91">
        <v>1200</v>
      </c>
      <c r="AH39" s="91">
        <v>127</v>
      </c>
      <c r="AI39" s="91">
        <v>426</v>
      </c>
      <c r="AJ39" s="91">
        <v>1063</v>
      </c>
      <c r="AK39" s="91">
        <v>960</v>
      </c>
      <c r="AL39" s="91">
        <v>1500</v>
      </c>
      <c r="AM39" s="91">
        <v>1200</v>
      </c>
      <c r="AN39" s="91">
        <v>1200</v>
      </c>
      <c r="AO39" s="91">
        <v>1200</v>
      </c>
      <c r="AP39" s="91">
        <v>1320</v>
      </c>
      <c r="AQ39" s="91">
        <v>1920</v>
      </c>
      <c r="AR39" s="92">
        <f t="shared" si="79"/>
        <v>13616</v>
      </c>
      <c r="AS39" s="23"/>
      <c r="AT39" s="91">
        <v>1222</v>
      </c>
      <c r="AU39" s="91">
        <v>1200</v>
      </c>
      <c r="AV39" s="91">
        <v>1117</v>
      </c>
      <c r="AW39" s="91">
        <v>1463</v>
      </c>
      <c r="AX39" s="317">
        <v>1087</v>
      </c>
      <c r="AY39" s="317">
        <v>1087</v>
      </c>
      <c r="AZ39" s="317">
        <v>1038</v>
      </c>
      <c r="BA39" s="317">
        <v>1038</v>
      </c>
      <c r="BB39" s="317">
        <v>1087</v>
      </c>
      <c r="BC39" s="317">
        <v>1285</v>
      </c>
      <c r="BD39" s="317">
        <v>1384</v>
      </c>
      <c r="BE39" s="317">
        <v>1977</v>
      </c>
      <c r="BF39" s="91">
        <f t="shared" si="80"/>
        <v>14985</v>
      </c>
      <c r="BG39" s="93">
        <f t="shared" si="81"/>
        <v>0.10054347826086962</v>
      </c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>
        <v>10087</v>
      </c>
      <c r="BU39" s="54"/>
      <c r="BV39" s="91">
        <v>1214.58</v>
      </c>
      <c r="BW39" s="91">
        <v>939.3</v>
      </c>
      <c r="BX39" s="91">
        <f>'META  EM PEÇAS'!U31-('META  EM PEÇAS'!U31*0.05)</f>
        <v>1055.7824999999998</v>
      </c>
      <c r="BY39" s="91">
        <f>'META  EM PEÇAS'!V31-('META  EM PEÇAS'!V31*0.05)</f>
        <v>978.03449999999998</v>
      </c>
      <c r="BZ39" s="91">
        <f>'META  EM PEÇAS'!W31-('META  EM PEÇAS'!W31*0.05)</f>
        <v>1098.1904999999999</v>
      </c>
      <c r="CA39" s="91">
        <f>'META  EM PEÇAS'!X31-('META  EM PEÇAS'!X31*0.05)</f>
        <v>1322.5994999999998</v>
      </c>
      <c r="CB39" s="91">
        <f>'META  EM PEÇAS'!Y31-('META  EM PEÇAS'!Y31*0.05)</f>
        <v>1590.3</v>
      </c>
      <c r="CC39" s="91">
        <f>'META  EM PEÇAS'!Z31-('META  EM PEÇAS'!Z31*0.05)</f>
        <v>1062.8505</v>
      </c>
      <c r="CD39" s="91">
        <f>'META  EM PEÇAS'!AA31-('META  EM PEÇAS'!AA31*0.05)</f>
        <v>1102.6079999999999</v>
      </c>
      <c r="CE39" s="91">
        <f>'META  EM PEÇAS'!AB31-('META  EM PEÇAS'!AB31*0.05)</f>
        <v>1196.259</v>
      </c>
      <c r="CF39" s="91">
        <f>'META  EM PEÇAS'!AC31-('META  EM PEÇAS'!AC31*0.05)</f>
        <v>1532.8724999999999</v>
      </c>
      <c r="CG39" s="91">
        <f>'META  EM PEÇAS'!AD31-('META  EM PEÇAS'!AD31*0.05)</f>
        <v>2160.1574999999998</v>
      </c>
      <c r="CH39" s="91">
        <f t="shared" si="82"/>
        <v>15253.534499999998</v>
      </c>
      <c r="CJ39" s="91">
        <v>1214.58</v>
      </c>
      <c r="CK39" s="91">
        <v>939.3</v>
      </c>
      <c r="CL39" s="91">
        <v>1055.7824999999998</v>
      </c>
      <c r="CM39" s="91">
        <v>978.03449999999998</v>
      </c>
      <c r="CN39" s="91">
        <v>1098.1904999999999</v>
      </c>
      <c r="CO39" s="91">
        <v>1322.5994999999998</v>
      </c>
      <c r="CP39" s="91">
        <v>1590.3</v>
      </c>
      <c r="CQ39" s="91">
        <v>1062.8505</v>
      </c>
      <c r="CR39" s="91">
        <v>1102.6079999999999</v>
      </c>
      <c r="CS39" s="91">
        <v>1196.259</v>
      </c>
      <c r="CT39" s="91">
        <v>1532.8724999999999</v>
      </c>
      <c r="CU39" s="91">
        <v>2160.1574999999998</v>
      </c>
      <c r="CV39" s="91">
        <v>15253.534499999998</v>
      </c>
      <c r="CX39" s="91">
        <v>1214.58</v>
      </c>
      <c r="CY39" s="91">
        <v>939.3</v>
      </c>
      <c r="CZ39" s="91">
        <v>1055.7824999999998</v>
      </c>
      <c r="DA39" s="91">
        <v>978.03449999999998</v>
      </c>
      <c r="DB39" s="91">
        <v>1098.1904999999999</v>
      </c>
      <c r="DC39" s="91">
        <v>1322.5994999999998</v>
      </c>
      <c r="DD39" s="91">
        <v>1590.3</v>
      </c>
      <c r="DE39" s="91">
        <v>1062.8505</v>
      </c>
      <c r="DF39" s="91">
        <v>1102.6079999999999</v>
      </c>
      <c r="DG39" s="91">
        <v>1196.259</v>
      </c>
      <c r="DH39" s="91">
        <v>1532.8724999999999</v>
      </c>
      <c r="DI39" s="91">
        <v>2160.1574999999998</v>
      </c>
      <c r="DJ39" s="91">
        <v>15253.534499999998</v>
      </c>
    </row>
    <row r="40" spans="1:114" ht="15" customHeight="1" outlineLevel="1">
      <c r="A40" s="94">
        <v>7</v>
      </c>
      <c r="B40" s="1092" t="s">
        <v>62</v>
      </c>
      <c r="C40" s="1118"/>
      <c r="D40" s="313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314">
        <f t="shared" si="77"/>
        <v>0</v>
      </c>
      <c r="Q40" s="90"/>
      <c r="R40" s="313">
        <v>2000</v>
      </c>
      <c r="S40" s="91">
        <f>2182</f>
        <v>2182</v>
      </c>
      <c r="T40" s="91">
        <f>2455/2</f>
        <v>1227.5</v>
      </c>
      <c r="U40" s="91">
        <f>4*U7</f>
        <v>4</v>
      </c>
      <c r="V40" s="91">
        <v>200</v>
      </c>
      <c r="W40" s="91">
        <v>700</v>
      </c>
      <c r="X40" s="91">
        <v>1600</v>
      </c>
      <c r="Y40" s="91">
        <v>1600</v>
      </c>
      <c r="Z40" s="91">
        <v>1600</v>
      </c>
      <c r="AA40" s="91">
        <v>1600</v>
      </c>
      <c r="AB40" s="91">
        <v>2500</v>
      </c>
      <c r="AC40" s="91">
        <v>3200</v>
      </c>
      <c r="AD40" s="315">
        <f t="shared" si="78"/>
        <v>18413.5</v>
      </c>
      <c r="AE40" s="23"/>
      <c r="AF40" s="316">
        <v>2600</v>
      </c>
      <c r="AG40" s="91">
        <v>1000</v>
      </c>
      <c r="AH40" s="91">
        <v>195</v>
      </c>
      <c r="AI40" s="91">
        <v>844</v>
      </c>
      <c r="AJ40" s="91">
        <v>1973</v>
      </c>
      <c r="AK40" s="91">
        <v>1840</v>
      </c>
      <c r="AL40" s="91">
        <v>2000</v>
      </c>
      <c r="AM40" s="91">
        <v>2300</v>
      </c>
      <c r="AN40" s="91">
        <v>2300</v>
      </c>
      <c r="AO40" s="91">
        <v>2300</v>
      </c>
      <c r="AP40" s="91">
        <v>2530</v>
      </c>
      <c r="AQ40" s="91">
        <v>3680</v>
      </c>
      <c r="AR40" s="92">
        <f t="shared" si="79"/>
        <v>23562</v>
      </c>
      <c r="AS40" s="23"/>
      <c r="AT40" s="91">
        <v>1888</v>
      </c>
      <c r="AU40" s="91">
        <v>1414</v>
      </c>
      <c r="AV40" s="91">
        <v>2073</v>
      </c>
      <c r="AW40" s="91">
        <v>2338</v>
      </c>
      <c r="AX40" s="317">
        <v>1857</v>
      </c>
      <c r="AY40" s="317">
        <v>1857</v>
      </c>
      <c r="AZ40" s="317">
        <v>1772</v>
      </c>
      <c r="BA40" s="317">
        <v>1772</v>
      </c>
      <c r="BB40" s="317">
        <v>1857</v>
      </c>
      <c r="BC40" s="317">
        <v>2194</v>
      </c>
      <c r="BD40" s="317">
        <v>2363</v>
      </c>
      <c r="BE40" s="317">
        <v>3376</v>
      </c>
      <c r="BF40" s="91">
        <f t="shared" si="80"/>
        <v>24761</v>
      </c>
      <c r="BG40" s="93">
        <f t="shared" si="81"/>
        <v>5.0887021475256811E-2</v>
      </c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>
        <v>22941</v>
      </c>
      <c r="BU40" s="54"/>
      <c r="BV40" s="91">
        <v>3211.29</v>
      </c>
      <c r="BW40" s="91">
        <v>2482.1699999999996</v>
      </c>
      <c r="BX40" s="91">
        <f>'META  EM PEÇAS'!U32-('META  EM PEÇAS'!U32*0.05)</f>
        <v>2790.0929999999998</v>
      </c>
      <c r="BY40" s="91">
        <f>'META  EM PEÇAS'!V32-('META  EM PEÇAS'!V32*0.05)</f>
        <v>2586.0044999999996</v>
      </c>
      <c r="BZ40" s="91">
        <f>'META  EM PEÇAS'!W32-('META  EM PEÇAS'!W32*0.05)</f>
        <v>2902.2974999999997</v>
      </c>
      <c r="CA40" s="91">
        <f>'META  EM PEÇAS'!X32-('META  EM PEÇAS'!X32*0.05)</f>
        <v>3495.1259999999997</v>
      </c>
      <c r="CB40" s="91">
        <f>'META  EM PEÇAS'!Y32-('META  EM PEÇAS'!Y32*0.05)</f>
        <v>4203.6929999999993</v>
      </c>
      <c r="CC40" s="91">
        <f>'META  EM PEÇAS'!Z32-('META  EM PEÇAS'!Z32*0.05)</f>
        <v>2810.4135000000001</v>
      </c>
      <c r="CD40" s="91">
        <f>'META  EM PEÇAS'!AA32-('META  EM PEÇAS'!AA32*0.05)</f>
        <v>2914.6664999999998</v>
      </c>
      <c r="CE40" s="91">
        <f>'META  EM PEÇAS'!AB32-('META  EM PEÇAS'!AB32*0.05)</f>
        <v>3162.93</v>
      </c>
      <c r="CF40" s="91">
        <f>'META  EM PEÇAS'!AC32-('META  EM PEÇAS'!AC32*0.05)</f>
        <v>4051.7309999999998</v>
      </c>
      <c r="CG40" s="91">
        <f>'META  EM PEÇAS'!AD32-('META  EM PEÇAS'!AD32*0.05)</f>
        <v>5709.1769999999997</v>
      </c>
      <c r="CH40" s="91">
        <f t="shared" si="82"/>
        <v>40319.59199999999</v>
      </c>
      <c r="CJ40" s="91">
        <v>3211.29</v>
      </c>
      <c r="CK40" s="91">
        <v>2482.1699999999996</v>
      </c>
      <c r="CL40" s="91">
        <v>2790.0929999999998</v>
      </c>
      <c r="CM40" s="91">
        <v>2586.0044999999996</v>
      </c>
      <c r="CN40" s="91">
        <v>2902.2974999999997</v>
      </c>
      <c r="CO40" s="91">
        <v>3495.1259999999997</v>
      </c>
      <c r="CP40" s="91">
        <v>4203.6929999999993</v>
      </c>
      <c r="CQ40" s="91">
        <v>2810.4135000000001</v>
      </c>
      <c r="CR40" s="91">
        <v>2914.6664999999998</v>
      </c>
      <c r="CS40" s="91">
        <v>3162.93</v>
      </c>
      <c r="CT40" s="91">
        <v>4051.7309999999998</v>
      </c>
      <c r="CU40" s="91">
        <v>5709.1769999999997</v>
      </c>
      <c r="CV40" s="91">
        <v>40319.59199999999</v>
      </c>
      <c r="CX40" s="91">
        <v>3211.29</v>
      </c>
      <c r="CY40" s="91">
        <v>2482.1699999999996</v>
      </c>
      <c r="CZ40" s="91">
        <v>2790.0929999999998</v>
      </c>
      <c r="DA40" s="91">
        <v>2586.0044999999996</v>
      </c>
      <c r="DB40" s="91">
        <v>2902.2974999999997</v>
      </c>
      <c r="DC40" s="91">
        <v>3495.1259999999997</v>
      </c>
      <c r="DD40" s="91">
        <v>4203.6929999999993</v>
      </c>
      <c r="DE40" s="91">
        <v>2810.4135000000001</v>
      </c>
      <c r="DF40" s="91">
        <v>2914.6664999999998</v>
      </c>
      <c r="DG40" s="91">
        <v>3162.93</v>
      </c>
      <c r="DH40" s="91">
        <v>4051.7309999999998</v>
      </c>
      <c r="DI40" s="91">
        <v>5709.1769999999997</v>
      </c>
      <c r="DJ40" s="91">
        <v>40319.59199999999</v>
      </c>
    </row>
    <row r="41" spans="1:114" ht="15" customHeight="1" outlineLevel="1">
      <c r="A41" s="94">
        <v>9</v>
      </c>
      <c r="B41" s="1092" t="s">
        <v>63</v>
      </c>
      <c r="C41" s="1118"/>
      <c r="D41" s="313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314">
        <f t="shared" si="77"/>
        <v>0</v>
      </c>
      <c r="Q41" s="90"/>
      <c r="R41" s="313">
        <v>1636</v>
      </c>
      <c r="S41" s="91">
        <v>1636</v>
      </c>
      <c r="T41" s="91">
        <f t="shared" ref="T41:T42" si="84">1818/2</f>
        <v>909</v>
      </c>
      <c r="U41" s="91">
        <v>0</v>
      </c>
      <c r="V41" s="91">
        <v>200</v>
      </c>
      <c r="W41" s="91">
        <v>300</v>
      </c>
      <c r="X41" s="91">
        <v>1000</v>
      </c>
      <c r="Y41" s="91">
        <v>1200</v>
      </c>
      <c r="Z41" s="91">
        <v>1600</v>
      </c>
      <c r="AA41" s="91">
        <v>1600</v>
      </c>
      <c r="AB41" s="91">
        <v>1800</v>
      </c>
      <c r="AC41" s="91">
        <v>2300</v>
      </c>
      <c r="AD41" s="315">
        <f t="shared" si="78"/>
        <v>14181</v>
      </c>
      <c r="AE41" s="23"/>
      <c r="AF41" s="316">
        <v>1500</v>
      </c>
      <c r="AG41" s="91">
        <v>1000</v>
      </c>
      <c r="AH41" s="91">
        <v>126</v>
      </c>
      <c r="AI41" s="91">
        <v>387</v>
      </c>
      <c r="AJ41" s="91">
        <v>895</v>
      </c>
      <c r="AK41" s="91">
        <v>800</v>
      </c>
      <c r="AL41" s="91">
        <v>1500</v>
      </c>
      <c r="AM41" s="91">
        <v>1000</v>
      </c>
      <c r="AN41" s="91">
        <v>1000</v>
      </c>
      <c r="AO41" s="91">
        <v>1000</v>
      </c>
      <c r="AP41" s="91">
        <v>1100</v>
      </c>
      <c r="AQ41" s="91">
        <v>1600</v>
      </c>
      <c r="AR41" s="92">
        <f t="shared" si="79"/>
        <v>11908</v>
      </c>
      <c r="AS41" s="23"/>
      <c r="AT41" s="91">
        <v>1182</v>
      </c>
      <c r="AU41" s="91">
        <v>1200</v>
      </c>
      <c r="AV41" s="91">
        <v>932</v>
      </c>
      <c r="AW41" s="91">
        <v>1020</v>
      </c>
      <c r="AX41" s="317">
        <v>0</v>
      </c>
      <c r="AY41" s="317">
        <v>0</v>
      </c>
      <c r="AZ41" s="317">
        <v>0</v>
      </c>
      <c r="BA41" s="317">
        <v>0</v>
      </c>
      <c r="BB41" s="317">
        <v>0</v>
      </c>
      <c r="BC41" s="317">
        <v>0</v>
      </c>
      <c r="BD41" s="317">
        <v>0</v>
      </c>
      <c r="BE41" s="317">
        <v>0</v>
      </c>
      <c r="BF41" s="91">
        <f t="shared" si="80"/>
        <v>4334</v>
      </c>
      <c r="BG41" s="93">
        <f t="shared" si="81"/>
        <v>-0.63604299630500505</v>
      </c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>
        <v>7070</v>
      </c>
      <c r="BU41" s="54"/>
      <c r="BV41" s="91">
        <v>928.14</v>
      </c>
      <c r="BW41" s="91">
        <v>717.95999999999992</v>
      </c>
      <c r="BX41" s="91">
        <f>'META  EM PEÇAS'!U37-('META  EM PEÇAS'!U37*0.05)</f>
        <v>806.63549999999987</v>
      </c>
      <c r="BY41" s="91">
        <f>'META  EM PEÇAS'!V37-('META  EM PEÇAS'!V37*0.05)</f>
        <v>747.44100000000003</v>
      </c>
      <c r="BZ41" s="91">
        <f>'META  EM PEÇAS'!W37-('META  EM PEÇAS'!W37*0.05)</f>
        <v>839.32499999999993</v>
      </c>
      <c r="CA41" s="91">
        <f>'META  EM PEÇAS'!X37-('META  EM PEÇAS'!X37*0.05)</f>
        <v>1010.7239999999998</v>
      </c>
      <c r="CB41" s="91">
        <f>'META  EM PEÇAS'!Y37-('META  EM PEÇAS'!Y37*0.05)</f>
        <v>1214.8125</v>
      </c>
      <c r="CC41" s="91">
        <f>'META  EM PEÇAS'!Z37-('META  EM PEÇAS'!Z37*0.05)</f>
        <v>812.81999999999994</v>
      </c>
      <c r="CD41" s="91">
        <f>'META  EM PEÇAS'!AA37-('META  EM PEÇAS'!AA37*0.05)</f>
        <v>842.85899999999992</v>
      </c>
      <c r="CE41" s="91">
        <f>'META  EM PEÇAS'!AB37-('META  EM PEÇAS'!AB37*0.05)</f>
        <v>914.4224999999999</v>
      </c>
      <c r="CF41" s="91">
        <f>'META  EM PEÇAS'!AC37-('META  EM PEÇAS'!AC37*0.05)</f>
        <v>1171.5209999999997</v>
      </c>
      <c r="CG41" s="91">
        <f>'META  EM PEÇAS'!AD37-('META  EM PEÇAS'!AD37*0.05)</f>
        <v>1650.3779999999997</v>
      </c>
      <c r="CH41" s="91">
        <f t="shared" si="82"/>
        <v>11657.038499999999</v>
      </c>
      <c r="CJ41" s="91">
        <v>928.14</v>
      </c>
      <c r="CK41" s="91">
        <v>717.95999999999992</v>
      </c>
      <c r="CL41" s="91">
        <v>806.63549999999987</v>
      </c>
      <c r="CM41" s="91">
        <v>747.44100000000003</v>
      </c>
      <c r="CN41" s="91">
        <v>839.32499999999993</v>
      </c>
      <c r="CO41" s="91">
        <v>1010.7239999999998</v>
      </c>
      <c r="CP41" s="91">
        <v>1214.8125</v>
      </c>
      <c r="CQ41" s="91">
        <v>812.81999999999994</v>
      </c>
      <c r="CR41" s="91">
        <v>842.85899999999992</v>
      </c>
      <c r="CS41" s="91">
        <v>914.4224999999999</v>
      </c>
      <c r="CT41" s="91">
        <v>1171.5209999999997</v>
      </c>
      <c r="CU41" s="91">
        <v>1650.3779999999997</v>
      </c>
      <c r="CV41" s="91">
        <v>11657.038499999999</v>
      </c>
      <c r="CX41" s="91">
        <v>928.14</v>
      </c>
      <c r="CY41" s="91">
        <v>717.95999999999992</v>
      </c>
      <c r="CZ41" s="91">
        <v>806.63549999999987</v>
      </c>
      <c r="DA41" s="91">
        <v>747.44100000000003</v>
      </c>
      <c r="DB41" s="91">
        <v>839.32499999999993</v>
      </c>
      <c r="DC41" s="91">
        <v>1010.7239999999998</v>
      </c>
      <c r="DD41" s="91">
        <v>1214.8125</v>
      </c>
      <c r="DE41" s="91">
        <v>812.81999999999994</v>
      </c>
      <c r="DF41" s="91">
        <v>842.85899999999992</v>
      </c>
      <c r="DG41" s="91">
        <v>914.4224999999999</v>
      </c>
      <c r="DH41" s="91">
        <v>1171.5209999999997</v>
      </c>
      <c r="DI41" s="91">
        <v>1650.3779999999997</v>
      </c>
      <c r="DJ41" s="91">
        <v>11657.038499999999</v>
      </c>
    </row>
    <row r="42" spans="1:114" ht="15" customHeight="1" outlineLevel="1">
      <c r="A42" s="94">
        <v>10</v>
      </c>
      <c r="B42" s="1092" t="s">
        <v>64</v>
      </c>
      <c r="C42" s="1118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si="77"/>
        <v>0</v>
      </c>
      <c r="Q42" s="90"/>
      <c r="R42" s="313">
        <v>1636</v>
      </c>
      <c r="S42" s="91">
        <v>1636</v>
      </c>
      <c r="T42" s="91">
        <f t="shared" si="84"/>
        <v>909</v>
      </c>
      <c r="U42" s="91">
        <f>0.5*U7</f>
        <v>0.5</v>
      </c>
      <c r="V42" s="91">
        <v>200</v>
      </c>
      <c r="W42" s="91">
        <v>300</v>
      </c>
      <c r="X42" s="91">
        <v>1000</v>
      </c>
      <c r="Y42" s="91">
        <v>1200</v>
      </c>
      <c r="Z42" s="91">
        <v>1600</v>
      </c>
      <c r="AA42" s="91">
        <v>1600</v>
      </c>
      <c r="AB42" s="91">
        <v>1800</v>
      </c>
      <c r="AC42" s="91">
        <v>2300</v>
      </c>
      <c r="AD42" s="315">
        <f t="shared" si="78"/>
        <v>14181.5</v>
      </c>
      <c r="AE42" s="23"/>
      <c r="AF42" s="316">
        <v>1500</v>
      </c>
      <c r="AG42" s="91">
        <v>1000</v>
      </c>
      <c r="AH42" s="91">
        <v>764</v>
      </c>
      <c r="AI42" s="91">
        <v>561</v>
      </c>
      <c r="AJ42" s="91">
        <v>1353</v>
      </c>
      <c r="AK42" s="91">
        <v>960</v>
      </c>
      <c r="AL42" s="91">
        <v>1500</v>
      </c>
      <c r="AM42" s="91">
        <v>1200</v>
      </c>
      <c r="AN42" s="91">
        <v>1200</v>
      </c>
      <c r="AO42" s="91">
        <v>1200</v>
      </c>
      <c r="AP42" s="91">
        <v>1320</v>
      </c>
      <c r="AQ42" s="91">
        <v>1920</v>
      </c>
      <c r="AR42" s="92">
        <f t="shared" si="79"/>
        <v>14478</v>
      </c>
      <c r="AS42" s="23"/>
      <c r="AT42" s="91">
        <v>1285</v>
      </c>
      <c r="AU42" s="91">
        <v>957</v>
      </c>
      <c r="AV42" s="91">
        <v>1426</v>
      </c>
      <c r="AW42" s="91">
        <v>1595</v>
      </c>
      <c r="AX42" s="317">
        <v>1767</v>
      </c>
      <c r="AY42" s="317">
        <v>1767</v>
      </c>
      <c r="AZ42" s="317">
        <v>1686</v>
      </c>
      <c r="BA42" s="317">
        <v>1686</v>
      </c>
      <c r="BB42" s="317">
        <v>1767</v>
      </c>
      <c r="BC42" s="317">
        <v>2088</v>
      </c>
      <c r="BD42" s="317">
        <v>2248</v>
      </c>
      <c r="BE42" s="317">
        <v>3212</v>
      </c>
      <c r="BF42" s="91">
        <f t="shared" si="80"/>
        <v>21484</v>
      </c>
      <c r="BG42" s="93">
        <f t="shared" si="81"/>
        <v>0.48390661693604087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16952</v>
      </c>
      <c r="BU42" s="54"/>
      <c r="BV42" s="91">
        <v>2631.8999999999996</v>
      </c>
      <c r="BW42" s="91">
        <v>2034.84</v>
      </c>
      <c r="BX42" s="91">
        <f>'META  EM PEÇAS'!U33-('META  EM PEÇAS'!U33*0.05)</f>
        <v>2287.3815</v>
      </c>
      <c r="BY42" s="91">
        <f>'META  EM PEÇAS'!V33-('META  EM PEÇAS'!V33*0.05)</f>
        <v>2119.5164999999997</v>
      </c>
      <c r="BZ42" s="91">
        <f>'META  EM PEÇAS'!W33-('META  EM PEÇAS'!W33*0.05)</f>
        <v>2379.2655</v>
      </c>
      <c r="CA42" s="91">
        <f>'META  EM PEÇAS'!X33-('META  EM PEÇAS'!X33*0.05)</f>
        <v>2865.1904999999997</v>
      </c>
      <c r="CB42" s="91">
        <f>'META  EM PEÇAS'!Y33-('META  EM PEÇAS'!Y33*0.05)</f>
        <v>3445.6499999999996</v>
      </c>
      <c r="CC42" s="91">
        <f>'META  EM PEÇAS'!Z33-('META  EM PEÇAS'!Z33*0.05)</f>
        <v>2303.2844999999998</v>
      </c>
      <c r="CD42" s="91">
        <f>'META  EM PEÇAS'!AA33-('META  EM PEÇAS'!AA33*0.05)</f>
        <v>2388.9839999999999</v>
      </c>
      <c r="CE42" s="91">
        <f>'META  EM PEÇAS'!AB33-('META  EM PEÇAS'!AB33*0.05)</f>
        <v>2592.1889999999999</v>
      </c>
      <c r="CF42" s="91">
        <f>'META  EM PEÇAS'!AC33-('META  EM PEÇAS'!AC33*0.05)</f>
        <v>3321.0765000000001</v>
      </c>
      <c r="CG42" s="91">
        <f>'META  EM PEÇAS'!AD33-('META  EM PEÇAS'!AD33*0.05)</f>
        <v>4679.8995000000004</v>
      </c>
      <c r="CH42" s="91">
        <f t="shared" si="82"/>
        <v>33049.177499999998</v>
      </c>
      <c r="CJ42" s="91">
        <v>2631.8999999999996</v>
      </c>
      <c r="CK42" s="91">
        <v>2034.84</v>
      </c>
      <c r="CL42" s="91">
        <v>2287.3815</v>
      </c>
      <c r="CM42" s="91">
        <v>2119.5164999999997</v>
      </c>
      <c r="CN42" s="91">
        <v>2379.2655</v>
      </c>
      <c r="CO42" s="91">
        <v>2865.1904999999997</v>
      </c>
      <c r="CP42" s="91">
        <v>3445.6499999999996</v>
      </c>
      <c r="CQ42" s="91">
        <v>2303.2844999999998</v>
      </c>
      <c r="CR42" s="91">
        <v>2388.9839999999999</v>
      </c>
      <c r="CS42" s="91">
        <v>2592.1889999999999</v>
      </c>
      <c r="CT42" s="91">
        <v>3321.0765000000001</v>
      </c>
      <c r="CU42" s="91">
        <v>4679.8995000000004</v>
      </c>
      <c r="CV42" s="91">
        <v>33049.177499999998</v>
      </c>
      <c r="CX42" s="91">
        <v>2631.8999999999996</v>
      </c>
      <c r="CY42" s="91">
        <v>2034.84</v>
      </c>
      <c r="CZ42" s="91">
        <v>2287.3815</v>
      </c>
      <c r="DA42" s="91">
        <v>2119.5164999999997</v>
      </c>
      <c r="DB42" s="91">
        <v>2379.2655</v>
      </c>
      <c r="DC42" s="91">
        <v>2865.1904999999997</v>
      </c>
      <c r="DD42" s="91">
        <v>3445.6499999999996</v>
      </c>
      <c r="DE42" s="91">
        <v>2303.2844999999998</v>
      </c>
      <c r="DF42" s="91">
        <v>2388.9839999999999</v>
      </c>
      <c r="DG42" s="91">
        <v>2592.1889999999999</v>
      </c>
      <c r="DH42" s="91">
        <v>3321.0765000000001</v>
      </c>
      <c r="DI42" s="91">
        <v>4679.8995000000004</v>
      </c>
      <c r="DJ42" s="91">
        <v>33049.177499999998</v>
      </c>
    </row>
    <row r="43" spans="1:114" ht="15" customHeight="1" outlineLevel="1">
      <c r="A43" s="94">
        <v>10</v>
      </c>
      <c r="B43" s="1092" t="s">
        <v>65</v>
      </c>
      <c r="C43" s="1118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>
        <f t="shared" si="77"/>
        <v>0</v>
      </c>
      <c r="Q43" s="90"/>
      <c r="R43" s="313">
        <v>0</v>
      </c>
      <c r="S43" s="91">
        <v>0</v>
      </c>
      <c r="T43" s="91">
        <v>0</v>
      </c>
      <c r="U43" s="91">
        <v>0</v>
      </c>
      <c r="V43" s="91">
        <v>3500</v>
      </c>
      <c r="W43" s="91">
        <v>350</v>
      </c>
      <c r="X43" s="91">
        <v>800</v>
      </c>
      <c r="Y43" s="91">
        <v>1000</v>
      </c>
      <c r="Z43" s="91">
        <v>1600</v>
      </c>
      <c r="AA43" s="91">
        <v>2000</v>
      </c>
      <c r="AB43" s="91">
        <v>2400</v>
      </c>
      <c r="AC43" s="91">
        <v>3000</v>
      </c>
      <c r="AD43" s="315">
        <f t="shared" si="78"/>
        <v>14650</v>
      </c>
      <c r="AE43" s="23"/>
      <c r="AF43" s="316">
        <v>2500</v>
      </c>
      <c r="AG43" s="91">
        <v>1000</v>
      </c>
      <c r="AH43" s="91">
        <f>2500*0.15</f>
        <v>375</v>
      </c>
      <c r="AI43" s="91">
        <v>787</v>
      </c>
      <c r="AJ43" s="91">
        <v>1569</v>
      </c>
      <c r="AK43" s="91">
        <v>2000</v>
      </c>
      <c r="AL43" s="91">
        <v>2500</v>
      </c>
      <c r="AM43" s="91">
        <v>2500</v>
      </c>
      <c r="AN43" s="91">
        <v>2500</v>
      </c>
      <c r="AO43" s="91">
        <v>2500</v>
      </c>
      <c r="AP43" s="91">
        <v>2750</v>
      </c>
      <c r="AQ43" s="91">
        <v>4000</v>
      </c>
      <c r="AR43" s="92">
        <f t="shared" si="79"/>
        <v>24981</v>
      </c>
      <c r="AS43" s="23"/>
      <c r="AT43" s="91">
        <v>1806</v>
      </c>
      <c r="AU43" s="91">
        <v>2046</v>
      </c>
      <c r="AV43" s="91">
        <v>1646</v>
      </c>
      <c r="AW43" s="91">
        <v>1902</v>
      </c>
      <c r="AX43" s="317">
        <v>1545</v>
      </c>
      <c r="AY43" s="317">
        <v>1545</v>
      </c>
      <c r="AZ43" s="317">
        <v>1475</v>
      </c>
      <c r="BA43" s="317">
        <v>1475</v>
      </c>
      <c r="BB43" s="317">
        <v>1545</v>
      </c>
      <c r="BC43" s="317">
        <v>1826</v>
      </c>
      <c r="BD43" s="317">
        <v>0</v>
      </c>
      <c r="BE43" s="317">
        <v>0</v>
      </c>
      <c r="BF43" s="91">
        <f t="shared" si="80"/>
        <v>16811</v>
      </c>
      <c r="BG43" s="93">
        <f t="shared" si="81"/>
        <v>-0.32704855690324641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10230</v>
      </c>
      <c r="BU43" s="54"/>
      <c r="BV43" s="91">
        <v>1335.48</v>
      </c>
      <c r="BW43" s="91">
        <v>1032.3</v>
      </c>
      <c r="BX43" s="91">
        <f>'META  EM PEÇAS'!U39-('META  EM PEÇAS'!U39*0.05)</f>
        <v>1160.0355</v>
      </c>
      <c r="BY43" s="91">
        <f>'META  EM PEÇAS'!V39-('META  EM PEÇAS'!V39*0.05)</f>
        <v>1075.2194999999999</v>
      </c>
      <c r="BZ43" s="91">
        <f>'META  EM PEÇAS'!W39-('META  EM PEÇAS'!W39*0.05)</f>
        <v>1206.8609999999999</v>
      </c>
      <c r="CA43" s="91">
        <f>'META  EM PEÇAS'!X39-('META  EM PEÇAS'!X39*0.05)</f>
        <v>1453.3574999999998</v>
      </c>
      <c r="CB43" s="91">
        <f>'META  EM PEÇAS'!Y39-('META  EM PEÇAS'!Y39*0.05)</f>
        <v>1747.5629999999999</v>
      </c>
      <c r="CC43" s="91">
        <f>'META  EM PEÇAS'!Z39-('META  EM PEÇAS'!Z39*0.05)</f>
        <v>1168.8705</v>
      </c>
      <c r="CD43" s="91">
        <f>'META  EM PEÇAS'!AA39-('META  EM PEÇAS'!AA39*0.05)</f>
        <v>1212.1619999999998</v>
      </c>
      <c r="CE43" s="91">
        <f>'META  EM PEÇAS'!AB39-('META  EM PEÇAS'!AB39*0.05)</f>
        <v>1314.6479999999999</v>
      </c>
      <c r="CF43" s="91">
        <f>'META  EM PEÇAS'!AC39-('META  EM PEÇAS'!AC39*0.05)</f>
        <v>1684.8344999999999</v>
      </c>
      <c r="CG43" s="91">
        <f>'META  EM PEÇAS'!AD39-('META  EM PEÇAS'!AD39*0.05)</f>
        <v>2373.9645</v>
      </c>
      <c r="CH43" s="91">
        <f t="shared" si="82"/>
        <v>16765.295999999995</v>
      </c>
      <c r="CJ43" s="91">
        <v>1335.48</v>
      </c>
      <c r="CK43" s="91">
        <v>1032.3</v>
      </c>
      <c r="CL43" s="91">
        <v>1160.0355</v>
      </c>
      <c r="CM43" s="91">
        <v>1075.2194999999999</v>
      </c>
      <c r="CN43" s="91">
        <v>1206.8609999999999</v>
      </c>
      <c r="CO43" s="91">
        <v>1453.3574999999998</v>
      </c>
      <c r="CP43" s="91">
        <v>1747.5629999999999</v>
      </c>
      <c r="CQ43" s="91">
        <v>1168.8705</v>
      </c>
      <c r="CR43" s="91">
        <v>1212.1619999999998</v>
      </c>
      <c r="CS43" s="91">
        <v>1314.6479999999999</v>
      </c>
      <c r="CT43" s="91">
        <v>1684.8344999999999</v>
      </c>
      <c r="CU43" s="91">
        <v>2373.9645</v>
      </c>
      <c r="CV43" s="91">
        <v>16765.295999999995</v>
      </c>
      <c r="CX43" s="91">
        <v>1335.48</v>
      </c>
      <c r="CY43" s="91">
        <v>1032.3</v>
      </c>
      <c r="CZ43" s="91">
        <v>1160.0355</v>
      </c>
      <c r="DA43" s="91">
        <v>1075.2194999999999</v>
      </c>
      <c r="DB43" s="91">
        <v>1206.8609999999999</v>
      </c>
      <c r="DC43" s="91">
        <v>1453.3574999999998</v>
      </c>
      <c r="DD43" s="91">
        <v>1747.5629999999999</v>
      </c>
      <c r="DE43" s="91">
        <v>1168.8705</v>
      </c>
      <c r="DF43" s="91">
        <v>1212.1619999999998</v>
      </c>
      <c r="DG43" s="91">
        <v>1314.6479999999999</v>
      </c>
      <c r="DH43" s="91">
        <v>1684.8344999999999</v>
      </c>
      <c r="DI43" s="91">
        <v>2373.9645</v>
      </c>
      <c r="DJ43" s="91">
        <v>16765.295999999995</v>
      </c>
    </row>
    <row r="44" spans="1:114" ht="15" customHeight="1" outlineLevel="1">
      <c r="A44" s="94">
        <v>11</v>
      </c>
      <c r="B44" s="210" t="s">
        <v>66</v>
      </c>
      <c r="C44" s="211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>
        <f t="shared" si="77"/>
        <v>0</v>
      </c>
      <c r="Q44" s="90"/>
      <c r="R44" s="313">
        <v>0</v>
      </c>
      <c r="S44" s="91">
        <v>0</v>
      </c>
      <c r="T44" s="91">
        <v>0</v>
      </c>
      <c r="U44" s="91">
        <v>0</v>
      </c>
      <c r="V44" s="91">
        <v>4000</v>
      </c>
      <c r="W44" s="91">
        <v>100</v>
      </c>
      <c r="X44" s="91">
        <v>800</v>
      </c>
      <c r="Y44" s="91">
        <v>800</v>
      </c>
      <c r="Z44" s="91">
        <v>1200</v>
      </c>
      <c r="AA44" s="91">
        <v>1200</v>
      </c>
      <c r="AB44" s="91">
        <v>1800</v>
      </c>
      <c r="AC44" s="91">
        <v>2300</v>
      </c>
      <c r="AD44" s="315">
        <f t="shared" si="78"/>
        <v>12200</v>
      </c>
      <c r="AE44" s="23"/>
      <c r="AF44" s="316">
        <v>1500</v>
      </c>
      <c r="AG44" s="91">
        <v>1000</v>
      </c>
      <c r="AH44" s="91">
        <f t="shared" ref="AH44:AH45" si="85">1500*0.15</f>
        <v>225</v>
      </c>
      <c r="AI44" s="91">
        <v>324</v>
      </c>
      <c r="AJ44" s="91">
        <v>869</v>
      </c>
      <c r="AK44" s="91">
        <v>800</v>
      </c>
      <c r="AL44" s="91">
        <v>1500</v>
      </c>
      <c r="AM44" s="91">
        <v>1000</v>
      </c>
      <c r="AN44" s="91">
        <v>1000</v>
      </c>
      <c r="AO44" s="91">
        <v>1000</v>
      </c>
      <c r="AP44" s="91">
        <v>1100</v>
      </c>
      <c r="AQ44" s="91">
        <v>1600</v>
      </c>
      <c r="AR44" s="92">
        <f t="shared" si="79"/>
        <v>11918</v>
      </c>
      <c r="AS44" s="23"/>
      <c r="AT44" s="91">
        <v>1191</v>
      </c>
      <c r="AU44" s="91">
        <v>1191</v>
      </c>
      <c r="AV44" s="91">
        <v>1191</v>
      </c>
      <c r="AW44" s="91">
        <v>1191</v>
      </c>
      <c r="AX44" s="317">
        <v>876</v>
      </c>
      <c r="AY44" s="317">
        <v>876</v>
      </c>
      <c r="AZ44" s="317">
        <v>836</v>
      </c>
      <c r="BA44" s="317">
        <v>836</v>
      </c>
      <c r="BB44" s="317">
        <v>876</v>
      </c>
      <c r="BC44" s="317">
        <v>1035</v>
      </c>
      <c r="BD44" s="317">
        <v>0</v>
      </c>
      <c r="BE44" s="317">
        <v>0</v>
      </c>
      <c r="BF44" s="91">
        <f t="shared" si="80"/>
        <v>10099</v>
      </c>
      <c r="BG44" s="93">
        <f t="shared" si="81"/>
        <v>-0.15262627957711028</v>
      </c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>
        <v>7342</v>
      </c>
      <c r="BU44" s="54"/>
      <c r="BV44" s="91">
        <v>1643.31</v>
      </c>
      <c r="BW44" s="91">
        <v>1270.3799999999999</v>
      </c>
      <c r="BX44" s="91">
        <f>'META  EM PEÇAS'!U40-('META  EM PEÇAS'!U40*0.05)</f>
        <v>1427.7359999999999</v>
      </c>
      <c r="BY44" s="91">
        <f>'META  EM PEÇAS'!V40-('META  EM PEÇAS'!V40*0.05)</f>
        <v>1323.4829999999999</v>
      </c>
      <c r="BZ44" s="91">
        <f>'META  EM PEÇAS'!W40-('META  EM PEÇAS'!W40*0.05)</f>
        <v>1485.1634999999999</v>
      </c>
      <c r="CA44" s="91">
        <f>'META  EM PEÇAS'!X40-('META  EM PEÇAS'!X40*0.05)</f>
        <v>1788.204</v>
      </c>
      <c r="CB44" s="91">
        <f>'META  EM PEÇAS'!Y40-('META  EM PEÇAS'!Y40*0.05)</f>
        <v>2151.3224999999998</v>
      </c>
      <c r="CC44" s="91">
        <f>'META  EM PEÇAS'!Z40-('META  EM PEÇAS'!Z40*0.05)</f>
        <v>1438.338</v>
      </c>
      <c r="CD44" s="91">
        <f>'META  EM PEÇAS'!AA40-('META  EM PEÇAS'!AA40*0.05)</f>
        <v>1491.348</v>
      </c>
      <c r="CE44" s="91">
        <f>'META  EM PEÇAS'!AB40-('META  EM PEÇAS'!AB40*0.05)</f>
        <v>1618.5719999999999</v>
      </c>
      <c r="CF44" s="91">
        <f>'META  EM PEÇAS'!AC40-('META  EM PEÇAS'!AC40*0.05)</f>
        <v>2073.5745000000002</v>
      </c>
      <c r="CG44" s="91">
        <f>'META  EM PEÇAS'!AD40-('META  EM PEÇAS'!AD40*0.05)</f>
        <v>2921.7344999999996</v>
      </c>
      <c r="CH44" s="91">
        <f t="shared" si="82"/>
        <v>20633.165999999997</v>
      </c>
      <c r="CJ44" s="91">
        <v>1643.31</v>
      </c>
      <c r="CK44" s="91">
        <v>1270.3799999999999</v>
      </c>
      <c r="CL44" s="91">
        <v>1427.7359999999999</v>
      </c>
      <c r="CM44" s="91">
        <v>1323.4829999999999</v>
      </c>
      <c r="CN44" s="91">
        <v>1485.1634999999999</v>
      </c>
      <c r="CO44" s="91">
        <v>1788.204</v>
      </c>
      <c r="CP44" s="91">
        <v>2151.3224999999998</v>
      </c>
      <c r="CQ44" s="91">
        <v>1438.338</v>
      </c>
      <c r="CR44" s="91">
        <v>1491.348</v>
      </c>
      <c r="CS44" s="91">
        <v>1618.5719999999999</v>
      </c>
      <c r="CT44" s="91">
        <v>2073.5745000000002</v>
      </c>
      <c r="CU44" s="91">
        <v>2921.7344999999996</v>
      </c>
      <c r="CV44" s="91">
        <v>20633.165999999997</v>
      </c>
      <c r="CX44" s="91">
        <v>1643.31</v>
      </c>
      <c r="CY44" s="91">
        <v>1270.3799999999999</v>
      </c>
      <c r="CZ44" s="91">
        <v>1427.7359999999999</v>
      </c>
      <c r="DA44" s="91">
        <v>1323.4829999999999</v>
      </c>
      <c r="DB44" s="91">
        <v>1485.1634999999999</v>
      </c>
      <c r="DC44" s="91">
        <v>1788.204</v>
      </c>
      <c r="DD44" s="91">
        <v>2151.3224999999998</v>
      </c>
      <c r="DE44" s="91">
        <v>1438.338</v>
      </c>
      <c r="DF44" s="91">
        <v>1491.348</v>
      </c>
      <c r="DG44" s="91">
        <v>1618.5719999999999</v>
      </c>
      <c r="DH44" s="91">
        <v>2073.5745000000002</v>
      </c>
      <c r="DI44" s="91">
        <v>2921.7344999999996</v>
      </c>
      <c r="DJ44" s="91">
        <v>20633.165999999997</v>
      </c>
    </row>
    <row r="45" spans="1:114" ht="15" customHeight="1" outlineLevel="1">
      <c r="A45" s="94">
        <v>12</v>
      </c>
      <c r="B45" s="210" t="s">
        <v>67</v>
      </c>
      <c r="C45" s="211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>
        <f t="shared" si="77"/>
        <v>0</v>
      </c>
      <c r="Q45" s="90"/>
      <c r="R45" s="313">
        <v>0</v>
      </c>
      <c r="S45" s="91">
        <v>0</v>
      </c>
      <c r="T45" s="91">
        <v>0</v>
      </c>
      <c r="U45" s="91">
        <v>0</v>
      </c>
      <c r="V45" s="91">
        <v>4000</v>
      </c>
      <c r="W45" s="91">
        <v>0</v>
      </c>
      <c r="X45" s="91">
        <v>800</v>
      </c>
      <c r="Y45" s="91">
        <v>1000</v>
      </c>
      <c r="Z45" s="91">
        <v>1200</v>
      </c>
      <c r="AA45" s="91">
        <v>1200</v>
      </c>
      <c r="AB45" s="91">
        <v>1800</v>
      </c>
      <c r="AC45" s="91">
        <v>2300</v>
      </c>
      <c r="AD45" s="315">
        <f t="shared" si="78"/>
        <v>12300</v>
      </c>
      <c r="AE45" s="23"/>
      <c r="AF45" s="316">
        <v>1500</v>
      </c>
      <c r="AG45" s="91">
        <v>1200</v>
      </c>
      <c r="AH45" s="91">
        <f t="shared" si="85"/>
        <v>225</v>
      </c>
      <c r="AI45" s="91">
        <v>332</v>
      </c>
      <c r="AJ45" s="91">
        <v>945</v>
      </c>
      <c r="AK45" s="91">
        <v>960</v>
      </c>
      <c r="AL45" s="91">
        <v>1500</v>
      </c>
      <c r="AM45" s="91">
        <v>1200</v>
      </c>
      <c r="AN45" s="91">
        <v>1200</v>
      </c>
      <c r="AO45" s="91">
        <v>1200</v>
      </c>
      <c r="AP45" s="91">
        <v>1320</v>
      </c>
      <c r="AQ45" s="91">
        <v>1920</v>
      </c>
      <c r="AR45" s="92">
        <f t="shared" si="79"/>
        <v>13502</v>
      </c>
      <c r="AS45" s="23"/>
      <c r="AT45" s="91">
        <v>1254</v>
      </c>
      <c r="AU45" s="91">
        <v>1254</v>
      </c>
      <c r="AV45" s="91">
        <v>1254</v>
      </c>
      <c r="AW45" s="91">
        <v>1254</v>
      </c>
      <c r="AX45" s="317">
        <v>1236</v>
      </c>
      <c r="AY45" s="317">
        <v>1236</v>
      </c>
      <c r="AZ45" s="317">
        <v>0</v>
      </c>
      <c r="BA45" s="317">
        <v>0</v>
      </c>
      <c r="BB45" s="317">
        <v>0</v>
      </c>
      <c r="BC45" s="317">
        <v>0</v>
      </c>
      <c r="BD45" s="317">
        <v>0</v>
      </c>
      <c r="BE45" s="317">
        <v>0</v>
      </c>
      <c r="BF45" s="91">
        <f t="shared" si="80"/>
        <v>7488</v>
      </c>
      <c r="BG45" s="93">
        <f t="shared" si="81"/>
        <v>-0.44541549400088876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>
        <v>16899</v>
      </c>
      <c r="BU45" s="54"/>
      <c r="BV45" s="91">
        <v>2552.85</v>
      </c>
      <c r="BW45" s="91">
        <v>1973.4599999999998</v>
      </c>
      <c r="BX45" s="91">
        <f>'META  EM PEÇAS'!U34-('META  EM PEÇAS'!U34*0.05)</f>
        <v>2218.4684999999999</v>
      </c>
      <c r="BY45" s="91">
        <f>'META  EM PEÇAS'!V34-('META  EM PEÇAS'!V34*0.05)</f>
        <v>2056.788</v>
      </c>
      <c r="BZ45" s="91">
        <f>'META  EM PEÇAS'!W34-('META  EM PEÇAS'!W34*0.05)</f>
        <v>2307.7019999999998</v>
      </c>
      <c r="CA45" s="91">
        <f>'META  EM PEÇAS'!X34-('META  EM PEÇAS'!X34*0.05)</f>
        <v>2778.6075000000001</v>
      </c>
      <c r="CB45" s="91">
        <f>'META  EM PEÇAS'!Y34-('META  EM PEÇAS'!Y34*0.05)</f>
        <v>3342.2804999999998</v>
      </c>
      <c r="CC45" s="91">
        <f>'META  EM PEÇAS'!Z34-('META  EM PEÇAS'!Z34*0.05)</f>
        <v>2234.3714999999997</v>
      </c>
      <c r="CD45" s="91">
        <f>'META  EM PEÇAS'!AA34-('META  EM PEÇAS'!AA34*0.05)</f>
        <v>2317.4204999999997</v>
      </c>
      <c r="CE45" s="91">
        <f>'META  EM PEÇAS'!AB34-('META  EM PEÇAS'!AB34*0.05)</f>
        <v>2514.4409999999998</v>
      </c>
      <c r="CF45" s="91">
        <f>'META  EM PEÇAS'!AC34-('META  EM PEÇAS'!AC34*0.05)</f>
        <v>3221.241</v>
      </c>
      <c r="CG45" s="91">
        <f>'META  EM PEÇAS'!AD34-('META  EM PEÇAS'!AD34*0.05)</f>
        <v>4539.4229999999989</v>
      </c>
      <c r="CH45" s="91">
        <f t="shared" si="82"/>
        <v>32057.053499999998</v>
      </c>
      <c r="CJ45" s="91">
        <v>2552.85</v>
      </c>
      <c r="CK45" s="91">
        <v>1973.4599999999998</v>
      </c>
      <c r="CL45" s="91">
        <v>2218.4684999999999</v>
      </c>
      <c r="CM45" s="91">
        <v>2056.788</v>
      </c>
      <c r="CN45" s="91">
        <v>2307.7019999999998</v>
      </c>
      <c r="CO45" s="91">
        <v>2778.6075000000001</v>
      </c>
      <c r="CP45" s="91">
        <v>3342.2804999999998</v>
      </c>
      <c r="CQ45" s="91">
        <v>2234.3714999999997</v>
      </c>
      <c r="CR45" s="91">
        <v>2317.4204999999997</v>
      </c>
      <c r="CS45" s="91">
        <v>2514.4409999999998</v>
      </c>
      <c r="CT45" s="91">
        <v>3221.241</v>
      </c>
      <c r="CU45" s="91">
        <v>4539.4229999999989</v>
      </c>
      <c r="CV45" s="91">
        <v>32057.053499999998</v>
      </c>
      <c r="CX45" s="91">
        <v>2552.85</v>
      </c>
      <c r="CY45" s="91">
        <v>1973.4599999999998</v>
      </c>
      <c r="CZ45" s="91">
        <v>2218.4684999999999</v>
      </c>
      <c r="DA45" s="91">
        <v>2056.788</v>
      </c>
      <c r="DB45" s="91">
        <v>2307.7019999999998</v>
      </c>
      <c r="DC45" s="91">
        <v>2778.6075000000001</v>
      </c>
      <c r="DD45" s="91">
        <v>3342.2804999999998</v>
      </c>
      <c r="DE45" s="91">
        <v>2234.3714999999997</v>
      </c>
      <c r="DF45" s="91">
        <v>2317.4204999999997</v>
      </c>
      <c r="DG45" s="91">
        <v>2514.4409999999998</v>
      </c>
      <c r="DH45" s="91">
        <v>3221.241</v>
      </c>
      <c r="DI45" s="91">
        <v>4539.4229999999989</v>
      </c>
      <c r="DJ45" s="91">
        <v>32057.053499999998</v>
      </c>
    </row>
    <row r="46" spans="1:114" ht="15" customHeight="1" outlineLevel="1">
      <c r="A46" s="94">
        <v>13</v>
      </c>
      <c r="B46" s="210" t="s">
        <v>68</v>
      </c>
      <c r="C46" s="212"/>
      <c r="D46" s="313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314">
        <f t="shared" si="77"/>
        <v>0</v>
      </c>
      <c r="Q46" s="90"/>
      <c r="R46" s="313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2000</v>
      </c>
      <c r="Y46" s="91">
        <v>800</v>
      </c>
      <c r="Z46" s="91">
        <v>800</v>
      </c>
      <c r="AA46" s="91">
        <v>1200</v>
      </c>
      <c r="AB46" s="91">
        <v>1800</v>
      </c>
      <c r="AC46" s="91">
        <v>2300</v>
      </c>
      <c r="AD46" s="315">
        <f t="shared" si="78"/>
        <v>8900</v>
      </c>
      <c r="AE46" s="23"/>
      <c r="AF46" s="316">
        <v>1800</v>
      </c>
      <c r="AG46" s="91">
        <v>1200</v>
      </c>
      <c r="AH46" s="91">
        <f>1800*0.15</f>
        <v>270</v>
      </c>
      <c r="AI46" s="91">
        <v>896</v>
      </c>
      <c r="AJ46" s="91">
        <v>1339</v>
      </c>
      <c r="AK46" s="91">
        <v>1600</v>
      </c>
      <c r="AL46" s="91">
        <v>1800</v>
      </c>
      <c r="AM46" s="91">
        <v>2000</v>
      </c>
      <c r="AN46" s="91">
        <v>2000</v>
      </c>
      <c r="AO46" s="91">
        <v>2000</v>
      </c>
      <c r="AP46" s="91">
        <v>2200</v>
      </c>
      <c r="AQ46" s="91">
        <v>3200</v>
      </c>
      <c r="AR46" s="92">
        <f t="shared" si="79"/>
        <v>20305</v>
      </c>
      <c r="AS46" s="23"/>
      <c r="AT46" s="91">
        <v>1980</v>
      </c>
      <c r="AU46" s="91">
        <v>1980</v>
      </c>
      <c r="AV46" s="91">
        <v>1980</v>
      </c>
      <c r="AW46" s="91">
        <v>1980</v>
      </c>
      <c r="AX46" s="317">
        <v>1409</v>
      </c>
      <c r="AY46" s="317">
        <v>1409</v>
      </c>
      <c r="AZ46" s="317">
        <v>1345</v>
      </c>
      <c r="BA46" s="317">
        <v>1345</v>
      </c>
      <c r="BB46" s="317">
        <v>1409</v>
      </c>
      <c r="BC46" s="317">
        <v>1665</v>
      </c>
      <c r="BD46" s="317">
        <v>1793</v>
      </c>
      <c r="BE46" s="317">
        <v>2562</v>
      </c>
      <c r="BF46" s="91">
        <f t="shared" si="80"/>
        <v>20857</v>
      </c>
      <c r="BG46" s="93">
        <f t="shared" si="81"/>
        <v>2.7185422309775831E-2</v>
      </c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>
        <v>11555</v>
      </c>
      <c r="BU46" s="54"/>
      <c r="BV46" s="91">
        <v>1903.7099999999998</v>
      </c>
      <c r="BW46" s="91">
        <v>1471.26</v>
      </c>
      <c r="BX46" s="91">
        <f>'META  EM PEÇAS'!U35-('META  EM PEÇAS'!U35*0.05)</f>
        <v>1654.7954999999999</v>
      </c>
      <c r="BY46" s="91">
        <f>'META  EM PEÇAS'!V35-('META  EM PEÇAS'!V35*0.05)</f>
        <v>1533.7559999999999</v>
      </c>
      <c r="BZ46" s="91">
        <f>'META  EM PEÇAS'!W35-('META  EM PEÇAS'!W35*0.05)</f>
        <v>1721.058</v>
      </c>
      <c r="CA46" s="91">
        <f>'META  EM PEÇAS'!X35-('META  EM PEÇAS'!X35*0.05)</f>
        <v>2071.8074999999999</v>
      </c>
      <c r="CB46" s="91">
        <f>'META  EM PEÇAS'!Y35-('META  EM PEÇAS'!Y35*0.05)</f>
        <v>2492.3534999999997</v>
      </c>
      <c r="CC46" s="91">
        <f>'META  EM PEÇAS'!Z35-('META  EM PEÇAS'!Z35*0.05)</f>
        <v>1666.2809999999997</v>
      </c>
      <c r="CD46" s="91">
        <f>'META  EM PEÇAS'!AA35-('META  EM PEÇAS'!AA35*0.05)</f>
        <v>1728.126</v>
      </c>
      <c r="CE46" s="91">
        <f>'META  EM PEÇAS'!AB35-('META  EM PEÇAS'!AB35*0.05)</f>
        <v>1874.7869999999998</v>
      </c>
      <c r="CF46" s="91">
        <f>'META  EM PEÇAS'!AC35-('META  EM PEÇAS'!AC35*0.05)</f>
        <v>2402.2364999999995</v>
      </c>
      <c r="CG46" s="91">
        <f>'META  EM PEÇAS'!AD35-('META  EM PEÇAS'!AD35*0.05)</f>
        <v>3384.6884999999997</v>
      </c>
      <c r="CH46" s="91">
        <f t="shared" si="82"/>
        <v>23904.859499999995</v>
      </c>
      <c r="CJ46" s="91">
        <v>1903.7099999999998</v>
      </c>
      <c r="CK46" s="91">
        <v>1471.26</v>
      </c>
      <c r="CL46" s="91">
        <v>1654.7954999999999</v>
      </c>
      <c r="CM46" s="91">
        <v>1533.7559999999999</v>
      </c>
      <c r="CN46" s="91">
        <v>1721.058</v>
      </c>
      <c r="CO46" s="91">
        <v>2071.8074999999999</v>
      </c>
      <c r="CP46" s="91">
        <v>2492.3534999999997</v>
      </c>
      <c r="CQ46" s="91">
        <v>1666.2809999999997</v>
      </c>
      <c r="CR46" s="91">
        <v>1728.126</v>
      </c>
      <c r="CS46" s="91">
        <v>1874.7869999999998</v>
      </c>
      <c r="CT46" s="91">
        <v>2402.2364999999995</v>
      </c>
      <c r="CU46" s="91">
        <v>3384.6884999999997</v>
      </c>
      <c r="CV46" s="91">
        <v>23904.859499999995</v>
      </c>
      <c r="CX46" s="91">
        <v>1903.7099999999998</v>
      </c>
      <c r="CY46" s="91">
        <v>1471.26</v>
      </c>
      <c r="CZ46" s="91">
        <v>1654.7954999999999</v>
      </c>
      <c r="DA46" s="91">
        <v>1533.7559999999999</v>
      </c>
      <c r="DB46" s="91">
        <v>1721.058</v>
      </c>
      <c r="DC46" s="91">
        <v>2071.8074999999999</v>
      </c>
      <c r="DD46" s="91">
        <v>2492.3534999999997</v>
      </c>
      <c r="DE46" s="91">
        <v>1666.2809999999997</v>
      </c>
      <c r="DF46" s="91">
        <v>1728.126</v>
      </c>
      <c r="DG46" s="91">
        <v>1874.7869999999998</v>
      </c>
      <c r="DH46" s="91">
        <v>2402.2364999999995</v>
      </c>
      <c r="DI46" s="91">
        <v>3384.6884999999997</v>
      </c>
      <c r="DJ46" s="91">
        <v>23904.859499999995</v>
      </c>
    </row>
    <row r="47" spans="1:114" ht="15" customHeight="1" outlineLevel="1">
      <c r="A47" s="94">
        <v>14</v>
      </c>
      <c r="B47" s="210" t="s">
        <v>69</v>
      </c>
      <c r="C47" s="212"/>
      <c r="D47" s="313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314"/>
      <c r="Q47" s="90"/>
      <c r="R47" s="313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2000</v>
      </c>
      <c r="Z47" s="91">
        <v>800</v>
      </c>
      <c r="AA47" s="91">
        <v>800</v>
      </c>
      <c r="AB47" s="91">
        <v>1200</v>
      </c>
      <c r="AC47" s="91">
        <v>1800</v>
      </c>
      <c r="AD47" s="315">
        <f t="shared" si="78"/>
        <v>6600</v>
      </c>
      <c r="AE47" s="23"/>
      <c r="AF47" s="316">
        <v>1500</v>
      </c>
      <c r="AG47" s="91">
        <v>1200</v>
      </c>
      <c r="AH47" s="91">
        <f>1500*0.15</f>
        <v>225</v>
      </c>
      <c r="AI47" s="91">
        <v>374</v>
      </c>
      <c r="AJ47" s="91">
        <v>990</v>
      </c>
      <c r="AK47" s="91">
        <v>960</v>
      </c>
      <c r="AL47" s="91">
        <v>1800</v>
      </c>
      <c r="AM47" s="91">
        <v>1200</v>
      </c>
      <c r="AN47" s="91">
        <v>1200</v>
      </c>
      <c r="AO47" s="91">
        <v>1200</v>
      </c>
      <c r="AP47" s="91">
        <v>1320</v>
      </c>
      <c r="AQ47" s="91">
        <v>1920</v>
      </c>
      <c r="AR47" s="92">
        <f t="shared" si="79"/>
        <v>13889</v>
      </c>
      <c r="AS47" s="23"/>
      <c r="AT47" s="91">
        <v>1518</v>
      </c>
      <c r="AU47" s="91">
        <v>1518</v>
      </c>
      <c r="AV47" s="91">
        <v>1518</v>
      </c>
      <c r="AW47" s="91">
        <v>1518</v>
      </c>
      <c r="AX47" s="317">
        <v>1276</v>
      </c>
      <c r="AY47" s="317">
        <v>1276</v>
      </c>
      <c r="AZ47" s="317">
        <v>1218</v>
      </c>
      <c r="BA47" s="317">
        <v>1218</v>
      </c>
      <c r="BB47" s="317">
        <v>1276</v>
      </c>
      <c r="BC47" s="317">
        <v>1508</v>
      </c>
      <c r="BD47" s="317">
        <v>1624</v>
      </c>
      <c r="BE47" s="317">
        <v>2320</v>
      </c>
      <c r="BF47" s="91">
        <f t="shared" si="80"/>
        <v>17788</v>
      </c>
      <c r="BG47" s="93">
        <f t="shared" si="81"/>
        <v>0.2807257541939665</v>
      </c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>
        <v>19018</v>
      </c>
      <c r="BU47" s="54"/>
      <c r="BV47" s="91">
        <v>2737.9199999999996</v>
      </c>
      <c r="BW47" s="91">
        <v>2116.6799999999998</v>
      </c>
      <c r="BX47" s="91">
        <f>'META  EM PEÇAS'!U36-('META  EM PEÇAS'!U36*0.05)</f>
        <v>2379.2655</v>
      </c>
      <c r="BY47" s="91">
        <f>'META  EM PEÇAS'!V36-('META  EM PEÇAS'!V36*0.05)</f>
        <v>2205.2159999999999</v>
      </c>
      <c r="BZ47" s="91">
        <f>'META  EM PEÇAS'!W36-('META  EM PEÇAS'!W36*0.05)</f>
        <v>2474.6834999999996</v>
      </c>
      <c r="CA47" s="91">
        <f>'META  EM PEÇAS'!X36-('META  EM PEÇAS'!X36*0.05)</f>
        <v>2980.0454999999997</v>
      </c>
      <c r="CB47" s="91">
        <f>'META  EM PEÇAS'!Y36-('META  EM PEÇAS'!Y36*0.05)</f>
        <v>3584.3594999999996</v>
      </c>
      <c r="CC47" s="91">
        <f>'META  EM PEÇAS'!Z36-('META  EM PEÇAS'!Z36*0.05)</f>
        <v>2396.0519999999997</v>
      </c>
      <c r="CD47" s="91">
        <f>'META  EM PEÇAS'!AA36-('META  EM PEÇAS'!AA36*0.05)</f>
        <v>2485.2854999999995</v>
      </c>
      <c r="CE47" s="91">
        <f>'META  EM PEÇAS'!AB36-('META  EM PEÇAS'!AB36*0.05)</f>
        <v>2696.4419999999996</v>
      </c>
      <c r="CF47" s="91">
        <f>'META  EM PEÇAS'!AC36-('META  EM PEÇAS'!AC36*0.05)</f>
        <v>3454.4849999999997</v>
      </c>
      <c r="CG47" s="91">
        <f>'META  EM PEÇAS'!AD36-('META  EM PEÇAS'!AD36*0.05)</f>
        <v>4868.0849999999991</v>
      </c>
      <c r="CH47" s="91">
        <f t="shared" si="82"/>
        <v>34378.519499999995</v>
      </c>
      <c r="CJ47" s="91">
        <v>2737.9199999999996</v>
      </c>
      <c r="CK47" s="91">
        <v>2116.6799999999998</v>
      </c>
      <c r="CL47" s="91">
        <v>2379.2655</v>
      </c>
      <c r="CM47" s="91">
        <v>2205.2159999999999</v>
      </c>
      <c r="CN47" s="91">
        <v>2474.6834999999996</v>
      </c>
      <c r="CO47" s="91">
        <v>2980.0454999999997</v>
      </c>
      <c r="CP47" s="91">
        <v>3584.3594999999996</v>
      </c>
      <c r="CQ47" s="91">
        <v>2396.0519999999997</v>
      </c>
      <c r="CR47" s="91">
        <v>2485.2854999999995</v>
      </c>
      <c r="CS47" s="91">
        <v>2696.4419999999996</v>
      </c>
      <c r="CT47" s="91">
        <v>3454.4849999999997</v>
      </c>
      <c r="CU47" s="91">
        <v>4868.0849999999991</v>
      </c>
      <c r="CV47" s="91">
        <v>34378.519499999995</v>
      </c>
      <c r="CX47" s="91">
        <v>2737.9199999999996</v>
      </c>
      <c r="CY47" s="91">
        <v>2116.6799999999998</v>
      </c>
      <c r="CZ47" s="91">
        <v>2379.2655</v>
      </c>
      <c r="DA47" s="91">
        <v>2205.2159999999999</v>
      </c>
      <c r="DB47" s="91">
        <v>2474.6834999999996</v>
      </c>
      <c r="DC47" s="91">
        <v>2980.0454999999997</v>
      </c>
      <c r="DD47" s="91">
        <v>3584.3594999999996</v>
      </c>
      <c r="DE47" s="91">
        <v>2396.0519999999997</v>
      </c>
      <c r="DF47" s="91">
        <v>2485.2854999999995</v>
      </c>
      <c r="DG47" s="91">
        <v>2696.4419999999996</v>
      </c>
      <c r="DH47" s="91">
        <v>3454.4849999999997</v>
      </c>
      <c r="DI47" s="91">
        <v>4868.0849999999991</v>
      </c>
      <c r="DJ47" s="91">
        <v>34378.519499999995</v>
      </c>
    </row>
    <row r="48" spans="1:114" ht="15" customHeight="1" outlineLevel="1">
      <c r="A48" s="94">
        <v>15</v>
      </c>
      <c r="B48" s="210" t="s">
        <v>70</v>
      </c>
      <c r="C48" s="212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314"/>
      <c r="Q48" s="90"/>
      <c r="R48" s="313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91">
        <v>0</v>
      </c>
      <c r="Z48" s="91">
        <v>2000</v>
      </c>
      <c r="AA48" s="91">
        <v>800</v>
      </c>
      <c r="AB48" s="91">
        <v>800</v>
      </c>
      <c r="AC48" s="91">
        <v>1500</v>
      </c>
      <c r="AD48" s="315">
        <f t="shared" si="78"/>
        <v>5100</v>
      </c>
      <c r="AE48" s="23"/>
      <c r="AF48" s="316">
        <v>1800</v>
      </c>
      <c r="AG48" s="91">
        <v>1200</v>
      </c>
      <c r="AH48" s="91">
        <f>1800*0.4</f>
        <v>720</v>
      </c>
      <c r="AI48" s="91">
        <v>1147</v>
      </c>
      <c r="AJ48" s="91">
        <v>1155</v>
      </c>
      <c r="AK48" s="91">
        <v>1600</v>
      </c>
      <c r="AL48" s="91">
        <v>1800</v>
      </c>
      <c r="AM48" s="91">
        <v>2000</v>
      </c>
      <c r="AN48" s="91">
        <v>2000</v>
      </c>
      <c r="AO48" s="91">
        <v>2000</v>
      </c>
      <c r="AP48" s="91">
        <v>2200</v>
      </c>
      <c r="AQ48" s="91">
        <v>3200</v>
      </c>
      <c r="AR48" s="92">
        <f t="shared" si="79"/>
        <v>20822</v>
      </c>
      <c r="AS48" s="23"/>
      <c r="AT48" s="91">
        <v>1544</v>
      </c>
      <c r="AU48" s="91">
        <v>1544</v>
      </c>
      <c r="AV48" s="91">
        <v>1544</v>
      </c>
      <c r="AW48" s="91">
        <v>1544</v>
      </c>
      <c r="AX48" s="317">
        <v>862</v>
      </c>
      <c r="AY48" s="317">
        <v>862</v>
      </c>
      <c r="AZ48" s="317">
        <v>823</v>
      </c>
      <c r="BA48" s="317">
        <v>823</v>
      </c>
      <c r="BB48" s="317">
        <v>862</v>
      </c>
      <c r="BC48" s="317">
        <v>1019</v>
      </c>
      <c r="BD48" s="317">
        <v>1098</v>
      </c>
      <c r="BE48" s="317">
        <v>1568</v>
      </c>
      <c r="BF48" s="91">
        <f t="shared" si="80"/>
        <v>14093</v>
      </c>
      <c r="BG48" s="93">
        <f t="shared" si="81"/>
        <v>-0.32316780328498707</v>
      </c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>
        <v>21133</v>
      </c>
      <c r="BU48" s="54"/>
      <c r="BV48" s="91">
        <v>3593.52</v>
      </c>
      <c r="BW48" s="91">
        <v>2776.98</v>
      </c>
      <c r="BX48" s="91">
        <f>'META  EM PEÇAS'!U38-('META  EM PEÇAS'!U38*0.05)</f>
        <v>3122.2889999999998</v>
      </c>
      <c r="BY48" s="91">
        <f>'META  EM PEÇAS'!V38-('META  EM PEÇAS'!V38*0.05)</f>
        <v>2893.4625000000001</v>
      </c>
      <c r="BZ48" s="91">
        <f>'META  EM PEÇAS'!W38-('META  EM PEÇAS'!W38*0.05)</f>
        <v>3247.7459999999996</v>
      </c>
      <c r="CA48" s="91">
        <f>'META  EM PEÇAS'!X38-('META  EM PEÇAS'!X38*0.05)</f>
        <v>3910.3709999999992</v>
      </c>
      <c r="CB48" s="91">
        <f>'META  EM PEÇAS'!Y38-('META  EM PEÇAS'!Y38*0.05)</f>
        <v>4703.7539999999999</v>
      </c>
      <c r="CC48" s="91">
        <f>'META  EM PEÇAS'!Z38-('META  EM PEÇAS'!Z38*0.05)</f>
        <v>3144.3764999999999</v>
      </c>
      <c r="CD48" s="91">
        <f>'META  EM PEÇAS'!AA38-('META  EM PEÇAS'!AA38*0.05)</f>
        <v>3260.9984999999997</v>
      </c>
      <c r="CE48" s="91">
        <f>'META  EM PEÇAS'!AB38-('META  EM PEÇAS'!AB38*0.05)</f>
        <v>3539.3009999999999</v>
      </c>
      <c r="CF48" s="91">
        <f>'META  EM PEÇAS'!AC38-('META  EM PEÇAS'!AC38*0.05)</f>
        <v>4533.2384999999995</v>
      </c>
      <c r="CG48" s="91">
        <f>'META  EM PEÇAS'!AD38-('META  EM PEÇAS'!AD38*0.05)</f>
        <v>6387.7049999999999</v>
      </c>
      <c r="CH48" s="91">
        <f t="shared" si="82"/>
        <v>45113.741999999998</v>
      </c>
      <c r="CJ48" s="91">
        <v>3593.52</v>
      </c>
      <c r="CK48" s="91">
        <v>2776.98</v>
      </c>
      <c r="CL48" s="91">
        <v>3122.2889999999998</v>
      </c>
      <c r="CM48" s="91">
        <v>2893.4625000000001</v>
      </c>
      <c r="CN48" s="91">
        <v>3247.7459999999996</v>
      </c>
      <c r="CO48" s="91">
        <v>3910.3709999999992</v>
      </c>
      <c r="CP48" s="91">
        <v>4703.7539999999999</v>
      </c>
      <c r="CQ48" s="91">
        <v>3144.3764999999999</v>
      </c>
      <c r="CR48" s="91">
        <v>3260.9984999999997</v>
      </c>
      <c r="CS48" s="91">
        <v>3539.3009999999999</v>
      </c>
      <c r="CT48" s="91">
        <v>4533.2384999999995</v>
      </c>
      <c r="CU48" s="91">
        <v>6387.7049999999999</v>
      </c>
      <c r="CV48" s="91">
        <v>45113.741999999998</v>
      </c>
      <c r="CX48" s="91">
        <v>3593.52</v>
      </c>
      <c r="CY48" s="91">
        <v>2776.98</v>
      </c>
      <c r="CZ48" s="91">
        <v>3122.2889999999998</v>
      </c>
      <c r="DA48" s="91">
        <v>2893.4625000000001</v>
      </c>
      <c r="DB48" s="91">
        <v>3247.7459999999996</v>
      </c>
      <c r="DC48" s="91">
        <v>3910.3709999999992</v>
      </c>
      <c r="DD48" s="91">
        <v>4703.7539999999999</v>
      </c>
      <c r="DE48" s="91">
        <v>3144.3764999999999</v>
      </c>
      <c r="DF48" s="91">
        <v>3260.9984999999997</v>
      </c>
      <c r="DG48" s="91">
        <v>3539.3009999999999</v>
      </c>
      <c r="DH48" s="91">
        <v>4533.2384999999995</v>
      </c>
      <c r="DI48" s="91">
        <v>6387.7049999999999</v>
      </c>
      <c r="DJ48" s="91">
        <v>45113.741999999998</v>
      </c>
    </row>
    <row r="49" spans="1:114" ht="15" customHeight="1" outlineLevel="1">
      <c r="A49" s="94">
        <v>16</v>
      </c>
      <c r="B49" s="216" t="s">
        <v>71</v>
      </c>
      <c r="C49" s="212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/>
      <c r="Q49" s="90"/>
      <c r="R49" s="313"/>
      <c r="S49" s="91"/>
      <c r="T49" s="91"/>
      <c r="U49" s="91"/>
      <c r="V49" s="91"/>
      <c r="W49" s="91"/>
      <c r="X49" s="91"/>
      <c r="Y49" s="91"/>
      <c r="Z49" s="91"/>
      <c r="AA49" s="91">
        <v>800</v>
      </c>
      <c r="AB49" s="91">
        <v>800</v>
      </c>
      <c r="AC49" s="91">
        <v>1500</v>
      </c>
      <c r="AD49" s="315"/>
      <c r="AE49" s="23"/>
      <c r="AF49" s="316">
        <v>1500</v>
      </c>
      <c r="AG49" s="91">
        <v>1200</v>
      </c>
      <c r="AH49" s="91">
        <f>1500*0.15</f>
        <v>225</v>
      </c>
      <c r="AI49" s="91">
        <v>192</v>
      </c>
      <c r="AJ49" s="91">
        <v>663</v>
      </c>
      <c r="AK49" s="91">
        <v>800</v>
      </c>
      <c r="AL49" s="91">
        <v>1500</v>
      </c>
      <c r="AM49" s="91">
        <v>1000</v>
      </c>
      <c r="AN49" s="91">
        <v>1000</v>
      </c>
      <c r="AO49" s="91">
        <v>1000</v>
      </c>
      <c r="AP49" s="91">
        <v>1100</v>
      </c>
      <c r="AQ49" s="91">
        <v>1600</v>
      </c>
      <c r="AR49" s="92">
        <f t="shared" si="79"/>
        <v>11780</v>
      </c>
      <c r="AS49" s="23"/>
      <c r="AT49" s="91">
        <v>960</v>
      </c>
      <c r="AU49" s="91">
        <v>960</v>
      </c>
      <c r="AV49" s="91">
        <v>960</v>
      </c>
      <c r="AW49" s="91">
        <v>960</v>
      </c>
      <c r="AX49" s="317">
        <v>1414</v>
      </c>
      <c r="AY49" s="317">
        <v>1414</v>
      </c>
      <c r="AZ49" s="317">
        <v>1350</v>
      </c>
      <c r="BA49" s="317">
        <v>1350</v>
      </c>
      <c r="BB49" s="317">
        <v>1414</v>
      </c>
      <c r="BC49" s="317">
        <v>1671</v>
      </c>
      <c r="BD49" s="317">
        <v>1800</v>
      </c>
      <c r="BE49" s="317">
        <v>2571</v>
      </c>
      <c r="BF49" s="91">
        <f t="shared" si="80"/>
        <v>16824</v>
      </c>
      <c r="BG49" s="93">
        <f t="shared" si="81"/>
        <v>0.42818336162988113</v>
      </c>
      <c r="BH49" s="91">
        <v>900</v>
      </c>
      <c r="BI49" s="91">
        <v>643</v>
      </c>
      <c r="BJ49" s="91">
        <v>891</v>
      </c>
      <c r="BK49" s="91">
        <v>679</v>
      </c>
      <c r="BL49" s="91">
        <v>940</v>
      </c>
      <c r="BM49" s="91">
        <v>948</v>
      </c>
      <c r="BN49" s="91">
        <v>1124</v>
      </c>
      <c r="BO49" s="91">
        <v>913</v>
      </c>
      <c r="BP49" s="91">
        <v>911</v>
      </c>
      <c r="BQ49" s="91">
        <v>898</v>
      </c>
      <c r="BR49" s="91">
        <v>1465</v>
      </c>
      <c r="BS49" s="91">
        <v>1278</v>
      </c>
      <c r="BT49" s="91">
        <f>SUM(BH49:BS49)</f>
        <v>11590</v>
      </c>
      <c r="BU49" s="54"/>
      <c r="BV49" s="91">
        <f>'META  EM PEÇAS'!T47</f>
        <v>1749.7324726431702</v>
      </c>
      <c r="BW49" s="91">
        <f>'META  EM PEÇAS'!T48</f>
        <v>1701.1287928475265</v>
      </c>
      <c r="BX49" s="91">
        <f>'META  EM PEÇAS'!T49</f>
        <v>1846.9398322344578</v>
      </c>
      <c r="BY49" s="91">
        <f>'META  EM PEÇAS'!T50</f>
        <v>1701.1287928475265</v>
      </c>
      <c r="BZ49" s="91">
        <f>'META  EM PEÇAS'!T51</f>
        <v>1846.9398322344578</v>
      </c>
      <c r="CA49" s="91">
        <f>'META  EM PEÇAS'!T52</f>
        <v>1749.7324726431702</v>
      </c>
      <c r="CB49" s="91">
        <f>'META  EM PEÇAS'!T53</f>
        <v>2138.5619110083194</v>
      </c>
      <c r="CC49" s="91">
        <f>'META  EM PEÇAS'!T54</f>
        <v>1749.7324726431702</v>
      </c>
      <c r="CD49" s="91">
        <f>'META  EM PEÇAS'!T55</f>
        <v>1749.7324726431702</v>
      </c>
      <c r="CE49" s="91">
        <f>'META  EM PEÇAS'!T56</f>
        <v>1749.7324726431702</v>
      </c>
      <c r="CF49" s="91">
        <f>'META  EM PEÇAS'!T57</f>
        <v>2721.8060685560426</v>
      </c>
      <c r="CG49" s="91">
        <f>'META  EM PEÇAS'!T58</f>
        <v>1944.1471918257448</v>
      </c>
      <c r="CH49" s="91">
        <f t="shared" si="82"/>
        <v>22649.314784769926</v>
      </c>
      <c r="CJ49" s="91">
        <v>1749.7324726431702</v>
      </c>
      <c r="CK49" s="91">
        <v>1701.1287928475265</v>
      </c>
      <c r="CL49" s="91">
        <v>1846.9398322344578</v>
      </c>
      <c r="CM49" s="91">
        <v>1701.1287928475265</v>
      </c>
      <c r="CN49" s="91">
        <v>1846.9398322344578</v>
      </c>
      <c r="CO49" s="91">
        <v>1749.7324726431702</v>
      </c>
      <c r="CP49" s="91">
        <v>2138.5619110083194</v>
      </c>
      <c r="CQ49" s="91">
        <v>1749.7324726431702</v>
      </c>
      <c r="CR49" s="91">
        <v>1749.7324726431702</v>
      </c>
      <c r="CS49" s="91">
        <v>1749.7324726431702</v>
      </c>
      <c r="CT49" s="91">
        <v>2721.8060685560426</v>
      </c>
      <c r="CU49" s="91">
        <v>1944.1471918257448</v>
      </c>
      <c r="CV49" s="91">
        <v>22649.314784769926</v>
      </c>
      <c r="CX49" s="91">
        <v>1749.7324726431702</v>
      </c>
      <c r="CY49" s="91">
        <v>1701.1287928475265</v>
      </c>
      <c r="CZ49" s="91">
        <v>1846.9398322344578</v>
      </c>
      <c r="DA49" s="91">
        <v>1701.1287928475265</v>
      </c>
      <c r="DB49" s="91">
        <v>1846.9398322344578</v>
      </c>
      <c r="DC49" s="91">
        <v>1749.7324726431702</v>
      </c>
      <c r="DD49" s="91">
        <v>2138.5619110083194</v>
      </c>
      <c r="DE49" s="91">
        <v>1749.7324726431702</v>
      </c>
      <c r="DF49" s="91">
        <v>1749.7324726431702</v>
      </c>
      <c r="DG49" s="91">
        <v>1749.7324726431702</v>
      </c>
      <c r="DH49" s="91">
        <v>2721.8060685560426</v>
      </c>
      <c r="DI49" s="91">
        <v>1944.1471918257448</v>
      </c>
      <c r="DJ49" s="91">
        <v>22649.314784769926</v>
      </c>
    </row>
    <row r="50" spans="1:114" ht="15" customHeight="1" outlineLevel="1">
      <c r="A50" s="94"/>
      <c r="B50" s="210"/>
      <c r="C50" s="213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0</v>
      </c>
      <c r="AG50" s="91">
        <v>0</v>
      </c>
      <c r="AH50" s="91">
        <v>0</v>
      </c>
      <c r="AI50" s="91">
        <v>0</v>
      </c>
      <c r="AJ50" s="91">
        <v>0</v>
      </c>
      <c r="AK50" s="91">
        <v>400</v>
      </c>
      <c r="AL50" s="91">
        <v>500</v>
      </c>
      <c r="AM50" s="91">
        <v>500</v>
      </c>
      <c r="AN50" s="91">
        <v>600</v>
      </c>
      <c r="AO50" s="91">
        <v>600</v>
      </c>
      <c r="AP50" s="91">
        <v>660</v>
      </c>
      <c r="AQ50" s="91">
        <v>960</v>
      </c>
      <c r="AR50" s="92">
        <f t="shared" si="79"/>
        <v>4220</v>
      </c>
      <c r="AS50" s="23"/>
      <c r="AT50" s="91">
        <v>960</v>
      </c>
      <c r="AU50" s="91">
        <v>960</v>
      </c>
      <c r="AV50" s="91">
        <v>960</v>
      </c>
      <c r="AW50" s="91">
        <v>960</v>
      </c>
      <c r="AX50" s="317">
        <v>580</v>
      </c>
      <c r="AY50" s="317">
        <v>580</v>
      </c>
      <c r="AZ50" s="317">
        <v>554</v>
      </c>
      <c r="BA50" s="317">
        <v>554</v>
      </c>
      <c r="BB50" s="317">
        <v>580</v>
      </c>
      <c r="BC50" s="317">
        <v>686</v>
      </c>
      <c r="BD50" s="317">
        <v>739</v>
      </c>
      <c r="BE50" s="317">
        <v>1055</v>
      </c>
      <c r="BF50" s="91">
        <f t="shared" si="80"/>
        <v>9168</v>
      </c>
      <c r="BG50" s="93">
        <f t="shared" si="81"/>
        <v>1.172511848341232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54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J50" s="91"/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</row>
    <row r="51" spans="1:114" ht="15" customHeight="1" outlineLevel="1">
      <c r="A51" s="95"/>
      <c r="B51" s="216"/>
      <c r="C51" s="420"/>
      <c r="D51" s="421"/>
      <c r="E51" s="422"/>
      <c r="F51" s="422"/>
      <c r="G51" s="422"/>
      <c r="H51" s="422"/>
      <c r="I51" s="422"/>
      <c r="J51" s="422"/>
      <c r="K51" s="422"/>
      <c r="L51" s="422"/>
      <c r="M51" s="422"/>
      <c r="N51" s="422"/>
      <c r="O51" s="422"/>
      <c r="P51" s="423"/>
      <c r="Q51" s="424"/>
      <c r="R51" s="421"/>
      <c r="S51" s="425"/>
      <c r="T51" s="425"/>
      <c r="U51" s="425"/>
      <c r="V51" s="425"/>
      <c r="W51" s="425"/>
      <c r="X51" s="425"/>
      <c r="Y51" s="425"/>
      <c r="Z51" s="425"/>
      <c r="AA51" s="425"/>
      <c r="AB51" s="425"/>
      <c r="AC51" s="425"/>
      <c r="AD51" s="426"/>
      <c r="AE51" s="427"/>
      <c r="AF51" s="428">
        <v>0</v>
      </c>
      <c r="AG51" s="425">
        <v>0</v>
      </c>
      <c r="AH51" s="425">
        <v>0</v>
      </c>
      <c r="AI51" s="425">
        <v>0</v>
      </c>
      <c r="AJ51" s="425">
        <v>0</v>
      </c>
      <c r="AK51" s="425">
        <v>0</v>
      </c>
      <c r="AL51" s="425">
        <v>2500</v>
      </c>
      <c r="AM51" s="425">
        <v>2000</v>
      </c>
      <c r="AN51" s="425">
        <v>500</v>
      </c>
      <c r="AO51" s="425">
        <v>600</v>
      </c>
      <c r="AP51" s="425">
        <v>660</v>
      </c>
      <c r="AQ51" s="425">
        <v>960</v>
      </c>
      <c r="AR51" s="429">
        <f t="shared" si="79"/>
        <v>7220</v>
      </c>
      <c r="AS51" s="23"/>
      <c r="AT51" s="425">
        <v>1518</v>
      </c>
      <c r="AU51" s="425">
        <v>1518</v>
      </c>
      <c r="AV51" s="425">
        <v>1518</v>
      </c>
      <c r="AW51" s="425">
        <v>1518</v>
      </c>
      <c r="AX51" s="317">
        <v>1943</v>
      </c>
      <c r="AY51" s="317">
        <v>1943</v>
      </c>
      <c r="AZ51" s="317">
        <v>1854</v>
      </c>
      <c r="BA51" s="317">
        <v>1854</v>
      </c>
      <c r="BB51" s="317">
        <v>1943</v>
      </c>
      <c r="BC51" s="317">
        <v>2296</v>
      </c>
      <c r="BD51" s="317">
        <v>2472</v>
      </c>
      <c r="BE51" s="317">
        <v>3532</v>
      </c>
      <c r="BF51" s="425">
        <f t="shared" si="80"/>
        <v>23909</v>
      </c>
      <c r="BG51" s="93">
        <f t="shared" si="81"/>
        <v>2.3114958448753464</v>
      </c>
      <c r="BH51" s="425"/>
      <c r="BI51" s="425"/>
      <c r="BJ51" s="425"/>
      <c r="BK51" s="425"/>
      <c r="BL51" s="91"/>
      <c r="BM51" s="91"/>
      <c r="BN51" s="91"/>
      <c r="BO51" s="91"/>
      <c r="BP51" s="91"/>
      <c r="BQ51" s="91"/>
      <c r="BR51" s="91"/>
      <c r="BS51" s="91"/>
      <c r="BT51" s="91"/>
      <c r="BU51" s="54"/>
      <c r="BV51" s="425"/>
      <c r="BW51" s="425"/>
      <c r="BX51" s="425"/>
      <c r="BY51" s="425"/>
      <c r="BZ51" s="91"/>
      <c r="CA51" s="91"/>
      <c r="CB51" s="91"/>
      <c r="CC51" s="91"/>
      <c r="CD51" s="91"/>
      <c r="CE51" s="91"/>
      <c r="CF51" s="91"/>
      <c r="CG51" s="91"/>
      <c r="CH51" s="91"/>
      <c r="CJ51" s="425"/>
      <c r="CK51" s="425"/>
      <c r="CL51" s="425"/>
      <c r="CM51" s="425"/>
      <c r="CN51" s="91"/>
      <c r="CO51" s="91"/>
      <c r="CP51" s="91"/>
      <c r="CQ51" s="91"/>
      <c r="CR51" s="91"/>
      <c r="CS51" s="91"/>
      <c r="CT51" s="91"/>
      <c r="CU51" s="91"/>
      <c r="CV51" s="91"/>
      <c r="CX51" s="425"/>
      <c r="CY51" s="425"/>
      <c r="CZ51" s="425"/>
      <c r="DA51" s="425"/>
      <c r="DB51" s="91"/>
      <c r="DC51" s="91"/>
      <c r="DD51" s="91"/>
      <c r="DE51" s="91"/>
      <c r="DF51" s="91"/>
      <c r="DG51" s="91"/>
      <c r="DH51" s="91"/>
      <c r="DI51" s="91"/>
      <c r="DJ51" s="91"/>
    </row>
    <row r="52" spans="1:114" ht="15" customHeight="1" outlineLevel="1">
      <c r="A52" s="434"/>
      <c r="B52" s="1093"/>
      <c r="C52" s="1094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6"/>
      <c r="AF52" s="437">
        <v>0</v>
      </c>
      <c r="AG52" s="437">
        <v>0</v>
      </c>
      <c r="AH52" s="437">
        <v>0</v>
      </c>
      <c r="AI52" s="437">
        <v>0</v>
      </c>
      <c r="AJ52" s="437">
        <v>0</v>
      </c>
      <c r="AK52" s="437">
        <v>0</v>
      </c>
      <c r="AL52" s="437">
        <v>0</v>
      </c>
      <c r="AM52" s="437">
        <v>0</v>
      </c>
      <c r="AN52" s="437">
        <v>0</v>
      </c>
      <c r="AO52" s="437">
        <v>0</v>
      </c>
      <c r="AP52" s="437">
        <v>0</v>
      </c>
      <c r="AQ52" s="437">
        <v>0</v>
      </c>
      <c r="AR52" s="438">
        <f t="shared" si="79"/>
        <v>0</v>
      </c>
      <c r="AS52" s="322"/>
      <c r="AT52" s="437">
        <v>0</v>
      </c>
      <c r="AU52" s="437">
        <v>0</v>
      </c>
      <c r="AV52" s="437">
        <v>0</v>
      </c>
      <c r="AW52" s="437">
        <v>0</v>
      </c>
      <c r="AX52" s="439">
        <v>800</v>
      </c>
      <c r="AY52" s="317">
        <v>800</v>
      </c>
      <c r="AZ52" s="317">
        <v>800</v>
      </c>
      <c r="BA52" s="317">
        <v>1050</v>
      </c>
      <c r="BB52" s="317">
        <v>1100</v>
      </c>
      <c r="BC52" s="317">
        <v>1300</v>
      </c>
      <c r="BD52" s="317">
        <v>1400</v>
      </c>
      <c r="BE52" s="440">
        <v>2000</v>
      </c>
      <c r="BF52" s="437">
        <f t="shared" si="80"/>
        <v>9250</v>
      </c>
      <c r="BG52" s="325" t="e">
        <f t="shared" si="81"/>
        <v>#DIV/0!</v>
      </c>
      <c r="BH52" s="437"/>
      <c r="BI52" s="437"/>
      <c r="BJ52" s="437"/>
      <c r="BK52" s="437"/>
      <c r="BL52" s="439"/>
      <c r="BM52" s="317"/>
      <c r="BN52" s="317"/>
      <c r="BO52" s="317"/>
      <c r="BP52" s="317"/>
      <c r="BQ52" s="317"/>
      <c r="BR52" s="317"/>
      <c r="BS52" s="317"/>
      <c r="BT52" s="317"/>
      <c r="BU52" s="326"/>
      <c r="BV52" s="443"/>
      <c r="BW52" s="443"/>
      <c r="BX52" s="443"/>
      <c r="BY52" s="443"/>
      <c r="BZ52" s="444"/>
      <c r="CA52" s="317"/>
      <c r="CB52" s="317"/>
      <c r="CC52" s="317"/>
      <c r="CD52" s="317"/>
      <c r="CE52" s="317"/>
      <c r="CF52" s="317"/>
      <c r="CG52" s="317"/>
      <c r="CH52" s="317"/>
      <c r="CJ52" s="443"/>
      <c r="CK52" s="443"/>
      <c r="CL52" s="443"/>
      <c r="CM52" s="443"/>
      <c r="CN52" s="444"/>
      <c r="CO52" s="317"/>
      <c r="CP52" s="317"/>
      <c r="CQ52" s="317"/>
      <c r="CR52" s="317"/>
      <c r="CS52" s="317"/>
      <c r="CT52" s="317"/>
      <c r="CU52" s="317"/>
      <c r="CV52" s="317"/>
      <c r="CX52" s="443"/>
      <c r="CY52" s="443"/>
      <c r="CZ52" s="443"/>
      <c r="DA52" s="443"/>
      <c r="DB52" s="444"/>
      <c r="DC52" s="317"/>
      <c r="DD52" s="317"/>
      <c r="DE52" s="317"/>
      <c r="DF52" s="317"/>
      <c r="DG52" s="317"/>
      <c r="DH52" s="317"/>
      <c r="DI52" s="317"/>
      <c r="DJ52" s="317"/>
    </row>
    <row r="53" spans="1:114" ht="15" customHeight="1" outlineLevel="1">
      <c r="A53" s="430"/>
      <c r="B53" s="214"/>
      <c r="C53" s="431"/>
      <c r="D53" s="424"/>
      <c r="E53" s="424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32"/>
      <c r="T53" s="432"/>
      <c r="U53" s="432"/>
      <c r="V53" s="432"/>
      <c r="W53" s="432"/>
      <c r="X53" s="432"/>
      <c r="Y53" s="432"/>
      <c r="Z53" s="432"/>
      <c r="AA53" s="432"/>
      <c r="AB53" s="432"/>
      <c r="AC53" s="432"/>
      <c r="AD53" s="432"/>
      <c r="AE53" s="427"/>
      <c r="AF53" s="432"/>
      <c r="AG53" s="432"/>
      <c r="AH53" s="432"/>
      <c r="AI53" s="432"/>
      <c r="AJ53" s="432"/>
      <c r="AK53" s="432"/>
      <c r="AL53" s="432"/>
      <c r="AM53" s="432"/>
      <c r="AN53" s="432"/>
      <c r="AO53" s="432"/>
      <c r="AP53" s="432"/>
      <c r="AQ53" s="432"/>
      <c r="AR53" s="433"/>
      <c r="AS53" s="23"/>
      <c r="AT53" s="97"/>
      <c r="AU53" s="97"/>
      <c r="AV53" s="97"/>
      <c r="AW53" s="97"/>
      <c r="AX53" s="91"/>
      <c r="AY53" s="91"/>
      <c r="AZ53" s="91"/>
      <c r="BA53" s="91"/>
      <c r="BB53" s="91"/>
      <c r="BC53" s="91"/>
      <c r="BD53" s="91">
        <v>600</v>
      </c>
      <c r="BE53" s="315">
        <v>700</v>
      </c>
      <c r="BF53" s="437">
        <f t="shared" si="80"/>
        <v>1300</v>
      </c>
      <c r="BG53" s="93"/>
      <c r="BH53" s="442"/>
      <c r="BI53" s="442"/>
      <c r="BJ53" s="442"/>
      <c r="BK53" s="442"/>
      <c r="BL53" s="316"/>
      <c r="BM53" s="91"/>
      <c r="BN53" s="91"/>
      <c r="BO53" s="91"/>
      <c r="BP53" s="91"/>
      <c r="BQ53" s="91"/>
      <c r="BR53" s="91"/>
      <c r="BS53" s="91"/>
      <c r="BT53" s="91"/>
      <c r="BU53" s="54"/>
      <c r="BV53" s="442"/>
      <c r="BW53" s="442"/>
      <c r="BX53" s="442"/>
      <c r="BY53" s="442"/>
      <c r="BZ53" s="442"/>
      <c r="CA53" s="316"/>
      <c r="CB53" s="91">
        <v>60</v>
      </c>
      <c r="CC53" s="91"/>
      <c r="CD53" s="91"/>
      <c r="CE53" s="91"/>
      <c r="CF53" s="91"/>
      <c r="CG53" s="91"/>
      <c r="CH53" s="91"/>
      <c r="CJ53" s="708">
        <f>(CJ55-CJ54)/CJ54</f>
        <v>0.03</v>
      </c>
      <c r="CK53" s="708">
        <f t="shared" ref="CK53:CU53" si="86">(CK55-CK54)/CK54</f>
        <v>3.0000000000000079E-2</v>
      </c>
      <c r="CL53" s="708">
        <f t="shared" si="86"/>
        <v>3.0000000000000058E-2</v>
      </c>
      <c r="CM53" s="708">
        <f t="shared" si="86"/>
        <v>3.0000000000000034E-2</v>
      </c>
      <c r="CN53" s="708">
        <f t="shared" si="86"/>
        <v>3.000000000000011E-2</v>
      </c>
      <c r="CO53" s="708">
        <f t="shared" si="86"/>
        <v>3.000000000000012E-2</v>
      </c>
      <c r="CP53" s="708">
        <f t="shared" si="86"/>
        <v>3.0000000000000113E-2</v>
      </c>
      <c r="CQ53" s="708">
        <f t="shared" si="86"/>
        <v>3.0000000000000127E-2</v>
      </c>
      <c r="CR53" s="708">
        <f t="shared" si="86"/>
        <v>3.0000000000000068E-2</v>
      </c>
      <c r="CS53" s="708">
        <f t="shared" si="86"/>
        <v>2.9999999999999982E-2</v>
      </c>
      <c r="CT53" s="708">
        <f t="shared" si="86"/>
        <v>2.9999999999999961E-2</v>
      </c>
      <c r="CU53" s="708">
        <f t="shared" si="86"/>
        <v>0.03</v>
      </c>
      <c r="CV53" s="91"/>
      <c r="CX53" s="442"/>
      <c r="CY53" s="442"/>
      <c r="CZ53" s="442"/>
      <c r="DA53" s="442"/>
      <c r="DB53" s="442"/>
      <c r="DC53" s="316"/>
      <c r="DD53" s="91"/>
      <c r="DE53" s="91"/>
      <c r="DF53" s="91"/>
      <c r="DG53" s="91"/>
      <c r="DH53" s="91"/>
      <c r="DI53" s="91"/>
      <c r="DJ53" s="91"/>
    </row>
    <row r="54" spans="1:114" ht="15" customHeight="1" outlineLevel="1">
      <c r="A54" s="95"/>
      <c r="B54" s="216" t="s">
        <v>71</v>
      </c>
      <c r="C54" s="211"/>
      <c r="D54" s="313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314">
        <f t="shared" ref="P54:P55" si="87">SUM(D54:O54)</f>
        <v>0</v>
      </c>
      <c r="Q54" s="90"/>
      <c r="R54" s="313">
        <v>350</v>
      </c>
      <c r="S54" s="91">
        <v>350</v>
      </c>
      <c r="T54" s="91">
        <v>450</v>
      </c>
      <c r="U54" s="91">
        <v>800</v>
      </c>
      <c r="V54" s="91">
        <v>531</v>
      </c>
      <c r="W54" s="91">
        <v>750</v>
      </c>
      <c r="X54" s="91">
        <v>650</v>
      </c>
      <c r="Y54" s="91">
        <v>750</v>
      </c>
      <c r="Z54" s="91">
        <v>900</v>
      </c>
      <c r="AA54" s="91">
        <v>1000</v>
      </c>
      <c r="AB54" s="91">
        <v>1200</v>
      </c>
      <c r="AC54" s="91">
        <v>1500</v>
      </c>
      <c r="AD54" s="315">
        <f t="shared" ref="AD54:AD55" si="88">SUM(R54:AC54)</f>
        <v>9231</v>
      </c>
      <c r="AE54" s="23"/>
      <c r="AF54" s="316">
        <v>1500</v>
      </c>
      <c r="AG54" s="91">
        <v>800</v>
      </c>
      <c r="AH54" s="91">
        <v>800</v>
      </c>
      <c r="AI54" s="91">
        <v>1820</v>
      </c>
      <c r="AJ54" s="91">
        <v>1630</v>
      </c>
      <c r="AK54" s="91">
        <v>1360</v>
      </c>
      <c r="AL54" s="91">
        <v>1000</v>
      </c>
      <c r="AM54" s="91">
        <v>1700</v>
      </c>
      <c r="AN54" s="91">
        <v>1700</v>
      </c>
      <c r="AO54" s="91">
        <v>1700</v>
      </c>
      <c r="AP54" s="91">
        <v>1870</v>
      </c>
      <c r="AQ54" s="91">
        <v>2720</v>
      </c>
      <c r="AR54" s="92">
        <f t="shared" ref="AR54:AR55" si="89">SUM(AF54:AQ54)</f>
        <v>18600</v>
      </c>
      <c r="AS54" s="23"/>
      <c r="AT54" s="91">
        <v>2053</v>
      </c>
      <c r="AU54" s="91">
        <v>2053</v>
      </c>
      <c r="AV54" s="91">
        <v>2053</v>
      </c>
      <c r="AW54" s="91">
        <v>2053</v>
      </c>
      <c r="AX54" s="91">
        <v>2807</v>
      </c>
      <c r="AY54" s="91">
        <v>2807</v>
      </c>
      <c r="AZ54" s="91">
        <v>2680</v>
      </c>
      <c r="BA54" s="91">
        <v>2680</v>
      </c>
      <c r="BB54" s="91">
        <v>2807</v>
      </c>
      <c r="BC54" s="91">
        <v>3318</v>
      </c>
      <c r="BD54" s="91">
        <v>5870</v>
      </c>
      <c r="BE54" s="91">
        <v>5104</v>
      </c>
      <c r="BF54" s="441">
        <f t="shared" si="80"/>
        <v>36285</v>
      </c>
      <c r="BG54" s="93">
        <f>BF54/AR54-1</f>
        <v>0.95080645161290334</v>
      </c>
      <c r="BH54" s="441"/>
      <c r="BI54" s="441"/>
      <c r="BJ54" s="441"/>
      <c r="BK54" s="441"/>
      <c r="BL54" s="91"/>
      <c r="BM54" s="91"/>
      <c r="BN54" s="91"/>
      <c r="BO54" s="91"/>
      <c r="BP54" s="91"/>
      <c r="BQ54" s="91"/>
      <c r="BR54" s="91"/>
      <c r="BS54" s="91"/>
      <c r="BT54" s="91">
        <f>SUM(BH54:BS54)</f>
        <v>0</v>
      </c>
      <c r="BU54" s="54"/>
      <c r="BV54" s="441"/>
      <c r="BW54" s="441"/>
      <c r="BX54" s="441"/>
      <c r="BY54" s="441"/>
      <c r="BZ54" s="441"/>
      <c r="CA54" s="91"/>
      <c r="CB54" s="91"/>
      <c r="CC54" s="91"/>
      <c r="CD54" s="91"/>
      <c r="CE54" s="91"/>
      <c r="CF54" s="91"/>
      <c r="CG54" s="91"/>
      <c r="CH54" s="91"/>
      <c r="CJ54" s="441">
        <f>BV64</f>
        <v>38900</v>
      </c>
      <c r="CK54" s="441">
        <f t="shared" ref="CK54:CU54" si="90">BW64</f>
        <v>31376</v>
      </c>
      <c r="CL54" s="441">
        <f t="shared" si="90"/>
        <v>29886</v>
      </c>
      <c r="CM54" s="441">
        <f t="shared" si="90"/>
        <v>30671</v>
      </c>
      <c r="CN54" s="441">
        <f t="shared" si="90"/>
        <v>34553</v>
      </c>
      <c r="CO54" s="441">
        <f t="shared" si="90"/>
        <v>36515</v>
      </c>
      <c r="CP54" s="441">
        <f t="shared" si="90"/>
        <v>38915</v>
      </c>
      <c r="CQ54" s="441">
        <f t="shared" si="90"/>
        <v>34615</v>
      </c>
      <c r="CR54" s="441">
        <f t="shared" si="90"/>
        <v>29617</v>
      </c>
      <c r="CS54" s="441">
        <f t="shared" si="90"/>
        <v>34538</v>
      </c>
      <c r="CT54" s="441">
        <f t="shared" si="90"/>
        <v>45914</v>
      </c>
      <c r="CU54" s="441">
        <f t="shared" si="90"/>
        <v>60875</v>
      </c>
      <c r="CV54" s="91"/>
      <c r="CX54" s="441"/>
      <c r="CY54" s="441"/>
      <c r="CZ54" s="441"/>
      <c r="DA54" s="441"/>
      <c r="DB54" s="441"/>
      <c r="DC54" s="91"/>
      <c r="DD54" s="91"/>
      <c r="DE54" s="91"/>
      <c r="DF54" s="91"/>
      <c r="DG54" s="91"/>
      <c r="DH54" s="91"/>
      <c r="DI54" s="91"/>
      <c r="DJ54" s="91"/>
    </row>
    <row r="55" spans="1:114" ht="15.75">
      <c r="A55" s="55"/>
      <c r="B55" s="56" t="s">
        <v>72</v>
      </c>
      <c r="C55" s="280"/>
      <c r="D55" s="288">
        <f t="shared" ref="D55:O55" si="91">SUM(D34:D54)</f>
        <v>0</v>
      </c>
      <c r="E55" s="57">
        <f t="shared" si="91"/>
        <v>0</v>
      </c>
      <c r="F55" s="57">
        <f t="shared" si="91"/>
        <v>0</v>
      </c>
      <c r="G55" s="57">
        <f t="shared" si="91"/>
        <v>0</v>
      </c>
      <c r="H55" s="57">
        <f t="shared" si="91"/>
        <v>0</v>
      </c>
      <c r="I55" s="57">
        <f t="shared" si="91"/>
        <v>0</v>
      </c>
      <c r="J55" s="57">
        <f t="shared" si="91"/>
        <v>0</v>
      </c>
      <c r="K55" s="57">
        <f t="shared" si="91"/>
        <v>0</v>
      </c>
      <c r="L55" s="57">
        <f t="shared" si="91"/>
        <v>0</v>
      </c>
      <c r="M55" s="57">
        <f t="shared" si="91"/>
        <v>0</v>
      </c>
      <c r="N55" s="57">
        <f t="shared" si="91"/>
        <v>0</v>
      </c>
      <c r="O55" s="57">
        <f t="shared" si="91"/>
        <v>0</v>
      </c>
      <c r="P55" s="289">
        <f t="shared" si="87"/>
        <v>0</v>
      </c>
      <c r="Q55" s="39"/>
      <c r="R55" s="288">
        <f t="shared" ref="R55:AC55" si="92">SUM(R34:R54)</f>
        <v>20557.543859649122</v>
      </c>
      <c r="S55" s="58">
        <f t="shared" si="92"/>
        <v>20512.543859649122</v>
      </c>
      <c r="T55" s="58">
        <f t="shared" si="92"/>
        <v>13699.771929824561</v>
      </c>
      <c r="U55" s="58">
        <f t="shared" si="92"/>
        <v>912.5</v>
      </c>
      <c r="V55" s="58">
        <f t="shared" si="92"/>
        <v>16851</v>
      </c>
      <c r="W55" s="290">
        <f t="shared" si="92"/>
        <v>13700</v>
      </c>
      <c r="X55" s="290">
        <f t="shared" si="92"/>
        <v>26050</v>
      </c>
      <c r="Y55" s="290">
        <f t="shared" si="92"/>
        <v>27750</v>
      </c>
      <c r="Z55" s="290">
        <f t="shared" si="92"/>
        <v>31100</v>
      </c>
      <c r="AA55" s="290">
        <f t="shared" si="92"/>
        <v>32100</v>
      </c>
      <c r="AB55" s="290">
        <f t="shared" si="92"/>
        <v>37500</v>
      </c>
      <c r="AC55" s="290">
        <f t="shared" si="92"/>
        <v>45300</v>
      </c>
      <c r="AD55" s="291">
        <f t="shared" si="88"/>
        <v>286033.35964912281</v>
      </c>
      <c r="AE55" s="59"/>
      <c r="AF55" s="292">
        <f>SUM(AF34:AF54)</f>
        <v>38500</v>
      </c>
      <c r="AG55" s="58">
        <f t="shared" ref="AG55:AQ55" si="93">SUM(AG34:AG54)</f>
        <v>22400</v>
      </c>
      <c r="AH55" s="58">
        <f t="shared" si="93"/>
        <v>10671</v>
      </c>
      <c r="AI55" s="58">
        <f t="shared" si="93"/>
        <v>16097</v>
      </c>
      <c r="AJ55" s="58">
        <f t="shared" si="93"/>
        <v>30278</v>
      </c>
      <c r="AK55" s="58">
        <f t="shared" si="93"/>
        <v>28560</v>
      </c>
      <c r="AL55" s="58">
        <f t="shared" si="93"/>
        <v>41700</v>
      </c>
      <c r="AM55" s="58">
        <f t="shared" si="93"/>
        <v>38700</v>
      </c>
      <c r="AN55" s="58">
        <f t="shared" si="93"/>
        <v>37300</v>
      </c>
      <c r="AO55" s="58">
        <f t="shared" si="93"/>
        <v>37400</v>
      </c>
      <c r="AP55" s="58">
        <f t="shared" si="93"/>
        <v>40640</v>
      </c>
      <c r="AQ55" s="58">
        <f t="shared" si="93"/>
        <v>54440</v>
      </c>
      <c r="AR55" s="58">
        <f t="shared" si="89"/>
        <v>396686</v>
      </c>
      <c r="AS55" s="59"/>
      <c r="AT55" s="58">
        <f t="shared" ref="AT55:BE55" si="94">SUM(AT34:AT54)</f>
        <v>36153</v>
      </c>
      <c r="AU55" s="58">
        <f>SUM(AU34:AU54)</f>
        <v>35289</v>
      </c>
      <c r="AV55" s="58">
        <f t="shared" si="94"/>
        <v>35872</v>
      </c>
      <c r="AW55" s="58">
        <f t="shared" si="94"/>
        <v>38031</v>
      </c>
      <c r="AX55" s="58">
        <f t="shared" si="94"/>
        <v>33566</v>
      </c>
      <c r="AY55" s="58">
        <f t="shared" si="94"/>
        <v>33566</v>
      </c>
      <c r="AZ55" s="58">
        <f t="shared" si="94"/>
        <v>30896</v>
      </c>
      <c r="BA55" s="58">
        <f t="shared" si="94"/>
        <v>31146</v>
      </c>
      <c r="BB55" s="58">
        <f t="shared" si="94"/>
        <v>32630</v>
      </c>
      <c r="BC55" s="58">
        <f t="shared" si="94"/>
        <v>38562</v>
      </c>
      <c r="BD55" s="58">
        <f t="shared" si="94"/>
        <v>41345</v>
      </c>
      <c r="BE55" s="58">
        <f t="shared" si="94"/>
        <v>49263</v>
      </c>
      <c r="BF55" s="58">
        <f>SUM(AT55:BE55)</f>
        <v>436319</v>
      </c>
      <c r="BG55" s="59">
        <f>BF55-AR55</f>
        <v>39633</v>
      </c>
      <c r="BH55" s="58">
        <v>36153</v>
      </c>
      <c r="BI55" s="58">
        <v>35289</v>
      </c>
      <c r="BJ55" s="58">
        <v>35872</v>
      </c>
      <c r="BK55" s="58">
        <v>38031</v>
      </c>
      <c r="BL55" s="58">
        <v>38570</v>
      </c>
      <c r="BM55" s="58">
        <v>39227</v>
      </c>
      <c r="BN55" s="58">
        <v>41128</v>
      </c>
      <c r="BO55" s="58">
        <v>38191</v>
      </c>
      <c r="BP55" s="58">
        <v>38191</v>
      </c>
      <c r="BQ55" s="58">
        <v>40225</v>
      </c>
      <c r="BR55" s="58">
        <v>43272</v>
      </c>
      <c r="BS55" s="58">
        <v>60327</v>
      </c>
      <c r="BT55" s="58">
        <f t="shared" ref="BT55:BT59" si="95">SUM(BH55:BS55)</f>
        <v>484476</v>
      </c>
      <c r="BU55" s="60"/>
      <c r="BV55" s="58">
        <f>SUM(BV34:BV51)</f>
        <v>35797.912472643162</v>
      </c>
      <c r="BW55" s="58">
        <f t="shared" ref="BW55:CG55" si="96">SUM(BW34:BW51)</f>
        <v>27268.538792847521</v>
      </c>
      <c r="BX55" s="58">
        <f t="shared" si="96"/>
        <v>34357.668832234456</v>
      </c>
      <c r="BY55" s="58">
        <f t="shared" si="96"/>
        <v>29626.958292847525</v>
      </c>
      <c r="BZ55" s="58">
        <f t="shared" si="96"/>
        <v>34139.121332234456</v>
      </c>
      <c r="CA55" s="58">
        <f t="shared" si="96"/>
        <v>39503.881972643161</v>
      </c>
      <c r="CB55" s="58">
        <f t="shared" si="96"/>
        <v>45728.836911008315</v>
      </c>
      <c r="CC55" s="58">
        <f t="shared" si="96"/>
        <v>32260.226972643166</v>
      </c>
      <c r="CD55" s="58">
        <f t="shared" si="96"/>
        <v>33331.522972643164</v>
      </c>
      <c r="CE55" s="58">
        <f t="shared" si="96"/>
        <v>35213.881472643166</v>
      </c>
      <c r="CF55" s="58">
        <f t="shared" si="96"/>
        <v>46168.878068556034</v>
      </c>
      <c r="CG55" s="58">
        <f t="shared" si="96"/>
        <v>57905.502691825735</v>
      </c>
      <c r="CH55" s="58">
        <f>SUM(BV55:CG55)</f>
        <v>451302.93078476982</v>
      </c>
      <c r="CI55" s="395">
        <f>(CH55-BT64)/BT64</f>
        <v>5.1833718555945915E-2</v>
      </c>
      <c r="CJ55" s="58">
        <f>BV64*1.03</f>
        <v>40067</v>
      </c>
      <c r="CK55" s="58">
        <f t="shared" ref="CK55:CU55" si="97">BW64*1.03</f>
        <v>32317.280000000002</v>
      </c>
      <c r="CL55" s="58">
        <f t="shared" si="97"/>
        <v>30782.58</v>
      </c>
      <c r="CM55" s="58">
        <f>BY64*1.03</f>
        <v>31591.13</v>
      </c>
      <c r="CN55" s="58">
        <f t="shared" si="97"/>
        <v>35589.590000000004</v>
      </c>
      <c r="CO55" s="58">
        <f t="shared" si="97"/>
        <v>37610.450000000004</v>
      </c>
      <c r="CP55" s="58">
        <f t="shared" si="97"/>
        <v>40082.450000000004</v>
      </c>
      <c r="CQ55" s="58">
        <f t="shared" si="97"/>
        <v>35653.450000000004</v>
      </c>
      <c r="CR55" s="58">
        <f t="shared" si="97"/>
        <v>30505.510000000002</v>
      </c>
      <c r="CS55" s="58">
        <f t="shared" si="97"/>
        <v>35574.14</v>
      </c>
      <c r="CT55" s="58">
        <f t="shared" si="97"/>
        <v>47291.42</v>
      </c>
      <c r="CU55" s="58">
        <f t="shared" si="97"/>
        <v>62701.25</v>
      </c>
      <c r="CV55" s="58">
        <f>SUM(CJ55:CU55)</f>
        <v>459766.25</v>
      </c>
      <c r="CW55" s="395">
        <f>(CV55-CH64)/CH64</f>
        <v>0.03</v>
      </c>
      <c r="CX55" s="58">
        <v>35797.912472643162</v>
      </c>
      <c r="CY55" s="58">
        <v>27268.538792847521</v>
      </c>
      <c r="CZ55" s="58">
        <v>34357.668832234456</v>
      </c>
      <c r="DA55" s="58">
        <v>29626.958292847525</v>
      </c>
      <c r="DB55" s="58">
        <v>34139.121332234456</v>
      </c>
      <c r="DC55" s="58">
        <v>39503.881972643161</v>
      </c>
      <c r="DD55" s="58">
        <v>45728.836911008315</v>
      </c>
      <c r="DE55" s="58">
        <v>32260.226972643166</v>
      </c>
      <c r="DF55" s="58">
        <v>33331.522972643164</v>
      </c>
      <c r="DG55" s="58">
        <v>35213.881472643166</v>
      </c>
      <c r="DH55" s="58">
        <v>46168.878068556034</v>
      </c>
      <c r="DI55" s="58">
        <v>57905.502691825735</v>
      </c>
      <c r="DJ55" s="58">
        <v>451302.93078476982</v>
      </c>
    </row>
    <row r="56" spans="1:114">
      <c r="A56" s="99"/>
      <c r="B56" s="451" t="s">
        <v>73</v>
      </c>
      <c r="C56" s="328"/>
      <c r="D56" s="301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302"/>
      <c r="Q56" s="74"/>
      <c r="R56" s="301"/>
      <c r="S56" s="69"/>
      <c r="T56" s="69"/>
      <c r="U56" s="69"/>
      <c r="V56" s="303"/>
      <c r="W56" s="304"/>
      <c r="X56" s="304"/>
      <c r="Y56" s="304"/>
      <c r="Z56" s="304"/>
      <c r="AA56" s="304"/>
      <c r="AB56" s="304"/>
      <c r="AC56" s="75"/>
      <c r="AD56" s="76"/>
      <c r="AE56" s="77"/>
      <c r="AF56" s="305"/>
      <c r="AG56" s="69"/>
      <c r="AH56" s="69"/>
      <c r="AI56" s="69"/>
      <c r="AJ56" s="303"/>
      <c r="AK56" s="303"/>
      <c r="AL56" s="303"/>
      <c r="AM56" s="303"/>
      <c r="AN56" s="69"/>
      <c r="AO56" s="69"/>
      <c r="AP56" s="69"/>
      <c r="AQ56" s="69"/>
      <c r="AR56" s="306"/>
      <c r="AS56" s="77"/>
      <c r="AT56" s="69"/>
      <c r="AU56" s="69"/>
      <c r="AV56" s="69"/>
      <c r="AW56" s="69"/>
      <c r="AX56" s="69"/>
      <c r="AY56" s="69">
        <v>15000</v>
      </c>
      <c r="AZ56" s="69">
        <v>15000</v>
      </c>
      <c r="BA56" s="69">
        <f t="shared" ref="BA56:BB56" si="98">BA55*70%</f>
        <v>21802.199999999997</v>
      </c>
      <c r="BB56" s="69">
        <f t="shared" si="98"/>
        <v>22841</v>
      </c>
      <c r="BC56" s="69">
        <v>35000</v>
      </c>
      <c r="BD56" s="69">
        <v>35000</v>
      </c>
      <c r="BE56" s="69">
        <v>42000</v>
      </c>
      <c r="BF56" s="69">
        <f t="shared" si="80"/>
        <v>186643.20000000001</v>
      </c>
      <c r="BG56" s="77"/>
      <c r="BH56" s="69">
        <f t="shared" ref="BH56:BM56" si="99">BH55*0.8</f>
        <v>28922.400000000001</v>
      </c>
      <c r="BI56" s="69">
        <f t="shared" si="99"/>
        <v>28231.200000000001</v>
      </c>
      <c r="BJ56" s="69">
        <f t="shared" si="99"/>
        <v>28697.600000000002</v>
      </c>
      <c r="BK56" s="69">
        <f t="shared" si="99"/>
        <v>30424.800000000003</v>
      </c>
      <c r="BL56" s="69">
        <f t="shared" si="99"/>
        <v>30856</v>
      </c>
      <c r="BM56" s="69">
        <f t="shared" si="99"/>
        <v>31381.600000000002</v>
      </c>
      <c r="BN56" s="69">
        <f>BN55*0.85</f>
        <v>34958.799999999996</v>
      </c>
      <c r="BO56" s="69">
        <v>29000</v>
      </c>
      <c r="BP56" s="69">
        <v>40223</v>
      </c>
      <c r="BQ56" s="69">
        <v>36735</v>
      </c>
      <c r="BR56" s="69">
        <v>36933</v>
      </c>
      <c r="BS56" s="69">
        <v>52283</v>
      </c>
      <c r="BT56" s="69">
        <f t="shared" si="95"/>
        <v>408646.40000000002</v>
      </c>
      <c r="BU56" s="28"/>
      <c r="BV56" s="69">
        <v>32000</v>
      </c>
      <c r="BW56" s="69">
        <v>32000</v>
      </c>
      <c r="BX56" s="69">
        <v>37000</v>
      </c>
      <c r="BY56" s="69">
        <v>32000</v>
      </c>
      <c r="BZ56" s="69">
        <v>35000</v>
      </c>
      <c r="CA56" s="69">
        <v>35000</v>
      </c>
      <c r="CB56" s="69">
        <v>35000</v>
      </c>
      <c r="CC56" s="69">
        <f>CC55*1</f>
        <v>32260.226972643166</v>
      </c>
      <c r="CD56" s="69">
        <f>CD55*1</f>
        <v>33331.522972643164</v>
      </c>
      <c r="CE56" s="69">
        <f>CE55</f>
        <v>35213.881472643166</v>
      </c>
      <c r="CF56" s="69">
        <v>40000</v>
      </c>
      <c r="CG56" s="69">
        <v>60000</v>
      </c>
      <c r="CH56" s="69"/>
      <c r="CI56" s="395"/>
      <c r="CJ56" s="69">
        <v>32000</v>
      </c>
      <c r="CK56" s="69">
        <v>30000</v>
      </c>
      <c r="CL56" s="69">
        <v>31500</v>
      </c>
      <c r="CM56" s="69">
        <v>32000</v>
      </c>
      <c r="CN56" s="69">
        <v>35000</v>
      </c>
      <c r="CO56" s="69">
        <v>35000</v>
      </c>
      <c r="CP56" s="69">
        <v>36000</v>
      </c>
      <c r="CQ56" s="69">
        <v>35000</v>
      </c>
      <c r="CR56" s="69">
        <v>35000</v>
      </c>
      <c r="CS56" s="69">
        <v>40000</v>
      </c>
      <c r="CT56" s="69">
        <v>51000</v>
      </c>
      <c r="CU56" s="69">
        <v>60000</v>
      </c>
      <c r="CV56" s="69">
        <f>SUM(CJ56:CU56)</f>
        <v>452500</v>
      </c>
      <c r="CW56" s="395"/>
      <c r="CX56" s="69">
        <v>28638.329978114532</v>
      </c>
      <c r="CY56" s="69">
        <v>21814.831034278017</v>
      </c>
      <c r="CZ56" s="69">
        <v>27486.135065787566</v>
      </c>
      <c r="DA56" s="69">
        <v>23701.566634278021</v>
      </c>
      <c r="DB56" s="69">
        <v>27311.297065787567</v>
      </c>
      <c r="DC56" s="69">
        <v>31603.10557811453</v>
      </c>
      <c r="DD56" s="69">
        <v>36583.069528806656</v>
      </c>
      <c r="DE56" s="69">
        <v>25808.181578114534</v>
      </c>
      <c r="DF56" s="69">
        <v>26665.218378114532</v>
      </c>
      <c r="DG56" s="69">
        <v>28171.105178114536</v>
      </c>
      <c r="DH56" s="69">
        <v>36935.102454844826</v>
      </c>
      <c r="DI56" s="69">
        <v>46324.402153460593</v>
      </c>
      <c r="DJ56" s="69"/>
    </row>
    <row r="57" spans="1:114" ht="14.25" customHeight="1">
      <c r="A57" s="55" t="s">
        <v>74</v>
      </c>
      <c r="B57" s="56"/>
      <c r="C57" s="280"/>
      <c r="D57" s="28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289"/>
      <c r="Q57" s="39"/>
      <c r="R57" s="288"/>
      <c r="S57" s="58"/>
      <c r="T57" s="58"/>
      <c r="U57" s="58"/>
      <c r="V57" s="58"/>
      <c r="W57" s="290"/>
      <c r="X57" s="290"/>
      <c r="Y57" s="290"/>
      <c r="Z57" s="290"/>
      <c r="AA57" s="290"/>
      <c r="AB57" s="290"/>
      <c r="AC57" s="290"/>
      <c r="AD57" s="291"/>
      <c r="AE57" s="59"/>
      <c r="AF57" s="292"/>
      <c r="AG57" s="58"/>
      <c r="AH57" s="58"/>
      <c r="AI57" s="58"/>
      <c r="AJ57" s="58"/>
      <c r="AK57" s="58"/>
      <c r="AL57" s="58">
        <f>AL55/AVERAGE($AF$55:$AQ$55)</f>
        <v>1.2614511225503295</v>
      </c>
      <c r="AM57" s="58"/>
      <c r="AN57" s="58"/>
      <c r="AO57" s="58"/>
      <c r="AP57" s="58">
        <f t="shared" ref="AP57:AQ57" si="100">AP55/AVERAGE($AF$55:$AQ$55)</f>
        <v>1.2293854585238704</v>
      </c>
      <c r="AQ57" s="58">
        <f t="shared" si="100"/>
        <v>1.6468441033966412</v>
      </c>
      <c r="AR57" s="58"/>
      <c r="AS57" s="59"/>
      <c r="AT57" s="58">
        <v>109190</v>
      </c>
      <c r="AU57" s="58">
        <v>153667</v>
      </c>
      <c r="AV57" s="58">
        <v>178778</v>
      </c>
      <c r="AW57" s="58">
        <v>151970</v>
      </c>
      <c r="AX57" s="58">
        <v>142416</v>
      </c>
      <c r="AY57" s="58">
        <v>177335</v>
      </c>
      <c r="AZ57" s="58">
        <v>152230</v>
      </c>
      <c r="BA57" s="58">
        <v>245527</v>
      </c>
      <c r="BB57" s="58">
        <f>5261504/27</f>
        <v>194870.51851851851</v>
      </c>
      <c r="BC57" s="58">
        <f>5784000/27</f>
        <v>214222.22222222222</v>
      </c>
      <c r="BD57" s="58">
        <f>3224000/27</f>
        <v>119407.4074074074</v>
      </c>
      <c r="BE57" s="58">
        <f>909800/27</f>
        <v>33696.296296296299</v>
      </c>
      <c r="BF57" s="58">
        <f t="shared" si="80"/>
        <v>1873309.4444444445</v>
      </c>
      <c r="BG57" s="59"/>
      <c r="BH57" s="58">
        <v>156208</v>
      </c>
      <c r="BI57" s="58">
        <v>147340</v>
      </c>
      <c r="BJ57" s="58">
        <v>166759</v>
      </c>
      <c r="BK57" s="58">
        <v>152352</v>
      </c>
      <c r="BL57" s="58">
        <v>128446</v>
      </c>
      <c r="BM57" s="58">
        <v>126790</v>
      </c>
      <c r="BN57" s="58">
        <v>173761</v>
      </c>
      <c r="BO57" s="58">
        <f>144510.599073001+BO56</f>
        <v>173510.59907300101</v>
      </c>
      <c r="BP57" s="58">
        <f>162574.422556972+BP56</f>
        <v>202797.42255697199</v>
      </c>
      <c r="BQ57" s="58">
        <f>166187.186558517+BQ56</f>
        <v>202922.18655851699</v>
      </c>
      <c r="BR57" s="58">
        <f>BQ31+BR27*0.6</f>
        <v>232502.36</v>
      </c>
      <c r="BS57" s="58">
        <f>BR27*0.4+BS27*0.5</f>
        <v>116391.04000000001</v>
      </c>
      <c r="BT57" s="58">
        <f t="shared" si="95"/>
        <v>1979779.6081884899</v>
      </c>
      <c r="BU57" s="60"/>
      <c r="BV57" s="58">
        <f t="shared" ref="BV57:CC57" si="101">BV31+BV56</f>
        <v>162757.867486095</v>
      </c>
      <c r="BW57" s="58">
        <f t="shared" si="101"/>
        <v>157566.83045180296</v>
      </c>
      <c r="BX57" s="58">
        <f t="shared" si="101"/>
        <v>197961.53846153844</v>
      </c>
      <c r="BY57" s="58">
        <f t="shared" si="101"/>
        <v>160769.23076923078</v>
      </c>
      <c r="BZ57" s="58">
        <f t="shared" si="101"/>
        <v>153232.39341785663</v>
      </c>
      <c r="CA57" s="58">
        <f t="shared" si="101"/>
        <v>143192.12910096842</v>
      </c>
      <c r="CB57" s="58">
        <f t="shared" si="101"/>
        <v>178736.21444761599</v>
      </c>
      <c r="CC57" s="58">
        <f t="shared" si="101"/>
        <v>202914.10079748323</v>
      </c>
      <c r="CD57" s="58">
        <f>CD31+CD56</f>
        <v>214499.61628422557</v>
      </c>
      <c r="CE57" s="58">
        <f>CE31+CE56</f>
        <v>217682.99793575107</v>
      </c>
      <c r="CF57" s="58">
        <f>CF31+CF56</f>
        <v>173115.84223630186</v>
      </c>
      <c r="CG57" s="58">
        <f t="shared" ref="CG57" si="102">BS57</f>
        <v>116391.04000000001</v>
      </c>
      <c r="CH57" s="58"/>
      <c r="CJ57" s="58">
        <f>CJ31+CJ56</f>
        <v>184850.74</v>
      </c>
      <c r="CK57" s="58">
        <f t="shared" ref="CK57:CU57" si="103">CK31+CK56</f>
        <v>171882.50999999998</v>
      </c>
      <c r="CL57" s="58">
        <f t="shared" si="103"/>
        <v>191983.4</v>
      </c>
      <c r="CM57" s="58">
        <f t="shared" si="103"/>
        <v>159922</v>
      </c>
      <c r="CN57" s="58">
        <f t="shared" si="103"/>
        <v>157242.75</v>
      </c>
      <c r="CO57" s="58">
        <f t="shared" si="103"/>
        <v>123621.68</v>
      </c>
      <c r="CP57" s="58">
        <f t="shared" si="103"/>
        <v>231213.55</v>
      </c>
      <c r="CQ57" s="58">
        <f t="shared" si="103"/>
        <v>211318.72999999998</v>
      </c>
      <c r="CR57" s="58">
        <f t="shared" si="103"/>
        <v>260760.84999999998</v>
      </c>
      <c r="CS57" s="58">
        <f t="shared" si="103"/>
        <v>236930.72</v>
      </c>
      <c r="CT57" s="58">
        <f t="shared" si="103"/>
        <v>174556.51</v>
      </c>
      <c r="CU57" s="58">
        <f t="shared" si="103"/>
        <v>107560.73</v>
      </c>
      <c r="CV57" s="58">
        <f>SUM(CJ57:CU57)</f>
        <v>2211844.17</v>
      </c>
      <c r="CX57" s="58">
        <v>98000</v>
      </c>
      <c r="CY57" s="58">
        <v>147381.66148608096</v>
      </c>
      <c r="CZ57" s="58">
        <v>188447.673527326</v>
      </c>
      <c r="DA57" s="58">
        <v>152352</v>
      </c>
      <c r="DB57" s="58">
        <v>128446</v>
      </c>
      <c r="DC57" s="58">
        <v>126790</v>
      </c>
      <c r="DD57" s="58">
        <v>173761</v>
      </c>
      <c r="DE57" s="58">
        <v>173510.59907300101</v>
      </c>
      <c r="DF57" s="58">
        <v>202797.42255697199</v>
      </c>
      <c r="DG57" s="58">
        <v>202922.18655851699</v>
      </c>
      <c r="DH57" s="58">
        <v>232502.36</v>
      </c>
      <c r="DI57" s="58">
        <v>116391.04000000001</v>
      </c>
      <c r="DJ57" s="58"/>
    </row>
    <row r="58" spans="1:114">
      <c r="A58" s="101" t="s">
        <v>75</v>
      </c>
      <c r="B58" s="102"/>
      <c r="C58" s="260"/>
      <c r="D58" s="277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262"/>
      <c r="Q58" s="15"/>
      <c r="R58" s="277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263"/>
      <c r="AE58" s="16"/>
      <c r="AF58" s="261">
        <v>133791</v>
      </c>
      <c r="AG58" s="14">
        <v>166459</v>
      </c>
      <c r="AH58" s="14">
        <v>149450</v>
      </c>
      <c r="AI58" s="14">
        <v>151073</v>
      </c>
      <c r="AJ58" s="14">
        <v>192944</v>
      </c>
      <c r="AK58" s="14">
        <v>166139</v>
      </c>
      <c r="AL58" s="14">
        <v>151874</v>
      </c>
      <c r="AM58" s="14">
        <v>157771</v>
      </c>
      <c r="AN58" s="14">
        <v>200312</v>
      </c>
      <c r="AO58" s="14">
        <v>202691</v>
      </c>
      <c r="AP58" s="14">
        <v>207768</v>
      </c>
      <c r="AQ58" s="14">
        <v>113286</v>
      </c>
      <c r="AR58" s="14">
        <f>SUM(AF58:AK58)</f>
        <v>959856</v>
      </c>
      <c r="AS58" s="17"/>
      <c r="AT58" s="14">
        <v>89680</v>
      </c>
      <c r="AU58" s="14">
        <v>128308</v>
      </c>
      <c r="AV58" s="14">
        <v>144871</v>
      </c>
      <c r="AW58" s="32">
        <v>161772</v>
      </c>
      <c r="AX58" s="32">
        <v>144516</v>
      </c>
      <c r="AY58" s="32">
        <v>103667</v>
      </c>
      <c r="AZ58" s="32">
        <v>141023</v>
      </c>
      <c r="BA58" s="32">
        <v>172093</v>
      </c>
      <c r="BB58" s="32">
        <f>166606+10000</f>
        <v>176606</v>
      </c>
      <c r="BC58" s="32">
        <v>181091</v>
      </c>
      <c r="BD58" s="32">
        <v>169802</v>
      </c>
      <c r="BE58" s="32">
        <v>120406</v>
      </c>
      <c r="BF58" s="32">
        <f t="shared" si="80"/>
        <v>1733835</v>
      </c>
      <c r="BG58" s="17">
        <f>BG55/AR55</f>
        <v>9.9910256474894502E-2</v>
      </c>
      <c r="BH58" s="14">
        <v>78906</v>
      </c>
      <c r="BI58" s="14">
        <v>119296</v>
      </c>
      <c r="BJ58" s="14">
        <v>165286</v>
      </c>
      <c r="BK58" s="14">
        <v>144532</v>
      </c>
      <c r="BL58" s="32">
        <v>157691</v>
      </c>
      <c r="BM58" s="32">
        <v>129096</v>
      </c>
      <c r="BN58" s="32">
        <v>125800</v>
      </c>
      <c r="BO58" s="32">
        <v>176354</v>
      </c>
      <c r="BP58" s="32">
        <v>173554</v>
      </c>
      <c r="BQ58" s="32">
        <v>185766</v>
      </c>
      <c r="BR58" s="32"/>
      <c r="BS58" s="32"/>
      <c r="BT58" s="32">
        <f t="shared" si="95"/>
        <v>1456281</v>
      </c>
      <c r="BU58" s="28"/>
      <c r="BV58" s="14"/>
      <c r="BW58" s="14"/>
      <c r="BX58" s="14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J58" s="14"/>
      <c r="CK58" s="14"/>
      <c r="CL58" s="14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X58" s="14"/>
      <c r="CY58" s="14"/>
      <c r="CZ58" s="14"/>
      <c r="DA58" s="32"/>
      <c r="DB58" s="32"/>
      <c r="DC58" s="32"/>
      <c r="DD58" s="32"/>
      <c r="DE58" s="32"/>
      <c r="DF58" s="32"/>
      <c r="DG58" s="32"/>
      <c r="DH58" s="32"/>
      <c r="DI58" s="32"/>
      <c r="DJ58" s="32"/>
    </row>
    <row r="59" spans="1:114" ht="15.75">
      <c r="A59" s="103"/>
      <c r="B59" s="329" t="s">
        <v>76</v>
      </c>
      <c r="C59" s="330"/>
      <c r="D59" s="331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332"/>
      <c r="Q59" s="105"/>
      <c r="R59" s="333"/>
      <c r="S59" s="333"/>
      <c r="T59" s="333"/>
      <c r="U59" s="333"/>
      <c r="V59" s="333"/>
      <c r="W59" s="333"/>
      <c r="X59" s="333"/>
      <c r="Y59" s="333"/>
      <c r="Z59" s="333"/>
      <c r="AA59" s="333"/>
      <c r="AB59" s="333"/>
      <c r="AC59" s="333"/>
      <c r="AD59" s="334"/>
      <c r="AE59" s="106"/>
      <c r="AF59" s="333">
        <f t="shared" ref="AF59:AQ59" si="104">AF58-AF26</f>
        <v>133789.5653258567</v>
      </c>
      <c r="AG59" s="333">
        <f t="shared" si="104"/>
        <v>166455.02546723894</v>
      </c>
      <c r="AH59" s="333">
        <f t="shared" si="104"/>
        <v>149445.54627453614</v>
      </c>
      <c r="AI59" s="333">
        <f t="shared" si="104"/>
        <v>151069.82181047046</v>
      </c>
      <c r="AJ59" s="333">
        <f t="shared" si="104"/>
        <v>192941.24487749056</v>
      </c>
      <c r="AK59" s="333">
        <f t="shared" si="104"/>
        <v>166135.77020296719</v>
      </c>
      <c r="AL59" s="333">
        <f t="shared" si="104"/>
        <v>151871.64243647002</v>
      </c>
      <c r="AM59" s="333">
        <f t="shared" si="104"/>
        <v>157768.8586839418</v>
      </c>
      <c r="AN59" s="333">
        <f t="shared" si="104"/>
        <v>200310.09576397031</v>
      </c>
      <c r="AO59" s="333">
        <f t="shared" si="104"/>
        <v>202687.83135883085</v>
      </c>
      <c r="AP59" s="333">
        <f t="shared" si="104"/>
        <v>207762.85122649223</v>
      </c>
      <c r="AQ59" s="333">
        <f t="shared" si="104"/>
        <v>113282.51926932538</v>
      </c>
      <c r="AR59" s="107">
        <f t="shared" ref="AR59:AR67" si="105">SUM(AF59:AQ59)</f>
        <v>1993520.772697591</v>
      </c>
      <c r="AS59" s="106"/>
      <c r="AT59" s="333">
        <f t="shared" ref="AT59:BE59" si="106">AT58-AT57</f>
        <v>-19510</v>
      </c>
      <c r="AU59" s="333">
        <f t="shared" si="106"/>
        <v>-25359</v>
      </c>
      <c r="AV59" s="333">
        <f t="shared" si="106"/>
        <v>-33907</v>
      </c>
      <c r="AW59" s="333">
        <f t="shared" si="106"/>
        <v>9802</v>
      </c>
      <c r="AX59" s="333">
        <f t="shared" si="106"/>
        <v>2100</v>
      </c>
      <c r="AY59" s="333">
        <f t="shared" si="106"/>
        <v>-73668</v>
      </c>
      <c r="AZ59" s="333">
        <f t="shared" si="106"/>
        <v>-11207</v>
      </c>
      <c r="BA59" s="333">
        <f t="shared" si="106"/>
        <v>-73434</v>
      </c>
      <c r="BB59" s="333">
        <f t="shared" si="106"/>
        <v>-18264.518518518511</v>
      </c>
      <c r="BC59" s="333">
        <f t="shared" si="106"/>
        <v>-33131.222222222219</v>
      </c>
      <c r="BD59" s="333">
        <f t="shared" si="106"/>
        <v>50394.592592592599</v>
      </c>
      <c r="BE59" s="333">
        <f t="shared" si="106"/>
        <v>86709.703703703708</v>
      </c>
      <c r="BF59" s="108">
        <f t="shared" si="80"/>
        <v>-139474.44444444444</v>
      </c>
      <c r="BG59" s="106"/>
      <c r="BH59" s="333">
        <f t="shared" ref="BH59:BQ59" si="107">BH58-BH57</f>
        <v>-77302</v>
      </c>
      <c r="BI59" s="333">
        <f t="shared" si="107"/>
        <v>-28044</v>
      </c>
      <c r="BJ59" s="333">
        <f t="shared" si="107"/>
        <v>-1473</v>
      </c>
      <c r="BK59" s="333">
        <f t="shared" si="107"/>
        <v>-7820</v>
      </c>
      <c r="BL59" s="333">
        <f t="shared" si="107"/>
        <v>29245</v>
      </c>
      <c r="BM59" s="333">
        <f t="shared" si="107"/>
        <v>2306</v>
      </c>
      <c r="BN59" s="333">
        <f t="shared" si="107"/>
        <v>-47961</v>
      </c>
      <c r="BO59" s="333">
        <f t="shared" si="107"/>
        <v>2843.4009269989911</v>
      </c>
      <c r="BP59" s="333">
        <f t="shared" si="107"/>
        <v>-29243.422556971986</v>
      </c>
      <c r="BQ59" s="333">
        <f t="shared" si="107"/>
        <v>-17156.186558516987</v>
      </c>
      <c r="BR59" s="108"/>
      <c r="BS59" s="108"/>
      <c r="BT59" s="108">
        <f t="shared" si="95"/>
        <v>-174605.20818848998</v>
      </c>
      <c r="BU59" s="28"/>
      <c r="BV59" s="333"/>
      <c r="BW59" s="333"/>
      <c r="BX59" s="333"/>
      <c r="BY59" s="333"/>
      <c r="BZ59" s="108"/>
      <c r="CA59" s="108"/>
      <c r="CB59" s="108"/>
      <c r="CC59" s="108"/>
      <c r="CD59" s="108"/>
      <c r="CE59" s="108"/>
      <c r="CF59" s="108"/>
      <c r="CG59" s="108"/>
      <c r="CH59" s="108"/>
      <c r="CJ59" s="333"/>
      <c r="CK59" s="333"/>
      <c r="CL59" s="333"/>
      <c r="CM59" s="333"/>
      <c r="CN59" s="108"/>
      <c r="CO59" s="108"/>
      <c r="CP59" s="108"/>
      <c r="CQ59" s="108"/>
      <c r="CR59" s="108"/>
      <c r="CS59" s="108"/>
      <c r="CT59" s="108"/>
      <c r="CU59" s="108"/>
      <c r="CV59" s="108"/>
      <c r="CX59" s="333"/>
      <c r="CY59" s="333"/>
      <c r="CZ59" s="333"/>
      <c r="DA59" s="333"/>
      <c r="DB59" s="108"/>
      <c r="DC59" s="108"/>
      <c r="DD59" s="108"/>
      <c r="DE59" s="108"/>
      <c r="DF59" s="108"/>
      <c r="DG59" s="108"/>
      <c r="DH59" s="108"/>
      <c r="DI59" s="108"/>
      <c r="DJ59" s="108"/>
    </row>
    <row r="60" spans="1:114" ht="15.75" customHeight="1">
      <c r="A60" s="94">
        <v>5</v>
      </c>
      <c r="B60" s="210" t="s">
        <v>77</v>
      </c>
      <c r="C60" s="335"/>
      <c r="D60" s="313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>
        <v>0</v>
      </c>
      <c r="P60" s="314">
        <f>SUM(D60:O60)</f>
        <v>0</v>
      </c>
      <c r="Q60" s="90"/>
      <c r="R60" s="313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315">
        <f>SUM(R60:AC60)</f>
        <v>0</v>
      </c>
      <c r="AE60" s="23"/>
      <c r="AF60" s="316">
        <v>0</v>
      </c>
      <c r="AG60" s="91">
        <v>0</v>
      </c>
      <c r="AH60" s="91">
        <v>0</v>
      </c>
      <c r="AI60" s="91">
        <v>0</v>
      </c>
      <c r="AJ60" s="91">
        <v>0</v>
      </c>
      <c r="AK60" s="91">
        <v>0</v>
      </c>
      <c r="AL60" s="91">
        <v>0</v>
      </c>
      <c r="AM60" s="91">
        <v>0</v>
      </c>
      <c r="AN60" s="91">
        <v>0</v>
      </c>
      <c r="AO60" s="91">
        <v>0</v>
      </c>
      <c r="AP60" s="91"/>
      <c r="AQ60" s="91">
        <v>8938</v>
      </c>
      <c r="AR60" s="92">
        <f t="shared" si="105"/>
        <v>8938</v>
      </c>
      <c r="AS60" s="23"/>
      <c r="AT60" s="91">
        <v>106642</v>
      </c>
      <c r="AU60" s="91">
        <v>90699</v>
      </c>
      <c r="AV60" s="91">
        <v>89681</v>
      </c>
      <c r="AW60" s="91">
        <v>58790</v>
      </c>
      <c r="AX60" s="91">
        <v>35520</v>
      </c>
      <c r="AY60" s="91">
        <v>61551</v>
      </c>
      <c r="AZ60" s="91">
        <v>71511</v>
      </c>
      <c r="BA60" s="91">
        <v>63617</v>
      </c>
      <c r="BB60" s="91">
        <v>66748</v>
      </c>
      <c r="BC60" s="91">
        <v>75532</v>
      </c>
      <c r="BD60" s="91">
        <v>37786</v>
      </c>
      <c r="BE60" s="91">
        <v>4503</v>
      </c>
      <c r="BF60" s="91">
        <f t="shared" si="80"/>
        <v>762580</v>
      </c>
      <c r="BG60" s="27"/>
      <c r="BH60" s="91">
        <v>69404</v>
      </c>
      <c r="BI60" s="91">
        <v>80412</v>
      </c>
      <c r="BJ60" s="91">
        <v>94386</v>
      </c>
      <c r="BK60" s="91">
        <v>78313</v>
      </c>
      <c r="BL60" s="91">
        <v>47034</v>
      </c>
      <c r="BM60" s="91">
        <v>50851</v>
      </c>
      <c r="BN60" s="91">
        <v>93202</v>
      </c>
      <c r="BO60" s="91">
        <v>100687</v>
      </c>
      <c r="BP60" s="91">
        <v>127995</v>
      </c>
      <c r="BQ60" s="91">
        <v>122686</v>
      </c>
      <c r="BR60" s="91"/>
      <c r="BS60" s="91"/>
      <c r="BT60" s="91"/>
      <c r="BU60" s="28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  <c r="CX60" s="91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</row>
    <row r="61" spans="1:114">
      <c r="A61" s="13" t="s">
        <v>78</v>
      </c>
      <c r="B61" s="259"/>
      <c r="C61" s="260"/>
      <c r="D61" s="277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262"/>
      <c r="Q61" s="15"/>
      <c r="R61" s="277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263"/>
      <c r="AE61" s="16"/>
      <c r="AF61" s="261">
        <f t="shared" ref="AF61:AQ61" si="108">AF62+AF64</f>
        <v>118364</v>
      </c>
      <c r="AG61" s="261">
        <f t="shared" si="108"/>
        <v>173742</v>
      </c>
      <c r="AH61" s="261">
        <f t="shared" si="108"/>
        <v>73470</v>
      </c>
      <c r="AI61" s="261">
        <f t="shared" si="108"/>
        <v>87377</v>
      </c>
      <c r="AJ61" s="261">
        <f t="shared" si="108"/>
        <v>119657</v>
      </c>
      <c r="AK61" s="261">
        <f t="shared" si="108"/>
        <v>154747</v>
      </c>
      <c r="AL61" s="261">
        <f t="shared" si="108"/>
        <v>138073</v>
      </c>
      <c r="AM61" s="261">
        <f t="shared" si="108"/>
        <v>180773</v>
      </c>
      <c r="AN61" s="261">
        <f t="shared" si="108"/>
        <v>194598</v>
      </c>
      <c r="AO61" s="261">
        <f t="shared" si="108"/>
        <v>242931</v>
      </c>
      <c r="AP61" s="261">
        <f t="shared" si="108"/>
        <v>107346</v>
      </c>
      <c r="AQ61" s="261">
        <f t="shared" si="108"/>
        <v>87384</v>
      </c>
      <c r="AR61" s="14">
        <f t="shared" si="105"/>
        <v>1678462</v>
      </c>
      <c r="AS61" s="17"/>
      <c r="AT61" s="261">
        <f t="shared" ref="AT61:BE61" si="109">AT62+AT64</f>
        <v>155346</v>
      </c>
      <c r="AU61" s="261">
        <f t="shared" si="109"/>
        <v>123370</v>
      </c>
      <c r="AV61" s="261">
        <f t="shared" si="109"/>
        <v>144065</v>
      </c>
      <c r="AW61" s="261">
        <f t="shared" si="109"/>
        <v>127865</v>
      </c>
      <c r="AX61" s="261">
        <f t="shared" si="109"/>
        <v>123461</v>
      </c>
      <c r="AY61" s="261">
        <f t="shared" si="109"/>
        <v>121196</v>
      </c>
      <c r="AZ61" s="261">
        <f t="shared" si="109"/>
        <v>168029</v>
      </c>
      <c r="BA61" s="261">
        <f t="shared" si="109"/>
        <v>164268</v>
      </c>
      <c r="BB61" s="261">
        <f t="shared" si="109"/>
        <v>185112</v>
      </c>
      <c r="BC61" s="261">
        <f t="shared" si="109"/>
        <v>147235</v>
      </c>
      <c r="BD61" s="261">
        <f t="shared" si="109"/>
        <v>135608</v>
      </c>
      <c r="BE61" s="261">
        <f t="shared" si="109"/>
        <v>90194</v>
      </c>
      <c r="BF61" s="32">
        <f t="shared" si="80"/>
        <v>1685749</v>
      </c>
      <c r="BG61" s="35">
        <f t="shared" ref="BG61:BG62" si="110">BF61/AR61-1</f>
        <v>4.3414745165515356E-3</v>
      </c>
      <c r="BH61" s="261">
        <f>BH62+BH64</f>
        <v>144332</v>
      </c>
      <c r="BI61" s="261">
        <f t="shared" ref="BI61:BQ61" si="111">BI62+BI64</f>
        <v>128781</v>
      </c>
      <c r="BJ61" s="261">
        <f t="shared" si="111"/>
        <v>193129</v>
      </c>
      <c r="BK61" s="261">
        <f t="shared" si="111"/>
        <v>106092</v>
      </c>
      <c r="BL61" s="261">
        <f t="shared" si="111"/>
        <v>132638</v>
      </c>
      <c r="BM61" s="261">
        <f t="shared" si="111"/>
        <v>139193</v>
      </c>
      <c r="BN61" s="261">
        <f t="shared" si="111"/>
        <v>173703</v>
      </c>
      <c r="BO61" s="261">
        <f t="shared" si="111"/>
        <v>186902</v>
      </c>
      <c r="BP61" s="261">
        <f t="shared" si="111"/>
        <v>200686</v>
      </c>
      <c r="BQ61" s="261">
        <f t="shared" si="111"/>
        <v>191324</v>
      </c>
      <c r="BR61" s="14"/>
      <c r="BS61" s="14"/>
      <c r="BT61" s="14">
        <f t="shared" ref="BT61:BT66" si="112">SUM(BH61:BS61)</f>
        <v>1596780</v>
      </c>
      <c r="BU61" s="18"/>
      <c r="BV61" s="261"/>
      <c r="BW61" s="261"/>
      <c r="BX61" s="261"/>
      <c r="BY61" s="261"/>
      <c r="BZ61" s="14"/>
      <c r="CA61" s="14"/>
      <c r="CB61" s="14"/>
      <c r="CC61" s="14"/>
      <c r="CD61" s="14"/>
      <c r="CE61" s="14"/>
      <c r="CF61" s="14"/>
      <c r="CG61" s="14"/>
      <c r="CH61" s="14"/>
      <c r="CJ61" s="261">
        <f>CJ62+CJ64</f>
        <v>204853</v>
      </c>
      <c r="CK61" s="261">
        <f t="shared" ref="CK61:CM61" si="113">CK62+CK64</f>
        <v>0</v>
      </c>
      <c r="CL61" s="261">
        <f t="shared" si="113"/>
        <v>0</v>
      </c>
      <c r="CM61" s="261">
        <f t="shared" si="113"/>
        <v>0</v>
      </c>
      <c r="CN61" s="14"/>
      <c r="CO61" s="14"/>
      <c r="CP61" s="14"/>
      <c r="CQ61" s="14"/>
      <c r="CR61" s="14"/>
      <c r="CS61" s="14"/>
      <c r="CT61" s="14"/>
      <c r="CU61" s="14"/>
      <c r="CV61" s="14"/>
      <c r="CX61" s="261"/>
      <c r="CY61" s="261"/>
      <c r="CZ61" s="261"/>
      <c r="DA61" s="261"/>
      <c r="DB61" s="14"/>
      <c r="DC61" s="14"/>
      <c r="DD61" s="14"/>
      <c r="DE61" s="14"/>
      <c r="DF61" s="14"/>
      <c r="DG61" s="14"/>
      <c r="DH61" s="14"/>
      <c r="DI61" s="14"/>
      <c r="DJ61" s="14"/>
    </row>
    <row r="62" spans="1:114" ht="15.75" customHeight="1">
      <c r="A62" s="210"/>
      <c r="B62" s="210" t="s">
        <v>79</v>
      </c>
      <c r="C62" s="316"/>
      <c r="D62" s="313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315"/>
      <c r="AE62" s="23"/>
      <c r="AF62" s="316">
        <v>92193</v>
      </c>
      <c r="AG62" s="91">
        <v>152006</v>
      </c>
      <c r="AH62" s="91">
        <v>62734</v>
      </c>
      <c r="AI62" s="91">
        <v>71526</v>
      </c>
      <c r="AJ62" s="91">
        <v>89409</v>
      </c>
      <c r="AK62" s="91">
        <v>120675</v>
      </c>
      <c r="AL62" s="91">
        <v>100592</v>
      </c>
      <c r="AM62" s="91">
        <v>148128</v>
      </c>
      <c r="AN62" s="91">
        <v>164346</v>
      </c>
      <c r="AO62" s="91">
        <v>203437</v>
      </c>
      <c r="AP62" s="91">
        <v>64957</v>
      </c>
      <c r="AQ62" s="91">
        <v>31837</v>
      </c>
      <c r="AR62" s="92">
        <f t="shared" si="105"/>
        <v>1301840</v>
      </c>
      <c r="AS62" s="23"/>
      <c r="AT62" s="91">
        <v>125048</v>
      </c>
      <c r="AU62" s="91">
        <v>96006</v>
      </c>
      <c r="AV62" s="91">
        <v>111470</v>
      </c>
      <c r="AW62" s="91">
        <v>99222</v>
      </c>
      <c r="AX62" s="91">
        <v>91253</v>
      </c>
      <c r="AY62" s="91">
        <v>90595</v>
      </c>
      <c r="AZ62" s="91">
        <v>129147</v>
      </c>
      <c r="BA62" s="91">
        <v>133525</v>
      </c>
      <c r="BB62" s="91">
        <v>159291</v>
      </c>
      <c r="BC62" s="91">
        <v>115573</v>
      </c>
      <c r="BD62" s="91">
        <v>98386</v>
      </c>
      <c r="BE62" s="91">
        <v>36527</v>
      </c>
      <c r="BF62" s="91">
        <f t="shared" si="80"/>
        <v>1286043</v>
      </c>
      <c r="BG62" s="93">
        <f t="shared" si="110"/>
        <v>-1.2134363669882631E-2</v>
      </c>
      <c r="BH62" s="91">
        <v>110235</v>
      </c>
      <c r="BI62" s="91">
        <v>103047</v>
      </c>
      <c r="BJ62" s="91">
        <v>158855</v>
      </c>
      <c r="BK62" s="91">
        <v>77254</v>
      </c>
      <c r="BL62" s="91">
        <v>99853</v>
      </c>
      <c r="BM62" s="91">
        <v>100723</v>
      </c>
      <c r="BN62" s="91">
        <v>125338</v>
      </c>
      <c r="BO62" s="91">
        <v>153622</v>
      </c>
      <c r="BP62" s="91">
        <v>166483</v>
      </c>
      <c r="BQ62" s="91">
        <v>156140</v>
      </c>
      <c r="BR62" s="91">
        <v>111391</v>
      </c>
      <c r="BS62" s="91">
        <v>26768</v>
      </c>
      <c r="BT62" s="91">
        <f t="shared" si="112"/>
        <v>1389709</v>
      </c>
      <c r="BU62" s="28"/>
      <c r="BV62" s="91">
        <v>128446</v>
      </c>
      <c r="BW62" s="91">
        <v>119229</v>
      </c>
      <c r="BX62" s="91">
        <v>134860</v>
      </c>
      <c r="BY62" s="91">
        <v>111992</v>
      </c>
      <c r="BZ62" s="91">
        <v>102725</v>
      </c>
      <c r="CA62" s="91">
        <v>74472</v>
      </c>
      <c r="CB62" s="91">
        <v>164045</v>
      </c>
      <c r="CC62" s="91">
        <v>148167</v>
      </c>
      <c r="CD62" s="91">
        <v>189715</v>
      </c>
      <c r="CE62" s="91">
        <v>165488</v>
      </c>
      <c r="CF62" s="91">
        <v>103829</v>
      </c>
      <c r="CG62" s="91">
        <v>39967</v>
      </c>
      <c r="CH62" s="91">
        <f t="shared" ref="CH62:CH65" si="114">SUM(BV62:CG62)</f>
        <v>1482935</v>
      </c>
      <c r="CJ62" s="91">
        <v>167136</v>
      </c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91"/>
      <c r="CV62" s="91"/>
      <c r="CX62" s="91">
        <v>54245</v>
      </c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</row>
    <row r="63" spans="1:114" ht="15.75">
      <c r="A63" s="103"/>
      <c r="B63" s="329" t="s">
        <v>80</v>
      </c>
      <c r="C63" s="330"/>
      <c r="D63" s="331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332"/>
      <c r="Q63" s="105"/>
      <c r="R63" s="333"/>
      <c r="S63" s="333"/>
      <c r="T63" s="333"/>
      <c r="U63" s="333"/>
      <c r="V63" s="333"/>
      <c r="W63" s="333"/>
      <c r="X63" s="333"/>
      <c r="Y63" s="333"/>
      <c r="Z63" s="333"/>
      <c r="AA63" s="333"/>
      <c r="AB63" s="333"/>
      <c r="AC63" s="333"/>
      <c r="AD63" s="334"/>
      <c r="AE63" s="106"/>
      <c r="AF63" s="333">
        <f t="shared" ref="AF63:AQ63" si="115">AF62-AF31</f>
        <v>2047</v>
      </c>
      <c r="AG63" s="333">
        <f t="shared" si="115"/>
        <v>-3571</v>
      </c>
      <c r="AH63" s="333">
        <f t="shared" si="115"/>
        <v>-219</v>
      </c>
      <c r="AI63" s="333">
        <f t="shared" si="115"/>
        <v>-1735</v>
      </c>
      <c r="AJ63" s="333">
        <f t="shared" si="115"/>
        <v>-2447</v>
      </c>
      <c r="AK63" s="333">
        <f t="shared" si="115"/>
        <v>675</v>
      </c>
      <c r="AL63" s="333">
        <f t="shared" si="115"/>
        <v>-9703</v>
      </c>
      <c r="AM63" s="333">
        <f t="shared" si="115"/>
        <v>-52075</v>
      </c>
      <c r="AN63" s="333">
        <f t="shared" si="115"/>
        <v>-59487.333333333343</v>
      </c>
      <c r="AO63" s="333">
        <f t="shared" si="115"/>
        <v>-15063</v>
      </c>
      <c r="AP63" s="333">
        <f t="shared" si="115"/>
        <v>-23043</v>
      </c>
      <c r="AQ63" s="333">
        <f t="shared" si="115"/>
        <v>-11563</v>
      </c>
      <c r="AR63" s="107">
        <f t="shared" si="105"/>
        <v>-176184.33333333334</v>
      </c>
      <c r="AS63" s="106"/>
      <c r="AT63" s="333">
        <f t="shared" ref="AT63:BE63" si="116">AT62-AT31</f>
        <v>8451.75</v>
      </c>
      <c r="AU63" s="333">
        <f t="shared" si="116"/>
        <v>-37227.103448275855</v>
      </c>
      <c r="AV63" s="333">
        <f t="shared" si="116"/>
        <v>-6779.1379310344782</v>
      </c>
      <c r="AW63" s="333">
        <f t="shared" si="116"/>
        <v>-22342.137931034478</v>
      </c>
      <c r="AX63" s="333">
        <f t="shared" si="116"/>
        <v>4719.0344827586232</v>
      </c>
      <c r="AY63" s="333">
        <f t="shared" si="116"/>
        <v>-14182.777777777781</v>
      </c>
      <c r="AZ63" s="333">
        <f t="shared" si="116"/>
        <v>-6630.777777777781</v>
      </c>
      <c r="BA63" s="333">
        <f t="shared" si="116"/>
        <v>-77771.296296296292</v>
      </c>
      <c r="BB63" s="333">
        <f t="shared" si="116"/>
        <v>-51486.777777777781</v>
      </c>
      <c r="BC63" s="333">
        <f t="shared" si="116"/>
        <v>-99233.290755657828</v>
      </c>
      <c r="BD63" s="333">
        <f t="shared" si="116"/>
        <v>5175.413118527038</v>
      </c>
      <c r="BE63" s="333">
        <f t="shared" si="116"/>
        <v>5840.3870349060235</v>
      </c>
      <c r="BF63" s="108">
        <f t="shared" si="80"/>
        <v>-291466.71505944064</v>
      </c>
      <c r="BG63" s="106"/>
      <c r="BH63" s="333">
        <f t="shared" ref="BH63:BQ63" si="117">BH62-BH28</f>
        <v>-6365</v>
      </c>
      <c r="BI63" s="333">
        <f t="shared" si="117"/>
        <v>-8486.3333333333285</v>
      </c>
      <c r="BJ63" s="333">
        <f t="shared" si="117"/>
        <v>23180.925925925927</v>
      </c>
      <c r="BK63" s="333">
        <f t="shared" si="117"/>
        <v>-44486.740740740745</v>
      </c>
      <c r="BL63" s="333">
        <f t="shared" si="117"/>
        <v>5926.148148148146</v>
      </c>
      <c r="BM63" s="333">
        <f t="shared" si="117"/>
        <v>10043.740740740745</v>
      </c>
      <c r="BN63" s="333">
        <f t="shared" si="117"/>
        <v>-4917.555555555562</v>
      </c>
      <c r="BO63" s="333">
        <f t="shared" si="117"/>
        <v>3071.6218888889125</v>
      </c>
      <c r="BP63" s="333">
        <f t="shared" si="117"/>
        <v>4652.2504629629548</v>
      </c>
      <c r="BQ63" s="333">
        <f t="shared" si="117"/>
        <v>29010</v>
      </c>
      <c r="BR63" s="108"/>
      <c r="BS63" s="108"/>
      <c r="BT63" s="108">
        <f t="shared" si="112"/>
        <v>11629.05753703705</v>
      </c>
      <c r="BU63" s="28"/>
      <c r="BV63" s="333">
        <v>124435</v>
      </c>
      <c r="BW63" s="333">
        <v>117564</v>
      </c>
      <c r="BX63" s="333">
        <v>133262</v>
      </c>
      <c r="BY63" s="333">
        <v>110312</v>
      </c>
      <c r="BZ63" s="108">
        <v>101441</v>
      </c>
      <c r="CA63" s="108">
        <v>67535</v>
      </c>
      <c r="CB63" s="108">
        <v>155594</v>
      </c>
      <c r="CC63" s="108"/>
      <c r="CD63" s="108"/>
      <c r="CE63" s="108"/>
      <c r="CF63" s="108"/>
      <c r="CG63" s="108"/>
      <c r="CH63" s="108">
        <f t="shared" si="114"/>
        <v>810143</v>
      </c>
      <c r="CJ63" s="333">
        <v>159683</v>
      </c>
      <c r="CK63" s="333">
        <v>182683</v>
      </c>
      <c r="CL63" s="333">
        <v>137562</v>
      </c>
      <c r="CM63" s="333">
        <v>127922</v>
      </c>
      <c r="CN63" s="108"/>
      <c r="CO63" s="108"/>
      <c r="CP63" s="108"/>
      <c r="CQ63" s="108"/>
      <c r="CR63" s="108"/>
      <c r="CS63" s="108"/>
      <c r="CT63" s="108"/>
      <c r="CU63" s="108"/>
      <c r="CV63" s="108"/>
      <c r="CX63" s="333"/>
      <c r="CY63" s="333"/>
      <c r="CZ63" s="333"/>
      <c r="DA63" s="333"/>
      <c r="DB63" s="108"/>
      <c r="DC63" s="108"/>
      <c r="DD63" s="108"/>
      <c r="DE63" s="108"/>
      <c r="DF63" s="108"/>
      <c r="DG63" s="108"/>
      <c r="DH63" s="108"/>
      <c r="DI63" s="108"/>
      <c r="DJ63" s="108"/>
    </row>
    <row r="64" spans="1:114" ht="15.75" customHeight="1">
      <c r="A64" s="94"/>
      <c r="B64" s="336" t="s">
        <v>81</v>
      </c>
      <c r="C64" s="335"/>
      <c r="D64" s="313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314"/>
      <c r="Q64" s="90"/>
      <c r="R64" s="316"/>
      <c r="S64" s="31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5"/>
      <c r="AE64" s="23"/>
      <c r="AF64" s="316">
        <v>26171</v>
      </c>
      <c r="AG64" s="316">
        <v>21736</v>
      </c>
      <c r="AH64" s="316">
        <v>10736</v>
      </c>
      <c r="AI64" s="316">
        <v>15851</v>
      </c>
      <c r="AJ64" s="316">
        <v>30248</v>
      </c>
      <c r="AK64" s="316">
        <v>34072</v>
      </c>
      <c r="AL64" s="316">
        <v>37481</v>
      </c>
      <c r="AM64" s="91">
        <v>32645</v>
      </c>
      <c r="AN64" s="91">
        <v>30252</v>
      </c>
      <c r="AO64" s="91">
        <v>39494</v>
      </c>
      <c r="AP64" s="91">
        <v>42389</v>
      </c>
      <c r="AQ64" s="91">
        <v>55547</v>
      </c>
      <c r="AR64" s="92">
        <f t="shared" si="105"/>
        <v>376622</v>
      </c>
      <c r="AS64" s="23"/>
      <c r="AT64" s="91">
        <v>30298</v>
      </c>
      <c r="AU64" s="91">
        <v>27364</v>
      </c>
      <c r="AV64" s="91">
        <v>32595</v>
      </c>
      <c r="AW64" s="91">
        <v>28643</v>
      </c>
      <c r="AX64" s="91">
        <v>32208</v>
      </c>
      <c r="AY64" s="91">
        <v>30601</v>
      </c>
      <c r="AZ64" s="91">
        <v>38882</v>
      </c>
      <c r="BA64" s="91">
        <v>30743</v>
      </c>
      <c r="BB64" s="91">
        <f>24621+1200</f>
        <v>25821</v>
      </c>
      <c r="BC64" s="91">
        <v>31662</v>
      </c>
      <c r="BD64" s="91">
        <v>37222</v>
      </c>
      <c r="BE64" s="91">
        <v>53667</v>
      </c>
      <c r="BF64" s="91">
        <f t="shared" si="80"/>
        <v>399706</v>
      </c>
      <c r="BG64" s="93">
        <f>BF64/AR64-1</f>
        <v>6.1292224033646425E-2</v>
      </c>
      <c r="BH64" s="91">
        <v>34097</v>
      </c>
      <c r="BI64" s="91">
        <v>25734</v>
      </c>
      <c r="BJ64" s="91">
        <v>34274</v>
      </c>
      <c r="BK64" s="91">
        <v>28838</v>
      </c>
      <c r="BL64" s="91">
        <v>32785</v>
      </c>
      <c r="BM64" s="91">
        <v>38470</v>
      </c>
      <c r="BN64" s="91">
        <v>48365</v>
      </c>
      <c r="BO64" s="91">
        <v>33280</v>
      </c>
      <c r="BP64" s="91">
        <v>34203</v>
      </c>
      <c r="BQ64" s="91">
        <v>35184</v>
      </c>
      <c r="BR64" s="91">
        <v>34873</v>
      </c>
      <c r="BS64" s="91">
        <v>48960</v>
      </c>
      <c r="BT64" s="91">
        <f t="shared" si="112"/>
        <v>429063</v>
      </c>
      <c r="BU64" s="28"/>
      <c r="BV64" s="91">
        <v>38900</v>
      </c>
      <c r="BW64" s="91">
        <v>31376</v>
      </c>
      <c r="BX64" s="91">
        <v>29886</v>
      </c>
      <c r="BY64" s="91">
        <v>30671</v>
      </c>
      <c r="BZ64" s="91">
        <v>34553</v>
      </c>
      <c r="CA64" s="91">
        <v>36515</v>
      </c>
      <c r="CB64" s="91">
        <v>38915</v>
      </c>
      <c r="CC64" s="91">
        <v>34615</v>
      </c>
      <c r="CD64" s="91">
        <v>29617</v>
      </c>
      <c r="CE64" s="91">
        <v>34538</v>
      </c>
      <c r="CF64" s="91">
        <v>45914</v>
      </c>
      <c r="CG64" s="91">
        <v>60875</v>
      </c>
      <c r="CH64" s="91">
        <f t="shared" si="114"/>
        <v>446375</v>
      </c>
      <c r="CJ64" s="91">
        <v>37717</v>
      </c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X64" s="91">
        <v>22115</v>
      </c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</row>
    <row r="65" spans="1:114" ht="15.75">
      <c r="A65" s="103"/>
      <c r="B65" s="329" t="s">
        <v>82</v>
      </c>
      <c r="C65" s="330"/>
      <c r="D65" s="331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332"/>
      <c r="Q65" s="105"/>
      <c r="R65" s="333"/>
      <c r="S65" s="333"/>
      <c r="T65" s="333"/>
      <c r="U65" s="333"/>
      <c r="V65" s="333"/>
      <c r="W65" s="333"/>
      <c r="X65" s="333"/>
      <c r="Y65" s="333"/>
      <c r="Z65" s="333"/>
      <c r="AA65" s="333"/>
      <c r="AB65" s="333"/>
      <c r="AC65" s="333"/>
      <c r="AD65" s="334"/>
      <c r="AE65" s="106"/>
      <c r="AF65" s="333">
        <f t="shared" ref="AF65:AQ65" si="118">AF64-AF55</f>
        <v>-12329</v>
      </c>
      <c r="AG65" s="333">
        <f t="shared" si="118"/>
        <v>-664</v>
      </c>
      <c r="AH65" s="333">
        <f t="shared" si="118"/>
        <v>65</v>
      </c>
      <c r="AI65" s="333">
        <f t="shared" si="118"/>
        <v>-246</v>
      </c>
      <c r="AJ65" s="333">
        <f t="shared" si="118"/>
        <v>-30</v>
      </c>
      <c r="AK65" s="333">
        <f t="shared" si="118"/>
        <v>5512</v>
      </c>
      <c r="AL65" s="333">
        <f t="shared" si="118"/>
        <v>-4219</v>
      </c>
      <c r="AM65" s="333">
        <f t="shared" si="118"/>
        <v>-6055</v>
      </c>
      <c r="AN65" s="333">
        <f t="shared" si="118"/>
        <v>-7048</v>
      </c>
      <c r="AO65" s="333">
        <f t="shared" si="118"/>
        <v>2094</v>
      </c>
      <c r="AP65" s="333">
        <f t="shared" si="118"/>
        <v>1749</v>
      </c>
      <c r="AQ65" s="333">
        <f t="shared" si="118"/>
        <v>1107</v>
      </c>
      <c r="AR65" s="107">
        <f t="shared" si="105"/>
        <v>-20064</v>
      </c>
      <c r="AS65" s="106"/>
      <c r="AT65" s="333">
        <f t="shared" ref="AT65:BE65" si="119">AT64-AT55</f>
        <v>-5855</v>
      </c>
      <c r="AU65" s="333">
        <f t="shared" si="119"/>
        <v>-7925</v>
      </c>
      <c r="AV65" s="333">
        <f t="shared" si="119"/>
        <v>-3277</v>
      </c>
      <c r="AW65" s="333">
        <f t="shared" si="119"/>
        <v>-9388</v>
      </c>
      <c r="AX65" s="333">
        <f t="shared" si="119"/>
        <v>-1358</v>
      </c>
      <c r="AY65" s="333">
        <f t="shared" si="119"/>
        <v>-2965</v>
      </c>
      <c r="AZ65" s="333">
        <f t="shared" si="119"/>
        <v>7986</v>
      </c>
      <c r="BA65" s="333">
        <f t="shared" si="119"/>
        <v>-403</v>
      </c>
      <c r="BB65" s="333">
        <f t="shared" si="119"/>
        <v>-6809</v>
      </c>
      <c r="BC65" s="333">
        <f t="shared" si="119"/>
        <v>-6900</v>
      </c>
      <c r="BD65" s="333">
        <f t="shared" si="119"/>
        <v>-4123</v>
      </c>
      <c r="BE65" s="333">
        <f t="shared" si="119"/>
        <v>4404</v>
      </c>
      <c r="BF65" s="108">
        <f t="shared" si="80"/>
        <v>-36613</v>
      </c>
      <c r="BG65" s="106"/>
      <c r="BH65" s="333">
        <f t="shared" ref="BH65:BQ65" si="120">BH64-BH55</f>
        <v>-2056</v>
      </c>
      <c r="BI65" s="333">
        <f t="shared" si="120"/>
        <v>-9555</v>
      </c>
      <c r="BJ65" s="333">
        <f t="shared" si="120"/>
        <v>-1598</v>
      </c>
      <c r="BK65" s="333">
        <f t="shared" si="120"/>
        <v>-9193</v>
      </c>
      <c r="BL65" s="333">
        <f t="shared" si="120"/>
        <v>-5785</v>
      </c>
      <c r="BM65" s="333">
        <f t="shared" si="120"/>
        <v>-757</v>
      </c>
      <c r="BN65" s="333">
        <f t="shared" si="120"/>
        <v>7237</v>
      </c>
      <c r="BO65" s="333">
        <f t="shared" si="120"/>
        <v>-4911</v>
      </c>
      <c r="BP65" s="333">
        <f t="shared" si="120"/>
        <v>-3988</v>
      </c>
      <c r="BQ65" s="333">
        <f t="shared" si="120"/>
        <v>-5041</v>
      </c>
      <c r="BR65" s="108"/>
      <c r="BS65" s="108"/>
      <c r="BT65" s="108">
        <f t="shared" si="112"/>
        <v>-35647</v>
      </c>
      <c r="BU65" s="28"/>
      <c r="BV65" s="333">
        <v>27740</v>
      </c>
      <c r="BW65" s="333">
        <v>23272</v>
      </c>
      <c r="BX65" s="333">
        <v>24576</v>
      </c>
      <c r="BY65" s="108">
        <v>26006</v>
      </c>
      <c r="BZ65" s="108">
        <v>30640</v>
      </c>
      <c r="CA65" s="108">
        <v>30640</v>
      </c>
      <c r="CB65" s="108">
        <v>29618</v>
      </c>
      <c r="CC65" s="108">
        <v>29686</v>
      </c>
      <c r="CD65" s="108">
        <v>29993</v>
      </c>
      <c r="CE65" s="108">
        <v>31540</v>
      </c>
      <c r="CF65" s="108">
        <v>38086</v>
      </c>
      <c r="CG65" s="108">
        <v>54003</v>
      </c>
      <c r="CH65" s="108">
        <f t="shared" si="114"/>
        <v>375800</v>
      </c>
      <c r="CJ65" s="333">
        <f>BV65*1.03</f>
        <v>28572.2</v>
      </c>
      <c r="CK65" s="333">
        <f>BW65*1.03</f>
        <v>23970.16</v>
      </c>
      <c r="CL65" s="333">
        <f t="shared" ref="CL65:CU65" si="121">BX65*1.03</f>
        <v>25313.279999999999</v>
      </c>
      <c r="CM65" s="333">
        <f t="shared" si="121"/>
        <v>26786.18</v>
      </c>
      <c r="CN65" s="333">
        <f t="shared" si="121"/>
        <v>31559.200000000001</v>
      </c>
      <c r="CO65" s="333">
        <f t="shared" si="121"/>
        <v>31559.200000000001</v>
      </c>
      <c r="CP65" s="333">
        <f t="shared" si="121"/>
        <v>30506.54</v>
      </c>
      <c r="CQ65" s="333">
        <f t="shared" si="121"/>
        <v>30576.58</v>
      </c>
      <c r="CR65" s="333">
        <f t="shared" si="121"/>
        <v>30892.79</v>
      </c>
      <c r="CS65" s="333">
        <f t="shared" si="121"/>
        <v>32486.2</v>
      </c>
      <c r="CT65" s="333">
        <f t="shared" si="121"/>
        <v>39228.58</v>
      </c>
      <c r="CU65" s="333">
        <f t="shared" si="121"/>
        <v>55623.090000000004</v>
      </c>
      <c r="CV65" s="108">
        <f>SUM(CJ65:CU65)</f>
        <v>387074.00000000006</v>
      </c>
      <c r="CX65" s="333"/>
      <c r="CY65" s="333"/>
      <c r="CZ65" s="333"/>
      <c r="DA65" s="333"/>
      <c r="DB65" s="108"/>
      <c r="DC65" s="108"/>
      <c r="DD65" s="108"/>
      <c r="DE65" s="108"/>
      <c r="DF65" s="108"/>
      <c r="DG65" s="108"/>
      <c r="DH65" s="108"/>
      <c r="DI65" s="108"/>
      <c r="DJ65" s="108"/>
    </row>
    <row r="66" spans="1:114" ht="15.75">
      <c r="A66" s="103" t="s">
        <v>83</v>
      </c>
      <c r="B66" s="337" t="s">
        <v>84</v>
      </c>
      <c r="C66" s="330"/>
      <c r="D66" s="331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332"/>
      <c r="Q66" s="105"/>
      <c r="R66" s="333"/>
      <c r="S66" s="333"/>
      <c r="T66" s="333"/>
      <c r="U66" s="333"/>
      <c r="V66" s="333"/>
      <c r="W66" s="333"/>
      <c r="X66" s="333"/>
      <c r="Y66" s="333"/>
      <c r="Z66" s="333"/>
      <c r="AA66" s="333"/>
      <c r="AB66" s="333"/>
      <c r="AC66" s="333"/>
      <c r="AD66" s="334"/>
      <c r="AE66" s="106"/>
      <c r="AF66" s="333">
        <f>AF61-AF27</f>
        <v>-10282</v>
      </c>
      <c r="AG66" s="333">
        <f>AG61-AG27</f>
        <v>-4235</v>
      </c>
      <c r="AH66" s="333">
        <f>AH61-AH27</f>
        <v>-154</v>
      </c>
      <c r="AI66" s="333">
        <f>AI61-AI27</f>
        <v>-1981</v>
      </c>
      <c r="AJ66" s="333">
        <f>AJ61-AJ27</f>
        <v>-2477</v>
      </c>
      <c r="AK66" s="333">
        <f>AK61-AK27</f>
        <v>6187</v>
      </c>
      <c r="AL66" s="333">
        <f>AL61-AL27</f>
        <v>-13922</v>
      </c>
      <c r="AM66" s="333">
        <f>AM61-AM27</f>
        <v>-58130</v>
      </c>
      <c r="AN66" s="333">
        <f>AN61-AN27</f>
        <v>-66535.333333333343</v>
      </c>
      <c r="AO66" s="333">
        <f>AO61-AO27</f>
        <v>-12969</v>
      </c>
      <c r="AP66" s="333">
        <f>AP61-AP27</f>
        <v>-21294</v>
      </c>
      <c r="AQ66" s="333">
        <f>AQ61-AQ27</f>
        <v>-10456</v>
      </c>
      <c r="AR66" s="107">
        <f t="shared" si="105"/>
        <v>-196248.33333333334</v>
      </c>
      <c r="AS66" s="106"/>
      <c r="AT66" s="333">
        <f t="shared" ref="AT66:BE66" si="122">AT61-AT27</f>
        <v>2596.75</v>
      </c>
      <c r="AU66" s="333">
        <f t="shared" si="122"/>
        <v>-45152.103448275855</v>
      </c>
      <c r="AV66" s="333">
        <f t="shared" si="122"/>
        <v>-10056.137931034493</v>
      </c>
      <c r="AW66" s="333">
        <f t="shared" si="122"/>
        <v>-31730.137931034493</v>
      </c>
      <c r="AX66" s="333">
        <f t="shared" si="122"/>
        <v>3361.0344827586232</v>
      </c>
      <c r="AY66" s="333">
        <f t="shared" si="122"/>
        <v>-17147.777777777781</v>
      </c>
      <c r="AZ66" s="333">
        <f t="shared" si="122"/>
        <v>1355.222222222219</v>
      </c>
      <c r="BA66" s="333">
        <f t="shared" si="122"/>
        <v>-78174.296296296292</v>
      </c>
      <c r="BB66" s="333">
        <f t="shared" si="122"/>
        <v>-58295.777777777781</v>
      </c>
      <c r="BC66" s="333">
        <f t="shared" si="122"/>
        <v>-106133.29075565783</v>
      </c>
      <c r="BD66" s="333">
        <f t="shared" si="122"/>
        <v>1052.413118527038</v>
      </c>
      <c r="BE66" s="333">
        <f t="shared" si="122"/>
        <v>17507.387034906016</v>
      </c>
      <c r="BF66" s="108">
        <f t="shared" si="80"/>
        <v>-320816.71505944064</v>
      </c>
      <c r="BG66" s="106"/>
      <c r="BH66" s="333">
        <f t="shared" ref="BH66:BQ66" si="123">BH61-BH27</f>
        <v>-8421</v>
      </c>
      <c r="BI66" s="333">
        <f t="shared" si="123"/>
        <v>-18041.333333333314</v>
      </c>
      <c r="BJ66" s="333">
        <f t="shared" si="123"/>
        <v>21582.925925925927</v>
      </c>
      <c r="BK66" s="333">
        <f t="shared" si="123"/>
        <v>-53679.74074074073</v>
      </c>
      <c r="BL66" s="333">
        <f t="shared" si="123"/>
        <v>141.14814814814599</v>
      </c>
      <c r="BM66" s="333">
        <f t="shared" si="123"/>
        <v>9286.7407407407445</v>
      </c>
      <c r="BN66" s="333">
        <f t="shared" si="123"/>
        <v>2319.444444444438</v>
      </c>
      <c r="BO66" s="333">
        <f t="shared" si="123"/>
        <v>7351.6218888889125</v>
      </c>
      <c r="BP66" s="333">
        <f t="shared" si="123"/>
        <v>-1367.7495370370452</v>
      </c>
      <c r="BQ66" s="333">
        <f t="shared" si="123"/>
        <v>27459</v>
      </c>
      <c r="BR66" s="108"/>
      <c r="BS66" s="108"/>
      <c r="BT66" s="108">
        <f t="shared" si="112"/>
        <v>-13368.942462962921</v>
      </c>
      <c r="BU66" s="28"/>
      <c r="BV66" s="333"/>
      <c r="BW66" s="333"/>
      <c r="BX66" s="333"/>
      <c r="BY66" s="333"/>
      <c r="BZ66" s="108"/>
      <c r="CA66" s="108"/>
      <c r="CB66" s="108">
        <f>CB65+CB62</f>
        <v>193663</v>
      </c>
      <c r="CC66" s="108">
        <f t="shared" ref="CC66:CG66" si="124">CC65+CC62</f>
        <v>177853</v>
      </c>
      <c r="CD66" s="108">
        <f t="shared" si="124"/>
        <v>219708</v>
      </c>
      <c r="CE66" s="108">
        <f t="shared" si="124"/>
        <v>197028</v>
      </c>
      <c r="CF66" s="108">
        <f t="shared" si="124"/>
        <v>141915</v>
      </c>
      <c r="CG66" s="108">
        <f t="shared" si="124"/>
        <v>93970</v>
      </c>
      <c r="CH66" s="108"/>
      <c r="CJ66" s="333">
        <v>27785</v>
      </c>
      <c r="CK66" s="333">
        <v>23447</v>
      </c>
      <c r="CL66" s="333">
        <v>26944</v>
      </c>
      <c r="CM66" s="333"/>
      <c r="CN66" s="108"/>
      <c r="CO66" s="108"/>
      <c r="CP66" s="108"/>
      <c r="CQ66" s="108"/>
      <c r="CR66" s="108"/>
      <c r="CS66" s="108"/>
      <c r="CT66" s="108"/>
      <c r="CU66" s="108"/>
      <c r="CV66" s="108"/>
      <c r="CX66" s="333"/>
      <c r="CY66" s="333"/>
      <c r="CZ66" s="333"/>
      <c r="DA66" s="333"/>
      <c r="DB66" s="108"/>
      <c r="DC66" s="108"/>
      <c r="DD66" s="108"/>
      <c r="DE66" s="108"/>
      <c r="DF66" s="108"/>
      <c r="DG66" s="108"/>
      <c r="DH66" s="108"/>
      <c r="DI66" s="108"/>
      <c r="DJ66" s="108"/>
    </row>
    <row r="67" spans="1:114" ht="15.75">
      <c r="A67" s="103" t="s">
        <v>85</v>
      </c>
      <c r="B67" s="337"/>
      <c r="C67" s="330"/>
      <c r="D67" s="331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332"/>
      <c r="Q67" s="105"/>
      <c r="R67" s="333"/>
      <c r="S67" s="333"/>
      <c r="T67" s="333"/>
      <c r="U67" s="333"/>
      <c r="V67" s="333"/>
      <c r="W67" s="333"/>
      <c r="X67" s="333"/>
      <c r="Y67" s="333"/>
      <c r="Z67" s="333"/>
      <c r="AA67" s="333"/>
      <c r="AB67" s="333"/>
      <c r="AC67" s="333"/>
      <c r="AD67" s="334"/>
      <c r="AE67" s="106"/>
      <c r="AF67" s="333">
        <f>AF62-AF28</f>
        <v>92193</v>
      </c>
      <c r="AG67" s="333">
        <f>AG62-AG28</f>
        <v>152006</v>
      </c>
      <c r="AH67" s="333">
        <f>AH62-AH28</f>
        <v>62734</v>
      </c>
      <c r="AI67" s="333">
        <f>AI62-AI28</f>
        <v>71526</v>
      </c>
      <c r="AJ67" s="333">
        <f>AJ62-AJ28</f>
        <v>89409</v>
      </c>
      <c r="AK67" s="333">
        <f>AK62-AK28</f>
        <v>120675</v>
      </c>
      <c r="AL67" s="333">
        <f>AL62-AL28</f>
        <v>100592</v>
      </c>
      <c r="AM67" s="333">
        <f>AM62-AM28</f>
        <v>148128</v>
      </c>
      <c r="AN67" s="333">
        <f>AN62-AN28</f>
        <v>164346</v>
      </c>
      <c r="AO67" s="333">
        <f>AO62-AO28</f>
        <v>203437</v>
      </c>
      <c r="AP67" s="333">
        <f>AP62-AP28</f>
        <v>64957</v>
      </c>
      <c r="AQ67" s="333">
        <f>AQ62-AQ28</f>
        <v>31837</v>
      </c>
      <c r="AR67" s="107">
        <f t="shared" si="105"/>
        <v>1301840</v>
      </c>
      <c r="AS67" s="106"/>
      <c r="AT67" s="338">
        <f t="shared" ref="AT67:BE67" si="125">AT66/AT27</f>
        <v>1.7000083470131603E-2</v>
      </c>
      <c r="AU67" s="338">
        <f t="shared" si="125"/>
        <v>-0.26792985919579565</v>
      </c>
      <c r="AV67" s="338">
        <f t="shared" si="125"/>
        <v>-6.5248272015318062E-2</v>
      </c>
      <c r="AW67" s="338">
        <f t="shared" si="125"/>
        <v>-0.19881644480138216</v>
      </c>
      <c r="AX67" s="338">
        <f t="shared" si="125"/>
        <v>2.798530764170884E-2</v>
      </c>
      <c r="AY67" s="338">
        <f t="shared" si="125"/>
        <v>-0.12395048084722922</v>
      </c>
      <c r="AZ67" s="338">
        <f t="shared" si="125"/>
        <v>8.1309864112464342E-3</v>
      </c>
      <c r="BA67" s="338">
        <f t="shared" si="125"/>
        <v>-0.32244495902957893</v>
      </c>
      <c r="BB67" s="338">
        <f t="shared" si="125"/>
        <v>-0.23949841829212068</v>
      </c>
      <c r="BC67" s="338">
        <f t="shared" si="125"/>
        <v>-0.41888939787658819</v>
      </c>
      <c r="BD67" s="338">
        <f t="shared" si="125"/>
        <v>7.8214003811977375E-3</v>
      </c>
      <c r="BE67" s="338">
        <f t="shared" si="125"/>
        <v>0.24086123043473662</v>
      </c>
      <c r="BF67" s="109">
        <f>AVERAGE(AT67:BE67)</f>
        <v>-0.11124823530991597</v>
      </c>
      <c r="BG67" s="106"/>
      <c r="BH67" s="338">
        <f t="shared" ref="BH67:BQ67" si="126">BH66/BH27</f>
        <v>-5.512821352117471E-2</v>
      </c>
      <c r="BI67" s="338">
        <f t="shared" si="126"/>
        <v>-0.12287867195499311</v>
      </c>
      <c r="BJ67" s="338">
        <f t="shared" si="126"/>
        <v>0.12581416416796784</v>
      </c>
      <c r="BK67" s="338">
        <f t="shared" si="126"/>
        <v>-0.33597769224938256</v>
      </c>
      <c r="BL67" s="338">
        <f t="shared" si="126"/>
        <v>1.0652943536044719E-3</v>
      </c>
      <c r="BM67" s="338">
        <f t="shared" si="126"/>
        <v>7.1488016002422286E-2</v>
      </c>
      <c r="BN67" s="338">
        <f t="shared" si="126"/>
        <v>1.3533646427895287E-2</v>
      </c>
      <c r="BO67" s="338">
        <f t="shared" si="126"/>
        <v>4.0944619366602007E-2</v>
      </c>
      <c r="BP67" s="338">
        <f t="shared" si="126"/>
        <v>-6.7692361075750926E-3</v>
      </c>
      <c r="BQ67" s="338">
        <f t="shared" si="126"/>
        <v>0.16757086626186191</v>
      </c>
      <c r="BR67" s="109"/>
      <c r="BS67" s="109"/>
      <c r="BT67" s="338">
        <f>BT66/BT27</f>
        <v>-7.1185036907011742E-3</v>
      </c>
      <c r="BU67" s="54"/>
      <c r="BV67" s="338"/>
      <c r="BW67" s="338"/>
      <c r="BX67" s="338"/>
      <c r="BY67" s="338"/>
      <c r="BZ67" s="109"/>
      <c r="CA67" s="109"/>
      <c r="CB67" s="109"/>
      <c r="CC67" s="109"/>
      <c r="CD67" s="109"/>
      <c r="CE67" s="109"/>
      <c r="CF67" s="109"/>
      <c r="CG67" s="109"/>
      <c r="CH67" s="109"/>
      <c r="CJ67" s="338"/>
      <c r="CK67" s="338"/>
      <c r="CL67" s="338"/>
      <c r="CM67" s="338"/>
      <c r="CN67" s="109"/>
      <c r="CO67" s="109"/>
      <c r="CP67" s="109"/>
      <c r="CQ67" s="109"/>
      <c r="CR67" s="109"/>
      <c r="CS67" s="109"/>
      <c r="CT67" s="109"/>
      <c r="CU67" s="109"/>
      <c r="CV67" s="109"/>
      <c r="CX67" s="338"/>
      <c r="CY67" s="338"/>
      <c r="CZ67" s="338"/>
      <c r="DA67" s="338"/>
      <c r="DB67" s="109"/>
      <c r="DC67" s="109"/>
      <c r="DD67" s="109"/>
      <c r="DE67" s="109"/>
      <c r="DF67" s="109"/>
      <c r="DG67" s="109"/>
      <c r="DH67" s="109"/>
      <c r="DI67" s="109"/>
      <c r="DJ67" s="109"/>
    </row>
    <row r="68" spans="1:114" ht="14.25" customHeight="1">
      <c r="A68" s="55" t="s">
        <v>86</v>
      </c>
      <c r="B68" s="56"/>
      <c r="C68" s="280"/>
      <c r="D68" s="288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289"/>
      <c r="Q68" s="39"/>
      <c r="R68" s="288"/>
      <c r="S68" s="58"/>
      <c r="T68" s="58"/>
      <c r="U68" s="58"/>
      <c r="V68" s="58"/>
      <c r="W68" s="290"/>
      <c r="X68" s="290"/>
      <c r="Y68" s="290"/>
      <c r="Z68" s="290"/>
      <c r="AA68" s="290"/>
      <c r="AB68" s="290"/>
      <c r="AC68" s="290"/>
      <c r="AD68" s="291"/>
      <c r="AE68" s="59"/>
      <c r="AF68" s="292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9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9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60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</row>
    <row r="69" spans="1:114" ht="21" customHeight="1">
      <c r="A69" s="55"/>
      <c r="B69" s="56" t="s">
        <v>87</v>
      </c>
      <c r="C69" s="280"/>
      <c r="D69" s="288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289"/>
      <c r="Q69" s="39"/>
      <c r="R69" s="288"/>
      <c r="S69" s="58"/>
      <c r="T69" s="58"/>
      <c r="U69" s="58"/>
      <c r="V69" s="58"/>
      <c r="W69" s="290"/>
      <c r="X69" s="290"/>
      <c r="Y69" s="290"/>
      <c r="Z69" s="290"/>
      <c r="AA69" s="290"/>
      <c r="AB69" s="290"/>
      <c r="AC69" s="290"/>
      <c r="AD69" s="291"/>
      <c r="AE69" s="59"/>
      <c r="AF69" s="292"/>
      <c r="AG69" s="292"/>
      <c r="AH69" s="292"/>
      <c r="AI69" s="292"/>
      <c r="AJ69" s="292"/>
      <c r="AK69" s="292"/>
      <c r="AL69" s="292"/>
      <c r="AM69" s="292"/>
      <c r="AN69" s="292"/>
      <c r="AO69" s="292"/>
      <c r="AP69" s="292"/>
      <c r="AQ69" s="292"/>
      <c r="AR69" s="58"/>
      <c r="AS69" s="59"/>
      <c r="AT69" s="292"/>
      <c r="AU69" s="292"/>
      <c r="AV69" s="292"/>
      <c r="AW69" s="292"/>
      <c r="AX69" s="292"/>
      <c r="AY69" s="292"/>
      <c r="AZ69" s="292"/>
      <c r="BA69" s="292"/>
      <c r="BB69" s="292"/>
      <c r="BC69" s="292"/>
      <c r="BD69" s="292"/>
      <c r="BE69" s="292"/>
      <c r="BF69" s="58"/>
      <c r="BG69" s="59"/>
      <c r="BH69" s="292"/>
      <c r="BI69" s="292"/>
      <c r="BJ69" s="292"/>
      <c r="BK69" s="292"/>
      <c r="BL69" s="292"/>
      <c r="BM69" s="292"/>
      <c r="BN69" s="292"/>
      <c r="BO69" s="292"/>
      <c r="BP69" s="292"/>
      <c r="BQ69" s="292"/>
      <c r="BR69" s="292"/>
      <c r="BS69" s="292"/>
      <c r="BT69" s="292"/>
      <c r="BU69" s="60"/>
      <c r="BV69" s="400">
        <v>152642</v>
      </c>
      <c r="BW69" s="400">
        <v>141495</v>
      </c>
      <c r="BX69" s="400">
        <v>158268</v>
      </c>
      <c r="BY69" s="400">
        <v>135742</v>
      </c>
      <c r="BZ69" s="400">
        <v>130614</v>
      </c>
      <c r="CA69" s="400">
        <v>97296</v>
      </c>
      <c r="CB69" s="400">
        <v>180319</v>
      </c>
      <c r="CC69" s="400">
        <v>175137</v>
      </c>
      <c r="CD69" s="400">
        <v>216035</v>
      </c>
      <c r="CE69" s="400">
        <v>188049</v>
      </c>
      <c r="CF69" s="400">
        <v>139782</v>
      </c>
      <c r="CG69" s="400">
        <v>90604</v>
      </c>
      <c r="CH69" s="412">
        <f>SUM(BV69:CG69)</f>
        <v>1805983</v>
      </c>
      <c r="CJ69" s="400" t="s">
        <v>88</v>
      </c>
      <c r="CK69" s="400">
        <f t="shared" ref="CK69:CV69" si="127">BW69</f>
        <v>141495</v>
      </c>
      <c r="CL69" s="400">
        <f t="shared" si="127"/>
        <v>158268</v>
      </c>
      <c r="CM69" s="400">
        <f t="shared" si="127"/>
        <v>135742</v>
      </c>
      <c r="CN69" s="400">
        <f t="shared" si="127"/>
        <v>130614</v>
      </c>
      <c r="CO69" s="400">
        <f t="shared" si="127"/>
        <v>97296</v>
      </c>
      <c r="CP69" s="400">
        <f t="shared" si="127"/>
        <v>180319</v>
      </c>
      <c r="CQ69" s="400">
        <f t="shared" si="127"/>
        <v>175137</v>
      </c>
      <c r="CR69" s="400">
        <f t="shared" si="127"/>
        <v>216035</v>
      </c>
      <c r="CS69" s="400">
        <f>CS70</f>
        <v>229416.92</v>
      </c>
      <c r="CT69" s="400">
        <f t="shared" ref="CT69:CU69" si="128">CT70</f>
        <v>162785.09</v>
      </c>
      <c r="CU69" s="400">
        <f t="shared" si="128"/>
        <v>103183.82</v>
      </c>
      <c r="CV69" s="400">
        <f t="shared" si="127"/>
        <v>1805983</v>
      </c>
      <c r="CX69" s="400"/>
      <c r="CY69" s="400"/>
      <c r="CZ69" s="400"/>
      <c r="DA69" s="400"/>
      <c r="DB69" s="400"/>
      <c r="DC69" s="400"/>
      <c r="DD69" s="292"/>
      <c r="DE69" s="292"/>
      <c r="DF69" s="292"/>
      <c r="DG69" s="292"/>
      <c r="DH69" s="292"/>
      <c r="DI69" s="292"/>
      <c r="DJ69" s="292"/>
    </row>
    <row r="70" spans="1:114" s="414" customFormat="1" ht="22.5" customHeight="1">
      <c r="A70" s="401"/>
      <c r="B70" s="402" t="s">
        <v>89</v>
      </c>
      <c r="C70" s="403"/>
      <c r="D70" s="404"/>
      <c r="E70" s="405"/>
      <c r="F70" s="405"/>
      <c r="G70" s="405"/>
      <c r="H70" s="405"/>
      <c r="I70" s="405"/>
      <c r="J70" s="405"/>
      <c r="K70" s="405"/>
      <c r="L70" s="405"/>
      <c r="M70" s="405"/>
      <c r="N70" s="405"/>
      <c r="O70" s="405"/>
      <c r="P70" s="406"/>
      <c r="Q70" s="407"/>
      <c r="R70" s="404"/>
      <c r="S70" s="408"/>
      <c r="T70" s="408"/>
      <c r="U70" s="408"/>
      <c r="V70" s="408"/>
      <c r="W70" s="409"/>
      <c r="X70" s="409"/>
      <c r="Y70" s="409"/>
      <c r="Z70" s="409"/>
      <c r="AA70" s="409"/>
      <c r="AB70" s="409"/>
      <c r="AC70" s="409"/>
      <c r="AD70" s="410"/>
      <c r="AE70" s="411"/>
      <c r="AF70" s="412"/>
      <c r="AG70" s="412"/>
      <c r="AH70" s="412"/>
      <c r="AI70" s="412"/>
      <c r="AJ70" s="412"/>
      <c r="AK70" s="412"/>
      <c r="AL70" s="412"/>
      <c r="AM70" s="412"/>
      <c r="AN70" s="412"/>
      <c r="AO70" s="412"/>
      <c r="AP70" s="412"/>
      <c r="AQ70" s="412"/>
      <c r="AR70" s="408"/>
      <c r="AS70" s="411"/>
      <c r="AT70" s="412"/>
      <c r="AU70" s="412"/>
      <c r="AV70" s="412"/>
      <c r="AW70" s="412"/>
      <c r="AX70" s="412"/>
      <c r="AY70" s="412"/>
      <c r="AZ70" s="412"/>
      <c r="BA70" s="412"/>
      <c r="BB70" s="412"/>
      <c r="BC70" s="412"/>
      <c r="BD70" s="412"/>
      <c r="BE70" s="412"/>
      <c r="BF70" s="408"/>
      <c r="BG70" s="411"/>
      <c r="BH70" s="412"/>
      <c r="BI70" s="412"/>
      <c r="BJ70" s="412"/>
      <c r="BK70" s="412"/>
      <c r="BL70" s="412"/>
      <c r="BM70" s="412"/>
      <c r="BN70" s="412"/>
      <c r="BO70" s="412"/>
      <c r="BP70" s="412"/>
      <c r="BQ70" s="412"/>
      <c r="BR70" s="412"/>
      <c r="BS70" s="412"/>
      <c r="BT70" s="412"/>
      <c r="BU70" s="60"/>
      <c r="BV70" s="413">
        <f>BV27</f>
        <v>161157.867486095</v>
      </c>
      <c r="BW70" s="413">
        <f>BW27</f>
        <v>155966.83045180296</v>
      </c>
      <c r="BX70" s="413">
        <f t="shared" ref="BX70:CH70" si="129">BX27</f>
        <v>196111.53846153844</v>
      </c>
      <c r="BY70" s="413">
        <f t="shared" si="129"/>
        <v>159169.23076923078</v>
      </c>
      <c r="BZ70" s="413">
        <f t="shared" si="129"/>
        <v>151482.39341785663</v>
      </c>
      <c r="CA70" s="413">
        <f t="shared" si="129"/>
        <v>141442.12910096842</v>
      </c>
      <c r="CB70" s="413">
        <f t="shared" si="129"/>
        <v>176986.21444761599</v>
      </c>
      <c r="CC70" s="413">
        <f t="shared" si="129"/>
        <v>201301.08944885107</v>
      </c>
      <c r="CD70" s="413">
        <f t="shared" si="129"/>
        <v>212833.04013559342</v>
      </c>
      <c r="CE70" s="413">
        <f t="shared" si="129"/>
        <v>215922.30386211892</v>
      </c>
      <c r="CF70" s="413">
        <f t="shared" si="129"/>
        <v>171115.84223630186</v>
      </c>
      <c r="CG70" s="413">
        <f t="shared" si="129"/>
        <v>87483.816691710366</v>
      </c>
      <c r="CH70" s="412">
        <f>SUM(BV70:CG70)</f>
        <v>2030972.2965096838</v>
      </c>
      <c r="CI70"/>
      <c r="CJ70" s="413">
        <f>CJ27</f>
        <v>181422.94</v>
      </c>
      <c r="CK70" s="413">
        <f>CK27</f>
        <v>165852.66999999998</v>
      </c>
      <c r="CL70" s="413">
        <f t="shared" ref="CL70:CW70" si="130">CL27</f>
        <v>185796.68</v>
      </c>
      <c r="CM70" s="413">
        <f t="shared" si="130"/>
        <v>154708.18</v>
      </c>
      <c r="CN70" s="413">
        <f t="shared" si="130"/>
        <v>153801.95000000001</v>
      </c>
      <c r="CO70" s="413">
        <f t="shared" si="130"/>
        <v>120180.87999999999</v>
      </c>
      <c r="CP70" s="413">
        <f t="shared" si="130"/>
        <v>225720.09</v>
      </c>
      <c r="CQ70" s="413">
        <f t="shared" si="130"/>
        <v>206895.31</v>
      </c>
      <c r="CR70" s="413">
        <f t="shared" si="130"/>
        <v>256653.63999999998</v>
      </c>
      <c r="CS70" s="413">
        <f t="shared" si="130"/>
        <v>229416.92</v>
      </c>
      <c r="CT70" s="413">
        <f t="shared" si="130"/>
        <v>162785.09</v>
      </c>
      <c r="CU70" s="413">
        <f t="shared" si="130"/>
        <v>103183.82</v>
      </c>
      <c r="CV70" s="412">
        <f>SUM(CJ70:CU70)</f>
        <v>2146418.17</v>
      </c>
      <c r="CW70"/>
      <c r="CX70" s="413">
        <f>CX27</f>
        <v>190494.087</v>
      </c>
      <c r="CY70" s="413">
        <f t="shared" ref="CY70:DJ70" si="131">CY27</f>
        <v>174145.30349999998</v>
      </c>
      <c r="CZ70" s="413">
        <f t="shared" si="131"/>
        <v>195086.514</v>
      </c>
      <c r="DA70" s="413">
        <f t="shared" si="131"/>
        <v>162443.58900000001</v>
      </c>
      <c r="DB70" s="413">
        <f t="shared" si="131"/>
        <v>161492.04750000002</v>
      </c>
      <c r="DC70" s="413">
        <f t="shared" si="131"/>
        <v>126189.924</v>
      </c>
      <c r="DD70" s="413">
        <f t="shared" si="131"/>
        <v>237006.09450000001</v>
      </c>
      <c r="DE70" s="413">
        <f t="shared" si="131"/>
        <v>217240.07550000001</v>
      </c>
      <c r="DF70" s="413">
        <f t="shared" si="131"/>
        <v>269486.32199999999</v>
      </c>
      <c r="DG70" s="413">
        <f t="shared" si="131"/>
        <v>240887.76600000003</v>
      </c>
      <c r="DH70" s="413">
        <f t="shared" si="131"/>
        <v>170924.34450000001</v>
      </c>
      <c r="DI70" s="413">
        <f t="shared" si="131"/>
        <v>108343.01100000001</v>
      </c>
      <c r="DJ70" s="412">
        <f>SUM(CX70:DI70)</f>
        <v>2253739.0784999998</v>
      </c>
    </row>
    <row r="71" spans="1:114" s="594" customFormat="1" ht="15.75" customHeight="1" outlineLevel="1">
      <c r="A71" s="719">
        <v>7</v>
      </c>
      <c r="B71" s="720" t="s">
        <v>90</v>
      </c>
      <c r="C71" s="721"/>
      <c r="D71" s="722">
        <v>98048</v>
      </c>
      <c r="E71" s="723">
        <v>128688</v>
      </c>
      <c r="F71" s="723">
        <v>124704</v>
      </c>
      <c r="G71" s="723">
        <v>157500</v>
      </c>
      <c r="H71" s="723">
        <v>182600</v>
      </c>
      <c r="I71" s="723">
        <v>157700</v>
      </c>
      <c r="J71" s="723">
        <v>181700</v>
      </c>
      <c r="K71" s="723">
        <v>165900</v>
      </c>
      <c r="L71" s="723">
        <v>174300</v>
      </c>
      <c r="M71" s="723">
        <v>215800</v>
      </c>
      <c r="N71" s="723">
        <v>180000</v>
      </c>
      <c r="O71" s="723">
        <v>112500</v>
      </c>
      <c r="P71" s="724">
        <f t="shared" ref="P71:P72" si="132">SUM(D71:O71)</f>
        <v>1879440</v>
      </c>
      <c r="Q71" s="725"/>
      <c r="R71" s="722">
        <v>158400</v>
      </c>
      <c r="S71" s="726">
        <v>161000</v>
      </c>
      <c r="T71" s="726">
        <v>117800</v>
      </c>
      <c r="U71" s="726">
        <v>2000</v>
      </c>
      <c r="V71" s="726">
        <v>53800</v>
      </c>
      <c r="W71" s="726">
        <v>190600</v>
      </c>
      <c r="X71" s="726">
        <v>187900</v>
      </c>
      <c r="Y71" s="726">
        <v>196800</v>
      </c>
      <c r="Z71" s="726">
        <v>192300</v>
      </c>
      <c r="AA71" s="726">
        <v>182300</v>
      </c>
      <c r="AB71" s="726">
        <v>175000</v>
      </c>
      <c r="AC71" s="726">
        <v>134100</v>
      </c>
      <c r="AD71" s="727">
        <f>SUM(R71:AC71)</f>
        <v>1752000</v>
      </c>
      <c r="AE71" s="728"/>
      <c r="AF71" s="729">
        <f t="shared" ref="AF71:AL71" si="133">SUM(AF72,AF74)</f>
        <v>161400</v>
      </c>
      <c r="AG71" s="729">
        <f t="shared" si="133"/>
        <v>166000</v>
      </c>
      <c r="AH71" s="729">
        <f t="shared" si="133"/>
        <v>150471</v>
      </c>
      <c r="AI71" s="729">
        <f t="shared" si="133"/>
        <v>149040</v>
      </c>
      <c r="AJ71" s="729">
        <f t="shared" si="133"/>
        <v>196360</v>
      </c>
      <c r="AK71" s="729">
        <f t="shared" si="133"/>
        <v>163300</v>
      </c>
      <c r="AL71" s="729">
        <f t="shared" si="133"/>
        <v>190000</v>
      </c>
      <c r="AM71" s="729">
        <f t="shared" ref="AM71:AQ71" si="134">SUM(AM72,AM74,AM75)</f>
        <v>167000</v>
      </c>
      <c r="AN71" s="729">
        <f t="shared" si="134"/>
        <v>170500</v>
      </c>
      <c r="AO71" s="729">
        <f t="shared" si="134"/>
        <v>140000</v>
      </c>
      <c r="AP71" s="729">
        <f t="shared" si="134"/>
        <v>130000</v>
      </c>
      <c r="AQ71" s="729">
        <f t="shared" si="134"/>
        <v>100000</v>
      </c>
      <c r="AR71" s="730">
        <f t="shared" ref="AR71:AR72" si="135">SUM(AF71:AQ71)</f>
        <v>1884071</v>
      </c>
      <c r="AS71" s="728"/>
      <c r="AT71" s="729">
        <f t="shared" ref="AT71:BC71" si="136">SUM(AT72,AT74,AT75)</f>
        <v>133000</v>
      </c>
      <c r="AU71" s="729">
        <f t="shared" si="136"/>
        <v>125180</v>
      </c>
      <c r="AV71" s="729">
        <f t="shared" si="136"/>
        <v>117228</v>
      </c>
      <c r="AW71" s="729">
        <f t="shared" si="136"/>
        <v>127500</v>
      </c>
      <c r="AX71" s="729">
        <f t="shared" si="136"/>
        <v>140000</v>
      </c>
      <c r="AY71" s="729">
        <f t="shared" si="136"/>
        <v>158342.99999899999</v>
      </c>
      <c r="AZ71" s="729">
        <f t="shared" si="136"/>
        <v>152409</v>
      </c>
      <c r="BA71" s="729">
        <f t="shared" si="136"/>
        <v>173520</v>
      </c>
      <c r="BB71" s="729">
        <f t="shared" si="136"/>
        <v>165000</v>
      </c>
      <c r="BC71" s="729">
        <f t="shared" si="136"/>
        <v>157500</v>
      </c>
      <c r="BD71" s="729">
        <v>129431</v>
      </c>
      <c r="BE71" s="729">
        <v>61700</v>
      </c>
      <c r="BF71" s="726">
        <f t="shared" ref="BF71:BF72" si="137">SUM(AT71:BE71)</f>
        <v>1640810.999999</v>
      </c>
      <c r="BG71" s="728">
        <f>BF71-AR71</f>
        <v>-243260.00000100001</v>
      </c>
      <c r="BH71" s="731">
        <f>SUM(BH72,BH74,BH75)</f>
        <v>139760</v>
      </c>
      <c r="BI71" s="731">
        <f t="shared" ref="BI71:BP71" si="138">SUM(BI72,BI74,BI75)</f>
        <v>116580</v>
      </c>
      <c r="BJ71" s="731">
        <f t="shared" si="138"/>
        <v>148340</v>
      </c>
      <c r="BK71" s="731">
        <f t="shared" si="138"/>
        <v>112360</v>
      </c>
      <c r="BL71" s="731">
        <f t="shared" si="138"/>
        <v>108660</v>
      </c>
      <c r="BM71" s="731">
        <f t="shared" si="138"/>
        <v>153416</v>
      </c>
      <c r="BN71" s="731">
        <f t="shared" si="138"/>
        <v>137676</v>
      </c>
      <c r="BO71" s="731">
        <f t="shared" si="138"/>
        <v>160654</v>
      </c>
      <c r="BP71" s="731">
        <f t="shared" si="138"/>
        <v>157000</v>
      </c>
      <c r="BQ71" s="731">
        <v>156725</v>
      </c>
      <c r="BR71" s="731">
        <v>182069</v>
      </c>
      <c r="BS71" s="731">
        <f>BS72+BS75</f>
        <v>156420</v>
      </c>
      <c r="BT71" s="731">
        <f t="shared" ref="BT71:BT72" si="139">SUM(BH71:BS71)</f>
        <v>1729660</v>
      </c>
      <c r="BU71" s="732"/>
      <c r="BV71" s="599">
        <f t="shared" ref="BV71:BX71" si="140">BV7*BV73</f>
        <v>133000</v>
      </c>
      <c r="BW71" s="599">
        <f t="shared" si="140"/>
        <v>133000</v>
      </c>
      <c r="BX71" s="599">
        <f t="shared" si="140"/>
        <v>147000</v>
      </c>
      <c r="BY71" s="599">
        <f>BY7*BY73</f>
        <v>172800</v>
      </c>
      <c r="BZ71" s="599">
        <f>BZ7*BZ73</f>
        <v>165600</v>
      </c>
      <c r="CA71" s="599">
        <f>CA7*CA73</f>
        <v>158400</v>
      </c>
      <c r="CB71" s="599">
        <f>CB7*CB73</f>
        <v>180000</v>
      </c>
      <c r="CC71" s="599">
        <f t="shared" ref="CC71:CG71" si="141">CC7*CC73</f>
        <v>172800</v>
      </c>
      <c r="CD71" s="599">
        <f t="shared" si="141"/>
        <v>172800</v>
      </c>
      <c r="CE71" s="599">
        <f>CE7*CE73</f>
        <v>172800</v>
      </c>
      <c r="CF71" s="599">
        <f t="shared" si="141"/>
        <v>167200</v>
      </c>
      <c r="CG71" s="599">
        <f t="shared" si="141"/>
        <v>98800</v>
      </c>
      <c r="CH71" s="599">
        <f t="shared" ref="CH71:CH74" si="142">SUM(BV71:CG71)</f>
        <v>1874200</v>
      </c>
      <c r="CI71" s="599"/>
      <c r="CJ71" s="599">
        <f>CJ7*CJ73</f>
        <v>165000</v>
      </c>
      <c r="CK71" s="599">
        <f t="shared" ref="CK71:CT71" si="143">CK7*CK73</f>
        <v>188600</v>
      </c>
      <c r="CL71" s="599">
        <f>CL7*CL73</f>
        <v>171000</v>
      </c>
      <c r="CM71" s="599">
        <f>CM7*CM73</f>
        <v>10000</v>
      </c>
      <c r="CN71" s="599">
        <f>CN7*CN73</f>
        <v>199500</v>
      </c>
      <c r="CO71" s="599">
        <f t="shared" si="143"/>
        <v>204250</v>
      </c>
      <c r="CP71" s="599">
        <f>CP7*CP73</f>
        <v>228000</v>
      </c>
      <c r="CQ71" s="599">
        <f t="shared" si="143"/>
        <v>202500</v>
      </c>
      <c r="CR71" s="599">
        <f t="shared" si="143"/>
        <v>193500</v>
      </c>
      <c r="CS71" s="599">
        <f t="shared" si="143"/>
        <v>211500</v>
      </c>
      <c r="CT71" s="599">
        <f t="shared" si="143"/>
        <v>171000</v>
      </c>
      <c r="CU71" s="599">
        <f>CU7*CU73</f>
        <v>117000</v>
      </c>
      <c r="CV71" s="731">
        <f>SUM(CJ71:CU71)</f>
        <v>2061850</v>
      </c>
      <c r="CW71" s="599"/>
      <c r="CX71" s="599">
        <f>CX7*CX73</f>
        <v>180000</v>
      </c>
      <c r="CY71" s="599">
        <f t="shared" ref="CY71:DI71" si="144">CY7*CY73</f>
        <v>135000</v>
      </c>
      <c r="CZ71" s="599">
        <f>CZ7*CZ73</f>
        <v>171000</v>
      </c>
      <c r="DA71" s="599">
        <f>DA7*DA73</f>
        <v>180000</v>
      </c>
      <c r="DB71" s="599">
        <f t="shared" ref="DB71:DJ71" si="145">DB7*DB73</f>
        <v>189000</v>
      </c>
      <c r="DC71" s="599">
        <f t="shared" si="145"/>
        <v>180000</v>
      </c>
      <c r="DD71" s="599">
        <f>DD7*DD73</f>
        <v>207000</v>
      </c>
      <c r="DE71" s="599">
        <f t="shared" ref="DE71:DJ71" si="146">DE7*DE73</f>
        <v>189000</v>
      </c>
      <c r="DF71" s="599">
        <f t="shared" si="146"/>
        <v>180000</v>
      </c>
      <c r="DG71" s="599">
        <f t="shared" si="146"/>
        <v>207000</v>
      </c>
      <c r="DH71" s="599">
        <f t="shared" si="146"/>
        <v>171000</v>
      </c>
      <c r="DI71" s="599">
        <f>DI7*DI73</f>
        <v>117000</v>
      </c>
      <c r="DJ71" s="731">
        <f>SUM(CX71:DI71)</f>
        <v>2106000</v>
      </c>
    </row>
    <row r="72" spans="1:114" ht="15.75" outlineLevel="1">
      <c r="A72" s="94"/>
      <c r="B72" s="210" t="s">
        <v>91</v>
      </c>
      <c r="C72" s="335"/>
      <c r="D72" s="313">
        <v>98048</v>
      </c>
      <c r="E72" s="89">
        <v>128688</v>
      </c>
      <c r="F72" s="89">
        <v>124704</v>
      </c>
      <c r="G72" s="89">
        <v>157500</v>
      </c>
      <c r="H72" s="89">
        <v>182600</v>
      </c>
      <c r="I72" s="89">
        <v>157700</v>
      </c>
      <c r="J72" s="89">
        <v>181700</v>
      </c>
      <c r="K72" s="89">
        <v>165900</v>
      </c>
      <c r="L72" s="89">
        <v>174300</v>
      </c>
      <c r="M72" s="89">
        <v>215800</v>
      </c>
      <c r="N72" s="89">
        <v>180000</v>
      </c>
      <c r="O72" s="89">
        <v>112500</v>
      </c>
      <c r="P72" s="314">
        <f t="shared" si="132"/>
        <v>1879440</v>
      </c>
      <c r="Q72" s="90"/>
      <c r="R72" s="313">
        <v>158400</v>
      </c>
      <c r="S72" s="91">
        <v>146000</v>
      </c>
      <c r="T72" s="91">
        <v>102200</v>
      </c>
      <c r="U72" s="91">
        <v>0</v>
      </c>
      <c r="V72" s="91">
        <v>43800</v>
      </c>
      <c r="W72" s="91">
        <v>160600</v>
      </c>
      <c r="X72" s="91">
        <v>167900</v>
      </c>
      <c r="Y72" s="91">
        <v>153300</v>
      </c>
      <c r="Z72" s="91">
        <v>153300</v>
      </c>
      <c r="AA72" s="91">
        <v>153300</v>
      </c>
      <c r="AB72" s="91">
        <v>146000</v>
      </c>
      <c r="AC72" s="91">
        <v>124100</v>
      </c>
      <c r="AD72" s="315"/>
      <c r="AE72" s="23"/>
      <c r="AF72" s="316">
        <v>131400</v>
      </c>
      <c r="AG72" s="91">
        <v>146000</v>
      </c>
      <c r="AH72" s="91">
        <v>125511</v>
      </c>
      <c r="AI72" s="91">
        <v>135000</v>
      </c>
      <c r="AJ72" s="91">
        <v>177320</v>
      </c>
      <c r="AK72" s="91">
        <v>151300</v>
      </c>
      <c r="AL72" s="91">
        <v>176000</v>
      </c>
      <c r="AM72" s="91">
        <f>AM73*AM7</f>
        <v>154000</v>
      </c>
      <c r="AN72" s="91">
        <f>AN73*AN7</f>
        <v>157500</v>
      </c>
      <c r="AO72" s="91">
        <f>AO73*AO7</f>
        <v>140000</v>
      </c>
      <c r="AP72" s="91">
        <f>AP73*AP7</f>
        <v>130000</v>
      </c>
      <c r="AQ72" s="91">
        <f>AQ73*AQ7+16000</f>
        <v>100000</v>
      </c>
      <c r="AR72" s="92">
        <f t="shared" si="135"/>
        <v>1724031</v>
      </c>
      <c r="AS72" s="23"/>
      <c r="AT72" s="91">
        <f>AT73*AT7</f>
        <v>133000</v>
      </c>
      <c r="AU72" s="91">
        <f>125180</f>
        <v>125180</v>
      </c>
      <c r="AV72" s="91">
        <f>AV73*AV7+7428</f>
        <v>117228</v>
      </c>
      <c r="AW72" s="91">
        <f>AW73*AW7</f>
        <v>123500</v>
      </c>
      <c r="AX72" s="91">
        <f>AX73*AX7</f>
        <v>132000</v>
      </c>
      <c r="AY72" s="91">
        <f>AY73*AY7</f>
        <v>153342.99999899999</v>
      </c>
      <c r="AZ72" s="91">
        <v>142409</v>
      </c>
      <c r="BA72" s="91">
        <v>163520</v>
      </c>
      <c r="BB72" s="91">
        <f>BB73*BB7</f>
        <v>165000</v>
      </c>
      <c r="BC72" s="91">
        <f>BC73*BC7</f>
        <v>157500</v>
      </c>
      <c r="BD72" s="316">
        <v>129431</v>
      </c>
      <c r="BE72" s="316">
        <v>61700</v>
      </c>
      <c r="BF72" s="91">
        <f t="shared" si="137"/>
        <v>1603810.999999</v>
      </c>
      <c r="BG72" s="27">
        <f>BF72+BF75-AR72-AR75</f>
        <v>-113040.00000100001</v>
      </c>
      <c r="BH72" s="91">
        <v>136760</v>
      </c>
      <c r="BI72" s="91">
        <v>116580</v>
      </c>
      <c r="BJ72" s="91">
        <v>148340</v>
      </c>
      <c r="BK72" s="91">
        <v>112360</v>
      </c>
      <c r="BL72" s="91">
        <v>108660</v>
      </c>
      <c r="BM72" s="91">
        <v>153416</v>
      </c>
      <c r="BN72" s="91">
        <v>137676</v>
      </c>
      <c r="BO72" s="91">
        <v>150654</v>
      </c>
      <c r="BP72" s="91">
        <f>7100*BP7</f>
        <v>142000</v>
      </c>
      <c r="BQ72" s="91">
        <f t="shared" ref="BQ72:BR72" si="147">BQ71-BQ75</f>
        <v>136725</v>
      </c>
      <c r="BR72" s="91">
        <f t="shared" si="147"/>
        <v>167069</v>
      </c>
      <c r="BS72" s="91">
        <v>124020</v>
      </c>
      <c r="BT72" s="91">
        <f t="shared" si="139"/>
        <v>1634260</v>
      </c>
      <c r="BU72" s="28"/>
      <c r="BV72" s="397">
        <f>BV73*BV74-24551</f>
        <v>108449</v>
      </c>
      <c r="BW72" s="397">
        <f>BW73*BW74</f>
        <v>133000</v>
      </c>
      <c r="BX72" s="397">
        <f t="shared" ref="BX72:CG72" si="148">BX73*BX74</f>
        <v>147000</v>
      </c>
      <c r="BY72" s="397">
        <f>BY73*BY74</f>
        <v>172800</v>
      </c>
      <c r="BZ72" s="397">
        <f>BZ73*BZ74</f>
        <v>165600</v>
      </c>
      <c r="CA72" s="397">
        <f>CA73*CA74</f>
        <v>158400</v>
      </c>
      <c r="CB72" s="397">
        <f>CB73*CB74</f>
        <v>180000</v>
      </c>
      <c r="CC72" s="397">
        <f t="shared" si="148"/>
        <v>172800</v>
      </c>
      <c r="CD72" s="397">
        <f t="shared" si="148"/>
        <v>172800</v>
      </c>
      <c r="CE72" s="397">
        <f t="shared" si="148"/>
        <v>172800</v>
      </c>
      <c r="CF72" s="397">
        <f t="shared" si="148"/>
        <v>167200</v>
      </c>
      <c r="CG72" s="397">
        <f t="shared" si="148"/>
        <v>98800</v>
      </c>
      <c r="CH72" s="91">
        <f t="shared" si="142"/>
        <v>1849649</v>
      </c>
      <c r="CI72" s="395">
        <f>(CH72-BT78)/BT78</f>
        <v>0.29391868731173409</v>
      </c>
      <c r="CJ72" s="397">
        <f>CJ71</f>
        <v>165000</v>
      </c>
      <c r="CK72" s="397">
        <f t="shared" ref="CK72:CO72" si="149">CK71</f>
        <v>188600</v>
      </c>
      <c r="CL72" s="397">
        <f t="shared" si="149"/>
        <v>171000</v>
      </c>
      <c r="CM72" s="397">
        <f t="shared" si="149"/>
        <v>10000</v>
      </c>
      <c r="CN72" s="397">
        <f t="shared" si="149"/>
        <v>199500</v>
      </c>
      <c r="CO72" s="397">
        <f t="shared" si="149"/>
        <v>204250</v>
      </c>
      <c r="CP72" s="397">
        <v>168760</v>
      </c>
      <c r="CQ72" s="397">
        <v>194340</v>
      </c>
      <c r="CR72" s="397">
        <v>208000</v>
      </c>
      <c r="CS72" s="397">
        <v>201780</v>
      </c>
      <c r="CT72" s="397">
        <v>154060</v>
      </c>
      <c r="CU72" s="397">
        <v>96720</v>
      </c>
      <c r="CV72" s="91">
        <v>1949109</v>
      </c>
      <c r="CW72" s="395">
        <f>(CV72-CH78)/CH78</f>
        <v>0.11040221771781523</v>
      </c>
      <c r="CX72" s="397">
        <f>CX71</f>
        <v>180000</v>
      </c>
      <c r="CY72" s="397">
        <f t="shared" ref="CY72:DC72" si="150">CY71</f>
        <v>135000</v>
      </c>
      <c r="CZ72" s="397">
        <f t="shared" si="150"/>
        <v>171000</v>
      </c>
      <c r="DA72" s="397">
        <f t="shared" si="150"/>
        <v>180000</v>
      </c>
      <c r="DB72" s="397">
        <f t="shared" si="150"/>
        <v>189000</v>
      </c>
      <c r="DC72" s="397">
        <f t="shared" si="150"/>
        <v>180000</v>
      </c>
      <c r="DD72" s="397">
        <v>168760</v>
      </c>
      <c r="DE72" s="397">
        <v>194340</v>
      </c>
      <c r="DF72" s="397">
        <v>208000</v>
      </c>
      <c r="DG72" s="397">
        <v>201780</v>
      </c>
      <c r="DH72" s="397">
        <v>154060</v>
      </c>
      <c r="DI72" s="397">
        <v>96720</v>
      </c>
      <c r="DJ72" s="91">
        <v>1949109</v>
      </c>
    </row>
    <row r="73" spans="1:114" ht="15.75" customHeight="1" outlineLevel="1">
      <c r="A73" s="94"/>
      <c r="B73" s="210" t="s">
        <v>92</v>
      </c>
      <c r="C73" s="335"/>
      <c r="D73" s="313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314"/>
      <c r="Q73" s="90"/>
      <c r="R73" s="316">
        <f t="shared" ref="R73:AC73" si="151">R72/R7</f>
        <v>7200</v>
      </c>
      <c r="S73" s="316">
        <f t="shared" si="151"/>
        <v>7300</v>
      </c>
      <c r="T73" s="316">
        <f t="shared" si="151"/>
        <v>7300</v>
      </c>
      <c r="U73" s="316">
        <f t="shared" si="151"/>
        <v>0</v>
      </c>
      <c r="V73" s="316">
        <f t="shared" si="151"/>
        <v>3650</v>
      </c>
      <c r="W73" s="316">
        <f t="shared" si="151"/>
        <v>7300</v>
      </c>
      <c r="X73" s="316">
        <f t="shared" si="151"/>
        <v>7300</v>
      </c>
      <c r="Y73" s="316">
        <f t="shared" si="151"/>
        <v>7300</v>
      </c>
      <c r="Z73" s="316">
        <f t="shared" si="151"/>
        <v>7300</v>
      </c>
      <c r="AA73" s="316">
        <f t="shared" si="151"/>
        <v>7300</v>
      </c>
      <c r="AB73" s="316">
        <f t="shared" si="151"/>
        <v>7300</v>
      </c>
      <c r="AC73" s="316">
        <f t="shared" si="151"/>
        <v>7300</v>
      </c>
      <c r="AD73" s="315"/>
      <c r="AE73" s="23"/>
      <c r="AF73" s="316">
        <f t="shared" ref="AF73:AL73" si="152">AF72/AF7</f>
        <v>7300</v>
      </c>
      <c r="AG73" s="316">
        <f t="shared" si="152"/>
        <v>7300</v>
      </c>
      <c r="AH73" s="316">
        <f t="shared" si="152"/>
        <v>6275.55</v>
      </c>
      <c r="AI73" s="316">
        <f t="shared" si="152"/>
        <v>6750</v>
      </c>
      <c r="AJ73" s="316">
        <f t="shared" si="152"/>
        <v>8060</v>
      </c>
      <c r="AK73" s="316">
        <f t="shared" si="152"/>
        <v>7565</v>
      </c>
      <c r="AL73" s="316">
        <f t="shared" si="152"/>
        <v>8000</v>
      </c>
      <c r="AM73" s="91">
        <v>7000</v>
      </c>
      <c r="AN73" s="91">
        <v>7500</v>
      </c>
      <c r="AO73" s="91">
        <v>7000</v>
      </c>
      <c r="AP73" s="91">
        <v>6500</v>
      </c>
      <c r="AQ73" s="91">
        <v>7000</v>
      </c>
      <c r="AR73" s="92">
        <f>AVERAGE(AF73:AQ73)</f>
        <v>7187.5458333333336</v>
      </c>
      <c r="AS73" s="23"/>
      <c r="AT73" s="91">
        <v>7000</v>
      </c>
      <c r="AU73" s="91">
        <f>AU72/AU7</f>
        <v>6588.4210526315792</v>
      </c>
      <c r="AV73" s="91">
        <v>6100</v>
      </c>
      <c r="AW73" s="91">
        <v>6500</v>
      </c>
      <c r="AX73" s="91">
        <v>6000</v>
      </c>
      <c r="AY73" s="91">
        <v>7302.0476189999999</v>
      </c>
      <c r="AZ73" s="91">
        <v>7000</v>
      </c>
      <c r="BA73" s="91">
        <f>BA72/BA7</f>
        <v>7432.727272727273</v>
      </c>
      <c r="BB73" s="91">
        <v>7500</v>
      </c>
      <c r="BC73" s="91">
        <v>7500</v>
      </c>
      <c r="BD73" s="91">
        <f>BD72/BD7</f>
        <v>6471.55</v>
      </c>
      <c r="BE73" s="91">
        <f>BE72/BE7</f>
        <v>6170</v>
      </c>
      <c r="BF73" s="91">
        <f>AVERAGE(AT73:BE73)</f>
        <v>6797.0621620299053</v>
      </c>
      <c r="BG73" s="27"/>
      <c r="BH73" s="91">
        <f t="shared" ref="BH73:BS73" si="153">BH72/BH7</f>
        <v>6838</v>
      </c>
      <c r="BI73" s="91">
        <f t="shared" si="153"/>
        <v>6857.6470588235297</v>
      </c>
      <c r="BJ73" s="91">
        <f t="shared" si="153"/>
        <v>6449.565217391304</v>
      </c>
      <c r="BK73" s="91">
        <f t="shared" si="153"/>
        <v>6242.2222222222226</v>
      </c>
      <c r="BL73" s="91">
        <f t="shared" si="153"/>
        <v>4939.090909090909</v>
      </c>
      <c r="BM73" s="91">
        <f t="shared" si="153"/>
        <v>6670.260869565217</v>
      </c>
      <c r="BN73" s="91">
        <f t="shared" si="153"/>
        <v>6556</v>
      </c>
      <c r="BO73" s="91">
        <f t="shared" si="153"/>
        <v>7174</v>
      </c>
      <c r="BP73" s="91">
        <f t="shared" si="153"/>
        <v>7100</v>
      </c>
      <c r="BQ73" s="91">
        <f t="shared" si="153"/>
        <v>6510.7142857142853</v>
      </c>
      <c r="BR73" s="91">
        <f t="shared" si="153"/>
        <v>8353.4500000000007</v>
      </c>
      <c r="BS73" s="91">
        <f t="shared" si="153"/>
        <v>8858.5714285714294</v>
      </c>
      <c r="BT73" s="91">
        <f>AVERAGE(BH73:BS73)</f>
        <v>6879.1268326149084</v>
      </c>
      <c r="BU73" s="28"/>
      <c r="BV73" s="91">
        <v>7000</v>
      </c>
      <c r="BW73" s="91">
        <v>7000</v>
      </c>
      <c r="BX73" s="91">
        <v>7000</v>
      </c>
      <c r="BY73" s="91">
        <v>7200</v>
      </c>
      <c r="BZ73" s="91">
        <v>7200</v>
      </c>
      <c r="CA73" s="91">
        <v>7200</v>
      </c>
      <c r="CB73" s="91">
        <v>7200</v>
      </c>
      <c r="CC73" s="91">
        <f t="shared" ref="CC73" si="154">CB73</f>
        <v>7200</v>
      </c>
      <c r="CD73" s="91">
        <v>7200</v>
      </c>
      <c r="CE73" s="91">
        <v>7200</v>
      </c>
      <c r="CF73" s="91">
        <v>7600</v>
      </c>
      <c r="CG73" s="91">
        <v>7600</v>
      </c>
      <c r="CH73" s="91"/>
      <c r="CI73" s="596"/>
      <c r="CJ73" s="91">
        <v>7500</v>
      </c>
      <c r="CK73" s="91">
        <v>8200</v>
      </c>
      <c r="CL73" s="91">
        <v>9000</v>
      </c>
      <c r="CM73" s="91">
        <v>10000</v>
      </c>
      <c r="CN73" s="91">
        <v>9500</v>
      </c>
      <c r="CO73" s="91">
        <v>9500</v>
      </c>
      <c r="CP73" s="91">
        <v>9500</v>
      </c>
      <c r="CQ73" s="91">
        <v>9000</v>
      </c>
      <c r="CR73" s="91">
        <f t="shared" ref="CO73:CU73" si="155">CQ73</f>
        <v>9000</v>
      </c>
      <c r="CS73" s="91">
        <f t="shared" si="155"/>
        <v>9000</v>
      </c>
      <c r="CT73" s="91">
        <f t="shared" si="155"/>
        <v>9000</v>
      </c>
      <c r="CU73" s="91">
        <f t="shared" si="155"/>
        <v>9000</v>
      </c>
      <c r="CV73" s="91"/>
      <c r="CW73" s="596"/>
      <c r="CX73" s="91">
        <f>CU73</f>
        <v>9000</v>
      </c>
      <c r="CY73" s="91">
        <f>CX73</f>
        <v>9000</v>
      </c>
      <c r="CZ73" s="91">
        <f t="shared" ref="CZ73:DI73" si="156">CY73</f>
        <v>9000</v>
      </c>
      <c r="DA73" s="91">
        <f t="shared" si="156"/>
        <v>9000</v>
      </c>
      <c r="DB73" s="91">
        <f t="shared" si="156"/>
        <v>9000</v>
      </c>
      <c r="DC73" s="91">
        <f t="shared" si="156"/>
        <v>9000</v>
      </c>
      <c r="DD73" s="91">
        <f t="shared" si="156"/>
        <v>9000</v>
      </c>
      <c r="DE73" s="91">
        <f t="shared" si="156"/>
        <v>9000</v>
      </c>
      <c r="DF73" s="91">
        <f t="shared" si="156"/>
        <v>9000</v>
      </c>
      <c r="DG73" s="91">
        <f t="shared" si="156"/>
        <v>9000</v>
      </c>
      <c r="DH73" s="91">
        <f t="shared" si="156"/>
        <v>9000</v>
      </c>
      <c r="DI73" s="91">
        <f t="shared" si="156"/>
        <v>9000</v>
      </c>
      <c r="DJ73" s="91"/>
    </row>
    <row r="74" spans="1:114" ht="15.75" customHeight="1" outlineLevel="1">
      <c r="A74" s="94"/>
      <c r="B74" s="210" t="s">
        <v>93</v>
      </c>
      <c r="C74" s="335"/>
      <c r="D74" s="313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314"/>
      <c r="Q74" s="90"/>
      <c r="R74" s="313"/>
      <c r="S74" s="91">
        <v>15000</v>
      </c>
      <c r="T74" s="91">
        <v>15600</v>
      </c>
      <c r="U74" s="91">
        <v>2000</v>
      </c>
      <c r="V74" s="91">
        <v>10000</v>
      </c>
      <c r="W74" s="91">
        <v>30000</v>
      </c>
      <c r="X74" s="91">
        <v>20000</v>
      </c>
      <c r="Y74" s="91">
        <v>30000</v>
      </c>
      <c r="Z74" s="91">
        <v>30000</v>
      </c>
      <c r="AA74" s="91">
        <v>20000</v>
      </c>
      <c r="AB74" s="91">
        <v>20000</v>
      </c>
      <c r="AC74" s="91">
        <v>10000</v>
      </c>
      <c r="AD74" s="315"/>
      <c r="AE74" s="23"/>
      <c r="AF74" s="316">
        <v>30000</v>
      </c>
      <c r="AG74" s="91">
        <v>20000</v>
      </c>
      <c r="AH74" s="91">
        <v>24960</v>
      </c>
      <c r="AI74" s="91">
        <v>14040</v>
      </c>
      <c r="AJ74" s="91">
        <v>19040</v>
      </c>
      <c r="AK74" s="91">
        <v>12000</v>
      </c>
      <c r="AL74" s="91">
        <v>14000</v>
      </c>
      <c r="AM74" s="91">
        <v>13000</v>
      </c>
      <c r="AN74" s="91">
        <v>13000</v>
      </c>
      <c r="AO74" s="91">
        <v>0</v>
      </c>
      <c r="AP74" s="91">
        <v>0</v>
      </c>
      <c r="AQ74" s="91">
        <v>0</v>
      </c>
      <c r="AR74" s="92">
        <f t="shared" ref="AR74:AR75" si="157">SUM(AF74:AQ74)</f>
        <v>160040</v>
      </c>
      <c r="AS74" s="23"/>
      <c r="AT74" s="91">
        <v>0</v>
      </c>
      <c r="AU74" s="91">
        <v>0</v>
      </c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>
        <f t="shared" ref="BF74:BF75" si="158">SUM(AT74:BE74)</f>
        <v>0</v>
      </c>
      <c r="BG74" s="27">
        <f>BF74-AR74</f>
        <v>-160040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>
        <f t="shared" ref="BT74" si="159">SUM(BH74:BS74)</f>
        <v>0</v>
      </c>
      <c r="BU74" s="28"/>
      <c r="BV74" s="399">
        <f t="shared" ref="BV74:BZ74" si="160">BV7</f>
        <v>19</v>
      </c>
      <c r="BW74" s="399">
        <f t="shared" si="160"/>
        <v>19</v>
      </c>
      <c r="BX74" s="399">
        <f t="shared" si="160"/>
        <v>21</v>
      </c>
      <c r="BY74" s="399">
        <f t="shared" si="160"/>
        <v>24</v>
      </c>
      <c r="BZ74" s="399">
        <f t="shared" si="160"/>
        <v>23</v>
      </c>
      <c r="CA74" s="399">
        <f>CA7</f>
        <v>22</v>
      </c>
      <c r="CB74" s="399">
        <f t="shared" ref="CB74:CG74" si="161">CB7</f>
        <v>25</v>
      </c>
      <c r="CC74" s="399">
        <f t="shared" si="161"/>
        <v>24</v>
      </c>
      <c r="CD74" s="399">
        <f t="shared" si="161"/>
        <v>24</v>
      </c>
      <c r="CE74" s="399">
        <f t="shared" si="161"/>
        <v>24</v>
      </c>
      <c r="CF74" s="399">
        <f t="shared" si="161"/>
        <v>22</v>
      </c>
      <c r="CG74" s="399">
        <f t="shared" si="161"/>
        <v>13</v>
      </c>
      <c r="CH74" s="91">
        <f t="shared" ref="CH74" si="162">SUM(BV74:CG74)</f>
        <v>260</v>
      </c>
      <c r="CJ74" s="597">
        <f>CJ7</f>
        <v>22</v>
      </c>
      <c r="CK74" s="597">
        <f t="shared" ref="CK74:CO74" si="163">CK7</f>
        <v>23</v>
      </c>
      <c r="CL74" s="597">
        <f t="shared" si="163"/>
        <v>19</v>
      </c>
      <c r="CM74" s="597">
        <f t="shared" si="163"/>
        <v>1</v>
      </c>
      <c r="CN74" s="597">
        <f t="shared" si="163"/>
        <v>21</v>
      </c>
      <c r="CO74" s="597">
        <f t="shared" si="163"/>
        <v>21.5</v>
      </c>
      <c r="CP74" s="91"/>
      <c r="CQ74" s="91"/>
      <c r="CR74" s="91"/>
      <c r="CS74" s="91"/>
      <c r="CT74" s="91"/>
      <c r="CU74" s="91"/>
      <c r="CV74" s="91">
        <v>131</v>
      </c>
      <c r="CX74" s="597">
        <f>CX7</f>
        <v>20</v>
      </c>
      <c r="CY74" s="597">
        <f t="shared" ref="CY74:DC74" si="164">CY7</f>
        <v>15</v>
      </c>
      <c r="CZ74" s="597">
        <f t="shared" si="164"/>
        <v>19</v>
      </c>
      <c r="DA74" s="597">
        <f t="shared" si="164"/>
        <v>20</v>
      </c>
      <c r="DB74" s="597">
        <f t="shared" si="164"/>
        <v>21</v>
      </c>
      <c r="DC74" s="597">
        <f t="shared" si="164"/>
        <v>20</v>
      </c>
      <c r="DD74" s="91"/>
      <c r="DE74" s="91"/>
      <c r="DF74" s="91"/>
      <c r="DG74" s="91"/>
      <c r="DH74" s="91"/>
      <c r="DI74" s="91"/>
      <c r="DJ74" s="91">
        <v>131</v>
      </c>
    </row>
    <row r="75" spans="1:114" ht="15.75" customHeight="1" outlineLevel="1">
      <c r="A75" s="94"/>
      <c r="B75" s="210" t="s">
        <v>94</v>
      </c>
      <c r="C75" s="335"/>
      <c r="D75" s="313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314"/>
      <c r="Q75" s="90"/>
      <c r="R75" s="313"/>
      <c r="S75" s="91"/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13500</v>
      </c>
      <c r="Z75" s="91">
        <v>9000</v>
      </c>
      <c r="AA75" s="91">
        <v>9000</v>
      </c>
      <c r="AB75" s="91">
        <v>9000</v>
      </c>
      <c r="AC75" s="91">
        <v>0</v>
      </c>
      <c r="AD75" s="315"/>
      <c r="AE75" s="23"/>
      <c r="AF75" s="91">
        <v>13500</v>
      </c>
      <c r="AG75" s="91">
        <v>13500</v>
      </c>
      <c r="AH75" s="91">
        <v>2820</v>
      </c>
      <c r="AI75" s="91">
        <v>0</v>
      </c>
      <c r="AJ75" s="91">
        <v>0</v>
      </c>
      <c r="AK75" s="91">
        <v>0</v>
      </c>
      <c r="AL75" s="91">
        <v>0</v>
      </c>
      <c r="AM75" s="91"/>
      <c r="AN75" s="91"/>
      <c r="AO75" s="91"/>
      <c r="AP75" s="91"/>
      <c r="AQ75" s="91"/>
      <c r="AR75" s="92">
        <f t="shared" si="157"/>
        <v>29820</v>
      </c>
      <c r="AS75" s="23"/>
      <c r="AT75" s="91"/>
      <c r="AU75" s="91"/>
      <c r="AV75" s="91"/>
      <c r="AW75" s="91">
        <v>4000</v>
      </c>
      <c r="AX75" s="91">
        <v>8000</v>
      </c>
      <c r="AY75" s="91">
        <v>5000</v>
      </c>
      <c r="AZ75" s="91">
        <v>10000</v>
      </c>
      <c r="BA75" s="91">
        <v>10000</v>
      </c>
      <c r="BB75" s="91">
        <v>0</v>
      </c>
      <c r="BC75" s="91">
        <v>0</v>
      </c>
      <c r="BD75" s="91">
        <v>0</v>
      </c>
      <c r="BE75" s="91"/>
      <c r="BF75" s="91">
        <f t="shared" si="158"/>
        <v>37000</v>
      </c>
      <c r="BG75" s="27"/>
      <c r="BH75" s="91">
        <v>3000</v>
      </c>
      <c r="BI75" s="91"/>
      <c r="BJ75" s="91"/>
      <c r="BK75" s="91"/>
      <c r="BL75" s="91"/>
      <c r="BM75" s="91"/>
      <c r="BN75" s="91"/>
      <c r="BO75" s="91">
        <v>10000</v>
      </c>
      <c r="BP75" s="91">
        <v>15000</v>
      </c>
      <c r="BQ75" s="91">
        <v>20000</v>
      </c>
      <c r="BR75" s="91">
        <v>15000</v>
      </c>
      <c r="BS75" s="91">
        <f>7200*9/2</f>
        <v>32400</v>
      </c>
      <c r="BT75" s="91">
        <f>SUM(BH75:BS75)</f>
        <v>95400</v>
      </c>
      <c r="BU75" s="28"/>
      <c r="BV75" s="91">
        <f>BV78-BV71</f>
        <v>21584</v>
      </c>
      <c r="BW75" s="91">
        <f t="shared" ref="BW75:CG75" si="165">BW78-BW71</f>
        <v>18963</v>
      </c>
      <c r="BX75" s="91">
        <f t="shared" si="165"/>
        <v>-2354</v>
      </c>
      <c r="BY75" s="91">
        <f t="shared" si="165"/>
        <v>5998</v>
      </c>
      <c r="BZ75" s="91">
        <f t="shared" si="165"/>
        <v>-13737</v>
      </c>
      <c r="CA75" s="91">
        <f t="shared" si="165"/>
        <v>-6090</v>
      </c>
      <c r="CB75" s="91">
        <f t="shared" si="165"/>
        <v>-2176</v>
      </c>
      <c r="CC75" s="91">
        <f t="shared" si="165"/>
        <v>-17344</v>
      </c>
      <c r="CD75" s="91">
        <f t="shared" si="165"/>
        <v>-13369</v>
      </c>
      <c r="CE75" s="91">
        <f t="shared" si="165"/>
        <v>793</v>
      </c>
      <c r="CF75" s="91">
        <f t="shared" si="165"/>
        <v>-12350</v>
      </c>
      <c r="CG75" s="91">
        <f t="shared" si="165"/>
        <v>-98800</v>
      </c>
      <c r="CH75" s="92">
        <f>SUM(CD75:CG75)</f>
        <v>-123726</v>
      </c>
      <c r="CJ75" s="91">
        <f>BV78</f>
        <v>154584</v>
      </c>
      <c r="CK75" s="91">
        <f t="shared" ref="CK75:CO75" si="166">BW78</f>
        <v>151963</v>
      </c>
      <c r="CL75" s="91">
        <f>BX78</f>
        <v>144646</v>
      </c>
      <c r="CM75" s="91">
        <f t="shared" si="166"/>
        <v>178798</v>
      </c>
      <c r="CN75" s="91">
        <f t="shared" si="166"/>
        <v>151863</v>
      </c>
      <c r="CO75" s="91">
        <f t="shared" si="166"/>
        <v>152310</v>
      </c>
      <c r="CP75" s="91"/>
      <c r="CQ75" s="91"/>
      <c r="CR75" s="91"/>
      <c r="CS75" s="91"/>
      <c r="CT75" s="91"/>
      <c r="CU75" s="91"/>
      <c r="CV75" s="91">
        <v>127800</v>
      </c>
      <c r="CX75" s="91">
        <f>CJ78</f>
        <v>0</v>
      </c>
      <c r="CY75" s="91">
        <f t="shared" ref="CY75:DC75" si="167">CK78</f>
        <v>0</v>
      </c>
      <c r="CZ75" s="91">
        <f t="shared" si="167"/>
        <v>175111</v>
      </c>
      <c r="DA75" s="91">
        <f t="shared" si="167"/>
        <v>0</v>
      </c>
      <c r="DB75" s="91">
        <f t="shared" si="167"/>
        <v>0</v>
      </c>
      <c r="DC75" s="91">
        <f t="shared" si="167"/>
        <v>0</v>
      </c>
      <c r="DD75" s="91"/>
      <c r="DE75" s="91"/>
      <c r="DF75" s="91"/>
      <c r="DG75" s="91"/>
      <c r="DH75" s="91"/>
      <c r="DI75" s="91"/>
      <c r="DJ75" s="91">
        <v>127800</v>
      </c>
    </row>
    <row r="76" spans="1:114" ht="15.75" customHeight="1" outlineLevel="1">
      <c r="A76" s="94"/>
      <c r="B76" s="210" t="s">
        <v>95</v>
      </c>
      <c r="C76" s="335"/>
      <c r="D76" s="313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314"/>
      <c r="Q76" s="90"/>
      <c r="R76" s="313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315"/>
      <c r="AE76" s="23"/>
      <c r="AF76" s="91"/>
      <c r="AG76" s="91"/>
      <c r="AH76" s="91"/>
      <c r="AI76" s="91"/>
      <c r="AJ76" s="91"/>
      <c r="AK76" s="91"/>
      <c r="AL76" s="91"/>
      <c r="AM76" s="91"/>
      <c r="AN76" s="91"/>
      <c r="AO76" s="91">
        <f t="shared" ref="AO76:AQ76" si="168">AO71*9.68</f>
        <v>1355200</v>
      </c>
      <c r="AP76" s="91">
        <f t="shared" si="168"/>
        <v>1258400</v>
      </c>
      <c r="AQ76" s="91">
        <f t="shared" si="168"/>
        <v>968000</v>
      </c>
      <c r="AR76" s="92"/>
      <c r="AS76" s="23"/>
      <c r="AT76" s="91">
        <f t="shared" ref="AT76:BF76" si="169">AT71*9.68</f>
        <v>1287440</v>
      </c>
      <c r="AU76" s="91">
        <f t="shared" si="169"/>
        <v>1211742.3999999999</v>
      </c>
      <c r="AV76" s="91">
        <f t="shared" si="169"/>
        <v>1134767.04</v>
      </c>
      <c r="AW76" s="91">
        <f t="shared" si="169"/>
        <v>1234200</v>
      </c>
      <c r="AX76" s="91">
        <f t="shared" si="169"/>
        <v>1355200</v>
      </c>
      <c r="AY76" s="91">
        <f t="shared" si="169"/>
        <v>1532760.2399903198</v>
      </c>
      <c r="AZ76" s="91">
        <f t="shared" si="169"/>
        <v>1475319.1199999999</v>
      </c>
      <c r="BA76" s="91">
        <f t="shared" si="169"/>
        <v>1679673.5999999999</v>
      </c>
      <c r="BB76" s="91">
        <f t="shared" si="169"/>
        <v>1597200</v>
      </c>
      <c r="BC76" s="91">
        <f t="shared" si="169"/>
        <v>1524600</v>
      </c>
      <c r="BD76" s="91">
        <f t="shared" si="169"/>
        <v>1252892.08</v>
      </c>
      <c r="BE76" s="91">
        <f t="shared" si="169"/>
        <v>597256</v>
      </c>
      <c r="BF76" s="91">
        <f t="shared" si="169"/>
        <v>15883050.47999032</v>
      </c>
      <c r="BG76" s="27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28"/>
      <c r="BV76" s="91"/>
      <c r="BW76" s="91"/>
      <c r="BX76" s="91"/>
      <c r="BY76" s="91"/>
      <c r="BZ76" s="91"/>
      <c r="CA76" s="91"/>
      <c r="CB76" s="91"/>
      <c r="CC76" s="91"/>
      <c r="CD76" s="91" t="s">
        <v>96</v>
      </c>
      <c r="CE76" s="91"/>
      <c r="CF76" s="601" t="s">
        <v>97</v>
      </c>
      <c r="CG76" s="91"/>
      <c r="CH76" s="91"/>
      <c r="CJ76" s="91"/>
      <c r="CK76" s="91"/>
      <c r="CL76" s="91"/>
      <c r="CM76" s="91">
        <v>61884.012959999985</v>
      </c>
      <c r="CN76" s="91">
        <f>CM76</f>
        <v>61884.012959999985</v>
      </c>
      <c r="CO76" s="91">
        <f t="shared" ref="CO76:CU76" si="170">CN76</f>
        <v>61884.012959999985</v>
      </c>
      <c r="CP76" s="91">
        <f t="shared" si="170"/>
        <v>61884.012959999985</v>
      </c>
      <c r="CQ76" s="91">
        <f t="shared" si="170"/>
        <v>61884.012959999985</v>
      </c>
      <c r="CR76" s="91">
        <f t="shared" si="170"/>
        <v>61884.012959999985</v>
      </c>
      <c r="CS76" s="91">
        <f t="shared" si="170"/>
        <v>61884.012959999985</v>
      </c>
      <c r="CT76" s="91">
        <f t="shared" si="170"/>
        <v>61884.012959999985</v>
      </c>
      <c r="CU76" s="91">
        <f t="shared" si="170"/>
        <v>61884.012959999985</v>
      </c>
      <c r="CV76" s="91"/>
      <c r="CX76" s="91"/>
      <c r="CY76" s="91"/>
      <c r="CZ76" s="91"/>
      <c r="DA76" s="91"/>
      <c r="DB76" s="91"/>
      <c r="DC76" s="91"/>
      <c r="DD76" s="91"/>
      <c r="DE76" s="91"/>
      <c r="DF76" s="91"/>
      <c r="DG76" s="91"/>
      <c r="DH76" s="91"/>
      <c r="DI76" s="91"/>
      <c r="DJ76" s="91"/>
    </row>
    <row r="77" spans="1:114" ht="15.75" customHeight="1" outlineLevel="1">
      <c r="A77" s="94"/>
      <c r="B77" s="210" t="s">
        <v>98</v>
      </c>
      <c r="C77" s="335"/>
      <c r="D77" s="313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314"/>
      <c r="Q77" s="90"/>
      <c r="R77" s="313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315"/>
      <c r="AE77" s="23"/>
      <c r="AF77" s="316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2"/>
      <c r="AS77" s="23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27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28"/>
      <c r="BV77" s="91"/>
      <c r="BW77" s="91"/>
      <c r="BX77" s="91"/>
      <c r="BY77" s="91"/>
      <c r="BZ77" s="91"/>
      <c r="CA77" s="91"/>
      <c r="CB77" s="91"/>
      <c r="CC77" s="91"/>
      <c r="CD77" s="91"/>
      <c r="CE77" s="91"/>
      <c r="CF77" s="601"/>
      <c r="CG77" s="91"/>
      <c r="CH77" s="91"/>
      <c r="CJ77" s="91"/>
      <c r="CK77" s="91"/>
      <c r="CL77" s="91"/>
      <c r="CM77" s="91">
        <f>CM76*CM7</f>
        <v>61884.012959999985</v>
      </c>
      <c r="CN77" s="91">
        <f t="shared" ref="CN77:CU77" si="171">CN76*CN7</f>
        <v>1299564.2721599997</v>
      </c>
      <c r="CO77" s="91">
        <f t="shared" si="171"/>
        <v>1330506.2786399997</v>
      </c>
      <c r="CP77" s="91">
        <f t="shared" si="171"/>
        <v>1485216.3110399996</v>
      </c>
      <c r="CQ77" s="91">
        <f t="shared" si="171"/>
        <v>1392390.2915999996</v>
      </c>
      <c r="CR77" s="91">
        <f t="shared" si="171"/>
        <v>1330506.2786399997</v>
      </c>
      <c r="CS77" s="91">
        <f t="shared" si="171"/>
        <v>1454274.3045599996</v>
      </c>
      <c r="CT77" s="91">
        <f t="shared" si="171"/>
        <v>1175796.2462399998</v>
      </c>
      <c r="CU77" s="91">
        <f t="shared" si="171"/>
        <v>804492.16847999976</v>
      </c>
      <c r="CV77" s="91"/>
      <c r="CX77" s="91"/>
      <c r="CY77" s="91"/>
      <c r="CZ77" s="91"/>
      <c r="DA77" s="91"/>
      <c r="DB77" s="91"/>
      <c r="DC77" s="91"/>
      <c r="DD77" s="91"/>
      <c r="DE77" s="91"/>
      <c r="DF77" s="91"/>
      <c r="DG77" s="91"/>
      <c r="DH77" s="91"/>
      <c r="DI77" s="91"/>
      <c r="DJ77" s="91"/>
    </row>
    <row r="78" spans="1:114">
      <c r="A78" s="110" t="s">
        <v>99</v>
      </c>
      <c r="B78" s="340" t="s">
        <v>100</v>
      </c>
      <c r="C78" s="341"/>
      <c r="D78" s="342">
        <v>95972</v>
      </c>
      <c r="E78" s="111">
        <v>130805</v>
      </c>
      <c r="F78" s="111">
        <v>121914</v>
      </c>
      <c r="G78" s="111">
        <v>165455</v>
      </c>
      <c r="H78" s="111">
        <v>192013</v>
      </c>
      <c r="I78" s="111">
        <v>167281</v>
      </c>
      <c r="J78" s="111">
        <v>181409</v>
      </c>
      <c r="K78" s="111">
        <v>163138</v>
      </c>
      <c r="L78" s="111">
        <v>169051</v>
      </c>
      <c r="M78" s="111">
        <v>183254</v>
      </c>
      <c r="N78" s="111"/>
      <c r="O78" s="111"/>
      <c r="P78" s="343">
        <f>SUM(D78:O78)</f>
        <v>1570292</v>
      </c>
      <c r="Q78" s="84"/>
      <c r="R78" s="342">
        <v>149582</v>
      </c>
      <c r="S78" s="112">
        <v>152735</v>
      </c>
      <c r="T78" s="112">
        <v>107681</v>
      </c>
      <c r="U78" s="112">
        <v>2974</v>
      </c>
      <c r="V78" s="112">
        <v>32639</v>
      </c>
      <c r="W78" s="112">
        <v>153121</v>
      </c>
      <c r="X78" s="112">
        <v>198635</v>
      </c>
      <c r="Y78" s="112">
        <v>160489</v>
      </c>
      <c r="Z78" s="112">
        <v>160893</v>
      </c>
      <c r="AA78" s="112">
        <v>180999</v>
      </c>
      <c r="AB78" s="112">
        <v>167265</v>
      </c>
      <c r="AC78" s="112">
        <v>135424</v>
      </c>
      <c r="AD78" s="344">
        <f>SUM(R78:AC78)</f>
        <v>1602437</v>
      </c>
      <c r="AE78" s="113"/>
      <c r="AF78" s="345">
        <v>145616</v>
      </c>
      <c r="AG78" s="112">
        <v>168450</v>
      </c>
      <c r="AH78" s="112">
        <v>153291</v>
      </c>
      <c r="AI78" s="112">
        <v>149378</v>
      </c>
      <c r="AJ78" s="112">
        <v>196360</v>
      </c>
      <c r="AK78" s="112">
        <v>170558</v>
      </c>
      <c r="AL78" s="112">
        <v>171758</v>
      </c>
      <c r="AM78" s="112">
        <f t="shared" ref="AM78:AQ78" si="172">SUM(AM79:AM80)</f>
        <v>168974</v>
      </c>
      <c r="AN78" s="112">
        <f t="shared" si="172"/>
        <v>144792</v>
      </c>
      <c r="AO78" s="112">
        <f t="shared" si="172"/>
        <v>141375</v>
      </c>
      <c r="AP78" s="112">
        <f t="shared" si="172"/>
        <v>143221</v>
      </c>
      <c r="AQ78" s="112">
        <f t="shared" si="172"/>
        <v>85543</v>
      </c>
      <c r="AR78" s="112">
        <f t="shared" ref="AR78:AR82" si="173">SUM(AF78:AQ78)</f>
        <v>1839316</v>
      </c>
      <c r="AS78" s="23"/>
      <c r="AT78" s="112">
        <f t="shared" ref="AT78:BE78" si="174">SUM(AT79:AT80)</f>
        <v>120211</v>
      </c>
      <c r="AU78" s="112">
        <f t="shared" si="174"/>
        <v>120216</v>
      </c>
      <c r="AV78" s="112">
        <f t="shared" si="174"/>
        <v>101053</v>
      </c>
      <c r="AW78" s="112">
        <f t="shared" si="174"/>
        <v>137388</v>
      </c>
      <c r="AX78" s="112">
        <f t="shared" si="174"/>
        <v>137400</v>
      </c>
      <c r="AY78" s="112">
        <f t="shared" si="174"/>
        <v>135412</v>
      </c>
      <c r="AZ78" s="112">
        <f t="shared" si="174"/>
        <v>157032</v>
      </c>
      <c r="BA78" s="112">
        <f t="shared" si="174"/>
        <v>173287</v>
      </c>
      <c r="BB78" s="114">
        <f t="shared" si="174"/>
        <v>166815</v>
      </c>
      <c r="BC78" s="114">
        <f t="shared" si="174"/>
        <v>153816</v>
      </c>
      <c r="BD78" s="114">
        <f t="shared" si="174"/>
        <v>138051</v>
      </c>
      <c r="BE78" s="114">
        <f t="shared" si="174"/>
        <v>55950</v>
      </c>
      <c r="BF78" s="114">
        <f t="shared" ref="BF78:BF82" si="175">SUM(AT78:BE78)</f>
        <v>1596631</v>
      </c>
      <c r="BG78" s="93">
        <f>BF78/AR78-1</f>
        <v>-0.1319430701412917</v>
      </c>
      <c r="BH78" s="112">
        <f t="shared" ref="BH78:BQ78" si="176">SUM(BH79:BH80)</f>
        <v>138562</v>
      </c>
      <c r="BI78" s="112">
        <f t="shared" si="176"/>
        <v>109391</v>
      </c>
      <c r="BJ78" s="112">
        <f t="shared" si="176"/>
        <v>160056</v>
      </c>
      <c r="BK78" s="112">
        <f t="shared" si="176"/>
        <v>124826</v>
      </c>
      <c r="BL78" s="112">
        <f t="shared" si="176"/>
        <v>151185</v>
      </c>
      <c r="BM78" s="112">
        <f t="shared" si="176"/>
        <v>134688</v>
      </c>
      <c r="BN78" s="112">
        <f t="shared" si="176"/>
        <v>157005</v>
      </c>
      <c r="BO78" s="112">
        <f t="shared" si="176"/>
        <v>151231</v>
      </c>
      <c r="BP78" s="112">
        <f t="shared" si="176"/>
        <v>143335</v>
      </c>
      <c r="BQ78" s="112">
        <f t="shared" si="176"/>
        <v>159215</v>
      </c>
      <c r="BR78" s="112"/>
      <c r="BS78" s="112"/>
      <c r="BT78" s="112">
        <f t="shared" ref="BT78:BT82" si="177">SUM(BH78:BS78)</f>
        <v>1429494</v>
      </c>
      <c r="BU78" s="18"/>
      <c r="BV78" s="112">
        <v>154584</v>
      </c>
      <c r="BW78" s="112">
        <v>151963</v>
      </c>
      <c r="BX78" s="112">
        <v>144646</v>
      </c>
      <c r="BY78" s="112">
        <v>178798</v>
      </c>
      <c r="BZ78" s="112">
        <v>151863</v>
      </c>
      <c r="CA78" s="112">
        <v>152310</v>
      </c>
      <c r="CB78" s="112">
        <f>CB79+CB80</f>
        <v>177824</v>
      </c>
      <c r="CC78" s="112">
        <f t="shared" ref="CC78:CJ78" si="178">CC79+CC80</f>
        <v>155456</v>
      </c>
      <c r="CD78" s="112">
        <f t="shared" si="178"/>
        <v>159431</v>
      </c>
      <c r="CE78" s="112">
        <v>173593</v>
      </c>
      <c r="CF78" s="112">
        <v>154850</v>
      </c>
      <c r="CG78" s="112">
        <f t="shared" si="178"/>
        <v>0</v>
      </c>
      <c r="CH78" s="112">
        <f t="shared" ref="CH78" si="179">SUM(BV78:CG78)</f>
        <v>1755318</v>
      </c>
      <c r="CJ78" s="112"/>
      <c r="CK78" s="112"/>
      <c r="CL78" s="112">
        <v>175111</v>
      </c>
      <c r="CM78" s="112"/>
      <c r="CN78" s="112"/>
      <c r="CO78" s="112"/>
      <c r="CP78" s="112"/>
      <c r="CQ78" s="112"/>
      <c r="CR78" s="112"/>
      <c r="CS78" s="112"/>
      <c r="CT78" s="112"/>
      <c r="CU78" s="112"/>
      <c r="CV78" s="112"/>
      <c r="CX78" s="112"/>
      <c r="CY78" s="112"/>
      <c r="CZ78" s="112"/>
      <c r="DA78" s="112"/>
      <c r="DB78" s="112"/>
      <c r="DC78" s="112"/>
      <c r="DD78" s="112"/>
      <c r="DE78" s="112"/>
      <c r="DF78" s="112"/>
      <c r="DG78" s="112"/>
      <c r="DH78" s="112"/>
      <c r="DI78" s="112"/>
      <c r="DJ78" s="112"/>
    </row>
    <row r="79" spans="1:114" ht="15.75" customHeight="1">
      <c r="A79" s="115"/>
      <c r="B79" s="346" t="s">
        <v>101</v>
      </c>
      <c r="C79" s="347"/>
      <c r="D79" s="265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66"/>
      <c r="Q79" s="116"/>
      <c r="R79" s="265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67"/>
      <c r="AE79" s="23"/>
      <c r="AF79" s="348">
        <v>126362</v>
      </c>
      <c r="AG79" s="22">
        <v>153970</v>
      </c>
      <c r="AH79" s="22">
        <v>128331</v>
      </c>
      <c r="AI79" s="22">
        <v>135338</v>
      </c>
      <c r="AJ79" s="22">
        <v>177312</v>
      </c>
      <c r="AK79" s="22">
        <v>150818</v>
      </c>
      <c r="AL79" s="22">
        <v>158858</v>
      </c>
      <c r="AM79" s="22">
        <v>153933</v>
      </c>
      <c r="AN79" s="22">
        <v>134244</v>
      </c>
      <c r="AO79" s="22">
        <v>137435</v>
      </c>
      <c r="AP79" s="22">
        <v>143221</v>
      </c>
      <c r="AQ79" s="22">
        <v>85543</v>
      </c>
      <c r="AR79" s="117">
        <f t="shared" si="173"/>
        <v>1685365</v>
      </c>
      <c r="AS79" s="23"/>
      <c r="AT79" s="22">
        <v>120211</v>
      </c>
      <c r="AU79" s="22">
        <v>120216</v>
      </c>
      <c r="AV79" s="22">
        <v>101053</v>
      </c>
      <c r="AW79" s="22">
        <v>137388</v>
      </c>
      <c r="AX79" s="22">
        <v>137400</v>
      </c>
      <c r="AY79" s="22">
        <v>135412</v>
      </c>
      <c r="AZ79" s="22">
        <v>157032</v>
      </c>
      <c r="BA79" s="22">
        <v>172227</v>
      </c>
      <c r="BB79" s="22">
        <f>157995+8500</f>
        <v>166495</v>
      </c>
      <c r="BC79" s="22">
        <v>153816</v>
      </c>
      <c r="BD79" s="22">
        <v>138051</v>
      </c>
      <c r="BE79" s="22">
        <v>55950</v>
      </c>
      <c r="BF79" s="22">
        <f t="shared" si="175"/>
        <v>1595251</v>
      </c>
      <c r="BG79" s="27"/>
      <c r="BH79" s="22">
        <v>138562</v>
      </c>
      <c r="BI79" s="22">
        <v>109391</v>
      </c>
      <c r="BJ79" s="22">
        <v>160056</v>
      </c>
      <c r="BK79" s="22">
        <v>124826</v>
      </c>
      <c r="BL79" s="22">
        <v>151185</v>
      </c>
      <c r="BM79" s="22">
        <v>134688</v>
      </c>
      <c r="BN79" s="22">
        <v>157005</v>
      </c>
      <c r="BO79" s="22">
        <v>151231</v>
      </c>
      <c r="BP79" s="22">
        <v>143335</v>
      </c>
      <c r="BQ79" s="22">
        <v>159215</v>
      </c>
      <c r="BR79" s="22"/>
      <c r="BS79" s="22"/>
      <c r="BT79" s="22">
        <f t="shared" si="177"/>
        <v>1429494</v>
      </c>
      <c r="BU79" s="28"/>
      <c r="BV79" s="22">
        <v>154584</v>
      </c>
      <c r="BW79" s="22">
        <v>151963</v>
      </c>
      <c r="BX79" s="22">
        <v>144646</v>
      </c>
      <c r="BY79" s="22">
        <v>178798</v>
      </c>
      <c r="BZ79" s="22">
        <v>151863</v>
      </c>
      <c r="CA79" s="22">
        <v>152310</v>
      </c>
      <c r="CB79" s="22">
        <v>177824</v>
      </c>
      <c r="CC79" s="22">
        <v>155456</v>
      </c>
      <c r="CD79" s="22">
        <v>159431</v>
      </c>
      <c r="CE79" s="22"/>
      <c r="CF79" s="22"/>
      <c r="CG79" s="22"/>
      <c r="CH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</row>
    <row r="80" spans="1:114" ht="15.75" customHeight="1">
      <c r="A80" s="115"/>
      <c r="B80" s="346" t="s">
        <v>102</v>
      </c>
      <c r="C80" s="347"/>
      <c r="D80" s="265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66"/>
      <c r="Q80" s="116"/>
      <c r="R80" s="265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67"/>
      <c r="AE80" s="23"/>
      <c r="AF80" s="22">
        <f t="shared" ref="AF80:AL80" si="180">AF78-AF79</f>
        <v>19254</v>
      </c>
      <c r="AG80" s="22">
        <f t="shared" si="180"/>
        <v>14480</v>
      </c>
      <c r="AH80" s="22">
        <f t="shared" si="180"/>
        <v>24960</v>
      </c>
      <c r="AI80" s="22">
        <f t="shared" si="180"/>
        <v>14040</v>
      </c>
      <c r="AJ80" s="22">
        <f t="shared" si="180"/>
        <v>19048</v>
      </c>
      <c r="AK80" s="22">
        <f t="shared" si="180"/>
        <v>19740</v>
      </c>
      <c r="AL80" s="22">
        <f t="shared" si="180"/>
        <v>12900</v>
      </c>
      <c r="AM80" s="22">
        <v>15041</v>
      </c>
      <c r="AN80" s="22">
        <v>10548</v>
      </c>
      <c r="AO80" s="22">
        <v>3940</v>
      </c>
      <c r="AP80" s="22">
        <v>0</v>
      </c>
      <c r="AQ80" s="22">
        <v>0</v>
      </c>
      <c r="AR80" s="117">
        <f t="shared" si="173"/>
        <v>153951</v>
      </c>
      <c r="AS80" s="23"/>
      <c r="AT80" s="22">
        <v>0</v>
      </c>
      <c r="AU80" s="22">
        <v>0</v>
      </c>
      <c r="AV80" s="22">
        <v>0</v>
      </c>
      <c r="AW80" s="22">
        <v>0</v>
      </c>
      <c r="AX80" s="22">
        <v>0</v>
      </c>
      <c r="AY80" s="22">
        <v>0</v>
      </c>
      <c r="AZ80" s="22">
        <v>0</v>
      </c>
      <c r="BA80" s="22">
        <v>1060</v>
      </c>
      <c r="BB80" s="22">
        <v>320</v>
      </c>
      <c r="BC80" s="22">
        <v>0</v>
      </c>
      <c r="BD80" s="22">
        <v>0</v>
      </c>
      <c r="BE80" s="22"/>
      <c r="BF80" s="22">
        <f t="shared" si="175"/>
        <v>1380</v>
      </c>
      <c r="BG80" s="27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>
        <f t="shared" si="177"/>
        <v>0</v>
      </c>
      <c r="BU80" s="28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</row>
    <row r="81" spans="1:114" ht="15.75">
      <c r="A81" s="103" t="s">
        <v>103</v>
      </c>
      <c r="B81" s="337"/>
      <c r="C81" s="330"/>
      <c r="D81" s="331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332"/>
      <c r="Q81" s="105"/>
      <c r="R81" s="333"/>
      <c r="S81" s="333"/>
      <c r="T81" s="333"/>
      <c r="U81" s="333"/>
      <c r="V81" s="333"/>
      <c r="W81" s="333"/>
      <c r="X81" s="333"/>
      <c r="Y81" s="333"/>
      <c r="Z81" s="333"/>
      <c r="AA81" s="333"/>
      <c r="AB81" s="333"/>
      <c r="AC81" s="333"/>
      <c r="AD81" s="334"/>
      <c r="AE81" s="106"/>
      <c r="AF81" s="333">
        <f t="shared" ref="AF81:AQ81" si="181">AF78-AF71</f>
        <v>-15784</v>
      </c>
      <c r="AG81" s="333">
        <f t="shared" si="181"/>
        <v>2450</v>
      </c>
      <c r="AH81" s="333">
        <f t="shared" si="181"/>
        <v>2820</v>
      </c>
      <c r="AI81" s="333">
        <f t="shared" si="181"/>
        <v>338</v>
      </c>
      <c r="AJ81" s="333">
        <f t="shared" si="181"/>
        <v>0</v>
      </c>
      <c r="AK81" s="333">
        <f t="shared" si="181"/>
        <v>7258</v>
      </c>
      <c r="AL81" s="333">
        <f t="shared" si="181"/>
        <v>-18242</v>
      </c>
      <c r="AM81" s="333">
        <f t="shared" si="181"/>
        <v>1974</v>
      </c>
      <c r="AN81" s="333">
        <f t="shared" si="181"/>
        <v>-25708</v>
      </c>
      <c r="AO81" s="333">
        <f t="shared" si="181"/>
        <v>1375</v>
      </c>
      <c r="AP81" s="333">
        <f t="shared" si="181"/>
        <v>13221</v>
      </c>
      <c r="AQ81" s="333">
        <f t="shared" si="181"/>
        <v>-14457</v>
      </c>
      <c r="AR81" s="107">
        <f t="shared" si="173"/>
        <v>-44755</v>
      </c>
      <c r="AS81" s="106"/>
      <c r="AT81" s="333">
        <f t="shared" ref="AT81:BE81" si="182">AT78-AT71</f>
        <v>-12789</v>
      </c>
      <c r="AU81" s="333">
        <f t="shared" si="182"/>
        <v>-4964</v>
      </c>
      <c r="AV81" s="333">
        <f t="shared" si="182"/>
        <v>-16175</v>
      </c>
      <c r="AW81" s="333">
        <f t="shared" si="182"/>
        <v>9888</v>
      </c>
      <c r="AX81" s="333">
        <f t="shared" si="182"/>
        <v>-2600</v>
      </c>
      <c r="AY81" s="333">
        <f t="shared" si="182"/>
        <v>-22930.999998999992</v>
      </c>
      <c r="AZ81" s="333">
        <f t="shared" si="182"/>
        <v>4623</v>
      </c>
      <c r="BA81" s="333">
        <f t="shared" si="182"/>
        <v>-233</v>
      </c>
      <c r="BB81" s="333">
        <f t="shared" si="182"/>
        <v>1815</v>
      </c>
      <c r="BC81" s="333">
        <f t="shared" si="182"/>
        <v>-3684</v>
      </c>
      <c r="BD81" s="333">
        <f t="shared" si="182"/>
        <v>8620</v>
      </c>
      <c r="BE81" s="333">
        <f t="shared" si="182"/>
        <v>-5750</v>
      </c>
      <c r="BF81" s="108">
        <f t="shared" si="175"/>
        <v>-44179.999998999992</v>
      </c>
      <c r="BG81" s="106"/>
      <c r="BH81" s="333">
        <f t="shared" ref="BH81:BQ81" si="183">BH78-BH71</f>
        <v>-1198</v>
      </c>
      <c r="BI81" s="333">
        <f t="shared" si="183"/>
        <v>-7189</v>
      </c>
      <c r="BJ81" s="333">
        <f t="shared" si="183"/>
        <v>11716</v>
      </c>
      <c r="BK81" s="333">
        <f t="shared" si="183"/>
        <v>12466</v>
      </c>
      <c r="BL81" s="333">
        <f t="shared" si="183"/>
        <v>42525</v>
      </c>
      <c r="BM81" s="333">
        <f t="shared" si="183"/>
        <v>-18728</v>
      </c>
      <c r="BN81" s="333">
        <f t="shared" si="183"/>
        <v>19329</v>
      </c>
      <c r="BO81" s="333">
        <f t="shared" si="183"/>
        <v>-9423</v>
      </c>
      <c r="BP81" s="333">
        <f t="shared" si="183"/>
        <v>-13665</v>
      </c>
      <c r="BQ81" s="333">
        <f t="shared" si="183"/>
        <v>2490</v>
      </c>
      <c r="BR81" s="108"/>
      <c r="BS81" s="108"/>
      <c r="BT81" s="108">
        <f t="shared" si="177"/>
        <v>38323</v>
      </c>
      <c r="BU81" s="28"/>
      <c r="BV81" s="333"/>
      <c r="BW81" s="333"/>
      <c r="BX81" s="333"/>
      <c r="BY81" s="333">
        <f>BY78-BY71</f>
        <v>5998</v>
      </c>
      <c r="BZ81" s="333">
        <f t="shared" ref="BZ81:CG81" si="184">BZ78-BZ71</f>
        <v>-13737</v>
      </c>
      <c r="CA81" s="333">
        <f t="shared" si="184"/>
        <v>-6090</v>
      </c>
      <c r="CB81" s="333">
        <f t="shared" si="184"/>
        <v>-2176</v>
      </c>
      <c r="CC81" s="333">
        <f t="shared" si="184"/>
        <v>-17344</v>
      </c>
      <c r="CD81" s="333">
        <f t="shared" si="184"/>
        <v>-13369</v>
      </c>
      <c r="CE81" s="333">
        <f t="shared" si="184"/>
        <v>793</v>
      </c>
      <c r="CF81" s="333">
        <f t="shared" si="184"/>
        <v>-12350</v>
      </c>
      <c r="CG81" s="333">
        <f t="shared" si="184"/>
        <v>-98800</v>
      </c>
      <c r="CH81" s="333">
        <f>CH78-CH71</f>
        <v>-118882</v>
      </c>
      <c r="CJ81" s="333">
        <f t="shared" ref="CJ81:CV81" si="185">CJ78-CJ71</f>
        <v>-165000</v>
      </c>
      <c r="CK81" s="333">
        <f>CK78-CK71</f>
        <v>-188600</v>
      </c>
      <c r="CL81" s="333">
        <f t="shared" si="185"/>
        <v>4111</v>
      </c>
      <c r="CM81" s="333">
        <f t="shared" si="185"/>
        <v>-10000</v>
      </c>
      <c r="CN81" s="333">
        <f t="shared" si="185"/>
        <v>-199500</v>
      </c>
      <c r="CO81" s="333">
        <f t="shared" si="185"/>
        <v>-204250</v>
      </c>
      <c r="CP81" s="333">
        <f t="shared" si="185"/>
        <v>-228000</v>
      </c>
      <c r="CQ81" s="333">
        <f t="shared" si="185"/>
        <v>-202500</v>
      </c>
      <c r="CR81" s="333">
        <f t="shared" si="185"/>
        <v>-193500</v>
      </c>
      <c r="CS81" s="333">
        <f t="shared" si="185"/>
        <v>-211500</v>
      </c>
      <c r="CT81" s="333">
        <f t="shared" si="185"/>
        <v>-171000</v>
      </c>
      <c r="CU81" s="333">
        <f t="shared" si="185"/>
        <v>-117000</v>
      </c>
      <c r="CV81" s="333">
        <f t="shared" si="185"/>
        <v>-2061850</v>
      </c>
      <c r="CX81" s="333">
        <f t="shared" ref="CX81:DJ81" si="186">CX78-CX71</f>
        <v>-180000</v>
      </c>
      <c r="CY81" s="333">
        <f t="shared" si="186"/>
        <v>-135000</v>
      </c>
      <c r="CZ81" s="333">
        <f t="shared" si="186"/>
        <v>-171000</v>
      </c>
      <c r="DA81" s="333">
        <f t="shared" si="186"/>
        <v>-180000</v>
      </c>
      <c r="DB81" s="333">
        <f t="shared" si="186"/>
        <v>-189000</v>
      </c>
      <c r="DC81" s="333">
        <f t="shared" si="186"/>
        <v>-180000</v>
      </c>
      <c r="DD81" s="333">
        <f t="shared" si="186"/>
        <v>-207000</v>
      </c>
      <c r="DE81" s="333">
        <f t="shared" si="186"/>
        <v>-189000</v>
      </c>
      <c r="DF81" s="333">
        <f t="shared" si="186"/>
        <v>-180000</v>
      </c>
      <c r="DG81" s="333">
        <f t="shared" si="186"/>
        <v>-207000</v>
      </c>
      <c r="DH81" s="333">
        <f t="shared" si="186"/>
        <v>-171000</v>
      </c>
      <c r="DI81" s="333">
        <f t="shared" si="186"/>
        <v>-117000</v>
      </c>
      <c r="DJ81" s="333">
        <f t="shared" si="186"/>
        <v>-2106000</v>
      </c>
    </row>
    <row r="82" spans="1:114" ht="14.25" customHeight="1">
      <c r="A82" s="55" t="s">
        <v>104</v>
      </c>
      <c r="B82" s="56"/>
      <c r="C82" s="280"/>
      <c r="D82" s="288" t="e">
        <f t="shared" ref="D82:F82" si="187">#REF!-#REF!</f>
        <v>#REF!</v>
      </c>
      <c r="E82" s="57" t="e">
        <f t="shared" si="187"/>
        <v>#REF!</v>
      </c>
      <c r="F82" s="57" t="e">
        <f t="shared" si="187"/>
        <v>#REF!</v>
      </c>
      <c r="G82" s="57" t="e">
        <f t="shared" ref="G82:I82" si="188">G71-#REF!</f>
        <v>#REF!</v>
      </c>
      <c r="H82" s="57" t="e">
        <f t="shared" si="188"/>
        <v>#REF!</v>
      </c>
      <c r="I82" s="57" t="e">
        <f t="shared" si="188"/>
        <v>#REF!</v>
      </c>
      <c r="J82" s="57" t="e">
        <f t="shared" ref="J82:K82" si="189">#REF!-#REF!</f>
        <v>#REF!</v>
      </c>
      <c r="K82" s="57" t="e">
        <f t="shared" si="189"/>
        <v>#REF!</v>
      </c>
      <c r="L82" s="57">
        <f>L71-L27</f>
        <v>-24911</v>
      </c>
      <c r="M82" s="57">
        <f>M71-M27</f>
        <v>-13674</v>
      </c>
      <c r="N82" s="57">
        <f>N71-N27</f>
        <v>57632</v>
      </c>
      <c r="O82" s="57">
        <f>O71-O27</f>
        <v>74079</v>
      </c>
      <c r="P82" s="289" t="e">
        <f>SUM(D82:O82)</f>
        <v>#REF!</v>
      </c>
      <c r="Q82" s="39"/>
      <c r="R82" s="288">
        <f t="shared" ref="R82:AD82" si="190">R71-R27</f>
        <v>22222.660017050745</v>
      </c>
      <c r="S82" s="58">
        <f t="shared" si="190"/>
        <v>17159.673608830723</v>
      </c>
      <c r="T82" s="58">
        <f t="shared" si="190"/>
        <v>-24753.77192982455</v>
      </c>
      <c r="U82" s="58">
        <f t="shared" si="190"/>
        <v>-17814.899999999998</v>
      </c>
      <c r="V82" s="58">
        <f t="shared" si="190"/>
        <v>1715</v>
      </c>
      <c r="W82" s="290">
        <f t="shared" si="190"/>
        <v>120430.6180497602</v>
      </c>
      <c r="X82" s="290">
        <f t="shared" si="190"/>
        <v>43436.666666667006</v>
      </c>
      <c r="Y82" s="290">
        <f t="shared" si="190"/>
        <v>-29747.083333333314</v>
      </c>
      <c r="Z82" s="290">
        <f t="shared" si="190"/>
        <v>-80887.5</v>
      </c>
      <c r="AA82" s="290">
        <f t="shared" si="190"/>
        <v>10200</v>
      </c>
      <c r="AB82" s="290">
        <f t="shared" si="190"/>
        <v>137500</v>
      </c>
      <c r="AC82" s="290">
        <f t="shared" si="190"/>
        <v>134100</v>
      </c>
      <c r="AD82" s="291">
        <f t="shared" si="190"/>
        <v>333561.36307915067</v>
      </c>
      <c r="AE82" s="59"/>
      <c r="AF82" s="292">
        <f t="shared" ref="AF82:AQ82" si="191">AF71-AF27</f>
        <v>32754</v>
      </c>
      <c r="AG82" s="58">
        <f t="shared" si="191"/>
        <v>-11977</v>
      </c>
      <c r="AH82" s="58">
        <f t="shared" si="191"/>
        <v>76847</v>
      </c>
      <c r="AI82" s="58">
        <f t="shared" si="191"/>
        <v>59682</v>
      </c>
      <c r="AJ82" s="58">
        <f t="shared" si="191"/>
        <v>74226</v>
      </c>
      <c r="AK82" s="58">
        <f t="shared" si="191"/>
        <v>14740</v>
      </c>
      <c r="AL82" s="58">
        <f t="shared" si="191"/>
        <v>38005</v>
      </c>
      <c r="AM82" s="58">
        <f t="shared" si="191"/>
        <v>-71903</v>
      </c>
      <c r="AN82" s="58">
        <f t="shared" si="191"/>
        <v>-90633.333333333343</v>
      </c>
      <c r="AO82" s="58">
        <f t="shared" si="191"/>
        <v>-115900</v>
      </c>
      <c r="AP82" s="58">
        <f t="shared" si="191"/>
        <v>1360</v>
      </c>
      <c r="AQ82" s="58">
        <f t="shared" si="191"/>
        <v>2160</v>
      </c>
      <c r="AR82" s="58">
        <f t="shared" si="173"/>
        <v>9360.666666666657</v>
      </c>
      <c r="AS82" s="59"/>
      <c r="AT82" s="58">
        <f t="shared" ref="AT82:BE82" si="192">AT71-AT27</f>
        <v>-19749.25</v>
      </c>
      <c r="AU82" s="58">
        <f t="shared" si="192"/>
        <v>-43342.103448275855</v>
      </c>
      <c r="AV82" s="58">
        <f t="shared" si="192"/>
        <v>-36893.137931034493</v>
      </c>
      <c r="AW82" s="58">
        <f t="shared" si="192"/>
        <v>-32095.137931034493</v>
      </c>
      <c r="AX82" s="58">
        <f t="shared" si="192"/>
        <v>19900.034482758623</v>
      </c>
      <c r="AY82" s="58">
        <f t="shared" si="192"/>
        <v>19999.222221222211</v>
      </c>
      <c r="AZ82" s="58">
        <f t="shared" si="192"/>
        <v>-14264.777777777781</v>
      </c>
      <c r="BA82" s="58">
        <f t="shared" si="192"/>
        <v>-68922.296296296292</v>
      </c>
      <c r="BB82" s="58">
        <f t="shared" si="192"/>
        <v>-78407.777777777781</v>
      </c>
      <c r="BC82" s="58">
        <f t="shared" si="192"/>
        <v>-95868.290755657828</v>
      </c>
      <c r="BD82" s="58">
        <f t="shared" si="192"/>
        <v>-5124.586881472962</v>
      </c>
      <c r="BE82" s="58">
        <f t="shared" si="192"/>
        <v>-10986.612965093984</v>
      </c>
      <c r="BF82" s="58">
        <f t="shared" si="175"/>
        <v>-365754.71506044065</v>
      </c>
      <c r="BG82" s="59"/>
      <c r="BH82" s="58">
        <f t="shared" ref="BH82:BQ82" si="193">BH71-BH27</f>
        <v>-12993</v>
      </c>
      <c r="BI82" s="58">
        <f t="shared" si="193"/>
        <v>-30242.333333333314</v>
      </c>
      <c r="BJ82" s="58">
        <f t="shared" si="193"/>
        <v>-23206.074074074073</v>
      </c>
      <c r="BK82" s="58">
        <f t="shared" si="193"/>
        <v>-47411.74074074073</v>
      </c>
      <c r="BL82" s="58">
        <f t="shared" si="193"/>
        <v>-23836.851851851854</v>
      </c>
      <c r="BM82" s="58">
        <f t="shared" si="193"/>
        <v>23509.740740740745</v>
      </c>
      <c r="BN82" s="58">
        <f t="shared" si="193"/>
        <v>-33707.555555555562</v>
      </c>
      <c r="BO82" s="58">
        <f t="shared" si="193"/>
        <v>-18896.378111111087</v>
      </c>
      <c r="BP82" s="58">
        <f t="shared" si="193"/>
        <v>-45053.749537037045</v>
      </c>
      <c r="BQ82" s="58">
        <f t="shared" si="193"/>
        <v>-7140</v>
      </c>
      <c r="BR82" s="58"/>
      <c r="BS82" s="58"/>
      <c r="BT82" s="58">
        <f t="shared" si="177"/>
        <v>-218977.94246296291</v>
      </c>
      <c r="BU82" s="60"/>
      <c r="BV82" s="58"/>
      <c r="BW82" s="58"/>
      <c r="BX82" s="58"/>
      <c r="BY82" s="58">
        <f>BY71-BY27</f>
        <v>13630.76923076922</v>
      </c>
      <c r="BZ82" s="58">
        <f t="shared" ref="BZ82:CG82" si="194">BZ71-BZ27</f>
        <v>14117.606582143373</v>
      </c>
      <c r="CA82" s="58">
        <f t="shared" si="194"/>
        <v>16957.870899031579</v>
      </c>
      <c r="CB82" s="58">
        <f t="shared" si="194"/>
        <v>3013.7855523840117</v>
      </c>
      <c r="CC82" s="58">
        <f t="shared" si="194"/>
        <v>-28501.089448851068</v>
      </c>
      <c r="CD82" s="58">
        <f t="shared" si="194"/>
        <v>-40033.040135593415</v>
      </c>
      <c r="CE82" s="58">
        <f t="shared" si="194"/>
        <v>-43122.303862118919</v>
      </c>
      <c r="CF82" s="58">
        <f t="shared" si="194"/>
        <v>-3915.8422363018617</v>
      </c>
      <c r="CG82" s="58">
        <f t="shared" si="194"/>
        <v>11316.183308289634</v>
      </c>
      <c r="CH82" s="58">
        <f>CH78-CH69</f>
        <v>-50665</v>
      </c>
      <c r="CJ82" s="58">
        <f t="shared" ref="CJ82:CV82" si="195">CJ71-CJ27</f>
        <v>-16422.940000000002</v>
      </c>
      <c r="CK82" s="58">
        <f t="shared" si="195"/>
        <v>22747.330000000016</v>
      </c>
      <c r="CL82" s="58">
        <f t="shared" si="195"/>
        <v>-14796.679999999993</v>
      </c>
      <c r="CM82" s="58">
        <f t="shared" si="195"/>
        <v>-144708.18</v>
      </c>
      <c r="CN82" s="58">
        <f t="shared" si="195"/>
        <v>45698.049999999988</v>
      </c>
      <c r="CO82" s="58">
        <f t="shared" si="195"/>
        <v>84069.12000000001</v>
      </c>
      <c r="CP82" s="58">
        <f t="shared" si="195"/>
        <v>2279.9100000000035</v>
      </c>
      <c r="CQ82" s="58">
        <f t="shared" si="195"/>
        <v>-4395.3099999999977</v>
      </c>
      <c r="CR82" s="58">
        <f t="shared" si="195"/>
        <v>-63153.639999999985</v>
      </c>
      <c r="CS82" s="58">
        <f t="shared" si="195"/>
        <v>-17916.920000000013</v>
      </c>
      <c r="CT82" s="58">
        <f t="shared" si="195"/>
        <v>8214.9100000000035</v>
      </c>
      <c r="CU82" s="58">
        <f t="shared" si="195"/>
        <v>13816.179999999993</v>
      </c>
      <c r="CV82" s="58">
        <f t="shared" si="195"/>
        <v>-84568.169999999925</v>
      </c>
      <c r="CX82" s="58">
        <f t="shared" ref="CX82:DJ82" si="196">CX71-CX27</f>
        <v>-10494.087</v>
      </c>
      <c r="CY82" s="58">
        <f t="shared" si="196"/>
        <v>-39145.30349999998</v>
      </c>
      <c r="CZ82" s="58">
        <f t="shared" si="196"/>
        <v>-24086.513999999996</v>
      </c>
      <c r="DA82" s="58">
        <f t="shared" si="196"/>
        <v>17556.410999999993</v>
      </c>
      <c r="DB82" s="58">
        <f t="shared" si="196"/>
        <v>27507.952499999985</v>
      </c>
      <c r="DC82" s="58">
        <f t="shared" si="196"/>
        <v>53810.076000000001</v>
      </c>
      <c r="DD82" s="58">
        <f t="shared" si="196"/>
        <v>-30006.094500000007</v>
      </c>
      <c r="DE82" s="58">
        <f t="shared" si="196"/>
        <v>-28240.075500000006</v>
      </c>
      <c r="DF82" s="58">
        <f t="shared" si="196"/>
        <v>-89486.321999999986</v>
      </c>
      <c r="DG82" s="58">
        <f t="shared" si="196"/>
        <v>-33887.766000000032</v>
      </c>
      <c r="DH82" s="58">
        <f t="shared" si="196"/>
        <v>75.655499999993481</v>
      </c>
      <c r="DI82" s="58">
        <f t="shared" si="196"/>
        <v>8656.9889999999868</v>
      </c>
      <c r="DJ82" s="58">
        <f t="shared" si="196"/>
        <v>148902.825940924</v>
      </c>
    </row>
    <row r="83" spans="1:114" ht="15" customHeight="1">
      <c r="BZ83" s="598"/>
      <c r="CA83" s="598">
        <f>BZ83+CA82</f>
        <v>16957.870899031579</v>
      </c>
      <c r="CB83" s="598">
        <f t="shared" ref="CB83:CG83" si="197">CA83+CB82</f>
        <v>19971.656451415591</v>
      </c>
      <c r="CC83" s="598">
        <f t="shared" si="197"/>
        <v>-8529.4329974354769</v>
      </c>
      <c r="CD83" s="598">
        <f t="shared" si="197"/>
        <v>-48562.473133028892</v>
      </c>
      <c r="CE83" s="598">
        <f t="shared" si="197"/>
        <v>-91684.776995147811</v>
      </c>
      <c r="CF83" s="598">
        <f t="shared" si="197"/>
        <v>-95600.619231449673</v>
      </c>
      <c r="CG83" s="598">
        <f t="shared" si="197"/>
        <v>-84284.435923160039</v>
      </c>
    </row>
  </sheetData>
  <mergeCells count="26">
    <mergeCell ref="B39:C39"/>
    <mergeCell ref="CX1:DI1"/>
    <mergeCell ref="D2:P2"/>
    <mergeCell ref="R2:AD2"/>
    <mergeCell ref="AF2:AR2"/>
    <mergeCell ref="AT2:BF2"/>
    <mergeCell ref="BH2:BS2"/>
    <mergeCell ref="BV2:CG2"/>
    <mergeCell ref="CJ2:CU2"/>
    <mergeCell ref="CX2:DI2"/>
    <mergeCell ref="R1:AD1"/>
    <mergeCell ref="AF1:AR1"/>
    <mergeCell ref="AT1:BF1"/>
    <mergeCell ref="BH1:BS1"/>
    <mergeCell ref="BV1:CG1"/>
    <mergeCell ref="CJ1:CU1"/>
    <mergeCell ref="B34:C34"/>
    <mergeCell ref="B35:C35"/>
    <mergeCell ref="B36:C36"/>
    <mergeCell ref="B37:C37"/>
    <mergeCell ref="B38:C38"/>
    <mergeCell ref="B40:C40"/>
    <mergeCell ref="B41:C41"/>
    <mergeCell ref="B42:C42"/>
    <mergeCell ref="B43:C43"/>
    <mergeCell ref="B52:C52"/>
  </mergeCells>
  <pageMargins left="0.25" right="0.25" top="0.75" bottom="0.75" header="0" footer="0"/>
  <pageSetup paperSize="9" scale="55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82DD-D1E5-49A5-9143-9B00EF0EE56D}">
  <dimension ref="D2:E8"/>
  <sheetViews>
    <sheetView showGridLines="0" workbookViewId="0">
      <selection activeCell="H9" sqref="H9"/>
    </sheetView>
  </sheetViews>
  <sheetFormatPr defaultRowHeight="15"/>
  <cols>
    <col min="4" max="4" width="10.140625" bestFit="1" customWidth="1"/>
    <col min="5" max="5" width="14.42578125" bestFit="1" customWidth="1"/>
  </cols>
  <sheetData>
    <row r="2" spans="4:5">
      <c r="D2" s="714" t="s">
        <v>261</v>
      </c>
      <c r="E2" s="714" t="s">
        <v>262</v>
      </c>
    </row>
    <row r="3" spans="4:5">
      <c r="D3" s="712">
        <v>45566</v>
      </c>
      <c r="E3" s="715">
        <v>7200</v>
      </c>
    </row>
    <row r="4" spans="4:5">
      <c r="D4" s="712">
        <v>45597</v>
      </c>
      <c r="E4" s="715">
        <v>7600</v>
      </c>
    </row>
    <row r="5" spans="4:5">
      <c r="D5" s="712">
        <v>45627</v>
      </c>
      <c r="E5" s="715">
        <v>7600</v>
      </c>
    </row>
    <row r="6" spans="4:5">
      <c r="D6" s="712">
        <v>45658</v>
      </c>
      <c r="E6" s="715">
        <v>8000</v>
      </c>
    </row>
    <row r="7" spans="4:5">
      <c r="D7" s="712">
        <v>45689</v>
      </c>
      <c r="E7" s="715">
        <v>8500</v>
      </c>
    </row>
    <row r="8" spans="4:5">
      <c r="D8" s="713">
        <v>45717</v>
      </c>
      <c r="E8" s="716">
        <v>9000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67"/>
  <sheetViews>
    <sheetView showGridLines="0" zoomScale="80" zoomScaleNormal="80" workbookViewId="0">
      <pane xSplit="3" ySplit="5" topLeftCell="BH6" activePane="bottomRight" state="frozen"/>
      <selection pane="bottomRight" activeCell="BH8" sqref="BH8"/>
      <selection pane="bottomLeft" activeCell="A6" sqref="A6"/>
      <selection pane="topRight" activeCell="D1" sqref="D1"/>
    </sheetView>
  </sheetViews>
  <sheetFormatPr defaultColWidth="14.42578125" defaultRowHeight="15" customHeight="1" outlineLevelCol="2"/>
  <cols>
    <col min="1" max="1" width="16.85546875" customWidth="1"/>
    <col min="2" max="2" width="28.7109375" customWidth="1"/>
    <col min="3" max="3" width="10.14062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outlineLevel="1"/>
    <col min="18" max="18" width="12" hidden="1" customWidth="1" outlineLevel="1"/>
    <col min="19" max="19" width="13.140625" hidden="1" customWidth="1" outlineLevel="1"/>
    <col min="20" max="20" width="13.140625" hidden="1" customWidth="1" outlineLevel="2"/>
    <col min="21" max="21" width="11.7109375" hidden="1" customWidth="1" outlineLevel="2"/>
    <col min="22" max="22" width="13" hidden="1" customWidth="1" outlineLevel="2"/>
    <col min="23" max="23" width="8.85546875" hidden="1" customWidth="1" outlineLevel="2"/>
    <col min="24" max="24" width="13.140625" hidden="1" customWidth="1" outlineLevel="2"/>
    <col min="25" max="25" width="10.7109375" hidden="1" customWidth="1" outlineLevel="2"/>
    <col min="26" max="26" width="11.140625" hidden="1" customWidth="1" outlineLevel="2"/>
    <col min="27" max="27" width="10.7109375" hidden="1" customWidth="1" outlineLevel="2"/>
    <col min="28" max="28" width="10.5703125" hidden="1" customWidth="1" outlineLevel="2"/>
    <col min="29" max="29" width="9.5703125" hidden="1" customWidth="1" outlineLevel="2"/>
    <col min="30" max="30" width="11.5703125" hidden="1" customWidth="1" outlineLevel="1" collapsed="1"/>
    <col min="31" max="31" width="6.42578125" hidden="1" customWidth="1" outlineLevel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outlineLevel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outlineLevel="1"/>
    <col min="60" max="60" width="15.140625" customWidth="1" collapsed="1"/>
    <col min="61" max="62" width="15" customWidth="1"/>
    <col min="63" max="63" width="13.140625" customWidth="1"/>
    <col min="64" max="64" width="17.42578125" customWidth="1"/>
    <col min="65" max="65" width="15.5703125" customWidth="1"/>
    <col min="66" max="66" width="15" customWidth="1"/>
    <col min="67" max="71" width="13.140625" customWidth="1"/>
    <col min="72" max="72" width="16.42578125" bestFit="1" customWidth="1"/>
    <col min="73" max="73" width="9.140625" customWidth="1"/>
    <col min="74" max="85" width="13.140625" customWidth="1"/>
    <col min="86" max="86" width="16.42578125" bestFit="1" customWidth="1"/>
  </cols>
  <sheetData>
    <row r="1" spans="1:86" ht="16.5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</row>
    <row r="2" spans="1:86" ht="15.75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249">
        <v>2021</v>
      </c>
      <c r="AG2" s="249"/>
      <c r="AH2" s="249"/>
      <c r="AI2" s="249"/>
      <c r="AJ2" s="249"/>
      <c r="AK2" s="249"/>
      <c r="AL2" s="249"/>
      <c r="AM2" s="249"/>
      <c r="AN2" s="249"/>
      <c r="AO2" s="249"/>
      <c r="AP2" s="249"/>
      <c r="AQ2" s="250"/>
      <c r="AR2" s="251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</row>
    <row r="3" spans="1:86">
      <c r="A3" s="3" t="s">
        <v>5</v>
      </c>
      <c r="B3" s="3"/>
      <c r="C3" s="3"/>
      <c r="D3" s="252">
        <v>16</v>
      </c>
      <c r="E3" s="252">
        <v>21</v>
      </c>
      <c r="F3" s="252">
        <v>18</v>
      </c>
      <c r="G3" s="252">
        <v>21</v>
      </c>
      <c r="H3" s="252">
        <v>22</v>
      </c>
      <c r="I3" s="252">
        <v>19</v>
      </c>
      <c r="J3" s="252">
        <v>23</v>
      </c>
      <c r="K3" s="252">
        <v>21</v>
      </c>
      <c r="L3" s="252">
        <v>21</v>
      </c>
      <c r="M3" s="252">
        <v>26</v>
      </c>
      <c r="N3" s="252">
        <v>24</v>
      </c>
      <c r="O3" s="252">
        <v>15</v>
      </c>
      <c r="P3" s="4"/>
      <c r="Q3" s="247"/>
      <c r="R3" s="252">
        <v>22</v>
      </c>
      <c r="S3" s="252">
        <v>20</v>
      </c>
      <c r="T3" s="252">
        <v>14</v>
      </c>
      <c r="U3" s="252">
        <v>1</v>
      </c>
      <c r="V3" s="252">
        <v>12</v>
      </c>
      <c r="W3" s="252">
        <v>22</v>
      </c>
      <c r="X3" s="252">
        <v>23</v>
      </c>
      <c r="Y3" s="252">
        <v>21</v>
      </c>
      <c r="Z3" s="252">
        <v>21</v>
      </c>
      <c r="AA3" s="252">
        <v>21</v>
      </c>
      <c r="AB3" s="252">
        <v>20</v>
      </c>
      <c r="AC3" s="252">
        <v>17</v>
      </c>
      <c r="AD3" s="2"/>
      <c r="AE3" s="253"/>
      <c r="AF3" s="254">
        <v>18</v>
      </c>
      <c r="AG3" s="252">
        <v>20</v>
      </c>
      <c r="AH3" s="248">
        <v>20</v>
      </c>
      <c r="AI3" s="248">
        <v>20</v>
      </c>
      <c r="AJ3" s="252">
        <v>22</v>
      </c>
      <c r="AK3" s="252">
        <v>20</v>
      </c>
      <c r="AL3" s="252">
        <v>22</v>
      </c>
      <c r="AM3" s="252">
        <v>22</v>
      </c>
      <c r="AN3" s="252">
        <v>21</v>
      </c>
      <c r="AO3" s="252">
        <v>20</v>
      </c>
      <c r="AP3" s="252">
        <v>20</v>
      </c>
      <c r="AQ3" s="248">
        <v>12</v>
      </c>
      <c r="AR3" s="2"/>
      <c r="AS3" s="124"/>
      <c r="AT3" s="253">
        <v>19</v>
      </c>
      <c r="AU3" s="248">
        <v>19</v>
      </c>
      <c r="AV3" s="248">
        <v>18</v>
      </c>
      <c r="AW3" s="248">
        <v>19</v>
      </c>
      <c r="AX3" s="248">
        <v>22</v>
      </c>
      <c r="AY3" s="248">
        <v>21</v>
      </c>
      <c r="AZ3" s="248">
        <v>21</v>
      </c>
      <c r="BA3" s="248">
        <v>22</v>
      </c>
      <c r="BB3" s="248">
        <v>22</v>
      </c>
      <c r="BC3" s="248">
        <v>21</v>
      </c>
      <c r="BD3" s="248">
        <v>20</v>
      </c>
      <c r="BE3" s="248">
        <v>10</v>
      </c>
      <c r="BF3" s="2"/>
      <c r="BG3" s="125"/>
      <c r="BH3" s="253">
        <v>20</v>
      </c>
      <c r="BI3" s="248">
        <v>17</v>
      </c>
      <c r="BJ3" s="248">
        <v>23</v>
      </c>
      <c r="BK3" s="248">
        <v>18</v>
      </c>
      <c r="BL3" s="248">
        <v>22</v>
      </c>
      <c r="BM3" s="248">
        <v>23</v>
      </c>
      <c r="BN3" s="248">
        <v>21</v>
      </c>
      <c r="BO3" s="248">
        <v>21</v>
      </c>
      <c r="BP3" s="248">
        <v>20</v>
      </c>
      <c r="BQ3" s="248">
        <v>21</v>
      </c>
      <c r="BR3" s="248">
        <v>20</v>
      </c>
      <c r="BS3" s="248">
        <v>14</v>
      </c>
      <c r="BT3" s="253">
        <v>20</v>
      </c>
      <c r="BU3" s="252"/>
      <c r="BV3" s="253">
        <v>19</v>
      </c>
      <c r="BW3" s="248">
        <v>16</v>
      </c>
      <c r="BX3" s="248">
        <v>19</v>
      </c>
      <c r="BY3" s="248">
        <v>22</v>
      </c>
      <c r="BZ3" s="248">
        <v>20</v>
      </c>
      <c r="CA3" s="248">
        <v>20</v>
      </c>
      <c r="CB3" s="248">
        <v>23</v>
      </c>
      <c r="CC3" s="248">
        <v>21</v>
      </c>
      <c r="CD3" s="248">
        <v>21</v>
      </c>
      <c r="CE3" s="248">
        <v>23</v>
      </c>
      <c r="CF3" s="248">
        <v>20</v>
      </c>
      <c r="CG3" s="248">
        <v>13</v>
      </c>
      <c r="CH3" s="248"/>
    </row>
    <row r="4" spans="1:86">
      <c r="A4" s="8"/>
      <c r="B4" s="255"/>
      <c r="C4" s="256"/>
      <c r="D4" s="257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258" t="s">
        <v>26</v>
      </c>
      <c r="Q4" s="10"/>
      <c r="R4" s="257" t="s">
        <v>14</v>
      </c>
      <c r="S4" s="9" t="s">
        <v>15</v>
      </c>
      <c r="T4" s="9" t="s">
        <v>16</v>
      </c>
      <c r="U4" s="9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  <c r="AA4" s="9" t="s">
        <v>23</v>
      </c>
      <c r="AB4" s="9" t="s">
        <v>24</v>
      </c>
      <c r="AC4" s="9" t="s">
        <v>25</v>
      </c>
      <c r="AD4" s="258" t="s">
        <v>26</v>
      </c>
      <c r="AE4" s="11"/>
      <c r="AF4" s="257" t="s">
        <v>14</v>
      </c>
      <c r="AG4" s="9" t="s">
        <v>15</v>
      </c>
      <c r="AH4" s="9" t="s">
        <v>16</v>
      </c>
      <c r="AI4" s="9" t="s">
        <v>17</v>
      </c>
      <c r="AJ4" s="9" t="s">
        <v>18</v>
      </c>
      <c r="AK4" s="9" t="s">
        <v>19</v>
      </c>
      <c r="AL4" s="9" t="s">
        <v>20</v>
      </c>
      <c r="AM4" s="9" t="s">
        <v>21</v>
      </c>
      <c r="AN4" s="9" t="s">
        <v>22</v>
      </c>
      <c r="AO4" s="9" t="s">
        <v>23</v>
      </c>
      <c r="AP4" s="9" t="s">
        <v>24</v>
      </c>
      <c r="AQ4" s="9" t="s">
        <v>25</v>
      </c>
      <c r="AR4" s="9" t="s">
        <v>26</v>
      </c>
      <c r="AS4" s="11"/>
      <c r="AT4" s="9" t="s">
        <v>14</v>
      </c>
      <c r="AU4" s="9" t="s">
        <v>15</v>
      </c>
      <c r="AV4" s="9" t="s">
        <v>16</v>
      </c>
      <c r="AW4" s="9" t="s">
        <v>17</v>
      </c>
      <c r="AX4" s="9" t="s">
        <v>18</v>
      </c>
      <c r="AY4" s="9" t="s">
        <v>19</v>
      </c>
      <c r="AZ4" s="9" t="s">
        <v>20</v>
      </c>
      <c r="BA4" s="9" t="s">
        <v>21</v>
      </c>
      <c r="BB4" s="9" t="s">
        <v>22</v>
      </c>
      <c r="BC4" s="9" t="s">
        <v>23</v>
      </c>
      <c r="BD4" s="9" t="s">
        <v>24</v>
      </c>
      <c r="BE4" s="9" t="s">
        <v>25</v>
      </c>
      <c r="BF4" s="9" t="s">
        <v>26</v>
      </c>
      <c r="BG4" s="10"/>
      <c r="BH4" s="9" t="s">
        <v>14</v>
      </c>
      <c r="BI4" s="9" t="s">
        <v>15</v>
      </c>
      <c r="BJ4" s="9" t="s">
        <v>16</v>
      </c>
      <c r="BK4" s="9" t="s">
        <v>17</v>
      </c>
      <c r="BL4" s="9" t="s">
        <v>18</v>
      </c>
      <c r="BM4" s="9" t="s">
        <v>19</v>
      </c>
      <c r="BN4" s="9" t="s">
        <v>20</v>
      </c>
      <c r="BO4" s="9" t="s">
        <v>21</v>
      </c>
      <c r="BP4" s="9" t="s">
        <v>22</v>
      </c>
      <c r="BQ4" s="9" t="s">
        <v>23</v>
      </c>
      <c r="BR4" s="9" t="s">
        <v>24</v>
      </c>
      <c r="BS4" s="9" t="s">
        <v>25</v>
      </c>
      <c r="BT4" s="9" t="s">
        <v>26</v>
      </c>
      <c r="BU4" s="12"/>
      <c r="BV4" s="9" t="s">
        <v>14</v>
      </c>
      <c r="BW4" s="9" t="s">
        <v>15</v>
      </c>
      <c r="BX4" s="9" t="s">
        <v>16</v>
      </c>
      <c r="BY4" s="9" t="s">
        <v>17</v>
      </c>
      <c r="BZ4" s="9" t="s">
        <v>18</v>
      </c>
      <c r="CA4" s="9" t="s">
        <v>19</v>
      </c>
      <c r="CB4" s="9" t="s">
        <v>20</v>
      </c>
      <c r="CC4" s="9" t="s">
        <v>21</v>
      </c>
      <c r="CD4" s="9" t="s">
        <v>22</v>
      </c>
      <c r="CE4" s="9" t="s">
        <v>23</v>
      </c>
      <c r="CF4" s="9" t="s">
        <v>24</v>
      </c>
      <c r="CG4" s="9" t="s">
        <v>25</v>
      </c>
      <c r="CH4" s="9" t="s">
        <v>26</v>
      </c>
    </row>
    <row r="5" spans="1:86">
      <c r="A5" s="13"/>
      <c r="B5" s="259"/>
      <c r="C5" s="260"/>
      <c r="D5" s="261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262"/>
      <c r="Q5" s="15"/>
      <c r="R5" s="261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263"/>
      <c r="AE5" s="16"/>
      <c r="AF5" s="261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7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7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8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</row>
    <row r="6" spans="1:86">
      <c r="A6" s="13" t="s">
        <v>28</v>
      </c>
      <c r="B6" s="259" t="s">
        <v>263</v>
      </c>
      <c r="C6" s="260"/>
      <c r="D6" s="261">
        <f t="shared" ref="D6:O6" si="0">SUM(D7:D9)</f>
        <v>304786</v>
      </c>
      <c r="E6" s="14">
        <f t="shared" si="0"/>
        <v>311986</v>
      </c>
      <c r="F6" s="14">
        <f t="shared" si="0"/>
        <v>328231</v>
      </c>
      <c r="G6" s="14">
        <f t="shared" si="0"/>
        <v>317873</v>
      </c>
      <c r="H6" s="14">
        <f t="shared" si="0"/>
        <v>347196</v>
      </c>
      <c r="I6" s="14">
        <f t="shared" si="0"/>
        <v>402253</v>
      </c>
      <c r="J6" s="14">
        <f t="shared" si="0"/>
        <v>454488</v>
      </c>
      <c r="K6" s="14">
        <f t="shared" si="0"/>
        <v>447182</v>
      </c>
      <c r="L6" s="14">
        <f t="shared" si="0"/>
        <v>416931</v>
      </c>
      <c r="M6" s="14">
        <f t="shared" si="0"/>
        <v>304402</v>
      </c>
      <c r="N6" s="14">
        <f t="shared" si="0"/>
        <v>0</v>
      </c>
      <c r="O6" s="14">
        <f t="shared" si="0"/>
        <v>188264</v>
      </c>
      <c r="P6" s="262"/>
      <c r="Q6" s="15"/>
      <c r="R6" s="14">
        <f t="shared" ref="R6:AC6" si="1">SUM(R7:R9)</f>
        <v>283359</v>
      </c>
      <c r="S6" s="14">
        <f t="shared" si="1"/>
        <v>342718</v>
      </c>
      <c r="T6" s="14">
        <f t="shared" si="1"/>
        <v>313212</v>
      </c>
      <c r="U6" s="14">
        <f t="shared" si="1"/>
        <v>298093</v>
      </c>
      <c r="V6" s="14">
        <f t="shared" si="1"/>
        <v>206617</v>
      </c>
      <c r="W6" s="14">
        <f t="shared" si="1"/>
        <v>235875</v>
      </c>
      <c r="X6" s="14">
        <f t="shared" si="1"/>
        <v>360135</v>
      </c>
      <c r="Y6" s="14">
        <f t="shared" si="1"/>
        <v>361665</v>
      </c>
      <c r="Z6" s="14">
        <f t="shared" si="1"/>
        <v>353400</v>
      </c>
      <c r="AA6" s="14">
        <f t="shared" si="1"/>
        <v>272097</v>
      </c>
      <c r="AB6" s="14">
        <f t="shared" si="1"/>
        <v>170626</v>
      </c>
      <c r="AC6" s="14">
        <f t="shared" si="1"/>
        <v>197551</v>
      </c>
      <c r="AD6" s="263"/>
      <c r="AE6" s="16"/>
      <c r="AF6" s="14">
        <f t="shared" ref="AF6:AQ6" si="2">SUM(AF7:AF10)</f>
        <v>246973</v>
      </c>
      <c r="AG6" s="14">
        <f t="shared" si="2"/>
        <v>281087</v>
      </c>
      <c r="AH6" s="14">
        <f t="shared" si="2"/>
        <v>386469</v>
      </c>
      <c r="AI6" s="14">
        <f t="shared" si="2"/>
        <v>379017</v>
      </c>
      <c r="AJ6" s="14">
        <f t="shared" si="2"/>
        <v>400777</v>
      </c>
      <c r="AK6" s="14">
        <f t="shared" si="2"/>
        <v>465623</v>
      </c>
      <c r="AL6" s="14">
        <f t="shared" si="2"/>
        <v>472149</v>
      </c>
      <c r="AM6" s="14">
        <f t="shared" si="2"/>
        <v>492339</v>
      </c>
      <c r="AN6" s="14">
        <f t="shared" si="2"/>
        <v>450428</v>
      </c>
      <c r="AO6" s="14">
        <f t="shared" si="2"/>
        <v>391441</v>
      </c>
      <c r="AP6" s="14">
        <f t="shared" si="2"/>
        <v>325482</v>
      </c>
      <c r="AQ6" s="14">
        <f t="shared" si="2"/>
        <v>321014</v>
      </c>
      <c r="AR6" s="14">
        <f t="shared" ref="AR6:AR14" si="3">AQ6</f>
        <v>321014</v>
      </c>
      <c r="AS6" s="17"/>
      <c r="AT6" s="14">
        <f t="shared" ref="AT6:BE6" si="4">SUM(AT7:AT10)</f>
        <v>350303</v>
      </c>
      <c r="AU6" s="14">
        <f t="shared" si="4"/>
        <v>323931</v>
      </c>
      <c r="AV6" s="14">
        <f t="shared" si="4"/>
        <v>307980</v>
      </c>
      <c r="AW6" s="14">
        <f t="shared" si="4"/>
        <v>292777</v>
      </c>
      <c r="AX6" s="14">
        <f t="shared" si="4"/>
        <v>296754</v>
      </c>
      <c r="AY6" s="14">
        <f t="shared" si="4"/>
        <v>344037</v>
      </c>
      <c r="AZ6" s="14">
        <f t="shared" si="4"/>
        <v>367566</v>
      </c>
      <c r="BA6" s="14">
        <f t="shared" si="4"/>
        <v>372442</v>
      </c>
      <c r="BB6" s="14">
        <f t="shared" si="4"/>
        <v>375154</v>
      </c>
      <c r="BC6" s="14">
        <f t="shared" si="4"/>
        <v>340466</v>
      </c>
      <c r="BD6" s="14">
        <f t="shared" si="4"/>
        <v>314581</v>
      </c>
      <c r="BE6" s="14">
        <f t="shared" si="4"/>
        <v>253219</v>
      </c>
      <c r="BF6" s="14">
        <f t="shared" ref="BF6:BF11" si="5">BE6</f>
        <v>253219</v>
      </c>
      <c r="BG6" s="17"/>
      <c r="BH6" s="14">
        <f t="shared" ref="BH6:BR6" si="6">SUM(BH7:BH10)</f>
        <v>307512</v>
      </c>
      <c r="BI6" s="14">
        <f t="shared" si="6"/>
        <v>302058</v>
      </c>
      <c r="BJ6" s="14">
        <f t="shared" si="6"/>
        <v>315841</v>
      </c>
      <c r="BK6" s="14">
        <f t="shared" si="6"/>
        <v>306027</v>
      </c>
      <c r="BL6" s="14">
        <f t="shared" si="6"/>
        <v>299077</v>
      </c>
      <c r="BM6" s="14">
        <f t="shared" si="6"/>
        <v>293121</v>
      </c>
      <c r="BN6" s="14">
        <f t="shared" si="6"/>
        <v>335286</v>
      </c>
      <c r="BO6" s="14">
        <f t="shared" si="6"/>
        <v>322561</v>
      </c>
      <c r="BP6" s="14">
        <f t="shared" si="6"/>
        <v>304307</v>
      </c>
      <c r="BQ6" s="14">
        <f t="shared" si="6"/>
        <v>280100</v>
      </c>
      <c r="BR6" s="14">
        <f t="shared" si="6"/>
        <v>215852</v>
      </c>
      <c r="BS6" s="14">
        <f>BR6+BS57-BR16*0.5-BS16*0.8</f>
        <v>210633.22</v>
      </c>
      <c r="BT6" s="14">
        <f t="shared" ref="BT6:BT14" si="7">BS6</f>
        <v>210633.22</v>
      </c>
      <c r="BU6" s="18"/>
      <c r="BV6" s="14">
        <f>BT6+BV57-BV16</f>
        <v>183559.37417939919</v>
      </c>
      <c r="BW6" s="14">
        <f t="shared" ref="BW6:CG6" si="8">BV6+BW57-BW16</f>
        <v>177574.97427146428</v>
      </c>
      <c r="BX6" s="14">
        <f t="shared" si="8"/>
        <v>124751.44255493282</v>
      </c>
      <c r="BY6" s="14">
        <f t="shared" si="8"/>
        <v>162646.86182007444</v>
      </c>
      <c r="BZ6" s="14">
        <f t="shared" si="8"/>
        <v>128848.6068077813</v>
      </c>
      <c r="CA6" s="14">
        <f t="shared" si="8"/>
        <v>99478.06229681996</v>
      </c>
      <c r="CB6" s="14">
        <f t="shared" si="8"/>
        <v>85995.714745448087</v>
      </c>
      <c r="CC6" s="14">
        <f t="shared" si="8"/>
        <v>74886.302575992333</v>
      </c>
      <c r="CD6" s="14">
        <f t="shared" si="8"/>
        <v>63364.790406536544</v>
      </c>
      <c r="CE6" s="14">
        <f t="shared" si="8"/>
        <v>54916.998132576409</v>
      </c>
      <c r="CF6" s="14">
        <f t="shared" si="8"/>
        <v>40462.461499681114</v>
      </c>
      <c r="CG6" s="14">
        <f t="shared" si="8"/>
        <v>29362.96035804096</v>
      </c>
      <c r="CH6" s="14">
        <f t="shared" ref="CH6:CH14" si="9">CG6</f>
        <v>29362.96035804096</v>
      </c>
    </row>
    <row r="7" spans="1:86">
      <c r="A7" s="19">
        <v>1</v>
      </c>
      <c r="B7" s="158" t="s">
        <v>264</v>
      </c>
      <c r="C7" s="264"/>
      <c r="D7" s="265">
        <v>197000</v>
      </c>
      <c r="E7" s="20">
        <v>223027</v>
      </c>
      <c r="F7" s="20">
        <v>230513</v>
      </c>
      <c r="G7" s="20">
        <v>231174</v>
      </c>
      <c r="H7" s="20">
        <v>255028</v>
      </c>
      <c r="I7" s="20">
        <f>316386+3241</f>
        <v>319627</v>
      </c>
      <c r="J7" s="20">
        <v>377712</v>
      </c>
      <c r="K7" s="20">
        <v>382411</v>
      </c>
      <c r="L7" s="20">
        <v>394107</v>
      </c>
      <c r="M7" s="20">
        <v>267954</v>
      </c>
      <c r="N7" s="20"/>
      <c r="O7" s="20">
        <v>143875</v>
      </c>
      <c r="P7" s="266"/>
      <c r="Q7" s="21"/>
      <c r="R7" s="265">
        <v>208084</v>
      </c>
      <c r="S7" s="22">
        <v>268431</v>
      </c>
      <c r="T7" s="22">
        <v>250616</v>
      </c>
      <c r="U7" s="22">
        <v>237088</v>
      </c>
      <c r="V7" s="22">
        <v>147777</v>
      </c>
      <c r="W7" s="22">
        <v>215818</v>
      </c>
      <c r="X7" s="22">
        <v>273510</v>
      </c>
      <c r="Y7" s="22">
        <v>299059</v>
      </c>
      <c r="Z7" s="22">
        <v>304980</v>
      </c>
      <c r="AA7" s="22">
        <v>231197</v>
      </c>
      <c r="AB7" s="22">
        <v>143086</v>
      </c>
      <c r="AC7" s="22">
        <v>172491</v>
      </c>
      <c r="AD7" s="267"/>
      <c r="AE7" s="23"/>
      <c r="AF7" s="22">
        <v>198695</v>
      </c>
      <c r="AG7" s="22">
        <v>234210</v>
      </c>
      <c r="AH7" s="22">
        <v>327560</v>
      </c>
      <c r="AI7" s="22">
        <v>332523</v>
      </c>
      <c r="AJ7" s="24">
        <v>356667</v>
      </c>
      <c r="AK7" s="22">
        <v>384165</v>
      </c>
      <c r="AL7" s="22">
        <v>317268</v>
      </c>
      <c r="AM7" s="22">
        <v>370708</v>
      </c>
      <c r="AN7" s="22">
        <v>354503</v>
      </c>
      <c r="AO7" s="22">
        <v>314605</v>
      </c>
      <c r="AP7" s="25">
        <v>90490</v>
      </c>
      <c r="AQ7" s="22">
        <v>58348</v>
      </c>
      <c r="AR7" s="22">
        <f t="shared" si="3"/>
        <v>58348</v>
      </c>
      <c r="AS7" s="23"/>
      <c r="AT7" s="22">
        <v>158701</v>
      </c>
      <c r="AU7" s="22">
        <v>115369</v>
      </c>
      <c r="AV7" s="22">
        <v>142379</v>
      </c>
      <c r="AW7" s="22">
        <v>118765</v>
      </c>
      <c r="AX7" s="22">
        <v>113246</v>
      </c>
      <c r="AY7" s="22">
        <v>106776</v>
      </c>
      <c r="AZ7" s="22">
        <v>175234</v>
      </c>
      <c r="BA7" s="22">
        <v>151553</v>
      </c>
      <c r="BB7" s="26">
        <v>167082</v>
      </c>
      <c r="BC7" s="22">
        <v>150959</v>
      </c>
      <c r="BD7" s="22">
        <v>119787</v>
      </c>
      <c r="BE7" s="22">
        <v>65426</v>
      </c>
      <c r="BF7" s="22">
        <f t="shared" si="5"/>
        <v>65426</v>
      </c>
      <c r="BG7" s="27"/>
      <c r="BH7" s="22">
        <v>166918</v>
      </c>
      <c r="BI7" s="22">
        <v>167160</v>
      </c>
      <c r="BJ7" s="22">
        <v>204571</v>
      </c>
      <c r="BK7" s="22">
        <v>153197</v>
      </c>
      <c r="BL7" s="22">
        <v>196798</v>
      </c>
      <c r="BM7" s="22">
        <v>145596</v>
      </c>
      <c r="BN7" s="22">
        <v>166021</v>
      </c>
      <c r="BO7" s="22">
        <v>211305</v>
      </c>
      <c r="BP7" s="22">
        <v>201071</v>
      </c>
      <c r="BQ7" s="22">
        <v>177743</v>
      </c>
      <c r="BR7" s="22">
        <v>144020</v>
      </c>
      <c r="BS7" s="22"/>
      <c r="BT7" s="22">
        <f t="shared" si="7"/>
        <v>0</v>
      </c>
      <c r="BU7" s="28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>
        <f t="shared" si="9"/>
        <v>0</v>
      </c>
    </row>
    <row r="8" spans="1:86">
      <c r="A8" s="19">
        <v>2</v>
      </c>
      <c r="B8" s="158" t="s">
        <v>265</v>
      </c>
      <c r="C8" s="264"/>
      <c r="D8" s="265">
        <v>73670</v>
      </c>
      <c r="E8" s="20">
        <v>59682</v>
      </c>
      <c r="F8" s="20">
        <v>54710</v>
      </c>
      <c r="G8" s="20">
        <v>56175</v>
      </c>
      <c r="H8" s="20">
        <v>58933</v>
      </c>
      <c r="I8" s="20">
        <v>42784</v>
      </c>
      <c r="J8" s="20">
        <v>35755</v>
      </c>
      <c r="K8" s="20">
        <v>33547</v>
      </c>
      <c r="L8" s="20">
        <v>22824</v>
      </c>
      <c r="M8" s="20">
        <v>26162</v>
      </c>
      <c r="N8" s="20"/>
      <c r="O8" s="20">
        <v>44389</v>
      </c>
      <c r="P8" s="266"/>
      <c r="Q8" s="21"/>
      <c r="R8" s="265">
        <v>39759</v>
      </c>
      <c r="S8" s="22">
        <v>38325</v>
      </c>
      <c r="T8" s="22">
        <v>26634</v>
      </c>
      <c r="U8" s="22">
        <f>14430+2754+7859</f>
        <v>25043</v>
      </c>
      <c r="V8" s="22">
        <v>23840</v>
      </c>
      <c r="W8" s="22">
        <v>20057</v>
      </c>
      <c r="X8" s="22">
        <v>80502</v>
      </c>
      <c r="Y8" s="22">
        <v>56483</v>
      </c>
      <c r="Z8" s="22">
        <v>44233</v>
      </c>
      <c r="AA8" s="22">
        <v>38155</v>
      </c>
      <c r="AB8" s="22">
        <v>27540</v>
      </c>
      <c r="AC8" s="22">
        <v>25060</v>
      </c>
      <c r="AD8" s="267"/>
      <c r="AE8" s="23"/>
      <c r="AF8" s="22">
        <v>21326</v>
      </c>
      <c r="AG8" s="22">
        <v>17804</v>
      </c>
      <c r="AH8" s="22">
        <v>27157</v>
      </c>
      <c r="AI8" s="22">
        <v>19677</v>
      </c>
      <c r="AJ8" s="22">
        <v>18817</v>
      </c>
      <c r="AK8" s="22">
        <v>25034</v>
      </c>
      <c r="AL8" s="22">
        <v>28090</v>
      </c>
      <c r="AM8" s="22">
        <v>25660</v>
      </c>
      <c r="AN8" s="22">
        <v>33752</v>
      </c>
      <c r="AO8" s="22">
        <v>24699</v>
      </c>
      <c r="AP8" s="25">
        <v>19340</v>
      </c>
      <c r="AQ8" s="22">
        <v>29842</v>
      </c>
      <c r="AR8" s="22">
        <f t="shared" si="3"/>
        <v>29842</v>
      </c>
      <c r="AS8" s="23"/>
      <c r="AT8" s="22">
        <v>46493</v>
      </c>
      <c r="AU8" s="22">
        <v>37125</v>
      </c>
      <c r="AV8" s="22">
        <v>38574</v>
      </c>
      <c r="AW8" s="22">
        <v>43626</v>
      </c>
      <c r="AX8" s="22">
        <v>39641</v>
      </c>
      <c r="AY8" s="22">
        <v>55553</v>
      </c>
      <c r="AZ8" s="22">
        <v>48023</v>
      </c>
      <c r="BA8" s="22">
        <v>55043</v>
      </c>
      <c r="BB8" s="26">
        <v>50383</v>
      </c>
      <c r="BC8" s="22">
        <v>54355</v>
      </c>
      <c r="BD8" s="22">
        <v>82473</v>
      </c>
      <c r="BE8" s="22">
        <v>65398</v>
      </c>
      <c r="BF8" s="22">
        <f t="shared" si="5"/>
        <v>65398</v>
      </c>
      <c r="BG8" s="27"/>
      <c r="BH8" s="22">
        <v>68747</v>
      </c>
      <c r="BI8" s="22">
        <v>62843</v>
      </c>
      <c r="BJ8" s="22">
        <v>62154</v>
      </c>
      <c r="BK8" s="22">
        <v>49337</v>
      </c>
      <c r="BL8" s="22">
        <v>27730</v>
      </c>
      <c r="BM8" s="22">
        <v>42459</v>
      </c>
      <c r="BN8" s="22">
        <v>44049</v>
      </c>
      <c r="BO8" s="22">
        <v>29196</v>
      </c>
      <c r="BP8" s="22">
        <v>36882</v>
      </c>
      <c r="BQ8" s="22">
        <v>35965</v>
      </c>
      <c r="BR8" s="22">
        <v>31343</v>
      </c>
      <c r="BS8" s="22"/>
      <c r="BT8" s="22">
        <f t="shared" si="7"/>
        <v>0</v>
      </c>
      <c r="BU8" s="28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>
        <f t="shared" si="9"/>
        <v>0</v>
      </c>
    </row>
    <row r="9" spans="1:86">
      <c r="A9" s="19">
        <v>3</v>
      </c>
      <c r="B9" s="158" t="s">
        <v>266</v>
      </c>
      <c r="C9" s="264"/>
      <c r="D9" s="268">
        <v>34116</v>
      </c>
      <c r="E9" s="269">
        <v>29277</v>
      </c>
      <c r="F9" s="269">
        <v>43008</v>
      </c>
      <c r="G9" s="269">
        <v>30524</v>
      </c>
      <c r="H9" s="269">
        <v>33235</v>
      </c>
      <c r="I9" s="269">
        <v>39842</v>
      </c>
      <c r="J9" s="269">
        <v>41021</v>
      </c>
      <c r="K9" s="269">
        <v>31224</v>
      </c>
      <c r="L9" s="269"/>
      <c r="M9" s="269">
        <v>10286</v>
      </c>
      <c r="N9" s="269"/>
      <c r="O9" s="269"/>
      <c r="P9" s="266"/>
      <c r="Q9" s="21"/>
      <c r="R9" s="268">
        <v>35516</v>
      </c>
      <c r="S9" s="270">
        <v>35962</v>
      </c>
      <c r="T9" s="270">
        <v>35962</v>
      </c>
      <c r="U9" s="270">
        <v>35962</v>
      </c>
      <c r="V9" s="270">
        <v>35000</v>
      </c>
      <c r="W9" s="270"/>
      <c r="X9" s="270">
        <v>6123</v>
      </c>
      <c r="Y9" s="270">
        <v>6123</v>
      </c>
      <c r="Z9" s="270">
        <v>4187</v>
      </c>
      <c r="AA9" s="270">
        <v>2745</v>
      </c>
      <c r="AB9" s="270"/>
      <c r="AC9" s="270"/>
      <c r="AD9" s="267"/>
      <c r="AE9" s="23"/>
      <c r="AF9" s="270">
        <v>8366</v>
      </c>
      <c r="AG9" s="270">
        <v>11534</v>
      </c>
      <c r="AH9" s="270">
        <v>11507</v>
      </c>
      <c r="AI9" s="270">
        <v>9148</v>
      </c>
      <c r="AJ9" s="22">
        <v>8524</v>
      </c>
      <c r="AK9" s="270">
        <v>25290</v>
      </c>
      <c r="AL9" s="270">
        <v>91080</v>
      </c>
      <c r="AM9" s="270">
        <v>66830</v>
      </c>
      <c r="AN9" s="270">
        <v>36866</v>
      </c>
      <c r="AO9" s="270">
        <v>16173</v>
      </c>
      <c r="AP9" s="271">
        <v>178274</v>
      </c>
      <c r="AQ9" s="270">
        <v>210665</v>
      </c>
      <c r="AR9" s="22">
        <f t="shared" si="3"/>
        <v>210665</v>
      </c>
      <c r="AS9" s="23"/>
      <c r="AT9" s="270">
        <v>121075</v>
      </c>
      <c r="AU9" s="270">
        <v>149376</v>
      </c>
      <c r="AV9" s="270">
        <v>104538</v>
      </c>
      <c r="AW9" s="270">
        <v>105262</v>
      </c>
      <c r="AX9" s="270">
        <v>121073</v>
      </c>
      <c r="AY9" s="270">
        <v>163931</v>
      </c>
      <c r="AZ9" s="270">
        <v>109964</v>
      </c>
      <c r="BA9" s="270">
        <v>148266</v>
      </c>
      <c r="BB9" s="26">
        <v>130697</v>
      </c>
      <c r="BC9" s="270">
        <v>113779</v>
      </c>
      <c r="BD9" s="270">
        <v>91119</v>
      </c>
      <c r="BE9" s="270">
        <v>103286</v>
      </c>
      <c r="BF9" s="22">
        <f t="shared" si="5"/>
        <v>103286</v>
      </c>
      <c r="BG9" s="27"/>
      <c r="BH9" s="270">
        <v>49631</v>
      </c>
      <c r="BI9" s="270">
        <v>52953</v>
      </c>
      <c r="BJ9" s="270">
        <v>28440</v>
      </c>
      <c r="BK9" s="270">
        <v>83601</v>
      </c>
      <c r="BL9" s="22">
        <v>25812</v>
      </c>
      <c r="BM9" s="22">
        <v>59545</v>
      </c>
      <c r="BN9" s="22">
        <v>83435</v>
      </c>
      <c r="BO9" s="22">
        <v>34041</v>
      </c>
      <c r="BP9" s="22">
        <v>22399</v>
      </c>
      <c r="BQ9" s="22">
        <v>24887</v>
      </c>
      <c r="BR9" s="22">
        <v>12183</v>
      </c>
      <c r="BS9" s="22"/>
      <c r="BT9" s="22">
        <f t="shared" si="7"/>
        <v>0</v>
      </c>
      <c r="BU9" s="28"/>
      <c r="BV9" s="270"/>
      <c r="BW9" s="270"/>
      <c r="BX9" s="270"/>
      <c r="BY9" s="270"/>
      <c r="BZ9" s="22"/>
      <c r="CA9" s="22"/>
      <c r="CB9" s="22"/>
      <c r="CC9" s="22"/>
      <c r="CD9" s="22"/>
      <c r="CE9" s="22"/>
      <c r="CF9" s="22"/>
      <c r="CG9" s="22"/>
      <c r="CH9" s="22">
        <f t="shared" si="9"/>
        <v>0</v>
      </c>
    </row>
    <row r="10" spans="1:86">
      <c r="A10" s="19">
        <v>1</v>
      </c>
      <c r="B10" s="158" t="s">
        <v>267</v>
      </c>
      <c r="C10" s="159"/>
      <c r="D10" s="265">
        <v>6409</v>
      </c>
      <c r="E10" s="20">
        <v>6860</v>
      </c>
      <c r="F10" s="20">
        <v>4970</v>
      </c>
      <c r="G10" s="20">
        <v>31203</v>
      </c>
      <c r="H10" s="20">
        <v>31499</v>
      </c>
      <c r="I10" s="20">
        <v>25903</v>
      </c>
      <c r="J10" s="20">
        <v>18606</v>
      </c>
      <c r="K10" s="20">
        <v>16014</v>
      </c>
      <c r="L10" s="20">
        <v>13416</v>
      </c>
      <c r="M10" s="20">
        <v>40079</v>
      </c>
      <c r="N10" s="20"/>
      <c r="O10" s="20">
        <v>0</v>
      </c>
      <c r="P10" s="266"/>
      <c r="Q10" s="21"/>
      <c r="R10" s="265">
        <v>3376</v>
      </c>
      <c r="S10" s="22">
        <v>11736</v>
      </c>
      <c r="T10" s="22">
        <v>22454</v>
      </c>
      <c r="U10" s="22">
        <v>21384</v>
      </c>
      <c r="V10" s="22">
        <v>66870</v>
      </c>
      <c r="W10" s="22">
        <v>73769</v>
      </c>
      <c r="X10" s="22">
        <v>13944</v>
      </c>
      <c r="Y10" s="22">
        <v>32750</v>
      </c>
      <c r="Z10" s="22">
        <v>18536</v>
      </c>
      <c r="AA10" s="22">
        <v>40211</v>
      </c>
      <c r="AB10" s="22">
        <v>44457</v>
      </c>
      <c r="AC10" s="22">
        <v>24504</v>
      </c>
      <c r="AD10" s="267"/>
      <c r="AE10" s="23"/>
      <c r="AF10" s="22">
        <v>18586</v>
      </c>
      <c r="AG10" s="22">
        <v>17539</v>
      </c>
      <c r="AH10" s="22">
        <v>20245</v>
      </c>
      <c r="AI10" s="22">
        <v>17669</v>
      </c>
      <c r="AJ10" s="22">
        <v>16769</v>
      </c>
      <c r="AK10" s="22">
        <v>31134</v>
      </c>
      <c r="AL10" s="22">
        <v>35711</v>
      </c>
      <c r="AM10" s="22">
        <v>29141</v>
      </c>
      <c r="AN10" s="22">
        <v>25307</v>
      </c>
      <c r="AO10" s="22">
        <v>35964</v>
      </c>
      <c r="AP10" s="25">
        <v>37378</v>
      </c>
      <c r="AQ10" s="22">
        <v>22159</v>
      </c>
      <c r="AR10" s="22">
        <f t="shared" si="3"/>
        <v>22159</v>
      </c>
      <c r="AS10" s="23"/>
      <c r="AT10" s="22">
        <v>24034</v>
      </c>
      <c r="AU10" s="270">
        <v>22061</v>
      </c>
      <c r="AV10" s="22">
        <v>22489</v>
      </c>
      <c r="AW10" s="22">
        <v>25124</v>
      </c>
      <c r="AX10" s="22">
        <v>22794</v>
      </c>
      <c r="AY10" s="22">
        <v>17777</v>
      </c>
      <c r="AZ10" s="22">
        <v>34345</v>
      </c>
      <c r="BA10" s="22">
        <v>17580</v>
      </c>
      <c r="BB10" s="26">
        <v>26992</v>
      </c>
      <c r="BC10" s="22">
        <v>21373</v>
      </c>
      <c r="BD10" s="22">
        <v>21202</v>
      </c>
      <c r="BE10" s="22">
        <v>19109</v>
      </c>
      <c r="BF10" s="22">
        <f t="shared" si="5"/>
        <v>19109</v>
      </c>
      <c r="BG10" s="27"/>
      <c r="BH10" s="22">
        <v>22216</v>
      </c>
      <c r="BI10" s="270">
        <v>19102</v>
      </c>
      <c r="BJ10" s="22">
        <v>20676</v>
      </c>
      <c r="BK10" s="22">
        <v>19892</v>
      </c>
      <c r="BL10" s="22">
        <v>48737</v>
      </c>
      <c r="BM10" s="22">
        <v>45521</v>
      </c>
      <c r="BN10" s="22">
        <v>41781</v>
      </c>
      <c r="BO10" s="22">
        <v>48019</v>
      </c>
      <c r="BP10" s="22">
        <v>43955</v>
      </c>
      <c r="BQ10" s="22">
        <v>41505</v>
      </c>
      <c r="BR10" s="22">
        <v>28306</v>
      </c>
      <c r="BS10" s="22"/>
      <c r="BT10" s="22">
        <f t="shared" si="7"/>
        <v>0</v>
      </c>
      <c r="BU10" s="28"/>
      <c r="BV10" s="22"/>
      <c r="BW10" s="270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>
        <f t="shared" si="9"/>
        <v>0</v>
      </c>
    </row>
    <row r="11" spans="1:86">
      <c r="A11" s="29"/>
      <c r="B11" s="272" t="s">
        <v>41</v>
      </c>
      <c r="C11" s="273"/>
      <c r="D11" s="274">
        <f t="shared" ref="D11:O11" si="10">D6-D9</f>
        <v>270670</v>
      </c>
      <c r="E11" s="30">
        <f t="shared" si="10"/>
        <v>282709</v>
      </c>
      <c r="F11" s="30">
        <f t="shared" si="10"/>
        <v>285223</v>
      </c>
      <c r="G11" s="30">
        <f t="shared" si="10"/>
        <v>287349</v>
      </c>
      <c r="H11" s="30">
        <f t="shared" si="10"/>
        <v>313961</v>
      </c>
      <c r="I11" s="30">
        <f t="shared" si="10"/>
        <v>362411</v>
      </c>
      <c r="J11" s="30">
        <f t="shared" si="10"/>
        <v>413467</v>
      </c>
      <c r="K11" s="30">
        <f t="shared" si="10"/>
        <v>415958</v>
      </c>
      <c r="L11" s="30">
        <f t="shared" si="10"/>
        <v>416931</v>
      </c>
      <c r="M11" s="30">
        <f t="shared" si="10"/>
        <v>294116</v>
      </c>
      <c r="N11" s="30">
        <f t="shared" si="10"/>
        <v>0</v>
      </c>
      <c r="O11" s="30">
        <f t="shared" si="10"/>
        <v>188264</v>
      </c>
      <c r="P11" s="275"/>
      <c r="Q11" s="31"/>
      <c r="R11" s="274">
        <f t="shared" ref="R11:AB11" si="11">R6-R9</f>
        <v>247843</v>
      </c>
      <c r="S11" s="32">
        <f t="shared" si="11"/>
        <v>306756</v>
      </c>
      <c r="T11" s="32">
        <f t="shared" si="11"/>
        <v>277250</v>
      </c>
      <c r="U11" s="32">
        <f t="shared" si="11"/>
        <v>262131</v>
      </c>
      <c r="V11" s="32">
        <f t="shared" si="11"/>
        <v>171617</v>
      </c>
      <c r="W11" s="32">
        <f t="shared" si="11"/>
        <v>235875</v>
      </c>
      <c r="X11" s="32">
        <f t="shared" si="11"/>
        <v>354012</v>
      </c>
      <c r="Y11" s="32">
        <f t="shared" si="11"/>
        <v>355542</v>
      </c>
      <c r="Z11" s="32">
        <f t="shared" si="11"/>
        <v>349213</v>
      </c>
      <c r="AA11" s="32">
        <f t="shared" si="11"/>
        <v>269352</v>
      </c>
      <c r="AB11" s="32">
        <f t="shared" si="11"/>
        <v>170626</v>
      </c>
      <c r="AC11" s="32"/>
      <c r="AD11" s="276"/>
      <c r="AE11" s="17"/>
      <c r="AF11" s="32">
        <f t="shared" ref="AF11:AQ11" si="12">AF6-AF9</f>
        <v>238607</v>
      </c>
      <c r="AG11" s="32">
        <f t="shared" si="12"/>
        <v>269553</v>
      </c>
      <c r="AH11" s="32">
        <f t="shared" si="12"/>
        <v>374962</v>
      </c>
      <c r="AI11" s="32">
        <f t="shared" si="12"/>
        <v>369869</v>
      </c>
      <c r="AJ11" s="32">
        <f t="shared" si="12"/>
        <v>392253</v>
      </c>
      <c r="AK11" s="32">
        <f t="shared" si="12"/>
        <v>440333</v>
      </c>
      <c r="AL11" s="32">
        <f t="shared" si="12"/>
        <v>381069</v>
      </c>
      <c r="AM11" s="32">
        <f t="shared" si="12"/>
        <v>425509</v>
      </c>
      <c r="AN11" s="32">
        <f t="shared" si="12"/>
        <v>413562</v>
      </c>
      <c r="AO11" s="32">
        <f t="shared" si="12"/>
        <v>375268</v>
      </c>
      <c r="AP11" s="32">
        <f t="shared" si="12"/>
        <v>147208</v>
      </c>
      <c r="AQ11" s="32">
        <f t="shared" si="12"/>
        <v>110349</v>
      </c>
      <c r="AR11" s="32">
        <f t="shared" si="3"/>
        <v>110349</v>
      </c>
      <c r="AS11" s="17"/>
      <c r="AT11" s="32">
        <f t="shared" ref="AT11:BE11" si="13">AT6-AT9</f>
        <v>229228</v>
      </c>
      <c r="AU11" s="32">
        <f t="shared" si="13"/>
        <v>174555</v>
      </c>
      <c r="AV11" s="32">
        <f t="shared" si="13"/>
        <v>203442</v>
      </c>
      <c r="AW11" s="32">
        <f t="shared" si="13"/>
        <v>187515</v>
      </c>
      <c r="AX11" s="32">
        <f t="shared" si="13"/>
        <v>175681</v>
      </c>
      <c r="AY11" s="32">
        <f t="shared" si="13"/>
        <v>180106</v>
      </c>
      <c r="AZ11" s="32">
        <f t="shared" si="13"/>
        <v>257602</v>
      </c>
      <c r="BA11" s="32">
        <f t="shared" si="13"/>
        <v>224176</v>
      </c>
      <c r="BB11" s="32">
        <f t="shared" si="13"/>
        <v>244457</v>
      </c>
      <c r="BC11" s="32">
        <f t="shared" si="13"/>
        <v>226687</v>
      </c>
      <c r="BD11" s="32">
        <f t="shared" si="13"/>
        <v>223462</v>
      </c>
      <c r="BE11" s="32">
        <f t="shared" si="13"/>
        <v>149933</v>
      </c>
      <c r="BF11" s="32">
        <f t="shared" si="5"/>
        <v>149933</v>
      </c>
      <c r="BG11" s="17"/>
      <c r="BH11" s="32">
        <f t="shared" ref="BH11:BS11" si="14">BH6-BH9</f>
        <v>257881</v>
      </c>
      <c r="BI11" s="32">
        <f t="shared" si="14"/>
        <v>249105</v>
      </c>
      <c r="BJ11" s="32">
        <f t="shared" si="14"/>
        <v>287401</v>
      </c>
      <c r="BK11" s="32">
        <f t="shared" si="14"/>
        <v>222426</v>
      </c>
      <c r="BL11" s="32">
        <f t="shared" si="14"/>
        <v>273265</v>
      </c>
      <c r="BM11" s="32">
        <f t="shared" si="14"/>
        <v>233576</v>
      </c>
      <c r="BN11" s="32">
        <f t="shared" si="14"/>
        <v>251851</v>
      </c>
      <c r="BO11" s="32">
        <f t="shared" si="14"/>
        <v>288520</v>
      </c>
      <c r="BP11" s="32">
        <f t="shared" si="14"/>
        <v>281908</v>
      </c>
      <c r="BQ11" s="32">
        <f t="shared" si="14"/>
        <v>255213</v>
      </c>
      <c r="BR11" s="32">
        <f t="shared" si="14"/>
        <v>203669</v>
      </c>
      <c r="BS11" s="32">
        <f t="shared" si="14"/>
        <v>210633.22</v>
      </c>
      <c r="BT11" s="32">
        <f t="shared" si="7"/>
        <v>210633.22</v>
      </c>
      <c r="BU11" s="28"/>
      <c r="BV11" s="32">
        <f t="shared" ref="BV11:CG11" si="15">BV6-BV9</f>
        <v>183559.37417939919</v>
      </c>
      <c r="BW11" s="32">
        <f t="shared" si="15"/>
        <v>177574.97427146428</v>
      </c>
      <c r="BX11" s="32">
        <f t="shared" si="15"/>
        <v>124751.44255493282</v>
      </c>
      <c r="BY11" s="32">
        <f t="shared" si="15"/>
        <v>162646.86182007444</v>
      </c>
      <c r="BZ11" s="32">
        <f t="shared" si="15"/>
        <v>128848.6068077813</v>
      </c>
      <c r="CA11" s="32">
        <f t="shared" si="15"/>
        <v>99478.06229681996</v>
      </c>
      <c r="CB11" s="32">
        <f t="shared" si="15"/>
        <v>85995.714745448087</v>
      </c>
      <c r="CC11" s="32">
        <f t="shared" si="15"/>
        <v>74886.302575992333</v>
      </c>
      <c r="CD11" s="32">
        <f t="shared" si="15"/>
        <v>63364.790406536544</v>
      </c>
      <c r="CE11" s="32">
        <f t="shared" si="15"/>
        <v>54916.998132576409</v>
      </c>
      <c r="CF11" s="32">
        <f t="shared" si="15"/>
        <v>40462.461499681114</v>
      </c>
      <c r="CG11" s="32">
        <f t="shared" si="15"/>
        <v>29362.96035804096</v>
      </c>
      <c r="CH11" s="32">
        <f t="shared" si="9"/>
        <v>29362.96035804096</v>
      </c>
    </row>
    <row r="12" spans="1:86">
      <c r="A12" s="13" t="s">
        <v>42</v>
      </c>
      <c r="B12" s="259"/>
      <c r="C12" s="260" t="s">
        <v>43</v>
      </c>
      <c r="D12" s="277">
        <f>D7-D9</f>
        <v>162884</v>
      </c>
      <c r="E12" s="33">
        <f t="shared" ref="E12:O12" si="16">E7+E10-E9-E48</f>
        <v>200610</v>
      </c>
      <c r="F12" s="33">
        <f t="shared" si="16"/>
        <v>192475</v>
      </c>
      <c r="G12" s="33">
        <f t="shared" si="16"/>
        <v>231853</v>
      </c>
      <c r="H12" s="33">
        <f t="shared" si="16"/>
        <v>253292</v>
      </c>
      <c r="I12" s="33">
        <f t="shared" si="16"/>
        <v>305688</v>
      </c>
      <c r="J12" s="33">
        <f t="shared" si="16"/>
        <v>355297</v>
      </c>
      <c r="K12" s="33">
        <f t="shared" si="16"/>
        <v>367201</v>
      </c>
      <c r="L12" s="33">
        <f t="shared" si="16"/>
        <v>407523</v>
      </c>
      <c r="M12" s="33">
        <f t="shared" si="16"/>
        <v>297747</v>
      </c>
      <c r="N12" s="33">
        <f t="shared" si="16"/>
        <v>0</v>
      </c>
      <c r="O12" s="33">
        <f t="shared" si="16"/>
        <v>143875</v>
      </c>
      <c r="P12" s="262">
        <f>J12</f>
        <v>355297</v>
      </c>
      <c r="Q12" s="15"/>
      <c r="R12" s="277">
        <f>R7-R9</f>
        <v>172568</v>
      </c>
      <c r="S12" s="14">
        <f t="shared" ref="S12:AC12" si="17">S7+S10-S9-S48</f>
        <v>244205</v>
      </c>
      <c r="T12" s="14">
        <f t="shared" si="17"/>
        <v>237108</v>
      </c>
      <c r="U12" s="14">
        <f t="shared" si="17"/>
        <v>222510</v>
      </c>
      <c r="V12" s="14">
        <f t="shared" si="17"/>
        <v>179647</v>
      </c>
      <c r="W12" s="14">
        <f t="shared" si="17"/>
        <v>289587</v>
      </c>
      <c r="X12" s="14">
        <f t="shared" si="17"/>
        <v>281331</v>
      </c>
      <c r="Y12" s="14">
        <f t="shared" si="17"/>
        <v>325686</v>
      </c>
      <c r="Z12" s="14">
        <f t="shared" si="17"/>
        <v>319329</v>
      </c>
      <c r="AA12" s="14">
        <f t="shared" si="17"/>
        <v>268663</v>
      </c>
      <c r="AB12" s="14">
        <f t="shared" si="17"/>
        <v>187543</v>
      </c>
      <c r="AC12" s="14">
        <f t="shared" si="17"/>
        <v>196995</v>
      </c>
      <c r="AD12" s="263">
        <f>X12</f>
        <v>281331</v>
      </c>
      <c r="AE12" s="16"/>
      <c r="AF12" s="14">
        <f t="shared" ref="AF12:AQ12" si="18">AF7+AF9+AF8</f>
        <v>228387</v>
      </c>
      <c r="AG12" s="14">
        <f t="shared" si="18"/>
        <v>263548</v>
      </c>
      <c r="AH12" s="14">
        <f t="shared" si="18"/>
        <v>366224</v>
      </c>
      <c r="AI12" s="14">
        <f t="shared" si="18"/>
        <v>361348</v>
      </c>
      <c r="AJ12" s="14">
        <f t="shared" si="18"/>
        <v>384008</v>
      </c>
      <c r="AK12" s="14">
        <f t="shared" si="18"/>
        <v>434489</v>
      </c>
      <c r="AL12" s="14">
        <f t="shared" si="18"/>
        <v>436438</v>
      </c>
      <c r="AM12" s="14">
        <f t="shared" si="18"/>
        <v>463198</v>
      </c>
      <c r="AN12" s="14">
        <f t="shared" si="18"/>
        <v>425121</v>
      </c>
      <c r="AO12" s="14">
        <f t="shared" si="18"/>
        <v>355477</v>
      </c>
      <c r="AP12" s="14">
        <f t="shared" si="18"/>
        <v>288104</v>
      </c>
      <c r="AQ12" s="14">
        <f t="shared" si="18"/>
        <v>298855</v>
      </c>
      <c r="AR12" s="14">
        <f t="shared" si="3"/>
        <v>298855</v>
      </c>
      <c r="AS12" s="17"/>
      <c r="AT12" s="14">
        <f t="shared" ref="AT12:BE12" si="19">AT7+AT9+AT8</f>
        <v>326269</v>
      </c>
      <c r="AU12" s="14">
        <f t="shared" si="19"/>
        <v>301870</v>
      </c>
      <c r="AV12" s="14">
        <f t="shared" si="19"/>
        <v>285491</v>
      </c>
      <c r="AW12" s="14">
        <f t="shared" si="19"/>
        <v>267653</v>
      </c>
      <c r="AX12" s="14">
        <f t="shared" si="19"/>
        <v>273960</v>
      </c>
      <c r="AY12" s="14">
        <f t="shared" si="19"/>
        <v>326260</v>
      </c>
      <c r="AZ12" s="14">
        <f t="shared" si="19"/>
        <v>333221</v>
      </c>
      <c r="BA12" s="14">
        <f t="shared" si="19"/>
        <v>354862</v>
      </c>
      <c r="BB12" s="14">
        <f t="shared" si="19"/>
        <v>348162</v>
      </c>
      <c r="BC12" s="14">
        <f t="shared" si="19"/>
        <v>319093</v>
      </c>
      <c r="BD12" s="14">
        <f t="shared" si="19"/>
        <v>293379</v>
      </c>
      <c r="BE12" s="14">
        <f t="shared" si="19"/>
        <v>234110</v>
      </c>
      <c r="BF12" s="32">
        <f t="shared" ref="BF12:BF13" si="20">SUM(AT12:BE12)</f>
        <v>3664330</v>
      </c>
      <c r="BG12" s="17"/>
      <c r="BH12" s="14">
        <f t="shared" ref="BH12:BS12" si="21">BH7+BH9+BH8</f>
        <v>285296</v>
      </c>
      <c r="BI12" s="14">
        <f t="shared" si="21"/>
        <v>282956</v>
      </c>
      <c r="BJ12" s="14">
        <f t="shared" si="21"/>
        <v>295165</v>
      </c>
      <c r="BK12" s="14">
        <f t="shared" si="21"/>
        <v>286135</v>
      </c>
      <c r="BL12" s="14">
        <f t="shared" si="21"/>
        <v>250340</v>
      </c>
      <c r="BM12" s="14">
        <f t="shared" si="21"/>
        <v>247600</v>
      </c>
      <c r="BN12" s="14">
        <f t="shared" si="21"/>
        <v>293505</v>
      </c>
      <c r="BO12" s="14">
        <f t="shared" si="21"/>
        <v>274542</v>
      </c>
      <c r="BP12" s="14">
        <f t="shared" si="21"/>
        <v>260352</v>
      </c>
      <c r="BQ12" s="14">
        <f>BQ7+BQ9+BQ8</f>
        <v>238595</v>
      </c>
      <c r="BR12" s="14">
        <f t="shared" si="21"/>
        <v>187546</v>
      </c>
      <c r="BS12" s="14">
        <f t="shared" si="21"/>
        <v>0</v>
      </c>
      <c r="BT12" s="14">
        <f t="shared" si="7"/>
        <v>0</v>
      </c>
      <c r="BU12" s="18"/>
      <c r="BV12" s="14">
        <f t="shared" ref="BV12:CG12" si="22">BV7+BV9+BV8</f>
        <v>0</v>
      </c>
      <c r="BW12" s="14">
        <f t="shared" si="22"/>
        <v>0</v>
      </c>
      <c r="BX12" s="14">
        <f t="shared" si="22"/>
        <v>0</v>
      </c>
      <c r="BY12" s="14">
        <f t="shared" si="22"/>
        <v>0</v>
      </c>
      <c r="BZ12" s="14">
        <f t="shared" si="22"/>
        <v>0</v>
      </c>
      <c r="CA12" s="14">
        <f t="shared" si="22"/>
        <v>0</v>
      </c>
      <c r="CB12" s="14">
        <f t="shared" si="22"/>
        <v>0</v>
      </c>
      <c r="CC12" s="14">
        <f t="shared" si="22"/>
        <v>0</v>
      </c>
      <c r="CD12" s="14">
        <f t="shared" si="22"/>
        <v>0</v>
      </c>
      <c r="CE12" s="14">
        <f t="shared" si="22"/>
        <v>0</v>
      </c>
      <c r="CF12" s="14">
        <f t="shared" si="22"/>
        <v>0</v>
      </c>
      <c r="CG12" s="14">
        <f t="shared" si="22"/>
        <v>0</v>
      </c>
      <c r="CH12" s="14">
        <f t="shared" si="9"/>
        <v>0</v>
      </c>
    </row>
    <row r="13" spans="1:86">
      <c r="A13" s="34" t="s">
        <v>44</v>
      </c>
      <c r="B13" s="278"/>
      <c r="C13" s="260" t="s">
        <v>45</v>
      </c>
      <c r="D13" s="277">
        <f t="shared" ref="D13:O13" si="23">D6-D10-D9</f>
        <v>264261</v>
      </c>
      <c r="E13" s="33">
        <f t="shared" si="23"/>
        <v>275849</v>
      </c>
      <c r="F13" s="33">
        <f t="shared" si="23"/>
        <v>280253</v>
      </c>
      <c r="G13" s="33">
        <f t="shared" si="23"/>
        <v>256146</v>
      </c>
      <c r="H13" s="33">
        <f t="shared" si="23"/>
        <v>282462</v>
      </c>
      <c r="I13" s="33">
        <f t="shared" si="23"/>
        <v>336508</v>
      </c>
      <c r="J13" s="33">
        <f t="shared" si="23"/>
        <v>394861</v>
      </c>
      <c r="K13" s="33">
        <f t="shared" si="23"/>
        <v>399944</v>
      </c>
      <c r="L13" s="33">
        <f t="shared" si="23"/>
        <v>403515</v>
      </c>
      <c r="M13" s="33">
        <f t="shared" si="23"/>
        <v>254037</v>
      </c>
      <c r="N13" s="33">
        <f t="shared" si="23"/>
        <v>0</v>
      </c>
      <c r="O13" s="33">
        <f t="shared" si="23"/>
        <v>188264</v>
      </c>
      <c r="P13" s="262">
        <f t="shared" ref="P13:P14" si="24">O13</f>
        <v>188264</v>
      </c>
      <c r="Q13" s="15"/>
      <c r="R13" s="277">
        <f t="shared" ref="R13:AC13" si="25">R6-R10-R9</f>
        <v>244467</v>
      </c>
      <c r="S13" s="14">
        <f t="shared" si="25"/>
        <v>295020</v>
      </c>
      <c r="T13" s="14">
        <f t="shared" si="25"/>
        <v>254796</v>
      </c>
      <c r="U13" s="14">
        <f t="shared" si="25"/>
        <v>240747</v>
      </c>
      <c r="V13" s="14">
        <f t="shared" si="25"/>
        <v>104747</v>
      </c>
      <c r="W13" s="14">
        <f t="shared" si="25"/>
        <v>162106</v>
      </c>
      <c r="X13" s="14">
        <f t="shared" si="25"/>
        <v>340068</v>
      </c>
      <c r="Y13" s="14">
        <f t="shared" si="25"/>
        <v>322792</v>
      </c>
      <c r="Z13" s="14">
        <f t="shared" si="25"/>
        <v>330677</v>
      </c>
      <c r="AA13" s="14">
        <f t="shared" si="25"/>
        <v>229141</v>
      </c>
      <c r="AB13" s="14">
        <f t="shared" si="25"/>
        <v>126169</v>
      </c>
      <c r="AC13" s="14">
        <f t="shared" si="25"/>
        <v>173047</v>
      </c>
      <c r="AD13" s="263">
        <f t="shared" ref="AD13:AD14" si="26">AC13</f>
        <v>173047</v>
      </c>
      <c r="AE13" s="16"/>
      <c r="AF13" s="261">
        <f t="shared" ref="AF13:AQ13" si="27">AF12-AF9</f>
        <v>220021</v>
      </c>
      <c r="AG13" s="261">
        <f t="shared" si="27"/>
        <v>252014</v>
      </c>
      <c r="AH13" s="261">
        <f t="shared" si="27"/>
        <v>354717</v>
      </c>
      <c r="AI13" s="261">
        <f t="shared" si="27"/>
        <v>352200</v>
      </c>
      <c r="AJ13" s="261">
        <f t="shared" si="27"/>
        <v>375484</v>
      </c>
      <c r="AK13" s="261">
        <f t="shared" si="27"/>
        <v>409199</v>
      </c>
      <c r="AL13" s="261">
        <f t="shared" si="27"/>
        <v>345358</v>
      </c>
      <c r="AM13" s="261">
        <f t="shared" si="27"/>
        <v>396368</v>
      </c>
      <c r="AN13" s="261">
        <f t="shared" si="27"/>
        <v>388255</v>
      </c>
      <c r="AO13" s="261">
        <f t="shared" si="27"/>
        <v>339304</v>
      </c>
      <c r="AP13" s="261">
        <f t="shared" si="27"/>
        <v>109830</v>
      </c>
      <c r="AQ13" s="261">
        <f t="shared" si="27"/>
        <v>88190</v>
      </c>
      <c r="AR13" s="14">
        <f t="shared" si="3"/>
        <v>88190</v>
      </c>
      <c r="AS13" s="17"/>
      <c r="AT13" s="261">
        <f t="shared" ref="AT13:BE13" si="28">AT12-AT9</f>
        <v>205194</v>
      </c>
      <c r="AU13" s="261">
        <f t="shared" si="28"/>
        <v>152494</v>
      </c>
      <c r="AV13" s="261">
        <f t="shared" si="28"/>
        <v>180953</v>
      </c>
      <c r="AW13" s="261">
        <f t="shared" si="28"/>
        <v>162391</v>
      </c>
      <c r="AX13" s="261">
        <f t="shared" si="28"/>
        <v>152887</v>
      </c>
      <c r="AY13" s="261">
        <f t="shared" si="28"/>
        <v>162329</v>
      </c>
      <c r="AZ13" s="261">
        <f t="shared" si="28"/>
        <v>223257</v>
      </c>
      <c r="BA13" s="261">
        <f t="shared" si="28"/>
        <v>206596</v>
      </c>
      <c r="BB13" s="261">
        <f t="shared" si="28"/>
        <v>217465</v>
      </c>
      <c r="BC13" s="261">
        <f t="shared" si="28"/>
        <v>205314</v>
      </c>
      <c r="BD13" s="261">
        <f t="shared" si="28"/>
        <v>202260</v>
      </c>
      <c r="BE13" s="261">
        <f t="shared" si="28"/>
        <v>130824</v>
      </c>
      <c r="BF13" s="32">
        <f t="shared" si="20"/>
        <v>2201964</v>
      </c>
      <c r="BG13" s="35">
        <f>SUM(AT16:AY16)/SUM(AF49:AK49)-1</f>
        <v>0.2283258050797119</v>
      </c>
      <c r="BH13" s="261">
        <f t="shared" ref="BH13:BS13" si="29">BH12-BH9</f>
        <v>235665</v>
      </c>
      <c r="BI13" s="261">
        <f t="shared" si="29"/>
        <v>230003</v>
      </c>
      <c r="BJ13" s="261">
        <f t="shared" si="29"/>
        <v>266725</v>
      </c>
      <c r="BK13" s="261">
        <f t="shared" si="29"/>
        <v>202534</v>
      </c>
      <c r="BL13" s="14">
        <f t="shared" si="29"/>
        <v>224528</v>
      </c>
      <c r="BM13" s="14">
        <f t="shared" si="29"/>
        <v>188055</v>
      </c>
      <c r="BN13" s="14">
        <f t="shared" si="29"/>
        <v>210070</v>
      </c>
      <c r="BO13" s="14">
        <f t="shared" si="29"/>
        <v>240501</v>
      </c>
      <c r="BP13" s="14">
        <f t="shared" si="29"/>
        <v>237953</v>
      </c>
      <c r="BQ13" s="14">
        <f t="shared" si="29"/>
        <v>213708</v>
      </c>
      <c r="BR13" s="14">
        <f t="shared" si="29"/>
        <v>175363</v>
      </c>
      <c r="BS13" s="14">
        <f t="shared" si="29"/>
        <v>0</v>
      </c>
      <c r="BT13" s="14">
        <f t="shared" si="7"/>
        <v>0</v>
      </c>
      <c r="BU13" s="18"/>
      <c r="BV13" s="261">
        <f t="shared" ref="BV13:CG13" si="30">BV12-BV9</f>
        <v>0</v>
      </c>
      <c r="BW13" s="261">
        <f t="shared" si="30"/>
        <v>0</v>
      </c>
      <c r="BX13" s="261">
        <f t="shared" si="30"/>
        <v>0</v>
      </c>
      <c r="BY13" s="261">
        <f t="shared" si="30"/>
        <v>0</v>
      </c>
      <c r="BZ13" s="14">
        <f t="shared" si="30"/>
        <v>0</v>
      </c>
      <c r="CA13" s="14">
        <f t="shared" si="30"/>
        <v>0</v>
      </c>
      <c r="CB13" s="14">
        <f t="shared" si="30"/>
        <v>0</v>
      </c>
      <c r="CC13" s="14">
        <f t="shared" si="30"/>
        <v>0</v>
      </c>
      <c r="CD13" s="14">
        <f t="shared" si="30"/>
        <v>0</v>
      </c>
      <c r="CE13" s="14">
        <f t="shared" si="30"/>
        <v>0</v>
      </c>
      <c r="CF13" s="14">
        <f t="shared" si="30"/>
        <v>0</v>
      </c>
      <c r="CG13" s="14">
        <f t="shared" si="30"/>
        <v>0</v>
      </c>
      <c r="CH13" s="14">
        <f t="shared" si="9"/>
        <v>0</v>
      </c>
    </row>
    <row r="14" spans="1:86" ht="15.75">
      <c r="A14" s="36" t="s">
        <v>46</v>
      </c>
      <c r="B14" s="279"/>
      <c r="C14" s="280" t="s">
        <v>47</v>
      </c>
      <c r="D14" s="281">
        <f t="shared" ref="D14:O14" si="31">D6</f>
        <v>304786</v>
      </c>
      <c r="E14" s="37">
        <f t="shared" si="31"/>
        <v>311986</v>
      </c>
      <c r="F14" s="37">
        <f t="shared" si="31"/>
        <v>328231</v>
      </c>
      <c r="G14" s="37">
        <f t="shared" si="31"/>
        <v>317873</v>
      </c>
      <c r="H14" s="37">
        <f t="shared" si="31"/>
        <v>347196</v>
      </c>
      <c r="I14" s="37">
        <f t="shared" si="31"/>
        <v>402253</v>
      </c>
      <c r="J14" s="37">
        <f t="shared" si="31"/>
        <v>454488</v>
      </c>
      <c r="K14" s="37">
        <f t="shared" si="31"/>
        <v>447182</v>
      </c>
      <c r="L14" s="37">
        <f t="shared" si="31"/>
        <v>416931</v>
      </c>
      <c r="M14" s="37">
        <f t="shared" si="31"/>
        <v>304402</v>
      </c>
      <c r="N14" s="37">
        <f t="shared" si="31"/>
        <v>0</v>
      </c>
      <c r="O14" s="37">
        <f t="shared" si="31"/>
        <v>188264</v>
      </c>
      <c r="P14" s="38">
        <f t="shared" si="24"/>
        <v>188264</v>
      </c>
      <c r="Q14" s="39"/>
      <c r="R14" s="40">
        <f t="shared" ref="R14:AC14" si="32">R6</f>
        <v>283359</v>
      </c>
      <c r="S14" s="41">
        <f t="shared" si="32"/>
        <v>342718</v>
      </c>
      <c r="T14" s="41">
        <f t="shared" si="32"/>
        <v>313212</v>
      </c>
      <c r="U14" s="41">
        <f t="shared" si="32"/>
        <v>298093</v>
      </c>
      <c r="V14" s="41">
        <f t="shared" si="32"/>
        <v>206617</v>
      </c>
      <c r="W14" s="41">
        <f t="shared" si="32"/>
        <v>235875</v>
      </c>
      <c r="X14" s="41">
        <f t="shared" si="32"/>
        <v>360135</v>
      </c>
      <c r="Y14" s="41">
        <f t="shared" si="32"/>
        <v>361665</v>
      </c>
      <c r="Z14" s="41">
        <f t="shared" si="32"/>
        <v>353400</v>
      </c>
      <c r="AA14" s="41">
        <f t="shared" si="32"/>
        <v>272097</v>
      </c>
      <c r="AB14" s="41">
        <f t="shared" si="32"/>
        <v>170626</v>
      </c>
      <c r="AC14" s="41">
        <f t="shared" si="32"/>
        <v>197551</v>
      </c>
      <c r="AD14" s="229">
        <f t="shared" si="26"/>
        <v>197551</v>
      </c>
      <c r="AE14" s="42"/>
      <c r="AF14" s="41">
        <f t="shared" ref="AF14:AQ14" si="33">AF6-AF48</f>
        <v>246973</v>
      </c>
      <c r="AG14" s="41">
        <f t="shared" si="33"/>
        <v>281087</v>
      </c>
      <c r="AH14" s="41">
        <f t="shared" si="33"/>
        <v>386469</v>
      </c>
      <c r="AI14" s="41">
        <f t="shared" si="33"/>
        <v>379017</v>
      </c>
      <c r="AJ14" s="41">
        <f t="shared" si="33"/>
        <v>400777</v>
      </c>
      <c r="AK14" s="41">
        <f t="shared" si="33"/>
        <v>465623</v>
      </c>
      <c r="AL14" s="41">
        <f t="shared" si="33"/>
        <v>472149</v>
      </c>
      <c r="AM14" s="41">
        <f t="shared" si="33"/>
        <v>492339</v>
      </c>
      <c r="AN14" s="41">
        <f t="shared" si="33"/>
        <v>450428</v>
      </c>
      <c r="AO14" s="41">
        <f t="shared" si="33"/>
        <v>391441</v>
      </c>
      <c r="AP14" s="41">
        <f t="shared" si="33"/>
        <v>325482</v>
      </c>
      <c r="AQ14" s="41">
        <f t="shared" si="33"/>
        <v>312076</v>
      </c>
      <c r="AR14" s="41">
        <f t="shared" si="3"/>
        <v>312076</v>
      </c>
      <c r="AS14" s="42"/>
      <c r="AT14" s="41">
        <f t="shared" ref="AT14:BB14" si="34">AT6-AT48</f>
        <v>243661</v>
      </c>
      <c r="AU14" s="41">
        <f t="shared" si="34"/>
        <v>233232</v>
      </c>
      <c r="AV14" s="41">
        <f t="shared" si="34"/>
        <v>218299</v>
      </c>
      <c r="AW14" s="41">
        <f t="shared" si="34"/>
        <v>233987</v>
      </c>
      <c r="AX14" s="41">
        <f t="shared" si="34"/>
        <v>261234</v>
      </c>
      <c r="AY14" s="41">
        <f t="shared" si="34"/>
        <v>282486</v>
      </c>
      <c r="AZ14" s="41">
        <f t="shared" si="34"/>
        <v>296055</v>
      </c>
      <c r="BA14" s="41">
        <f t="shared" si="34"/>
        <v>308825</v>
      </c>
      <c r="BB14" s="41">
        <f t="shared" si="34"/>
        <v>308406</v>
      </c>
      <c r="BC14" s="41">
        <f>BB14-BC16+BC57-BC48</f>
        <v>137005.70924434217</v>
      </c>
      <c r="BD14" s="41">
        <f>BC14-BD16+BD57-BD48</f>
        <v>94095.12236286921</v>
      </c>
      <c r="BE14" s="41">
        <f>BD14-BE16+BE57-BE48</f>
        <v>78605.509397775226</v>
      </c>
      <c r="BF14" s="41">
        <f>BE14</f>
        <v>78605.509397775226</v>
      </c>
      <c r="BG14" s="43">
        <f>BG16/AR16</f>
        <v>7.0333736034655189E-2</v>
      </c>
      <c r="BH14" s="44">
        <f t="shared" ref="BH14:BS14" si="35">BH6-BH48</f>
        <v>238108</v>
      </c>
      <c r="BI14" s="44">
        <f t="shared" si="35"/>
        <v>221646</v>
      </c>
      <c r="BJ14" s="44">
        <f t="shared" si="35"/>
        <v>221455</v>
      </c>
      <c r="BK14" s="44">
        <f t="shared" si="35"/>
        <v>227714</v>
      </c>
      <c r="BL14" s="44">
        <f t="shared" si="35"/>
        <v>252043</v>
      </c>
      <c r="BM14" s="44">
        <f t="shared" si="35"/>
        <v>242270</v>
      </c>
      <c r="BN14" s="44">
        <f t="shared" si="35"/>
        <v>242084</v>
      </c>
      <c r="BO14" s="44">
        <f t="shared" si="35"/>
        <v>221874</v>
      </c>
      <c r="BP14" s="44">
        <f t="shared" si="35"/>
        <v>176312</v>
      </c>
      <c r="BQ14" s="44">
        <f t="shared" si="35"/>
        <v>157414</v>
      </c>
      <c r="BR14" s="44">
        <f t="shared" si="35"/>
        <v>215852</v>
      </c>
      <c r="BS14" s="44">
        <f t="shared" si="35"/>
        <v>210633.22</v>
      </c>
      <c r="BT14" s="44">
        <f t="shared" si="7"/>
        <v>210633.22</v>
      </c>
      <c r="BU14" s="45"/>
      <c r="BV14" s="41">
        <f t="shared" ref="BV14:CG14" si="36">BV6-BV48</f>
        <v>183559.37417939919</v>
      </c>
      <c r="BW14" s="41">
        <f t="shared" si="36"/>
        <v>177574.97427146428</v>
      </c>
      <c r="BX14" s="41">
        <f t="shared" si="36"/>
        <v>124751.44255493282</v>
      </c>
      <c r="BY14" s="41">
        <f t="shared" si="36"/>
        <v>162646.86182007444</v>
      </c>
      <c r="BZ14" s="44">
        <f t="shared" si="36"/>
        <v>128848.6068077813</v>
      </c>
      <c r="CA14" s="44">
        <f t="shared" si="36"/>
        <v>99478.06229681996</v>
      </c>
      <c r="CB14" s="44">
        <f t="shared" si="36"/>
        <v>85995.714745448087</v>
      </c>
      <c r="CC14" s="44">
        <f t="shared" si="36"/>
        <v>74886.302575992333</v>
      </c>
      <c r="CD14" s="44">
        <f t="shared" si="36"/>
        <v>63364.790406536544</v>
      </c>
      <c r="CE14" s="44">
        <f t="shared" si="36"/>
        <v>54916.998132576409</v>
      </c>
      <c r="CF14" s="44">
        <f t="shared" si="36"/>
        <v>40462.461499681114</v>
      </c>
      <c r="CG14" s="44">
        <f t="shared" si="36"/>
        <v>29362.96035804096</v>
      </c>
      <c r="CH14" s="44">
        <f t="shared" si="9"/>
        <v>29362.96035804096</v>
      </c>
    </row>
    <row r="15" spans="1:86">
      <c r="A15" s="46"/>
      <c r="B15" s="47" t="s">
        <v>48</v>
      </c>
      <c r="C15" s="282"/>
      <c r="D15" s="283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284"/>
      <c r="Q15" s="49"/>
      <c r="R15" s="283"/>
      <c r="S15" s="50"/>
      <c r="T15" s="50"/>
      <c r="U15" s="50"/>
      <c r="V15" s="51"/>
      <c r="W15" s="51"/>
      <c r="X15" s="51"/>
      <c r="Y15" s="51"/>
      <c r="Z15" s="51"/>
      <c r="AA15" s="51"/>
      <c r="AB15" s="51"/>
      <c r="AC15" s="50"/>
      <c r="AD15" s="285"/>
      <c r="AE15" s="23"/>
      <c r="AF15" s="286">
        <f t="shared" ref="AF15:AP15" si="37">AF6/AG16</f>
        <v>1.3876680694696506</v>
      </c>
      <c r="AG15" s="286">
        <f t="shared" si="37"/>
        <v>3.8178718896012169</v>
      </c>
      <c r="AH15" s="286">
        <f t="shared" si="37"/>
        <v>4.3249513194118041</v>
      </c>
      <c r="AI15" s="286">
        <f t="shared" si="37"/>
        <v>3.1032881916583426</v>
      </c>
      <c r="AJ15" s="286">
        <f t="shared" si="37"/>
        <v>2.6977450188476038</v>
      </c>
      <c r="AK15" s="286">
        <f t="shared" si="37"/>
        <v>3.0634099805914667</v>
      </c>
      <c r="AL15" s="286">
        <f t="shared" si="37"/>
        <v>1.9763209336006664</v>
      </c>
      <c r="AM15" s="286">
        <f t="shared" si="37"/>
        <v>1.8853931580291039</v>
      </c>
      <c r="AN15" s="286">
        <f t="shared" si="37"/>
        <v>1.7601719421649082</v>
      </c>
      <c r="AO15" s="286">
        <f t="shared" si="37"/>
        <v>3.0429182213930348</v>
      </c>
      <c r="AP15" s="286">
        <f t="shared" si="37"/>
        <v>3.3266762060506951</v>
      </c>
      <c r="AQ15" s="286">
        <f>AQ6/AT16</f>
        <v>2.1015749668165311</v>
      </c>
      <c r="AR15" s="287">
        <f>AQ15</f>
        <v>2.1015749668165311</v>
      </c>
      <c r="AS15" s="23"/>
      <c r="AT15" s="286">
        <f>AT6/AU16</f>
        <v>2.078676878772272</v>
      </c>
      <c r="AU15" s="286">
        <f>AU6/AV16</f>
        <v>2.1017947592948043</v>
      </c>
      <c r="AV15" s="286">
        <f>AV6/AW16</f>
        <v>1.9297580364452378</v>
      </c>
      <c r="AW15" s="286">
        <f>AW6/AX16</f>
        <v>2.4377775525503322</v>
      </c>
      <c r="AX15" s="286">
        <f>AX6/AY16</f>
        <v>2.1450476831468146</v>
      </c>
      <c r="AY15" s="286">
        <f t="shared" ref="AY15:BD15" si="38">AY6/(AZ45+AZ44)</f>
        <v>2.0572684326974824</v>
      </c>
      <c r="AZ15" s="286">
        <f t="shared" si="38"/>
        <v>1.3749564207725904</v>
      </c>
      <c r="BA15" s="286">
        <f t="shared" si="38"/>
        <v>1.7107133445873244</v>
      </c>
      <c r="BB15" s="286">
        <f t="shared" si="38"/>
        <v>1.5052991529201962</v>
      </c>
      <c r="BC15" s="286">
        <f t="shared" si="38"/>
        <v>2.204984888462461</v>
      </c>
      <c r="BD15" s="286">
        <f t="shared" si="38"/>
        <v>4.1558308053625606</v>
      </c>
      <c r="BE15" s="286">
        <f>BE6/BH16</f>
        <v>1.6577023037190759</v>
      </c>
      <c r="BF15" s="52"/>
      <c r="BG15" s="27"/>
      <c r="BH15" s="286">
        <f t="shared" ref="BH15:BN15" si="39">BH6/BI16</f>
        <v>2.0944497544651477</v>
      </c>
      <c r="BI15" s="286">
        <f t="shared" si="39"/>
        <v>1.7607980924679776</v>
      </c>
      <c r="BJ15" s="286">
        <f t="shared" si="39"/>
        <v>1.9768264308549444</v>
      </c>
      <c r="BK15" s="286">
        <f t="shared" si="39"/>
        <v>2.3096926132416842</v>
      </c>
      <c r="BL15" s="286">
        <f t="shared" si="39"/>
        <v>2.3022524219030873</v>
      </c>
      <c r="BM15" s="286">
        <f t="shared" si="39"/>
        <v>1.710321617787782</v>
      </c>
      <c r="BN15" s="286">
        <f t="shared" si="39"/>
        <v>1.8673644886033884</v>
      </c>
      <c r="BO15" s="53"/>
      <c r="BP15" s="53"/>
      <c r="BQ15" s="53"/>
      <c r="BR15" s="53"/>
      <c r="BS15" s="53"/>
      <c r="BT15" s="53"/>
      <c r="BU15" s="54"/>
      <c r="BV15" s="286">
        <v>0</v>
      </c>
      <c r="BW15" s="286">
        <v>0</v>
      </c>
      <c r="BX15" s="286">
        <v>0</v>
      </c>
      <c r="BY15" s="286">
        <v>0</v>
      </c>
      <c r="BZ15" s="286">
        <v>0</v>
      </c>
      <c r="CA15" s="286">
        <v>0</v>
      </c>
      <c r="CB15" s="286">
        <v>0</v>
      </c>
      <c r="CC15" s="286">
        <v>0</v>
      </c>
      <c r="CD15" s="286">
        <v>0</v>
      </c>
      <c r="CE15" s="286">
        <v>0</v>
      </c>
      <c r="CF15" s="286">
        <v>0</v>
      </c>
      <c r="CG15" s="53"/>
      <c r="CH15" s="53"/>
    </row>
    <row r="16" spans="1:86" ht="15.75">
      <c r="A16" s="55">
        <v>6</v>
      </c>
      <c r="B16" s="56" t="s">
        <v>49</v>
      </c>
      <c r="C16" s="280"/>
      <c r="D16" s="288">
        <f t="shared" ref="D16:P16" si="40">SUM(D20:D42)</f>
        <v>82250</v>
      </c>
      <c r="E16" s="57">
        <f t="shared" si="40"/>
        <v>117000</v>
      </c>
      <c r="F16" s="57">
        <f t="shared" si="40"/>
        <v>121750</v>
      </c>
      <c r="G16" s="57">
        <f t="shared" si="40"/>
        <v>150000</v>
      </c>
      <c r="H16" s="57">
        <f t="shared" si="40"/>
        <v>99500</v>
      </c>
      <c r="I16" s="57">
        <f t="shared" si="40"/>
        <v>102000</v>
      </c>
      <c r="J16" s="57">
        <f t="shared" si="40"/>
        <v>177632</v>
      </c>
      <c r="K16" s="57">
        <f t="shared" si="40"/>
        <v>178158</v>
      </c>
      <c r="L16" s="57">
        <f t="shared" si="40"/>
        <v>199211</v>
      </c>
      <c r="M16" s="57">
        <f t="shared" si="40"/>
        <v>229474</v>
      </c>
      <c r="N16" s="57">
        <f t="shared" si="40"/>
        <v>122368</v>
      </c>
      <c r="O16" s="57">
        <f t="shared" si="40"/>
        <v>38421</v>
      </c>
      <c r="P16" s="289">
        <f t="shared" si="40"/>
        <v>1617764</v>
      </c>
      <c r="Q16" s="39"/>
      <c r="R16" s="288">
        <f t="shared" ref="R16:AC16" si="41">R20+R43</f>
        <v>136177.33998294926</v>
      </c>
      <c r="S16" s="58">
        <f t="shared" si="41"/>
        <v>143840.32639116928</v>
      </c>
      <c r="T16" s="58">
        <f t="shared" si="41"/>
        <v>142553.77192982455</v>
      </c>
      <c r="U16" s="58">
        <f t="shared" si="41"/>
        <v>19814.899999999998</v>
      </c>
      <c r="V16" s="58">
        <f t="shared" si="41"/>
        <v>52085</v>
      </c>
      <c r="W16" s="290">
        <f t="shared" si="41"/>
        <v>70169.381950239796</v>
      </c>
      <c r="X16" s="290">
        <f t="shared" si="41"/>
        <v>144463.33333333299</v>
      </c>
      <c r="Y16" s="290">
        <f t="shared" si="41"/>
        <v>226547.08333333331</v>
      </c>
      <c r="Z16" s="290">
        <f t="shared" si="41"/>
        <v>273187.5</v>
      </c>
      <c r="AA16" s="290">
        <f t="shared" si="41"/>
        <v>172100</v>
      </c>
      <c r="AB16" s="290">
        <f t="shared" si="41"/>
        <v>37500</v>
      </c>
      <c r="AC16" s="290">
        <f t="shared" si="41"/>
        <v>0</v>
      </c>
      <c r="AD16" s="291">
        <f>SUM(R16:AC16)</f>
        <v>1418438.6369208493</v>
      </c>
      <c r="AE16" s="59"/>
      <c r="AF16" s="292">
        <f t="shared" ref="AF16:AQ16" si="42">AF20+AF43</f>
        <v>128646</v>
      </c>
      <c r="AG16" s="58">
        <f t="shared" si="42"/>
        <v>177977</v>
      </c>
      <c r="AH16" s="58">
        <f t="shared" si="42"/>
        <v>73624</v>
      </c>
      <c r="AI16" s="58">
        <f t="shared" si="42"/>
        <v>89358</v>
      </c>
      <c r="AJ16" s="58">
        <f t="shared" si="42"/>
        <v>122134</v>
      </c>
      <c r="AK16" s="58">
        <f t="shared" si="42"/>
        <v>148560</v>
      </c>
      <c r="AL16" s="58">
        <f t="shared" si="42"/>
        <v>151995</v>
      </c>
      <c r="AM16" s="58">
        <f t="shared" si="42"/>
        <v>238903</v>
      </c>
      <c r="AN16" s="58">
        <f t="shared" si="42"/>
        <v>261133.33333333334</v>
      </c>
      <c r="AO16" s="58">
        <f t="shared" si="42"/>
        <v>255900</v>
      </c>
      <c r="AP16" s="58">
        <f t="shared" si="42"/>
        <v>128640</v>
      </c>
      <c r="AQ16" s="58">
        <f t="shared" si="42"/>
        <v>97840</v>
      </c>
      <c r="AR16" s="58">
        <f>SUM(AF16:AQ16)</f>
        <v>1874710.3333333333</v>
      </c>
      <c r="AS16" s="59"/>
      <c r="AT16" s="58">
        <f t="shared" ref="AT16:BD16" si="43">AT20+AT43</f>
        <v>152749.25</v>
      </c>
      <c r="AU16" s="58">
        <f t="shared" si="43"/>
        <v>168522.10344827586</v>
      </c>
      <c r="AV16" s="58">
        <f t="shared" si="43"/>
        <v>154121.13793103449</v>
      </c>
      <c r="AW16" s="58">
        <f t="shared" si="43"/>
        <v>159595.13793103449</v>
      </c>
      <c r="AX16" s="58">
        <f t="shared" si="43"/>
        <v>120099.96551724138</v>
      </c>
      <c r="AY16" s="58">
        <f t="shared" si="43"/>
        <v>138343.77777777778</v>
      </c>
      <c r="AZ16" s="58">
        <f t="shared" si="43"/>
        <v>166673.77777777778</v>
      </c>
      <c r="BA16" s="58">
        <f t="shared" si="43"/>
        <v>242442.29629629629</v>
      </c>
      <c r="BB16" s="58">
        <f t="shared" si="43"/>
        <v>243407.77777777778</v>
      </c>
      <c r="BC16" s="58">
        <f t="shared" si="43"/>
        <v>253368.29075565783</v>
      </c>
      <c r="BD16" s="58">
        <f t="shared" si="43"/>
        <v>134555.58688147296</v>
      </c>
      <c r="BE16" s="58">
        <f>BE20+BE44</f>
        <v>72686.612965093984</v>
      </c>
      <c r="BF16" s="58">
        <f t="shared" ref="BF16:BF18" si="44">SUM(AT16:BE16)</f>
        <v>2006565.7150594404</v>
      </c>
      <c r="BG16" s="59">
        <f>BF16-AR16</f>
        <v>131855.38172610709</v>
      </c>
      <c r="BH16" s="58">
        <f t="shared" ref="BH16:BN16" si="45">BH17+BH43</f>
        <v>152753</v>
      </c>
      <c r="BI16" s="58">
        <f t="shared" si="45"/>
        <v>146822.33333333331</v>
      </c>
      <c r="BJ16" s="58">
        <f t="shared" si="45"/>
        <v>171546.07407407407</v>
      </c>
      <c r="BK16" s="58">
        <f t="shared" si="45"/>
        <v>159771.74074074073</v>
      </c>
      <c r="BL16" s="58">
        <f t="shared" si="45"/>
        <v>132496.85185185185</v>
      </c>
      <c r="BM16" s="58">
        <f t="shared" si="45"/>
        <v>129906.25925925926</v>
      </c>
      <c r="BN16" s="58">
        <f t="shared" si="45"/>
        <v>171383.55555555556</v>
      </c>
      <c r="BO16" s="58">
        <f>BO17+BO44</f>
        <v>179550.37811111109</v>
      </c>
      <c r="BP16" s="58">
        <f>BP17+BP44</f>
        <v>202053.74953703705</v>
      </c>
      <c r="BQ16" s="58">
        <f>BQ17+BQ44</f>
        <v>163865</v>
      </c>
      <c r="BR16" s="58">
        <f>BR17+BR44</f>
        <v>175620.6</v>
      </c>
      <c r="BS16" s="58">
        <v>92285.6</v>
      </c>
      <c r="BT16" s="58">
        <f t="shared" ref="BT16:BT18" si="46">SUM(BH16:BS16)</f>
        <v>1878055.142462963</v>
      </c>
      <c r="BU16" s="60">
        <f>BT16/BF49-1</f>
        <v>0.11407756579595363</v>
      </c>
      <c r="BV16" s="58">
        <v>154693.84582060078</v>
      </c>
      <c r="BW16" s="58">
        <v>142224.39990793495</v>
      </c>
      <c r="BX16" s="58">
        <v>207553.53171653146</v>
      </c>
      <c r="BY16" s="58">
        <v>116834.58073485836</v>
      </c>
      <c r="BZ16" s="58">
        <v>146058.25501229314</v>
      </c>
      <c r="CA16" s="58">
        <v>148610.54451096134</v>
      </c>
      <c r="CB16" s="58">
        <v>182242.3475513719</v>
      </c>
      <c r="CC16" s="58">
        <v>205449.41216945575</v>
      </c>
      <c r="CD16" s="58">
        <v>219521.51216945576</v>
      </c>
      <c r="CE16" s="58">
        <v>210227.79227396013</v>
      </c>
      <c r="CF16" s="58">
        <v>168514.5366328953</v>
      </c>
      <c r="CG16" s="58">
        <v>107819.50114164015</v>
      </c>
      <c r="CH16" s="58">
        <f t="shared" ref="CH16:CH17" si="47">SUM(BV16:CG16)</f>
        <v>2009750.2596419589</v>
      </c>
    </row>
    <row r="17" spans="1:87">
      <c r="A17" s="61"/>
      <c r="B17" s="62" t="s">
        <v>51</v>
      </c>
      <c r="C17" s="293"/>
      <c r="D17" s="294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295"/>
      <c r="Q17" s="64"/>
      <c r="R17" s="294"/>
      <c r="S17" s="65"/>
      <c r="T17" s="65"/>
      <c r="U17" s="65"/>
      <c r="V17" s="296"/>
      <c r="W17" s="297"/>
      <c r="X17" s="297"/>
      <c r="Y17" s="297"/>
      <c r="Z17" s="297"/>
      <c r="AA17" s="297"/>
      <c r="AB17" s="297"/>
      <c r="AC17" s="66"/>
      <c r="AD17" s="67"/>
      <c r="AE17" s="68"/>
      <c r="AF17" s="298"/>
      <c r="AG17" s="65"/>
      <c r="AH17" s="65"/>
      <c r="AI17" s="65"/>
      <c r="AJ17" s="296"/>
      <c r="AK17" s="296"/>
      <c r="AL17" s="296"/>
      <c r="AM17" s="296"/>
      <c r="AN17" s="65"/>
      <c r="AO17" s="65"/>
      <c r="AP17" s="65"/>
      <c r="AQ17" s="65"/>
      <c r="AR17" s="299"/>
      <c r="AS17" s="68"/>
      <c r="AT17" s="65"/>
      <c r="AU17" s="65"/>
      <c r="AV17" s="65"/>
      <c r="AW17" s="65"/>
      <c r="AX17" s="65"/>
      <c r="AY17" s="69">
        <f t="shared" ref="AY17:BA17" si="48">AY20+AY44</f>
        <v>119777.77777777778</v>
      </c>
      <c r="AZ17" s="69">
        <f t="shared" si="48"/>
        <v>150777.77777777778</v>
      </c>
      <c r="BA17" s="69">
        <f t="shared" si="48"/>
        <v>233098.4962962963</v>
      </c>
      <c r="BB17" s="69">
        <f>BB18/BB19</f>
        <v>210777.77777777778</v>
      </c>
      <c r="BC17" s="69">
        <f>BC20+BC44</f>
        <v>249806.29075565783</v>
      </c>
      <c r="BD17" s="69">
        <f t="shared" ref="BD17:BE17" si="49">BD20+BD44*0.85</f>
        <v>122960.58688147296</v>
      </c>
      <c r="BE17" s="69">
        <f t="shared" si="49"/>
        <v>66386.612965093984</v>
      </c>
      <c r="BF17" s="69">
        <f t="shared" si="44"/>
        <v>1153585.3202318544</v>
      </c>
      <c r="BG17" s="68"/>
      <c r="BH17" s="69">
        <f t="shared" ref="BH17:BI17" si="50">BH18/BH19-0.1*BH18/BH19</f>
        <v>116600</v>
      </c>
      <c r="BI17" s="69">
        <f t="shared" si="50"/>
        <v>111533.33333333333</v>
      </c>
      <c r="BJ17" s="69">
        <f t="shared" ref="BJ17:BP17" si="51">BJ18/BJ19-0.05*BJ18/BJ19</f>
        <v>135674.07407407407</v>
      </c>
      <c r="BK17" s="69">
        <f t="shared" si="51"/>
        <v>121740.74074074074</v>
      </c>
      <c r="BL17" s="69">
        <f t="shared" si="51"/>
        <v>93926.851851851854</v>
      </c>
      <c r="BM17" s="69">
        <f t="shared" si="51"/>
        <v>90679.259259259255</v>
      </c>
      <c r="BN17" s="69">
        <f t="shared" si="51"/>
        <v>130255.55555555556</v>
      </c>
      <c r="BO17" s="69">
        <f t="shared" si="51"/>
        <v>150550.37811111109</v>
      </c>
      <c r="BP17" s="69">
        <f t="shared" si="51"/>
        <v>161830.74953703705</v>
      </c>
      <c r="BQ17" s="69">
        <v>127130</v>
      </c>
      <c r="BR17" s="69">
        <v>138687.6</v>
      </c>
      <c r="BS17" s="69">
        <v>43639.199999999997</v>
      </c>
      <c r="BT17" s="69">
        <f t="shared" si="46"/>
        <v>1422247.7424629631</v>
      </c>
      <c r="BU17" s="54"/>
      <c r="BV17" s="69">
        <v>184565</v>
      </c>
      <c r="BW17" s="69">
        <v>155933.4</v>
      </c>
      <c r="BX17" s="69">
        <v>219024</v>
      </c>
      <c r="BY17" s="69">
        <v>121806.8</v>
      </c>
      <c r="BZ17" s="69">
        <v>156076</v>
      </c>
      <c r="CA17" s="69">
        <f>BM17*1.2</f>
        <v>108815.11111111111</v>
      </c>
      <c r="CB17" s="69">
        <f t="shared" ref="CB17:CG17" si="52">BN17*1.2</f>
        <v>156306.66666666666</v>
      </c>
      <c r="CC17" s="69">
        <f t="shared" si="52"/>
        <v>180660.4537333333</v>
      </c>
      <c r="CD17" s="69">
        <f t="shared" si="52"/>
        <v>194196.89944444445</v>
      </c>
      <c r="CE17" s="69">
        <f t="shared" si="52"/>
        <v>152556</v>
      </c>
      <c r="CF17" s="69">
        <f t="shared" si="52"/>
        <v>166425.12</v>
      </c>
      <c r="CG17" s="69">
        <f t="shared" si="52"/>
        <v>52367.039999999994</v>
      </c>
      <c r="CH17" s="69">
        <f t="shared" si="47"/>
        <v>1848732.4909555558</v>
      </c>
      <c r="CI17" s="395">
        <f>(CH17-BT50)/BT50</f>
        <v>0.4771543214059013</v>
      </c>
    </row>
    <row r="18" spans="1:87">
      <c r="A18" s="61"/>
      <c r="B18" s="62" t="s">
        <v>52</v>
      </c>
      <c r="C18" s="293"/>
      <c r="D18" s="294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295"/>
      <c r="Q18" s="64"/>
      <c r="R18" s="294"/>
      <c r="S18" s="65"/>
      <c r="T18" s="65"/>
      <c r="U18" s="65"/>
      <c r="V18" s="296"/>
      <c r="W18" s="297"/>
      <c r="X18" s="297"/>
      <c r="Y18" s="297"/>
      <c r="Z18" s="297"/>
      <c r="AA18" s="297"/>
      <c r="AB18" s="297"/>
      <c r="AC18" s="66"/>
      <c r="AD18" s="67"/>
      <c r="AE18" s="68"/>
      <c r="AF18" s="298"/>
      <c r="AG18" s="65"/>
      <c r="AH18" s="65" t="s">
        <v>53</v>
      </c>
      <c r="AI18" s="65"/>
      <c r="AJ18" s="296"/>
      <c r="AK18" s="296"/>
      <c r="AL18" s="296"/>
      <c r="AM18" s="296"/>
      <c r="AN18" s="65">
        <v>6715000</v>
      </c>
      <c r="AO18" s="65">
        <v>6555000</v>
      </c>
      <c r="AP18" s="65">
        <v>2640000</v>
      </c>
      <c r="AQ18" s="65">
        <v>1302000</v>
      </c>
      <c r="AR18" s="299"/>
      <c r="AS18" s="68"/>
      <c r="AT18" s="65">
        <v>3264695</v>
      </c>
      <c r="AU18" s="65">
        <v>3863760</v>
      </c>
      <c r="AV18" s="65">
        <v>3429225</v>
      </c>
      <c r="AW18" s="65">
        <v>3525360</v>
      </c>
      <c r="AX18" s="65">
        <v>2509485</v>
      </c>
      <c r="AY18" s="65">
        <v>2829000</v>
      </c>
      <c r="AZ18" s="65">
        <v>3666000</v>
      </c>
      <c r="BA18" s="65">
        <v>5705000</v>
      </c>
      <c r="BB18" s="65">
        <v>5691000</v>
      </c>
      <c r="BC18" s="65">
        <v>5600000</v>
      </c>
      <c r="BD18" s="65">
        <v>2430000</v>
      </c>
      <c r="BE18" s="65">
        <v>800000</v>
      </c>
      <c r="BF18" s="69">
        <f t="shared" si="44"/>
        <v>43313525</v>
      </c>
      <c r="BG18" s="68"/>
      <c r="BH18" s="70">
        <v>3498000</v>
      </c>
      <c r="BI18" s="70">
        <v>3346000</v>
      </c>
      <c r="BJ18" s="70">
        <v>3856000</v>
      </c>
      <c r="BK18" s="70">
        <v>3460000</v>
      </c>
      <c r="BL18" s="70">
        <v>2669500</v>
      </c>
      <c r="BM18" s="70">
        <v>2577200</v>
      </c>
      <c r="BN18" s="70">
        <v>3702000</v>
      </c>
      <c r="BO18" s="70">
        <v>4278800.22</v>
      </c>
      <c r="BP18" s="70">
        <v>4599400.25</v>
      </c>
      <c r="BQ18" s="70">
        <f>BQ17*BQ19</f>
        <v>3432510</v>
      </c>
      <c r="BR18" s="70">
        <v>2954493.21</v>
      </c>
      <c r="BS18" s="70">
        <v>984831.07</v>
      </c>
      <c r="BT18" s="65">
        <f t="shared" si="46"/>
        <v>39358734.75</v>
      </c>
      <c r="BU18" s="54"/>
      <c r="BV18" s="70">
        <f>BV17*BV19</f>
        <v>4983255</v>
      </c>
      <c r="BW18" s="70">
        <f t="shared" ref="BW18:CG18" si="53">BW17*BW19</f>
        <v>4210201.8</v>
      </c>
      <c r="BX18" s="70">
        <f t="shared" si="53"/>
        <v>5913648</v>
      </c>
      <c r="BY18" s="70">
        <f t="shared" si="53"/>
        <v>3288783.6</v>
      </c>
      <c r="BZ18" s="70">
        <f t="shared" si="53"/>
        <v>4214052</v>
      </c>
      <c r="CA18" s="70">
        <f t="shared" si="53"/>
        <v>2938008</v>
      </c>
      <c r="CB18" s="70">
        <f t="shared" si="53"/>
        <v>4220280</v>
      </c>
      <c r="CC18" s="70">
        <f t="shared" si="53"/>
        <v>4877832.2507999986</v>
      </c>
      <c r="CD18" s="70">
        <f t="shared" si="53"/>
        <v>5243316.2850000001</v>
      </c>
      <c r="CE18" s="70">
        <f t="shared" si="53"/>
        <v>4119012</v>
      </c>
      <c r="CF18" s="70">
        <f t="shared" si="53"/>
        <v>4493478.24</v>
      </c>
      <c r="CG18" s="70">
        <f t="shared" si="53"/>
        <v>1413910.0799999998</v>
      </c>
      <c r="CH18" s="65">
        <f>SUM(BV18:CG18)</f>
        <v>49915777.255800001</v>
      </c>
    </row>
    <row r="19" spans="1:87">
      <c r="A19" s="71"/>
      <c r="B19" s="72" t="s">
        <v>54</v>
      </c>
      <c r="C19" s="300"/>
      <c r="D19" s="30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302"/>
      <c r="Q19" s="74"/>
      <c r="R19" s="301"/>
      <c r="S19" s="69"/>
      <c r="T19" s="69"/>
      <c r="U19" s="69"/>
      <c r="V19" s="303"/>
      <c r="W19" s="304"/>
      <c r="X19" s="304"/>
      <c r="Y19" s="304"/>
      <c r="Z19" s="304"/>
      <c r="AA19" s="304"/>
      <c r="AB19" s="304"/>
      <c r="AC19" s="75"/>
      <c r="AD19" s="76"/>
      <c r="AE19" s="77"/>
      <c r="AF19" s="305"/>
      <c r="AG19" s="69"/>
      <c r="AH19" s="69"/>
      <c r="AI19" s="69"/>
      <c r="AJ19" s="303"/>
      <c r="AK19" s="303"/>
      <c r="AL19" s="303"/>
      <c r="AM19" s="303"/>
      <c r="AN19" s="69">
        <f t="shared" ref="AN19:AQ19" si="54">30</f>
        <v>30</v>
      </c>
      <c r="AO19" s="69">
        <f t="shared" si="54"/>
        <v>30</v>
      </c>
      <c r="AP19" s="69">
        <f t="shared" si="54"/>
        <v>30</v>
      </c>
      <c r="AQ19" s="69">
        <f t="shared" si="54"/>
        <v>30</v>
      </c>
      <c r="AR19" s="306"/>
      <c r="AS19" s="77"/>
      <c r="AT19" s="69">
        <v>28</v>
      </c>
      <c r="AU19" s="69">
        <v>29</v>
      </c>
      <c r="AV19" s="69">
        <v>29</v>
      </c>
      <c r="AW19" s="69">
        <v>29</v>
      </c>
      <c r="AX19" s="69">
        <v>29</v>
      </c>
      <c r="AY19" s="69">
        <v>27</v>
      </c>
      <c r="AZ19" s="69">
        <v>27</v>
      </c>
      <c r="BA19" s="69">
        <v>27</v>
      </c>
      <c r="BB19" s="69">
        <v>27</v>
      </c>
      <c r="BC19" s="69">
        <v>26.07</v>
      </c>
      <c r="BD19" s="69">
        <v>26.07</v>
      </c>
      <c r="BE19" s="69">
        <v>26.07</v>
      </c>
      <c r="BF19" s="305"/>
      <c r="BG19" s="78"/>
      <c r="BH19" s="69">
        <v>27</v>
      </c>
      <c r="BI19" s="69">
        <v>27</v>
      </c>
      <c r="BJ19" s="69">
        <v>27</v>
      </c>
      <c r="BK19" s="69">
        <v>27</v>
      </c>
      <c r="BL19" s="69">
        <v>27</v>
      </c>
      <c r="BM19" s="69">
        <v>27</v>
      </c>
      <c r="BN19" s="69">
        <v>27</v>
      </c>
      <c r="BO19" s="69">
        <v>27</v>
      </c>
      <c r="BP19" s="69">
        <v>27</v>
      </c>
      <c r="BQ19" s="69">
        <v>27</v>
      </c>
      <c r="BR19" s="69">
        <v>27</v>
      </c>
      <c r="BS19" s="69">
        <v>27</v>
      </c>
      <c r="BT19" s="69"/>
      <c r="BU19" s="54"/>
      <c r="BV19" s="69">
        <v>27</v>
      </c>
      <c r="BW19" s="69">
        <v>27</v>
      </c>
      <c r="BX19" s="69">
        <v>27</v>
      </c>
      <c r="BY19" s="69">
        <v>27</v>
      </c>
      <c r="BZ19" s="69">
        <v>27</v>
      </c>
      <c r="CA19" s="69">
        <v>27</v>
      </c>
      <c r="CB19" s="69">
        <v>27</v>
      </c>
      <c r="CC19" s="69">
        <v>27</v>
      </c>
      <c r="CD19" s="69">
        <v>27</v>
      </c>
      <c r="CE19" s="69">
        <v>27</v>
      </c>
      <c r="CF19" s="69">
        <v>27</v>
      </c>
      <c r="CG19" s="69">
        <v>27</v>
      </c>
      <c r="CH19" s="69"/>
    </row>
    <row r="20" spans="1:87" ht="15.75">
      <c r="A20" s="79"/>
      <c r="B20" s="80" t="s">
        <v>268</v>
      </c>
      <c r="C20" s="81"/>
      <c r="D20" s="288">
        <v>82250</v>
      </c>
      <c r="E20" s="57">
        <v>117000</v>
      </c>
      <c r="F20" s="57">
        <v>121750</v>
      </c>
      <c r="G20" s="57">
        <v>150000</v>
      </c>
      <c r="H20" s="57">
        <v>99500</v>
      </c>
      <c r="I20" s="57">
        <v>102000</v>
      </c>
      <c r="J20" s="57">
        <v>177632</v>
      </c>
      <c r="K20" s="57">
        <v>178158</v>
      </c>
      <c r="L20" s="57">
        <v>199211</v>
      </c>
      <c r="M20" s="57">
        <v>229474</v>
      </c>
      <c r="N20" s="57">
        <v>122368</v>
      </c>
      <c r="O20" s="57">
        <v>38421</v>
      </c>
      <c r="P20" s="289">
        <f>SUM(D20:O20)</f>
        <v>1617764</v>
      </c>
      <c r="Q20" s="39"/>
      <c r="R20" s="288">
        <v>115619.79612330014</v>
      </c>
      <c r="S20" s="58">
        <v>123327.78253152016</v>
      </c>
      <c r="T20" s="58">
        <v>128854</v>
      </c>
      <c r="U20" s="58">
        <f>126016*0.15</f>
        <v>18902.399999999998</v>
      </c>
      <c r="V20" s="58">
        <v>35234</v>
      </c>
      <c r="W20" s="290">
        <v>56469.381950239796</v>
      </c>
      <c r="X20" s="290">
        <v>118413.33333333299</v>
      </c>
      <c r="Y20" s="290">
        <v>198797.08333333331</v>
      </c>
      <c r="Z20" s="290">
        <v>242087.5</v>
      </c>
      <c r="AA20" s="290">
        <v>140000</v>
      </c>
      <c r="AB20" s="290">
        <v>0</v>
      </c>
      <c r="AC20" s="290">
        <v>-45300</v>
      </c>
      <c r="AD20" s="291">
        <f>SUM(R20:AC20)</f>
        <v>1132405.2772717264</v>
      </c>
      <c r="AE20" s="59"/>
      <c r="AF20" s="292">
        <v>90146</v>
      </c>
      <c r="AG20" s="58">
        <v>155577</v>
      </c>
      <c r="AH20" s="58">
        <v>62953</v>
      </c>
      <c r="AI20" s="58">
        <v>73261</v>
      </c>
      <c r="AJ20" s="58">
        <v>91856</v>
      </c>
      <c r="AK20" s="58">
        <v>120000</v>
      </c>
      <c r="AL20" s="58">
        <v>110295</v>
      </c>
      <c r="AM20" s="58">
        <v>200203</v>
      </c>
      <c r="AN20" s="58">
        <f t="shared" ref="AN20:AQ20" si="55">AN18/AN19</f>
        <v>223833.33333333334</v>
      </c>
      <c r="AO20" s="58">
        <f t="shared" si="55"/>
        <v>218500</v>
      </c>
      <c r="AP20" s="58">
        <f t="shared" si="55"/>
        <v>88000</v>
      </c>
      <c r="AQ20" s="58">
        <f t="shared" si="55"/>
        <v>43400</v>
      </c>
      <c r="AR20" s="58">
        <f>SUM(AF20:AQ20)</f>
        <v>1478024.3333333333</v>
      </c>
      <c r="AS20" s="59"/>
      <c r="AT20" s="58">
        <f t="shared" ref="AT20:BE20" si="56">AT18/AT19</f>
        <v>116596.25</v>
      </c>
      <c r="AU20" s="58">
        <f t="shared" si="56"/>
        <v>133233.10344827586</v>
      </c>
      <c r="AV20" s="58">
        <f t="shared" si="56"/>
        <v>118249.13793103448</v>
      </c>
      <c r="AW20" s="58">
        <f t="shared" si="56"/>
        <v>121564.13793103448</v>
      </c>
      <c r="AX20" s="58">
        <f t="shared" si="56"/>
        <v>86533.965517241377</v>
      </c>
      <c r="AY20" s="58">
        <f t="shared" si="56"/>
        <v>104777.77777777778</v>
      </c>
      <c r="AZ20" s="58">
        <f t="shared" si="56"/>
        <v>135777.77777777778</v>
      </c>
      <c r="BA20" s="58">
        <f t="shared" si="56"/>
        <v>211296.29629629629</v>
      </c>
      <c r="BB20" s="58">
        <f t="shared" si="56"/>
        <v>210777.77777777778</v>
      </c>
      <c r="BC20" s="58">
        <f t="shared" si="56"/>
        <v>214806.29075565783</v>
      </c>
      <c r="BD20" s="58">
        <f t="shared" si="56"/>
        <v>93210.586881472962</v>
      </c>
      <c r="BE20" s="58">
        <f t="shared" si="56"/>
        <v>30686.612965093977</v>
      </c>
      <c r="BF20" s="58">
        <f>SUM(AT20:BE20)</f>
        <v>1577509.7150594404</v>
      </c>
      <c r="BG20" s="59">
        <f>BF20-AR20</f>
        <v>99485.381726107094</v>
      </c>
      <c r="BH20" s="58">
        <f t="shared" ref="BH20:BT20" si="57">BH17</f>
        <v>116600</v>
      </c>
      <c r="BI20" s="58">
        <f t="shared" si="57"/>
        <v>111533.33333333333</v>
      </c>
      <c r="BJ20" s="58">
        <f t="shared" si="57"/>
        <v>135674.07407407407</v>
      </c>
      <c r="BK20" s="58">
        <f t="shared" si="57"/>
        <v>121740.74074074074</v>
      </c>
      <c r="BL20" s="58">
        <f t="shared" si="57"/>
        <v>93926.851851851854</v>
      </c>
      <c r="BM20" s="58">
        <f t="shared" si="57"/>
        <v>90679.259259259255</v>
      </c>
      <c r="BN20" s="58">
        <f t="shared" si="57"/>
        <v>130255.55555555556</v>
      </c>
      <c r="BO20" s="58">
        <f t="shared" si="57"/>
        <v>150550.37811111109</v>
      </c>
      <c r="BP20" s="58">
        <f t="shared" si="57"/>
        <v>161830.74953703705</v>
      </c>
      <c r="BQ20" s="58">
        <f t="shared" si="57"/>
        <v>127130</v>
      </c>
      <c r="BR20" s="58">
        <f>BR17</f>
        <v>138687.6</v>
      </c>
      <c r="BS20" s="58">
        <f t="shared" si="57"/>
        <v>43639.199999999997</v>
      </c>
      <c r="BT20" s="58">
        <f t="shared" si="57"/>
        <v>1422247.7424629631</v>
      </c>
      <c r="BU20" s="60">
        <f>BT20/BF50-1</f>
        <v>0.10590994427321876</v>
      </c>
      <c r="BV20" s="58">
        <f t="shared" ref="BV20:CH20" si="58">BV17</f>
        <v>184565</v>
      </c>
      <c r="BW20" s="58">
        <f>BW17</f>
        <v>155933.4</v>
      </c>
      <c r="BX20" s="58">
        <f t="shared" si="58"/>
        <v>219024</v>
      </c>
      <c r="BY20" s="58">
        <f t="shared" si="58"/>
        <v>121806.8</v>
      </c>
      <c r="BZ20" s="58">
        <f t="shared" si="58"/>
        <v>156076</v>
      </c>
      <c r="CA20" s="58">
        <f t="shared" si="58"/>
        <v>108815.11111111111</v>
      </c>
      <c r="CB20" s="58">
        <f t="shared" si="58"/>
        <v>156306.66666666666</v>
      </c>
      <c r="CC20" s="58">
        <f t="shared" si="58"/>
        <v>180660.4537333333</v>
      </c>
      <c r="CD20" s="58">
        <f t="shared" si="58"/>
        <v>194196.89944444445</v>
      </c>
      <c r="CE20" s="58">
        <f t="shared" si="58"/>
        <v>152556</v>
      </c>
      <c r="CF20" s="58">
        <f t="shared" si="58"/>
        <v>166425.12</v>
      </c>
      <c r="CG20" s="58">
        <f t="shared" si="58"/>
        <v>52367.039999999994</v>
      </c>
      <c r="CH20" s="58">
        <f t="shared" si="58"/>
        <v>1848732.4909555558</v>
      </c>
    </row>
    <row r="21" spans="1:87">
      <c r="A21" s="307"/>
      <c r="B21" s="82"/>
      <c r="C21" s="308"/>
      <c r="D21" s="309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310"/>
      <c r="Q21" s="84"/>
      <c r="R21" s="309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311"/>
      <c r="AE21" s="23"/>
      <c r="AF21" s="312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6"/>
      <c r="AS21" s="23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2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54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</row>
    <row r="22" spans="1:87">
      <c r="A22" s="88">
        <v>1</v>
      </c>
      <c r="B22" s="1095" t="s">
        <v>56</v>
      </c>
      <c r="C22" s="1117"/>
      <c r="D22" s="313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314">
        <f t="shared" ref="P22:P34" si="59">SUM(D22:O22)</f>
        <v>0</v>
      </c>
      <c r="Q22" s="90"/>
      <c r="R22" s="313">
        <v>7017.5438596491231</v>
      </c>
      <c r="S22" s="91">
        <v>7017.5438596491231</v>
      </c>
      <c r="T22" s="91">
        <f>7017.54385964912/2</f>
        <v>3508.7719298245602</v>
      </c>
      <c r="U22" s="91">
        <f>96*U3</f>
        <v>96</v>
      </c>
      <c r="V22" s="91">
        <v>3000</v>
      </c>
      <c r="W22" s="91">
        <v>7200</v>
      </c>
      <c r="X22" s="91">
        <v>8500</v>
      </c>
      <c r="Y22" s="91">
        <v>8500</v>
      </c>
      <c r="Z22" s="91">
        <v>8500</v>
      </c>
      <c r="AA22" s="91">
        <v>9000</v>
      </c>
      <c r="AB22" s="91">
        <v>9500</v>
      </c>
      <c r="AC22" s="91">
        <v>8500</v>
      </c>
      <c r="AD22" s="315">
        <f t="shared" ref="AD22:AD36" si="60">SUM(R22:AC22)</f>
        <v>80339.859649122809</v>
      </c>
      <c r="AE22" s="23"/>
      <c r="AF22" s="316">
        <v>8000</v>
      </c>
      <c r="AG22" s="91">
        <v>4000</v>
      </c>
      <c r="AH22" s="91">
        <v>5673</v>
      </c>
      <c r="AI22" s="91">
        <v>4500</v>
      </c>
      <c r="AJ22" s="91">
        <v>7892</v>
      </c>
      <c r="AK22" s="91">
        <v>6400</v>
      </c>
      <c r="AL22" s="91">
        <v>8000</v>
      </c>
      <c r="AM22" s="91">
        <v>8000</v>
      </c>
      <c r="AN22" s="91">
        <v>8000</v>
      </c>
      <c r="AO22" s="91">
        <v>8000</v>
      </c>
      <c r="AP22" s="91">
        <v>8800</v>
      </c>
      <c r="AQ22" s="91">
        <v>6400</v>
      </c>
      <c r="AR22" s="92">
        <f t="shared" ref="AR22:AR40" si="61">SUM(AF22:AQ22)</f>
        <v>83665</v>
      </c>
      <c r="AS22" s="23"/>
      <c r="AT22" s="91">
        <v>4861</v>
      </c>
      <c r="AU22" s="91">
        <v>5809</v>
      </c>
      <c r="AV22" s="91">
        <v>5072</v>
      </c>
      <c r="AW22" s="91">
        <v>4725</v>
      </c>
      <c r="AX22" s="317">
        <v>5832</v>
      </c>
      <c r="AY22" s="317">
        <v>5832</v>
      </c>
      <c r="AZ22" s="317">
        <v>5567</v>
      </c>
      <c r="BA22" s="317">
        <v>5567</v>
      </c>
      <c r="BB22" s="317">
        <v>5832</v>
      </c>
      <c r="BC22" s="317">
        <v>6892</v>
      </c>
      <c r="BD22" s="317">
        <v>7422</v>
      </c>
      <c r="BE22" s="317">
        <v>4241</v>
      </c>
      <c r="BF22" s="91">
        <f t="shared" ref="BF22:BF54" si="62">SUM(AT22:BE22)</f>
        <v>67652</v>
      </c>
      <c r="BG22" s="93">
        <f t="shared" ref="BG22:BG40" si="63">BF22/AR22-1</f>
        <v>-0.19139425088149165</v>
      </c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54"/>
      <c r="BV22" s="91"/>
      <c r="BW22" s="91"/>
      <c r="BX22" s="91"/>
      <c r="BY22" s="91"/>
      <c r="BZ22" s="91"/>
      <c r="CA22" s="91"/>
      <c r="CB22" s="91"/>
      <c r="CC22" s="91"/>
      <c r="CD22" s="91"/>
      <c r="CE22" s="91"/>
      <c r="CF22" s="91"/>
      <c r="CG22" s="91"/>
      <c r="CH22" s="91"/>
    </row>
    <row r="23" spans="1:87">
      <c r="A23" s="94">
        <v>2</v>
      </c>
      <c r="B23" s="1092" t="s">
        <v>57</v>
      </c>
      <c r="C23" s="1118"/>
      <c r="D23" s="313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314">
        <f t="shared" si="59"/>
        <v>0</v>
      </c>
      <c r="Q23" s="90"/>
      <c r="R23" s="313">
        <v>2909</v>
      </c>
      <c r="S23" s="91">
        <v>2545</v>
      </c>
      <c r="T23" s="91">
        <f>2727/1.2</f>
        <v>2272.5</v>
      </c>
      <c r="U23" s="91">
        <f>2*U3</f>
        <v>2</v>
      </c>
      <c r="V23" s="91">
        <v>500</v>
      </c>
      <c r="W23" s="91">
        <v>1300</v>
      </c>
      <c r="X23" s="91">
        <v>3200</v>
      </c>
      <c r="Y23" s="91">
        <v>3200</v>
      </c>
      <c r="Z23" s="91">
        <v>3600</v>
      </c>
      <c r="AA23" s="91">
        <v>3600</v>
      </c>
      <c r="AB23" s="91">
        <v>3600</v>
      </c>
      <c r="AC23" s="91">
        <v>4500</v>
      </c>
      <c r="AD23" s="315">
        <f t="shared" si="60"/>
        <v>31228.5</v>
      </c>
      <c r="AE23" s="23"/>
      <c r="AF23" s="316">
        <v>4000</v>
      </c>
      <c r="AG23" s="91">
        <v>1500</v>
      </c>
      <c r="AH23" s="91">
        <v>189</v>
      </c>
      <c r="AI23" s="91">
        <v>1842</v>
      </c>
      <c r="AJ23" s="91">
        <v>3764</v>
      </c>
      <c r="AK23" s="91">
        <v>3200</v>
      </c>
      <c r="AL23" s="91">
        <v>6000</v>
      </c>
      <c r="AM23" s="91">
        <v>5000</v>
      </c>
      <c r="AN23" s="91">
        <v>5000</v>
      </c>
      <c r="AO23" s="91">
        <v>5000</v>
      </c>
      <c r="AP23" s="91">
        <v>5000</v>
      </c>
      <c r="AQ23" s="91">
        <v>9000</v>
      </c>
      <c r="AR23" s="92">
        <f t="shared" si="61"/>
        <v>49495</v>
      </c>
      <c r="AS23" s="23"/>
      <c r="AT23" s="91">
        <v>5468</v>
      </c>
      <c r="AU23" s="91">
        <v>5468</v>
      </c>
      <c r="AV23" s="91">
        <v>6249</v>
      </c>
      <c r="AW23" s="91">
        <v>6249</v>
      </c>
      <c r="AX23" s="317">
        <v>3923</v>
      </c>
      <c r="AY23" s="317">
        <v>3923</v>
      </c>
      <c r="AZ23" s="317">
        <v>3745</v>
      </c>
      <c r="BA23" s="317">
        <v>3745</v>
      </c>
      <c r="BB23" s="317">
        <v>3923</v>
      </c>
      <c r="BC23" s="317">
        <v>4636</v>
      </c>
      <c r="BD23" s="317">
        <v>4993</v>
      </c>
      <c r="BE23" s="317">
        <v>7133</v>
      </c>
      <c r="BF23" s="91">
        <f t="shared" si="62"/>
        <v>59455</v>
      </c>
      <c r="BG23" s="93">
        <f t="shared" si="63"/>
        <v>0.20123244772199222</v>
      </c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54"/>
      <c r="BV23" s="91"/>
      <c r="BW23" s="91"/>
      <c r="BX23" s="91"/>
      <c r="BY23" s="91"/>
      <c r="BZ23" s="91"/>
      <c r="CA23" s="91"/>
      <c r="CB23" s="91"/>
      <c r="CC23" s="91"/>
      <c r="CD23" s="91"/>
      <c r="CE23" s="91"/>
      <c r="CF23" s="91"/>
      <c r="CG23" s="91"/>
      <c r="CH23" s="91"/>
    </row>
    <row r="24" spans="1:87">
      <c r="A24" s="94">
        <v>3</v>
      </c>
      <c r="B24" s="1092" t="s">
        <v>58</v>
      </c>
      <c r="C24" s="1118"/>
      <c r="D24" s="313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314">
        <f t="shared" si="59"/>
        <v>0</v>
      </c>
      <c r="Q24" s="90"/>
      <c r="R24" s="313">
        <v>746</v>
      </c>
      <c r="S24" s="91">
        <v>653</v>
      </c>
      <c r="T24" s="91">
        <v>700</v>
      </c>
      <c r="U24" s="91">
        <v>0</v>
      </c>
      <c r="V24" s="91">
        <v>200</v>
      </c>
      <c r="W24" s="91">
        <v>400</v>
      </c>
      <c r="X24" s="91">
        <v>900</v>
      </c>
      <c r="Y24" s="91">
        <v>900</v>
      </c>
      <c r="Z24" s="91">
        <v>900</v>
      </c>
      <c r="AA24" s="91">
        <v>900</v>
      </c>
      <c r="AB24" s="91">
        <v>900</v>
      </c>
      <c r="AC24" s="91">
        <v>1200</v>
      </c>
      <c r="AD24" s="315">
        <f t="shared" si="60"/>
        <v>8399</v>
      </c>
      <c r="AE24" s="23"/>
      <c r="AF24" s="316">
        <v>1800</v>
      </c>
      <c r="AG24" s="91">
        <v>1200</v>
      </c>
      <c r="AH24" s="91">
        <v>230</v>
      </c>
      <c r="AI24" s="91">
        <v>472</v>
      </c>
      <c r="AJ24" s="91">
        <v>1495</v>
      </c>
      <c r="AK24" s="91">
        <v>1200</v>
      </c>
      <c r="AL24" s="91">
        <v>1500</v>
      </c>
      <c r="AM24" s="91">
        <v>1500</v>
      </c>
      <c r="AN24" s="91">
        <v>1500</v>
      </c>
      <c r="AO24" s="91">
        <v>1500</v>
      </c>
      <c r="AP24" s="91">
        <v>1650</v>
      </c>
      <c r="AQ24" s="91">
        <v>2400</v>
      </c>
      <c r="AR24" s="92">
        <f t="shared" si="61"/>
        <v>16447</v>
      </c>
      <c r="AS24" s="23"/>
      <c r="AT24" s="91">
        <v>2438</v>
      </c>
      <c r="AU24" s="91">
        <v>1501</v>
      </c>
      <c r="AV24" s="91">
        <v>1566</v>
      </c>
      <c r="AW24" s="91">
        <v>2127</v>
      </c>
      <c r="AX24" s="317">
        <v>1928</v>
      </c>
      <c r="AY24" s="317">
        <v>1928</v>
      </c>
      <c r="AZ24" s="317">
        <v>1840</v>
      </c>
      <c r="BA24" s="317">
        <v>1840</v>
      </c>
      <c r="BB24" s="317">
        <v>1928</v>
      </c>
      <c r="BC24" s="317">
        <v>2278</v>
      </c>
      <c r="BD24" s="317">
        <v>2454</v>
      </c>
      <c r="BE24" s="317">
        <v>3505</v>
      </c>
      <c r="BF24" s="91">
        <f t="shared" si="62"/>
        <v>25333</v>
      </c>
      <c r="BG24" s="93">
        <f t="shared" si="63"/>
        <v>0.54028090229221126</v>
      </c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54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1"/>
      <c r="CG24" s="91"/>
      <c r="CH24" s="91"/>
    </row>
    <row r="25" spans="1:87">
      <c r="A25" s="94">
        <v>4</v>
      </c>
      <c r="B25" s="1092" t="s">
        <v>59</v>
      </c>
      <c r="C25" s="1118"/>
      <c r="D25" s="313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314">
        <f t="shared" si="59"/>
        <v>0</v>
      </c>
      <c r="Q25" s="90"/>
      <c r="R25" s="313">
        <v>1455</v>
      </c>
      <c r="S25" s="91">
        <f>2036</f>
        <v>2036</v>
      </c>
      <c r="T25" s="91">
        <f>2182/2</f>
        <v>1091</v>
      </c>
      <c r="U25" s="91">
        <v>0</v>
      </c>
      <c r="V25" s="91">
        <v>200</v>
      </c>
      <c r="W25" s="91">
        <v>900</v>
      </c>
      <c r="X25" s="91">
        <v>1600</v>
      </c>
      <c r="Y25" s="91">
        <v>1600</v>
      </c>
      <c r="Z25" s="91">
        <v>1600</v>
      </c>
      <c r="AA25" s="91">
        <v>1600</v>
      </c>
      <c r="AB25" s="91">
        <v>2200</v>
      </c>
      <c r="AC25" s="91">
        <v>2500</v>
      </c>
      <c r="AD25" s="315">
        <f t="shared" si="60"/>
        <v>16782</v>
      </c>
      <c r="AE25" s="23"/>
      <c r="AF25" s="316">
        <v>2200</v>
      </c>
      <c r="AG25" s="91">
        <v>1500</v>
      </c>
      <c r="AH25" s="91">
        <v>121</v>
      </c>
      <c r="AI25" s="91">
        <v>565</v>
      </c>
      <c r="AJ25" s="91">
        <v>1514</v>
      </c>
      <c r="AK25" s="91">
        <v>1760</v>
      </c>
      <c r="AL25" s="91">
        <v>1800</v>
      </c>
      <c r="AM25" s="91">
        <v>2200</v>
      </c>
      <c r="AN25" s="91">
        <v>2200</v>
      </c>
      <c r="AO25" s="91">
        <v>2200</v>
      </c>
      <c r="AP25" s="91">
        <v>2420</v>
      </c>
      <c r="AQ25" s="91">
        <v>3520</v>
      </c>
      <c r="AR25" s="92">
        <f t="shared" si="61"/>
        <v>22000</v>
      </c>
      <c r="AS25" s="23"/>
      <c r="AT25" s="91">
        <v>1529</v>
      </c>
      <c r="AU25" s="91">
        <v>1516</v>
      </c>
      <c r="AV25" s="91">
        <v>1586</v>
      </c>
      <c r="AW25" s="91">
        <v>1979</v>
      </c>
      <c r="AX25" s="317">
        <v>1283</v>
      </c>
      <c r="AY25" s="317">
        <v>1283</v>
      </c>
      <c r="AZ25" s="317">
        <v>1224</v>
      </c>
      <c r="BA25" s="317">
        <v>1224</v>
      </c>
      <c r="BB25" s="317">
        <v>1283</v>
      </c>
      <c r="BC25" s="317">
        <v>1516</v>
      </c>
      <c r="BD25" s="317">
        <v>1632</v>
      </c>
      <c r="BE25" s="317">
        <v>2332</v>
      </c>
      <c r="BF25" s="91">
        <f t="shared" si="62"/>
        <v>18387</v>
      </c>
      <c r="BG25" s="93">
        <f t="shared" si="63"/>
        <v>-0.16422727272727278</v>
      </c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54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</row>
    <row r="26" spans="1:87">
      <c r="A26" s="94">
        <v>5</v>
      </c>
      <c r="B26" s="1092" t="s">
        <v>60</v>
      </c>
      <c r="C26" s="1118"/>
      <c r="D26" s="313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314">
        <f t="shared" si="59"/>
        <v>0</v>
      </c>
      <c r="Q26" s="90"/>
      <c r="R26" s="313">
        <v>1353</v>
      </c>
      <c r="S26" s="91">
        <v>1184</v>
      </c>
      <c r="T26" s="91">
        <v>1268</v>
      </c>
      <c r="U26" s="91">
        <f t="shared" ref="U26:V26" si="64">10*U3</f>
        <v>10</v>
      </c>
      <c r="V26" s="91">
        <f t="shared" si="64"/>
        <v>120</v>
      </c>
      <c r="W26" s="91">
        <v>600</v>
      </c>
      <c r="X26" s="91">
        <v>1600</v>
      </c>
      <c r="Y26" s="91">
        <v>1600</v>
      </c>
      <c r="Z26" s="91">
        <v>1600</v>
      </c>
      <c r="AA26" s="91">
        <v>1600</v>
      </c>
      <c r="AB26" s="91">
        <v>1600</v>
      </c>
      <c r="AC26" s="91">
        <v>2200</v>
      </c>
      <c r="AD26" s="315">
        <f t="shared" si="60"/>
        <v>14735</v>
      </c>
      <c r="AE26" s="23"/>
      <c r="AF26" s="316">
        <v>1800</v>
      </c>
      <c r="AG26" s="91">
        <v>1200</v>
      </c>
      <c r="AH26" s="91">
        <v>181</v>
      </c>
      <c r="AI26" s="91">
        <v>628</v>
      </c>
      <c r="AJ26" s="91">
        <v>1169</v>
      </c>
      <c r="AK26" s="91">
        <v>960</v>
      </c>
      <c r="AL26" s="91">
        <v>1500</v>
      </c>
      <c r="AM26" s="91">
        <v>1200</v>
      </c>
      <c r="AN26" s="91">
        <v>1200</v>
      </c>
      <c r="AO26" s="91">
        <v>1200</v>
      </c>
      <c r="AP26" s="91">
        <v>1320</v>
      </c>
      <c r="AQ26" s="91">
        <v>1920</v>
      </c>
      <c r="AR26" s="92">
        <f t="shared" si="61"/>
        <v>14278</v>
      </c>
      <c r="AS26" s="23"/>
      <c r="AT26" s="91">
        <v>1496</v>
      </c>
      <c r="AU26" s="91">
        <v>1200</v>
      </c>
      <c r="AV26" s="91">
        <v>1227</v>
      </c>
      <c r="AW26" s="91">
        <v>1655</v>
      </c>
      <c r="AX26" s="317">
        <v>1141</v>
      </c>
      <c r="AY26" s="317">
        <v>1141</v>
      </c>
      <c r="AZ26" s="317">
        <v>1089</v>
      </c>
      <c r="BA26" s="317">
        <v>1089</v>
      </c>
      <c r="BB26" s="317">
        <v>1141</v>
      </c>
      <c r="BC26" s="317">
        <v>1349</v>
      </c>
      <c r="BD26" s="317">
        <v>1453</v>
      </c>
      <c r="BE26" s="317">
        <v>2075</v>
      </c>
      <c r="BF26" s="91">
        <f t="shared" si="62"/>
        <v>16056</v>
      </c>
      <c r="BG26" s="93">
        <f t="shared" si="63"/>
        <v>0.1245272447121446</v>
      </c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54"/>
      <c r="BV26" s="91"/>
      <c r="BW26" s="91"/>
      <c r="BX26" s="91"/>
      <c r="BY26" s="91"/>
      <c r="BZ26" s="91"/>
      <c r="CA26" s="91"/>
      <c r="CB26" s="91"/>
      <c r="CC26" s="91"/>
      <c r="CD26" s="91"/>
      <c r="CE26" s="91"/>
      <c r="CF26" s="91"/>
      <c r="CG26" s="91"/>
      <c r="CH26" s="91"/>
    </row>
    <row r="27" spans="1:87">
      <c r="A27" s="94">
        <v>6</v>
      </c>
      <c r="B27" s="1092" t="s">
        <v>61</v>
      </c>
      <c r="C27" s="1118"/>
      <c r="D27" s="313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314">
        <f t="shared" si="59"/>
        <v>0</v>
      </c>
      <c r="Q27" s="90"/>
      <c r="R27" s="313">
        <v>1455</v>
      </c>
      <c r="S27" s="91">
        <v>1273</v>
      </c>
      <c r="T27" s="91">
        <v>1364</v>
      </c>
      <c r="U27" s="91">
        <v>0</v>
      </c>
      <c r="V27" s="91">
        <v>200</v>
      </c>
      <c r="W27" s="91">
        <v>800</v>
      </c>
      <c r="X27" s="91">
        <v>1600</v>
      </c>
      <c r="Y27" s="91">
        <v>1600</v>
      </c>
      <c r="Z27" s="91">
        <v>1600</v>
      </c>
      <c r="AA27" s="91">
        <v>1600</v>
      </c>
      <c r="AB27" s="91">
        <v>1800</v>
      </c>
      <c r="AC27" s="91">
        <v>2400</v>
      </c>
      <c r="AD27" s="315">
        <f t="shared" si="60"/>
        <v>15692</v>
      </c>
      <c r="AE27" s="23"/>
      <c r="AF27" s="316">
        <v>1500</v>
      </c>
      <c r="AG27" s="91">
        <v>1200</v>
      </c>
      <c r="AH27" s="91">
        <v>127</v>
      </c>
      <c r="AI27" s="91">
        <v>426</v>
      </c>
      <c r="AJ27" s="91">
        <v>1063</v>
      </c>
      <c r="AK27" s="91">
        <v>960</v>
      </c>
      <c r="AL27" s="91">
        <v>1500</v>
      </c>
      <c r="AM27" s="91">
        <v>1200</v>
      </c>
      <c r="AN27" s="91">
        <v>1200</v>
      </c>
      <c r="AO27" s="91">
        <v>1200</v>
      </c>
      <c r="AP27" s="91">
        <v>1320</v>
      </c>
      <c r="AQ27" s="91">
        <v>1920</v>
      </c>
      <c r="AR27" s="92">
        <f t="shared" si="61"/>
        <v>13616</v>
      </c>
      <c r="AS27" s="23"/>
      <c r="AT27" s="91">
        <v>1222</v>
      </c>
      <c r="AU27" s="91">
        <v>1200</v>
      </c>
      <c r="AV27" s="91">
        <v>1117</v>
      </c>
      <c r="AW27" s="91">
        <v>1463</v>
      </c>
      <c r="AX27" s="317">
        <v>1087</v>
      </c>
      <c r="AY27" s="317">
        <v>1087</v>
      </c>
      <c r="AZ27" s="317">
        <v>1038</v>
      </c>
      <c r="BA27" s="317">
        <v>1038</v>
      </c>
      <c r="BB27" s="317">
        <v>1087</v>
      </c>
      <c r="BC27" s="317">
        <v>1285</v>
      </c>
      <c r="BD27" s="317">
        <v>1384</v>
      </c>
      <c r="BE27" s="317">
        <v>1977</v>
      </c>
      <c r="BF27" s="91">
        <f t="shared" si="62"/>
        <v>14985</v>
      </c>
      <c r="BG27" s="93">
        <f t="shared" si="63"/>
        <v>0.10054347826086962</v>
      </c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54"/>
      <c r="BV27" s="91"/>
      <c r="BW27" s="91"/>
      <c r="BX27" s="91"/>
      <c r="BY27" s="91"/>
      <c r="BZ27" s="91"/>
      <c r="CA27" s="91"/>
      <c r="CB27" s="91"/>
      <c r="CC27" s="91"/>
      <c r="CD27" s="91"/>
      <c r="CE27" s="91"/>
      <c r="CF27" s="91"/>
      <c r="CG27" s="91"/>
      <c r="CH27" s="91"/>
    </row>
    <row r="28" spans="1:87">
      <c r="A28" s="94">
        <v>7</v>
      </c>
      <c r="B28" s="1092" t="s">
        <v>62</v>
      </c>
      <c r="C28" s="1118"/>
      <c r="D28" s="313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314">
        <f t="shared" si="59"/>
        <v>0</v>
      </c>
      <c r="Q28" s="90"/>
      <c r="R28" s="313">
        <v>2000</v>
      </c>
      <c r="S28" s="91">
        <f>2182</f>
        <v>2182</v>
      </c>
      <c r="T28" s="91">
        <f>2455/2</f>
        <v>1227.5</v>
      </c>
      <c r="U28" s="91">
        <f>4*U3</f>
        <v>4</v>
      </c>
      <c r="V28" s="91">
        <v>200</v>
      </c>
      <c r="W28" s="91">
        <v>700</v>
      </c>
      <c r="X28" s="91">
        <v>1600</v>
      </c>
      <c r="Y28" s="91">
        <v>1600</v>
      </c>
      <c r="Z28" s="91">
        <v>1600</v>
      </c>
      <c r="AA28" s="91">
        <v>1600</v>
      </c>
      <c r="AB28" s="91">
        <v>2500</v>
      </c>
      <c r="AC28" s="91">
        <v>3200</v>
      </c>
      <c r="AD28" s="315">
        <f t="shared" si="60"/>
        <v>18413.5</v>
      </c>
      <c r="AE28" s="23"/>
      <c r="AF28" s="316">
        <v>2600</v>
      </c>
      <c r="AG28" s="91">
        <v>1000</v>
      </c>
      <c r="AH28" s="91">
        <v>195</v>
      </c>
      <c r="AI28" s="91">
        <v>844</v>
      </c>
      <c r="AJ28" s="91">
        <v>1973</v>
      </c>
      <c r="AK28" s="91">
        <v>1840</v>
      </c>
      <c r="AL28" s="91">
        <v>2000</v>
      </c>
      <c r="AM28" s="91">
        <v>2300</v>
      </c>
      <c r="AN28" s="91">
        <v>2300</v>
      </c>
      <c r="AO28" s="91">
        <v>2300</v>
      </c>
      <c r="AP28" s="91">
        <v>2530</v>
      </c>
      <c r="AQ28" s="91">
        <v>3680</v>
      </c>
      <c r="AR28" s="92">
        <f t="shared" si="61"/>
        <v>23562</v>
      </c>
      <c r="AS28" s="23"/>
      <c r="AT28" s="91">
        <v>1888</v>
      </c>
      <c r="AU28" s="91">
        <v>1414</v>
      </c>
      <c r="AV28" s="91">
        <v>2073</v>
      </c>
      <c r="AW28" s="91">
        <v>2338</v>
      </c>
      <c r="AX28" s="317">
        <v>1857</v>
      </c>
      <c r="AY28" s="317">
        <v>1857</v>
      </c>
      <c r="AZ28" s="317">
        <v>1772</v>
      </c>
      <c r="BA28" s="317">
        <v>1772</v>
      </c>
      <c r="BB28" s="317">
        <v>1857</v>
      </c>
      <c r="BC28" s="317">
        <v>2194</v>
      </c>
      <c r="BD28" s="317">
        <v>2363</v>
      </c>
      <c r="BE28" s="317">
        <v>3376</v>
      </c>
      <c r="BF28" s="91">
        <f t="shared" si="62"/>
        <v>24761</v>
      </c>
      <c r="BG28" s="93">
        <f t="shared" si="63"/>
        <v>5.0887021475256811E-2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54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  <c r="CH28" s="91"/>
    </row>
    <row r="29" spans="1:87">
      <c r="A29" s="94">
        <v>8</v>
      </c>
      <c r="B29" s="1092" t="s">
        <v>269</v>
      </c>
      <c r="C29" s="1118"/>
      <c r="D29" s="313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314">
        <f t="shared" si="59"/>
        <v>0</v>
      </c>
      <c r="Q29" s="90"/>
      <c r="R29" s="313">
        <v>1636</v>
      </c>
      <c r="S29" s="91">
        <v>1636</v>
      </c>
      <c r="T29" s="91">
        <f t="shared" ref="T29:T30" si="65">1818/2</f>
        <v>909</v>
      </c>
      <c r="U29" s="91">
        <v>0</v>
      </c>
      <c r="V29" s="91">
        <v>200</v>
      </c>
      <c r="W29" s="91">
        <v>300</v>
      </c>
      <c r="X29" s="91">
        <v>1000</v>
      </c>
      <c r="Y29" s="91">
        <v>1200</v>
      </c>
      <c r="Z29" s="91">
        <v>1600</v>
      </c>
      <c r="AA29" s="91">
        <v>1600</v>
      </c>
      <c r="AB29" s="91">
        <v>1800</v>
      </c>
      <c r="AC29" s="91">
        <v>2300</v>
      </c>
      <c r="AD29" s="315">
        <f t="shared" si="60"/>
        <v>14181</v>
      </c>
      <c r="AE29" s="23"/>
      <c r="AF29" s="316">
        <v>1500</v>
      </c>
      <c r="AG29" s="91">
        <v>1000</v>
      </c>
      <c r="AH29" s="91">
        <v>126</v>
      </c>
      <c r="AI29" s="91">
        <v>387</v>
      </c>
      <c r="AJ29" s="91">
        <v>895</v>
      </c>
      <c r="AK29" s="91">
        <v>800</v>
      </c>
      <c r="AL29" s="91">
        <v>1500</v>
      </c>
      <c r="AM29" s="91">
        <v>1000</v>
      </c>
      <c r="AN29" s="91">
        <v>1000</v>
      </c>
      <c r="AO29" s="91">
        <v>1000</v>
      </c>
      <c r="AP29" s="91">
        <v>1100</v>
      </c>
      <c r="AQ29" s="91">
        <v>1600</v>
      </c>
      <c r="AR29" s="92">
        <f t="shared" si="61"/>
        <v>11908</v>
      </c>
      <c r="AS29" s="23"/>
      <c r="AT29" s="91">
        <v>1182</v>
      </c>
      <c r="AU29" s="91">
        <v>1200</v>
      </c>
      <c r="AV29" s="91">
        <v>932</v>
      </c>
      <c r="AW29" s="91">
        <v>1020</v>
      </c>
      <c r="AX29" s="317">
        <v>0</v>
      </c>
      <c r="AY29" s="317">
        <v>0</v>
      </c>
      <c r="AZ29" s="317">
        <v>0</v>
      </c>
      <c r="BA29" s="317">
        <v>0</v>
      </c>
      <c r="BB29" s="317">
        <v>0</v>
      </c>
      <c r="BC29" s="317">
        <v>0</v>
      </c>
      <c r="BD29" s="317">
        <v>0</v>
      </c>
      <c r="BE29" s="317">
        <v>0</v>
      </c>
      <c r="BF29" s="91">
        <f t="shared" si="62"/>
        <v>4334</v>
      </c>
      <c r="BG29" s="93">
        <f t="shared" si="63"/>
        <v>-0.63604299630500505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54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  <c r="CH29" s="91"/>
    </row>
    <row r="30" spans="1:87">
      <c r="A30" s="94">
        <v>9</v>
      </c>
      <c r="B30" s="1092" t="s">
        <v>64</v>
      </c>
      <c r="C30" s="1118"/>
      <c r="D30" s="313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314">
        <f t="shared" si="59"/>
        <v>0</v>
      </c>
      <c r="Q30" s="90"/>
      <c r="R30" s="313">
        <v>1636</v>
      </c>
      <c r="S30" s="91">
        <v>1636</v>
      </c>
      <c r="T30" s="91">
        <f t="shared" si="65"/>
        <v>909</v>
      </c>
      <c r="U30" s="91">
        <f>0.5*U3</f>
        <v>0.5</v>
      </c>
      <c r="V30" s="91">
        <v>200</v>
      </c>
      <c r="W30" s="91">
        <v>300</v>
      </c>
      <c r="X30" s="91">
        <v>1000</v>
      </c>
      <c r="Y30" s="91">
        <v>1200</v>
      </c>
      <c r="Z30" s="91">
        <v>1600</v>
      </c>
      <c r="AA30" s="91">
        <v>1600</v>
      </c>
      <c r="AB30" s="91">
        <v>1800</v>
      </c>
      <c r="AC30" s="91">
        <v>2300</v>
      </c>
      <c r="AD30" s="315">
        <f t="shared" si="60"/>
        <v>14181.5</v>
      </c>
      <c r="AE30" s="23"/>
      <c r="AF30" s="316">
        <v>1500</v>
      </c>
      <c r="AG30" s="91">
        <v>1000</v>
      </c>
      <c r="AH30" s="91">
        <v>764</v>
      </c>
      <c r="AI30" s="91">
        <v>561</v>
      </c>
      <c r="AJ30" s="91">
        <v>1353</v>
      </c>
      <c r="AK30" s="91">
        <v>960</v>
      </c>
      <c r="AL30" s="91">
        <v>1500</v>
      </c>
      <c r="AM30" s="91">
        <v>1200</v>
      </c>
      <c r="AN30" s="91">
        <v>1200</v>
      </c>
      <c r="AO30" s="91">
        <v>1200</v>
      </c>
      <c r="AP30" s="91">
        <v>1320</v>
      </c>
      <c r="AQ30" s="91">
        <v>1920</v>
      </c>
      <c r="AR30" s="92">
        <f t="shared" si="61"/>
        <v>14478</v>
      </c>
      <c r="AS30" s="23"/>
      <c r="AT30" s="91">
        <v>1285</v>
      </c>
      <c r="AU30" s="91">
        <v>957</v>
      </c>
      <c r="AV30" s="91">
        <v>1426</v>
      </c>
      <c r="AW30" s="91">
        <v>1595</v>
      </c>
      <c r="AX30" s="317">
        <v>1767</v>
      </c>
      <c r="AY30" s="317">
        <v>1767</v>
      </c>
      <c r="AZ30" s="317">
        <v>1686</v>
      </c>
      <c r="BA30" s="317">
        <v>1686</v>
      </c>
      <c r="BB30" s="317">
        <v>1767</v>
      </c>
      <c r="BC30" s="317">
        <v>2088</v>
      </c>
      <c r="BD30" s="317">
        <v>2248</v>
      </c>
      <c r="BE30" s="317">
        <v>3212</v>
      </c>
      <c r="BF30" s="91">
        <f t="shared" si="62"/>
        <v>21484</v>
      </c>
      <c r="BG30" s="93">
        <f t="shared" si="63"/>
        <v>0.48390661693604087</v>
      </c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54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</row>
    <row r="31" spans="1:87">
      <c r="A31" s="94">
        <v>10</v>
      </c>
      <c r="B31" s="1092" t="s">
        <v>270</v>
      </c>
      <c r="C31" s="1118"/>
      <c r="D31" s="313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314">
        <f t="shared" si="59"/>
        <v>0</v>
      </c>
      <c r="Q31" s="90"/>
      <c r="R31" s="313">
        <v>0</v>
      </c>
      <c r="S31" s="91">
        <v>0</v>
      </c>
      <c r="T31" s="91">
        <v>0</v>
      </c>
      <c r="U31" s="91">
        <v>0</v>
      </c>
      <c r="V31" s="91">
        <v>3500</v>
      </c>
      <c r="W31" s="91">
        <v>350</v>
      </c>
      <c r="X31" s="91">
        <v>800</v>
      </c>
      <c r="Y31" s="91">
        <v>1000</v>
      </c>
      <c r="Z31" s="91">
        <v>1600</v>
      </c>
      <c r="AA31" s="91">
        <v>2000</v>
      </c>
      <c r="AB31" s="91">
        <v>2400</v>
      </c>
      <c r="AC31" s="91">
        <v>3000</v>
      </c>
      <c r="AD31" s="315">
        <f t="shared" si="60"/>
        <v>14650</v>
      </c>
      <c r="AE31" s="23"/>
      <c r="AF31" s="316">
        <v>2500</v>
      </c>
      <c r="AG31" s="91">
        <v>1000</v>
      </c>
      <c r="AH31" s="91">
        <f>2500*0.15</f>
        <v>375</v>
      </c>
      <c r="AI31" s="91">
        <v>787</v>
      </c>
      <c r="AJ31" s="91">
        <v>1569</v>
      </c>
      <c r="AK31" s="91">
        <v>2000</v>
      </c>
      <c r="AL31" s="91">
        <v>2500</v>
      </c>
      <c r="AM31" s="91">
        <v>2500</v>
      </c>
      <c r="AN31" s="91">
        <v>2500</v>
      </c>
      <c r="AO31" s="91">
        <v>2500</v>
      </c>
      <c r="AP31" s="91">
        <v>2750</v>
      </c>
      <c r="AQ31" s="91">
        <v>4000</v>
      </c>
      <c r="AR31" s="92">
        <f t="shared" si="61"/>
        <v>24981</v>
      </c>
      <c r="AS31" s="23"/>
      <c r="AT31" s="91">
        <v>1806</v>
      </c>
      <c r="AU31" s="91">
        <v>2046</v>
      </c>
      <c r="AV31" s="91">
        <v>1646</v>
      </c>
      <c r="AW31" s="91">
        <v>1902</v>
      </c>
      <c r="AX31" s="317">
        <v>1545</v>
      </c>
      <c r="AY31" s="317">
        <v>1545</v>
      </c>
      <c r="AZ31" s="317">
        <v>1475</v>
      </c>
      <c r="BA31" s="317">
        <v>1475</v>
      </c>
      <c r="BB31" s="317">
        <v>1545</v>
      </c>
      <c r="BC31" s="317">
        <v>1826</v>
      </c>
      <c r="BD31" s="317">
        <v>0</v>
      </c>
      <c r="BE31" s="317">
        <v>0</v>
      </c>
      <c r="BF31" s="91">
        <f t="shared" si="62"/>
        <v>16811</v>
      </c>
      <c r="BG31" s="93">
        <f t="shared" si="63"/>
        <v>-0.32704855690324641</v>
      </c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54"/>
      <c r="BV31" s="91"/>
      <c r="BW31" s="91"/>
      <c r="BX31" s="91"/>
      <c r="BY31" s="91"/>
      <c r="BZ31" s="91"/>
      <c r="CA31" s="91"/>
      <c r="CB31" s="91"/>
      <c r="CC31" s="91"/>
      <c r="CD31" s="91"/>
      <c r="CE31" s="91"/>
      <c r="CF31" s="91"/>
      <c r="CG31" s="91"/>
      <c r="CH31" s="91"/>
    </row>
    <row r="32" spans="1:87">
      <c r="A32" s="94">
        <v>11</v>
      </c>
      <c r="B32" s="210" t="s">
        <v>271</v>
      </c>
      <c r="C32" s="211"/>
      <c r="D32" s="313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314">
        <f t="shared" si="59"/>
        <v>0</v>
      </c>
      <c r="Q32" s="90"/>
      <c r="R32" s="313">
        <v>0</v>
      </c>
      <c r="S32" s="91">
        <v>0</v>
      </c>
      <c r="T32" s="91">
        <v>0</v>
      </c>
      <c r="U32" s="91">
        <v>0</v>
      </c>
      <c r="V32" s="91">
        <v>4000</v>
      </c>
      <c r="W32" s="91">
        <v>100</v>
      </c>
      <c r="X32" s="91">
        <v>800</v>
      </c>
      <c r="Y32" s="91">
        <v>800</v>
      </c>
      <c r="Z32" s="91">
        <v>1200</v>
      </c>
      <c r="AA32" s="91">
        <v>1200</v>
      </c>
      <c r="AB32" s="91">
        <v>1800</v>
      </c>
      <c r="AC32" s="91">
        <v>2300</v>
      </c>
      <c r="AD32" s="315">
        <f t="shared" si="60"/>
        <v>12200</v>
      </c>
      <c r="AE32" s="23"/>
      <c r="AF32" s="316">
        <v>1500</v>
      </c>
      <c r="AG32" s="91">
        <v>1000</v>
      </c>
      <c r="AH32" s="91">
        <f t="shared" ref="AH32:AH33" si="66">1500*0.15</f>
        <v>225</v>
      </c>
      <c r="AI32" s="91">
        <v>324</v>
      </c>
      <c r="AJ32" s="91">
        <v>869</v>
      </c>
      <c r="AK32" s="91">
        <v>800</v>
      </c>
      <c r="AL32" s="91">
        <v>1500</v>
      </c>
      <c r="AM32" s="91">
        <v>1000</v>
      </c>
      <c r="AN32" s="91">
        <v>1000</v>
      </c>
      <c r="AO32" s="91">
        <v>1000</v>
      </c>
      <c r="AP32" s="91">
        <v>1100</v>
      </c>
      <c r="AQ32" s="91">
        <v>1600</v>
      </c>
      <c r="AR32" s="92">
        <f t="shared" si="61"/>
        <v>11918</v>
      </c>
      <c r="AS32" s="23"/>
      <c r="AT32" s="91">
        <v>1191</v>
      </c>
      <c r="AU32" s="91">
        <v>1191</v>
      </c>
      <c r="AV32" s="91">
        <v>1191</v>
      </c>
      <c r="AW32" s="91">
        <v>1191</v>
      </c>
      <c r="AX32" s="317">
        <v>876</v>
      </c>
      <c r="AY32" s="317">
        <v>876</v>
      </c>
      <c r="AZ32" s="317">
        <v>836</v>
      </c>
      <c r="BA32" s="317">
        <v>836</v>
      </c>
      <c r="BB32" s="317">
        <v>876</v>
      </c>
      <c r="BC32" s="317">
        <v>1035</v>
      </c>
      <c r="BD32" s="317">
        <v>0</v>
      </c>
      <c r="BE32" s="317">
        <v>0</v>
      </c>
      <c r="BF32" s="91">
        <f t="shared" si="62"/>
        <v>10099</v>
      </c>
      <c r="BG32" s="93">
        <f t="shared" si="63"/>
        <v>-0.15262627957711028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54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</row>
    <row r="33" spans="1:87">
      <c r="A33" s="94">
        <v>12</v>
      </c>
      <c r="B33" s="210" t="s">
        <v>272</v>
      </c>
      <c r="C33" s="211"/>
      <c r="D33" s="313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314">
        <f t="shared" si="59"/>
        <v>0</v>
      </c>
      <c r="Q33" s="90"/>
      <c r="R33" s="313">
        <v>0</v>
      </c>
      <c r="S33" s="91">
        <v>0</v>
      </c>
      <c r="T33" s="91">
        <v>0</v>
      </c>
      <c r="U33" s="91">
        <v>0</v>
      </c>
      <c r="V33" s="91">
        <v>4000</v>
      </c>
      <c r="W33" s="91">
        <v>0</v>
      </c>
      <c r="X33" s="91">
        <v>800</v>
      </c>
      <c r="Y33" s="91">
        <v>1000</v>
      </c>
      <c r="Z33" s="91">
        <v>1200</v>
      </c>
      <c r="AA33" s="91">
        <v>1200</v>
      </c>
      <c r="AB33" s="91">
        <v>1800</v>
      </c>
      <c r="AC33" s="91">
        <v>2300</v>
      </c>
      <c r="AD33" s="315">
        <f t="shared" si="60"/>
        <v>12300</v>
      </c>
      <c r="AE33" s="23"/>
      <c r="AF33" s="316">
        <v>1500</v>
      </c>
      <c r="AG33" s="91">
        <v>1200</v>
      </c>
      <c r="AH33" s="91">
        <f t="shared" si="66"/>
        <v>225</v>
      </c>
      <c r="AI33" s="91">
        <v>332</v>
      </c>
      <c r="AJ33" s="91">
        <v>945</v>
      </c>
      <c r="AK33" s="91">
        <v>960</v>
      </c>
      <c r="AL33" s="91">
        <v>1500</v>
      </c>
      <c r="AM33" s="91">
        <v>1200</v>
      </c>
      <c r="AN33" s="91">
        <v>1200</v>
      </c>
      <c r="AO33" s="91">
        <v>1200</v>
      </c>
      <c r="AP33" s="91">
        <v>1320</v>
      </c>
      <c r="AQ33" s="91">
        <v>1920</v>
      </c>
      <c r="AR33" s="92">
        <f t="shared" si="61"/>
        <v>13502</v>
      </c>
      <c r="AS33" s="23"/>
      <c r="AT33" s="91">
        <v>1254</v>
      </c>
      <c r="AU33" s="91">
        <v>1254</v>
      </c>
      <c r="AV33" s="91">
        <v>1254</v>
      </c>
      <c r="AW33" s="91">
        <v>1254</v>
      </c>
      <c r="AX33" s="317">
        <v>1236</v>
      </c>
      <c r="AY33" s="317">
        <v>1236</v>
      </c>
      <c r="AZ33" s="317">
        <v>0</v>
      </c>
      <c r="BA33" s="317">
        <v>0</v>
      </c>
      <c r="BB33" s="317">
        <v>0</v>
      </c>
      <c r="BC33" s="317">
        <v>0</v>
      </c>
      <c r="BD33" s="317">
        <v>0</v>
      </c>
      <c r="BE33" s="317">
        <v>0</v>
      </c>
      <c r="BF33" s="91">
        <f t="shared" si="62"/>
        <v>7488</v>
      </c>
      <c r="BG33" s="93">
        <f t="shared" si="63"/>
        <v>-0.44541549400088876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54"/>
      <c r="BV33" s="91"/>
      <c r="BW33" s="91"/>
      <c r="BX33" s="91"/>
      <c r="BY33" s="91"/>
      <c r="BZ33" s="91"/>
      <c r="CA33" s="91"/>
      <c r="CB33" s="91"/>
      <c r="CC33" s="91"/>
      <c r="CD33" s="91"/>
      <c r="CE33" s="91"/>
      <c r="CF33" s="91"/>
      <c r="CG33" s="91"/>
      <c r="CH33" s="91"/>
    </row>
    <row r="34" spans="1:87">
      <c r="A34" s="94">
        <v>13</v>
      </c>
      <c r="B34" s="210" t="s">
        <v>67</v>
      </c>
      <c r="C34" s="212"/>
      <c r="D34" s="313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si="59"/>
        <v>0</v>
      </c>
      <c r="Q34" s="90"/>
      <c r="R34" s="313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2000</v>
      </c>
      <c r="Y34" s="91">
        <v>800</v>
      </c>
      <c r="Z34" s="91">
        <v>800</v>
      </c>
      <c r="AA34" s="91">
        <v>1200</v>
      </c>
      <c r="AB34" s="91">
        <v>1800</v>
      </c>
      <c r="AC34" s="91">
        <v>2300</v>
      </c>
      <c r="AD34" s="315">
        <f t="shared" si="60"/>
        <v>8900</v>
      </c>
      <c r="AE34" s="23"/>
      <c r="AF34" s="316">
        <v>1800</v>
      </c>
      <c r="AG34" s="91">
        <v>1200</v>
      </c>
      <c r="AH34" s="91">
        <f>1800*0.15</f>
        <v>270</v>
      </c>
      <c r="AI34" s="91">
        <v>896</v>
      </c>
      <c r="AJ34" s="91">
        <v>1339</v>
      </c>
      <c r="AK34" s="91">
        <v>1600</v>
      </c>
      <c r="AL34" s="91">
        <v>1800</v>
      </c>
      <c r="AM34" s="91">
        <v>2000</v>
      </c>
      <c r="AN34" s="91">
        <v>2000</v>
      </c>
      <c r="AO34" s="91">
        <v>2000</v>
      </c>
      <c r="AP34" s="91">
        <v>2200</v>
      </c>
      <c r="AQ34" s="91">
        <v>3200</v>
      </c>
      <c r="AR34" s="92">
        <f t="shared" si="61"/>
        <v>20305</v>
      </c>
      <c r="AS34" s="23"/>
      <c r="AT34" s="91">
        <v>1980</v>
      </c>
      <c r="AU34" s="91">
        <v>1980</v>
      </c>
      <c r="AV34" s="91">
        <v>1980</v>
      </c>
      <c r="AW34" s="91">
        <v>1980</v>
      </c>
      <c r="AX34" s="317">
        <v>1409</v>
      </c>
      <c r="AY34" s="317">
        <v>1409</v>
      </c>
      <c r="AZ34" s="317">
        <v>1345</v>
      </c>
      <c r="BA34" s="317">
        <v>1345</v>
      </c>
      <c r="BB34" s="317">
        <v>1409</v>
      </c>
      <c r="BC34" s="317">
        <v>1665</v>
      </c>
      <c r="BD34" s="317">
        <v>1793</v>
      </c>
      <c r="BE34" s="317">
        <v>2562</v>
      </c>
      <c r="BF34" s="91">
        <f t="shared" si="62"/>
        <v>20857</v>
      </c>
      <c r="BG34" s="93">
        <f t="shared" si="63"/>
        <v>2.7185422309775831E-2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54"/>
      <c r="BV34" s="91"/>
      <c r="BW34" s="91"/>
      <c r="BX34" s="91"/>
      <c r="BY34" s="91"/>
      <c r="BZ34" s="91"/>
      <c r="CA34" s="91"/>
      <c r="CB34" s="91"/>
      <c r="CC34" s="91"/>
      <c r="CD34" s="91"/>
      <c r="CE34" s="91"/>
      <c r="CF34" s="91"/>
      <c r="CG34" s="91"/>
      <c r="CH34" s="91"/>
    </row>
    <row r="35" spans="1:87">
      <c r="A35" s="94">
        <v>14</v>
      </c>
      <c r="B35" s="210" t="s">
        <v>68</v>
      </c>
      <c r="C35" s="212"/>
      <c r="D35" s="313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/>
      <c r="Q35" s="90"/>
      <c r="R35" s="313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2000</v>
      </c>
      <c r="Z35" s="91">
        <v>800</v>
      </c>
      <c r="AA35" s="91">
        <v>800</v>
      </c>
      <c r="AB35" s="91">
        <v>1200</v>
      </c>
      <c r="AC35" s="91">
        <v>1800</v>
      </c>
      <c r="AD35" s="315">
        <f t="shared" si="60"/>
        <v>6600</v>
      </c>
      <c r="AE35" s="23"/>
      <c r="AF35" s="316">
        <v>1500</v>
      </c>
      <c r="AG35" s="91">
        <v>1200</v>
      </c>
      <c r="AH35" s="91">
        <f>1500*0.15</f>
        <v>225</v>
      </c>
      <c r="AI35" s="91">
        <v>374</v>
      </c>
      <c r="AJ35" s="91">
        <v>990</v>
      </c>
      <c r="AK35" s="91">
        <v>960</v>
      </c>
      <c r="AL35" s="91">
        <v>1800</v>
      </c>
      <c r="AM35" s="91">
        <v>1200</v>
      </c>
      <c r="AN35" s="91">
        <v>1200</v>
      </c>
      <c r="AO35" s="91">
        <v>1200</v>
      </c>
      <c r="AP35" s="91">
        <v>1320</v>
      </c>
      <c r="AQ35" s="91">
        <v>1920</v>
      </c>
      <c r="AR35" s="92">
        <f t="shared" si="61"/>
        <v>13889</v>
      </c>
      <c r="AS35" s="23"/>
      <c r="AT35" s="91">
        <v>1518</v>
      </c>
      <c r="AU35" s="91">
        <v>1518</v>
      </c>
      <c r="AV35" s="91">
        <v>1518</v>
      </c>
      <c r="AW35" s="91">
        <v>1518</v>
      </c>
      <c r="AX35" s="317">
        <v>1276</v>
      </c>
      <c r="AY35" s="317">
        <v>1276</v>
      </c>
      <c r="AZ35" s="317">
        <v>1218</v>
      </c>
      <c r="BA35" s="317">
        <v>1218</v>
      </c>
      <c r="BB35" s="317">
        <v>1276</v>
      </c>
      <c r="BC35" s="317">
        <v>1508</v>
      </c>
      <c r="BD35" s="317">
        <v>1624</v>
      </c>
      <c r="BE35" s="317">
        <v>2320</v>
      </c>
      <c r="BF35" s="91">
        <f t="shared" si="62"/>
        <v>17788</v>
      </c>
      <c r="BG35" s="93">
        <f t="shared" si="63"/>
        <v>0.2807257541939665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54"/>
      <c r="BV35" s="91"/>
      <c r="BW35" s="91"/>
      <c r="BX35" s="91"/>
      <c r="BY35" s="91"/>
      <c r="BZ35" s="91"/>
      <c r="CA35" s="91"/>
      <c r="CB35" s="91"/>
      <c r="CC35" s="91"/>
      <c r="CD35" s="91"/>
      <c r="CE35" s="91"/>
      <c r="CF35" s="91"/>
      <c r="CG35" s="91"/>
      <c r="CH35" s="91"/>
    </row>
    <row r="36" spans="1:87">
      <c r="A36" s="94">
        <v>15</v>
      </c>
      <c r="B36" s="210" t="s">
        <v>69</v>
      </c>
      <c r="C36" s="212"/>
      <c r="D36" s="313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/>
      <c r="Q36" s="90"/>
      <c r="R36" s="313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2000</v>
      </c>
      <c r="AA36" s="91">
        <v>800</v>
      </c>
      <c r="AB36" s="91">
        <v>800</v>
      </c>
      <c r="AC36" s="91">
        <v>1500</v>
      </c>
      <c r="AD36" s="315">
        <f t="shared" si="60"/>
        <v>5100</v>
      </c>
      <c r="AE36" s="23"/>
      <c r="AF36" s="316">
        <v>1800</v>
      </c>
      <c r="AG36" s="91">
        <v>1200</v>
      </c>
      <c r="AH36" s="91">
        <f>1800*0.4</f>
        <v>720</v>
      </c>
      <c r="AI36" s="91">
        <v>1147</v>
      </c>
      <c r="AJ36" s="91">
        <v>1155</v>
      </c>
      <c r="AK36" s="91">
        <v>1600</v>
      </c>
      <c r="AL36" s="91">
        <v>1800</v>
      </c>
      <c r="AM36" s="91">
        <v>2000</v>
      </c>
      <c r="AN36" s="91">
        <v>2000</v>
      </c>
      <c r="AO36" s="91">
        <v>2000</v>
      </c>
      <c r="AP36" s="91">
        <v>2200</v>
      </c>
      <c r="AQ36" s="91">
        <v>3200</v>
      </c>
      <c r="AR36" s="92">
        <f t="shared" si="61"/>
        <v>20822</v>
      </c>
      <c r="AS36" s="23"/>
      <c r="AT36" s="91">
        <v>1544</v>
      </c>
      <c r="AU36" s="91">
        <v>1544</v>
      </c>
      <c r="AV36" s="91">
        <v>1544</v>
      </c>
      <c r="AW36" s="91">
        <v>1544</v>
      </c>
      <c r="AX36" s="317">
        <v>862</v>
      </c>
      <c r="AY36" s="317">
        <v>862</v>
      </c>
      <c r="AZ36" s="317">
        <v>823</v>
      </c>
      <c r="BA36" s="317">
        <v>823</v>
      </c>
      <c r="BB36" s="317">
        <v>862</v>
      </c>
      <c r="BC36" s="317">
        <v>1019</v>
      </c>
      <c r="BD36" s="317">
        <v>1098</v>
      </c>
      <c r="BE36" s="317">
        <v>1568</v>
      </c>
      <c r="BF36" s="91">
        <f t="shared" si="62"/>
        <v>14093</v>
      </c>
      <c r="BG36" s="93">
        <f t="shared" si="63"/>
        <v>-0.32316780328498707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54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1"/>
      <c r="CG36" s="91"/>
      <c r="CH36" s="91"/>
    </row>
    <row r="37" spans="1:87">
      <c r="A37" s="94">
        <v>16</v>
      </c>
      <c r="B37" s="210" t="s">
        <v>273</v>
      </c>
      <c r="C37" s="212"/>
      <c r="D37" s="313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/>
      <c r="Q37" s="90"/>
      <c r="R37" s="313"/>
      <c r="S37" s="91"/>
      <c r="T37" s="91"/>
      <c r="U37" s="91"/>
      <c r="V37" s="91"/>
      <c r="W37" s="91"/>
      <c r="X37" s="91"/>
      <c r="Y37" s="91"/>
      <c r="Z37" s="91"/>
      <c r="AA37" s="91">
        <v>800</v>
      </c>
      <c r="AB37" s="91">
        <v>800</v>
      </c>
      <c r="AC37" s="91">
        <v>1500</v>
      </c>
      <c r="AD37" s="315"/>
      <c r="AE37" s="23"/>
      <c r="AF37" s="316">
        <v>1500</v>
      </c>
      <c r="AG37" s="91">
        <v>1200</v>
      </c>
      <c r="AH37" s="91">
        <f>1500*0.15</f>
        <v>225</v>
      </c>
      <c r="AI37" s="91">
        <v>192</v>
      </c>
      <c r="AJ37" s="91">
        <v>663</v>
      </c>
      <c r="AK37" s="91">
        <v>800</v>
      </c>
      <c r="AL37" s="91">
        <v>1500</v>
      </c>
      <c r="AM37" s="91">
        <v>1000</v>
      </c>
      <c r="AN37" s="91">
        <v>1000</v>
      </c>
      <c r="AO37" s="91">
        <v>1000</v>
      </c>
      <c r="AP37" s="91">
        <v>1100</v>
      </c>
      <c r="AQ37" s="91">
        <v>1600</v>
      </c>
      <c r="AR37" s="92">
        <f t="shared" si="61"/>
        <v>11780</v>
      </c>
      <c r="AS37" s="23"/>
      <c r="AT37" s="91">
        <v>960</v>
      </c>
      <c r="AU37" s="91">
        <v>960</v>
      </c>
      <c r="AV37" s="91">
        <v>960</v>
      </c>
      <c r="AW37" s="91">
        <v>960</v>
      </c>
      <c r="AX37" s="317">
        <v>1414</v>
      </c>
      <c r="AY37" s="317">
        <v>1414</v>
      </c>
      <c r="AZ37" s="317">
        <v>1350</v>
      </c>
      <c r="BA37" s="317">
        <v>1350</v>
      </c>
      <c r="BB37" s="317">
        <v>1414</v>
      </c>
      <c r="BC37" s="317">
        <v>1671</v>
      </c>
      <c r="BD37" s="317">
        <v>1800</v>
      </c>
      <c r="BE37" s="317">
        <v>2571</v>
      </c>
      <c r="BF37" s="91">
        <f t="shared" si="62"/>
        <v>16824</v>
      </c>
      <c r="BG37" s="93">
        <f t="shared" si="63"/>
        <v>0.42818336162988113</v>
      </c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54"/>
      <c r="BV37" s="91"/>
      <c r="BW37" s="91"/>
      <c r="BX37" s="91"/>
      <c r="BY37" s="91"/>
      <c r="BZ37" s="91"/>
      <c r="CA37" s="91"/>
      <c r="CB37" s="91"/>
      <c r="CC37" s="91"/>
      <c r="CD37" s="91"/>
      <c r="CE37" s="91"/>
      <c r="CF37" s="91"/>
      <c r="CG37" s="91"/>
      <c r="CH37" s="91"/>
    </row>
    <row r="38" spans="1:87">
      <c r="A38" s="94" t="s">
        <v>274</v>
      </c>
      <c r="B38" s="210" t="s">
        <v>275</v>
      </c>
      <c r="C38" s="213">
        <v>44378</v>
      </c>
      <c r="D38" s="313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/>
      <c r="Q38" s="90"/>
      <c r="R38" s="313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315"/>
      <c r="AE38" s="23"/>
      <c r="AF38" s="316">
        <v>0</v>
      </c>
      <c r="AG38" s="91">
        <v>0</v>
      </c>
      <c r="AH38" s="91">
        <v>0</v>
      </c>
      <c r="AI38" s="91">
        <v>0</v>
      </c>
      <c r="AJ38" s="91">
        <v>0</v>
      </c>
      <c r="AK38" s="91">
        <v>400</v>
      </c>
      <c r="AL38" s="91">
        <v>500</v>
      </c>
      <c r="AM38" s="91">
        <v>500</v>
      </c>
      <c r="AN38" s="91">
        <v>600</v>
      </c>
      <c r="AO38" s="91">
        <v>600</v>
      </c>
      <c r="AP38" s="91">
        <v>660</v>
      </c>
      <c r="AQ38" s="91">
        <v>960</v>
      </c>
      <c r="AR38" s="92">
        <f t="shared" si="61"/>
        <v>4220</v>
      </c>
      <c r="AS38" s="23"/>
      <c r="AT38" s="91">
        <v>960</v>
      </c>
      <c r="AU38" s="91">
        <v>960</v>
      </c>
      <c r="AV38" s="91">
        <v>960</v>
      </c>
      <c r="AW38" s="91">
        <v>960</v>
      </c>
      <c r="AX38" s="317">
        <v>580</v>
      </c>
      <c r="AY38" s="317">
        <v>580</v>
      </c>
      <c r="AZ38" s="317">
        <v>554</v>
      </c>
      <c r="BA38" s="317">
        <v>554</v>
      </c>
      <c r="BB38" s="317">
        <v>580</v>
      </c>
      <c r="BC38" s="317">
        <v>686</v>
      </c>
      <c r="BD38" s="317">
        <v>739</v>
      </c>
      <c r="BE38" s="317">
        <v>1055</v>
      </c>
      <c r="BF38" s="91">
        <f t="shared" si="62"/>
        <v>9168</v>
      </c>
      <c r="BG38" s="93">
        <f t="shared" si="63"/>
        <v>1.172511848341232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54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</row>
    <row r="39" spans="1:87">
      <c r="A39" s="94" t="s">
        <v>274</v>
      </c>
      <c r="B39" s="210" t="s">
        <v>70</v>
      </c>
      <c r="C39" s="213">
        <v>44440</v>
      </c>
      <c r="D39" s="313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314"/>
      <c r="Q39" s="90"/>
      <c r="R39" s="313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315"/>
      <c r="AE39" s="23"/>
      <c r="AF39" s="316">
        <v>0</v>
      </c>
      <c r="AG39" s="91">
        <v>0</v>
      </c>
      <c r="AH39" s="91">
        <v>0</v>
      </c>
      <c r="AI39" s="91">
        <v>0</v>
      </c>
      <c r="AJ39" s="91">
        <v>0</v>
      </c>
      <c r="AK39" s="91">
        <v>0</v>
      </c>
      <c r="AL39" s="91">
        <v>2500</v>
      </c>
      <c r="AM39" s="91">
        <v>2000</v>
      </c>
      <c r="AN39" s="91">
        <v>500</v>
      </c>
      <c r="AO39" s="91">
        <v>600</v>
      </c>
      <c r="AP39" s="91">
        <v>660</v>
      </c>
      <c r="AQ39" s="91">
        <v>960</v>
      </c>
      <c r="AR39" s="92">
        <f t="shared" si="61"/>
        <v>7220</v>
      </c>
      <c r="AS39" s="23"/>
      <c r="AT39" s="91">
        <v>1518</v>
      </c>
      <c r="AU39" s="91">
        <v>1518</v>
      </c>
      <c r="AV39" s="91">
        <v>1518</v>
      </c>
      <c r="AW39" s="91">
        <v>1518</v>
      </c>
      <c r="AX39" s="317">
        <v>1943</v>
      </c>
      <c r="AY39" s="317">
        <v>1943</v>
      </c>
      <c r="AZ39" s="317">
        <v>1854</v>
      </c>
      <c r="BA39" s="317">
        <v>1854</v>
      </c>
      <c r="BB39" s="317">
        <v>1943</v>
      </c>
      <c r="BC39" s="317">
        <v>2296</v>
      </c>
      <c r="BD39" s="317">
        <v>2472</v>
      </c>
      <c r="BE39" s="317">
        <v>3532</v>
      </c>
      <c r="BF39" s="91">
        <f t="shared" si="62"/>
        <v>23909</v>
      </c>
      <c r="BG39" s="93">
        <f t="shared" si="63"/>
        <v>2.3114958448753464</v>
      </c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54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</row>
    <row r="40" spans="1:87">
      <c r="A40" s="318">
        <v>18</v>
      </c>
      <c r="B40" s="319" t="s">
        <v>65</v>
      </c>
      <c r="C40" s="320">
        <v>44682</v>
      </c>
      <c r="D40" s="321"/>
      <c r="E40" s="321"/>
      <c r="F40" s="321"/>
      <c r="G40" s="321"/>
      <c r="H40" s="321"/>
      <c r="I40" s="321"/>
      <c r="J40" s="321"/>
      <c r="K40" s="321"/>
      <c r="L40" s="321"/>
      <c r="M40" s="321"/>
      <c r="N40" s="321"/>
      <c r="O40" s="321"/>
      <c r="P40" s="321"/>
      <c r="Q40" s="321"/>
      <c r="R40" s="321"/>
      <c r="S40" s="321"/>
      <c r="T40" s="321"/>
      <c r="U40" s="321"/>
      <c r="V40" s="321"/>
      <c r="W40" s="321"/>
      <c r="X40" s="321"/>
      <c r="Y40" s="321"/>
      <c r="Z40" s="321"/>
      <c r="AA40" s="321"/>
      <c r="AB40" s="321"/>
      <c r="AC40" s="321"/>
      <c r="AD40" s="321"/>
      <c r="AE40" s="322"/>
      <c r="AF40" s="323">
        <v>0</v>
      </c>
      <c r="AG40" s="323">
        <v>0</v>
      </c>
      <c r="AH40" s="323">
        <v>0</v>
      </c>
      <c r="AI40" s="323">
        <v>0</v>
      </c>
      <c r="AJ40" s="323">
        <v>0</v>
      </c>
      <c r="AK40" s="323">
        <v>0</v>
      </c>
      <c r="AL40" s="323">
        <v>0</v>
      </c>
      <c r="AM40" s="323">
        <v>0</v>
      </c>
      <c r="AN40" s="323">
        <v>0</v>
      </c>
      <c r="AO40" s="323">
        <v>0</v>
      </c>
      <c r="AP40" s="323">
        <v>0</v>
      </c>
      <c r="AQ40" s="323">
        <v>0</v>
      </c>
      <c r="AR40" s="324">
        <f t="shared" si="61"/>
        <v>0</v>
      </c>
      <c r="AS40" s="322"/>
      <c r="AT40" s="323">
        <v>0</v>
      </c>
      <c r="AU40" s="323">
        <v>0</v>
      </c>
      <c r="AV40" s="323">
        <v>0</v>
      </c>
      <c r="AW40" s="323">
        <v>0</v>
      </c>
      <c r="AX40" s="317">
        <v>800</v>
      </c>
      <c r="AY40" s="317">
        <v>800</v>
      </c>
      <c r="AZ40" s="317">
        <v>800</v>
      </c>
      <c r="BA40" s="317">
        <v>1050</v>
      </c>
      <c r="BB40" s="317">
        <v>1100</v>
      </c>
      <c r="BC40" s="317">
        <v>1300</v>
      </c>
      <c r="BD40" s="317">
        <v>1400</v>
      </c>
      <c r="BE40" s="317">
        <v>2000</v>
      </c>
      <c r="BF40" s="323">
        <f t="shared" si="62"/>
        <v>9250</v>
      </c>
      <c r="BG40" s="325" t="e">
        <f t="shared" si="63"/>
        <v>#DIV/0!</v>
      </c>
      <c r="BH40" s="323"/>
      <c r="BI40" s="323"/>
      <c r="BJ40" s="323"/>
      <c r="BK40" s="323"/>
      <c r="BL40" s="317"/>
      <c r="BM40" s="317"/>
      <c r="BN40" s="317"/>
      <c r="BO40" s="317"/>
      <c r="BP40" s="317"/>
      <c r="BQ40" s="317"/>
      <c r="BR40" s="317"/>
      <c r="BS40" s="317"/>
      <c r="BT40" s="317"/>
      <c r="BU40" s="326"/>
      <c r="BV40" s="323"/>
      <c r="BW40" s="323"/>
      <c r="BX40" s="323"/>
      <c r="BY40" s="323"/>
      <c r="BZ40" s="317"/>
      <c r="CA40" s="317"/>
      <c r="CB40" s="317"/>
      <c r="CC40" s="317"/>
      <c r="CD40" s="317"/>
      <c r="CE40" s="317"/>
      <c r="CF40" s="317"/>
      <c r="CG40" s="317"/>
      <c r="CH40" s="317"/>
    </row>
    <row r="41" spans="1:87">
      <c r="A41" s="95">
        <v>19</v>
      </c>
      <c r="B41" s="96" t="s">
        <v>276</v>
      </c>
      <c r="C41" s="327">
        <v>44870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23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8"/>
      <c r="AS41" s="23"/>
      <c r="AT41" s="97"/>
      <c r="AU41" s="97"/>
      <c r="AV41" s="97"/>
      <c r="AW41" s="97"/>
      <c r="AX41" s="91"/>
      <c r="AY41" s="91"/>
      <c r="AZ41" s="91"/>
      <c r="BA41" s="91"/>
      <c r="BB41" s="91"/>
      <c r="BC41" s="91"/>
      <c r="BD41" s="91">
        <v>600</v>
      </c>
      <c r="BE41" s="91">
        <v>700</v>
      </c>
      <c r="BF41" s="323">
        <f t="shared" si="62"/>
        <v>1300</v>
      </c>
      <c r="BG41" s="93"/>
      <c r="BH41" s="97"/>
      <c r="BI41" s="97"/>
      <c r="BJ41" s="97"/>
      <c r="BK41" s="97"/>
      <c r="BL41" s="91"/>
      <c r="BM41" s="91"/>
      <c r="BN41" s="91"/>
      <c r="BO41" s="91"/>
      <c r="BP41" s="91"/>
      <c r="BQ41" s="91"/>
      <c r="BR41" s="91"/>
      <c r="BS41" s="91"/>
      <c r="BT41" s="91"/>
      <c r="BU41" s="54"/>
      <c r="BV41" s="97"/>
      <c r="BW41" s="97"/>
      <c r="BX41" s="97"/>
      <c r="BY41" s="97"/>
      <c r="BZ41" s="91"/>
      <c r="CA41" s="91"/>
      <c r="CB41" s="91"/>
      <c r="CC41" s="91"/>
      <c r="CD41" s="91"/>
      <c r="CE41" s="91"/>
      <c r="CF41" s="91"/>
      <c r="CG41" s="91"/>
      <c r="CH41" s="91"/>
    </row>
    <row r="42" spans="1:87">
      <c r="A42" s="95"/>
      <c r="B42" s="216" t="s">
        <v>71</v>
      </c>
      <c r="C42" s="211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ref="P42:P43" si="67">SUM(D42:O42)</f>
        <v>0</v>
      </c>
      <c r="Q42" s="90"/>
      <c r="R42" s="313">
        <v>350</v>
      </c>
      <c r="S42" s="91">
        <v>350</v>
      </c>
      <c r="T42" s="91">
        <v>450</v>
      </c>
      <c r="U42" s="91">
        <v>800</v>
      </c>
      <c r="V42" s="91">
        <v>531</v>
      </c>
      <c r="W42" s="91">
        <v>750</v>
      </c>
      <c r="X42" s="91">
        <v>650</v>
      </c>
      <c r="Y42" s="91">
        <v>750</v>
      </c>
      <c r="Z42" s="91">
        <v>900</v>
      </c>
      <c r="AA42" s="91">
        <v>1000</v>
      </c>
      <c r="AB42" s="91">
        <v>1200</v>
      </c>
      <c r="AC42" s="91">
        <v>1500</v>
      </c>
      <c r="AD42" s="315">
        <f t="shared" ref="AD42:AD43" si="68">SUM(R42:AC42)</f>
        <v>9231</v>
      </c>
      <c r="AE42" s="23"/>
      <c r="AF42" s="316">
        <v>1500</v>
      </c>
      <c r="AG42" s="91">
        <v>800</v>
      </c>
      <c r="AH42" s="91">
        <v>800</v>
      </c>
      <c r="AI42" s="91">
        <v>1820</v>
      </c>
      <c r="AJ42" s="91">
        <v>1630</v>
      </c>
      <c r="AK42" s="91">
        <v>1360</v>
      </c>
      <c r="AL42" s="91">
        <v>1000</v>
      </c>
      <c r="AM42" s="91">
        <v>1700</v>
      </c>
      <c r="AN42" s="91">
        <v>1700</v>
      </c>
      <c r="AO42" s="91">
        <v>1700</v>
      </c>
      <c r="AP42" s="91">
        <v>1870</v>
      </c>
      <c r="AQ42" s="91">
        <v>2720</v>
      </c>
      <c r="AR42" s="92">
        <f t="shared" ref="AR42:AR43" si="69">SUM(AF42:AQ42)</f>
        <v>18600</v>
      </c>
      <c r="AS42" s="23"/>
      <c r="AT42" s="91">
        <v>2053</v>
      </c>
      <c r="AU42" s="91">
        <v>2053</v>
      </c>
      <c r="AV42" s="91">
        <v>2053</v>
      </c>
      <c r="AW42" s="91">
        <v>2053</v>
      </c>
      <c r="AX42" s="91">
        <v>2807</v>
      </c>
      <c r="AY42" s="91">
        <v>2807</v>
      </c>
      <c r="AZ42" s="91">
        <v>2680</v>
      </c>
      <c r="BA42" s="91">
        <v>2680</v>
      </c>
      <c r="BB42" s="91">
        <v>2807</v>
      </c>
      <c r="BC42" s="91">
        <v>3318</v>
      </c>
      <c r="BD42" s="91">
        <v>5870</v>
      </c>
      <c r="BE42" s="91">
        <v>5104</v>
      </c>
      <c r="BF42" s="91">
        <f t="shared" si="62"/>
        <v>36285</v>
      </c>
      <c r="BG42" s="93">
        <f>BF42/AR42-1</f>
        <v>0.95080645161290334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54"/>
      <c r="BV42" s="91"/>
      <c r="BW42" s="91"/>
      <c r="BX42" s="91"/>
      <c r="BY42" s="91"/>
      <c r="BZ42" s="91"/>
      <c r="CA42" s="91"/>
      <c r="CB42" s="91"/>
      <c r="CC42" s="91"/>
      <c r="CD42" s="91"/>
      <c r="CE42" s="91"/>
      <c r="CF42" s="91"/>
      <c r="CG42" s="91"/>
      <c r="CH42" s="91"/>
    </row>
    <row r="43" spans="1:87" ht="15.75">
      <c r="A43" s="55"/>
      <c r="B43" s="56" t="s">
        <v>277</v>
      </c>
      <c r="C43" s="280"/>
      <c r="D43" s="288">
        <f t="shared" ref="D43:O43" si="70">SUM(D22:D42)</f>
        <v>0</v>
      </c>
      <c r="E43" s="57">
        <f t="shared" si="70"/>
        <v>0</v>
      </c>
      <c r="F43" s="57">
        <f t="shared" si="70"/>
        <v>0</v>
      </c>
      <c r="G43" s="57">
        <f t="shared" si="70"/>
        <v>0</v>
      </c>
      <c r="H43" s="57">
        <f t="shared" si="70"/>
        <v>0</v>
      </c>
      <c r="I43" s="57">
        <f t="shared" si="70"/>
        <v>0</v>
      </c>
      <c r="J43" s="57">
        <f t="shared" si="70"/>
        <v>0</v>
      </c>
      <c r="K43" s="57">
        <f t="shared" si="70"/>
        <v>0</v>
      </c>
      <c r="L43" s="57">
        <f t="shared" si="70"/>
        <v>0</v>
      </c>
      <c r="M43" s="57">
        <f t="shared" si="70"/>
        <v>0</v>
      </c>
      <c r="N43" s="57">
        <f t="shared" si="70"/>
        <v>0</v>
      </c>
      <c r="O43" s="57">
        <f t="shared" si="70"/>
        <v>0</v>
      </c>
      <c r="P43" s="289">
        <f t="shared" si="67"/>
        <v>0</v>
      </c>
      <c r="Q43" s="39"/>
      <c r="R43" s="288">
        <f t="shared" ref="R43:AC43" si="71">SUM(R22:R42)</f>
        <v>20557.543859649122</v>
      </c>
      <c r="S43" s="58">
        <f t="shared" si="71"/>
        <v>20512.543859649122</v>
      </c>
      <c r="T43" s="58">
        <f t="shared" si="71"/>
        <v>13699.771929824561</v>
      </c>
      <c r="U43" s="58">
        <f t="shared" si="71"/>
        <v>912.5</v>
      </c>
      <c r="V43" s="58">
        <f t="shared" si="71"/>
        <v>16851</v>
      </c>
      <c r="W43" s="290">
        <f t="shared" si="71"/>
        <v>13700</v>
      </c>
      <c r="X43" s="290">
        <f t="shared" si="71"/>
        <v>26050</v>
      </c>
      <c r="Y43" s="290">
        <f t="shared" si="71"/>
        <v>27750</v>
      </c>
      <c r="Z43" s="290">
        <f t="shared" si="71"/>
        <v>31100</v>
      </c>
      <c r="AA43" s="290">
        <f t="shared" si="71"/>
        <v>32100</v>
      </c>
      <c r="AB43" s="290">
        <f t="shared" si="71"/>
        <v>37500</v>
      </c>
      <c r="AC43" s="290">
        <f t="shared" si="71"/>
        <v>45300</v>
      </c>
      <c r="AD43" s="291">
        <f t="shared" si="68"/>
        <v>286033.35964912281</v>
      </c>
      <c r="AE43" s="59"/>
      <c r="AF43" s="292">
        <f t="shared" ref="AF43:AQ43" si="72">SUM(AF22:AF42)</f>
        <v>38500</v>
      </c>
      <c r="AG43" s="58">
        <f t="shared" si="72"/>
        <v>22400</v>
      </c>
      <c r="AH43" s="58">
        <f t="shared" si="72"/>
        <v>10671</v>
      </c>
      <c r="AI43" s="58">
        <f t="shared" si="72"/>
        <v>16097</v>
      </c>
      <c r="AJ43" s="58">
        <f t="shared" si="72"/>
        <v>30278</v>
      </c>
      <c r="AK43" s="58">
        <f t="shared" si="72"/>
        <v>28560</v>
      </c>
      <c r="AL43" s="58">
        <f t="shared" si="72"/>
        <v>41700</v>
      </c>
      <c r="AM43" s="58">
        <f t="shared" si="72"/>
        <v>38700</v>
      </c>
      <c r="AN43" s="58">
        <f t="shared" si="72"/>
        <v>37300</v>
      </c>
      <c r="AO43" s="58">
        <f t="shared" si="72"/>
        <v>37400</v>
      </c>
      <c r="AP43" s="58">
        <f t="shared" si="72"/>
        <v>40640</v>
      </c>
      <c r="AQ43" s="58">
        <f t="shared" si="72"/>
        <v>54440</v>
      </c>
      <c r="AR43" s="58">
        <f t="shared" si="69"/>
        <v>396686</v>
      </c>
      <c r="AS43" s="59"/>
      <c r="AT43" s="58">
        <f t="shared" ref="AT43:BE43" si="73">SUM(AT22:AT42)</f>
        <v>36153</v>
      </c>
      <c r="AU43" s="58">
        <f t="shared" si="73"/>
        <v>35289</v>
      </c>
      <c r="AV43" s="58">
        <f t="shared" si="73"/>
        <v>35872</v>
      </c>
      <c r="AW43" s="58">
        <f t="shared" si="73"/>
        <v>38031</v>
      </c>
      <c r="AX43" s="58">
        <f t="shared" si="73"/>
        <v>33566</v>
      </c>
      <c r="AY43" s="58">
        <f t="shared" si="73"/>
        <v>33566</v>
      </c>
      <c r="AZ43" s="58">
        <f t="shared" si="73"/>
        <v>30896</v>
      </c>
      <c r="BA43" s="58">
        <f t="shared" si="73"/>
        <v>31146</v>
      </c>
      <c r="BB43" s="58">
        <f t="shared" si="73"/>
        <v>32630</v>
      </c>
      <c r="BC43" s="58">
        <f t="shared" si="73"/>
        <v>38562</v>
      </c>
      <c r="BD43" s="58">
        <f t="shared" si="73"/>
        <v>41345</v>
      </c>
      <c r="BE43" s="58">
        <f t="shared" si="73"/>
        <v>49263</v>
      </c>
      <c r="BF43" s="58">
        <f t="shared" si="62"/>
        <v>436319</v>
      </c>
      <c r="BG43" s="59">
        <f>BF43-AR43</f>
        <v>39633</v>
      </c>
      <c r="BH43" s="58">
        <v>36153</v>
      </c>
      <c r="BI43" s="58">
        <v>35289</v>
      </c>
      <c r="BJ43" s="58">
        <v>35872</v>
      </c>
      <c r="BK43" s="58">
        <v>38031</v>
      </c>
      <c r="BL43" s="58">
        <v>38570</v>
      </c>
      <c r="BM43" s="58">
        <v>39227</v>
      </c>
      <c r="BN43" s="58">
        <v>41128</v>
      </c>
      <c r="BO43" s="58">
        <v>38191</v>
      </c>
      <c r="BP43" s="58">
        <v>38191</v>
      </c>
      <c r="BQ43" s="58">
        <v>40225</v>
      </c>
      <c r="BR43" s="58">
        <v>43272</v>
      </c>
      <c r="BS43" s="58">
        <v>60327</v>
      </c>
      <c r="BT43" s="58">
        <f t="shared" ref="BT43:BT47" si="74">SUM(BH43:BS43)</f>
        <v>484476</v>
      </c>
      <c r="BU43" s="60">
        <f>BT43/BF52-1</f>
        <v>0.21208087944639309</v>
      </c>
      <c r="BV43" s="58">
        <f>BH52*1.1</f>
        <v>37506.700000000004</v>
      </c>
      <c r="BW43" s="58">
        <f t="shared" ref="BW43:CE43" si="75">BI52*1.1</f>
        <v>28307.4</v>
      </c>
      <c r="BX43" s="58">
        <f t="shared" si="75"/>
        <v>37701.4</v>
      </c>
      <c r="BY43" s="58">
        <f t="shared" si="75"/>
        <v>31721.800000000003</v>
      </c>
      <c r="BZ43" s="58">
        <f t="shared" si="75"/>
        <v>36063.5</v>
      </c>
      <c r="CA43" s="58">
        <f t="shared" si="75"/>
        <v>42317</v>
      </c>
      <c r="CB43" s="58">
        <f t="shared" si="75"/>
        <v>53201.500000000007</v>
      </c>
      <c r="CC43" s="58">
        <f t="shared" si="75"/>
        <v>36608</v>
      </c>
      <c r="CD43" s="58">
        <f t="shared" si="75"/>
        <v>37623.300000000003</v>
      </c>
      <c r="CE43" s="58">
        <f t="shared" si="75"/>
        <v>38702.400000000001</v>
      </c>
      <c r="CF43" s="58">
        <f>BR43*1.1</f>
        <v>47599.200000000004</v>
      </c>
      <c r="CG43" s="58">
        <f>BS43*1.1</f>
        <v>66359.700000000012</v>
      </c>
      <c r="CH43" s="58">
        <f>SUM(BV43:CG43)</f>
        <v>493711.9</v>
      </c>
      <c r="CI43" s="395">
        <f>(CH43-BT52)/BT52</f>
        <v>0.43009558844828094</v>
      </c>
    </row>
    <row r="44" spans="1:87">
      <c r="A44" s="99"/>
      <c r="B44" s="100" t="s">
        <v>278</v>
      </c>
      <c r="C44" s="328"/>
      <c r="D44" s="301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302"/>
      <c r="Q44" s="74"/>
      <c r="R44" s="301"/>
      <c r="S44" s="69"/>
      <c r="T44" s="69"/>
      <c r="U44" s="69"/>
      <c r="V44" s="303"/>
      <c r="W44" s="304"/>
      <c r="X44" s="304"/>
      <c r="Y44" s="304"/>
      <c r="Z44" s="304"/>
      <c r="AA44" s="304"/>
      <c r="AB44" s="304"/>
      <c r="AC44" s="75"/>
      <c r="AD44" s="76"/>
      <c r="AE44" s="77"/>
      <c r="AF44" s="305"/>
      <c r="AG44" s="69"/>
      <c r="AH44" s="69"/>
      <c r="AI44" s="69"/>
      <c r="AJ44" s="303"/>
      <c r="AK44" s="303"/>
      <c r="AL44" s="303"/>
      <c r="AM44" s="303"/>
      <c r="AN44" s="69"/>
      <c r="AO44" s="69"/>
      <c r="AP44" s="69"/>
      <c r="AQ44" s="69"/>
      <c r="AR44" s="306"/>
      <c r="AS44" s="77"/>
      <c r="AT44" s="69"/>
      <c r="AU44" s="69"/>
      <c r="AV44" s="69"/>
      <c r="AW44" s="69"/>
      <c r="AX44" s="69"/>
      <c r="AY44" s="69">
        <v>15000</v>
      </c>
      <c r="AZ44" s="69">
        <v>15000</v>
      </c>
      <c r="BA44" s="69">
        <f t="shared" ref="BA44:BB44" si="76">BA43*70%</f>
        <v>21802.199999999997</v>
      </c>
      <c r="BB44" s="69">
        <f t="shared" si="76"/>
        <v>22841</v>
      </c>
      <c r="BC44" s="69">
        <v>35000</v>
      </c>
      <c r="BD44" s="69">
        <v>35000</v>
      </c>
      <c r="BE44" s="69">
        <v>42000</v>
      </c>
      <c r="BF44" s="69">
        <f t="shared" si="62"/>
        <v>186643.20000000001</v>
      </c>
      <c r="BG44" s="77"/>
      <c r="BH44" s="69">
        <f t="shared" ref="BH44:BM44" si="77">BH43*0.8</f>
        <v>28922.400000000001</v>
      </c>
      <c r="BI44" s="69">
        <f t="shared" si="77"/>
        <v>28231.200000000001</v>
      </c>
      <c r="BJ44" s="69">
        <f t="shared" si="77"/>
        <v>28697.600000000002</v>
      </c>
      <c r="BK44" s="69">
        <f t="shared" si="77"/>
        <v>30424.800000000003</v>
      </c>
      <c r="BL44" s="69">
        <f t="shared" si="77"/>
        <v>30856</v>
      </c>
      <c r="BM44" s="69">
        <f t="shared" si="77"/>
        <v>31381.600000000002</v>
      </c>
      <c r="BN44" s="69">
        <f>BN43*0.85</f>
        <v>34958.799999999996</v>
      </c>
      <c r="BO44" s="69">
        <v>29000</v>
      </c>
      <c r="BP44" s="69">
        <v>40223</v>
      </c>
      <c r="BQ44" s="69">
        <v>36735</v>
      </c>
      <c r="BR44" s="69">
        <v>36933</v>
      </c>
      <c r="BS44" s="69">
        <v>52283</v>
      </c>
      <c r="BT44" s="69">
        <f t="shared" si="74"/>
        <v>408646.40000000002</v>
      </c>
      <c r="BU44" s="28"/>
      <c r="BV44" s="69">
        <f>BH52*1.1</f>
        <v>37506.700000000004</v>
      </c>
      <c r="BW44" s="69">
        <f t="shared" ref="BW44:CE44" si="78">BI52*1.1</f>
        <v>28307.4</v>
      </c>
      <c r="BX44" s="69">
        <f t="shared" si="78"/>
        <v>37701.4</v>
      </c>
      <c r="BY44" s="69">
        <f t="shared" si="78"/>
        <v>31721.800000000003</v>
      </c>
      <c r="BZ44" s="69">
        <f t="shared" si="78"/>
        <v>36063.5</v>
      </c>
      <c r="CA44" s="69">
        <f t="shared" si="78"/>
        <v>42317</v>
      </c>
      <c r="CB44" s="69">
        <f t="shared" si="78"/>
        <v>53201.500000000007</v>
      </c>
      <c r="CC44" s="69">
        <f t="shared" si="78"/>
        <v>36608</v>
      </c>
      <c r="CD44" s="69">
        <f t="shared" si="78"/>
        <v>37623.300000000003</v>
      </c>
      <c r="CE44" s="69">
        <f t="shared" si="78"/>
        <v>38702.400000000001</v>
      </c>
      <c r="CF44" s="69">
        <f>BR44*1.1</f>
        <v>40626.300000000003</v>
      </c>
      <c r="CG44" s="69">
        <f>BS44*1.1</f>
        <v>57511.3</v>
      </c>
      <c r="CH44" s="69"/>
      <c r="CI44" s="395"/>
    </row>
    <row r="45" spans="1:87" ht="14.25" customHeight="1">
      <c r="A45" s="55" t="s">
        <v>74</v>
      </c>
      <c r="B45" s="56"/>
      <c r="C45" s="280"/>
      <c r="D45" s="288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289"/>
      <c r="Q45" s="39"/>
      <c r="R45" s="288"/>
      <c r="S45" s="58"/>
      <c r="T45" s="58"/>
      <c r="U45" s="58"/>
      <c r="V45" s="58"/>
      <c r="W45" s="290"/>
      <c r="X45" s="290"/>
      <c r="Y45" s="290"/>
      <c r="Z45" s="290"/>
      <c r="AA45" s="290"/>
      <c r="AB45" s="290"/>
      <c r="AC45" s="290"/>
      <c r="AD45" s="291"/>
      <c r="AE45" s="59"/>
      <c r="AF45" s="292"/>
      <c r="AG45" s="58"/>
      <c r="AH45" s="58"/>
      <c r="AI45" s="58"/>
      <c r="AJ45" s="58"/>
      <c r="AK45" s="58"/>
      <c r="AL45" s="58">
        <f>AL43/AVERAGE($AF$43:$AQ$43)</f>
        <v>1.2614511225503295</v>
      </c>
      <c r="AM45" s="58"/>
      <c r="AN45" s="58"/>
      <c r="AO45" s="58"/>
      <c r="AP45" s="58">
        <f t="shared" ref="AP45:AQ45" si="79">AP43/AVERAGE($AF$43:$AQ$43)</f>
        <v>1.2293854585238704</v>
      </c>
      <c r="AQ45" s="58">
        <f t="shared" si="79"/>
        <v>1.6468441033966412</v>
      </c>
      <c r="AR45" s="58"/>
      <c r="AS45" s="59"/>
      <c r="AT45" s="58">
        <v>109190</v>
      </c>
      <c r="AU45" s="58">
        <v>153667</v>
      </c>
      <c r="AV45" s="58">
        <v>178778</v>
      </c>
      <c r="AW45" s="58">
        <v>151970</v>
      </c>
      <c r="AX45" s="58">
        <v>142416</v>
      </c>
      <c r="AY45" s="58">
        <v>177335</v>
      </c>
      <c r="AZ45" s="58">
        <v>152230</v>
      </c>
      <c r="BA45" s="58">
        <v>245527</v>
      </c>
      <c r="BB45" s="58">
        <f>5261504/27</f>
        <v>194870.51851851851</v>
      </c>
      <c r="BC45" s="58">
        <f>5784000/27</f>
        <v>214222.22222222222</v>
      </c>
      <c r="BD45" s="58">
        <f>3224000/27</f>
        <v>119407.4074074074</v>
      </c>
      <c r="BE45" s="58">
        <f>909800/27</f>
        <v>33696.296296296299</v>
      </c>
      <c r="BF45" s="58">
        <f t="shared" si="62"/>
        <v>1873309.4444444445</v>
      </c>
      <c r="BG45" s="59"/>
      <c r="BH45" s="58">
        <v>156208</v>
      </c>
      <c r="BI45" s="58">
        <v>147340</v>
      </c>
      <c r="BJ45" s="58">
        <v>166759</v>
      </c>
      <c r="BK45" s="58">
        <v>152352</v>
      </c>
      <c r="BL45" s="58">
        <v>128446</v>
      </c>
      <c r="BM45" s="58">
        <v>126790</v>
      </c>
      <c r="BN45" s="58">
        <v>173761</v>
      </c>
      <c r="BO45" s="58">
        <f>144510.599073001+BO44</f>
        <v>173510.59907300101</v>
      </c>
      <c r="BP45" s="58">
        <f>162574.422556972+BP44</f>
        <v>202797.42255697199</v>
      </c>
      <c r="BQ45" s="58">
        <f>166187.186558517+BQ44</f>
        <v>202922.18655851699</v>
      </c>
      <c r="BR45" s="58">
        <f>BQ20+BR16*0.6</f>
        <v>232502.36</v>
      </c>
      <c r="BS45" s="58">
        <f>BR16*0.4+BS16*0.5</f>
        <v>116391.04000000001</v>
      </c>
      <c r="BT45" s="58">
        <f t="shared" si="74"/>
        <v>1979779.6081884899</v>
      </c>
      <c r="BU45" s="60"/>
      <c r="BV45" s="58">
        <f>BH45*1.1</f>
        <v>171828.80000000002</v>
      </c>
      <c r="BW45" s="58">
        <f t="shared" ref="BW45:CG45" si="80">BI45*1.1</f>
        <v>162074</v>
      </c>
      <c r="BX45" s="58">
        <f>BJ45*1.1</f>
        <v>183434.90000000002</v>
      </c>
      <c r="BY45" s="58">
        <f t="shared" si="80"/>
        <v>167587.20000000001</v>
      </c>
      <c r="BZ45" s="58">
        <f t="shared" si="80"/>
        <v>141290.6</v>
      </c>
      <c r="CA45" s="58">
        <f t="shared" si="80"/>
        <v>139469</v>
      </c>
      <c r="CB45" s="58">
        <f t="shared" si="80"/>
        <v>191137.1</v>
      </c>
      <c r="CC45" s="58">
        <f t="shared" si="80"/>
        <v>190861.65898030112</v>
      </c>
      <c r="CD45" s="58">
        <f t="shared" si="80"/>
        <v>223077.16481266922</v>
      </c>
      <c r="CE45" s="58">
        <f t="shared" si="80"/>
        <v>223214.40521436871</v>
      </c>
      <c r="CF45" s="58">
        <f t="shared" si="80"/>
        <v>255752.59600000002</v>
      </c>
      <c r="CG45" s="58">
        <f t="shared" si="80"/>
        <v>128030.14400000001</v>
      </c>
      <c r="CH45" s="58"/>
    </row>
    <row r="46" spans="1:87">
      <c r="A46" s="101" t="s">
        <v>75</v>
      </c>
      <c r="B46" s="102"/>
      <c r="C46" s="260"/>
      <c r="D46" s="277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262"/>
      <c r="Q46" s="15"/>
      <c r="R46" s="277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263"/>
      <c r="AE46" s="16"/>
      <c r="AF46" s="261">
        <v>133791</v>
      </c>
      <c r="AG46" s="14">
        <v>166459</v>
      </c>
      <c r="AH46" s="14">
        <v>149450</v>
      </c>
      <c r="AI46" s="14">
        <v>151073</v>
      </c>
      <c r="AJ46" s="14">
        <v>192944</v>
      </c>
      <c r="AK46" s="14">
        <v>166139</v>
      </c>
      <c r="AL46" s="14">
        <v>151874</v>
      </c>
      <c r="AM46" s="14">
        <v>157771</v>
      </c>
      <c r="AN46" s="14">
        <v>200312</v>
      </c>
      <c r="AO46" s="14">
        <v>202691</v>
      </c>
      <c r="AP46" s="14">
        <v>207768</v>
      </c>
      <c r="AQ46" s="14">
        <v>113286</v>
      </c>
      <c r="AR46" s="14">
        <f>SUM(AF46:AK46)</f>
        <v>959856</v>
      </c>
      <c r="AS46" s="17"/>
      <c r="AT46" s="14">
        <v>89680</v>
      </c>
      <c r="AU46" s="14">
        <v>128308</v>
      </c>
      <c r="AV46" s="14">
        <v>144871</v>
      </c>
      <c r="AW46" s="32">
        <v>161772</v>
      </c>
      <c r="AX46" s="32">
        <v>144516</v>
      </c>
      <c r="AY46" s="32">
        <v>103667</v>
      </c>
      <c r="AZ46" s="32">
        <v>141023</v>
      </c>
      <c r="BA46" s="32">
        <v>172093</v>
      </c>
      <c r="BB46" s="32">
        <f>166606+10000</f>
        <v>176606</v>
      </c>
      <c r="BC46" s="32">
        <v>181091</v>
      </c>
      <c r="BD46" s="32">
        <v>169802</v>
      </c>
      <c r="BE46" s="32">
        <v>120406</v>
      </c>
      <c r="BF46" s="32">
        <f t="shared" si="62"/>
        <v>1733835</v>
      </c>
      <c r="BG46" s="17">
        <f>BG43/AR43</f>
        <v>9.9910256474894502E-2</v>
      </c>
      <c r="BH46" s="14">
        <v>78906</v>
      </c>
      <c r="BI46" s="14">
        <v>119296</v>
      </c>
      <c r="BJ46" s="14">
        <v>165286</v>
      </c>
      <c r="BK46" s="14">
        <v>144532</v>
      </c>
      <c r="BL46" s="32">
        <v>157691</v>
      </c>
      <c r="BM46" s="32">
        <v>129096</v>
      </c>
      <c r="BN46" s="32">
        <v>125800</v>
      </c>
      <c r="BO46" s="32">
        <v>176354</v>
      </c>
      <c r="BP46" s="32">
        <v>173554</v>
      </c>
      <c r="BQ46" s="32">
        <v>185766</v>
      </c>
      <c r="BR46" s="32"/>
      <c r="BS46" s="32"/>
      <c r="BT46" s="32">
        <f t="shared" si="74"/>
        <v>1456281</v>
      </c>
      <c r="BU46" s="28"/>
      <c r="BV46" s="14"/>
      <c r="BW46" s="14"/>
      <c r="BX46" s="14"/>
      <c r="BY46" s="32"/>
      <c r="BZ46" s="32"/>
      <c r="CA46" s="32"/>
      <c r="CB46" s="32"/>
      <c r="CC46" s="32"/>
      <c r="CD46" s="32"/>
      <c r="CE46" s="32"/>
      <c r="CF46" s="32"/>
      <c r="CG46" s="32"/>
      <c r="CH46" s="32"/>
    </row>
    <row r="47" spans="1:87" ht="15.75" customHeight="1">
      <c r="A47" s="103"/>
      <c r="B47" s="329" t="s">
        <v>76</v>
      </c>
      <c r="C47" s="330"/>
      <c r="D47" s="331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332"/>
      <c r="Q47" s="105"/>
      <c r="R47" s="333"/>
      <c r="S47" s="333"/>
      <c r="T47" s="333"/>
      <c r="U47" s="333"/>
      <c r="V47" s="333"/>
      <c r="W47" s="333"/>
      <c r="X47" s="333"/>
      <c r="Y47" s="333"/>
      <c r="Z47" s="333"/>
      <c r="AA47" s="333"/>
      <c r="AB47" s="333"/>
      <c r="AC47" s="333"/>
      <c r="AD47" s="334"/>
      <c r="AE47" s="106"/>
      <c r="AF47" s="333">
        <f t="shared" ref="AF47:AQ47" si="81">AF46-AF15</f>
        <v>133789.61233193052</v>
      </c>
      <c r="AG47" s="333">
        <f t="shared" si="81"/>
        <v>166455.18212811041</v>
      </c>
      <c r="AH47" s="333">
        <f t="shared" si="81"/>
        <v>149445.6750486806</v>
      </c>
      <c r="AI47" s="333">
        <f t="shared" si="81"/>
        <v>151069.89671180834</v>
      </c>
      <c r="AJ47" s="333">
        <f t="shared" si="81"/>
        <v>192941.30225498116</v>
      </c>
      <c r="AK47" s="333">
        <f t="shared" si="81"/>
        <v>166135.93659001941</v>
      </c>
      <c r="AL47" s="333">
        <f t="shared" si="81"/>
        <v>151872.02367906639</v>
      </c>
      <c r="AM47" s="333">
        <f t="shared" si="81"/>
        <v>157769.11460684196</v>
      </c>
      <c r="AN47" s="333">
        <f t="shared" si="81"/>
        <v>200310.23982805785</v>
      </c>
      <c r="AO47" s="333">
        <f t="shared" si="81"/>
        <v>202687.95708177862</v>
      </c>
      <c r="AP47" s="333">
        <f t="shared" si="81"/>
        <v>207764.67332379395</v>
      </c>
      <c r="AQ47" s="333">
        <f t="shared" si="81"/>
        <v>113283.89842503319</v>
      </c>
      <c r="AR47" s="107">
        <f t="shared" ref="AR47:AR55" si="82">SUM(AF47:AQ47)</f>
        <v>1993525.5120101024</v>
      </c>
      <c r="AS47" s="106"/>
      <c r="AT47" s="333">
        <f t="shared" ref="AT47:BE47" si="83">AT46-AT45</f>
        <v>-19510</v>
      </c>
      <c r="AU47" s="333">
        <f t="shared" si="83"/>
        <v>-25359</v>
      </c>
      <c r="AV47" s="333">
        <f t="shared" si="83"/>
        <v>-33907</v>
      </c>
      <c r="AW47" s="333">
        <f t="shared" si="83"/>
        <v>9802</v>
      </c>
      <c r="AX47" s="333">
        <f t="shared" si="83"/>
        <v>2100</v>
      </c>
      <c r="AY47" s="333">
        <f t="shared" si="83"/>
        <v>-73668</v>
      </c>
      <c r="AZ47" s="333">
        <f t="shared" si="83"/>
        <v>-11207</v>
      </c>
      <c r="BA47" s="333">
        <f t="shared" si="83"/>
        <v>-73434</v>
      </c>
      <c r="BB47" s="333">
        <f t="shared" si="83"/>
        <v>-18264.518518518511</v>
      </c>
      <c r="BC47" s="333">
        <f t="shared" si="83"/>
        <v>-33131.222222222219</v>
      </c>
      <c r="BD47" s="333">
        <f t="shared" si="83"/>
        <v>50394.592592592599</v>
      </c>
      <c r="BE47" s="333">
        <f t="shared" si="83"/>
        <v>86709.703703703708</v>
      </c>
      <c r="BF47" s="108">
        <f t="shared" si="62"/>
        <v>-139474.44444444444</v>
      </c>
      <c r="BG47" s="106"/>
      <c r="BH47" s="333">
        <f t="shared" ref="BH47:BQ47" si="84">BH46-BH45</f>
        <v>-77302</v>
      </c>
      <c r="BI47" s="333">
        <f t="shared" si="84"/>
        <v>-28044</v>
      </c>
      <c r="BJ47" s="333">
        <f t="shared" si="84"/>
        <v>-1473</v>
      </c>
      <c r="BK47" s="333">
        <f t="shared" si="84"/>
        <v>-7820</v>
      </c>
      <c r="BL47" s="333">
        <f t="shared" si="84"/>
        <v>29245</v>
      </c>
      <c r="BM47" s="333">
        <f t="shared" si="84"/>
        <v>2306</v>
      </c>
      <c r="BN47" s="333">
        <f t="shared" si="84"/>
        <v>-47961</v>
      </c>
      <c r="BO47" s="333">
        <f t="shared" si="84"/>
        <v>2843.4009269989911</v>
      </c>
      <c r="BP47" s="333">
        <f t="shared" si="84"/>
        <v>-29243.422556971986</v>
      </c>
      <c r="BQ47" s="333">
        <f t="shared" si="84"/>
        <v>-17156.186558516987</v>
      </c>
      <c r="BR47" s="108"/>
      <c r="BS47" s="108"/>
      <c r="BT47" s="108">
        <f t="shared" si="74"/>
        <v>-174605.20818848998</v>
      </c>
      <c r="BU47" s="28"/>
      <c r="BV47" s="333"/>
      <c r="BW47" s="333"/>
      <c r="BX47" s="333"/>
      <c r="BY47" s="333"/>
      <c r="BZ47" s="108"/>
      <c r="CA47" s="108"/>
      <c r="CB47" s="108"/>
      <c r="CC47" s="108"/>
      <c r="CD47" s="108"/>
      <c r="CE47" s="108"/>
      <c r="CF47" s="108"/>
      <c r="CG47" s="108"/>
      <c r="CH47" s="108"/>
    </row>
    <row r="48" spans="1:87" ht="15.75" customHeight="1">
      <c r="A48" s="94">
        <v>5</v>
      </c>
      <c r="B48" s="210" t="s">
        <v>77</v>
      </c>
      <c r="C48" s="335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>
        <v>0</v>
      </c>
      <c r="P48" s="314">
        <f>SUM(D48:O48)</f>
        <v>0</v>
      </c>
      <c r="Q48" s="90"/>
      <c r="R48" s="313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315">
        <f>SUM(R48:AC48)</f>
        <v>0</v>
      </c>
      <c r="AE48" s="23"/>
      <c r="AF48" s="316">
        <v>0</v>
      </c>
      <c r="AG48" s="91">
        <v>0</v>
      </c>
      <c r="AH48" s="91">
        <v>0</v>
      </c>
      <c r="AI48" s="91">
        <v>0</v>
      </c>
      <c r="AJ48" s="91">
        <v>0</v>
      </c>
      <c r="AK48" s="91">
        <v>0</v>
      </c>
      <c r="AL48" s="91">
        <v>0</v>
      </c>
      <c r="AM48" s="91">
        <v>0</v>
      </c>
      <c r="AN48" s="91">
        <v>0</v>
      </c>
      <c r="AO48" s="91">
        <v>0</v>
      </c>
      <c r="AP48" s="91"/>
      <c r="AQ48" s="91">
        <v>8938</v>
      </c>
      <c r="AR48" s="92">
        <f t="shared" si="82"/>
        <v>8938</v>
      </c>
      <c r="AS48" s="23"/>
      <c r="AT48" s="91">
        <v>106642</v>
      </c>
      <c r="AU48" s="91">
        <v>90699</v>
      </c>
      <c r="AV48" s="91">
        <v>89681</v>
      </c>
      <c r="AW48" s="91">
        <v>58790</v>
      </c>
      <c r="AX48" s="91">
        <v>35520</v>
      </c>
      <c r="AY48" s="91">
        <v>61551</v>
      </c>
      <c r="AZ48" s="91">
        <v>71511</v>
      </c>
      <c r="BA48" s="91">
        <v>63617</v>
      </c>
      <c r="BB48" s="91">
        <v>66748</v>
      </c>
      <c r="BC48" s="91">
        <v>75532</v>
      </c>
      <c r="BD48" s="91">
        <v>37786</v>
      </c>
      <c r="BE48" s="91">
        <v>4503</v>
      </c>
      <c r="BF48" s="91">
        <f t="shared" si="62"/>
        <v>762580</v>
      </c>
      <c r="BG48" s="27"/>
      <c r="BH48" s="91">
        <v>69404</v>
      </c>
      <c r="BI48" s="91">
        <v>80412</v>
      </c>
      <c r="BJ48" s="91">
        <v>94386</v>
      </c>
      <c r="BK48" s="91">
        <v>78313</v>
      </c>
      <c r="BL48" s="91">
        <v>47034</v>
      </c>
      <c r="BM48" s="91">
        <v>50851</v>
      </c>
      <c r="BN48" s="91">
        <v>93202</v>
      </c>
      <c r="BO48" s="91">
        <v>100687</v>
      </c>
      <c r="BP48" s="91">
        <v>127995</v>
      </c>
      <c r="BQ48" s="91">
        <v>122686</v>
      </c>
      <c r="BR48" s="91"/>
      <c r="BS48" s="91"/>
      <c r="BT48" s="91"/>
      <c r="BU48" s="28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</row>
    <row r="49" spans="1:87">
      <c r="A49" s="13" t="s">
        <v>78</v>
      </c>
      <c r="B49" s="259"/>
      <c r="C49" s="260"/>
      <c r="D49" s="277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262"/>
      <c r="Q49" s="15"/>
      <c r="R49" s="277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263"/>
      <c r="AE49" s="16"/>
      <c r="AF49" s="261">
        <f t="shared" ref="AF49:AQ49" si="85">AF50+AF52</f>
        <v>118364</v>
      </c>
      <c r="AG49" s="261">
        <f t="shared" si="85"/>
        <v>173742</v>
      </c>
      <c r="AH49" s="261">
        <f t="shared" si="85"/>
        <v>73470</v>
      </c>
      <c r="AI49" s="261">
        <f t="shared" si="85"/>
        <v>87377</v>
      </c>
      <c r="AJ49" s="261">
        <f t="shared" si="85"/>
        <v>119657</v>
      </c>
      <c r="AK49" s="261">
        <f t="shared" si="85"/>
        <v>154747</v>
      </c>
      <c r="AL49" s="261">
        <f t="shared" si="85"/>
        <v>138073</v>
      </c>
      <c r="AM49" s="261">
        <f t="shared" si="85"/>
        <v>180773</v>
      </c>
      <c r="AN49" s="261">
        <f t="shared" si="85"/>
        <v>194598</v>
      </c>
      <c r="AO49" s="261">
        <f t="shared" si="85"/>
        <v>242931</v>
      </c>
      <c r="AP49" s="261">
        <f t="shared" si="85"/>
        <v>107346</v>
      </c>
      <c r="AQ49" s="261">
        <f t="shared" si="85"/>
        <v>87384</v>
      </c>
      <c r="AR49" s="14">
        <f t="shared" si="82"/>
        <v>1678462</v>
      </c>
      <c r="AS49" s="17"/>
      <c r="AT49" s="261">
        <f t="shared" ref="AT49:BE49" si="86">AT50+AT52</f>
        <v>155346</v>
      </c>
      <c r="AU49" s="261">
        <f t="shared" si="86"/>
        <v>123370</v>
      </c>
      <c r="AV49" s="261">
        <f t="shared" si="86"/>
        <v>144065</v>
      </c>
      <c r="AW49" s="261">
        <f t="shared" si="86"/>
        <v>127865</v>
      </c>
      <c r="AX49" s="261">
        <f t="shared" si="86"/>
        <v>123461</v>
      </c>
      <c r="AY49" s="261">
        <f t="shared" si="86"/>
        <v>121196</v>
      </c>
      <c r="AZ49" s="261">
        <f t="shared" si="86"/>
        <v>168029</v>
      </c>
      <c r="BA49" s="261">
        <f t="shared" si="86"/>
        <v>164268</v>
      </c>
      <c r="BB49" s="261">
        <f t="shared" si="86"/>
        <v>185112</v>
      </c>
      <c r="BC49" s="261">
        <f t="shared" si="86"/>
        <v>147235</v>
      </c>
      <c r="BD49" s="261">
        <f t="shared" si="86"/>
        <v>135608</v>
      </c>
      <c r="BE49" s="261">
        <f t="shared" si="86"/>
        <v>90194</v>
      </c>
      <c r="BF49" s="32">
        <f t="shared" si="62"/>
        <v>1685749</v>
      </c>
      <c r="BG49" s="35">
        <f t="shared" ref="BG49:BG50" si="87">BF49/AR49-1</f>
        <v>4.3414745165515356E-3</v>
      </c>
      <c r="BH49" s="261">
        <f t="shared" ref="BH49:BQ49" si="88">BH50+BH52</f>
        <v>144332</v>
      </c>
      <c r="BI49" s="261">
        <f t="shared" si="88"/>
        <v>128781</v>
      </c>
      <c r="BJ49" s="261">
        <f t="shared" si="88"/>
        <v>193129</v>
      </c>
      <c r="BK49" s="261">
        <f t="shared" si="88"/>
        <v>106092</v>
      </c>
      <c r="BL49" s="261">
        <f t="shared" si="88"/>
        <v>132638</v>
      </c>
      <c r="BM49" s="261">
        <f t="shared" si="88"/>
        <v>139193</v>
      </c>
      <c r="BN49" s="261">
        <f t="shared" si="88"/>
        <v>173703</v>
      </c>
      <c r="BO49" s="261">
        <f t="shared" si="88"/>
        <v>186902</v>
      </c>
      <c r="BP49" s="261">
        <f t="shared" si="88"/>
        <v>200686</v>
      </c>
      <c r="BQ49" s="261">
        <f t="shared" si="88"/>
        <v>191324</v>
      </c>
      <c r="BR49" s="14"/>
      <c r="BS49" s="14"/>
      <c r="BT49" s="14">
        <f t="shared" ref="BT49:BT54" si="89">SUM(BH49:BS49)</f>
        <v>1596780</v>
      </c>
      <c r="BU49" s="18"/>
      <c r="BV49" s="261"/>
      <c r="BW49" s="261"/>
      <c r="BX49" s="261"/>
      <c r="BY49" s="261"/>
      <c r="BZ49" s="14"/>
      <c r="CA49" s="14"/>
      <c r="CB49" s="14"/>
      <c r="CC49" s="14"/>
      <c r="CD49" s="14"/>
      <c r="CE49" s="14"/>
      <c r="CF49" s="14"/>
      <c r="CG49" s="14"/>
      <c r="CH49" s="14"/>
    </row>
    <row r="50" spans="1:87" ht="15.75" customHeight="1">
      <c r="A50" s="210"/>
      <c r="B50" s="210" t="s">
        <v>79</v>
      </c>
      <c r="C50" s="316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92193</v>
      </c>
      <c r="AG50" s="91">
        <v>152006</v>
      </c>
      <c r="AH50" s="91">
        <v>62734</v>
      </c>
      <c r="AI50" s="91">
        <v>71526</v>
      </c>
      <c r="AJ50" s="91">
        <v>89409</v>
      </c>
      <c r="AK50" s="91">
        <v>120675</v>
      </c>
      <c r="AL50" s="91">
        <v>100592</v>
      </c>
      <c r="AM50" s="91">
        <v>148128</v>
      </c>
      <c r="AN50" s="91">
        <v>164346</v>
      </c>
      <c r="AO50" s="91">
        <v>203437</v>
      </c>
      <c r="AP50" s="91">
        <v>64957</v>
      </c>
      <c r="AQ50" s="91">
        <v>31837</v>
      </c>
      <c r="AR50" s="92">
        <f t="shared" si="82"/>
        <v>1301840</v>
      </c>
      <c r="AS50" s="23"/>
      <c r="AT50" s="91">
        <v>125048</v>
      </c>
      <c r="AU50" s="91">
        <v>96006</v>
      </c>
      <c r="AV50" s="91">
        <v>111470</v>
      </c>
      <c r="AW50" s="91">
        <v>99222</v>
      </c>
      <c r="AX50" s="91">
        <v>91253</v>
      </c>
      <c r="AY50" s="91">
        <v>90595</v>
      </c>
      <c r="AZ50" s="91">
        <v>129147</v>
      </c>
      <c r="BA50" s="91">
        <v>133525</v>
      </c>
      <c r="BB50" s="91">
        <v>159291</v>
      </c>
      <c r="BC50" s="91">
        <v>115573</v>
      </c>
      <c r="BD50" s="91">
        <v>98386</v>
      </c>
      <c r="BE50" s="91">
        <v>36527</v>
      </c>
      <c r="BF50" s="91">
        <f t="shared" si="62"/>
        <v>1286043</v>
      </c>
      <c r="BG50" s="93">
        <f t="shared" si="87"/>
        <v>-1.2134363669882631E-2</v>
      </c>
      <c r="BH50" s="91">
        <v>110235</v>
      </c>
      <c r="BI50" s="91">
        <v>103047</v>
      </c>
      <c r="BJ50" s="91">
        <v>158855</v>
      </c>
      <c r="BK50" s="91">
        <v>77254</v>
      </c>
      <c r="BL50" s="91">
        <v>99853</v>
      </c>
      <c r="BM50" s="91">
        <v>100723</v>
      </c>
      <c r="BN50" s="91">
        <v>125338</v>
      </c>
      <c r="BO50" s="91">
        <v>153622</v>
      </c>
      <c r="BP50" s="91">
        <v>166483</v>
      </c>
      <c r="BQ50" s="91">
        <v>156140</v>
      </c>
      <c r="BR50" s="91"/>
      <c r="BS50" s="91"/>
      <c r="BT50" s="91">
        <f t="shared" si="89"/>
        <v>1251550</v>
      </c>
      <c r="BU50" s="28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</row>
    <row r="51" spans="1:87" ht="15.75" customHeight="1">
      <c r="A51" s="103"/>
      <c r="B51" s="329" t="s">
        <v>279</v>
      </c>
      <c r="C51" s="330"/>
      <c r="D51" s="331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332"/>
      <c r="Q51" s="105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334"/>
      <c r="AE51" s="106"/>
      <c r="AF51" s="333">
        <f t="shared" ref="AF51:AQ51" si="90">AF50-AF20</f>
        <v>2047</v>
      </c>
      <c r="AG51" s="333">
        <f t="shared" si="90"/>
        <v>-3571</v>
      </c>
      <c r="AH51" s="333">
        <f t="shared" si="90"/>
        <v>-219</v>
      </c>
      <c r="AI51" s="333">
        <f t="shared" si="90"/>
        <v>-1735</v>
      </c>
      <c r="AJ51" s="333">
        <f t="shared" si="90"/>
        <v>-2447</v>
      </c>
      <c r="AK51" s="333">
        <f t="shared" si="90"/>
        <v>675</v>
      </c>
      <c r="AL51" s="333">
        <f t="shared" si="90"/>
        <v>-9703</v>
      </c>
      <c r="AM51" s="333">
        <f t="shared" si="90"/>
        <v>-52075</v>
      </c>
      <c r="AN51" s="333">
        <f t="shared" si="90"/>
        <v>-59487.333333333343</v>
      </c>
      <c r="AO51" s="333">
        <f t="shared" si="90"/>
        <v>-15063</v>
      </c>
      <c r="AP51" s="333">
        <f t="shared" si="90"/>
        <v>-23043</v>
      </c>
      <c r="AQ51" s="333">
        <f t="shared" si="90"/>
        <v>-11563</v>
      </c>
      <c r="AR51" s="107">
        <f t="shared" si="82"/>
        <v>-176184.33333333334</v>
      </c>
      <c r="AS51" s="106"/>
      <c r="AT51" s="333">
        <f t="shared" ref="AT51:BE51" si="91">AT50-AT20</f>
        <v>8451.75</v>
      </c>
      <c r="AU51" s="333">
        <f t="shared" si="91"/>
        <v>-37227.103448275855</v>
      </c>
      <c r="AV51" s="333">
        <f t="shared" si="91"/>
        <v>-6779.1379310344782</v>
      </c>
      <c r="AW51" s="333">
        <f t="shared" si="91"/>
        <v>-22342.137931034478</v>
      </c>
      <c r="AX51" s="333">
        <f t="shared" si="91"/>
        <v>4719.0344827586232</v>
      </c>
      <c r="AY51" s="333">
        <f t="shared" si="91"/>
        <v>-14182.777777777781</v>
      </c>
      <c r="AZ51" s="333">
        <f t="shared" si="91"/>
        <v>-6630.777777777781</v>
      </c>
      <c r="BA51" s="333">
        <f t="shared" si="91"/>
        <v>-77771.296296296292</v>
      </c>
      <c r="BB51" s="333">
        <f t="shared" si="91"/>
        <v>-51486.777777777781</v>
      </c>
      <c r="BC51" s="333">
        <f t="shared" si="91"/>
        <v>-99233.290755657828</v>
      </c>
      <c r="BD51" s="333">
        <f t="shared" si="91"/>
        <v>5175.413118527038</v>
      </c>
      <c r="BE51" s="333">
        <f t="shared" si="91"/>
        <v>5840.3870349060235</v>
      </c>
      <c r="BF51" s="108">
        <f t="shared" si="62"/>
        <v>-291466.71505944064</v>
      </c>
      <c r="BG51" s="106"/>
      <c r="BH51" s="333">
        <f t="shared" ref="BH51:BQ51" si="92">BH50-BH17</f>
        <v>-6365</v>
      </c>
      <c r="BI51" s="333">
        <f t="shared" si="92"/>
        <v>-8486.3333333333285</v>
      </c>
      <c r="BJ51" s="333">
        <f t="shared" si="92"/>
        <v>23180.925925925927</v>
      </c>
      <c r="BK51" s="333">
        <f t="shared" si="92"/>
        <v>-44486.740740740745</v>
      </c>
      <c r="BL51" s="333">
        <f t="shared" si="92"/>
        <v>5926.148148148146</v>
      </c>
      <c r="BM51" s="333">
        <f t="shared" si="92"/>
        <v>10043.740740740745</v>
      </c>
      <c r="BN51" s="333">
        <f t="shared" si="92"/>
        <v>-4917.555555555562</v>
      </c>
      <c r="BO51" s="333">
        <f t="shared" si="92"/>
        <v>3071.6218888889125</v>
      </c>
      <c r="BP51" s="333">
        <f t="shared" si="92"/>
        <v>4652.2504629629548</v>
      </c>
      <c r="BQ51" s="333">
        <f t="shared" si="92"/>
        <v>29010</v>
      </c>
      <c r="BR51" s="108"/>
      <c r="BS51" s="108"/>
      <c r="BT51" s="108">
        <f t="shared" si="89"/>
        <v>11629.05753703705</v>
      </c>
      <c r="BU51" s="28"/>
      <c r="BV51" s="333"/>
      <c r="BW51" s="333"/>
      <c r="BX51" s="333"/>
      <c r="BY51" s="333"/>
      <c r="BZ51" s="108"/>
      <c r="CA51" s="108"/>
      <c r="CB51" s="108"/>
      <c r="CC51" s="108"/>
      <c r="CD51" s="108"/>
      <c r="CE51" s="108"/>
      <c r="CF51" s="108"/>
      <c r="CG51" s="108"/>
      <c r="CH51" s="108"/>
    </row>
    <row r="52" spans="1:87" ht="15.75" customHeight="1">
      <c r="A52" s="94"/>
      <c r="B52" s="336" t="s">
        <v>81</v>
      </c>
      <c r="C52" s="335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/>
      <c r="Q52" s="90"/>
      <c r="R52" s="316"/>
      <c r="S52" s="316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5"/>
      <c r="AE52" s="23"/>
      <c r="AF52" s="316">
        <v>26171</v>
      </c>
      <c r="AG52" s="316">
        <v>21736</v>
      </c>
      <c r="AH52" s="316">
        <v>10736</v>
      </c>
      <c r="AI52" s="316">
        <v>15851</v>
      </c>
      <c r="AJ52" s="316">
        <v>30248</v>
      </c>
      <c r="AK52" s="316">
        <v>34072</v>
      </c>
      <c r="AL52" s="316">
        <v>37481</v>
      </c>
      <c r="AM52" s="91">
        <v>32645</v>
      </c>
      <c r="AN52" s="91">
        <v>30252</v>
      </c>
      <c r="AO52" s="91">
        <v>39494</v>
      </c>
      <c r="AP52" s="91">
        <v>42389</v>
      </c>
      <c r="AQ52" s="91">
        <v>55547</v>
      </c>
      <c r="AR52" s="92">
        <f t="shared" si="82"/>
        <v>376622</v>
      </c>
      <c r="AS52" s="23"/>
      <c r="AT52" s="91">
        <v>30298</v>
      </c>
      <c r="AU52" s="91">
        <v>27364</v>
      </c>
      <c r="AV52" s="91">
        <v>32595</v>
      </c>
      <c r="AW52" s="91">
        <v>28643</v>
      </c>
      <c r="AX52" s="91">
        <v>32208</v>
      </c>
      <c r="AY52" s="91">
        <v>30601</v>
      </c>
      <c r="AZ52" s="91">
        <v>38882</v>
      </c>
      <c r="BA52" s="91">
        <v>30743</v>
      </c>
      <c r="BB52" s="91">
        <f>24621+1200</f>
        <v>25821</v>
      </c>
      <c r="BC52" s="91">
        <v>31662</v>
      </c>
      <c r="BD52" s="91">
        <v>37222</v>
      </c>
      <c r="BE52" s="91">
        <v>53667</v>
      </c>
      <c r="BF52" s="91">
        <f t="shared" si="62"/>
        <v>399706</v>
      </c>
      <c r="BG52" s="93">
        <f>BF52/AR52-1</f>
        <v>6.1292224033646425E-2</v>
      </c>
      <c r="BH52" s="91">
        <v>34097</v>
      </c>
      <c r="BI52" s="91">
        <v>25734</v>
      </c>
      <c r="BJ52" s="91">
        <v>34274</v>
      </c>
      <c r="BK52" s="91">
        <v>28838</v>
      </c>
      <c r="BL52" s="91">
        <v>32785</v>
      </c>
      <c r="BM52" s="91">
        <v>38470</v>
      </c>
      <c r="BN52" s="91">
        <v>48365</v>
      </c>
      <c r="BO52" s="91">
        <v>33280</v>
      </c>
      <c r="BP52" s="91">
        <v>34203</v>
      </c>
      <c r="BQ52" s="91">
        <v>35184</v>
      </c>
      <c r="BR52" s="91"/>
      <c r="BS52" s="91"/>
      <c r="BT52" s="91">
        <f t="shared" si="89"/>
        <v>345230</v>
      </c>
      <c r="BU52" s="28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</row>
    <row r="53" spans="1:87" ht="15.75" customHeight="1">
      <c r="A53" s="103"/>
      <c r="B53" s="329" t="s">
        <v>280</v>
      </c>
      <c r="C53" s="330"/>
      <c r="D53" s="331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332"/>
      <c r="Q53" s="105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06"/>
      <c r="AF53" s="333">
        <f t="shared" ref="AF53:AQ53" si="93">AF52-AF43</f>
        <v>-12329</v>
      </c>
      <c r="AG53" s="333">
        <f t="shared" si="93"/>
        <v>-664</v>
      </c>
      <c r="AH53" s="333">
        <f t="shared" si="93"/>
        <v>65</v>
      </c>
      <c r="AI53" s="333">
        <f t="shared" si="93"/>
        <v>-246</v>
      </c>
      <c r="AJ53" s="333">
        <f t="shared" si="93"/>
        <v>-30</v>
      </c>
      <c r="AK53" s="333">
        <f t="shared" si="93"/>
        <v>5512</v>
      </c>
      <c r="AL53" s="333">
        <f t="shared" si="93"/>
        <v>-4219</v>
      </c>
      <c r="AM53" s="333">
        <f t="shared" si="93"/>
        <v>-6055</v>
      </c>
      <c r="AN53" s="333">
        <f t="shared" si="93"/>
        <v>-7048</v>
      </c>
      <c r="AO53" s="333">
        <f t="shared" si="93"/>
        <v>2094</v>
      </c>
      <c r="AP53" s="333">
        <f t="shared" si="93"/>
        <v>1749</v>
      </c>
      <c r="AQ53" s="333">
        <f t="shared" si="93"/>
        <v>1107</v>
      </c>
      <c r="AR53" s="107">
        <f t="shared" si="82"/>
        <v>-20064</v>
      </c>
      <c r="AS53" s="106"/>
      <c r="AT53" s="333">
        <f t="shared" ref="AT53:BE53" si="94">AT52-AT43</f>
        <v>-5855</v>
      </c>
      <c r="AU53" s="333">
        <f t="shared" si="94"/>
        <v>-7925</v>
      </c>
      <c r="AV53" s="333">
        <f t="shared" si="94"/>
        <v>-3277</v>
      </c>
      <c r="AW53" s="333">
        <f t="shared" si="94"/>
        <v>-9388</v>
      </c>
      <c r="AX53" s="333">
        <f t="shared" si="94"/>
        <v>-1358</v>
      </c>
      <c r="AY53" s="333">
        <f t="shared" si="94"/>
        <v>-2965</v>
      </c>
      <c r="AZ53" s="333">
        <f t="shared" si="94"/>
        <v>7986</v>
      </c>
      <c r="BA53" s="333">
        <f t="shared" si="94"/>
        <v>-403</v>
      </c>
      <c r="BB53" s="333">
        <f t="shared" si="94"/>
        <v>-6809</v>
      </c>
      <c r="BC53" s="333">
        <f t="shared" si="94"/>
        <v>-6900</v>
      </c>
      <c r="BD53" s="333">
        <f t="shared" si="94"/>
        <v>-4123</v>
      </c>
      <c r="BE53" s="333">
        <f t="shared" si="94"/>
        <v>4404</v>
      </c>
      <c r="BF53" s="108">
        <f t="shared" si="62"/>
        <v>-36613</v>
      </c>
      <c r="BG53" s="106"/>
      <c r="BH53" s="333">
        <f t="shared" ref="BH53:BQ53" si="95">BH52-BH43</f>
        <v>-2056</v>
      </c>
      <c r="BI53" s="333">
        <f t="shared" si="95"/>
        <v>-9555</v>
      </c>
      <c r="BJ53" s="333">
        <f t="shared" si="95"/>
        <v>-1598</v>
      </c>
      <c r="BK53" s="333">
        <f t="shared" si="95"/>
        <v>-9193</v>
      </c>
      <c r="BL53" s="333">
        <f t="shared" si="95"/>
        <v>-5785</v>
      </c>
      <c r="BM53" s="333">
        <f t="shared" si="95"/>
        <v>-757</v>
      </c>
      <c r="BN53" s="333">
        <f t="shared" si="95"/>
        <v>7237</v>
      </c>
      <c r="BO53" s="333">
        <f t="shared" si="95"/>
        <v>-4911</v>
      </c>
      <c r="BP53" s="333">
        <f t="shared" si="95"/>
        <v>-3988</v>
      </c>
      <c r="BQ53" s="333">
        <f t="shared" si="95"/>
        <v>-5041</v>
      </c>
      <c r="BR53" s="108"/>
      <c r="BS53" s="108"/>
      <c r="BT53" s="108">
        <f t="shared" si="89"/>
        <v>-35647</v>
      </c>
      <c r="BU53" s="28"/>
      <c r="BV53" s="333"/>
      <c r="BW53" s="333"/>
      <c r="BX53" s="333"/>
      <c r="BY53" s="333"/>
      <c r="BZ53" s="108"/>
      <c r="CA53" s="108"/>
      <c r="CB53" s="108"/>
      <c r="CC53" s="108"/>
      <c r="CD53" s="108"/>
      <c r="CE53" s="108"/>
      <c r="CF53" s="108"/>
      <c r="CG53" s="108"/>
      <c r="CH53" s="108"/>
    </row>
    <row r="54" spans="1:87" ht="15.75" customHeight="1">
      <c r="A54" s="103" t="s">
        <v>83</v>
      </c>
      <c r="B54" s="337"/>
      <c r="C54" s="330"/>
      <c r="D54" s="331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332"/>
      <c r="Q54" s="105"/>
      <c r="R54" s="333"/>
      <c r="S54" s="333"/>
      <c r="T54" s="333"/>
      <c r="U54" s="333"/>
      <c r="V54" s="333"/>
      <c r="W54" s="333"/>
      <c r="X54" s="333"/>
      <c r="Y54" s="333"/>
      <c r="Z54" s="333"/>
      <c r="AA54" s="333"/>
      <c r="AB54" s="333"/>
      <c r="AC54" s="333"/>
      <c r="AD54" s="334"/>
      <c r="AE54" s="106"/>
      <c r="AF54" s="333">
        <f t="shared" ref="AF54:AQ54" si="96">AF49-AF16</f>
        <v>-10282</v>
      </c>
      <c r="AG54" s="333">
        <f t="shared" si="96"/>
        <v>-4235</v>
      </c>
      <c r="AH54" s="333">
        <f t="shared" si="96"/>
        <v>-154</v>
      </c>
      <c r="AI54" s="333">
        <f t="shared" si="96"/>
        <v>-1981</v>
      </c>
      <c r="AJ54" s="333">
        <f t="shared" si="96"/>
        <v>-2477</v>
      </c>
      <c r="AK54" s="333">
        <f t="shared" si="96"/>
        <v>6187</v>
      </c>
      <c r="AL54" s="333">
        <f t="shared" si="96"/>
        <v>-13922</v>
      </c>
      <c r="AM54" s="333">
        <f t="shared" si="96"/>
        <v>-58130</v>
      </c>
      <c r="AN54" s="333">
        <f t="shared" si="96"/>
        <v>-66535.333333333343</v>
      </c>
      <c r="AO54" s="333">
        <f t="shared" si="96"/>
        <v>-12969</v>
      </c>
      <c r="AP54" s="333">
        <f t="shared" si="96"/>
        <v>-21294</v>
      </c>
      <c r="AQ54" s="333">
        <f t="shared" si="96"/>
        <v>-10456</v>
      </c>
      <c r="AR54" s="107">
        <f t="shared" si="82"/>
        <v>-196248.33333333334</v>
      </c>
      <c r="AS54" s="106"/>
      <c r="AT54" s="333">
        <f t="shared" ref="AT54:BE54" si="97">AT49-AT16</f>
        <v>2596.75</v>
      </c>
      <c r="AU54" s="333">
        <f t="shared" si="97"/>
        <v>-45152.103448275855</v>
      </c>
      <c r="AV54" s="333">
        <f t="shared" si="97"/>
        <v>-10056.137931034493</v>
      </c>
      <c r="AW54" s="333">
        <f t="shared" si="97"/>
        <v>-31730.137931034493</v>
      </c>
      <c r="AX54" s="333">
        <f t="shared" si="97"/>
        <v>3361.0344827586232</v>
      </c>
      <c r="AY54" s="333">
        <f t="shared" si="97"/>
        <v>-17147.777777777781</v>
      </c>
      <c r="AZ54" s="333">
        <f t="shared" si="97"/>
        <v>1355.222222222219</v>
      </c>
      <c r="BA54" s="333">
        <f t="shared" si="97"/>
        <v>-78174.296296296292</v>
      </c>
      <c r="BB54" s="333">
        <f t="shared" si="97"/>
        <v>-58295.777777777781</v>
      </c>
      <c r="BC54" s="333">
        <f t="shared" si="97"/>
        <v>-106133.29075565783</v>
      </c>
      <c r="BD54" s="333">
        <f t="shared" si="97"/>
        <v>1052.413118527038</v>
      </c>
      <c r="BE54" s="333">
        <f t="shared" si="97"/>
        <v>17507.387034906016</v>
      </c>
      <c r="BF54" s="108">
        <f t="shared" si="62"/>
        <v>-320816.71505944064</v>
      </c>
      <c r="BG54" s="106"/>
      <c r="BH54" s="333">
        <f t="shared" ref="BH54:BQ54" si="98">BH49-BH16</f>
        <v>-8421</v>
      </c>
      <c r="BI54" s="333">
        <f t="shared" si="98"/>
        <v>-18041.333333333314</v>
      </c>
      <c r="BJ54" s="333">
        <f t="shared" si="98"/>
        <v>21582.925925925927</v>
      </c>
      <c r="BK54" s="333">
        <f t="shared" si="98"/>
        <v>-53679.74074074073</v>
      </c>
      <c r="BL54" s="333">
        <f t="shared" si="98"/>
        <v>141.14814814814599</v>
      </c>
      <c r="BM54" s="333">
        <f t="shared" si="98"/>
        <v>9286.7407407407445</v>
      </c>
      <c r="BN54" s="333">
        <f t="shared" si="98"/>
        <v>2319.444444444438</v>
      </c>
      <c r="BO54" s="333">
        <f t="shared" si="98"/>
        <v>7351.6218888889125</v>
      </c>
      <c r="BP54" s="333">
        <f t="shared" si="98"/>
        <v>-1367.7495370370452</v>
      </c>
      <c r="BQ54" s="333">
        <f t="shared" si="98"/>
        <v>27459</v>
      </c>
      <c r="BR54" s="108"/>
      <c r="BS54" s="108"/>
      <c r="BT54" s="108">
        <f t="shared" si="89"/>
        <v>-13368.942462962921</v>
      </c>
      <c r="BU54" s="28"/>
      <c r="BV54" s="333"/>
      <c r="BW54" s="333"/>
      <c r="BX54" s="333"/>
      <c r="BY54" s="333"/>
      <c r="BZ54" s="108"/>
      <c r="CA54" s="108"/>
      <c r="CB54" s="108"/>
      <c r="CC54" s="108"/>
      <c r="CD54" s="108"/>
      <c r="CE54" s="108"/>
      <c r="CF54" s="108"/>
      <c r="CG54" s="108"/>
      <c r="CH54" s="108"/>
    </row>
    <row r="55" spans="1:87" ht="15.75" customHeight="1">
      <c r="A55" s="103" t="s">
        <v>85</v>
      </c>
      <c r="B55" s="337"/>
      <c r="C55" s="330"/>
      <c r="D55" s="331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332"/>
      <c r="Q55" s="105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06"/>
      <c r="AF55" s="333">
        <f t="shared" ref="AF55:AQ55" si="99">AF50-AF17</f>
        <v>92193</v>
      </c>
      <c r="AG55" s="333">
        <f t="shared" si="99"/>
        <v>152006</v>
      </c>
      <c r="AH55" s="333">
        <f t="shared" si="99"/>
        <v>62734</v>
      </c>
      <c r="AI55" s="333">
        <f t="shared" si="99"/>
        <v>71526</v>
      </c>
      <c r="AJ55" s="333">
        <f t="shared" si="99"/>
        <v>89409</v>
      </c>
      <c r="AK55" s="333">
        <f t="shared" si="99"/>
        <v>120675</v>
      </c>
      <c r="AL55" s="333">
        <f t="shared" si="99"/>
        <v>100592</v>
      </c>
      <c r="AM55" s="333">
        <f t="shared" si="99"/>
        <v>148128</v>
      </c>
      <c r="AN55" s="333">
        <f t="shared" si="99"/>
        <v>164346</v>
      </c>
      <c r="AO55" s="333">
        <f t="shared" si="99"/>
        <v>203437</v>
      </c>
      <c r="AP55" s="333">
        <f t="shared" si="99"/>
        <v>64957</v>
      </c>
      <c r="AQ55" s="333">
        <f t="shared" si="99"/>
        <v>31837</v>
      </c>
      <c r="AR55" s="107">
        <f t="shared" si="82"/>
        <v>1301840</v>
      </c>
      <c r="AS55" s="106"/>
      <c r="AT55" s="338">
        <f t="shared" ref="AT55:BE55" si="100">AT54/AT16</f>
        <v>1.7000083470131603E-2</v>
      </c>
      <c r="AU55" s="338">
        <f t="shared" si="100"/>
        <v>-0.26792985919579565</v>
      </c>
      <c r="AV55" s="338">
        <f t="shared" si="100"/>
        <v>-6.5248272015318062E-2</v>
      </c>
      <c r="AW55" s="338">
        <f t="shared" si="100"/>
        <v>-0.19881644480138216</v>
      </c>
      <c r="AX55" s="338">
        <f t="shared" si="100"/>
        <v>2.798530764170884E-2</v>
      </c>
      <c r="AY55" s="338">
        <f t="shared" si="100"/>
        <v>-0.12395048084722922</v>
      </c>
      <c r="AZ55" s="338">
        <f t="shared" si="100"/>
        <v>8.1309864112464342E-3</v>
      </c>
      <c r="BA55" s="338">
        <f t="shared" si="100"/>
        <v>-0.32244495902957893</v>
      </c>
      <c r="BB55" s="338">
        <f t="shared" si="100"/>
        <v>-0.23949841829212068</v>
      </c>
      <c r="BC55" s="338">
        <f t="shared" si="100"/>
        <v>-0.41888939787658819</v>
      </c>
      <c r="BD55" s="338">
        <f t="shared" si="100"/>
        <v>7.8214003811977375E-3</v>
      </c>
      <c r="BE55" s="338">
        <f t="shared" si="100"/>
        <v>0.24086123043473662</v>
      </c>
      <c r="BF55" s="109">
        <f>AVERAGE(AT55:BE55)</f>
        <v>-0.11124823530991597</v>
      </c>
      <c r="BG55" s="106"/>
      <c r="BH55" s="338">
        <f t="shared" ref="BH55:BQ55" si="101">BH54/BH16</f>
        <v>-5.512821352117471E-2</v>
      </c>
      <c r="BI55" s="338">
        <f t="shared" si="101"/>
        <v>-0.12287867195499311</v>
      </c>
      <c r="BJ55" s="338">
        <f t="shared" si="101"/>
        <v>0.12581416416796784</v>
      </c>
      <c r="BK55" s="338">
        <f t="shared" si="101"/>
        <v>-0.33597769224938256</v>
      </c>
      <c r="BL55" s="338">
        <f t="shared" si="101"/>
        <v>1.0652943536044719E-3</v>
      </c>
      <c r="BM55" s="338">
        <f t="shared" si="101"/>
        <v>7.1488016002422286E-2</v>
      </c>
      <c r="BN55" s="338">
        <f t="shared" si="101"/>
        <v>1.3533646427895287E-2</v>
      </c>
      <c r="BO55" s="338">
        <f t="shared" si="101"/>
        <v>4.0944619366602007E-2</v>
      </c>
      <c r="BP55" s="338">
        <f t="shared" si="101"/>
        <v>-6.7692361075750926E-3</v>
      </c>
      <c r="BQ55" s="338">
        <f t="shared" si="101"/>
        <v>0.16757086626186191</v>
      </c>
      <c r="BR55" s="109"/>
      <c r="BS55" s="109"/>
      <c r="BT55" s="338">
        <f>BT54/BT16</f>
        <v>-7.1185036907011742E-3</v>
      </c>
      <c r="BU55" s="54"/>
      <c r="BV55" s="338"/>
      <c r="BW55" s="338"/>
      <c r="BX55" s="338"/>
      <c r="BY55" s="338"/>
      <c r="BZ55" s="109"/>
      <c r="CA55" s="109"/>
      <c r="CB55" s="109"/>
      <c r="CC55" s="109"/>
      <c r="CD55" s="109"/>
      <c r="CE55" s="109"/>
      <c r="CF55" s="109"/>
      <c r="CG55" s="109"/>
      <c r="CH55" s="109"/>
    </row>
    <row r="56" spans="1:87" ht="14.25" customHeight="1">
      <c r="A56" s="55" t="s">
        <v>86</v>
      </c>
      <c r="B56" s="56"/>
      <c r="C56" s="280"/>
      <c r="D56" s="288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289"/>
      <c r="Q56" s="39"/>
      <c r="R56" s="288"/>
      <c r="S56" s="58"/>
      <c r="T56" s="58"/>
      <c r="U56" s="58"/>
      <c r="V56" s="58"/>
      <c r="W56" s="290"/>
      <c r="X56" s="290"/>
      <c r="Y56" s="290"/>
      <c r="Z56" s="290"/>
      <c r="AA56" s="290"/>
      <c r="AB56" s="290"/>
      <c r="AC56" s="290"/>
      <c r="AD56" s="291"/>
      <c r="AE56" s="59"/>
      <c r="AF56" s="292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9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9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60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</row>
    <row r="57" spans="1:87" ht="15.75" customHeight="1">
      <c r="A57" s="94">
        <v>7</v>
      </c>
      <c r="B57" s="210" t="s">
        <v>90</v>
      </c>
      <c r="C57" s="335"/>
      <c r="D57" s="313">
        <v>98048</v>
      </c>
      <c r="E57" s="89">
        <v>128688</v>
      </c>
      <c r="F57" s="89">
        <v>124704</v>
      </c>
      <c r="G57" s="89">
        <v>157500</v>
      </c>
      <c r="H57" s="89">
        <v>182600</v>
      </c>
      <c r="I57" s="89">
        <v>157700</v>
      </c>
      <c r="J57" s="89">
        <v>181700</v>
      </c>
      <c r="K57" s="89">
        <v>165900</v>
      </c>
      <c r="L57" s="89">
        <v>174300</v>
      </c>
      <c r="M57" s="89">
        <v>215800</v>
      </c>
      <c r="N57" s="89">
        <v>180000</v>
      </c>
      <c r="O57" s="89">
        <v>112500</v>
      </c>
      <c r="P57" s="314">
        <f t="shared" ref="P57:P58" si="102">SUM(D57:O57)</f>
        <v>1879440</v>
      </c>
      <c r="Q57" s="90"/>
      <c r="R57" s="313">
        <v>158400</v>
      </c>
      <c r="S57" s="91">
        <v>161000</v>
      </c>
      <c r="T57" s="91">
        <v>117800</v>
      </c>
      <c r="U57" s="91">
        <v>2000</v>
      </c>
      <c r="V57" s="91">
        <v>53800</v>
      </c>
      <c r="W57" s="91">
        <v>190600</v>
      </c>
      <c r="X57" s="91">
        <v>187900</v>
      </c>
      <c r="Y57" s="91">
        <v>196800</v>
      </c>
      <c r="Z57" s="91">
        <v>192300</v>
      </c>
      <c r="AA57" s="91">
        <v>182300</v>
      </c>
      <c r="AB57" s="91">
        <v>175000</v>
      </c>
      <c r="AC57" s="91">
        <v>134100</v>
      </c>
      <c r="AD57" s="315">
        <f>SUM(R57:AC57)</f>
        <v>1752000</v>
      </c>
      <c r="AE57" s="23"/>
      <c r="AF57" s="316">
        <f t="shared" ref="AF57:AL57" si="103">SUM(AF58,AF60)</f>
        <v>161400</v>
      </c>
      <c r="AG57" s="316">
        <f t="shared" si="103"/>
        <v>166000</v>
      </c>
      <c r="AH57" s="316">
        <f t="shared" si="103"/>
        <v>150471</v>
      </c>
      <c r="AI57" s="316">
        <f t="shared" si="103"/>
        <v>149040</v>
      </c>
      <c r="AJ57" s="316">
        <f t="shared" si="103"/>
        <v>196360</v>
      </c>
      <c r="AK57" s="316">
        <f t="shared" si="103"/>
        <v>163300</v>
      </c>
      <c r="AL57" s="316">
        <f t="shared" si="103"/>
        <v>190000</v>
      </c>
      <c r="AM57" s="316">
        <f t="shared" ref="AM57:AQ57" si="104">SUM(AM58,AM60,AM61)</f>
        <v>167000</v>
      </c>
      <c r="AN57" s="316">
        <f t="shared" si="104"/>
        <v>170500</v>
      </c>
      <c r="AO57" s="316">
        <f t="shared" si="104"/>
        <v>140000</v>
      </c>
      <c r="AP57" s="316">
        <f t="shared" si="104"/>
        <v>130000</v>
      </c>
      <c r="AQ57" s="316">
        <f t="shared" si="104"/>
        <v>100000</v>
      </c>
      <c r="AR57" s="92">
        <f t="shared" ref="AR57:AR58" si="105">SUM(AF57:AQ57)</f>
        <v>1884071</v>
      </c>
      <c r="AS57" s="23"/>
      <c r="AT57" s="316">
        <f t="shared" ref="AT57:BC57" si="106">SUM(AT58,AT60,AT61)</f>
        <v>133000</v>
      </c>
      <c r="AU57" s="316">
        <f t="shared" si="106"/>
        <v>125180</v>
      </c>
      <c r="AV57" s="316">
        <f t="shared" si="106"/>
        <v>117228</v>
      </c>
      <c r="AW57" s="316">
        <f t="shared" si="106"/>
        <v>127500</v>
      </c>
      <c r="AX57" s="316">
        <f t="shared" si="106"/>
        <v>140000</v>
      </c>
      <c r="AY57" s="316">
        <f t="shared" si="106"/>
        <v>158342.99999899999</v>
      </c>
      <c r="AZ57" s="316">
        <f t="shared" si="106"/>
        <v>152409</v>
      </c>
      <c r="BA57" s="316">
        <f t="shared" si="106"/>
        <v>173520</v>
      </c>
      <c r="BB57" s="316">
        <f t="shared" si="106"/>
        <v>165000</v>
      </c>
      <c r="BC57" s="316">
        <f t="shared" si="106"/>
        <v>157500</v>
      </c>
      <c r="BD57" s="316">
        <v>129431</v>
      </c>
      <c r="BE57" s="316">
        <v>61700</v>
      </c>
      <c r="BF57" s="91">
        <f t="shared" ref="BF57:BF58" si="107">SUM(AT57:BE57)</f>
        <v>1640810.999999</v>
      </c>
      <c r="BG57" s="27">
        <f>BF57-AR57</f>
        <v>-243260.00000100001</v>
      </c>
      <c r="BH57" s="339">
        <f>SUM(BH58,BH60,BH61)</f>
        <v>139760</v>
      </c>
      <c r="BI57" s="339">
        <f t="shared" ref="BI57:BP57" si="108">SUM(BI58,BI60,BI61)</f>
        <v>116580</v>
      </c>
      <c r="BJ57" s="339">
        <f t="shared" si="108"/>
        <v>148340</v>
      </c>
      <c r="BK57" s="339">
        <f t="shared" si="108"/>
        <v>112360</v>
      </c>
      <c r="BL57" s="339">
        <f t="shared" si="108"/>
        <v>108660</v>
      </c>
      <c r="BM57" s="339">
        <f t="shared" si="108"/>
        <v>153416</v>
      </c>
      <c r="BN57" s="339">
        <f t="shared" si="108"/>
        <v>137676</v>
      </c>
      <c r="BO57" s="339">
        <f t="shared" si="108"/>
        <v>160654</v>
      </c>
      <c r="BP57" s="339">
        <f t="shared" si="108"/>
        <v>157000</v>
      </c>
      <c r="BQ57" s="339">
        <v>156725</v>
      </c>
      <c r="BR57" s="339">
        <v>182069</v>
      </c>
      <c r="BS57" s="339">
        <f>BS58+BS61</f>
        <v>156420</v>
      </c>
      <c r="BT57" s="339">
        <f t="shared" ref="BT57:BT58" si="109">SUM(BH57:BS57)</f>
        <v>1729660</v>
      </c>
      <c r="BU57" s="28"/>
      <c r="BV57" s="396">
        <f>BV58+BS61</f>
        <v>127620</v>
      </c>
      <c r="BW57" s="396">
        <f>BW58+BW61</f>
        <v>136240</v>
      </c>
      <c r="BX57" s="396">
        <v>154730</v>
      </c>
      <c r="BY57" s="396">
        <v>154730</v>
      </c>
      <c r="BZ57" s="396">
        <f t="shared" ref="BZ57:CG57" si="110">BZ58</f>
        <v>112260</v>
      </c>
      <c r="CA57" s="396">
        <f t="shared" si="110"/>
        <v>119240</v>
      </c>
      <c r="CB57" s="396">
        <f t="shared" si="110"/>
        <v>168760</v>
      </c>
      <c r="CC57" s="396">
        <f>CC58</f>
        <v>194340</v>
      </c>
      <c r="CD57" s="396">
        <f t="shared" si="110"/>
        <v>208000</v>
      </c>
      <c r="CE57" s="396">
        <f t="shared" si="110"/>
        <v>201780</v>
      </c>
      <c r="CF57" s="396">
        <f t="shared" si="110"/>
        <v>154060</v>
      </c>
      <c r="CG57" s="396">
        <f t="shared" si="110"/>
        <v>96720</v>
      </c>
      <c r="CH57" s="339">
        <f t="shared" ref="CH57:CH58" si="111">SUM(BV57:CG57)</f>
        <v>1828480</v>
      </c>
    </row>
    <row r="58" spans="1:87" ht="15.75" customHeight="1">
      <c r="A58" s="94"/>
      <c r="B58" s="210" t="s">
        <v>91</v>
      </c>
      <c r="C58" s="335"/>
      <c r="D58" s="313">
        <v>98048</v>
      </c>
      <c r="E58" s="89">
        <v>128688</v>
      </c>
      <c r="F58" s="89">
        <v>124704</v>
      </c>
      <c r="G58" s="89">
        <v>157500</v>
      </c>
      <c r="H58" s="89">
        <v>182600</v>
      </c>
      <c r="I58" s="89">
        <v>157700</v>
      </c>
      <c r="J58" s="89">
        <v>181700</v>
      </c>
      <c r="K58" s="89">
        <v>165900</v>
      </c>
      <c r="L58" s="89">
        <v>174300</v>
      </c>
      <c r="M58" s="89">
        <v>215800</v>
      </c>
      <c r="N58" s="89">
        <v>180000</v>
      </c>
      <c r="O58" s="89">
        <v>112500</v>
      </c>
      <c r="P58" s="314">
        <f t="shared" si="102"/>
        <v>1879440</v>
      </c>
      <c r="Q58" s="90"/>
      <c r="R58" s="313">
        <v>158400</v>
      </c>
      <c r="S58" s="91">
        <v>146000</v>
      </c>
      <c r="T58" s="91">
        <v>102200</v>
      </c>
      <c r="U58" s="91">
        <v>0</v>
      </c>
      <c r="V58" s="91">
        <v>43800</v>
      </c>
      <c r="W58" s="91">
        <v>160600</v>
      </c>
      <c r="X58" s="91">
        <v>167900</v>
      </c>
      <c r="Y58" s="91">
        <v>153300</v>
      </c>
      <c r="Z58" s="91">
        <v>153300</v>
      </c>
      <c r="AA58" s="91">
        <v>153300</v>
      </c>
      <c r="AB58" s="91">
        <v>146000</v>
      </c>
      <c r="AC58" s="91">
        <v>124100</v>
      </c>
      <c r="AD58" s="315"/>
      <c r="AE58" s="23"/>
      <c r="AF58" s="316">
        <v>131400</v>
      </c>
      <c r="AG58" s="91">
        <v>146000</v>
      </c>
      <c r="AH58" s="91">
        <v>125511</v>
      </c>
      <c r="AI58" s="91">
        <v>135000</v>
      </c>
      <c r="AJ58" s="91">
        <v>177320</v>
      </c>
      <c r="AK58" s="91">
        <v>151300</v>
      </c>
      <c r="AL58" s="91">
        <v>176000</v>
      </c>
      <c r="AM58" s="91">
        <f>AM59*AM3</f>
        <v>154000</v>
      </c>
      <c r="AN58" s="91">
        <f>AN59*AN3</f>
        <v>157500</v>
      </c>
      <c r="AO58" s="91">
        <f>AO59*AO3</f>
        <v>140000</v>
      </c>
      <c r="AP58" s="91">
        <f>AP59*AP3</f>
        <v>130000</v>
      </c>
      <c r="AQ58" s="91">
        <f>AQ59*AQ3+16000</f>
        <v>100000</v>
      </c>
      <c r="AR58" s="92">
        <f t="shared" si="105"/>
        <v>1724031</v>
      </c>
      <c r="AS58" s="23"/>
      <c r="AT58" s="91">
        <f>AT59*AT3</f>
        <v>133000</v>
      </c>
      <c r="AU58" s="91">
        <f>125180</f>
        <v>125180</v>
      </c>
      <c r="AV58" s="91">
        <f>AV59*AV3+7428</f>
        <v>117228</v>
      </c>
      <c r="AW58" s="91">
        <f>AW59*AW3</f>
        <v>123500</v>
      </c>
      <c r="AX58" s="91">
        <f>AX59*AX3</f>
        <v>132000</v>
      </c>
      <c r="AY58" s="91">
        <f>AY59*AY3</f>
        <v>153342.99999899999</v>
      </c>
      <c r="AZ58" s="91">
        <v>142409</v>
      </c>
      <c r="BA58" s="91">
        <v>163520</v>
      </c>
      <c r="BB58" s="91">
        <f>BB59*BB3</f>
        <v>165000</v>
      </c>
      <c r="BC58" s="91">
        <f>BC59*BC3</f>
        <v>157500</v>
      </c>
      <c r="BD58" s="316">
        <v>129431</v>
      </c>
      <c r="BE58" s="316">
        <v>61700</v>
      </c>
      <c r="BF58" s="91">
        <f t="shared" si="107"/>
        <v>1603810.999999</v>
      </c>
      <c r="BG58" s="27">
        <f>BF58+BF61-AR58-AR61</f>
        <v>-113040.00000100001</v>
      </c>
      <c r="BH58" s="91">
        <v>136760</v>
      </c>
      <c r="BI58" s="91">
        <v>116580</v>
      </c>
      <c r="BJ58" s="91">
        <v>148340</v>
      </c>
      <c r="BK58" s="91">
        <v>112360</v>
      </c>
      <c r="BL58" s="91">
        <v>108660</v>
      </c>
      <c r="BM58" s="91">
        <v>153416</v>
      </c>
      <c r="BN58" s="91">
        <v>137676</v>
      </c>
      <c r="BO58" s="91">
        <v>150654</v>
      </c>
      <c r="BP58" s="91">
        <f>7100*BP3</f>
        <v>142000</v>
      </c>
      <c r="BQ58" s="91">
        <f t="shared" ref="BQ58:BR58" si="112">BQ57-BQ61</f>
        <v>136725</v>
      </c>
      <c r="BR58" s="91">
        <f t="shared" si="112"/>
        <v>167069</v>
      </c>
      <c r="BS58" s="91">
        <v>124020</v>
      </c>
      <c r="BT58" s="91">
        <f t="shared" si="109"/>
        <v>1634260</v>
      </c>
      <c r="BU58" s="28"/>
      <c r="BV58" s="397">
        <v>95220</v>
      </c>
      <c r="BW58" s="397">
        <v>136240</v>
      </c>
      <c r="BX58" s="398">
        <v>50640</v>
      </c>
      <c r="BY58" s="398">
        <v>258820</v>
      </c>
      <c r="BZ58" s="397">
        <v>112260</v>
      </c>
      <c r="CA58" s="397">
        <v>119240</v>
      </c>
      <c r="CB58" s="397">
        <v>168760</v>
      </c>
      <c r="CC58" s="397">
        <v>194340</v>
      </c>
      <c r="CD58" s="397">
        <v>208000</v>
      </c>
      <c r="CE58" s="397">
        <v>201780</v>
      </c>
      <c r="CF58" s="397">
        <v>154060</v>
      </c>
      <c r="CG58" s="397">
        <v>96720</v>
      </c>
      <c r="CH58" s="91">
        <f t="shared" si="111"/>
        <v>1796080</v>
      </c>
      <c r="CI58" s="395">
        <f>(CH58-BT63)/BT63</f>
        <v>0.25644458808501469</v>
      </c>
    </row>
    <row r="59" spans="1:87" ht="15.75" customHeight="1">
      <c r="A59" s="94"/>
      <c r="B59" s="210" t="s">
        <v>92</v>
      </c>
      <c r="C59" s="335"/>
      <c r="D59" s="313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314"/>
      <c r="Q59" s="90"/>
      <c r="R59" s="316">
        <f t="shared" ref="R59:AC59" si="113">R58/R3</f>
        <v>7200</v>
      </c>
      <c r="S59" s="316">
        <f t="shared" si="113"/>
        <v>7300</v>
      </c>
      <c r="T59" s="316">
        <f t="shared" si="113"/>
        <v>7300</v>
      </c>
      <c r="U59" s="316">
        <f t="shared" si="113"/>
        <v>0</v>
      </c>
      <c r="V59" s="316">
        <f t="shared" si="113"/>
        <v>3650</v>
      </c>
      <c r="W59" s="316">
        <f t="shared" si="113"/>
        <v>7300</v>
      </c>
      <c r="X59" s="316">
        <f t="shared" si="113"/>
        <v>7300</v>
      </c>
      <c r="Y59" s="316">
        <f t="shared" si="113"/>
        <v>7300</v>
      </c>
      <c r="Z59" s="316">
        <f t="shared" si="113"/>
        <v>7300</v>
      </c>
      <c r="AA59" s="316">
        <f t="shared" si="113"/>
        <v>7300</v>
      </c>
      <c r="AB59" s="316">
        <f t="shared" si="113"/>
        <v>7300</v>
      </c>
      <c r="AC59" s="316">
        <f t="shared" si="113"/>
        <v>7300</v>
      </c>
      <c r="AD59" s="315"/>
      <c r="AE59" s="23"/>
      <c r="AF59" s="316">
        <f t="shared" ref="AF59:AL59" si="114">AF58/AF3</f>
        <v>7300</v>
      </c>
      <c r="AG59" s="316">
        <f t="shared" si="114"/>
        <v>7300</v>
      </c>
      <c r="AH59" s="316">
        <f t="shared" si="114"/>
        <v>6275.55</v>
      </c>
      <c r="AI59" s="316">
        <f t="shared" si="114"/>
        <v>6750</v>
      </c>
      <c r="AJ59" s="316">
        <f t="shared" si="114"/>
        <v>8060</v>
      </c>
      <c r="AK59" s="316">
        <f t="shared" si="114"/>
        <v>7565</v>
      </c>
      <c r="AL59" s="316">
        <f t="shared" si="114"/>
        <v>8000</v>
      </c>
      <c r="AM59" s="91">
        <v>7000</v>
      </c>
      <c r="AN59" s="91">
        <v>7500</v>
      </c>
      <c r="AO59" s="91">
        <v>7000</v>
      </c>
      <c r="AP59" s="91">
        <v>6500</v>
      </c>
      <c r="AQ59" s="91">
        <v>7000</v>
      </c>
      <c r="AR59" s="92">
        <f>AVERAGE(AF59:AQ59)</f>
        <v>7187.5458333333336</v>
      </c>
      <c r="AS59" s="23"/>
      <c r="AT59" s="91">
        <v>7000</v>
      </c>
      <c r="AU59" s="91">
        <f>AU58/AU3</f>
        <v>6588.4210526315792</v>
      </c>
      <c r="AV59" s="91">
        <v>6100</v>
      </c>
      <c r="AW59" s="91">
        <v>6500</v>
      </c>
      <c r="AX59" s="91">
        <v>6000</v>
      </c>
      <c r="AY59" s="91">
        <v>7302.0476189999999</v>
      </c>
      <c r="AZ59" s="91">
        <v>7000</v>
      </c>
      <c r="BA59" s="91">
        <f>BA58/BA3</f>
        <v>7432.727272727273</v>
      </c>
      <c r="BB59" s="91">
        <v>7500</v>
      </c>
      <c r="BC59" s="91">
        <v>7500</v>
      </c>
      <c r="BD59" s="91">
        <f>BD58/BD3</f>
        <v>6471.55</v>
      </c>
      <c r="BE59" s="91">
        <f>BE58/BE3</f>
        <v>6170</v>
      </c>
      <c r="BF59" s="91">
        <f>AVERAGE(AT59:BE59)</f>
        <v>6797.0621620299053</v>
      </c>
      <c r="BG59" s="27"/>
      <c r="BH59" s="91">
        <f t="shared" ref="BH59:BS59" si="115">BH58/BH3</f>
        <v>6838</v>
      </c>
      <c r="BI59" s="91">
        <f t="shared" si="115"/>
        <v>6857.6470588235297</v>
      </c>
      <c r="BJ59" s="91">
        <f t="shared" si="115"/>
        <v>6449.565217391304</v>
      </c>
      <c r="BK59" s="91">
        <f t="shared" si="115"/>
        <v>6242.2222222222226</v>
      </c>
      <c r="BL59" s="91">
        <f t="shared" si="115"/>
        <v>4939.090909090909</v>
      </c>
      <c r="BM59" s="91">
        <f t="shared" si="115"/>
        <v>6670.260869565217</v>
      </c>
      <c r="BN59" s="91">
        <f t="shared" si="115"/>
        <v>6556</v>
      </c>
      <c r="BO59" s="91">
        <f t="shared" si="115"/>
        <v>7174</v>
      </c>
      <c r="BP59" s="91">
        <f t="shared" si="115"/>
        <v>7100</v>
      </c>
      <c r="BQ59" s="91">
        <f t="shared" si="115"/>
        <v>6510.7142857142853</v>
      </c>
      <c r="BR59" s="91">
        <f t="shared" si="115"/>
        <v>8353.4500000000007</v>
      </c>
      <c r="BS59" s="91">
        <f t="shared" si="115"/>
        <v>8858.5714285714294</v>
      </c>
      <c r="BT59" s="91">
        <f>AVERAGE(BH59:BS59)</f>
        <v>6879.1268326149084</v>
      </c>
      <c r="BU59" s="28"/>
      <c r="BV59" s="91"/>
      <c r="BW59" s="91">
        <f>BW58/BW3</f>
        <v>8515</v>
      </c>
      <c r="BX59" s="91">
        <f>BX58/BX3</f>
        <v>2665.2631578947367</v>
      </c>
      <c r="BY59" s="91">
        <v>9000</v>
      </c>
      <c r="BZ59" s="91">
        <v>9000</v>
      </c>
      <c r="CA59" s="91">
        <v>9000</v>
      </c>
      <c r="CB59" s="91">
        <v>9000</v>
      </c>
      <c r="CC59" s="91">
        <v>9000</v>
      </c>
      <c r="CD59" s="91">
        <v>9000</v>
      </c>
      <c r="CE59" s="91">
        <v>9000</v>
      </c>
      <c r="CF59" s="91">
        <v>9000</v>
      </c>
      <c r="CG59" s="91">
        <v>9000</v>
      </c>
      <c r="CH59" s="91"/>
    </row>
    <row r="60" spans="1:87" ht="15.75" customHeight="1">
      <c r="A60" s="94"/>
      <c r="B60" s="210" t="s">
        <v>281</v>
      </c>
      <c r="C60" s="335"/>
      <c r="D60" s="313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314"/>
      <c r="Q60" s="90"/>
      <c r="R60" s="313"/>
      <c r="S60" s="91">
        <v>15000</v>
      </c>
      <c r="T60" s="91">
        <v>15600</v>
      </c>
      <c r="U60" s="91">
        <v>2000</v>
      </c>
      <c r="V60" s="91">
        <v>10000</v>
      </c>
      <c r="W60" s="91">
        <v>30000</v>
      </c>
      <c r="X60" s="91">
        <v>20000</v>
      </c>
      <c r="Y60" s="91">
        <v>30000</v>
      </c>
      <c r="Z60" s="91">
        <v>30000</v>
      </c>
      <c r="AA60" s="91">
        <v>20000</v>
      </c>
      <c r="AB60" s="91">
        <v>20000</v>
      </c>
      <c r="AC60" s="91">
        <v>10000</v>
      </c>
      <c r="AD60" s="315"/>
      <c r="AE60" s="23"/>
      <c r="AF60" s="316">
        <v>30000</v>
      </c>
      <c r="AG60" s="91">
        <v>20000</v>
      </c>
      <c r="AH60" s="91">
        <v>24960</v>
      </c>
      <c r="AI60" s="91">
        <v>14040</v>
      </c>
      <c r="AJ60" s="91">
        <v>19040</v>
      </c>
      <c r="AK60" s="91">
        <v>12000</v>
      </c>
      <c r="AL60" s="91">
        <v>14000</v>
      </c>
      <c r="AM60" s="91">
        <v>13000</v>
      </c>
      <c r="AN60" s="91">
        <v>13000</v>
      </c>
      <c r="AO60" s="91">
        <v>0</v>
      </c>
      <c r="AP60" s="91">
        <v>0</v>
      </c>
      <c r="AQ60" s="91">
        <v>0</v>
      </c>
      <c r="AR60" s="92">
        <f t="shared" ref="AR60:AR61" si="116">SUM(AF60:AQ60)</f>
        <v>160040</v>
      </c>
      <c r="AS60" s="23"/>
      <c r="AT60" s="91">
        <v>0</v>
      </c>
      <c r="AU60" s="91">
        <v>0</v>
      </c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>
        <f t="shared" ref="BF60:BF61" si="117">SUM(AT60:BE60)</f>
        <v>0</v>
      </c>
      <c r="BG60" s="27">
        <f>BF60-AR60</f>
        <v>-160040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>
        <f t="shared" ref="BT60" si="118">SUM(BH60:BS60)</f>
        <v>0</v>
      </c>
      <c r="BU60" s="28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>
        <f t="shared" ref="CH60" si="119">SUM(BV60:CG60)</f>
        <v>0</v>
      </c>
    </row>
    <row r="61" spans="1:87" ht="15.75" customHeight="1">
      <c r="A61" s="94"/>
      <c r="B61" s="210" t="s">
        <v>282</v>
      </c>
      <c r="C61" s="335"/>
      <c r="D61" s="313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/>
      <c r="Q61" s="90"/>
      <c r="R61" s="313"/>
      <c r="S61" s="91"/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13500</v>
      </c>
      <c r="Z61" s="91">
        <v>9000</v>
      </c>
      <c r="AA61" s="91">
        <v>9000</v>
      </c>
      <c r="AB61" s="91">
        <v>9000</v>
      </c>
      <c r="AC61" s="91">
        <v>0</v>
      </c>
      <c r="AD61" s="315"/>
      <c r="AE61" s="23"/>
      <c r="AF61" s="91">
        <v>13500</v>
      </c>
      <c r="AG61" s="91">
        <v>13500</v>
      </c>
      <c r="AH61" s="91">
        <v>2820</v>
      </c>
      <c r="AI61" s="91">
        <v>0</v>
      </c>
      <c r="AJ61" s="91">
        <v>0</v>
      </c>
      <c r="AK61" s="91">
        <v>0</v>
      </c>
      <c r="AL61" s="91">
        <v>0</v>
      </c>
      <c r="AM61" s="91"/>
      <c r="AN61" s="91"/>
      <c r="AO61" s="91"/>
      <c r="AP61" s="91"/>
      <c r="AQ61" s="91"/>
      <c r="AR61" s="92">
        <f t="shared" si="116"/>
        <v>29820</v>
      </c>
      <c r="AS61" s="23"/>
      <c r="AT61" s="91"/>
      <c r="AU61" s="91"/>
      <c r="AV61" s="91"/>
      <c r="AW61" s="91">
        <v>4000</v>
      </c>
      <c r="AX61" s="91">
        <v>8000</v>
      </c>
      <c r="AY61" s="91">
        <v>5000</v>
      </c>
      <c r="AZ61" s="91">
        <v>10000</v>
      </c>
      <c r="BA61" s="91">
        <v>10000</v>
      </c>
      <c r="BB61" s="91">
        <v>0</v>
      </c>
      <c r="BC61" s="91">
        <v>0</v>
      </c>
      <c r="BD61" s="91">
        <v>0</v>
      </c>
      <c r="BE61" s="91"/>
      <c r="BF61" s="91">
        <f t="shared" si="117"/>
        <v>37000</v>
      </c>
      <c r="BG61" s="27"/>
      <c r="BH61" s="91">
        <v>3000</v>
      </c>
      <c r="BI61" s="91"/>
      <c r="BJ61" s="91"/>
      <c r="BK61" s="91"/>
      <c r="BL61" s="91"/>
      <c r="BM61" s="91"/>
      <c r="BN61" s="91"/>
      <c r="BO61" s="91">
        <v>10000</v>
      </c>
      <c r="BP61" s="91">
        <v>15000</v>
      </c>
      <c r="BQ61" s="91">
        <v>20000</v>
      </c>
      <c r="BR61" s="91">
        <v>15000</v>
      </c>
      <c r="BS61" s="91">
        <f>7200*9/2</f>
        <v>32400</v>
      </c>
      <c r="BT61" s="91">
        <f>SUM(BH61:BS61)</f>
        <v>95400</v>
      </c>
      <c r="BU61" s="28"/>
      <c r="BV61" s="91"/>
      <c r="BW61" s="91"/>
      <c r="BX61" s="91"/>
      <c r="BY61" s="91"/>
      <c r="BZ61" s="91"/>
      <c r="CA61" s="91"/>
      <c r="CB61" s="91"/>
      <c r="CC61" s="91"/>
      <c r="CD61" s="91"/>
      <c r="CE61" s="91"/>
      <c r="CF61" s="91"/>
      <c r="CG61" s="91"/>
      <c r="CH61" s="91">
        <f>SUM(BS61:CG61)</f>
        <v>127800</v>
      </c>
    </row>
    <row r="62" spans="1:87" ht="15.75" customHeight="1">
      <c r="A62" s="94"/>
      <c r="B62" s="210" t="s">
        <v>283</v>
      </c>
      <c r="C62" s="335"/>
      <c r="D62" s="313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315"/>
      <c r="AE62" s="23"/>
      <c r="AF62" s="91"/>
      <c r="AG62" s="91"/>
      <c r="AH62" s="91"/>
      <c r="AI62" s="91"/>
      <c r="AJ62" s="91"/>
      <c r="AK62" s="91"/>
      <c r="AL62" s="91"/>
      <c r="AM62" s="91"/>
      <c r="AN62" s="91"/>
      <c r="AO62" s="91">
        <f t="shared" ref="AO62:AQ62" si="120">AO57*9.68</f>
        <v>1355200</v>
      </c>
      <c r="AP62" s="91">
        <f t="shared" si="120"/>
        <v>1258400</v>
      </c>
      <c r="AQ62" s="91">
        <f t="shared" si="120"/>
        <v>968000</v>
      </c>
      <c r="AR62" s="92"/>
      <c r="AS62" s="23"/>
      <c r="AT62" s="91">
        <f t="shared" ref="AT62:BF62" si="121">AT57*9.68</f>
        <v>1287440</v>
      </c>
      <c r="AU62" s="91">
        <f t="shared" si="121"/>
        <v>1211742.3999999999</v>
      </c>
      <c r="AV62" s="91">
        <f t="shared" si="121"/>
        <v>1134767.04</v>
      </c>
      <c r="AW62" s="91">
        <f t="shared" si="121"/>
        <v>1234200</v>
      </c>
      <c r="AX62" s="91">
        <f t="shared" si="121"/>
        <v>1355200</v>
      </c>
      <c r="AY62" s="91">
        <f t="shared" si="121"/>
        <v>1532760.2399903198</v>
      </c>
      <c r="AZ62" s="91">
        <f t="shared" si="121"/>
        <v>1475319.1199999999</v>
      </c>
      <c r="BA62" s="91">
        <f t="shared" si="121"/>
        <v>1679673.5999999999</v>
      </c>
      <c r="BB62" s="91">
        <f t="shared" si="121"/>
        <v>1597200</v>
      </c>
      <c r="BC62" s="91">
        <f t="shared" si="121"/>
        <v>1524600</v>
      </c>
      <c r="BD62" s="91">
        <f t="shared" si="121"/>
        <v>1252892.08</v>
      </c>
      <c r="BE62" s="91">
        <f t="shared" si="121"/>
        <v>597256</v>
      </c>
      <c r="BF62" s="91">
        <f t="shared" si="121"/>
        <v>15883050.47999032</v>
      </c>
      <c r="BG62" s="27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28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1"/>
      <c r="CG62" s="91"/>
      <c r="CH62" s="91"/>
    </row>
    <row r="63" spans="1:87">
      <c r="A63" s="110" t="s">
        <v>99</v>
      </c>
      <c r="B63" s="340" t="s">
        <v>100</v>
      </c>
      <c r="C63" s="341"/>
      <c r="D63" s="342">
        <v>95972</v>
      </c>
      <c r="E63" s="111">
        <v>130805</v>
      </c>
      <c r="F63" s="111">
        <v>121914</v>
      </c>
      <c r="G63" s="111">
        <v>165455</v>
      </c>
      <c r="H63" s="111">
        <v>192013</v>
      </c>
      <c r="I63" s="111">
        <v>167281</v>
      </c>
      <c r="J63" s="111">
        <v>181409</v>
      </c>
      <c r="K63" s="111">
        <v>163138</v>
      </c>
      <c r="L63" s="111">
        <v>169051</v>
      </c>
      <c r="M63" s="111">
        <v>183254</v>
      </c>
      <c r="N63" s="111"/>
      <c r="O63" s="111"/>
      <c r="P63" s="343">
        <f>SUM(D63:O63)</f>
        <v>1570292</v>
      </c>
      <c r="Q63" s="84"/>
      <c r="R63" s="342">
        <v>149582</v>
      </c>
      <c r="S63" s="112">
        <v>152735</v>
      </c>
      <c r="T63" s="112">
        <v>107681</v>
      </c>
      <c r="U63" s="112">
        <v>2974</v>
      </c>
      <c r="V63" s="112">
        <v>32639</v>
      </c>
      <c r="W63" s="112">
        <v>153121</v>
      </c>
      <c r="X63" s="112">
        <v>198635</v>
      </c>
      <c r="Y63" s="112">
        <v>160489</v>
      </c>
      <c r="Z63" s="112">
        <v>160893</v>
      </c>
      <c r="AA63" s="112">
        <v>180999</v>
      </c>
      <c r="AB63" s="112">
        <v>167265</v>
      </c>
      <c r="AC63" s="112">
        <v>135424</v>
      </c>
      <c r="AD63" s="344">
        <f>SUM(R63:AC63)</f>
        <v>1602437</v>
      </c>
      <c r="AE63" s="113"/>
      <c r="AF63" s="345">
        <v>145616</v>
      </c>
      <c r="AG63" s="112">
        <v>168450</v>
      </c>
      <c r="AH63" s="112">
        <v>153291</v>
      </c>
      <c r="AI63" s="112">
        <v>149378</v>
      </c>
      <c r="AJ63" s="112">
        <v>196360</v>
      </c>
      <c r="AK63" s="112">
        <v>170558</v>
      </c>
      <c r="AL63" s="112">
        <v>171758</v>
      </c>
      <c r="AM63" s="112">
        <f t="shared" ref="AM63:AQ63" si="122">SUM(AM64:AM65)</f>
        <v>168974</v>
      </c>
      <c r="AN63" s="112">
        <f t="shared" si="122"/>
        <v>144792</v>
      </c>
      <c r="AO63" s="112">
        <f t="shared" si="122"/>
        <v>141375</v>
      </c>
      <c r="AP63" s="112">
        <f t="shared" si="122"/>
        <v>143221</v>
      </c>
      <c r="AQ63" s="112">
        <f t="shared" si="122"/>
        <v>85543</v>
      </c>
      <c r="AR63" s="112">
        <f t="shared" ref="AR63:AR67" si="123">SUM(AF63:AQ63)</f>
        <v>1839316</v>
      </c>
      <c r="AS63" s="23"/>
      <c r="AT63" s="112">
        <f t="shared" ref="AT63:BE63" si="124">SUM(AT64:AT65)</f>
        <v>120211</v>
      </c>
      <c r="AU63" s="112">
        <f t="shared" si="124"/>
        <v>120216</v>
      </c>
      <c r="AV63" s="112">
        <f t="shared" si="124"/>
        <v>101053</v>
      </c>
      <c r="AW63" s="112">
        <f t="shared" si="124"/>
        <v>137388</v>
      </c>
      <c r="AX63" s="112">
        <f t="shared" si="124"/>
        <v>137400</v>
      </c>
      <c r="AY63" s="112">
        <f t="shared" si="124"/>
        <v>135412</v>
      </c>
      <c r="AZ63" s="112">
        <f t="shared" si="124"/>
        <v>157032</v>
      </c>
      <c r="BA63" s="112">
        <f t="shared" si="124"/>
        <v>173287</v>
      </c>
      <c r="BB63" s="114">
        <f t="shared" si="124"/>
        <v>166815</v>
      </c>
      <c r="BC63" s="114">
        <f t="shared" si="124"/>
        <v>153816</v>
      </c>
      <c r="BD63" s="114">
        <f t="shared" si="124"/>
        <v>138051</v>
      </c>
      <c r="BE63" s="114">
        <f t="shared" si="124"/>
        <v>55950</v>
      </c>
      <c r="BF63" s="114">
        <f t="shared" ref="BF63:BF67" si="125">SUM(AT63:BE63)</f>
        <v>1596631</v>
      </c>
      <c r="BG63" s="93">
        <f>BF63/AR63-1</f>
        <v>-0.1319430701412917</v>
      </c>
      <c r="BH63" s="112">
        <f t="shared" ref="BH63:BQ63" si="126">SUM(BH64:BH65)</f>
        <v>138562</v>
      </c>
      <c r="BI63" s="112">
        <f t="shared" si="126"/>
        <v>109391</v>
      </c>
      <c r="BJ63" s="112">
        <f t="shared" si="126"/>
        <v>160056</v>
      </c>
      <c r="BK63" s="112">
        <f t="shared" si="126"/>
        <v>124826</v>
      </c>
      <c r="BL63" s="112">
        <f t="shared" si="126"/>
        <v>151185</v>
      </c>
      <c r="BM63" s="112">
        <f t="shared" si="126"/>
        <v>134688</v>
      </c>
      <c r="BN63" s="112">
        <f t="shared" si="126"/>
        <v>157005</v>
      </c>
      <c r="BO63" s="112">
        <f t="shared" si="126"/>
        <v>151231</v>
      </c>
      <c r="BP63" s="112">
        <f t="shared" si="126"/>
        <v>143335</v>
      </c>
      <c r="BQ63" s="112">
        <f t="shared" si="126"/>
        <v>159215</v>
      </c>
      <c r="BR63" s="112"/>
      <c r="BS63" s="112"/>
      <c r="BT63" s="112">
        <f t="shared" ref="BT63:BT67" si="127">SUM(BH63:BS63)</f>
        <v>1429494</v>
      </c>
      <c r="BU63" s="18"/>
      <c r="BV63" s="112"/>
      <c r="BW63" s="112"/>
      <c r="BX63" s="112"/>
      <c r="BY63" s="112"/>
      <c r="BZ63" s="112"/>
      <c r="CA63" s="112"/>
      <c r="CB63" s="112"/>
      <c r="CC63" s="112"/>
      <c r="CD63" s="112"/>
      <c r="CE63" s="112"/>
      <c r="CF63" s="112"/>
      <c r="CG63" s="112"/>
      <c r="CH63" s="112"/>
    </row>
    <row r="64" spans="1:87" ht="15.75" customHeight="1">
      <c r="A64" s="115"/>
      <c r="B64" s="346" t="s">
        <v>101</v>
      </c>
      <c r="C64" s="347"/>
      <c r="D64" s="265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66"/>
      <c r="Q64" s="116"/>
      <c r="R64" s="265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67"/>
      <c r="AE64" s="23"/>
      <c r="AF64" s="348">
        <v>126362</v>
      </c>
      <c r="AG64" s="22">
        <v>153970</v>
      </c>
      <c r="AH64" s="22">
        <v>128331</v>
      </c>
      <c r="AI64" s="22">
        <v>135338</v>
      </c>
      <c r="AJ64" s="22">
        <v>177312</v>
      </c>
      <c r="AK64" s="22">
        <v>150818</v>
      </c>
      <c r="AL64" s="22">
        <v>158858</v>
      </c>
      <c r="AM64" s="22">
        <v>153933</v>
      </c>
      <c r="AN64" s="22">
        <v>134244</v>
      </c>
      <c r="AO64" s="22">
        <v>137435</v>
      </c>
      <c r="AP64" s="22">
        <v>143221</v>
      </c>
      <c r="AQ64" s="22">
        <v>85543</v>
      </c>
      <c r="AR64" s="117">
        <f t="shared" si="123"/>
        <v>1685365</v>
      </c>
      <c r="AS64" s="23"/>
      <c r="AT64" s="22">
        <v>120211</v>
      </c>
      <c r="AU64" s="22">
        <v>120216</v>
      </c>
      <c r="AV64" s="22">
        <v>101053</v>
      </c>
      <c r="AW64" s="22">
        <v>137388</v>
      </c>
      <c r="AX64" s="22">
        <v>137400</v>
      </c>
      <c r="AY64" s="22">
        <v>135412</v>
      </c>
      <c r="AZ64" s="22">
        <v>157032</v>
      </c>
      <c r="BA64" s="22">
        <v>172227</v>
      </c>
      <c r="BB64" s="22">
        <f>157995+8500</f>
        <v>166495</v>
      </c>
      <c r="BC64" s="22">
        <v>153816</v>
      </c>
      <c r="BD64" s="22">
        <v>138051</v>
      </c>
      <c r="BE64" s="22">
        <v>55950</v>
      </c>
      <c r="BF64" s="22">
        <f t="shared" si="125"/>
        <v>1595251</v>
      </c>
      <c r="BG64" s="27"/>
      <c r="BH64" s="22">
        <v>138562</v>
      </c>
      <c r="BI64" s="22">
        <v>109391</v>
      </c>
      <c r="BJ64" s="22">
        <v>160056</v>
      </c>
      <c r="BK64" s="22">
        <v>124826</v>
      </c>
      <c r="BL64" s="22">
        <v>151185</v>
      </c>
      <c r="BM64" s="22">
        <v>134688</v>
      </c>
      <c r="BN64" s="22">
        <v>157005</v>
      </c>
      <c r="BO64" s="22">
        <v>151231</v>
      </c>
      <c r="BP64" s="22">
        <v>143335</v>
      </c>
      <c r="BQ64" s="22">
        <v>159215</v>
      </c>
      <c r="BR64" s="22"/>
      <c r="BS64" s="22"/>
      <c r="BT64" s="22">
        <f t="shared" si="127"/>
        <v>1429494</v>
      </c>
      <c r="BU64" s="28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</row>
    <row r="65" spans="1:77" ht="15.75" customHeight="1">
      <c r="A65" s="115"/>
      <c r="B65" s="346" t="s">
        <v>102</v>
      </c>
      <c r="C65" s="347"/>
      <c r="D65" s="265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66"/>
      <c r="Q65" s="116"/>
      <c r="R65" s="265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67"/>
      <c r="AE65" s="23"/>
      <c r="AF65" s="22">
        <f t="shared" ref="AF65:AL65" si="128">AF63-AF64</f>
        <v>19254</v>
      </c>
      <c r="AG65" s="22">
        <f t="shared" si="128"/>
        <v>14480</v>
      </c>
      <c r="AH65" s="22">
        <f t="shared" si="128"/>
        <v>24960</v>
      </c>
      <c r="AI65" s="22">
        <f t="shared" si="128"/>
        <v>14040</v>
      </c>
      <c r="AJ65" s="22">
        <f t="shared" si="128"/>
        <v>19048</v>
      </c>
      <c r="AK65" s="22">
        <f t="shared" si="128"/>
        <v>19740</v>
      </c>
      <c r="AL65" s="22">
        <f t="shared" si="128"/>
        <v>12900</v>
      </c>
      <c r="AM65" s="22">
        <v>15041</v>
      </c>
      <c r="AN65" s="22">
        <v>10548</v>
      </c>
      <c r="AO65" s="22">
        <v>3940</v>
      </c>
      <c r="AP65" s="22">
        <v>0</v>
      </c>
      <c r="AQ65" s="22">
        <v>0</v>
      </c>
      <c r="AR65" s="117">
        <f t="shared" si="123"/>
        <v>153951</v>
      </c>
      <c r="AS65" s="23"/>
      <c r="AT65" s="22">
        <v>0</v>
      </c>
      <c r="AU65" s="22">
        <v>0</v>
      </c>
      <c r="AV65" s="22">
        <v>0</v>
      </c>
      <c r="AW65" s="22">
        <v>0</v>
      </c>
      <c r="AX65" s="22">
        <v>0</v>
      </c>
      <c r="AY65" s="22">
        <v>0</v>
      </c>
      <c r="AZ65" s="22">
        <v>0</v>
      </c>
      <c r="BA65" s="22">
        <v>1060</v>
      </c>
      <c r="BB65" s="22">
        <v>320</v>
      </c>
      <c r="BC65" s="22">
        <v>0</v>
      </c>
      <c r="BD65" s="22">
        <v>0</v>
      </c>
      <c r="BE65" s="22"/>
      <c r="BF65" s="22">
        <f t="shared" si="125"/>
        <v>1380</v>
      </c>
      <c r="BG65" s="27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>
        <f t="shared" si="127"/>
        <v>0</v>
      </c>
      <c r="BU65" s="28"/>
      <c r="BV65" s="22"/>
      <c r="BW65" s="22"/>
      <c r="BX65" s="22"/>
      <c r="BY65" s="22"/>
    </row>
    <row r="66" spans="1:77" ht="15.75" customHeight="1">
      <c r="A66" s="103" t="s">
        <v>103</v>
      </c>
      <c r="B66" s="337"/>
      <c r="C66" s="330"/>
      <c r="D66" s="331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332"/>
      <c r="Q66" s="105"/>
      <c r="R66" s="333"/>
      <c r="S66" s="333"/>
      <c r="T66" s="333"/>
      <c r="U66" s="333"/>
      <c r="V66" s="333"/>
      <c r="W66" s="333"/>
      <c r="X66" s="333"/>
      <c r="Y66" s="333"/>
      <c r="Z66" s="333"/>
      <c r="AA66" s="333"/>
      <c r="AB66" s="333"/>
      <c r="AC66" s="333"/>
      <c r="AD66" s="334"/>
      <c r="AE66" s="106"/>
      <c r="AF66" s="333">
        <f t="shared" ref="AF66:AQ66" si="129">AF63-AF57</f>
        <v>-15784</v>
      </c>
      <c r="AG66" s="333">
        <f t="shared" si="129"/>
        <v>2450</v>
      </c>
      <c r="AH66" s="333">
        <f t="shared" si="129"/>
        <v>2820</v>
      </c>
      <c r="AI66" s="333">
        <f t="shared" si="129"/>
        <v>338</v>
      </c>
      <c r="AJ66" s="333">
        <f t="shared" si="129"/>
        <v>0</v>
      </c>
      <c r="AK66" s="333">
        <f t="shared" si="129"/>
        <v>7258</v>
      </c>
      <c r="AL66" s="333">
        <f t="shared" si="129"/>
        <v>-18242</v>
      </c>
      <c r="AM66" s="333">
        <f t="shared" si="129"/>
        <v>1974</v>
      </c>
      <c r="AN66" s="333">
        <f t="shared" si="129"/>
        <v>-25708</v>
      </c>
      <c r="AO66" s="333">
        <f t="shared" si="129"/>
        <v>1375</v>
      </c>
      <c r="AP66" s="333">
        <f t="shared" si="129"/>
        <v>13221</v>
      </c>
      <c r="AQ66" s="333">
        <f t="shared" si="129"/>
        <v>-14457</v>
      </c>
      <c r="AR66" s="107">
        <f t="shared" si="123"/>
        <v>-44755</v>
      </c>
      <c r="AS66" s="106"/>
      <c r="AT66" s="333">
        <f t="shared" ref="AT66:BE66" si="130">AT63-AT57</f>
        <v>-12789</v>
      </c>
      <c r="AU66" s="333">
        <f t="shared" si="130"/>
        <v>-4964</v>
      </c>
      <c r="AV66" s="333">
        <f t="shared" si="130"/>
        <v>-16175</v>
      </c>
      <c r="AW66" s="333">
        <f t="shared" si="130"/>
        <v>9888</v>
      </c>
      <c r="AX66" s="333">
        <f t="shared" si="130"/>
        <v>-2600</v>
      </c>
      <c r="AY66" s="333">
        <f t="shared" si="130"/>
        <v>-22930.999998999992</v>
      </c>
      <c r="AZ66" s="333">
        <f t="shared" si="130"/>
        <v>4623</v>
      </c>
      <c r="BA66" s="333">
        <f t="shared" si="130"/>
        <v>-233</v>
      </c>
      <c r="BB66" s="333">
        <f t="shared" si="130"/>
        <v>1815</v>
      </c>
      <c r="BC66" s="333">
        <f t="shared" si="130"/>
        <v>-3684</v>
      </c>
      <c r="BD66" s="333">
        <f t="shared" si="130"/>
        <v>8620</v>
      </c>
      <c r="BE66" s="333">
        <f t="shared" si="130"/>
        <v>-5750</v>
      </c>
      <c r="BF66" s="108">
        <f t="shared" si="125"/>
        <v>-44179.999998999992</v>
      </c>
      <c r="BG66" s="106"/>
      <c r="BH66" s="333">
        <f t="shared" ref="BH66:BQ66" si="131">BH63-BH57</f>
        <v>-1198</v>
      </c>
      <c r="BI66" s="333">
        <f t="shared" si="131"/>
        <v>-7189</v>
      </c>
      <c r="BJ66" s="333">
        <f t="shared" si="131"/>
        <v>11716</v>
      </c>
      <c r="BK66" s="333">
        <f t="shared" si="131"/>
        <v>12466</v>
      </c>
      <c r="BL66" s="333">
        <f t="shared" si="131"/>
        <v>42525</v>
      </c>
      <c r="BM66" s="333">
        <f t="shared" si="131"/>
        <v>-18728</v>
      </c>
      <c r="BN66" s="333">
        <f t="shared" si="131"/>
        <v>19329</v>
      </c>
      <c r="BO66" s="333">
        <f t="shared" si="131"/>
        <v>-9423</v>
      </c>
      <c r="BP66" s="333">
        <f t="shared" si="131"/>
        <v>-13665</v>
      </c>
      <c r="BQ66" s="333">
        <f t="shared" si="131"/>
        <v>2490</v>
      </c>
      <c r="BR66" s="108"/>
      <c r="BS66" s="108"/>
      <c r="BT66" s="108">
        <f t="shared" si="127"/>
        <v>38323</v>
      </c>
      <c r="BU66" s="28"/>
      <c r="BV66" s="333">
        <f t="shared" ref="BV66:BY66" si="132">BV63-BV57</f>
        <v>-127620</v>
      </c>
      <c r="BW66" s="333">
        <f t="shared" si="132"/>
        <v>-136240</v>
      </c>
      <c r="BX66" s="333">
        <f t="shared" si="132"/>
        <v>-154730</v>
      </c>
      <c r="BY66" s="333">
        <f t="shared" si="132"/>
        <v>-154730</v>
      </c>
    </row>
    <row r="67" spans="1:77" ht="14.25" customHeight="1">
      <c r="A67" s="55" t="s">
        <v>104</v>
      </c>
      <c r="B67" s="56"/>
      <c r="C67" s="280"/>
      <c r="D67" s="288" t="e">
        <f t="shared" ref="D67:F67" si="133">#REF!-#REF!</f>
        <v>#REF!</v>
      </c>
      <c r="E67" s="57" t="e">
        <f t="shared" si="133"/>
        <v>#REF!</v>
      </c>
      <c r="F67" s="57" t="e">
        <f t="shared" si="133"/>
        <v>#REF!</v>
      </c>
      <c r="G67" s="57" t="e">
        <f t="shared" ref="G67:I67" si="134">G57-#REF!</f>
        <v>#REF!</v>
      </c>
      <c r="H67" s="57" t="e">
        <f t="shared" si="134"/>
        <v>#REF!</v>
      </c>
      <c r="I67" s="57" t="e">
        <f t="shared" si="134"/>
        <v>#REF!</v>
      </c>
      <c r="J67" s="57" t="e">
        <f t="shared" ref="J67:K67" si="135">#REF!-#REF!</f>
        <v>#REF!</v>
      </c>
      <c r="K67" s="57" t="e">
        <f t="shared" si="135"/>
        <v>#REF!</v>
      </c>
      <c r="L67" s="57">
        <f>L57-L16</f>
        <v>-24911</v>
      </c>
      <c r="M67" s="57">
        <f>M57-M16</f>
        <v>-13674</v>
      </c>
      <c r="N67" s="57">
        <f>N57-N16</f>
        <v>57632</v>
      </c>
      <c r="O67" s="57">
        <f>O57-O16</f>
        <v>74079</v>
      </c>
      <c r="P67" s="289" t="e">
        <f>SUM(D67:O67)</f>
        <v>#REF!</v>
      </c>
      <c r="Q67" s="39"/>
      <c r="R67" s="288">
        <f t="shared" ref="R67:AD67" si="136">R57-R16</f>
        <v>22222.660017050745</v>
      </c>
      <c r="S67" s="58">
        <f t="shared" si="136"/>
        <v>17159.673608830723</v>
      </c>
      <c r="T67" s="58">
        <f t="shared" si="136"/>
        <v>-24753.77192982455</v>
      </c>
      <c r="U67" s="58">
        <f t="shared" si="136"/>
        <v>-17814.899999999998</v>
      </c>
      <c r="V67" s="58">
        <f t="shared" si="136"/>
        <v>1715</v>
      </c>
      <c r="W67" s="290">
        <f t="shared" si="136"/>
        <v>120430.6180497602</v>
      </c>
      <c r="X67" s="290">
        <f t="shared" si="136"/>
        <v>43436.666666667006</v>
      </c>
      <c r="Y67" s="290">
        <f t="shared" si="136"/>
        <v>-29747.083333333314</v>
      </c>
      <c r="Z67" s="290">
        <f t="shared" si="136"/>
        <v>-80887.5</v>
      </c>
      <c r="AA67" s="290">
        <f t="shared" si="136"/>
        <v>10200</v>
      </c>
      <c r="AB67" s="290">
        <f t="shared" si="136"/>
        <v>137500</v>
      </c>
      <c r="AC67" s="290">
        <f t="shared" si="136"/>
        <v>134100</v>
      </c>
      <c r="AD67" s="291">
        <f t="shared" si="136"/>
        <v>333561.36307915067</v>
      </c>
      <c r="AE67" s="59"/>
      <c r="AF67" s="292">
        <f t="shared" ref="AF67:AQ67" si="137">AF57-AF16</f>
        <v>32754</v>
      </c>
      <c r="AG67" s="58">
        <f t="shared" si="137"/>
        <v>-11977</v>
      </c>
      <c r="AH67" s="58">
        <f t="shared" si="137"/>
        <v>76847</v>
      </c>
      <c r="AI67" s="58">
        <f t="shared" si="137"/>
        <v>59682</v>
      </c>
      <c r="AJ67" s="58">
        <f t="shared" si="137"/>
        <v>74226</v>
      </c>
      <c r="AK67" s="58">
        <f t="shared" si="137"/>
        <v>14740</v>
      </c>
      <c r="AL67" s="58">
        <f t="shared" si="137"/>
        <v>38005</v>
      </c>
      <c r="AM67" s="58">
        <f t="shared" si="137"/>
        <v>-71903</v>
      </c>
      <c r="AN67" s="58">
        <f t="shared" si="137"/>
        <v>-90633.333333333343</v>
      </c>
      <c r="AO67" s="58">
        <f t="shared" si="137"/>
        <v>-115900</v>
      </c>
      <c r="AP67" s="58">
        <f t="shared" si="137"/>
        <v>1360</v>
      </c>
      <c r="AQ67" s="58">
        <f t="shared" si="137"/>
        <v>2160</v>
      </c>
      <c r="AR67" s="58">
        <f t="shared" si="123"/>
        <v>9360.666666666657</v>
      </c>
      <c r="AS67" s="59"/>
      <c r="AT67" s="58">
        <f t="shared" ref="AT67:BE67" si="138">AT57-AT16</f>
        <v>-19749.25</v>
      </c>
      <c r="AU67" s="58">
        <f t="shared" si="138"/>
        <v>-43342.103448275855</v>
      </c>
      <c r="AV67" s="58">
        <f t="shared" si="138"/>
        <v>-36893.137931034493</v>
      </c>
      <c r="AW67" s="58">
        <f t="shared" si="138"/>
        <v>-32095.137931034493</v>
      </c>
      <c r="AX67" s="58">
        <f t="shared" si="138"/>
        <v>19900.034482758623</v>
      </c>
      <c r="AY67" s="58">
        <f t="shared" si="138"/>
        <v>19999.222221222211</v>
      </c>
      <c r="AZ67" s="58">
        <f t="shared" si="138"/>
        <v>-14264.777777777781</v>
      </c>
      <c r="BA67" s="58">
        <f t="shared" si="138"/>
        <v>-68922.296296296292</v>
      </c>
      <c r="BB67" s="58">
        <f t="shared" si="138"/>
        <v>-78407.777777777781</v>
      </c>
      <c r="BC67" s="58">
        <f t="shared" si="138"/>
        <v>-95868.290755657828</v>
      </c>
      <c r="BD67" s="58">
        <f t="shared" si="138"/>
        <v>-5124.586881472962</v>
      </c>
      <c r="BE67" s="58">
        <f t="shared" si="138"/>
        <v>-10986.612965093984</v>
      </c>
      <c r="BF67" s="58">
        <f t="shared" si="125"/>
        <v>-365754.71506044065</v>
      </c>
      <c r="BG67" s="59"/>
      <c r="BH67" s="58">
        <f t="shared" ref="BH67:BQ67" si="139">BH57-BH16</f>
        <v>-12993</v>
      </c>
      <c r="BI67" s="58">
        <f t="shared" si="139"/>
        <v>-30242.333333333314</v>
      </c>
      <c r="BJ67" s="58">
        <f t="shared" si="139"/>
        <v>-23206.074074074073</v>
      </c>
      <c r="BK67" s="58">
        <f t="shared" si="139"/>
        <v>-47411.74074074073</v>
      </c>
      <c r="BL67" s="58">
        <f t="shared" si="139"/>
        <v>-23836.851851851854</v>
      </c>
      <c r="BM67" s="58">
        <f t="shared" si="139"/>
        <v>23509.740740740745</v>
      </c>
      <c r="BN67" s="58">
        <f t="shared" si="139"/>
        <v>-33707.555555555562</v>
      </c>
      <c r="BO67" s="58">
        <f t="shared" si="139"/>
        <v>-18896.378111111087</v>
      </c>
      <c r="BP67" s="58">
        <f t="shared" si="139"/>
        <v>-45053.749537037045</v>
      </c>
      <c r="BQ67" s="58">
        <f t="shared" si="139"/>
        <v>-7140</v>
      </c>
      <c r="BR67" s="58"/>
      <c r="BS67" s="58"/>
      <c r="BT67" s="58">
        <f t="shared" si="127"/>
        <v>-218977.94246296291</v>
      </c>
      <c r="BU67" s="60"/>
      <c r="BV67" s="58">
        <f>BV57-BV16</f>
        <v>-27073.845820600778</v>
      </c>
      <c r="BW67" s="58">
        <f>BW57-BW16</f>
        <v>-5984.3999079349451</v>
      </c>
      <c r="BX67" s="58">
        <f>BX57-BX16</f>
        <v>-52823.531716531463</v>
      </c>
      <c r="BY67" s="58">
        <f>BY57-BY16</f>
        <v>37895.419265141638</v>
      </c>
    </row>
  </sheetData>
  <mergeCells count="20"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R1:AD1"/>
    <mergeCell ref="AF1:AR1"/>
    <mergeCell ref="AT1:BF1"/>
    <mergeCell ref="BV1:CG1"/>
    <mergeCell ref="D2:P2"/>
    <mergeCell ref="R2:AD2"/>
    <mergeCell ref="AT2:BF2"/>
    <mergeCell ref="BV2:CG2"/>
    <mergeCell ref="BH1:BS1"/>
    <mergeCell ref="BH2:BS2"/>
  </mergeCells>
  <pageMargins left="0.25" right="0.25" top="0.75" bottom="0.75" header="0" footer="0"/>
  <pageSetup paperSize="9" scale="5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0E7F-A08D-4A91-8D51-9F3E4EB80CD5}">
  <sheetPr>
    <tabColor rgb="FFFF0000"/>
  </sheetPr>
  <dimension ref="A1:CV77"/>
  <sheetViews>
    <sheetView showGridLines="0" zoomScale="80" zoomScaleNormal="80" workbookViewId="0">
      <pane xSplit="3" ySplit="9" topLeftCell="CI10" activePane="bottomRight" state="frozen"/>
      <selection pane="bottomRight" activeCell="CJ7" sqref="CJ7:CO7"/>
      <selection pane="bottomLeft" activeCell="A6" sqref="A6"/>
      <selection pane="topRight" activeCell="D1" sqref="D1"/>
    </sheetView>
  </sheetViews>
  <sheetFormatPr defaultColWidth="14.42578125" defaultRowHeight="15" customHeight="1" outlineLevelRow="1" outlineLevelCol="1"/>
  <cols>
    <col min="1" max="1" width="16.85546875" customWidth="1"/>
    <col min="2" max="2" width="17.85546875" customWidth="1"/>
    <col min="3" max="3" width="13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3.140625" customWidth="1" collapsed="1"/>
    <col min="74" max="85" width="13.140625" customWidth="1"/>
    <col min="86" max="86" width="16.42578125" bestFit="1" customWidth="1"/>
  </cols>
  <sheetData>
    <row r="1" spans="1:100" ht="16.5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t="s">
        <v>284</v>
      </c>
      <c r="CJ1" s="1081" t="s">
        <v>0</v>
      </c>
      <c r="CK1" s="1113"/>
      <c r="CL1" s="1113"/>
      <c r="CM1" s="1113"/>
      <c r="CN1" s="1113"/>
      <c r="CO1" s="1113"/>
      <c r="CP1" s="1113"/>
      <c r="CQ1" s="1113"/>
      <c r="CR1" s="1113"/>
      <c r="CS1" s="1113"/>
      <c r="CT1" s="1113"/>
      <c r="CU1" s="1114"/>
    </row>
    <row r="2" spans="1:100" ht="15.75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J2" s="1077">
        <v>2025</v>
      </c>
      <c r="CK2" s="1115"/>
      <c r="CL2" s="1115"/>
      <c r="CM2" s="1115"/>
      <c r="CN2" s="1115"/>
      <c r="CO2" s="1115"/>
      <c r="CP2" s="1115"/>
      <c r="CQ2" s="1115"/>
      <c r="CR2" s="1115"/>
      <c r="CS2" s="1115"/>
      <c r="CT2" s="1115"/>
      <c r="CU2" s="1116"/>
    </row>
    <row r="3" spans="1:100" ht="15.75">
      <c r="A3" s="4" t="s">
        <v>5</v>
      </c>
      <c r="B3" s="4"/>
      <c r="C3" s="4"/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J3" s="253">
        <v>23</v>
      </c>
      <c r="CK3" s="566">
        <v>20</v>
      </c>
      <c r="CL3" s="566">
        <v>21</v>
      </c>
      <c r="CM3" s="252">
        <v>22</v>
      </c>
      <c r="CN3" s="248">
        <v>22</v>
      </c>
      <c r="CO3" s="248">
        <v>21</v>
      </c>
      <c r="CP3" s="248">
        <v>23</v>
      </c>
      <c r="CQ3" s="248">
        <v>21</v>
      </c>
      <c r="CR3" s="248">
        <v>21</v>
      </c>
      <c r="CS3" s="248">
        <v>23</v>
      </c>
      <c r="CT3" s="248">
        <v>20</v>
      </c>
      <c r="CU3" s="248">
        <v>13</v>
      </c>
    </row>
    <row r="4" spans="1:100" ht="15.75">
      <c r="A4" s="4" t="s">
        <v>7</v>
      </c>
      <c r="B4" s="4"/>
      <c r="C4" s="4"/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J4" s="253">
        <v>3</v>
      </c>
      <c r="CK4" s="566"/>
      <c r="CL4" s="566"/>
      <c r="CM4" s="252"/>
      <c r="CN4" s="248"/>
      <c r="CO4" s="248"/>
      <c r="CP4" s="248"/>
      <c r="CQ4" s="248"/>
      <c r="CR4" s="248"/>
      <c r="CS4" s="248"/>
      <c r="CT4" s="248"/>
      <c r="CU4" s="248"/>
    </row>
    <row r="5" spans="1:100" ht="15.75">
      <c r="A5" s="4" t="s">
        <v>9</v>
      </c>
      <c r="B5" s="4"/>
      <c r="C5" s="4"/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J5" s="644"/>
      <c r="CK5" s="679"/>
      <c r="CL5" s="679"/>
      <c r="CM5" s="679">
        <v>0</v>
      </c>
      <c r="CN5" s="679">
        <v>0</v>
      </c>
      <c r="CO5" s="679">
        <v>0</v>
      </c>
      <c r="CP5" s="679">
        <v>1</v>
      </c>
      <c r="CQ5" s="679">
        <v>2</v>
      </c>
      <c r="CR5" s="679">
        <v>3</v>
      </c>
      <c r="CS5" s="643">
        <v>2</v>
      </c>
      <c r="CT5" s="643">
        <v>3</v>
      </c>
      <c r="CU5" s="643"/>
    </row>
    <row r="6" spans="1:100" ht="15.75">
      <c r="A6" s="4" t="s">
        <v>11</v>
      </c>
      <c r="B6" s="4"/>
      <c r="C6" s="4"/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 t="s">
        <v>12</v>
      </c>
      <c r="CJ6" s="644"/>
      <c r="CK6" s="679"/>
      <c r="CL6" s="679">
        <v>2</v>
      </c>
      <c r="CM6" s="679">
        <v>2</v>
      </c>
      <c r="CN6" s="679">
        <v>1</v>
      </c>
      <c r="CO6" s="679">
        <v>1</v>
      </c>
      <c r="CP6" s="679"/>
      <c r="CQ6" s="679"/>
      <c r="CR6" s="679">
        <v>1</v>
      </c>
      <c r="CS6" s="643">
        <v>1</v>
      </c>
      <c r="CT6" s="643">
        <v>1</v>
      </c>
      <c r="CU6" s="643"/>
    </row>
    <row r="7" spans="1:100">
      <c r="A7" s="3" t="s">
        <v>13</v>
      </c>
      <c r="B7" s="3"/>
      <c r="C7" s="3"/>
      <c r="D7" s="252">
        <v>16</v>
      </c>
      <c r="E7" s="252">
        <v>21</v>
      </c>
      <c r="F7" s="252">
        <v>18</v>
      </c>
      <c r="G7" s="252">
        <v>21</v>
      </c>
      <c r="H7" s="252">
        <v>22</v>
      </c>
      <c r="I7" s="252">
        <v>19</v>
      </c>
      <c r="J7" s="252">
        <v>23</v>
      </c>
      <c r="K7" s="252">
        <v>21</v>
      </c>
      <c r="L7" s="252">
        <v>21</v>
      </c>
      <c r="M7" s="252">
        <v>26</v>
      </c>
      <c r="N7" s="252">
        <v>24</v>
      </c>
      <c r="O7" s="252">
        <v>15</v>
      </c>
      <c r="P7" s="4"/>
      <c r="Q7" s="247"/>
      <c r="R7" s="252">
        <v>22</v>
      </c>
      <c r="S7" s="252">
        <v>20</v>
      </c>
      <c r="T7" s="252">
        <v>14</v>
      </c>
      <c r="U7" s="252">
        <v>1</v>
      </c>
      <c r="V7" s="252">
        <v>12</v>
      </c>
      <c r="W7" s="252">
        <v>22</v>
      </c>
      <c r="X7" s="252">
        <v>23</v>
      </c>
      <c r="Y7" s="252">
        <v>21</v>
      </c>
      <c r="Z7" s="252">
        <v>21</v>
      </c>
      <c r="AA7" s="252">
        <v>21</v>
      </c>
      <c r="AB7" s="252">
        <v>20</v>
      </c>
      <c r="AC7" s="252">
        <v>17</v>
      </c>
      <c r="AD7" s="2"/>
      <c r="AE7" s="253"/>
      <c r="AF7" s="254">
        <v>18</v>
      </c>
      <c r="AG7" s="252">
        <v>20</v>
      </c>
      <c r="AH7" s="248">
        <v>20</v>
      </c>
      <c r="AI7" s="248">
        <v>20</v>
      </c>
      <c r="AJ7" s="252">
        <v>22</v>
      </c>
      <c r="AK7" s="252">
        <v>20</v>
      </c>
      <c r="AL7" s="252">
        <v>22</v>
      </c>
      <c r="AM7" s="252">
        <v>22</v>
      </c>
      <c r="AN7" s="252">
        <v>21</v>
      </c>
      <c r="AO7" s="252">
        <v>20</v>
      </c>
      <c r="AP7" s="252">
        <v>20</v>
      </c>
      <c r="AQ7" s="248">
        <v>12</v>
      </c>
      <c r="AR7" s="2"/>
      <c r="AS7" s="124"/>
      <c r="AT7" s="253">
        <v>19</v>
      </c>
      <c r="AU7" s="248">
        <v>19</v>
      </c>
      <c r="AV7" s="248">
        <v>18</v>
      </c>
      <c r="AW7" s="248">
        <v>19</v>
      </c>
      <c r="AX7" s="248">
        <v>22</v>
      </c>
      <c r="AY7" s="248">
        <v>21</v>
      </c>
      <c r="AZ7" s="248">
        <v>21</v>
      </c>
      <c r="BA7" s="248">
        <v>22</v>
      </c>
      <c r="BB7" s="248">
        <v>22</v>
      </c>
      <c r="BC7" s="248">
        <v>21</v>
      </c>
      <c r="BD7" s="248">
        <v>20</v>
      </c>
      <c r="BE7" s="248">
        <v>10</v>
      </c>
      <c r="BF7" s="2"/>
      <c r="BG7" s="125"/>
      <c r="BH7" s="253">
        <v>20</v>
      </c>
      <c r="BI7" s="248">
        <v>17</v>
      </c>
      <c r="BJ7" s="248">
        <v>23</v>
      </c>
      <c r="BK7" s="248">
        <v>18</v>
      </c>
      <c r="BL7" s="248">
        <v>22</v>
      </c>
      <c r="BM7" s="248">
        <v>23</v>
      </c>
      <c r="BN7" s="248">
        <v>21</v>
      </c>
      <c r="BO7" s="248">
        <v>21</v>
      </c>
      <c r="BP7" s="248">
        <v>20</v>
      </c>
      <c r="BQ7" s="248">
        <v>21</v>
      </c>
      <c r="BR7" s="248">
        <v>20</v>
      </c>
      <c r="BS7" s="248">
        <v>14</v>
      </c>
      <c r="BT7" s="253">
        <v>20</v>
      </c>
      <c r="BU7" s="252"/>
      <c r="BV7" s="253">
        <v>19</v>
      </c>
      <c r="BW7" s="248">
        <v>19</v>
      </c>
      <c r="BX7" s="566">
        <v>21</v>
      </c>
      <c r="BY7" s="566">
        <f>22+2</f>
        <v>24</v>
      </c>
      <c r="BZ7" s="248">
        <f>21+2</f>
        <v>23</v>
      </c>
      <c r="CA7" s="567">
        <f>20+2</f>
        <v>22</v>
      </c>
      <c r="CB7" s="567">
        <f>23+2</f>
        <v>25</v>
      </c>
      <c r="CC7" s="252">
        <f>21+3</f>
        <v>24</v>
      </c>
      <c r="CD7" s="252">
        <f>21+3</f>
        <v>24</v>
      </c>
      <c r="CE7" s="248">
        <f>23+2</f>
        <v>25</v>
      </c>
      <c r="CF7" s="248">
        <f>20+2</f>
        <v>22</v>
      </c>
      <c r="CG7" s="248">
        <f>15</f>
        <v>15</v>
      </c>
      <c r="CH7" s="248"/>
      <c r="CJ7" s="253">
        <f>CJ3+CJ5-CJ6-CJ4</f>
        <v>20</v>
      </c>
      <c r="CK7" s="253">
        <f t="shared" ref="CK7:CO7" si="0">CK3+CK5-CK6-CK4</f>
        <v>20</v>
      </c>
      <c r="CL7" s="253">
        <f t="shared" si="0"/>
        <v>19</v>
      </c>
      <c r="CM7" s="253">
        <f t="shared" si="0"/>
        <v>20</v>
      </c>
      <c r="CN7" s="253">
        <f t="shared" si="0"/>
        <v>21</v>
      </c>
      <c r="CO7" s="253">
        <f t="shared" si="0"/>
        <v>20</v>
      </c>
      <c r="CP7" s="253">
        <f t="shared" ref="CP7:CU7" si="1">CP3+CP5-CP6</f>
        <v>24</v>
      </c>
      <c r="CQ7" s="253">
        <f t="shared" si="1"/>
        <v>23</v>
      </c>
      <c r="CR7" s="253">
        <f t="shared" si="1"/>
        <v>23</v>
      </c>
      <c r="CS7" s="253">
        <f>CS3+CS5-CS6</f>
        <v>24</v>
      </c>
      <c r="CT7" s="253">
        <f>CT3+CT5-CT6</f>
        <v>22</v>
      </c>
      <c r="CU7" s="253">
        <f t="shared" si="1"/>
        <v>13</v>
      </c>
      <c r="CV7" s="248"/>
    </row>
    <row r="8" spans="1:100">
      <c r="A8" s="8"/>
      <c r="B8" s="255"/>
      <c r="C8" s="256"/>
      <c r="D8" s="257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258" t="s">
        <v>26</v>
      </c>
      <c r="Q8" s="10"/>
      <c r="R8" s="257" t="s">
        <v>14</v>
      </c>
      <c r="S8" s="9" t="s">
        <v>15</v>
      </c>
      <c r="T8" s="9" t="s">
        <v>16</v>
      </c>
      <c r="U8" s="9" t="s">
        <v>17</v>
      </c>
      <c r="V8" s="9" t="s">
        <v>18</v>
      </c>
      <c r="W8" s="9" t="s">
        <v>19</v>
      </c>
      <c r="X8" s="9" t="s">
        <v>20</v>
      </c>
      <c r="Y8" s="9" t="s">
        <v>21</v>
      </c>
      <c r="Z8" s="9" t="s">
        <v>22</v>
      </c>
      <c r="AA8" s="9" t="s">
        <v>23</v>
      </c>
      <c r="AB8" s="9" t="s">
        <v>24</v>
      </c>
      <c r="AC8" s="9" t="s">
        <v>25</v>
      </c>
      <c r="AD8" s="258" t="s">
        <v>26</v>
      </c>
      <c r="AE8" s="11"/>
      <c r="AF8" s="257" t="s">
        <v>14</v>
      </c>
      <c r="AG8" s="9" t="s">
        <v>15</v>
      </c>
      <c r="AH8" s="9" t="s">
        <v>16</v>
      </c>
      <c r="AI8" s="9" t="s">
        <v>17</v>
      </c>
      <c r="AJ8" s="9" t="s">
        <v>18</v>
      </c>
      <c r="AK8" s="9" t="s">
        <v>19</v>
      </c>
      <c r="AL8" s="9" t="s">
        <v>20</v>
      </c>
      <c r="AM8" s="9" t="s">
        <v>21</v>
      </c>
      <c r="AN8" s="9" t="s">
        <v>22</v>
      </c>
      <c r="AO8" s="9" t="s">
        <v>23</v>
      </c>
      <c r="AP8" s="9" t="s">
        <v>24</v>
      </c>
      <c r="AQ8" s="9" t="s">
        <v>25</v>
      </c>
      <c r="AR8" s="9" t="s">
        <v>26</v>
      </c>
      <c r="AS8" s="11"/>
      <c r="AT8" s="9" t="s">
        <v>14</v>
      </c>
      <c r="AU8" s="9" t="s">
        <v>15</v>
      </c>
      <c r="AV8" s="9" t="s">
        <v>16</v>
      </c>
      <c r="AW8" s="9" t="s">
        <v>17</v>
      </c>
      <c r="AX8" s="9" t="s">
        <v>18</v>
      </c>
      <c r="AY8" s="9" t="s">
        <v>19</v>
      </c>
      <c r="AZ8" s="9" t="s">
        <v>20</v>
      </c>
      <c r="BA8" s="9" t="s">
        <v>21</v>
      </c>
      <c r="BB8" s="9" t="s">
        <v>22</v>
      </c>
      <c r="BC8" s="9" t="s">
        <v>23</v>
      </c>
      <c r="BD8" s="9" t="s">
        <v>24</v>
      </c>
      <c r="BE8" s="9" t="s">
        <v>25</v>
      </c>
      <c r="BF8" s="9" t="s">
        <v>26</v>
      </c>
      <c r="BG8" s="10"/>
      <c r="BH8" s="9" t="s">
        <v>14</v>
      </c>
      <c r="BI8" s="9" t="s">
        <v>15</v>
      </c>
      <c r="BJ8" s="9" t="s">
        <v>16</v>
      </c>
      <c r="BK8" s="9" t="s">
        <v>17</v>
      </c>
      <c r="BL8" s="9" t="s">
        <v>18</v>
      </c>
      <c r="BM8" s="9" t="s">
        <v>19</v>
      </c>
      <c r="BN8" s="9" t="s">
        <v>20</v>
      </c>
      <c r="BO8" s="9" t="s">
        <v>21</v>
      </c>
      <c r="BP8" s="9" t="s">
        <v>22</v>
      </c>
      <c r="BQ8" s="9" t="s">
        <v>23</v>
      </c>
      <c r="BR8" s="9" t="s">
        <v>24</v>
      </c>
      <c r="BS8" s="9" t="s">
        <v>25</v>
      </c>
      <c r="BT8" s="9" t="s">
        <v>26</v>
      </c>
      <c r="BU8" s="12"/>
      <c r="BV8" s="9" t="s">
        <v>14</v>
      </c>
      <c r="BW8" s="9" t="s">
        <v>15</v>
      </c>
      <c r="BX8" s="9" t="s">
        <v>16</v>
      </c>
      <c r="BY8" s="9" t="s">
        <v>17</v>
      </c>
      <c r="BZ8" s="9" t="s">
        <v>18</v>
      </c>
      <c r="CA8" s="9" t="s">
        <v>19</v>
      </c>
      <c r="CB8" s="9" t="s">
        <v>20</v>
      </c>
      <c r="CC8" s="9" t="s">
        <v>21</v>
      </c>
      <c r="CD8" s="9" t="s">
        <v>22</v>
      </c>
      <c r="CE8" s="9" t="s">
        <v>23</v>
      </c>
      <c r="CF8" s="9" t="s">
        <v>24</v>
      </c>
      <c r="CG8" s="9" t="s">
        <v>25</v>
      </c>
      <c r="CH8" s="9" t="s">
        <v>26</v>
      </c>
      <c r="CJ8" s="9" t="s">
        <v>14</v>
      </c>
      <c r="CK8" s="9" t="s">
        <v>15</v>
      </c>
      <c r="CL8" s="9" t="s">
        <v>16</v>
      </c>
      <c r="CM8" s="9" t="s">
        <v>17</v>
      </c>
      <c r="CN8" s="9" t="s">
        <v>18</v>
      </c>
      <c r="CO8" s="9" t="s">
        <v>19</v>
      </c>
      <c r="CP8" s="681" t="s">
        <v>26</v>
      </c>
      <c r="CQ8" s="9" t="s">
        <v>21</v>
      </c>
      <c r="CR8" s="9" t="s">
        <v>22</v>
      </c>
      <c r="CS8" s="9" t="s">
        <v>23</v>
      </c>
      <c r="CT8" s="9" t="s">
        <v>24</v>
      </c>
      <c r="CU8" s="9" t="s">
        <v>25</v>
      </c>
      <c r="CV8" s="9" t="s">
        <v>26</v>
      </c>
    </row>
    <row r="9" spans="1:100">
      <c r="A9" s="13"/>
      <c r="B9" s="259"/>
      <c r="C9" s="260"/>
      <c r="D9" s="26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62"/>
      <c r="Q9" s="15"/>
      <c r="R9" s="261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263"/>
      <c r="AE9" s="16"/>
      <c r="AF9" s="261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7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7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8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t="s">
        <v>27</v>
      </c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</row>
    <row r="10" spans="1:100">
      <c r="A10" s="13" t="s">
        <v>28</v>
      </c>
      <c r="B10" s="259" t="s">
        <v>263</v>
      </c>
      <c r="C10" s="260"/>
      <c r="D10" s="261">
        <f t="shared" ref="D10:O10" si="2">SUM(D13:D15)</f>
        <v>304786</v>
      </c>
      <c r="E10" s="14">
        <f t="shared" si="2"/>
        <v>311986</v>
      </c>
      <c r="F10" s="14">
        <f t="shared" si="2"/>
        <v>328231</v>
      </c>
      <c r="G10" s="14">
        <f t="shared" si="2"/>
        <v>317873</v>
      </c>
      <c r="H10" s="14">
        <f t="shared" si="2"/>
        <v>347196</v>
      </c>
      <c r="I10" s="14">
        <f t="shared" si="2"/>
        <v>402253</v>
      </c>
      <c r="J10" s="14">
        <f t="shared" si="2"/>
        <v>454488</v>
      </c>
      <c r="K10" s="14">
        <f t="shared" si="2"/>
        <v>447182</v>
      </c>
      <c r="L10" s="14">
        <f t="shared" si="2"/>
        <v>416931</v>
      </c>
      <c r="M10" s="14">
        <f t="shared" si="2"/>
        <v>304402</v>
      </c>
      <c r="N10" s="14">
        <f t="shared" si="2"/>
        <v>0</v>
      </c>
      <c r="O10" s="14">
        <f t="shared" si="2"/>
        <v>188264</v>
      </c>
      <c r="P10" s="262"/>
      <c r="Q10" s="15"/>
      <c r="R10" s="14">
        <f t="shared" ref="R10:AC10" si="3">SUM(R13:R15)</f>
        <v>283359</v>
      </c>
      <c r="S10" s="14">
        <f t="shared" si="3"/>
        <v>342718</v>
      </c>
      <c r="T10" s="14">
        <f t="shared" si="3"/>
        <v>313212</v>
      </c>
      <c r="U10" s="14">
        <f t="shared" si="3"/>
        <v>298093</v>
      </c>
      <c r="V10" s="14">
        <f t="shared" si="3"/>
        <v>206617</v>
      </c>
      <c r="W10" s="14">
        <f t="shared" si="3"/>
        <v>235875</v>
      </c>
      <c r="X10" s="14">
        <f t="shared" si="3"/>
        <v>360135</v>
      </c>
      <c r="Y10" s="14">
        <f t="shared" si="3"/>
        <v>361665</v>
      </c>
      <c r="Z10" s="14">
        <f t="shared" si="3"/>
        <v>353400</v>
      </c>
      <c r="AA10" s="14">
        <f t="shared" si="3"/>
        <v>272097</v>
      </c>
      <c r="AB10" s="14">
        <f t="shared" si="3"/>
        <v>170626</v>
      </c>
      <c r="AC10" s="14">
        <f t="shared" si="3"/>
        <v>197551</v>
      </c>
      <c r="AD10" s="263"/>
      <c r="AE10" s="16"/>
      <c r="AF10" s="14">
        <f t="shared" ref="AF10:AQ10" si="4">SUM(AF13:AF17)</f>
        <v>255339</v>
      </c>
      <c r="AG10" s="14">
        <f t="shared" si="4"/>
        <v>292621</v>
      </c>
      <c r="AH10" s="14">
        <f t="shared" si="4"/>
        <v>397976</v>
      </c>
      <c r="AI10" s="14">
        <f t="shared" si="4"/>
        <v>388165</v>
      </c>
      <c r="AJ10" s="14">
        <f t="shared" si="4"/>
        <v>409301</v>
      </c>
      <c r="AK10" s="14">
        <f t="shared" si="4"/>
        <v>490913</v>
      </c>
      <c r="AL10" s="14">
        <f t="shared" si="4"/>
        <v>563229</v>
      </c>
      <c r="AM10" s="14">
        <f t="shared" si="4"/>
        <v>559169</v>
      </c>
      <c r="AN10" s="14">
        <f t="shared" si="4"/>
        <v>487294</v>
      </c>
      <c r="AO10" s="14">
        <f t="shared" si="4"/>
        <v>407614</v>
      </c>
      <c r="AP10" s="14">
        <f t="shared" si="4"/>
        <v>503756</v>
      </c>
      <c r="AQ10" s="14">
        <f t="shared" si="4"/>
        <v>531679</v>
      </c>
      <c r="AR10" s="14">
        <f t="shared" ref="AR10:AR21" si="5">AQ10</f>
        <v>531679</v>
      </c>
      <c r="AS10" s="17"/>
      <c r="AT10" s="14">
        <f t="shared" ref="AT10:BE10" si="6">SUM(AT13:AT17)</f>
        <v>471378</v>
      </c>
      <c r="AU10" s="14">
        <f t="shared" si="6"/>
        <v>473307</v>
      </c>
      <c r="AV10" s="14">
        <f t="shared" si="6"/>
        <v>412518</v>
      </c>
      <c r="AW10" s="14">
        <f t="shared" si="6"/>
        <v>398039</v>
      </c>
      <c r="AX10" s="14">
        <f t="shared" si="6"/>
        <v>417827</v>
      </c>
      <c r="AY10" s="14">
        <f t="shared" si="6"/>
        <v>507968</v>
      </c>
      <c r="AZ10" s="14">
        <f t="shared" si="6"/>
        <v>477530</v>
      </c>
      <c r="BA10" s="14">
        <f t="shared" si="6"/>
        <v>520708</v>
      </c>
      <c r="BB10" s="14">
        <f t="shared" si="6"/>
        <v>505851</v>
      </c>
      <c r="BC10" s="14">
        <f t="shared" si="6"/>
        <v>454245</v>
      </c>
      <c r="BD10" s="14">
        <f t="shared" si="6"/>
        <v>405700</v>
      </c>
      <c r="BE10" s="14">
        <f t="shared" si="6"/>
        <v>356505</v>
      </c>
      <c r="BF10" s="14">
        <f t="shared" ref="BF10:BF18" si="7">BE10</f>
        <v>356505</v>
      </c>
      <c r="BG10" s="17"/>
      <c r="BH10" s="14">
        <f t="shared" ref="BH10:BQ10" si="8">SUM(BH13:BH17)</f>
        <v>357143</v>
      </c>
      <c r="BI10" s="14">
        <f t="shared" si="8"/>
        <v>355011</v>
      </c>
      <c r="BJ10" s="14">
        <f t="shared" si="8"/>
        <v>344281</v>
      </c>
      <c r="BK10" s="14">
        <f t="shared" si="8"/>
        <v>389628</v>
      </c>
      <c r="BL10" s="14">
        <f t="shared" si="8"/>
        <v>324889</v>
      </c>
      <c r="BM10" s="14">
        <f t="shared" si="8"/>
        <v>352666</v>
      </c>
      <c r="BN10" s="14">
        <f t="shared" si="8"/>
        <v>418721</v>
      </c>
      <c r="BO10" s="14">
        <f t="shared" si="8"/>
        <v>356602</v>
      </c>
      <c r="BP10" s="14">
        <f t="shared" si="8"/>
        <v>326706</v>
      </c>
      <c r="BQ10" s="14">
        <f t="shared" si="8"/>
        <v>304987</v>
      </c>
      <c r="BR10" s="14">
        <f>SUM(BR13:BR17)</f>
        <v>228035</v>
      </c>
      <c r="BS10" s="14">
        <f>BS13+BS14+BS17</f>
        <v>201165</v>
      </c>
      <c r="BT10" s="14">
        <f>BS10</f>
        <v>201165</v>
      </c>
      <c r="BU10" s="18"/>
      <c r="BV10" s="14">
        <f>BV13+BV14+BV17</f>
        <v>195178</v>
      </c>
      <c r="BW10" s="14">
        <f>BV10+BW66-BW23</f>
        <v>172211.16954819704</v>
      </c>
      <c r="BX10" s="14">
        <f>BX13+BX14+BX17</f>
        <v>187490</v>
      </c>
      <c r="BY10" s="14">
        <f>BY13+BY14+BY17</f>
        <v>212823</v>
      </c>
      <c r="BZ10" s="14">
        <f>BZ13+BZ14+BZ17</f>
        <v>237955</v>
      </c>
      <c r="CA10" s="14">
        <f>BZ10-CA23+CA66</f>
        <v>254912.87089903158</v>
      </c>
      <c r="CB10" s="14">
        <f>CA10-CB23+CB66</f>
        <v>257926.65645141559</v>
      </c>
      <c r="CC10" s="14">
        <f>CB10-CC23+CC66</f>
        <v>229425.56700256452</v>
      </c>
      <c r="CD10" s="14">
        <f>CC10-CD23+CD66</f>
        <v>189392.52686697111</v>
      </c>
      <c r="CE10" s="14">
        <f>CD10-CE23+CE66</f>
        <v>153470.22300485219</v>
      </c>
      <c r="CF10" s="14">
        <f>CE10-CF23+CF66</f>
        <v>140754.38076855033</v>
      </c>
      <c r="CG10" s="14">
        <f t="shared" ref="CG10" si="9">CF10+CG66-CG23</f>
        <v>173270.56407683995</v>
      </c>
      <c r="CH10" s="14">
        <f>CG10</f>
        <v>173270.56407683995</v>
      </c>
      <c r="CJ10" s="14">
        <f>CH10+CJ66-CJ23</f>
        <v>172996.46407683994</v>
      </c>
      <c r="CK10" s="14">
        <f>CJ10+CK66-CK23</f>
        <v>184426.71407683997</v>
      </c>
      <c r="CL10" s="14">
        <f>CK10+CL66-CL23</f>
        <v>170245.31407683998</v>
      </c>
      <c r="CM10" s="14">
        <f>CL10+CM66-CM23</f>
        <v>187716.21407683994</v>
      </c>
      <c r="CN10" s="14">
        <f>CM10+CN66-CN23</f>
        <v>218571.51407683996</v>
      </c>
      <c r="CO10" s="14">
        <f t="shared" ref="CO10:CU10" si="10">CN10+CO66-CO23</f>
        <v>276410.71407683997</v>
      </c>
      <c r="CP10" s="14">
        <f t="shared" si="10"/>
        <v>1067377.5140768399</v>
      </c>
      <c r="CQ10" s="14">
        <f t="shared" si="10"/>
        <v>1067483.6640768398</v>
      </c>
      <c r="CR10" s="14">
        <f t="shared" si="10"/>
        <v>1024646.9140768398</v>
      </c>
      <c r="CS10" s="14">
        <f t="shared" si="10"/>
        <v>989928.49502161494</v>
      </c>
      <c r="CT10" s="14">
        <f t="shared" si="10"/>
        <v>986256.86067349801</v>
      </c>
      <c r="CU10" s="14">
        <f t="shared" si="10"/>
        <v>998398.85314720205</v>
      </c>
      <c r="CV10" s="14">
        <v>116080.10690622788</v>
      </c>
    </row>
    <row r="11" spans="1:100">
      <c r="A11" s="13"/>
      <c r="B11" s="259" t="s">
        <v>30</v>
      </c>
      <c r="C11" s="260"/>
      <c r="D11" s="261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262"/>
      <c r="Q11" s="15"/>
      <c r="R11" s="261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263"/>
      <c r="AE11" s="16"/>
      <c r="AF11" s="14"/>
      <c r="AG11" s="14"/>
      <c r="AH11" s="14"/>
      <c r="AI11" s="14"/>
      <c r="AJ11" s="645"/>
      <c r="AK11" s="14"/>
      <c r="AL11" s="14"/>
      <c r="AM11" s="14"/>
      <c r="AN11" s="14"/>
      <c r="AO11" s="14"/>
      <c r="AP11" s="14"/>
      <c r="AQ11" s="14"/>
      <c r="AR11" s="14"/>
      <c r="AS11" s="17"/>
      <c r="AT11" s="14"/>
      <c r="AU11" s="14"/>
      <c r="AV11" s="14"/>
      <c r="AW11" s="14"/>
      <c r="AX11" s="14"/>
      <c r="AY11" s="14"/>
      <c r="AZ11" s="14"/>
      <c r="BA11" s="14"/>
      <c r="BB11" s="646"/>
      <c r="BC11" s="14"/>
      <c r="BD11" s="14"/>
      <c r="BE11" s="14"/>
      <c r="BF11" s="14"/>
      <c r="BG11" s="17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8"/>
      <c r="BV11" s="14">
        <v>204006</v>
      </c>
      <c r="BW11" s="14">
        <v>241182</v>
      </c>
      <c r="BX11" s="14">
        <v>245950</v>
      </c>
      <c r="BY11" s="14">
        <v>281974</v>
      </c>
      <c r="BZ11" s="14">
        <v>202865</v>
      </c>
      <c r="CA11" s="14">
        <v>240895</v>
      </c>
      <c r="CB11" s="14">
        <v>273565</v>
      </c>
      <c r="CC11" s="14">
        <v>288981</v>
      </c>
      <c r="CD11" s="14">
        <v>273990</v>
      </c>
      <c r="CE11" s="14">
        <f>CD11+CE$66-CE$23*(0.95)</f>
        <v>248863.81133098702</v>
      </c>
      <c r="CF11" s="14">
        <f t="shared" ref="CF11:CG11" si="11">CE11+CF$66-CF$23*(0.95)</f>
        <v>244703.76120650026</v>
      </c>
      <c r="CG11" s="14">
        <f t="shared" si="11"/>
        <v>281594.13534937537</v>
      </c>
      <c r="CH11" s="14">
        <f>CG11</f>
        <v>281594.13534937537</v>
      </c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</row>
    <row r="12" spans="1:100">
      <c r="A12" s="13"/>
      <c r="B12" s="259" t="s">
        <v>31</v>
      </c>
      <c r="C12" s="260"/>
      <c r="D12" s="261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262"/>
      <c r="Q12" s="15"/>
      <c r="R12" s="261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263"/>
      <c r="AE12" s="16"/>
      <c r="AF12" s="14"/>
      <c r="AG12" s="14"/>
      <c r="AH12" s="14"/>
      <c r="AI12" s="14"/>
      <c r="AJ12" s="645"/>
      <c r="AK12" s="14"/>
      <c r="AL12" s="14"/>
      <c r="AM12" s="14"/>
      <c r="AN12" s="14"/>
      <c r="AO12" s="14"/>
      <c r="AP12" s="14"/>
      <c r="AQ12" s="14"/>
      <c r="AR12" s="14"/>
      <c r="AS12" s="17"/>
      <c r="AT12" s="14"/>
      <c r="AU12" s="14"/>
      <c r="AV12" s="14"/>
      <c r="AW12" s="14"/>
      <c r="AX12" s="14"/>
      <c r="AY12" s="14"/>
      <c r="AZ12" s="14"/>
      <c r="BA12" s="14"/>
      <c r="BB12" s="646"/>
      <c r="BC12" s="14"/>
      <c r="BD12" s="14"/>
      <c r="BE12" s="14"/>
      <c r="BF12" s="14"/>
      <c r="BG12" s="17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8"/>
      <c r="BV12" s="14">
        <v>80956</v>
      </c>
      <c r="BW12" s="14">
        <v>110544</v>
      </c>
      <c r="BX12" s="14">
        <v>134506</v>
      </c>
      <c r="BY12" s="14">
        <v>127959</v>
      </c>
      <c r="BZ12" s="14">
        <v>66136</v>
      </c>
      <c r="CA12" s="14">
        <v>72582</v>
      </c>
      <c r="CB12" s="14">
        <v>94286</v>
      </c>
      <c r="CC12" s="14">
        <v>133081</v>
      </c>
      <c r="CD12" s="14">
        <v>148174</v>
      </c>
      <c r="CE12" s="14"/>
      <c r="CF12" s="14"/>
      <c r="CG12" s="14"/>
      <c r="CH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</row>
    <row r="13" spans="1:100">
      <c r="A13" s="19">
        <v>1</v>
      </c>
      <c r="B13" s="158" t="s">
        <v>34</v>
      </c>
      <c r="C13" s="264"/>
      <c r="D13" s="265">
        <v>197000</v>
      </c>
      <c r="E13" s="20">
        <v>223027</v>
      </c>
      <c r="F13" s="20">
        <v>230513</v>
      </c>
      <c r="G13" s="20">
        <v>231174</v>
      </c>
      <c r="H13" s="20">
        <v>255028</v>
      </c>
      <c r="I13" s="20">
        <f>316386+3241</f>
        <v>319627</v>
      </c>
      <c r="J13" s="20">
        <v>377712</v>
      </c>
      <c r="K13" s="20">
        <v>382411</v>
      </c>
      <c r="L13" s="20">
        <v>394107</v>
      </c>
      <c r="M13" s="20">
        <v>267954</v>
      </c>
      <c r="N13" s="20"/>
      <c r="O13" s="20">
        <v>143875</v>
      </c>
      <c r="P13" s="266"/>
      <c r="Q13" s="21"/>
      <c r="R13" s="265">
        <v>208084</v>
      </c>
      <c r="S13" s="22">
        <v>268431</v>
      </c>
      <c r="T13" s="22">
        <v>250616</v>
      </c>
      <c r="U13" s="22">
        <v>237088</v>
      </c>
      <c r="V13" s="22">
        <v>147777</v>
      </c>
      <c r="W13" s="22">
        <v>215818</v>
      </c>
      <c r="X13" s="22">
        <v>273510</v>
      </c>
      <c r="Y13" s="22">
        <v>299059</v>
      </c>
      <c r="Z13" s="22">
        <v>304980</v>
      </c>
      <c r="AA13" s="22">
        <v>231197</v>
      </c>
      <c r="AB13" s="22">
        <v>143086</v>
      </c>
      <c r="AC13" s="22">
        <v>172491</v>
      </c>
      <c r="AD13" s="267"/>
      <c r="AE13" s="23"/>
      <c r="AF13" s="22">
        <v>198695</v>
      </c>
      <c r="AG13" s="22">
        <v>234210</v>
      </c>
      <c r="AH13" s="22">
        <v>327560</v>
      </c>
      <c r="AI13" s="22">
        <v>332523</v>
      </c>
      <c r="AJ13" s="24">
        <v>356667</v>
      </c>
      <c r="AK13" s="22">
        <v>384165</v>
      </c>
      <c r="AL13" s="22">
        <v>317268</v>
      </c>
      <c r="AM13" s="22">
        <v>370708</v>
      </c>
      <c r="AN13" s="22">
        <v>354503</v>
      </c>
      <c r="AO13" s="22">
        <v>314605</v>
      </c>
      <c r="AP13" s="25">
        <v>90490</v>
      </c>
      <c r="AQ13" s="22">
        <v>58348</v>
      </c>
      <c r="AR13" s="22">
        <f t="shared" si="5"/>
        <v>58348</v>
      </c>
      <c r="AS13" s="23"/>
      <c r="AT13" s="22">
        <v>158701</v>
      </c>
      <c r="AU13" s="22">
        <v>115369</v>
      </c>
      <c r="AV13" s="22">
        <v>142379</v>
      </c>
      <c r="AW13" s="22">
        <v>118765</v>
      </c>
      <c r="AX13" s="22">
        <v>113246</v>
      </c>
      <c r="AY13" s="22">
        <v>106776</v>
      </c>
      <c r="AZ13" s="22">
        <v>175234</v>
      </c>
      <c r="BA13" s="22">
        <v>151553</v>
      </c>
      <c r="BB13" s="26">
        <v>167082</v>
      </c>
      <c r="BC13" s="22">
        <v>150959</v>
      </c>
      <c r="BD13" s="22">
        <v>119787</v>
      </c>
      <c r="BE13" s="22">
        <v>65426</v>
      </c>
      <c r="BF13" s="22">
        <f t="shared" si="7"/>
        <v>65426</v>
      </c>
      <c r="BG13" s="27"/>
      <c r="BH13" s="22">
        <v>166918</v>
      </c>
      <c r="BI13" s="22">
        <v>167160</v>
      </c>
      <c r="BJ13" s="22">
        <v>204571</v>
      </c>
      <c r="BK13" s="22">
        <v>153197</v>
      </c>
      <c r="BL13" s="22">
        <v>196798</v>
      </c>
      <c r="BM13" s="22">
        <v>145596</v>
      </c>
      <c r="BN13" s="22">
        <v>166021</v>
      </c>
      <c r="BO13" s="22">
        <v>211305</v>
      </c>
      <c r="BP13" s="22">
        <v>201071</v>
      </c>
      <c r="BQ13" s="22">
        <v>177743</v>
      </c>
      <c r="BR13" s="22">
        <v>144020</v>
      </c>
      <c r="BS13" s="22">
        <v>154347</v>
      </c>
      <c r="BT13" s="22">
        <f>BS13</f>
        <v>154347</v>
      </c>
      <c r="BU13" s="28"/>
      <c r="BV13" s="22">
        <v>151471</v>
      </c>
      <c r="BW13" s="22">
        <v>155653</v>
      </c>
      <c r="BX13" s="22">
        <v>151611</v>
      </c>
      <c r="BY13" s="22">
        <v>177044</v>
      </c>
      <c r="BZ13" s="22">
        <v>170481</v>
      </c>
      <c r="CA13" s="22">
        <v>221665</v>
      </c>
      <c r="CB13" s="22">
        <v>218105</v>
      </c>
      <c r="CC13" s="22">
        <v>188153</v>
      </c>
      <c r="CD13" s="22">
        <v>147751</v>
      </c>
      <c r="CE13" s="22">
        <f>CD13+CE$66-CE$23*(0.95)</f>
        <v>122624.81133098702</v>
      </c>
      <c r="CF13" s="22">
        <f>CE13+CF66-CF23*(0.95)</f>
        <v>118464.76120650026</v>
      </c>
      <c r="CG13" s="22">
        <f>CF13+CG66-CG23*(0.95)</f>
        <v>155355.13534937543</v>
      </c>
      <c r="CH13" s="22">
        <f t="shared" ref="CH13:CH21" si="12">CG13</f>
        <v>155355.13534937543</v>
      </c>
      <c r="CJ13" s="22">
        <f>CH13+CJ66-CJ23</f>
        <v>155081.03534937542</v>
      </c>
      <c r="CK13" s="22">
        <f>CJ13+CK66-CK23</f>
        <v>166511.28534937545</v>
      </c>
      <c r="CL13" s="22">
        <f t="shared" ref="CL13:CU13" si="13">CK13+CL66-CL23</f>
        <v>152329.88534937546</v>
      </c>
      <c r="CM13" s="22">
        <f t="shared" si="13"/>
        <v>169800.78534937542</v>
      </c>
      <c r="CN13" s="22">
        <f t="shared" si="13"/>
        <v>200656.08534937544</v>
      </c>
      <c r="CO13" s="22">
        <f t="shared" si="13"/>
        <v>258495.28534937545</v>
      </c>
      <c r="CP13" s="22">
        <f t="shared" si="13"/>
        <v>1049462.0853493756</v>
      </c>
      <c r="CQ13" s="22">
        <f t="shared" si="13"/>
        <v>1049568.2353493755</v>
      </c>
      <c r="CR13" s="22">
        <f t="shared" si="13"/>
        <v>1006731.4853493755</v>
      </c>
      <c r="CS13" s="22">
        <f t="shared" si="13"/>
        <v>972013.06629415066</v>
      </c>
      <c r="CT13" s="22">
        <f t="shared" si="13"/>
        <v>968341.43194603373</v>
      </c>
      <c r="CU13" s="22">
        <f t="shared" si="13"/>
        <v>980483.42441973777</v>
      </c>
      <c r="CV13" s="22">
        <v>0</v>
      </c>
    </row>
    <row r="14" spans="1:100">
      <c r="A14" s="19">
        <v>2</v>
      </c>
      <c r="B14" s="158" t="s">
        <v>35</v>
      </c>
      <c r="C14" s="264"/>
      <c r="D14" s="265">
        <v>73670</v>
      </c>
      <c r="E14" s="20">
        <v>59682</v>
      </c>
      <c r="F14" s="20">
        <v>54710</v>
      </c>
      <c r="G14" s="20">
        <v>56175</v>
      </c>
      <c r="H14" s="20">
        <v>58933</v>
      </c>
      <c r="I14" s="20">
        <v>42784</v>
      </c>
      <c r="J14" s="20">
        <v>35755</v>
      </c>
      <c r="K14" s="20">
        <v>33547</v>
      </c>
      <c r="L14" s="20">
        <v>22824</v>
      </c>
      <c r="M14" s="20">
        <v>26162</v>
      </c>
      <c r="N14" s="20"/>
      <c r="O14" s="20">
        <v>44389</v>
      </c>
      <c r="P14" s="266"/>
      <c r="Q14" s="21"/>
      <c r="R14" s="265">
        <v>39759</v>
      </c>
      <c r="S14" s="22">
        <v>38325</v>
      </c>
      <c r="T14" s="22">
        <v>26634</v>
      </c>
      <c r="U14" s="22">
        <f>14430+2754+7859</f>
        <v>25043</v>
      </c>
      <c r="V14" s="22">
        <v>23840</v>
      </c>
      <c r="W14" s="22">
        <v>20057</v>
      </c>
      <c r="X14" s="22">
        <v>80502</v>
      </c>
      <c r="Y14" s="22">
        <v>56483</v>
      </c>
      <c r="Z14" s="22">
        <v>44233</v>
      </c>
      <c r="AA14" s="22">
        <v>38155</v>
      </c>
      <c r="AB14" s="22">
        <v>27540</v>
      </c>
      <c r="AC14" s="22">
        <v>25060</v>
      </c>
      <c r="AD14" s="267"/>
      <c r="AE14" s="23"/>
      <c r="AF14" s="22">
        <v>21326</v>
      </c>
      <c r="AG14" s="22">
        <v>17804</v>
      </c>
      <c r="AH14" s="22">
        <v>27157</v>
      </c>
      <c r="AI14" s="22">
        <v>19677</v>
      </c>
      <c r="AJ14" s="22">
        <v>18817</v>
      </c>
      <c r="AK14" s="22">
        <v>25034</v>
      </c>
      <c r="AL14" s="22">
        <v>28090</v>
      </c>
      <c r="AM14" s="22">
        <v>25660</v>
      </c>
      <c r="AN14" s="22">
        <v>33752</v>
      </c>
      <c r="AO14" s="22">
        <v>24699</v>
      </c>
      <c r="AP14" s="25">
        <v>19340</v>
      </c>
      <c r="AQ14" s="22">
        <v>29842</v>
      </c>
      <c r="AR14" s="22">
        <f t="shared" si="5"/>
        <v>29842</v>
      </c>
      <c r="AS14" s="23"/>
      <c r="AT14" s="22">
        <v>46493</v>
      </c>
      <c r="AU14" s="22">
        <v>37125</v>
      </c>
      <c r="AV14" s="22">
        <v>38574</v>
      </c>
      <c r="AW14" s="22">
        <v>43626</v>
      </c>
      <c r="AX14" s="22">
        <v>39641</v>
      </c>
      <c r="AY14" s="22">
        <v>55553</v>
      </c>
      <c r="AZ14" s="22">
        <v>48023</v>
      </c>
      <c r="BA14" s="22">
        <v>55043</v>
      </c>
      <c r="BB14" s="26">
        <v>50383</v>
      </c>
      <c r="BC14" s="22">
        <v>54355</v>
      </c>
      <c r="BD14" s="22">
        <v>82473</v>
      </c>
      <c r="BE14" s="22">
        <v>65398</v>
      </c>
      <c r="BF14" s="22">
        <f t="shared" si="7"/>
        <v>65398</v>
      </c>
      <c r="BG14" s="27"/>
      <c r="BH14" s="22">
        <v>68747</v>
      </c>
      <c r="BI14" s="22">
        <v>62843</v>
      </c>
      <c r="BJ14" s="22">
        <v>62154</v>
      </c>
      <c r="BK14" s="22">
        <v>49337</v>
      </c>
      <c r="BL14" s="22">
        <v>27730</v>
      </c>
      <c r="BM14" s="22">
        <v>42459</v>
      </c>
      <c r="BN14" s="22">
        <v>44049</v>
      </c>
      <c r="BO14" s="22">
        <v>29196</v>
      </c>
      <c r="BP14" s="22">
        <v>36882</v>
      </c>
      <c r="BQ14" s="22">
        <v>35965</v>
      </c>
      <c r="BR14" s="22">
        <v>31343</v>
      </c>
      <c r="BS14" s="22">
        <v>23087</v>
      </c>
      <c r="BT14" s="22">
        <f t="shared" ref="BT14:BT21" si="14">BS14</f>
        <v>23087</v>
      </c>
      <c r="BU14" s="28"/>
      <c r="BV14" s="22">
        <v>15202</v>
      </c>
      <c r="BW14" s="22">
        <v>12471</v>
      </c>
      <c r="BX14" s="22">
        <v>11483</v>
      </c>
      <c r="BY14" s="22">
        <v>14071</v>
      </c>
      <c r="BZ14" s="22">
        <v>49617</v>
      </c>
      <c r="CA14" s="22">
        <v>36385</v>
      </c>
      <c r="CB14" s="22">
        <v>25473</v>
      </c>
      <c r="CC14" s="22">
        <v>16933</v>
      </c>
      <c r="CD14" s="22">
        <v>12684</v>
      </c>
      <c r="CE14" s="22"/>
      <c r="CF14" s="22"/>
      <c r="CG14" s="22"/>
      <c r="CH14" s="22">
        <f t="shared" si="12"/>
        <v>0</v>
      </c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>
        <v>0</v>
      </c>
    </row>
    <row r="15" spans="1:100">
      <c r="A15" s="19">
        <v>3</v>
      </c>
      <c r="B15" s="158" t="s">
        <v>266</v>
      </c>
      <c r="C15" s="264"/>
      <c r="D15" s="268">
        <v>34116</v>
      </c>
      <c r="E15" s="269">
        <v>29277</v>
      </c>
      <c r="F15" s="269">
        <v>43008</v>
      </c>
      <c r="G15" s="269">
        <v>30524</v>
      </c>
      <c r="H15" s="269">
        <v>33235</v>
      </c>
      <c r="I15" s="269">
        <v>39842</v>
      </c>
      <c r="J15" s="269">
        <v>41021</v>
      </c>
      <c r="K15" s="269">
        <v>31224</v>
      </c>
      <c r="L15" s="269"/>
      <c r="M15" s="269">
        <v>10286</v>
      </c>
      <c r="N15" s="269"/>
      <c r="O15" s="269"/>
      <c r="P15" s="266"/>
      <c r="Q15" s="21"/>
      <c r="R15" s="268">
        <v>35516</v>
      </c>
      <c r="S15" s="270">
        <v>35962</v>
      </c>
      <c r="T15" s="270">
        <v>35962</v>
      </c>
      <c r="U15" s="270">
        <v>35962</v>
      </c>
      <c r="V15" s="270">
        <v>35000</v>
      </c>
      <c r="W15" s="270"/>
      <c r="X15" s="270">
        <v>6123</v>
      </c>
      <c r="Y15" s="270">
        <v>6123</v>
      </c>
      <c r="Z15" s="270">
        <v>4187</v>
      </c>
      <c r="AA15" s="270">
        <v>2745</v>
      </c>
      <c r="AB15" s="270"/>
      <c r="AC15" s="270"/>
      <c r="AD15" s="267"/>
      <c r="AE15" s="23"/>
      <c r="AF15" s="270">
        <v>8366</v>
      </c>
      <c r="AG15" s="270">
        <v>11534</v>
      </c>
      <c r="AH15" s="270">
        <v>11507</v>
      </c>
      <c r="AI15" s="270">
        <v>9148</v>
      </c>
      <c r="AJ15" s="22">
        <v>8524</v>
      </c>
      <c r="AK15" s="270">
        <v>25290</v>
      </c>
      <c r="AL15" s="270">
        <v>91080</v>
      </c>
      <c r="AM15" s="270">
        <v>66830</v>
      </c>
      <c r="AN15" s="270">
        <v>36866</v>
      </c>
      <c r="AO15" s="270">
        <v>16173</v>
      </c>
      <c r="AP15" s="271">
        <v>178274</v>
      </c>
      <c r="AQ15" s="270">
        <v>210665</v>
      </c>
      <c r="AR15" s="22">
        <f t="shared" si="5"/>
        <v>210665</v>
      </c>
      <c r="AS15" s="23"/>
      <c r="AT15" s="270">
        <v>121075</v>
      </c>
      <c r="AU15" s="270">
        <v>149376</v>
      </c>
      <c r="AV15" s="270">
        <v>104538</v>
      </c>
      <c r="AW15" s="270">
        <v>105262</v>
      </c>
      <c r="AX15" s="270">
        <v>121073</v>
      </c>
      <c r="AY15" s="270">
        <v>163931</v>
      </c>
      <c r="AZ15" s="270">
        <v>109964</v>
      </c>
      <c r="BA15" s="270">
        <v>148266</v>
      </c>
      <c r="BB15" s="26">
        <v>130697</v>
      </c>
      <c r="BC15" s="270">
        <v>113779</v>
      </c>
      <c r="BD15" s="270">
        <v>91119</v>
      </c>
      <c r="BE15" s="270">
        <v>103286</v>
      </c>
      <c r="BF15" s="22">
        <f t="shared" si="7"/>
        <v>103286</v>
      </c>
      <c r="BG15" s="27"/>
      <c r="BH15" s="270">
        <v>49631</v>
      </c>
      <c r="BI15" s="270">
        <v>52953</v>
      </c>
      <c r="BJ15" s="270">
        <v>28440</v>
      </c>
      <c r="BK15" s="270">
        <v>83601</v>
      </c>
      <c r="BL15" s="22">
        <v>25812</v>
      </c>
      <c r="BM15" s="22">
        <v>59545</v>
      </c>
      <c r="BN15" s="22">
        <v>83435</v>
      </c>
      <c r="BO15" s="22">
        <v>34041</v>
      </c>
      <c r="BP15" s="22">
        <v>22399</v>
      </c>
      <c r="BQ15" s="22">
        <v>24887</v>
      </c>
      <c r="BR15" s="22">
        <v>12183</v>
      </c>
      <c r="BS15" s="22">
        <v>12183</v>
      </c>
      <c r="BT15" s="22">
        <f t="shared" si="14"/>
        <v>12183</v>
      </c>
      <c r="BU15" s="28"/>
      <c r="BV15" s="270">
        <v>5216</v>
      </c>
      <c r="BW15" s="270"/>
      <c r="BX15" s="270">
        <v>65273</v>
      </c>
      <c r="BY15" s="270">
        <v>70182</v>
      </c>
      <c r="BZ15" s="22">
        <v>57659</v>
      </c>
      <c r="CA15" s="22">
        <v>71669</v>
      </c>
      <c r="CB15" s="22">
        <v>73078</v>
      </c>
      <c r="CC15" s="22">
        <v>85302</v>
      </c>
      <c r="CD15" s="22">
        <v>25343</v>
      </c>
      <c r="CE15" s="22"/>
      <c r="CF15" s="22"/>
      <c r="CG15" s="22"/>
      <c r="CH15" s="22">
        <f t="shared" si="12"/>
        <v>0</v>
      </c>
      <c r="CJ15" s="270"/>
      <c r="CK15" s="270"/>
      <c r="CL15" s="270"/>
      <c r="CM15" s="270"/>
      <c r="CN15" s="22"/>
      <c r="CO15" s="22"/>
      <c r="CP15" s="22"/>
      <c r="CQ15" s="22"/>
      <c r="CR15" s="22"/>
      <c r="CS15" s="22"/>
      <c r="CT15" s="22"/>
      <c r="CU15" s="22"/>
      <c r="CV15" s="22">
        <v>0</v>
      </c>
    </row>
    <row r="16" spans="1:100">
      <c r="A16" s="19">
        <v>4</v>
      </c>
      <c r="B16" s="158" t="s">
        <v>285</v>
      </c>
      <c r="C16" s="264"/>
      <c r="D16" s="268">
        <v>34116</v>
      </c>
      <c r="E16" s="269">
        <v>29277</v>
      </c>
      <c r="F16" s="269">
        <v>43008</v>
      </c>
      <c r="G16" s="269">
        <v>30524</v>
      </c>
      <c r="H16" s="269">
        <v>33235</v>
      </c>
      <c r="I16" s="269">
        <v>39842</v>
      </c>
      <c r="J16" s="269">
        <v>41021</v>
      </c>
      <c r="K16" s="269">
        <v>31224</v>
      </c>
      <c r="L16" s="269"/>
      <c r="M16" s="269">
        <v>10286</v>
      </c>
      <c r="N16" s="269"/>
      <c r="O16" s="269"/>
      <c r="P16" s="266"/>
      <c r="Q16" s="21"/>
      <c r="R16" s="268">
        <v>35516</v>
      </c>
      <c r="S16" s="270">
        <v>35962</v>
      </c>
      <c r="T16" s="270">
        <v>35962</v>
      </c>
      <c r="U16" s="270">
        <v>35962</v>
      </c>
      <c r="V16" s="270">
        <v>35000</v>
      </c>
      <c r="W16" s="270"/>
      <c r="X16" s="270">
        <v>6123</v>
      </c>
      <c r="Y16" s="270">
        <v>6123</v>
      </c>
      <c r="Z16" s="270">
        <v>4187</v>
      </c>
      <c r="AA16" s="270">
        <v>2745</v>
      </c>
      <c r="AB16" s="270"/>
      <c r="AC16" s="270"/>
      <c r="AD16" s="267"/>
      <c r="AE16" s="23"/>
      <c r="AF16" s="270">
        <v>8366</v>
      </c>
      <c r="AG16" s="270">
        <v>11534</v>
      </c>
      <c r="AH16" s="270">
        <v>11507</v>
      </c>
      <c r="AI16" s="270">
        <v>9148</v>
      </c>
      <c r="AJ16" s="22">
        <v>8524</v>
      </c>
      <c r="AK16" s="270">
        <v>25290</v>
      </c>
      <c r="AL16" s="270">
        <v>91080</v>
      </c>
      <c r="AM16" s="270">
        <v>66830</v>
      </c>
      <c r="AN16" s="270">
        <v>36866</v>
      </c>
      <c r="AO16" s="270">
        <v>16173</v>
      </c>
      <c r="AP16" s="271">
        <v>178274</v>
      </c>
      <c r="AQ16" s="270">
        <v>210665</v>
      </c>
      <c r="AR16" s="22">
        <f t="shared" si="5"/>
        <v>210665</v>
      </c>
      <c r="AS16" s="23"/>
      <c r="AT16" s="270">
        <v>121075</v>
      </c>
      <c r="AU16" s="270">
        <v>149376</v>
      </c>
      <c r="AV16" s="270">
        <v>104538</v>
      </c>
      <c r="AW16" s="270">
        <v>105262</v>
      </c>
      <c r="AX16" s="270">
        <v>121073</v>
      </c>
      <c r="AY16" s="270">
        <v>163931</v>
      </c>
      <c r="AZ16" s="270">
        <v>109964</v>
      </c>
      <c r="BA16" s="270">
        <v>148266</v>
      </c>
      <c r="BB16" s="26">
        <v>130697</v>
      </c>
      <c r="BC16" s="270">
        <v>113779</v>
      </c>
      <c r="BD16" s="270">
        <v>91119</v>
      </c>
      <c r="BE16" s="270">
        <v>103286</v>
      </c>
      <c r="BF16" s="22">
        <f t="shared" si="7"/>
        <v>103286</v>
      </c>
      <c r="BG16" s="27"/>
      <c r="BH16" s="270">
        <v>49631</v>
      </c>
      <c r="BI16" s="270">
        <v>52953</v>
      </c>
      <c r="BJ16" s="270">
        <v>28440</v>
      </c>
      <c r="BK16" s="270">
        <v>83601</v>
      </c>
      <c r="BL16" s="22">
        <v>25812</v>
      </c>
      <c r="BM16" s="22">
        <v>59545</v>
      </c>
      <c r="BN16" s="22">
        <v>83435</v>
      </c>
      <c r="BO16" s="22">
        <v>34041</v>
      </c>
      <c r="BP16" s="22">
        <v>22399</v>
      </c>
      <c r="BQ16" s="22">
        <v>24887</v>
      </c>
      <c r="BR16" s="22">
        <v>12183</v>
      </c>
      <c r="BS16" s="22">
        <v>12183</v>
      </c>
      <c r="BT16" s="22">
        <f t="shared" si="14"/>
        <v>12183</v>
      </c>
      <c r="BU16" s="28"/>
      <c r="BV16" s="270"/>
      <c r="BW16" s="270"/>
      <c r="BX16" s="270"/>
      <c r="BY16" s="270"/>
      <c r="BZ16" s="22"/>
      <c r="CA16" s="22"/>
      <c r="CB16" s="22"/>
      <c r="CC16" s="22"/>
      <c r="CD16" s="22">
        <v>6361</v>
      </c>
      <c r="CE16" s="22"/>
      <c r="CF16" s="22"/>
      <c r="CG16" s="22"/>
      <c r="CH16" s="22">
        <f t="shared" si="12"/>
        <v>0</v>
      </c>
      <c r="CJ16" s="270"/>
      <c r="CK16" s="270"/>
      <c r="CL16" s="270"/>
      <c r="CM16" s="270"/>
      <c r="CN16" s="22"/>
      <c r="CO16" s="22"/>
      <c r="CP16" s="22"/>
      <c r="CQ16" s="22"/>
      <c r="CR16" s="22"/>
      <c r="CS16" s="22"/>
      <c r="CT16" s="22"/>
      <c r="CU16" s="22"/>
      <c r="CV16" s="22">
        <v>0</v>
      </c>
    </row>
    <row r="17" spans="1:100">
      <c r="A17" s="19">
        <v>1</v>
      </c>
      <c r="B17" s="158" t="s">
        <v>267</v>
      </c>
      <c r="C17" s="159"/>
      <c r="D17" s="265">
        <v>6409</v>
      </c>
      <c r="E17" s="20">
        <v>6860</v>
      </c>
      <c r="F17" s="20">
        <v>4970</v>
      </c>
      <c r="G17" s="20">
        <v>31203</v>
      </c>
      <c r="H17" s="20">
        <v>31499</v>
      </c>
      <c r="I17" s="20">
        <v>25903</v>
      </c>
      <c r="J17" s="20">
        <v>18606</v>
      </c>
      <c r="K17" s="20">
        <v>16014</v>
      </c>
      <c r="L17" s="20">
        <v>13416</v>
      </c>
      <c r="M17" s="20">
        <v>40079</v>
      </c>
      <c r="N17" s="20"/>
      <c r="O17" s="20">
        <v>0</v>
      </c>
      <c r="P17" s="266"/>
      <c r="Q17" s="21"/>
      <c r="R17" s="265">
        <v>3376</v>
      </c>
      <c r="S17" s="22">
        <v>11736</v>
      </c>
      <c r="T17" s="22">
        <v>22454</v>
      </c>
      <c r="U17" s="22">
        <v>21384</v>
      </c>
      <c r="V17" s="22">
        <v>66870</v>
      </c>
      <c r="W17" s="22">
        <v>73769</v>
      </c>
      <c r="X17" s="22">
        <v>13944</v>
      </c>
      <c r="Y17" s="22">
        <v>32750</v>
      </c>
      <c r="Z17" s="22">
        <v>18536</v>
      </c>
      <c r="AA17" s="22">
        <v>40211</v>
      </c>
      <c r="AB17" s="22">
        <v>44457</v>
      </c>
      <c r="AC17" s="22">
        <v>24504</v>
      </c>
      <c r="AD17" s="267"/>
      <c r="AE17" s="23"/>
      <c r="AF17" s="22">
        <v>18586</v>
      </c>
      <c r="AG17" s="22">
        <v>17539</v>
      </c>
      <c r="AH17" s="22">
        <v>20245</v>
      </c>
      <c r="AI17" s="22">
        <v>17669</v>
      </c>
      <c r="AJ17" s="22">
        <v>16769</v>
      </c>
      <c r="AK17" s="22">
        <v>31134</v>
      </c>
      <c r="AL17" s="22">
        <v>35711</v>
      </c>
      <c r="AM17" s="22">
        <v>29141</v>
      </c>
      <c r="AN17" s="22">
        <v>25307</v>
      </c>
      <c r="AO17" s="22">
        <v>35964</v>
      </c>
      <c r="AP17" s="25">
        <v>37378</v>
      </c>
      <c r="AQ17" s="22">
        <v>22159</v>
      </c>
      <c r="AR17" s="22">
        <f t="shared" si="5"/>
        <v>22159</v>
      </c>
      <c r="AS17" s="23"/>
      <c r="AT17" s="22">
        <v>24034</v>
      </c>
      <c r="AU17" s="270">
        <v>22061</v>
      </c>
      <c r="AV17" s="22">
        <v>22489</v>
      </c>
      <c r="AW17" s="22">
        <v>25124</v>
      </c>
      <c r="AX17" s="22">
        <v>22794</v>
      </c>
      <c r="AY17" s="22">
        <v>17777</v>
      </c>
      <c r="AZ17" s="22">
        <v>34345</v>
      </c>
      <c r="BA17" s="22">
        <v>17580</v>
      </c>
      <c r="BB17" s="26">
        <v>26992</v>
      </c>
      <c r="BC17" s="22">
        <v>21373</v>
      </c>
      <c r="BD17" s="22">
        <v>21202</v>
      </c>
      <c r="BE17" s="22">
        <v>19109</v>
      </c>
      <c r="BF17" s="22">
        <f t="shared" si="7"/>
        <v>19109</v>
      </c>
      <c r="BG17" s="27"/>
      <c r="BH17" s="22">
        <v>22216</v>
      </c>
      <c r="BI17" s="270">
        <v>19102</v>
      </c>
      <c r="BJ17" s="22">
        <v>20676</v>
      </c>
      <c r="BK17" s="22">
        <v>19892</v>
      </c>
      <c r="BL17" s="22">
        <v>48737</v>
      </c>
      <c r="BM17" s="22">
        <v>45521</v>
      </c>
      <c r="BN17" s="22">
        <v>41781</v>
      </c>
      <c r="BO17" s="22">
        <v>48019</v>
      </c>
      <c r="BP17" s="22">
        <v>43955</v>
      </c>
      <c r="BQ17" s="22">
        <v>41505</v>
      </c>
      <c r="BR17" s="22">
        <v>28306</v>
      </c>
      <c r="BS17" s="22">
        <v>23731</v>
      </c>
      <c r="BT17" s="22">
        <f t="shared" si="14"/>
        <v>23731</v>
      </c>
      <c r="BU17" s="28"/>
      <c r="BV17" s="22">
        <v>28505</v>
      </c>
      <c r="BW17" s="270">
        <v>25054</v>
      </c>
      <c r="BX17" s="22">
        <v>24396</v>
      </c>
      <c r="BY17" s="22">
        <v>21708</v>
      </c>
      <c r="BZ17" s="22">
        <v>17857</v>
      </c>
      <c r="CA17" s="22">
        <v>33103</v>
      </c>
      <c r="CB17" s="22">
        <v>29327</v>
      </c>
      <c r="CC17" s="22">
        <v>27562</v>
      </c>
      <c r="CD17" s="22">
        <v>19590</v>
      </c>
      <c r="CE17" s="22"/>
      <c r="CF17" s="22"/>
      <c r="CG17" s="22"/>
      <c r="CH17" s="22">
        <f t="shared" si="12"/>
        <v>0</v>
      </c>
      <c r="CJ17" s="22"/>
      <c r="CK17" s="270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>
        <v>0</v>
      </c>
    </row>
    <row r="18" spans="1:100">
      <c r="A18" s="29"/>
      <c r="B18" s="272" t="s">
        <v>41</v>
      </c>
      <c r="C18" s="273"/>
      <c r="D18" s="274">
        <f t="shared" ref="D18:O18" si="15">D10-D15</f>
        <v>270670</v>
      </c>
      <c r="E18" s="30">
        <f t="shared" si="15"/>
        <v>282709</v>
      </c>
      <c r="F18" s="30">
        <f t="shared" si="15"/>
        <v>285223</v>
      </c>
      <c r="G18" s="30">
        <f t="shared" si="15"/>
        <v>287349</v>
      </c>
      <c r="H18" s="30">
        <f t="shared" si="15"/>
        <v>313961</v>
      </c>
      <c r="I18" s="30">
        <f t="shared" si="15"/>
        <v>362411</v>
      </c>
      <c r="J18" s="30">
        <f t="shared" si="15"/>
        <v>413467</v>
      </c>
      <c r="K18" s="30">
        <f t="shared" si="15"/>
        <v>415958</v>
      </c>
      <c r="L18" s="30">
        <f t="shared" si="15"/>
        <v>416931</v>
      </c>
      <c r="M18" s="30">
        <f t="shared" si="15"/>
        <v>294116</v>
      </c>
      <c r="N18" s="30">
        <f t="shared" si="15"/>
        <v>0</v>
      </c>
      <c r="O18" s="30">
        <f t="shared" si="15"/>
        <v>188264</v>
      </c>
      <c r="P18" s="275"/>
      <c r="Q18" s="31"/>
      <c r="R18" s="274">
        <f t="shared" ref="R18:AB18" si="16">R10-R15</f>
        <v>247843</v>
      </c>
      <c r="S18" s="32">
        <f t="shared" si="16"/>
        <v>306756</v>
      </c>
      <c r="T18" s="32">
        <f t="shared" si="16"/>
        <v>277250</v>
      </c>
      <c r="U18" s="32">
        <f t="shared" si="16"/>
        <v>262131</v>
      </c>
      <c r="V18" s="32">
        <f t="shared" si="16"/>
        <v>171617</v>
      </c>
      <c r="W18" s="32">
        <f t="shared" si="16"/>
        <v>235875</v>
      </c>
      <c r="X18" s="32">
        <f t="shared" si="16"/>
        <v>354012</v>
      </c>
      <c r="Y18" s="32">
        <f t="shared" si="16"/>
        <v>355542</v>
      </c>
      <c r="Z18" s="32">
        <f t="shared" si="16"/>
        <v>349213</v>
      </c>
      <c r="AA18" s="32">
        <f t="shared" si="16"/>
        <v>269352</v>
      </c>
      <c r="AB18" s="32">
        <f t="shared" si="16"/>
        <v>170626</v>
      </c>
      <c r="AC18" s="32"/>
      <c r="AD18" s="276"/>
      <c r="AE18" s="17"/>
      <c r="AF18" s="32">
        <f t="shared" ref="AF18:AQ18" si="17">AF10-AF15</f>
        <v>246973</v>
      </c>
      <c r="AG18" s="32">
        <f t="shared" si="17"/>
        <v>281087</v>
      </c>
      <c r="AH18" s="32">
        <f t="shared" si="17"/>
        <v>386469</v>
      </c>
      <c r="AI18" s="32">
        <f t="shared" si="17"/>
        <v>379017</v>
      </c>
      <c r="AJ18" s="32">
        <f t="shared" si="17"/>
        <v>400777</v>
      </c>
      <c r="AK18" s="32">
        <f t="shared" si="17"/>
        <v>465623</v>
      </c>
      <c r="AL18" s="32">
        <f t="shared" si="17"/>
        <v>472149</v>
      </c>
      <c r="AM18" s="32">
        <f t="shared" si="17"/>
        <v>492339</v>
      </c>
      <c r="AN18" s="32">
        <f t="shared" si="17"/>
        <v>450428</v>
      </c>
      <c r="AO18" s="32">
        <f t="shared" si="17"/>
        <v>391441</v>
      </c>
      <c r="AP18" s="32">
        <f t="shared" si="17"/>
        <v>325482</v>
      </c>
      <c r="AQ18" s="32">
        <f t="shared" si="17"/>
        <v>321014</v>
      </c>
      <c r="AR18" s="32">
        <f t="shared" si="5"/>
        <v>321014</v>
      </c>
      <c r="AS18" s="17"/>
      <c r="AT18" s="32">
        <f t="shared" ref="AT18:BE18" si="18">AT10-AT15</f>
        <v>350303</v>
      </c>
      <c r="AU18" s="32">
        <f t="shared" si="18"/>
        <v>323931</v>
      </c>
      <c r="AV18" s="32">
        <f t="shared" si="18"/>
        <v>307980</v>
      </c>
      <c r="AW18" s="32">
        <f t="shared" si="18"/>
        <v>292777</v>
      </c>
      <c r="AX18" s="32">
        <f t="shared" si="18"/>
        <v>296754</v>
      </c>
      <c r="AY18" s="32">
        <f t="shared" si="18"/>
        <v>344037</v>
      </c>
      <c r="AZ18" s="32">
        <f t="shared" si="18"/>
        <v>367566</v>
      </c>
      <c r="BA18" s="32">
        <f t="shared" si="18"/>
        <v>372442</v>
      </c>
      <c r="BB18" s="32">
        <f t="shared" si="18"/>
        <v>375154</v>
      </c>
      <c r="BC18" s="32">
        <f t="shared" si="18"/>
        <v>340466</v>
      </c>
      <c r="BD18" s="32">
        <f t="shared" si="18"/>
        <v>314581</v>
      </c>
      <c r="BE18" s="32">
        <f t="shared" si="18"/>
        <v>253219</v>
      </c>
      <c r="BF18" s="32">
        <f t="shared" si="7"/>
        <v>253219</v>
      </c>
      <c r="BG18" s="17"/>
      <c r="BH18" s="32">
        <f t="shared" ref="BH18:BQ18" si="19">BH10-BH15</f>
        <v>307512</v>
      </c>
      <c r="BI18" s="32">
        <f t="shared" si="19"/>
        <v>302058</v>
      </c>
      <c r="BJ18" s="32">
        <f t="shared" si="19"/>
        <v>315841</v>
      </c>
      <c r="BK18" s="32">
        <f t="shared" si="19"/>
        <v>306027</v>
      </c>
      <c r="BL18" s="32">
        <f t="shared" si="19"/>
        <v>299077</v>
      </c>
      <c r="BM18" s="32">
        <f t="shared" si="19"/>
        <v>293121</v>
      </c>
      <c r="BN18" s="32">
        <f t="shared" si="19"/>
        <v>335286</v>
      </c>
      <c r="BO18" s="32">
        <f t="shared" si="19"/>
        <v>322561</v>
      </c>
      <c r="BP18" s="32">
        <f t="shared" si="19"/>
        <v>304307</v>
      </c>
      <c r="BQ18" s="32">
        <f t="shared" si="19"/>
        <v>280100</v>
      </c>
      <c r="BR18" s="32">
        <f>BR10-BR15</f>
        <v>215852</v>
      </c>
      <c r="BS18" s="32">
        <f>BS10-BS15</f>
        <v>188982</v>
      </c>
      <c r="BT18" s="32">
        <f>BS18</f>
        <v>188982</v>
      </c>
      <c r="BU18" s="28"/>
      <c r="BV18" s="32">
        <f>BV10-BV15</f>
        <v>189962</v>
      </c>
      <c r="BW18" s="32">
        <f t="shared" ref="BW18:CG18" si="20">BW10-BW15</f>
        <v>172211.16954819704</v>
      </c>
      <c r="BX18" s="32">
        <f t="shared" si="20"/>
        <v>122217</v>
      </c>
      <c r="BY18" s="32">
        <f t="shared" si="20"/>
        <v>142641</v>
      </c>
      <c r="BZ18" s="32">
        <f t="shared" si="20"/>
        <v>180296</v>
      </c>
      <c r="CA18" s="32">
        <f>CA10-CA15</f>
        <v>183243.87089903158</v>
      </c>
      <c r="CB18" s="32">
        <f>CB10-CB15</f>
        <v>184848.65645141559</v>
      </c>
      <c r="CC18" s="32">
        <f t="shared" si="20"/>
        <v>144123.56700256452</v>
      </c>
      <c r="CD18" s="32">
        <f>CD10-CD15</f>
        <v>164049.52686697111</v>
      </c>
      <c r="CE18" s="32">
        <f>CE10-CE15</f>
        <v>153470.22300485219</v>
      </c>
      <c r="CF18" s="32">
        <f t="shared" si="20"/>
        <v>140754.38076855033</v>
      </c>
      <c r="CG18" s="32">
        <f t="shared" si="20"/>
        <v>173270.56407683995</v>
      </c>
      <c r="CH18" s="32">
        <f t="shared" si="12"/>
        <v>173270.56407683995</v>
      </c>
      <c r="CJ18" s="32">
        <v>242497</v>
      </c>
      <c r="CK18" s="32">
        <v>234422.08006563294</v>
      </c>
      <c r="CL18" s="32">
        <v>194348.7132915963</v>
      </c>
      <c r="CM18" s="32">
        <v>223062.99421980139</v>
      </c>
      <c r="CN18" s="32">
        <v>228884.86858944659</v>
      </c>
      <c r="CO18" s="32">
        <v>240669.78918926936</v>
      </c>
      <c r="CP18" s="32">
        <v>234679.65868928705</v>
      </c>
      <c r="CQ18" s="32">
        <v>197008.01236523816</v>
      </c>
      <c r="CR18" s="32">
        <v>148007.96159444697</v>
      </c>
      <c r="CS18" s="32">
        <v>111276.29521213027</v>
      </c>
      <c r="CT18" s="32">
        <v>93072.105643725808</v>
      </c>
      <c r="CU18" s="32">
        <v>116080.10690622788</v>
      </c>
      <c r="CV18" s="32">
        <v>116080.10690622788</v>
      </c>
    </row>
    <row r="19" spans="1:100">
      <c r="A19" s="13" t="s">
        <v>42</v>
      </c>
      <c r="B19" s="259"/>
      <c r="C19" s="260" t="s">
        <v>43</v>
      </c>
      <c r="D19" s="277">
        <f>D13-D15</f>
        <v>162884</v>
      </c>
      <c r="E19" s="33">
        <f t="shared" ref="E19:O19" si="21">E13+E17-E15-E55</f>
        <v>200610</v>
      </c>
      <c r="F19" s="33">
        <f t="shared" si="21"/>
        <v>192475</v>
      </c>
      <c r="G19" s="33">
        <f t="shared" si="21"/>
        <v>231853</v>
      </c>
      <c r="H19" s="33">
        <f t="shared" si="21"/>
        <v>253292</v>
      </c>
      <c r="I19" s="33">
        <f t="shared" si="21"/>
        <v>305688</v>
      </c>
      <c r="J19" s="33">
        <f t="shared" si="21"/>
        <v>355297</v>
      </c>
      <c r="K19" s="33">
        <f t="shared" si="21"/>
        <v>367201</v>
      </c>
      <c r="L19" s="33">
        <f t="shared" si="21"/>
        <v>407523</v>
      </c>
      <c r="M19" s="33">
        <f t="shared" si="21"/>
        <v>297747</v>
      </c>
      <c r="N19" s="33">
        <f t="shared" si="21"/>
        <v>0</v>
      </c>
      <c r="O19" s="33">
        <f t="shared" si="21"/>
        <v>143875</v>
      </c>
      <c r="P19" s="262">
        <f>J19</f>
        <v>355297</v>
      </c>
      <c r="Q19" s="15"/>
      <c r="R19" s="277">
        <f>R13-R15</f>
        <v>172568</v>
      </c>
      <c r="S19" s="14">
        <f t="shared" ref="S19:AC19" si="22">S13+S17-S15-S55</f>
        <v>244205</v>
      </c>
      <c r="T19" s="14">
        <f t="shared" si="22"/>
        <v>237108</v>
      </c>
      <c r="U19" s="14">
        <f t="shared" si="22"/>
        <v>222510</v>
      </c>
      <c r="V19" s="14">
        <f t="shared" si="22"/>
        <v>179647</v>
      </c>
      <c r="W19" s="14">
        <f t="shared" si="22"/>
        <v>289587</v>
      </c>
      <c r="X19" s="14">
        <f t="shared" si="22"/>
        <v>281331</v>
      </c>
      <c r="Y19" s="14">
        <f t="shared" si="22"/>
        <v>325686</v>
      </c>
      <c r="Z19" s="14">
        <f t="shared" si="22"/>
        <v>319329</v>
      </c>
      <c r="AA19" s="14">
        <f t="shared" si="22"/>
        <v>268663</v>
      </c>
      <c r="AB19" s="14">
        <f t="shared" si="22"/>
        <v>187543</v>
      </c>
      <c r="AC19" s="14">
        <f t="shared" si="22"/>
        <v>196995</v>
      </c>
      <c r="AD19" s="263">
        <f>X19</f>
        <v>281331</v>
      </c>
      <c r="AE19" s="16"/>
      <c r="AF19" s="14">
        <f t="shared" ref="AF19:AQ19" si="23">AF13+AF15+AF14</f>
        <v>228387</v>
      </c>
      <c r="AG19" s="14">
        <f t="shared" si="23"/>
        <v>263548</v>
      </c>
      <c r="AH19" s="14">
        <f t="shared" si="23"/>
        <v>366224</v>
      </c>
      <c r="AI19" s="14">
        <f t="shared" si="23"/>
        <v>361348</v>
      </c>
      <c r="AJ19" s="14">
        <f t="shared" si="23"/>
        <v>384008</v>
      </c>
      <c r="AK19" s="14">
        <f t="shared" si="23"/>
        <v>434489</v>
      </c>
      <c r="AL19" s="14">
        <f t="shared" si="23"/>
        <v>436438</v>
      </c>
      <c r="AM19" s="14">
        <f t="shared" si="23"/>
        <v>463198</v>
      </c>
      <c r="AN19" s="14">
        <f t="shared" si="23"/>
        <v>425121</v>
      </c>
      <c r="AO19" s="14">
        <f t="shared" si="23"/>
        <v>355477</v>
      </c>
      <c r="AP19" s="14">
        <f t="shared" si="23"/>
        <v>288104</v>
      </c>
      <c r="AQ19" s="14">
        <f t="shared" si="23"/>
        <v>298855</v>
      </c>
      <c r="AR19" s="14">
        <f t="shared" si="5"/>
        <v>298855</v>
      </c>
      <c r="AS19" s="17"/>
      <c r="AT19" s="14">
        <f t="shared" ref="AT19:BE19" si="24">AT13+AT15+AT14</f>
        <v>326269</v>
      </c>
      <c r="AU19" s="14">
        <f t="shared" si="24"/>
        <v>301870</v>
      </c>
      <c r="AV19" s="14">
        <f t="shared" si="24"/>
        <v>285491</v>
      </c>
      <c r="AW19" s="14">
        <f t="shared" si="24"/>
        <v>267653</v>
      </c>
      <c r="AX19" s="14">
        <f t="shared" si="24"/>
        <v>273960</v>
      </c>
      <c r="AY19" s="14">
        <f t="shared" si="24"/>
        <v>326260</v>
      </c>
      <c r="AZ19" s="14">
        <f t="shared" si="24"/>
        <v>333221</v>
      </c>
      <c r="BA19" s="14">
        <f t="shared" si="24"/>
        <v>354862</v>
      </c>
      <c r="BB19" s="14">
        <f t="shared" si="24"/>
        <v>348162</v>
      </c>
      <c r="BC19" s="14">
        <f t="shared" si="24"/>
        <v>319093</v>
      </c>
      <c r="BD19" s="14">
        <f t="shared" si="24"/>
        <v>293379</v>
      </c>
      <c r="BE19" s="14">
        <f t="shared" si="24"/>
        <v>234110</v>
      </c>
      <c r="BF19" s="32">
        <f t="shared" ref="BF19:BF20" si="25">SUM(AT19:BE19)</f>
        <v>3664330</v>
      </c>
      <c r="BG19" s="17"/>
      <c r="BH19" s="14">
        <f t="shared" ref="BH19:BS19" si="26">BH13+BH15+BH14</f>
        <v>285296</v>
      </c>
      <c r="BI19" s="14">
        <f t="shared" si="26"/>
        <v>282956</v>
      </c>
      <c r="BJ19" s="14">
        <f t="shared" si="26"/>
        <v>295165</v>
      </c>
      <c r="BK19" s="14">
        <f t="shared" si="26"/>
        <v>286135</v>
      </c>
      <c r="BL19" s="14">
        <f t="shared" si="26"/>
        <v>250340</v>
      </c>
      <c r="BM19" s="14">
        <f t="shared" si="26"/>
        <v>247600</v>
      </c>
      <c r="BN19" s="14">
        <f t="shared" si="26"/>
        <v>293505</v>
      </c>
      <c r="BO19" s="14">
        <f t="shared" si="26"/>
        <v>274542</v>
      </c>
      <c r="BP19" s="14">
        <f t="shared" si="26"/>
        <v>260352</v>
      </c>
      <c r="BQ19" s="14">
        <f>BQ13+BQ15+BQ14</f>
        <v>238595</v>
      </c>
      <c r="BR19" s="14">
        <f t="shared" si="26"/>
        <v>187546</v>
      </c>
      <c r="BS19" s="14">
        <f t="shared" si="26"/>
        <v>189617</v>
      </c>
      <c r="BT19" s="14">
        <f t="shared" si="14"/>
        <v>189617</v>
      </c>
      <c r="BU19" s="18"/>
      <c r="BV19" s="14">
        <f t="shared" ref="BV19:CG19" si="27">BV13+BV15+BV14</f>
        <v>171889</v>
      </c>
      <c r="BW19" s="14">
        <f>BW13+BW17+BW14</f>
        <v>193178</v>
      </c>
      <c r="BX19" s="14">
        <f t="shared" si="27"/>
        <v>228367</v>
      </c>
      <c r="BY19" s="14">
        <f t="shared" si="27"/>
        <v>261297</v>
      </c>
      <c r="BZ19" s="14">
        <f t="shared" si="27"/>
        <v>277757</v>
      </c>
      <c r="CA19" s="14">
        <f t="shared" si="27"/>
        <v>329719</v>
      </c>
      <c r="CB19" s="14">
        <f t="shared" si="27"/>
        <v>316656</v>
      </c>
      <c r="CC19" s="14">
        <f t="shared" si="27"/>
        <v>290388</v>
      </c>
      <c r="CD19" s="14">
        <f t="shared" si="27"/>
        <v>185778</v>
      </c>
      <c r="CE19" s="14">
        <f t="shared" si="27"/>
        <v>122624.81133098702</v>
      </c>
      <c r="CF19" s="14">
        <f t="shared" si="27"/>
        <v>118464.76120650026</v>
      </c>
      <c r="CG19" s="14">
        <f t="shared" si="27"/>
        <v>155355.13534937543</v>
      </c>
      <c r="CH19" s="14">
        <f t="shared" si="12"/>
        <v>155355.13534937543</v>
      </c>
      <c r="CJ19" s="14">
        <v>224424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</row>
    <row r="20" spans="1:100">
      <c r="A20" s="34" t="s">
        <v>44</v>
      </c>
      <c r="B20" s="278"/>
      <c r="C20" s="445" t="s">
        <v>45</v>
      </c>
      <c r="D20" s="277">
        <f t="shared" ref="D20:O20" si="28">D10-D17-D15</f>
        <v>264261</v>
      </c>
      <c r="E20" s="33">
        <f t="shared" si="28"/>
        <v>275849</v>
      </c>
      <c r="F20" s="33">
        <f t="shared" si="28"/>
        <v>280253</v>
      </c>
      <c r="G20" s="33">
        <f t="shared" si="28"/>
        <v>256146</v>
      </c>
      <c r="H20" s="33">
        <f t="shared" si="28"/>
        <v>282462</v>
      </c>
      <c r="I20" s="33">
        <f t="shared" si="28"/>
        <v>336508</v>
      </c>
      <c r="J20" s="33">
        <f t="shared" si="28"/>
        <v>394861</v>
      </c>
      <c r="K20" s="33">
        <f t="shared" si="28"/>
        <v>399944</v>
      </c>
      <c r="L20" s="33">
        <f t="shared" si="28"/>
        <v>403515</v>
      </c>
      <c r="M20" s="33">
        <f t="shared" si="28"/>
        <v>254037</v>
      </c>
      <c r="N20" s="33">
        <f t="shared" si="28"/>
        <v>0</v>
      </c>
      <c r="O20" s="33">
        <f t="shared" si="28"/>
        <v>188264</v>
      </c>
      <c r="P20" s="262">
        <f t="shared" ref="P20:P21" si="29">O20</f>
        <v>188264</v>
      </c>
      <c r="Q20" s="15"/>
      <c r="R20" s="277">
        <f t="shared" ref="R20:AC20" si="30">R10-R17-R15</f>
        <v>244467</v>
      </c>
      <c r="S20" s="14">
        <f t="shared" si="30"/>
        <v>295020</v>
      </c>
      <c r="T20" s="14">
        <f t="shared" si="30"/>
        <v>254796</v>
      </c>
      <c r="U20" s="14">
        <f t="shared" si="30"/>
        <v>240747</v>
      </c>
      <c r="V20" s="14">
        <f t="shared" si="30"/>
        <v>104747</v>
      </c>
      <c r="W20" s="14">
        <f t="shared" si="30"/>
        <v>162106</v>
      </c>
      <c r="X20" s="14">
        <f t="shared" si="30"/>
        <v>340068</v>
      </c>
      <c r="Y20" s="14">
        <f t="shared" si="30"/>
        <v>322792</v>
      </c>
      <c r="Z20" s="14">
        <f t="shared" si="30"/>
        <v>330677</v>
      </c>
      <c r="AA20" s="14">
        <f t="shared" si="30"/>
        <v>229141</v>
      </c>
      <c r="AB20" s="14">
        <f t="shared" si="30"/>
        <v>126169</v>
      </c>
      <c r="AC20" s="14">
        <f t="shared" si="30"/>
        <v>173047</v>
      </c>
      <c r="AD20" s="263">
        <f t="shared" ref="AD20:AD21" si="31">AC20</f>
        <v>173047</v>
      </c>
      <c r="AE20" s="16"/>
      <c r="AF20" s="261">
        <f t="shared" ref="AF20:AQ20" si="32">AF19-AF15</f>
        <v>220021</v>
      </c>
      <c r="AG20" s="261">
        <f t="shared" si="32"/>
        <v>252014</v>
      </c>
      <c r="AH20" s="261">
        <f t="shared" si="32"/>
        <v>354717</v>
      </c>
      <c r="AI20" s="261">
        <f t="shared" si="32"/>
        <v>352200</v>
      </c>
      <c r="AJ20" s="261">
        <f t="shared" si="32"/>
        <v>375484</v>
      </c>
      <c r="AK20" s="261">
        <f t="shared" si="32"/>
        <v>409199</v>
      </c>
      <c r="AL20" s="261">
        <f t="shared" si="32"/>
        <v>345358</v>
      </c>
      <c r="AM20" s="261">
        <f t="shared" si="32"/>
        <v>396368</v>
      </c>
      <c r="AN20" s="261">
        <f t="shared" si="32"/>
        <v>388255</v>
      </c>
      <c r="AO20" s="261">
        <f t="shared" si="32"/>
        <v>339304</v>
      </c>
      <c r="AP20" s="261">
        <f t="shared" si="32"/>
        <v>109830</v>
      </c>
      <c r="AQ20" s="261">
        <f t="shared" si="32"/>
        <v>88190</v>
      </c>
      <c r="AR20" s="14">
        <f t="shared" si="5"/>
        <v>88190</v>
      </c>
      <c r="AS20" s="17"/>
      <c r="AT20" s="261">
        <f t="shared" ref="AT20:BE20" si="33">AT19-AT15</f>
        <v>205194</v>
      </c>
      <c r="AU20" s="261">
        <f t="shared" si="33"/>
        <v>152494</v>
      </c>
      <c r="AV20" s="261">
        <f t="shared" si="33"/>
        <v>180953</v>
      </c>
      <c r="AW20" s="261">
        <f t="shared" si="33"/>
        <v>162391</v>
      </c>
      <c r="AX20" s="261">
        <f t="shared" si="33"/>
        <v>152887</v>
      </c>
      <c r="AY20" s="261">
        <f t="shared" si="33"/>
        <v>162329</v>
      </c>
      <c r="AZ20" s="261">
        <f t="shared" si="33"/>
        <v>223257</v>
      </c>
      <c r="BA20" s="261">
        <f t="shared" si="33"/>
        <v>206596</v>
      </c>
      <c r="BB20" s="261">
        <f t="shared" si="33"/>
        <v>217465</v>
      </c>
      <c r="BC20" s="261">
        <f t="shared" si="33"/>
        <v>205314</v>
      </c>
      <c r="BD20" s="261">
        <f t="shared" si="33"/>
        <v>202260</v>
      </c>
      <c r="BE20" s="261">
        <f t="shared" si="33"/>
        <v>130824</v>
      </c>
      <c r="BF20" s="32">
        <f t="shared" si="25"/>
        <v>2201964</v>
      </c>
      <c r="BG20" s="35">
        <f>SUM(AT23:AY23)/SUM(AF56:AK56)-1</f>
        <v>0.2283258050797119</v>
      </c>
      <c r="BH20" s="416">
        <f t="shared" ref="BH20:BS20" si="34">BH19-BH15</f>
        <v>235665</v>
      </c>
      <c r="BI20" s="416">
        <f t="shared" si="34"/>
        <v>230003</v>
      </c>
      <c r="BJ20" s="416">
        <f t="shared" si="34"/>
        <v>266725</v>
      </c>
      <c r="BK20" s="416">
        <f t="shared" si="34"/>
        <v>202534</v>
      </c>
      <c r="BL20" s="417">
        <f t="shared" si="34"/>
        <v>224528</v>
      </c>
      <c r="BM20" s="417">
        <f t="shared" si="34"/>
        <v>188055</v>
      </c>
      <c r="BN20" s="417">
        <f t="shared" si="34"/>
        <v>210070</v>
      </c>
      <c r="BO20" s="417">
        <f t="shared" si="34"/>
        <v>240501</v>
      </c>
      <c r="BP20" s="417">
        <f t="shared" si="34"/>
        <v>237953</v>
      </c>
      <c r="BQ20" s="417">
        <f t="shared" si="34"/>
        <v>213708</v>
      </c>
      <c r="BR20" s="417">
        <f t="shared" si="34"/>
        <v>175363</v>
      </c>
      <c r="BS20" s="417">
        <f t="shared" si="34"/>
        <v>177434</v>
      </c>
      <c r="BT20" s="417">
        <f t="shared" si="14"/>
        <v>177434</v>
      </c>
      <c r="BU20" s="18"/>
      <c r="BV20" s="261">
        <f t="shared" ref="BV20:CG20" si="35">BV19-BV15</f>
        <v>166673</v>
      </c>
      <c r="BW20" s="261">
        <f t="shared" si="35"/>
        <v>193178</v>
      </c>
      <c r="BX20" s="261">
        <f t="shared" si="35"/>
        <v>163094</v>
      </c>
      <c r="BY20" s="416">
        <f t="shared" si="35"/>
        <v>191115</v>
      </c>
      <c r="BZ20" s="417">
        <f t="shared" si="35"/>
        <v>220098</v>
      </c>
      <c r="CA20" s="417">
        <f t="shared" si="35"/>
        <v>258050</v>
      </c>
      <c r="CB20" s="417">
        <f t="shared" si="35"/>
        <v>243578</v>
      </c>
      <c r="CC20" s="417">
        <f t="shared" si="35"/>
        <v>205086</v>
      </c>
      <c r="CD20" s="417">
        <f t="shared" si="35"/>
        <v>160435</v>
      </c>
      <c r="CE20" s="417">
        <f t="shared" si="35"/>
        <v>122624.81133098702</v>
      </c>
      <c r="CF20" s="417">
        <f t="shared" si="35"/>
        <v>118464.76120650026</v>
      </c>
      <c r="CG20" s="417">
        <f t="shared" si="35"/>
        <v>155355.13534937543</v>
      </c>
      <c r="CH20" s="417">
        <f t="shared" si="12"/>
        <v>155355.13534937543</v>
      </c>
      <c r="CJ20" s="261">
        <v>219208</v>
      </c>
      <c r="CK20" s="261">
        <v>0</v>
      </c>
      <c r="CL20" s="261">
        <v>0</v>
      </c>
      <c r="CM20" s="416">
        <v>0</v>
      </c>
      <c r="CN20" s="417">
        <v>0</v>
      </c>
      <c r="CO20" s="417">
        <v>0</v>
      </c>
      <c r="CP20" s="417">
        <v>0</v>
      </c>
      <c r="CQ20" s="417">
        <v>0</v>
      </c>
      <c r="CR20" s="417">
        <v>0</v>
      </c>
      <c r="CS20" s="417">
        <v>0</v>
      </c>
      <c r="CT20" s="417">
        <v>0</v>
      </c>
      <c r="CU20" s="417">
        <v>0</v>
      </c>
      <c r="CV20" s="417">
        <v>0</v>
      </c>
    </row>
    <row r="21" spans="1:100" ht="15.75">
      <c r="A21" s="447" t="s">
        <v>46</v>
      </c>
      <c r="B21" s="448"/>
      <c r="C21" s="449" t="s">
        <v>47</v>
      </c>
      <c r="D21" s="281">
        <f t="shared" ref="D21:O21" si="36">D10</f>
        <v>304786</v>
      </c>
      <c r="E21" s="37">
        <f t="shared" si="36"/>
        <v>311986</v>
      </c>
      <c r="F21" s="37">
        <f t="shared" si="36"/>
        <v>328231</v>
      </c>
      <c r="G21" s="37">
        <f t="shared" si="36"/>
        <v>317873</v>
      </c>
      <c r="H21" s="37">
        <f t="shared" si="36"/>
        <v>347196</v>
      </c>
      <c r="I21" s="37">
        <f t="shared" si="36"/>
        <v>402253</v>
      </c>
      <c r="J21" s="37">
        <f t="shared" si="36"/>
        <v>454488</v>
      </c>
      <c r="K21" s="37">
        <f t="shared" si="36"/>
        <v>447182</v>
      </c>
      <c r="L21" s="37">
        <f t="shared" si="36"/>
        <v>416931</v>
      </c>
      <c r="M21" s="37">
        <f t="shared" si="36"/>
        <v>304402</v>
      </c>
      <c r="N21" s="37">
        <f t="shared" si="36"/>
        <v>0</v>
      </c>
      <c r="O21" s="37">
        <f t="shared" si="36"/>
        <v>188264</v>
      </c>
      <c r="P21" s="38">
        <f t="shared" si="29"/>
        <v>188264</v>
      </c>
      <c r="Q21" s="39"/>
      <c r="R21" s="40">
        <f t="shared" ref="R21:AC21" si="37">R10</f>
        <v>283359</v>
      </c>
      <c r="S21" s="41">
        <f t="shared" si="37"/>
        <v>342718</v>
      </c>
      <c r="T21" s="41">
        <f t="shared" si="37"/>
        <v>313212</v>
      </c>
      <c r="U21" s="41">
        <f t="shared" si="37"/>
        <v>298093</v>
      </c>
      <c r="V21" s="41">
        <f t="shared" si="37"/>
        <v>206617</v>
      </c>
      <c r="W21" s="41">
        <f t="shared" si="37"/>
        <v>235875</v>
      </c>
      <c r="X21" s="41">
        <f t="shared" si="37"/>
        <v>360135</v>
      </c>
      <c r="Y21" s="41">
        <f t="shared" si="37"/>
        <v>361665</v>
      </c>
      <c r="Z21" s="41">
        <f t="shared" si="37"/>
        <v>353400</v>
      </c>
      <c r="AA21" s="41">
        <f t="shared" si="37"/>
        <v>272097</v>
      </c>
      <c r="AB21" s="41">
        <f t="shared" si="37"/>
        <v>170626</v>
      </c>
      <c r="AC21" s="41">
        <f t="shared" si="37"/>
        <v>197551</v>
      </c>
      <c r="AD21" s="229">
        <f t="shared" si="31"/>
        <v>197551</v>
      </c>
      <c r="AE21" s="42"/>
      <c r="AF21" s="41">
        <f>AF10-AF55</f>
        <v>255339</v>
      </c>
      <c r="AG21" s="41">
        <f t="shared" ref="AG21:AQ21" si="38">AG10-AG55</f>
        <v>292621</v>
      </c>
      <c r="AH21" s="41">
        <f t="shared" si="38"/>
        <v>397976</v>
      </c>
      <c r="AI21" s="41">
        <f t="shared" si="38"/>
        <v>388165</v>
      </c>
      <c r="AJ21" s="41">
        <f t="shared" si="38"/>
        <v>409301</v>
      </c>
      <c r="AK21" s="41">
        <f t="shared" si="38"/>
        <v>490913</v>
      </c>
      <c r="AL21" s="41">
        <f t="shared" si="38"/>
        <v>563229</v>
      </c>
      <c r="AM21" s="41">
        <f t="shared" si="38"/>
        <v>559169</v>
      </c>
      <c r="AN21" s="41">
        <f t="shared" si="38"/>
        <v>487294</v>
      </c>
      <c r="AO21" s="41">
        <f t="shared" si="38"/>
        <v>407614</v>
      </c>
      <c r="AP21" s="41">
        <f t="shared" si="38"/>
        <v>503756</v>
      </c>
      <c r="AQ21" s="41">
        <f t="shared" si="38"/>
        <v>522741</v>
      </c>
      <c r="AR21" s="41">
        <f t="shared" si="5"/>
        <v>522741</v>
      </c>
      <c r="AS21" s="42"/>
      <c r="AT21" s="41">
        <f t="shared" ref="AT21:BB21" si="39">AT10-AT55</f>
        <v>364736</v>
      </c>
      <c r="AU21" s="41">
        <f t="shared" si="39"/>
        <v>382608</v>
      </c>
      <c r="AV21" s="41">
        <f t="shared" si="39"/>
        <v>322837</v>
      </c>
      <c r="AW21" s="41">
        <f t="shared" si="39"/>
        <v>339249</v>
      </c>
      <c r="AX21" s="41">
        <f t="shared" si="39"/>
        <v>382307</v>
      </c>
      <c r="AY21" s="41">
        <f t="shared" si="39"/>
        <v>446417</v>
      </c>
      <c r="AZ21" s="41">
        <f t="shared" si="39"/>
        <v>406019</v>
      </c>
      <c r="BA21" s="41">
        <f t="shared" si="39"/>
        <v>457091</v>
      </c>
      <c r="BB21" s="41">
        <f t="shared" si="39"/>
        <v>439103</v>
      </c>
      <c r="BC21" s="41">
        <f>BB21-BC23+BC66-BC55</f>
        <v>267702.70924434217</v>
      </c>
      <c r="BD21" s="41">
        <f>BC21-BD23+BD66-BD55</f>
        <v>224792.12236286921</v>
      </c>
      <c r="BE21" s="41">
        <f>BD21-BE23+BE66-BE55</f>
        <v>209302.50939777523</v>
      </c>
      <c r="BF21" s="41">
        <f>BE21</f>
        <v>209302.50939777523</v>
      </c>
      <c r="BG21" s="43">
        <f>BG23/AR23</f>
        <v>7.0333736034655189E-2</v>
      </c>
      <c r="BH21" s="41">
        <f t="shared" ref="BH21:BS21" si="40">BH10-BH55</f>
        <v>287739</v>
      </c>
      <c r="BI21" s="41">
        <f t="shared" si="40"/>
        <v>274599</v>
      </c>
      <c r="BJ21" s="41">
        <f t="shared" si="40"/>
        <v>249895</v>
      </c>
      <c r="BK21" s="41">
        <f t="shared" si="40"/>
        <v>311315</v>
      </c>
      <c r="BL21" s="41">
        <f t="shared" si="40"/>
        <v>277855</v>
      </c>
      <c r="BM21" s="41">
        <f t="shared" si="40"/>
        <v>301815</v>
      </c>
      <c r="BN21" s="41">
        <f t="shared" si="40"/>
        <v>325519</v>
      </c>
      <c r="BO21" s="41">
        <f t="shared" si="40"/>
        <v>255915</v>
      </c>
      <c r="BP21" s="41">
        <f t="shared" si="40"/>
        <v>198711</v>
      </c>
      <c r="BQ21" s="41">
        <f t="shared" si="40"/>
        <v>182301</v>
      </c>
      <c r="BR21" s="41">
        <f t="shared" si="40"/>
        <v>228035</v>
      </c>
      <c r="BS21" s="41">
        <f t="shared" si="40"/>
        <v>201165</v>
      </c>
      <c r="BT21" s="41">
        <f t="shared" si="14"/>
        <v>201165</v>
      </c>
      <c r="BU21" s="45"/>
      <c r="BV21" s="41">
        <f>BV10-BV55</f>
        <v>195178</v>
      </c>
      <c r="BW21" s="41">
        <f>BW10-BW55</f>
        <v>172211.16954819704</v>
      </c>
      <c r="BX21" s="41">
        <f>BX10-BX55</f>
        <v>187490</v>
      </c>
      <c r="BY21" s="41">
        <f>BY10-BY55</f>
        <v>212823</v>
      </c>
      <c r="BZ21" s="41">
        <f>BZ10-BZ55</f>
        <v>237955</v>
      </c>
      <c r="CA21" s="41">
        <f>CA10-CA55</f>
        <v>254912.87089903158</v>
      </c>
      <c r="CB21" s="41">
        <f>CB10-CB55</f>
        <v>257926.65645141559</v>
      </c>
      <c r="CC21" s="41">
        <f>CC10-CC55</f>
        <v>229425.56700256452</v>
      </c>
      <c r="CD21" s="41">
        <f>CD10-CD55</f>
        <v>189392.52686697111</v>
      </c>
      <c r="CE21" s="41">
        <f>CE10-CE55</f>
        <v>153470.22300485219</v>
      </c>
      <c r="CF21" s="41">
        <f>CF10-CF55</f>
        <v>140754.38076855033</v>
      </c>
      <c r="CG21" s="41">
        <f>CG10-CG55</f>
        <v>173270.56407683995</v>
      </c>
      <c r="CH21" s="41">
        <f t="shared" si="12"/>
        <v>173270.56407683995</v>
      </c>
      <c r="CJ21" s="41">
        <v>247713</v>
      </c>
      <c r="CK21" s="41">
        <v>234422.08006563294</v>
      </c>
      <c r="CL21" s="41">
        <v>194348.7132915963</v>
      </c>
      <c r="CM21" s="41">
        <v>223062.99421980139</v>
      </c>
      <c r="CN21" s="41">
        <v>228884.86858944659</v>
      </c>
      <c r="CO21" s="41">
        <v>240669.78918926936</v>
      </c>
      <c r="CP21" s="41">
        <v>234679.65868928705</v>
      </c>
      <c r="CQ21" s="41">
        <v>197008.01236523816</v>
      </c>
      <c r="CR21" s="41">
        <v>148007.96159444697</v>
      </c>
      <c r="CS21" s="41">
        <v>111276.29521213027</v>
      </c>
      <c r="CT21" s="41">
        <v>93072.105643725808</v>
      </c>
      <c r="CU21" s="41">
        <v>116080.10690622788</v>
      </c>
      <c r="CV21" s="41">
        <v>116080.10690622788</v>
      </c>
    </row>
    <row r="22" spans="1:100">
      <c r="A22" s="46"/>
      <c r="B22" s="47" t="s">
        <v>48</v>
      </c>
      <c r="C22" s="446"/>
      <c r="D22" s="283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284"/>
      <c r="Q22" s="49"/>
      <c r="R22" s="283"/>
      <c r="S22" s="50"/>
      <c r="T22" s="50"/>
      <c r="U22" s="50"/>
      <c r="V22" s="51"/>
      <c r="W22" s="51"/>
      <c r="X22" s="51"/>
      <c r="Y22" s="51"/>
      <c r="Z22" s="51"/>
      <c r="AA22" s="51"/>
      <c r="AB22" s="51"/>
      <c r="AC22" s="50"/>
      <c r="AD22" s="285"/>
      <c r="AE22" s="23"/>
      <c r="AF22" s="286">
        <f t="shared" ref="AF22:AP22" si="41">AF10/AG23</f>
        <v>1.4346741432881778</v>
      </c>
      <c r="AG22" s="286">
        <f t="shared" si="41"/>
        <v>3.9745327610561771</v>
      </c>
      <c r="AH22" s="286">
        <f t="shared" si="41"/>
        <v>4.4537254638644557</v>
      </c>
      <c r="AI22" s="286">
        <f t="shared" si="41"/>
        <v>3.1781895295331357</v>
      </c>
      <c r="AJ22" s="286">
        <f t="shared" si="41"/>
        <v>2.7551225094238019</v>
      </c>
      <c r="AK22" s="286">
        <f t="shared" si="41"/>
        <v>3.2297970327971317</v>
      </c>
      <c r="AL22" s="286">
        <f t="shared" si="41"/>
        <v>2.3575635299682296</v>
      </c>
      <c r="AM22" s="286">
        <f t="shared" si="41"/>
        <v>2.1413160582078121</v>
      </c>
      <c r="AN22" s="286">
        <f t="shared" si="41"/>
        <v>1.9042360296991012</v>
      </c>
      <c r="AO22" s="286">
        <f t="shared" si="41"/>
        <v>3.1686411691542289</v>
      </c>
      <c r="AP22" s="286">
        <f t="shared" si="41"/>
        <v>5.1487735077677845</v>
      </c>
      <c r="AQ22" s="286">
        <f>AQ10/AT23</f>
        <v>3.4807306746186968</v>
      </c>
      <c r="AR22" s="287">
        <f>AQ22</f>
        <v>3.4807306746186968</v>
      </c>
      <c r="AS22" s="23"/>
      <c r="AT22" s="286">
        <f>AT10/AU23</f>
        <v>2.7971286279646934</v>
      </c>
      <c r="AU22" s="286">
        <f>AU10/AV23</f>
        <v>3.0710063937614676</v>
      </c>
      <c r="AV22" s="286">
        <f>AV10/AW23</f>
        <v>2.5847779910329129</v>
      </c>
      <c r="AW22" s="286">
        <f>AW10/AX23</f>
        <v>3.3142307600651066</v>
      </c>
      <c r="AX22" s="286">
        <f>AX10/AY23</f>
        <v>3.0202081128011216</v>
      </c>
      <c r="AY22" s="286">
        <f t="shared" ref="AY22:BD22" si="42">AY10/(AZ52+AZ51)</f>
        <v>3.0375411110446691</v>
      </c>
      <c r="AZ22" s="286">
        <f t="shared" si="42"/>
        <v>1.7862994390436959</v>
      </c>
      <c r="BA22" s="286">
        <f t="shared" si="42"/>
        <v>2.3917338115287117</v>
      </c>
      <c r="BB22" s="286">
        <f t="shared" si="42"/>
        <v>2.0297186803388318</v>
      </c>
      <c r="BC22" s="286">
        <f t="shared" si="42"/>
        <v>2.9418601583113455</v>
      </c>
      <c r="BD22" s="286">
        <f t="shared" si="42"/>
        <v>5.3595753009100697</v>
      </c>
      <c r="BE22" s="286">
        <f>BE10/BH23</f>
        <v>2.3338657833234047</v>
      </c>
      <c r="BF22" s="52"/>
      <c r="BG22" s="27"/>
      <c r="BH22" s="418">
        <f t="shared" ref="BH22:BN22" si="43">BH10/BI23</f>
        <v>2.4324841588586663</v>
      </c>
      <c r="BI22" s="418">
        <f t="shared" si="43"/>
        <v>2.0694790126570033</v>
      </c>
      <c r="BJ22" s="418">
        <f t="shared" si="43"/>
        <v>2.1548303749075362</v>
      </c>
      <c r="BK22" s="418">
        <f t="shared" si="43"/>
        <v>2.940658548141605</v>
      </c>
      <c r="BL22" s="418">
        <f t="shared" si="43"/>
        <v>2.5009495450993295</v>
      </c>
      <c r="BM22" s="418">
        <f t="shared" si="43"/>
        <v>2.0577586855214944</v>
      </c>
      <c r="BN22" s="418">
        <f t="shared" si="43"/>
        <v>2.3320530115558045</v>
      </c>
      <c r="BO22" s="419"/>
      <c r="BP22" s="419"/>
      <c r="BQ22" s="419"/>
      <c r="BR22" s="419"/>
      <c r="BS22" s="419"/>
      <c r="BT22" s="419"/>
      <c r="BU22" s="54"/>
      <c r="BV22" s="286">
        <v>0</v>
      </c>
      <c r="BW22" s="286">
        <v>0</v>
      </c>
      <c r="BX22" s="286">
        <v>0</v>
      </c>
      <c r="BY22" s="418">
        <v>0</v>
      </c>
      <c r="BZ22" s="418">
        <v>0</v>
      </c>
      <c r="CA22" s="418">
        <v>0</v>
      </c>
      <c r="CB22" s="418">
        <v>0</v>
      </c>
      <c r="CC22" s="418">
        <v>0</v>
      </c>
      <c r="CD22" s="418">
        <v>0</v>
      </c>
      <c r="CE22" s="418">
        <v>0</v>
      </c>
      <c r="CF22" s="418">
        <v>0</v>
      </c>
      <c r="CG22" s="419"/>
      <c r="CH22" s="419"/>
      <c r="CJ22" s="286">
        <v>0</v>
      </c>
      <c r="CK22" s="286">
        <v>0</v>
      </c>
      <c r="CL22" s="286">
        <v>0</v>
      </c>
      <c r="CM22" s="418">
        <v>0</v>
      </c>
      <c r="CN22" s="418">
        <v>0</v>
      </c>
      <c r="CO22" s="418">
        <v>0</v>
      </c>
      <c r="CP22" s="418">
        <v>0</v>
      </c>
      <c r="CQ22" s="418">
        <v>0</v>
      </c>
      <c r="CR22" s="418">
        <v>0</v>
      </c>
      <c r="CS22" s="418">
        <v>0</v>
      </c>
      <c r="CT22" s="418">
        <v>0</v>
      </c>
      <c r="CU22" s="419"/>
      <c r="CV22" s="419"/>
    </row>
    <row r="23" spans="1:100" ht="15.75">
      <c r="A23" s="55">
        <v>6</v>
      </c>
      <c r="B23" s="56" t="s">
        <v>49</v>
      </c>
      <c r="C23" s="280"/>
      <c r="D23" s="288">
        <f t="shared" ref="D23:P23" si="44">SUM(D27:D49)</f>
        <v>82250</v>
      </c>
      <c r="E23" s="57">
        <f t="shared" si="44"/>
        <v>117000</v>
      </c>
      <c r="F23" s="57">
        <f t="shared" si="44"/>
        <v>121750</v>
      </c>
      <c r="G23" s="57">
        <f t="shared" si="44"/>
        <v>150000</v>
      </c>
      <c r="H23" s="57">
        <f t="shared" si="44"/>
        <v>99500</v>
      </c>
      <c r="I23" s="57">
        <f t="shared" si="44"/>
        <v>102000</v>
      </c>
      <c r="J23" s="57">
        <f t="shared" si="44"/>
        <v>177632</v>
      </c>
      <c r="K23" s="57">
        <f t="shared" si="44"/>
        <v>178158</v>
      </c>
      <c r="L23" s="57">
        <f t="shared" si="44"/>
        <v>199211</v>
      </c>
      <c r="M23" s="57">
        <f t="shared" si="44"/>
        <v>229474</v>
      </c>
      <c r="N23" s="57">
        <f t="shared" si="44"/>
        <v>122368</v>
      </c>
      <c r="O23" s="57">
        <f t="shared" si="44"/>
        <v>38421</v>
      </c>
      <c r="P23" s="289">
        <f t="shared" si="44"/>
        <v>1617764</v>
      </c>
      <c r="Q23" s="39"/>
      <c r="R23" s="288">
        <f t="shared" ref="R23:AC23" si="45">R27+R50</f>
        <v>136177.33998294926</v>
      </c>
      <c r="S23" s="58">
        <f t="shared" si="45"/>
        <v>143840.32639116928</v>
      </c>
      <c r="T23" s="58">
        <f t="shared" si="45"/>
        <v>142553.77192982455</v>
      </c>
      <c r="U23" s="58">
        <f t="shared" si="45"/>
        <v>19814.899999999998</v>
      </c>
      <c r="V23" s="58">
        <f t="shared" si="45"/>
        <v>52085</v>
      </c>
      <c r="W23" s="290">
        <f t="shared" si="45"/>
        <v>70169.381950239796</v>
      </c>
      <c r="X23" s="290">
        <f t="shared" si="45"/>
        <v>144463.33333333299</v>
      </c>
      <c r="Y23" s="290">
        <f t="shared" si="45"/>
        <v>226547.08333333331</v>
      </c>
      <c r="Z23" s="290">
        <f t="shared" si="45"/>
        <v>273187.5</v>
      </c>
      <c r="AA23" s="290">
        <f t="shared" si="45"/>
        <v>172100</v>
      </c>
      <c r="AB23" s="290">
        <f t="shared" si="45"/>
        <v>37500</v>
      </c>
      <c r="AC23" s="290">
        <f t="shared" si="45"/>
        <v>0</v>
      </c>
      <c r="AD23" s="291">
        <f>SUM(R23:AC23)</f>
        <v>1418438.6369208493</v>
      </c>
      <c r="AE23" s="59"/>
      <c r="AF23" s="292">
        <f>AF27+AF50</f>
        <v>128646</v>
      </c>
      <c r="AG23" s="58">
        <f t="shared" ref="AG23:AQ23" si="46">AG27+AG50</f>
        <v>177977</v>
      </c>
      <c r="AH23" s="58">
        <f t="shared" si="46"/>
        <v>73624</v>
      </c>
      <c r="AI23" s="58">
        <f t="shared" si="46"/>
        <v>89358</v>
      </c>
      <c r="AJ23" s="58">
        <f t="shared" si="46"/>
        <v>122134</v>
      </c>
      <c r="AK23" s="58">
        <f t="shared" si="46"/>
        <v>148560</v>
      </c>
      <c r="AL23" s="58">
        <f t="shared" si="46"/>
        <v>151995</v>
      </c>
      <c r="AM23" s="58">
        <f t="shared" si="46"/>
        <v>238903</v>
      </c>
      <c r="AN23" s="58">
        <f t="shared" si="46"/>
        <v>261133.33333333334</v>
      </c>
      <c r="AO23" s="58">
        <f t="shared" si="46"/>
        <v>255900</v>
      </c>
      <c r="AP23" s="58">
        <f t="shared" si="46"/>
        <v>128640</v>
      </c>
      <c r="AQ23" s="58">
        <f t="shared" si="46"/>
        <v>97840</v>
      </c>
      <c r="AR23" s="58">
        <f>SUM(AF23:AQ23)</f>
        <v>1874710.3333333333</v>
      </c>
      <c r="AS23" s="59"/>
      <c r="AT23" s="58">
        <f t="shared" ref="AT23:BD23" si="47">AT27+AT50</f>
        <v>152749.25</v>
      </c>
      <c r="AU23" s="58">
        <f t="shared" si="47"/>
        <v>168522.10344827586</v>
      </c>
      <c r="AV23" s="58">
        <f t="shared" si="47"/>
        <v>154121.13793103449</v>
      </c>
      <c r="AW23" s="58">
        <f t="shared" si="47"/>
        <v>159595.13793103449</v>
      </c>
      <c r="AX23" s="58">
        <f t="shared" si="47"/>
        <v>120099.96551724138</v>
      </c>
      <c r="AY23" s="58">
        <f t="shared" si="47"/>
        <v>138343.77777777778</v>
      </c>
      <c r="AZ23" s="58">
        <f t="shared" si="47"/>
        <v>166673.77777777778</v>
      </c>
      <c r="BA23" s="58">
        <f t="shared" si="47"/>
        <v>242442.29629629629</v>
      </c>
      <c r="BB23" s="58">
        <f t="shared" si="47"/>
        <v>243407.77777777778</v>
      </c>
      <c r="BC23" s="58">
        <f t="shared" si="47"/>
        <v>253368.29075565783</v>
      </c>
      <c r="BD23" s="58">
        <f t="shared" si="47"/>
        <v>134555.58688147296</v>
      </c>
      <c r="BE23" s="58">
        <f>BE27+BE51</f>
        <v>72686.612965093984</v>
      </c>
      <c r="BF23" s="58">
        <f t="shared" ref="BF23:BF25" si="48">SUM(AT23:BE23)</f>
        <v>2006565.7150594404</v>
      </c>
      <c r="BG23" s="59">
        <f>BF23-AR23</f>
        <v>131855.38172610709</v>
      </c>
      <c r="BH23" s="58">
        <f>BH24+BH50</f>
        <v>152753</v>
      </c>
      <c r="BI23" s="58">
        <f t="shared" ref="BI23:BN23" si="49">BI24+BI50</f>
        <v>146822.33333333331</v>
      </c>
      <c r="BJ23" s="58">
        <f t="shared" si="49"/>
        <v>171546.07407407407</v>
      </c>
      <c r="BK23" s="58">
        <f t="shared" si="49"/>
        <v>159771.74074074073</v>
      </c>
      <c r="BL23" s="58">
        <f t="shared" si="49"/>
        <v>132496.85185185185</v>
      </c>
      <c r="BM23" s="58">
        <f t="shared" si="49"/>
        <v>129906.25925925926</v>
      </c>
      <c r="BN23" s="58">
        <f t="shared" si="49"/>
        <v>171383.55555555556</v>
      </c>
      <c r="BO23" s="58">
        <f>BO24+BO51</f>
        <v>179550.37811111109</v>
      </c>
      <c r="BP23" s="58">
        <f>BP24+BP51</f>
        <v>202053.74953703705</v>
      </c>
      <c r="BQ23" s="58">
        <f>BQ24+BQ51</f>
        <v>163865</v>
      </c>
      <c r="BR23" s="58">
        <f>BR24+BR51</f>
        <v>175620.6</v>
      </c>
      <c r="BS23" s="58">
        <v>92285.6</v>
      </c>
      <c r="BT23" s="58">
        <f t="shared" ref="BT23:BT25" si="50">SUM(BH23:BS23)</f>
        <v>1878055.142462963</v>
      </c>
      <c r="BU23" s="60"/>
      <c r="BV23" s="58">
        <f>BV27+(BV51)*$CI$23</f>
        <v>161157.867486095</v>
      </c>
      <c r="BW23" s="58">
        <f t="shared" ref="BW23:CG23" si="51">BW27+(BW51)*$CI$23</f>
        <v>155966.83045180296</v>
      </c>
      <c r="BX23" s="58">
        <f>BX27+(BX51)*$CI$23</f>
        <v>196111.53846153844</v>
      </c>
      <c r="BY23" s="58">
        <f t="shared" si="51"/>
        <v>159169.23076923078</v>
      </c>
      <c r="BZ23" s="58">
        <f>BZ27+(BZ51)*$CI$23</f>
        <v>151482.39341785663</v>
      </c>
      <c r="CA23" s="58">
        <f t="shared" si="51"/>
        <v>141442.12910096842</v>
      </c>
      <c r="CB23" s="58">
        <f>CB27+(CB51)*$CI$23</f>
        <v>176986.21444761599</v>
      </c>
      <c r="CC23" s="58">
        <f t="shared" si="51"/>
        <v>201301.08944885107</v>
      </c>
      <c r="CD23" s="58">
        <f t="shared" si="51"/>
        <v>212833.04013559342</v>
      </c>
      <c r="CE23" s="58">
        <f t="shared" si="51"/>
        <v>215922.30386211892</v>
      </c>
      <c r="CF23" s="58">
        <f>CF27+(CF51)*$CI$23</f>
        <v>171115.84223630186</v>
      </c>
      <c r="CG23" s="58">
        <f t="shared" si="51"/>
        <v>87483.816691710366</v>
      </c>
      <c r="CH23" s="58">
        <f t="shared" ref="CH23:CH24" si="52">SUM(BV23:CG23)</f>
        <v>2030972.2965096838</v>
      </c>
      <c r="CI23" s="594">
        <v>0.95</v>
      </c>
      <c r="CJ23" s="58">
        <f>BV64*1.05</f>
        <v>160274.1</v>
      </c>
      <c r="CK23" s="58">
        <f t="shared" ref="CK23:CR23" si="53">BW64*1.05</f>
        <v>148569.75</v>
      </c>
      <c r="CL23" s="58">
        <f t="shared" si="53"/>
        <v>166181.4</v>
      </c>
      <c r="CM23" s="58">
        <f t="shared" si="53"/>
        <v>142529.1</v>
      </c>
      <c r="CN23" s="58">
        <f t="shared" si="53"/>
        <v>137144.70000000001</v>
      </c>
      <c r="CO23" s="58">
        <f t="shared" si="53"/>
        <v>102160.8</v>
      </c>
      <c r="CP23" s="58">
        <f t="shared" si="53"/>
        <v>169033.2</v>
      </c>
      <c r="CQ23" s="58">
        <f t="shared" si="53"/>
        <v>183893.85</v>
      </c>
      <c r="CR23" s="58">
        <f t="shared" si="53"/>
        <v>226836.75</v>
      </c>
      <c r="CS23" s="58">
        <f t="shared" ref="CS23:CU23" si="54">CE23*1.05</f>
        <v>226718.41905522486</v>
      </c>
      <c r="CT23" s="58">
        <f t="shared" si="54"/>
        <v>179671.63434811696</v>
      </c>
      <c r="CU23" s="58">
        <f t="shared" si="54"/>
        <v>91858.007526295885</v>
      </c>
      <c r="CV23" s="58">
        <v>1957097.174059076</v>
      </c>
    </row>
    <row r="24" spans="1:100">
      <c r="A24" s="61"/>
      <c r="B24" s="62" t="s">
        <v>51</v>
      </c>
      <c r="C24" s="293"/>
      <c r="D24" s="294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295"/>
      <c r="Q24" s="64"/>
      <c r="R24" s="294"/>
      <c r="S24" s="65"/>
      <c r="T24" s="65"/>
      <c r="U24" s="65"/>
      <c r="V24" s="296"/>
      <c r="W24" s="297"/>
      <c r="X24" s="297"/>
      <c r="Y24" s="297"/>
      <c r="Z24" s="297"/>
      <c r="AA24" s="297"/>
      <c r="AB24" s="297"/>
      <c r="AC24" s="66"/>
      <c r="AD24" s="67"/>
      <c r="AE24" s="68"/>
      <c r="AF24" s="298"/>
      <c r="AG24" s="65"/>
      <c r="AH24" s="65"/>
      <c r="AI24" s="65"/>
      <c r="AJ24" s="296"/>
      <c r="AK24" s="296"/>
      <c r="AL24" s="296"/>
      <c r="AM24" s="296"/>
      <c r="AN24" s="65"/>
      <c r="AO24" s="65"/>
      <c r="AP24" s="65"/>
      <c r="AQ24" s="65"/>
      <c r="AR24" s="299"/>
      <c r="AS24" s="68"/>
      <c r="AT24" s="65"/>
      <c r="AU24" s="65"/>
      <c r="AV24" s="65"/>
      <c r="AW24" s="65"/>
      <c r="AX24" s="65"/>
      <c r="AY24" s="69">
        <f t="shared" ref="AY24:BA24" si="55">AY27+AY51</f>
        <v>119777.77777777778</v>
      </c>
      <c r="AZ24" s="69">
        <f t="shared" si="55"/>
        <v>150777.77777777778</v>
      </c>
      <c r="BA24" s="69">
        <f t="shared" si="55"/>
        <v>233098.4962962963</v>
      </c>
      <c r="BB24" s="69">
        <f>BB25/BB26</f>
        <v>210777.77777777778</v>
      </c>
      <c r="BC24" s="69">
        <f>BC27+BC51</f>
        <v>249806.29075565783</v>
      </c>
      <c r="BD24" s="69">
        <f t="shared" ref="BD24:BE24" si="56">BD27+BD51*0.85</f>
        <v>122960.58688147296</v>
      </c>
      <c r="BE24" s="69">
        <f t="shared" si="56"/>
        <v>66386.612965093984</v>
      </c>
      <c r="BF24" s="69">
        <f t="shared" si="48"/>
        <v>1153585.3202318544</v>
      </c>
      <c r="BG24" s="68"/>
      <c r="BH24" s="69">
        <f>BH25/BH26-0.1*BH25/BH26</f>
        <v>116600</v>
      </c>
      <c r="BI24" s="69">
        <f t="shared" ref="BI24" si="57">BI25/BI26-0.1*BI25/BI26</f>
        <v>111533.33333333333</v>
      </c>
      <c r="BJ24" s="69">
        <f t="shared" ref="BJ24:BP24" si="58">BJ25/BJ26-0.05*BJ25/BJ26</f>
        <v>135674.07407407407</v>
      </c>
      <c r="BK24" s="69">
        <f t="shared" si="58"/>
        <v>121740.74074074074</v>
      </c>
      <c r="BL24" s="69">
        <f t="shared" si="58"/>
        <v>93926.851851851854</v>
      </c>
      <c r="BM24" s="69">
        <f t="shared" si="58"/>
        <v>90679.259259259255</v>
      </c>
      <c r="BN24" s="69">
        <f t="shared" si="58"/>
        <v>130255.55555555556</v>
      </c>
      <c r="BO24" s="69">
        <f t="shared" si="58"/>
        <v>150550.37811111109</v>
      </c>
      <c r="BP24" s="69">
        <f t="shared" si="58"/>
        <v>161830.74953703705</v>
      </c>
      <c r="BQ24" s="69">
        <v>127130</v>
      </c>
      <c r="BR24" s="69">
        <v>138687.6</v>
      </c>
      <c r="BS24" s="69">
        <v>43639.199999999997</v>
      </c>
      <c r="BT24" s="69">
        <f t="shared" si="50"/>
        <v>1422247.7424629631</v>
      </c>
      <c r="BU24" s="54"/>
      <c r="BV24" s="69">
        <f>BV27+BV50</f>
        <v>166555.77995873816</v>
      </c>
      <c r="BW24" s="69">
        <f>BW27+BW50</f>
        <v>152835.36924465047</v>
      </c>
      <c r="BX24" s="69">
        <f t="shared" ref="BX24:CG24" si="59">BX27+BX50</f>
        <v>195319.2072937729</v>
      </c>
      <c r="BY24" s="69">
        <f t="shared" si="59"/>
        <v>158396.18906207831</v>
      </c>
      <c r="BZ24" s="69">
        <f t="shared" si="59"/>
        <v>152371.51475009107</v>
      </c>
      <c r="CA24" s="69">
        <f t="shared" si="59"/>
        <v>147696.01107361159</v>
      </c>
      <c r="CB24" s="69">
        <f t="shared" si="59"/>
        <v>189465.0513586243</v>
      </c>
      <c r="CC24" s="69">
        <f t="shared" si="59"/>
        <v>202914.10079748323</v>
      </c>
      <c r="CD24" s="69">
        <f t="shared" si="59"/>
        <v>214499.61628422557</v>
      </c>
      <c r="CE24" s="69">
        <f t="shared" si="59"/>
        <v>217682.99793575107</v>
      </c>
      <c r="CF24" s="69">
        <f t="shared" si="59"/>
        <v>179284.72030485788</v>
      </c>
      <c r="CG24" s="69">
        <f t="shared" si="59"/>
        <v>88389.319383536102</v>
      </c>
      <c r="CH24" s="69">
        <f t="shared" si="52"/>
        <v>2065409.8774474205</v>
      </c>
      <c r="CI24" s="395">
        <f>(CH24-BT57)/BT57</f>
        <v>0.48621753003500767</v>
      </c>
      <c r="CJ24" s="69">
        <v>166555.77995873816</v>
      </c>
      <c r="CK24" s="69">
        <v>152835.36924465047</v>
      </c>
      <c r="CL24" s="69">
        <v>195319.2072937729</v>
      </c>
      <c r="CM24" s="69">
        <v>158396.18906207831</v>
      </c>
      <c r="CN24" s="69">
        <v>152371.51475009107</v>
      </c>
      <c r="CO24" s="69">
        <v>147696.01107361159</v>
      </c>
      <c r="CP24" s="69">
        <v>189465.0513586243</v>
      </c>
      <c r="CQ24" s="69">
        <v>202914.10079748323</v>
      </c>
      <c r="CR24" s="69">
        <v>214499.61628422557</v>
      </c>
      <c r="CS24" s="69">
        <v>217682.99793575107</v>
      </c>
      <c r="CT24" s="69">
        <v>179284.72030485788</v>
      </c>
      <c r="CU24" s="69">
        <v>88389.319383536102</v>
      </c>
      <c r="CV24" s="69">
        <v>2065409.8774474205</v>
      </c>
    </row>
    <row r="25" spans="1:100">
      <c r="A25" s="61"/>
      <c r="B25" s="62" t="s">
        <v>52</v>
      </c>
      <c r="C25" s="293"/>
      <c r="D25" s="294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295"/>
      <c r="Q25" s="64"/>
      <c r="R25" s="294"/>
      <c r="S25" s="65"/>
      <c r="T25" s="65"/>
      <c r="U25" s="65"/>
      <c r="V25" s="296"/>
      <c r="W25" s="297"/>
      <c r="X25" s="297"/>
      <c r="Y25" s="297"/>
      <c r="Z25" s="297"/>
      <c r="AA25" s="297"/>
      <c r="AB25" s="297"/>
      <c r="AC25" s="66"/>
      <c r="AD25" s="67"/>
      <c r="AE25" s="68"/>
      <c r="AF25" s="298"/>
      <c r="AG25" s="65"/>
      <c r="AH25" s="65" t="s">
        <v>53</v>
      </c>
      <c r="AI25" s="65"/>
      <c r="AJ25" s="296"/>
      <c r="AK25" s="296"/>
      <c r="AL25" s="296"/>
      <c r="AM25" s="296"/>
      <c r="AN25" s="65">
        <v>6715000</v>
      </c>
      <c r="AO25" s="65">
        <v>6555000</v>
      </c>
      <c r="AP25" s="65">
        <v>2640000</v>
      </c>
      <c r="AQ25" s="65">
        <v>1302000</v>
      </c>
      <c r="AR25" s="299"/>
      <c r="AS25" s="68"/>
      <c r="AT25" s="65">
        <v>3264695</v>
      </c>
      <c r="AU25" s="65">
        <v>3863760</v>
      </c>
      <c r="AV25" s="65">
        <v>3429225</v>
      </c>
      <c r="AW25" s="65">
        <v>3525360</v>
      </c>
      <c r="AX25" s="65">
        <v>2509485</v>
      </c>
      <c r="AY25" s="65">
        <v>2829000</v>
      </c>
      <c r="AZ25" s="65">
        <v>3666000</v>
      </c>
      <c r="BA25" s="65">
        <v>5705000</v>
      </c>
      <c r="BB25" s="65">
        <v>5691000</v>
      </c>
      <c r="BC25" s="65">
        <v>5600000</v>
      </c>
      <c r="BD25" s="65">
        <v>2430000</v>
      </c>
      <c r="BE25" s="65">
        <v>800000</v>
      </c>
      <c r="BF25" s="69">
        <f t="shared" si="48"/>
        <v>43313525</v>
      </c>
      <c r="BG25" s="68"/>
      <c r="BH25" s="70">
        <v>3498000</v>
      </c>
      <c r="BI25" s="70">
        <v>3346000</v>
      </c>
      <c r="BJ25" s="70">
        <v>3856000</v>
      </c>
      <c r="BK25" s="70">
        <v>3460000</v>
      </c>
      <c r="BL25" s="70">
        <v>2669500</v>
      </c>
      <c r="BM25" s="70">
        <v>2577200</v>
      </c>
      <c r="BN25" s="70">
        <v>3702000</v>
      </c>
      <c r="BO25" s="70">
        <v>4278800.22</v>
      </c>
      <c r="BP25" s="70">
        <v>4599400.25</v>
      </c>
      <c r="BQ25" s="70">
        <f>BQ24*BQ26</f>
        <v>3432510</v>
      </c>
      <c r="BR25" s="70">
        <v>2954493.21</v>
      </c>
      <c r="BS25" s="70">
        <v>984831.07</v>
      </c>
      <c r="BT25" s="65">
        <f t="shared" si="50"/>
        <v>39358734.75</v>
      </c>
      <c r="BU25" s="54"/>
      <c r="BV25" s="70">
        <f>BV26*BV27</f>
        <v>3399704.5546384701</v>
      </c>
      <c r="BW25" s="70">
        <f t="shared" ref="BW25:CG25" si="60">BW26*BW27</f>
        <v>3264737.5917468769</v>
      </c>
      <c r="BX25" s="70">
        <f t="shared" si="60"/>
        <v>4184999.9999999995</v>
      </c>
      <c r="BY25" s="70">
        <f t="shared" si="60"/>
        <v>3348000.0000000005</v>
      </c>
      <c r="BZ25" s="70">
        <f t="shared" si="60"/>
        <v>3074042.2288642721</v>
      </c>
      <c r="CA25" s="70">
        <f t="shared" si="60"/>
        <v>2812995.3566251793</v>
      </c>
      <c r="CB25" s="70">
        <f t="shared" si="60"/>
        <v>3737141.5756380158</v>
      </c>
      <c r="CC25" s="70">
        <f t="shared" si="60"/>
        <v>4437000.7194458414</v>
      </c>
      <c r="CD25" s="70">
        <f t="shared" si="60"/>
        <v>4710370.4261011425</v>
      </c>
      <c r="CE25" s="70">
        <f t="shared" si="60"/>
        <v>4744197.0280408058</v>
      </c>
      <c r="CF25" s="70">
        <f t="shared" si="60"/>
        <v>3461011.8981438484</v>
      </c>
      <c r="CG25" s="70">
        <f t="shared" si="60"/>
        <v>792579.23398446955</v>
      </c>
      <c r="CH25" s="65">
        <f>SUM(BV25:CG25)</f>
        <v>41966780.613228925</v>
      </c>
      <c r="CJ25" s="70">
        <v>3399704.5546384701</v>
      </c>
      <c r="CK25" s="70">
        <v>3264737.5917468769</v>
      </c>
      <c r="CL25" s="70">
        <v>4184999.9999999995</v>
      </c>
      <c r="CM25" s="70">
        <v>3348000.0000000005</v>
      </c>
      <c r="CN25" s="70">
        <v>3074042.2288642721</v>
      </c>
      <c r="CO25" s="70">
        <v>2812995.3566251793</v>
      </c>
      <c r="CP25" s="70">
        <v>3737141.5756380158</v>
      </c>
      <c r="CQ25" s="70">
        <v>4437000.7194458414</v>
      </c>
      <c r="CR25" s="70">
        <v>4710370.4261011425</v>
      </c>
      <c r="CS25" s="70">
        <v>4744197.0280408058</v>
      </c>
      <c r="CT25" s="70">
        <v>3461011.8981438484</v>
      </c>
      <c r="CU25" s="70">
        <v>792579.23398446955</v>
      </c>
      <c r="CV25" s="65">
        <v>41966780.613228925</v>
      </c>
    </row>
    <row r="26" spans="1:100">
      <c r="A26" s="71"/>
      <c r="B26" s="72" t="s">
        <v>54</v>
      </c>
      <c r="C26" s="300"/>
      <c r="D26" s="301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302"/>
      <c r="Q26" s="74"/>
      <c r="R26" s="301"/>
      <c r="S26" s="69"/>
      <c r="T26" s="69"/>
      <c r="U26" s="69"/>
      <c r="V26" s="303"/>
      <c r="W26" s="304"/>
      <c r="X26" s="304"/>
      <c r="Y26" s="304"/>
      <c r="Z26" s="304"/>
      <c r="AA26" s="304"/>
      <c r="AB26" s="304"/>
      <c r="AC26" s="75"/>
      <c r="AD26" s="76"/>
      <c r="AE26" s="77"/>
      <c r="AF26" s="305"/>
      <c r="AG26" s="69"/>
      <c r="AH26" s="69"/>
      <c r="AI26" s="69"/>
      <c r="AJ26" s="303"/>
      <c r="AK26" s="303"/>
      <c r="AL26" s="303"/>
      <c r="AM26" s="303"/>
      <c r="AN26" s="69">
        <f t="shared" ref="AN26:AQ26" si="61">30</f>
        <v>30</v>
      </c>
      <c r="AO26" s="69">
        <f t="shared" si="61"/>
        <v>30</v>
      </c>
      <c r="AP26" s="69">
        <f t="shared" si="61"/>
        <v>30</v>
      </c>
      <c r="AQ26" s="69">
        <f t="shared" si="61"/>
        <v>30</v>
      </c>
      <c r="AR26" s="306"/>
      <c r="AS26" s="77"/>
      <c r="AT26" s="69">
        <v>28</v>
      </c>
      <c r="AU26" s="69">
        <v>29</v>
      </c>
      <c r="AV26" s="69">
        <v>29</v>
      </c>
      <c r="AW26" s="69">
        <v>29</v>
      </c>
      <c r="AX26" s="69">
        <v>29</v>
      </c>
      <c r="AY26" s="69">
        <v>27</v>
      </c>
      <c r="AZ26" s="69">
        <v>27</v>
      </c>
      <c r="BA26" s="69">
        <v>27</v>
      </c>
      <c r="BB26" s="69">
        <v>27</v>
      </c>
      <c r="BC26" s="69">
        <v>26.07</v>
      </c>
      <c r="BD26" s="69">
        <v>26.07</v>
      </c>
      <c r="BE26" s="69">
        <v>26.07</v>
      </c>
      <c r="BF26" s="305"/>
      <c r="BG26" s="78"/>
      <c r="BH26" s="69">
        <v>27</v>
      </c>
      <c r="BI26" s="69">
        <v>27</v>
      </c>
      <c r="BJ26" s="69">
        <v>27</v>
      </c>
      <c r="BK26" s="69">
        <v>27</v>
      </c>
      <c r="BL26" s="69">
        <v>27</v>
      </c>
      <c r="BM26" s="69">
        <v>27</v>
      </c>
      <c r="BN26" s="69">
        <v>27</v>
      </c>
      <c r="BO26" s="69">
        <v>27</v>
      </c>
      <c r="BP26" s="69">
        <v>27</v>
      </c>
      <c r="BQ26" s="69">
        <v>27</v>
      </c>
      <c r="BR26" s="69">
        <v>27</v>
      </c>
      <c r="BS26" s="69">
        <v>27</v>
      </c>
      <c r="BT26" s="69"/>
      <c r="BU26" s="54"/>
      <c r="BV26" s="69">
        <v>26</v>
      </c>
      <c r="BW26" s="69">
        <v>26</v>
      </c>
      <c r="BX26" s="69">
        <v>26</v>
      </c>
      <c r="BY26" s="69">
        <v>26</v>
      </c>
      <c r="BZ26" s="69">
        <v>26</v>
      </c>
      <c r="CA26" s="69">
        <v>26</v>
      </c>
      <c r="CB26" s="69">
        <v>26</v>
      </c>
      <c r="CC26" s="69">
        <v>26</v>
      </c>
      <c r="CD26" s="69">
        <v>26</v>
      </c>
      <c r="CE26" s="69">
        <v>26</v>
      </c>
      <c r="CF26" s="69">
        <v>26</v>
      </c>
      <c r="CG26" s="69">
        <v>26</v>
      </c>
      <c r="CH26" s="69"/>
      <c r="CJ26" s="69">
        <v>26</v>
      </c>
      <c r="CK26" s="69">
        <v>26</v>
      </c>
      <c r="CL26" s="69">
        <v>26</v>
      </c>
      <c r="CM26" s="69">
        <v>26</v>
      </c>
      <c r="CN26" s="69">
        <v>26</v>
      </c>
      <c r="CO26" s="69">
        <v>26</v>
      </c>
      <c r="CP26" s="69">
        <v>26</v>
      </c>
      <c r="CQ26" s="69">
        <v>26</v>
      </c>
      <c r="CR26" s="69">
        <v>26</v>
      </c>
      <c r="CS26" s="69">
        <v>26</v>
      </c>
      <c r="CT26" s="69">
        <v>26</v>
      </c>
      <c r="CU26" s="69">
        <v>26</v>
      </c>
      <c r="CV26" s="69"/>
    </row>
    <row r="27" spans="1:100" ht="15.75">
      <c r="A27" s="79"/>
      <c r="B27" s="80" t="s">
        <v>55</v>
      </c>
      <c r="C27" s="81"/>
      <c r="D27" s="288">
        <v>82250</v>
      </c>
      <c r="E27" s="57">
        <v>117000</v>
      </c>
      <c r="F27" s="57">
        <v>121750</v>
      </c>
      <c r="G27" s="57">
        <v>150000</v>
      </c>
      <c r="H27" s="57">
        <v>99500</v>
      </c>
      <c r="I27" s="57">
        <v>102000</v>
      </c>
      <c r="J27" s="57">
        <v>177632</v>
      </c>
      <c r="K27" s="57">
        <v>178158</v>
      </c>
      <c r="L27" s="57">
        <v>199211</v>
      </c>
      <c r="M27" s="57">
        <v>229474</v>
      </c>
      <c r="N27" s="57">
        <v>122368</v>
      </c>
      <c r="O27" s="57">
        <v>38421</v>
      </c>
      <c r="P27" s="289">
        <f>SUM(D27:O27)</f>
        <v>1617764</v>
      </c>
      <c r="Q27" s="39"/>
      <c r="R27" s="288">
        <v>115619.79612330014</v>
      </c>
      <c r="S27" s="58">
        <v>123327.78253152016</v>
      </c>
      <c r="T27" s="58">
        <v>128854</v>
      </c>
      <c r="U27" s="58">
        <f>126016*0.15</f>
        <v>18902.399999999998</v>
      </c>
      <c r="V27" s="58">
        <v>35234</v>
      </c>
      <c r="W27" s="290">
        <v>56469.381950239796</v>
      </c>
      <c r="X27" s="290">
        <v>118413.33333333299</v>
      </c>
      <c r="Y27" s="290">
        <v>198797.08333333331</v>
      </c>
      <c r="Z27" s="290">
        <v>242087.5</v>
      </c>
      <c r="AA27" s="290">
        <v>140000</v>
      </c>
      <c r="AB27" s="290">
        <v>0</v>
      </c>
      <c r="AC27" s="290">
        <v>-45300</v>
      </c>
      <c r="AD27" s="291">
        <f>SUM(R27:AC27)</f>
        <v>1132405.2772717264</v>
      </c>
      <c r="AE27" s="59"/>
      <c r="AF27" s="292">
        <v>90146</v>
      </c>
      <c r="AG27" s="58">
        <v>155577</v>
      </c>
      <c r="AH27" s="58">
        <v>62953</v>
      </c>
      <c r="AI27" s="58">
        <v>73261</v>
      </c>
      <c r="AJ27" s="58">
        <v>91856</v>
      </c>
      <c r="AK27" s="58">
        <v>120000</v>
      </c>
      <c r="AL27" s="58">
        <v>110295</v>
      </c>
      <c r="AM27" s="58">
        <v>200203</v>
      </c>
      <c r="AN27" s="58">
        <f t="shared" ref="AN27:AQ27" si="62">AN25/AN26</f>
        <v>223833.33333333334</v>
      </c>
      <c r="AO27" s="58">
        <f t="shared" si="62"/>
        <v>218500</v>
      </c>
      <c r="AP27" s="58">
        <f t="shared" si="62"/>
        <v>88000</v>
      </c>
      <c r="AQ27" s="58">
        <f t="shared" si="62"/>
        <v>43400</v>
      </c>
      <c r="AR27" s="58">
        <f>SUM(AF27:AQ27)</f>
        <v>1478024.3333333333</v>
      </c>
      <c r="AS27" s="59"/>
      <c r="AT27" s="58">
        <f t="shared" ref="AT27:BE27" si="63">AT25/AT26</f>
        <v>116596.25</v>
      </c>
      <c r="AU27" s="58">
        <f t="shared" si="63"/>
        <v>133233.10344827586</v>
      </c>
      <c r="AV27" s="58">
        <f t="shared" si="63"/>
        <v>118249.13793103448</v>
      </c>
      <c r="AW27" s="58">
        <f t="shared" si="63"/>
        <v>121564.13793103448</v>
      </c>
      <c r="AX27" s="58">
        <f t="shared" si="63"/>
        <v>86533.965517241377</v>
      </c>
      <c r="AY27" s="58">
        <f t="shared" si="63"/>
        <v>104777.77777777778</v>
      </c>
      <c r="AZ27" s="58">
        <f t="shared" si="63"/>
        <v>135777.77777777778</v>
      </c>
      <c r="BA27" s="58">
        <f t="shared" si="63"/>
        <v>211296.29629629629</v>
      </c>
      <c r="BB27" s="58">
        <f t="shared" si="63"/>
        <v>210777.77777777778</v>
      </c>
      <c r="BC27" s="58">
        <f t="shared" si="63"/>
        <v>214806.29075565783</v>
      </c>
      <c r="BD27" s="58">
        <f t="shared" si="63"/>
        <v>93210.586881472962</v>
      </c>
      <c r="BE27" s="58">
        <f t="shared" si="63"/>
        <v>30686.612965093977</v>
      </c>
      <c r="BF27" s="58">
        <f>SUM(AT27:BE27)</f>
        <v>1577509.7150594404</v>
      </c>
      <c r="BG27" s="59">
        <f>BF27-AR27</f>
        <v>99485.381726107094</v>
      </c>
      <c r="BH27" s="58">
        <f>BH24</f>
        <v>116600</v>
      </c>
      <c r="BI27" s="58">
        <f t="shared" ref="BI27:BT27" si="64">BI24</f>
        <v>111533.33333333333</v>
      </c>
      <c r="BJ27" s="58">
        <f t="shared" si="64"/>
        <v>135674.07407407407</v>
      </c>
      <c r="BK27" s="58">
        <f t="shared" si="64"/>
        <v>121740.74074074074</v>
      </c>
      <c r="BL27" s="58">
        <f t="shared" si="64"/>
        <v>93926.851851851854</v>
      </c>
      <c r="BM27" s="58">
        <f t="shared" si="64"/>
        <v>90679.259259259255</v>
      </c>
      <c r="BN27" s="58">
        <f t="shared" si="64"/>
        <v>130255.55555555556</v>
      </c>
      <c r="BO27" s="58">
        <f t="shared" si="64"/>
        <v>150550.37811111109</v>
      </c>
      <c r="BP27" s="58">
        <f t="shared" si="64"/>
        <v>161830.74953703705</v>
      </c>
      <c r="BQ27" s="58">
        <f t="shared" si="64"/>
        <v>127130</v>
      </c>
      <c r="BR27" s="58">
        <f>BR24</f>
        <v>138687.6</v>
      </c>
      <c r="BS27" s="58">
        <f t="shared" si="64"/>
        <v>43639.199999999997</v>
      </c>
      <c r="BT27" s="58">
        <f t="shared" si="64"/>
        <v>1422247.7424629631</v>
      </c>
      <c r="BU27" s="60"/>
      <c r="BV27" s="58">
        <f>'META  EM PEÇAS'!S73</f>
        <v>130757.867486095</v>
      </c>
      <c r="BW27" s="58">
        <f>'META  EM PEÇAS'!T73</f>
        <v>125566.83045180296</v>
      </c>
      <c r="BX27" s="58">
        <f>'META  EM PEÇAS'!U73</f>
        <v>160961.53846153844</v>
      </c>
      <c r="BY27" s="58">
        <f>'META  EM PEÇAS'!V73</f>
        <v>128769.23076923078</v>
      </c>
      <c r="BZ27" s="58">
        <f>'META  EM PEÇAS'!W73</f>
        <v>118232.39341785663</v>
      </c>
      <c r="CA27" s="58">
        <f>'META  EM PEÇAS'!X73</f>
        <v>108192.12910096844</v>
      </c>
      <c r="CB27" s="58">
        <f>'META  EM PEÇAS'!Y73</f>
        <v>143736.21444761599</v>
      </c>
      <c r="CC27" s="58">
        <f>'META  EM PEÇAS'!Z73</f>
        <v>170653.87382484006</v>
      </c>
      <c r="CD27" s="58">
        <f>'META  EM PEÇAS'!AA73</f>
        <v>181168.0933115824</v>
      </c>
      <c r="CE27" s="58">
        <f>'META  EM PEÇAS'!AB73</f>
        <v>182469.1164631079</v>
      </c>
      <c r="CF27" s="58">
        <f>'META  EM PEÇAS'!AC73</f>
        <v>133115.84223630186</v>
      </c>
      <c r="CG27" s="58">
        <f>'META  EM PEÇAS'!AD73</f>
        <v>30483.816691710366</v>
      </c>
      <c r="CH27" s="58">
        <v>45</v>
      </c>
      <c r="CI27">
        <f>CH27*26</f>
        <v>1170</v>
      </c>
      <c r="CJ27" s="58">
        <v>130757.867486095</v>
      </c>
      <c r="CK27" s="58">
        <v>125566.83045180296</v>
      </c>
      <c r="CL27" s="58">
        <v>160961.53846153844</v>
      </c>
      <c r="CM27" s="58">
        <v>128769.23076923078</v>
      </c>
      <c r="CN27" s="58">
        <v>118232.39341785663</v>
      </c>
      <c r="CO27" s="58">
        <v>108192.12910096844</v>
      </c>
      <c r="CP27" s="58">
        <v>143736.21444761599</v>
      </c>
      <c r="CQ27" s="58">
        <v>170653.87382484006</v>
      </c>
      <c r="CR27" s="58">
        <v>181168.0933115824</v>
      </c>
      <c r="CS27" s="58">
        <v>182469.1164631079</v>
      </c>
      <c r="CT27" s="58">
        <v>133115.84223630186</v>
      </c>
      <c r="CU27" s="58">
        <v>30483.816691710366</v>
      </c>
      <c r="CV27" s="58">
        <v>1614106.9466626509</v>
      </c>
    </row>
    <row r="28" spans="1:100">
      <c r="A28" s="307"/>
      <c r="B28" s="82"/>
      <c r="C28" s="308"/>
      <c r="D28" s="309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310"/>
      <c r="Q28" s="84"/>
      <c r="R28" s="309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311"/>
      <c r="AE28" s="23"/>
      <c r="AF28" s="312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6"/>
      <c r="AS28" s="23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2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54"/>
      <c r="BV28" s="87"/>
      <c r="BW28" s="87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87"/>
    </row>
    <row r="29" spans="1:100" ht="15" hidden="1" customHeight="1" outlineLevel="1">
      <c r="A29" s="88">
        <v>1</v>
      </c>
      <c r="B29" s="1095" t="s">
        <v>56</v>
      </c>
      <c r="C29" s="1117"/>
      <c r="D29" s="313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314">
        <f t="shared" ref="P29:P41" si="65">SUM(D29:O29)</f>
        <v>0</v>
      </c>
      <c r="Q29" s="90"/>
      <c r="R29" s="313">
        <v>7017.5438596491231</v>
      </c>
      <c r="S29" s="91">
        <v>7017.5438596491231</v>
      </c>
      <c r="T29" s="91">
        <f>7017.54385964912/2</f>
        <v>3508.7719298245602</v>
      </c>
      <c r="U29" s="91">
        <f>96*U7</f>
        <v>96</v>
      </c>
      <c r="V29" s="91">
        <v>3000</v>
      </c>
      <c r="W29" s="91">
        <v>7200</v>
      </c>
      <c r="X29" s="91">
        <v>8500</v>
      </c>
      <c r="Y29" s="91">
        <v>8500</v>
      </c>
      <c r="Z29" s="91">
        <v>8500</v>
      </c>
      <c r="AA29" s="91">
        <v>9000</v>
      </c>
      <c r="AB29" s="91">
        <v>9500</v>
      </c>
      <c r="AC29" s="91">
        <v>8500</v>
      </c>
      <c r="AD29" s="315">
        <f t="shared" ref="AD29:AD43" si="66">SUM(R29:AC29)</f>
        <v>80339.859649122809</v>
      </c>
      <c r="AE29" s="23"/>
      <c r="AF29" s="316">
        <v>8000</v>
      </c>
      <c r="AG29" s="91">
        <v>4000</v>
      </c>
      <c r="AH29" s="91">
        <v>5673</v>
      </c>
      <c r="AI29" s="91">
        <v>4500</v>
      </c>
      <c r="AJ29" s="91">
        <v>7892</v>
      </c>
      <c r="AK29" s="91">
        <v>6400</v>
      </c>
      <c r="AL29" s="91">
        <v>8000</v>
      </c>
      <c r="AM29" s="91">
        <v>8000</v>
      </c>
      <c r="AN29" s="91">
        <v>8000</v>
      </c>
      <c r="AO29" s="91">
        <v>8000</v>
      </c>
      <c r="AP29" s="91">
        <v>8800</v>
      </c>
      <c r="AQ29" s="91">
        <v>6400</v>
      </c>
      <c r="AR29" s="92">
        <f t="shared" ref="AR29:AR47" si="67">SUM(AF29:AQ29)</f>
        <v>83665</v>
      </c>
      <c r="AS29" s="23"/>
      <c r="AT29" s="91">
        <v>4861</v>
      </c>
      <c r="AU29" s="91">
        <v>5809</v>
      </c>
      <c r="AV29" s="91">
        <v>5072</v>
      </c>
      <c r="AW29" s="91">
        <v>4725</v>
      </c>
      <c r="AX29" s="317">
        <v>5832</v>
      </c>
      <c r="AY29" s="317">
        <v>5832</v>
      </c>
      <c r="AZ29" s="317">
        <v>5567</v>
      </c>
      <c r="BA29" s="317">
        <v>5567</v>
      </c>
      <c r="BB29" s="317">
        <v>5832</v>
      </c>
      <c r="BC29" s="317">
        <v>6892</v>
      </c>
      <c r="BD29" s="317">
        <v>7422</v>
      </c>
      <c r="BE29" s="317">
        <v>4241</v>
      </c>
      <c r="BF29" s="91">
        <f t="shared" ref="BF29:BF61" si="68">SUM(AT29:BE29)</f>
        <v>67652</v>
      </c>
      <c r="BG29" s="93">
        <f t="shared" ref="BG29:BG47" si="69">BF29/AR29-1</f>
        <v>-0.19139425088149165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>
        <v>36051</v>
      </c>
      <c r="BU29" s="54"/>
      <c r="BV29" s="91">
        <v>4782.99</v>
      </c>
      <c r="BW29" s="91">
        <v>2945.31</v>
      </c>
      <c r="BX29" s="91">
        <f>'META  EM PEÇAS'!U26-('META  EM PEÇAS'!U26*0.05)</f>
        <v>7080.3689999999997</v>
      </c>
      <c r="BY29" s="91">
        <f>'META  EM PEÇAS'!V26-('META  EM PEÇAS'!V26*0.05)</f>
        <v>4355.6549999999997</v>
      </c>
      <c r="BZ29" s="91">
        <f>'META  EM PEÇAS'!W26-('META  EM PEÇAS'!W26*0.05)</f>
        <v>5839.9349999999995</v>
      </c>
      <c r="CA29" s="91">
        <f>'META  EM PEÇAS'!X26-('META  EM PEÇAS'!X26*0.05)</f>
        <v>5900.8964999999989</v>
      </c>
      <c r="CB29" s="91">
        <f>'META  EM PEÇAS'!Y26-('META  EM PEÇAS'!Y26*0.05)</f>
        <v>5279.7959999999994</v>
      </c>
      <c r="CC29" s="91">
        <f>'META  EM PEÇAS'!Z26-('META  EM PEÇAS'!Z26*0.05)</f>
        <v>4897.2404999999999</v>
      </c>
      <c r="CD29" s="91">
        <f>'META  EM PEÇAS'!AA26-('META  EM PEÇAS'!AA26*0.05)</f>
        <v>5018.28</v>
      </c>
      <c r="CE29" s="91">
        <f>'META  EM PEÇAS'!AB26-('META  EM PEÇAS'!AB26*0.05)</f>
        <v>4641.0254999999997</v>
      </c>
      <c r="CF29" s="91">
        <f>'META  EM PEÇAS'!AC26-('META  EM PEÇAS'!AC26*0.05)</f>
        <v>6521.1134999999995</v>
      </c>
      <c r="CG29" s="91">
        <f>'META  EM PEÇAS'!AD26-('META  EM PEÇAS'!AD26*0.05)</f>
        <v>3929.8079999999995</v>
      </c>
      <c r="CH29" s="91">
        <v>4136.6400000000003</v>
      </c>
      <c r="CJ29" s="91">
        <v>4782.99</v>
      </c>
      <c r="CK29" s="91">
        <v>2945.31</v>
      </c>
      <c r="CL29" s="91">
        <v>7080.3689999999997</v>
      </c>
      <c r="CM29" s="91">
        <v>4355.6549999999997</v>
      </c>
      <c r="CN29" s="91">
        <v>5839.9349999999995</v>
      </c>
      <c r="CO29" s="91">
        <v>5900.8964999999989</v>
      </c>
      <c r="CP29" s="91">
        <v>5279.7959999999994</v>
      </c>
      <c r="CQ29" s="91">
        <v>4897.2404999999999</v>
      </c>
      <c r="CR29" s="91">
        <v>5018.28</v>
      </c>
      <c r="CS29" s="91">
        <v>4641.0254999999997</v>
      </c>
      <c r="CT29" s="91">
        <v>6521.1134999999995</v>
      </c>
      <c r="CU29" s="91">
        <v>3929.8079999999995</v>
      </c>
      <c r="CV29" s="91">
        <v>4136.6400000000003</v>
      </c>
    </row>
    <row r="30" spans="1:100" ht="15" hidden="1" customHeight="1" outlineLevel="1">
      <c r="A30" s="94">
        <v>2</v>
      </c>
      <c r="B30" s="1092" t="s">
        <v>57</v>
      </c>
      <c r="C30" s="1118"/>
      <c r="D30" s="313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314">
        <f t="shared" si="65"/>
        <v>0</v>
      </c>
      <c r="Q30" s="90"/>
      <c r="R30" s="313">
        <v>2909</v>
      </c>
      <c r="S30" s="91">
        <v>2545</v>
      </c>
      <c r="T30" s="91">
        <f>2727/1.2</f>
        <v>2272.5</v>
      </c>
      <c r="U30" s="91">
        <f>2*U7</f>
        <v>2</v>
      </c>
      <c r="V30" s="91">
        <v>500</v>
      </c>
      <c r="W30" s="91">
        <v>1300</v>
      </c>
      <c r="X30" s="91">
        <v>3200</v>
      </c>
      <c r="Y30" s="91">
        <v>3200</v>
      </c>
      <c r="Z30" s="91">
        <v>3600</v>
      </c>
      <c r="AA30" s="91">
        <v>3600</v>
      </c>
      <c r="AB30" s="91">
        <v>3600</v>
      </c>
      <c r="AC30" s="91">
        <v>4500</v>
      </c>
      <c r="AD30" s="315">
        <f t="shared" si="66"/>
        <v>31228.5</v>
      </c>
      <c r="AE30" s="23"/>
      <c r="AF30" s="316">
        <v>4000</v>
      </c>
      <c r="AG30" s="91">
        <v>1500</v>
      </c>
      <c r="AH30" s="91">
        <v>189</v>
      </c>
      <c r="AI30" s="91">
        <v>1842</v>
      </c>
      <c r="AJ30" s="91">
        <v>3764</v>
      </c>
      <c r="AK30" s="91">
        <v>3200</v>
      </c>
      <c r="AL30" s="91">
        <v>6000</v>
      </c>
      <c r="AM30" s="91">
        <v>5000</v>
      </c>
      <c r="AN30" s="91">
        <v>5000</v>
      </c>
      <c r="AO30" s="91">
        <v>5000</v>
      </c>
      <c r="AP30" s="91">
        <v>5000</v>
      </c>
      <c r="AQ30" s="91">
        <v>9000</v>
      </c>
      <c r="AR30" s="92">
        <f t="shared" si="67"/>
        <v>49495</v>
      </c>
      <c r="AS30" s="23"/>
      <c r="AT30" s="91">
        <v>5468</v>
      </c>
      <c r="AU30" s="91">
        <v>5468</v>
      </c>
      <c r="AV30" s="91">
        <v>6249</v>
      </c>
      <c r="AW30" s="91">
        <v>6249</v>
      </c>
      <c r="AX30" s="317">
        <v>3923</v>
      </c>
      <c r="AY30" s="317">
        <v>3923</v>
      </c>
      <c r="AZ30" s="317">
        <v>3745</v>
      </c>
      <c r="BA30" s="317">
        <v>3745</v>
      </c>
      <c r="BB30" s="317">
        <v>3923</v>
      </c>
      <c r="BC30" s="317">
        <v>4636</v>
      </c>
      <c r="BD30" s="317">
        <v>4993</v>
      </c>
      <c r="BE30" s="317">
        <v>7133</v>
      </c>
      <c r="BF30" s="91">
        <f t="shared" si="68"/>
        <v>59455</v>
      </c>
      <c r="BG30" s="93">
        <f t="shared" si="69"/>
        <v>0.20123244772199222</v>
      </c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>
        <v>40562</v>
      </c>
      <c r="BU30" s="54"/>
      <c r="BV30" s="91">
        <v>4442.6099999999997</v>
      </c>
      <c r="BW30" s="91">
        <v>3433.56</v>
      </c>
      <c r="BX30" s="91">
        <f>'META  EM PEÇAS'!U27-('META  EM PEÇAS'!U27*0.05)</f>
        <v>3860.0114999999996</v>
      </c>
      <c r="BY30" s="91">
        <f>'META  EM PEÇAS'!V27-('META  EM PEÇAS'!V27*0.05)</f>
        <v>3578.1749999999997</v>
      </c>
      <c r="BZ30" s="91">
        <f>'META  EM PEÇAS'!W27-('META  EM PEÇAS'!W27*0.05)</f>
        <v>4015.5074999999997</v>
      </c>
      <c r="CA30" s="91">
        <f>'META  EM PEÇAS'!X27-('META  EM PEÇAS'!X27*0.05)</f>
        <v>4835.3954999999996</v>
      </c>
      <c r="CB30" s="91">
        <f>'META  EM PEÇAS'!Y27-('META  EM PEÇAS'!Y27*0.05)</f>
        <v>5815.1969999999992</v>
      </c>
      <c r="CC30" s="91">
        <f>'META  EM PEÇAS'!Z27-('META  EM PEÇAS'!Z27*0.05)</f>
        <v>3888.2835</v>
      </c>
      <c r="CD30" s="91">
        <f>'META  EM PEÇAS'!AA27-('META  EM PEÇAS'!AA27*0.05)</f>
        <v>4032.2939999999994</v>
      </c>
      <c r="CE30" s="91">
        <f>'META  EM PEÇAS'!AB27-('META  EM PEÇAS'!AB27*0.05)</f>
        <v>4375.0919999999996</v>
      </c>
      <c r="CF30" s="91">
        <f>'META  EM PEÇAS'!AC27-('META  EM PEÇAS'!AC27*0.05)</f>
        <v>5604.9239999999991</v>
      </c>
      <c r="CG30" s="91">
        <f>'META  EM PEÇAS'!AD27-('META  EM PEÇAS'!AD27*0.05)</f>
        <v>7897.606499999999</v>
      </c>
      <c r="CH30" s="91">
        <f>SUM(BV30:CG30)</f>
        <v>55778.656499999997</v>
      </c>
      <c r="CJ30" s="91">
        <v>4442.6099999999997</v>
      </c>
      <c r="CK30" s="91">
        <v>3433.56</v>
      </c>
      <c r="CL30" s="91">
        <v>3860.0114999999996</v>
      </c>
      <c r="CM30" s="91">
        <v>3578.1749999999997</v>
      </c>
      <c r="CN30" s="91">
        <v>4015.5074999999997</v>
      </c>
      <c r="CO30" s="91">
        <v>4835.3954999999996</v>
      </c>
      <c r="CP30" s="91">
        <v>5815.1969999999992</v>
      </c>
      <c r="CQ30" s="91">
        <v>3888.2835</v>
      </c>
      <c r="CR30" s="91">
        <v>4032.2939999999994</v>
      </c>
      <c r="CS30" s="91">
        <v>4375.0919999999996</v>
      </c>
      <c r="CT30" s="91">
        <v>5604.9239999999991</v>
      </c>
      <c r="CU30" s="91">
        <v>7897.606499999999</v>
      </c>
      <c r="CV30" s="91">
        <v>55778.656499999997</v>
      </c>
    </row>
    <row r="31" spans="1:100" ht="15" hidden="1" customHeight="1" outlineLevel="1">
      <c r="A31" s="94">
        <v>3</v>
      </c>
      <c r="B31" s="1092" t="s">
        <v>58</v>
      </c>
      <c r="C31" s="1118"/>
      <c r="D31" s="313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314">
        <f t="shared" si="65"/>
        <v>0</v>
      </c>
      <c r="Q31" s="90"/>
      <c r="R31" s="313">
        <v>746</v>
      </c>
      <c r="S31" s="91">
        <v>653</v>
      </c>
      <c r="T31" s="91">
        <v>700</v>
      </c>
      <c r="U31" s="91">
        <v>0</v>
      </c>
      <c r="V31" s="91">
        <v>200</v>
      </c>
      <c r="W31" s="91">
        <v>400</v>
      </c>
      <c r="X31" s="91">
        <v>900</v>
      </c>
      <c r="Y31" s="91">
        <v>900</v>
      </c>
      <c r="Z31" s="91">
        <v>900</v>
      </c>
      <c r="AA31" s="91">
        <v>900</v>
      </c>
      <c r="AB31" s="91">
        <v>900</v>
      </c>
      <c r="AC31" s="91">
        <v>1200</v>
      </c>
      <c r="AD31" s="315">
        <f t="shared" si="66"/>
        <v>8399</v>
      </c>
      <c r="AE31" s="23"/>
      <c r="AF31" s="316">
        <v>1800</v>
      </c>
      <c r="AG31" s="91">
        <v>1200</v>
      </c>
      <c r="AH31" s="91">
        <v>230</v>
      </c>
      <c r="AI31" s="91">
        <v>472</v>
      </c>
      <c r="AJ31" s="91">
        <v>1495</v>
      </c>
      <c r="AK31" s="91">
        <v>1200</v>
      </c>
      <c r="AL31" s="91">
        <v>1500</v>
      </c>
      <c r="AM31" s="91">
        <v>1500</v>
      </c>
      <c r="AN31" s="91">
        <v>1500</v>
      </c>
      <c r="AO31" s="91">
        <v>1500</v>
      </c>
      <c r="AP31" s="91">
        <v>1650</v>
      </c>
      <c r="AQ31" s="91">
        <v>2400</v>
      </c>
      <c r="AR31" s="92">
        <f t="shared" si="67"/>
        <v>16447</v>
      </c>
      <c r="AS31" s="23"/>
      <c r="AT31" s="91">
        <v>2438</v>
      </c>
      <c r="AU31" s="91">
        <v>1501</v>
      </c>
      <c r="AV31" s="91">
        <v>1566</v>
      </c>
      <c r="AW31" s="91">
        <v>2127</v>
      </c>
      <c r="AX31" s="317">
        <v>1928</v>
      </c>
      <c r="AY31" s="317">
        <v>1928</v>
      </c>
      <c r="AZ31" s="317">
        <v>1840</v>
      </c>
      <c r="BA31" s="317">
        <v>1840</v>
      </c>
      <c r="BB31" s="317">
        <v>1928</v>
      </c>
      <c r="BC31" s="317">
        <v>2278</v>
      </c>
      <c r="BD31" s="317">
        <v>2454</v>
      </c>
      <c r="BE31" s="317">
        <v>3505</v>
      </c>
      <c r="BF31" s="91">
        <f t="shared" si="68"/>
        <v>25333</v>
      </c>
      <c r="BG31" s="93">
        <f t="shared" si="69"/>
        <v>0.54028090229221126</v>
      </c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>
        <v>7784</v>
      </c>
      <c r="BU31" s="54"/>
      <c r="BV31" s="91">
        <v>450.99999999999989</v>
      </c>
      <c r="BW31" s="91">
        <v>348.59999999999991</v>
      </c>
      <c r="BX31" s="91">
        <f>'META  EM PEÇAS'!U28-('META  EM PEÇAS'!U28*0.05)</f>
        <v>391.96999999999991</v>
      </c>
      <c r="BY31" s="91">
        <f>'META  EM PEÇAS'!V28-('META  EM PEÇAS'!V28*0.05)</f>
        <v>363.27999999999992</v>
      </c>
      <c r="BZ31" s="91">
        <f>'META  EM PEÇAS'!W28-('META  EM PEÇAS'!W28*0.05)</f>
        <v>407.5499999999999</v>
      </c>
      <c r="CA31" s="91">
        <f>'META  EM PEÇAS'!X28-('META  EM PEÇAS'!X28*0.05)</f>
        <v>490.76999999999992</v>
      </c>
      <c r="CB31" s="91">
        <f>'META  EM PEÇAS'!Y28-('META  EM PEÇAS'!Y28*0.05)</f>
        <v>590.32999999999993</v>
      </c>
      <c r="CC31" s="91">
        <f>'META  EM PEÇAS'!Z28-('META  EM PEÇAS'!Z28*0.05)</f>
        <v>394.62999999999994</v>
      </c>
      <c r="CD31" s="91">
        <f>'META  EM PEÇAS'!AA28-('META  EM PEÇAS'!AA28*0.05)</f>
        <v>409.25999999999988</v>
      </c>
      <c r="CE31" s="91">
        <f>'META  EM PEÇAS'!AB28-('META  EM PEÇAS'!AB28*0.05)</f>
        <v>444.21999999999991</v>
      </c>
      <c r="CF31" s="91">
        <f>'META  EM PEÇAS'!AC28-('META  EM PEÇAS'!AC28*0.05)</f>
        <v>569.04999999999984</v>
      </c>
      <c r="CG31" s="91">
        <f>'META  EM PEÇAS'!AD28-('META  EM PEÇAS'!AD28*0.05)</f>
        <v>801.79999999999973</v>
      </c>
      <c r="CH31" s="91">
        <f t="shared" ref="CH31:CH44" si="70">SUM(BV31:CG31)</f>
        <v>5662.4599999999991</v>
      </c>
      <c r="CJ31" s="91">
        <v>450.99999999999989</v>
      </c>
      <c r="CK31" s="91">
        <v>348.59999999999991</v>
      </c>
      <c r="CL31" s="91">
        <v>391.96999999999991</v>
      </c>
      <c r="CM31" s="91">
        <v>363.27999999999992</v>
      </c>
      <c r="CN31" s="91">
        <v>407.5499999999999</v>
      </c>
      <c r="CO31" s="91">
        <v>490.76999999999992</v>
      </c>
      <c r="CP31" s="91">
        <v>590.32999999999993</v>
      </c>
      <c r="CQ31" s="91">
        <v>394.62999999999994</v>
      </c>
      <c r="CR31" s="91">
        <v>409.25999999999988</v>
      </c>
      <c r="CS31" s="91">
        <v>444.21999999999991</v>
      </c>
      <c r="CT31" s="91">
        <v>569.04999999999984</v>
      </c>
      <c r="CU31" s="91">
        <v>801.79999999999973</v>
      </c>
      <c r="CV31" s="91">
        <v>5662.4599999999991</v>
      </c>
    </row>
    <row r="32" spans="1:100" ht="15" hidden="1" customHeight="1" outlineLevel="1">
      <c r="A32" s="94">
        <v>4</v>
      </c>
      <c r="B32" s="1092" t="s">
        <v>59</v>
      </c>
      <c r="C32" s="1118"/>
      <c r="D32" s="313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314">
        <f t="shared" si="65"/>
        <v>0</v>
      </c>
      <c r="Q32" s="90"/>
      <c r="R32" s="313">
        <v>1455</v>
      </c>
      <c r="S32" s="91">
        <f>2036</f>
        <v>2036</v>
      </c>
      <c r="T32" s="91">
        <f>2182/2</f>
        <v>1091</v>
      </c>
      <c r="U32" s="91">
        <v>0</v>
      </c>
      <c r="V32" s="91">
        <v>200</v>
      </c>
      <c r="W32" s="91">
        <v>900</v>
      </c>
      <c r="X32" s="91">
        <v>1600</v>
      </c>
      <c r="Y32" s="91">
        <v>1600</v>
      </c>
      <c r="Z32" s="91">
        <v>1600</v>
      </c>
      <c r="AA32" s="91">
        <v>1600</v>
      </c>
      <c r="AB32" s="91">
        <v>2200</v>
      </c>
      <c r="AC32" s="91">
        <v>2500</v>
      </c>
      <c r="AD32" s="315">
        <f t="shared" si="66"/>
        <v>16782</v>
      </c>
      <c r="AE32" s="23"/>
      <c r="AF32" s="316">
        <v>2200</v>
      </c>
      <c r="AG32" s="91">
        <v>1500</v>
      </c>
      <c r="AH32" s="91">
        <v>121</v>
      </c>
      <c r="AI32" s="91">
        <v>565</v>
      </c>
      <c r="AJ32" s="91">
        <v>1514</v>
      </c>
      <c r="AK32" s="91">
        <v>1760</v>
      </c>
      <c r="AL32" s="91">
        <v>1800</v>
      </c>
      <c r="AM32" s="91">
        <v>2200</v>
      </c>
      <c r="AN32" s="91">
        <v>2200</v>
      </c>
      <c r="AO32" s="91">
        <v>2200</v>
      </c>
      <c r="AP32" s="91">
        <v>2420</v>
      </c>
      <c r="AQ32" s="91">
        <v>3520</v>
      </c>
      <c r="AR32" s="92">
        <f t="shared" si="67"/>
        <v>22000</v>
      </c>
      <c r="AS32" s="23"/>
      <c r="AT32" s="91">
        <v>1529</v>
      </c>
      <c r="AU32" s="91">
        <v>1516</v>
      </c>
      <c r="AV32" s="91">
        <v>1586</v>
      </c>
      <c r="AW32" s="91">
        <v>1979</v>
      </c>
      <c r="AX32" s="317">
        <v>1283</v>
      </c>
      <c r="AY32" s="317">
        <v>1283</v>
      </c>
      <c r="AZ32" s="317">
        <v>1224</v>
      </c>
      <c r="BA32" s="317">
        <v>1224</v>
      </c>
      <c r="BB32" s="317">
        <v>1283</v>
      </c>
      <c r="BC32" s="317">
        <v>1516</v>
      </c>
      <c r="BD32" s="317">
        <v>1632</v>
      </c>
      <c r="BE32" s="317">
        <v>2332</v>
      </c>
      <c r="BF32" s="91">
        <f t="shared" si="68"/>
        <v>18387</v>
      </c>
      <c r="BG32" s="93">
        <f t="shared" si="69"/>
        <v>-0.16422727272727278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>
        <v>9018</v>
      </c>
      <c r="BU32" s="54"/>
      <c r="BV32" s="91">
        <v>1143.8999999999999</v>
      </c>
      <c r="BW32" s="91">
        <v>884.43</v>
      </c>
      <c r="BX32" s="91">
        <f>'META  EM PEÇAS'!U29-('META  EM PEÇAS'!U29*0.05)</f>
        <v>993.9375</v>
      </c>
      <c r="BY32" s="91">
        <f>'META  EM PEÇAS'!V29-('META  EM PEÇAS'!V29*0.05)</f>
        <v>921.49049999999988</v>
      </c>
      <c r="BZ32" s="91">
        <f>'META  EM PEÇAS'!W29-('META  EM PEÇAS'!W29*0.05)</f>
        <v>1033.6949999999999</v>
      </c>
      <c r="CA32" s="91">
        <f>'META  EM PEÇAS'!X29-('META  EM PEÇAS'!X29*0.05)</f>
        <v>1244.8515</v>
      </c>
      <c r="CB32" s="91">
        <f>'META  EM PEÇAS'!Y29-('META  EM PEÇAS'!Y29*0.05)</f>
        <v>1497.5324999999998</v>
      </c>
      <c r="CC32" s="91">
        <f>'META  EM PEÇAS'!Z29-('META  EM PEÇAS'!Z29*0.05)</f>
        <v>1001.0054999999999</v>
      </c>
      <c r="CD32" s="91">
        <f>'META  EM PEÇAS'!AA29-('META  EM PEÇAS'!AA29*0.05)</f>
        <v>1038.1125</v>
      </c>
      <c r="CE32" s="91">
        <f>'META  EM PEÇAS'!AB29-('META  EM PEÇAS'!AB29*0.05)</f>
        <v>1126.4625000000001</v>
      </c>
      <c r="CF32" s="91">
        <f>'META  EM PEÇAS'!AC29-('META  EM PEÇAS'!AC29*0.05)</f>
        <v>1443.6389999999999</v>
      </c>
      <c r="CG32" s="91">
        <f>'META  EM PEÇAS'!AD29-('META  EM PEÇAS'!AD29*0.05)</f>
        <v>2033.8169999999998</v>
      </c>
      <c r="CH32" s="91">
        <f t="shared" si="70"/>
        <v>14362.873499999996</v>
      </c>
      <c r="CJ32" s="91">
        <v>1143.8999999999999</v>
      </c>
      <c r="CK32" s="91">
        <v>884.43</v>
      </c>
      <c r="CL32" s="91">
        <v>993.9375</v>
      </c>
      <c r="CM32" s="91">
        <v>921.49049999999988</v>
      </c>
      <c r="CN32" s="91">
        <v>1033.6949999999999</v>
      </c>
      <c r="CO32" s="91">
        <v>1244.8515</v>
      </c>
      <c r="CP32" s="91">
        <v>1497.5324999999998</v>
      </c>
      <c r="CQ32" s="91">
        <v>1001.0054999999999</v>
      </c>
      <c r="CR32" s="91">
        <v>1038.1125</v>
      </c>
      <c r="CS32" s="91">
        <v>1126.4625000000001</v>
      </c>
      <c r="CT32" s="91">
        <v>1443.6389999999999</v>
      </c>
      <c r="CU32" s="91">
        <v>2033.8169999999998</v>
      </c>
      <c r="CV32" s="91">
        <v>14362.873499999996</v>
      </c>
    </row>
    <row r="33" spans="1:100" ht="15" hidden="1" customHeight="1" outlineLevel="1">
      <c r="A33" s="94">
        <v>5</v>
      </c>
      <c r="B33" s="1092" t="s">
        <v>60</v>
      </c>
      <c r="C33" s="1118"/>
      <c r="D33" s="313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314">
        <f t="shared" si="65"/>
        <v>0</v>
      </c>
      <c r="Q33" s="90"/>
      <c r="R33" s="313">
        <v>1353</v>
      </c>
      <c r="S33" s="91">
        <v>1184</v>
      </c>
      <c r="T33" s="91">
        <v>1268</v>
      </c>
      <c r="U33" s="91">
        <f t="shared" ref="U33:V33" si="71">10*U7</f>
        <v>10</v>
      </c>
      <c r="V33" s="91">
        <f t="shared" si="71"/>
        <v>120</v>
      </c>
      <c r="W33" s="91">
        <v>600</v>
      </c>
      <c r="X33" s="91">
        <v>1600</v>
      </c>
      <c r="Y33" s="91">
        <v>1600</v>
      </c>
      <c r="Z33" s="91">
        <v>1600</v>
      </c>
      <c r="AA33" s="91">
        <v>1600</v>
      </c>
      <c r="AB33" s="91">
        <v>1600</v>
      </c>
      <c r="AC33" s="91">
        <v>2200</v>
      </c>
      <c r="AD33" s="315">
        <f t="shared" si="66"/>
        <v>14735</v>
      </c>
      <c r="AE33" s="23"/>
      <c r="AF33" s="316">
        <v>1800</v>
      </c>
      <c r="AG33" s="91">
        <v>1200</v>
      </c>
      <c r="AH33" s="91">
        <v>181</v>
      </c>
      <c r="AI33" s="91">
        <v>628</v>
      </c>
      <c r="AJ33" s="91">
        <v>1169</v>
      </c>
      <c r="AK33" s="91">
        <v>960</v>
      </c>
      <c r="AL33" s="91">
        <v>1500</v>
      </c>
      <c r="AM33" s="91">
        <v>1200</v>
      </c>
      <c r="AN33" s="91">
        <v>1200</v>
      </c>
      <c r="AO33" s="91">
        <v>1200</v>
      </c>
      <c r="AP33" s="91">
        <v>1320</v>
      </c>
      <c r="AQ33" s="91">
        <v>1920</v>
      </c>
      <c r="AR33" s="92">
        <f t="shared" si="67"/>
        <v>14278</v>
      </c>
      <c r="AS33" s="23"/>
      <c r="AT33" s="91">
        <v>1496</v>
      </c>
      <c r="AU33" s="91">
        <v>1200</v>
      </c>
      <c r="AV33" s="91">
        <v>1227</v>
      </c>
      <c r="AW33" s="91">
        <v>1655</v>
      </c>
      <c r="AX33" s="317">
        <v>1141</v>
      </c>
      <c r="AY33" s="317">
        <v>1141</v>
      </c>
      <c r="AZ33" s="317">
        <v>1089</v>
      </c>
      <c r="BA33" s="317">
        <v>1089</v>
      </c>
      <c r="BB33" s="317">
        <v>1141</v>
      </c>
      <c r="BC33" s="317">
        <v>1349</v>
      </c>
      <c r="BD33" s="317">
        <v>1453</v>
      </c>
      <c r="BE33" s="317">
        <v>2075</v>
      </c>
      <c r="BF33" s="91">
        <f t="shared" si="68"/>
        <v>16056</v>
      </c>
      <c r="BG33" s="93">
        <f t="shared" si="69"/>
        <v>0.1245272447121446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>
        <v>10591</v>
      </c>
      <c r="BU33" s="54"/>
      <c r="BV33" s="91">
        <v>1474.9799999999998</v>
      </c>
      <c r="BW33" s="91">
        <v>1140.1799999999998</v>
      </c>
      <c r="BX33" s="91">
        <f>'META  EM PEÇAS'!U30-('META  EM PEÇAS'!U30*0.05)</f>
        <v>1281.9584999999997</v>
      </c>
      <c r="BY33" s="91">
        <f>'META  EM PEÇAS'!V30-('META  EM PEÇAS'!V30*0.05)</f>
        <v>1188.3074999999999</v>
      </c>
      <c r="BZ33" s="91">
        <f>'META  EM PEÇAS'!W30-('META  EM PEÇAS'!W30*0.05)</f>
        <v>1333.2014999999999</v>
      </c>
      <c r="CA33" s="91">
        <f>'META  EM PEÇAS'!X30-('META  EM PEÇAS'!X30*0.05)</f>
        <v>1606.2029999999997</v>
      </c>
      <c r="CB33" s="91">
        <f>'META  EM PEÇAS'!Y30-('META  EM PEÇAS'!Y30*0.05)</f>
        <v>1931.3309999999997</v>
      </c>
      <c r="CC33" s="91">
        <f>'META  EM PEÇAS'!Z30-('META  EM PEÇAS'!Z30*0.05)</f>
        <v>1291.6769999999999</v>
      </c>
      <c r="CD33" s="91">
        <f>'META  EM PEÇAS'!AA30-('META  EM PEÇAS'!AA30*0.05)</f>
        <v>1339.386</v>
      </c>
      <c r="CE33" s="91">
        <f>'META  EM PEÇAS'!AB30-('META  EM PEÇAS'!AB30*0.05)</f>
        <v>1453.3574999999998</v>
      </c>
      <c r="CF33" s="91">
        <f>'META  EM PEÇAS'!AC30-('META  EM PEÇAS'!AC30*0.05)</f>
        <v>1861.5344999999998</v>
      </c>
      <c r="CG33" s="91">
        <f>'META  EM PEÇAS'!AD30-('META  EM PEÇAS'!AD30*0.05)</f>
        <v>2623.1114999999995</v>
      </c>
      <c r="CH33" s="91">
        <f t="shared" si="70"/>
        <v>18525.227999999999</v>
      </c>
      <c r="CI33" s="450"/>
      <c r="CJ33" s="91">
        <v>1474.9799999999998</v>
      </c>
      <c r="CK33" s="91">
        <v>1140.1799999999998</v>
      </c>
      <c r="CL33" s="91">
        <v>1281.9584999999997</v>
      </c>
      <c r="CM33" s="91">
        <v>1188.3074999999999</v>
      </c>
      <c r="CN33" s="91">
        <v>1333.2014999999999</v>
      </c>
      <c r="CO33" s="91">
        <v>1606.2029999999997</v>
      </c>
      <c r="CP33" s="91">
        <v>1931.3309999999997</v>
      </c>
      <c r="CQ33" s="91">
        <v>1291.6769999999999</v>
      </c>
      <c r="CR33" s="91">
        <v>1339.386</v>
      </c>
      <c r="CS33" s="91">
        <v>1453.3574999999998</v>
      </c>
      <c r="CT33" s="91">
        <v>1861.5344999999998</v>
      </c>
      <c r="CU33" s="91">
        <v>2623.1114999999995</v>
      </c>
      <c r="CV33" s="91">
        <v>18525.227999999999</v>
      </c>
    </row>
    <row r="34" spans="1:100" ht="15" hidden="1" customHeight="1" outlineLevel="1">
      <c r="A34" s="94">
        <v>6</v>
      </c>
      <c r="B34" s="1092" t="s">
        <v>61</v>
      </c>
      <c r="C34" s="1118"/>
      <c r="D34" s="313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si="65"/>
        <v>0</v>
      </c>
      <c r="Q34" s="90"/>
      <c r="R34" s="313">
        <v>1455</v>
      </c>
      <c r="S34" s="91">
        <v>1273</v>
      </c>
      <c r="T34" s="91">
        <v>1364</v>
      </c>
      <c r="U34" s="91">
        <v>0</v>
      </c>
      <c r="V34" s="91">
        <v>200</v>
      </c>
      <c r="W34" s="91">
        <v>800</v>
      </c>
      <c r="X34" s="91">
        <v>1600</v>
      </c>
      <c r="Y34" s="91">
        <v>1600</v>
      </c>
      <c r="Z34" s="91">
        <v>1600</v>
      </c>
      <c r="AA34" s="91">
        <v>1600</v>
      </c>
      <c r="AB34" s="91">
        <v>1800</v>
      </c>
      <c r="AC34" s="91">
        <v>2400</v>
      </c>
      <c r="AD34" s="315">
        <f t="shared" si="66"/>
        <v>15692</v>
      </c>
      <c r="AE34" s="23"/>
      <c r="AF34" s="316">
        <v>1500</v>
      </c>
      <c r="AG34" s="91">
        <v>1200</v>
      </c>
      <c r="AH34" s="91">
        <v>127</v>
      </c>
      <c r="AI34" s="91">
        <v>426</v>
      </c>
      <c r="AJ34" s="91">
        <v>1063</v>
      </c>
      <c r="AK34" s="91">
        <v>960</v>
      </c>
      <c r="AL34" s="91">
        <v>1500</v>
      </c>
      <c r="AM34" s="91">
        <v>1200</v>
      </c>
      <c r="AN34" s="91">
        <v>1200</v>
      </c>
      <c r="AO34" s="91">
        <v>1200</v>
      </c>
      <c r="AP34" s="91">
        <v>1320</v>
      </c>
      <c r="AQ34" s="91">
        <v>1920</v>
      </c>
      <c r="AR34" s="92">
        <f t="shared" si="67"/>
        <v>13616</v>
      </c>
      <c r="AS34" s="23"/>
      <c r="AT34" s="91">
        <v>1222</v>
      </c>
      <c r="AU34" s="91">
        <v>1200</v>
      </c>
      <c r="AV34" s="91">
        <v>1117</v>
      </c>
      <c r="AW34" s="91">
        <v>1463</v>
      </c>
      <c r="AX34" s="317">
        <v>1087</v>
      </c>
      <c r="AY34" s="317">
        <v>1087</v>
      </c>
      <c r="AZ34" s="317">
        <v>1038</v>
      </c>
      <c r="BA34" s="317">
        <v>1038</v>
      </c>
      <c r="BB34" s="317">
        <v>1087</v>
      </c>
      <c r="BC34" s="317">
        <v>1285</v>
      </c>
      <c r="BD34" s="317">
        <v>1384</v>
      </c>
      <c r="BE34" s="317">
        <v>1977</v>
      </c>
      <c r="BF34" s="91">
        <f t="shared" si="68"/>
        <v>14985</v>
      </c>
      <c r="BG34" s="93">
        <f t="shared" si="69"/>
        <v>0.10054347826086962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>
        <v>10087</v>
      </c>
      <c r="BU34" s="54"/>
      <c r="BV34" s="91">
        <v>1214.58</v>
      </c>
      <c r="BW34" s="91">
        <v>939.3</v>
      </c>
      <c r="BX34" s="91">
        <f>'META  EM PEÇAS'!U31-('META  EM PEÇAS'!U31*0.05)</f>
        <v>1055.7824999999998</v>
      </c>
      <c r="BY34" s="91">
        <f>'META  EM PEÇAS'!V31-('META  EM PEÇAS'!V31*0.05)</f>
        <v>978.03449999999998</v>
      </c>
      <c r="BZ34" s="91">
        <f>'META  EM PEÇAS'!W31-('META  EM PEÇAS'!W31*0.05)</f>
        <v>1098.1904999999999</v>
      </c>
      <c r="CA34" s="91">
        <f>'META  EM PEÇAS'!X31-('META  EM PEÇAS'!X31*0.05)</f>
        <v>1322.5994999999998</v>
      </c>
      <c r="CB34" s="91">
        <f>'META  EM PEÇAS'!Y31-('META  EM PEÇAS'!Y31*0.05)</f>
        <v>1590.3</v>
      </c>
      <c r="CC34" s="91">
        <f>'META  EM PEÇAS'!Z31-('META  EM PEÇAS'!Z31*0.05)</f>
        <v>1062.8505</v>
      </c>
      <c r="CD34" s="91">
        <f>'META  EM PEÇAS'!AA31-('META  EM PEÇAS'!AA31*0.05)</f>
        <v>1102.6079999999999</v>
      </c>
      <c r="CE34" s="91">
        <f>'META  EM PEÇAS'!AB31-('META  EM PEÇAS'!AB31*0.05)</f>
        <v>1196.259</v>
      </c>
      <c r="CF34" s="91">
        <f>'META  EM PEÇAS'!AC31-('META  EM PEÇAS'!AC31*0.05)</f>
        <v>1532.8724999999999</v>
      </c>
      <c r="CG34" s="91">
        <f>'META  EM PEÇAS'!AD31-('META  EM PEÇAS'!AD31*0.05)</f>
        <v>2160.1574999999998</v>
      </c>
      <c r="CH34" s="91">
        <f t="shared" si="70"/>
        <v>15253.534499999998</v>
      </c>
      <c r="CJ34" s="91">
        <v>1214.58</v>
      </c>
      <c r="CK34" s="91">
        <v>939.3</v>
      </c>
      <c r="CL34" s="91">
        <v>1055.7824999999998</v>
      </c>
      <c r="CM34" s="91">
        <v>978.03449999999998</v>
      </c>
      <c r="CN34" s="91">
        <v>1098.1904999999999</v>
      </c>
      <c r="CO34" s="91">
        <v>1322.5994999999998</v>
      </c>
      <c r="CP34" s="91">
        <v>1590.3</v>
      </c>
      <c r="CQ34" s="91">
        <v>1062.8505</v>
      </c>
      <c r="CR34" s="91">
        <v>1102.6079999999999</v>
      </c>
      <c r="CS34" s="91">
        <v>1196.259</v>
      </c>
      <c r="CT34" s="91">
        <v>1532.8724999999999</v>
      </c>
      <c r="CU34" s="91">
        <v>2160.1574999999998</v>
      </c>
      <c r="CV34" s="91">
        <v>15253.534499999998</v>
      </c>
    </row>
    <row r="35" spans="1:100" ht="15" hidden="1" customHeight="1" outlineLevel="1">
      <c r="A35" s="94">
        <v>7</v>
      </c>
      <c r="B35" s="1092" t="s">
        <v>62</v>
      </c>
      <c r="C35" s="1118"/>
      <c r="D35" s="313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>
        <f t="shared" si="65"/>
        <v>0</v>
      </c>
      <c r="Q35" s="90"/>
      <c r="R35" s="313">
        <v>2000</v>
      </c>
      <c r="S35" s="91">
        <f>2182</f>
        <v>2182</v>
      </c>
      <c r="T35" s="91">
        <f>2455/2</f>
        <v>1227.5</v>
      </c>
      <c r="U35" s="91">
        <f>4*U7</f>
        <v>4</v>
      </c>
      <c r="V35" s="91">
        <v>200</v>
      </c>
      <c r="W35" s="91">
        <v>700</v>
      </c>
      <c r="X35" s="91">
        <v>1600</v>
      </c>
      <c r="Y35" s="91">
        <v>1600</v>
      </c>
      <c r="Z35" s="91">
        <v>1600</v>
      </c>
      <c r="AA35" s="91">
        <v>1600</v>
      </c>
      <c r="AB35" s="91">
        <v>2500</v>
      </c>
      <c r="AC35" s="91">
        <v>3200</v>
      </c>
      <c r="AD35" s="315">
        <f t="shared" si="66"/>
        <v>18413.5</v>
      </c>
      <c r="AE35" s="23"/>
      <c r="AF35" s="316">
        <v>2600</v>
      </c>
      <c r="AG35" s="91">
        <v>1000</v>
      </c>
      <c r="AH35" s="91">
        <v>195</v>
      </c>
      <c r="AI35" s="91">
        <v>844</v>
      </c>
      <c r="AJ35" s="91">
        <v>1973</v>
      </c>
      <c r="AK35" s="91">
        <v>1840</v>
      </c>
      <c r="AL35" s="91">
        <v>2000</v>
      </c>
      <c r="AM35" s="91">
        <v>2300</v>
      </c>
      <c r="AN35" s="91">
        <v>2300</v>
      </c>
      <c r="AO35" s="91">
        <v>2300</v>
      </c>
      <c r="AP35" s="91">
        <v>2530</v>
      </c>
      <c r="AQ35" s="91">
        <v>3680</v>
      </c>
      <c r="AR35" s="92">
        <f t="shared" si="67"/>
        <v>23562</v>
      </c>
      <c r="AS35" s="23"/>
      <c r="AT35" s="91">
        <v>1888</v>
      </c>
      <c r="AU35" s="91">
        <v>1414</v>
      </c>
      <c r="AV35" s="91">
        <v>2073</v>
      </c>
      <c r="AW35" s="91">
        <v>2338</v>
      </c>
      <c r="AX35" s="317">
        <v>1857</v>
      </c>
      <c r="AY35" s="317">
        <v>1857</v>
      </c>
      <c r="AZ35" s="317">
        <v>1772</v>
      </c>
      <c r="BA35" s="317">
        <v>1772</v>
      </c>
      <c r="BB35" s="317">
        <v>1857</v>
      </c>
      <c r="BC35" s="317">
        <v>2194</v>
      </c>
      <c r="BD35" s="317">
        <v>2363</v>
      </c>
      <c r="BE35" s="317">
        <v>3376</v>
      </c>
      <c r="BF35" s="91">
        <f t="shared" si="68"/>
        <v>24761</v>
      </c>
      <c r="BG35" s="93">
        <f t="shared" si="69"/>
        <v>5.0887021475256811E-2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>
        <v>22941</v>
      </c>
      <c r="BU35" s="54"/>
      <c r="BV35" s="91">
        <v>3211.29</v>
      </c>
      <c r="BW35" s="91">
        <v>2482.1699999999996</v>
      </c>
      <c r="BX35" s="91">
        <f>'META  EM PEÇAS'!U32-('META  EM PEÇAS'!U32*0.05)</f>
        <v>2790.0929999999998</v>
      </c>
      <c r="BY35" s="91">
        <f>'META  EM PEÇAS'!V32-('META  EM PEÇAS'!V32*0.05)</f>
        <v>2586.0044999999996</v>
      </c>
      <c r="BZ35" s="91">
        <f>'META  EM PEÇAS'!W32-('META  EM PEÇAS'!W32*0.05)</f>
        <v>2902.2974999999997</v>
      </c>
      <c r="CA35" s="91">
        <f>'META  EM PEÇAS'!X32-('META  EM PEÇAS'!X32*0.05)</f>
        <v>3495.1259999999997</v>
      </c>
      <c r="CB35" s="91">
        <f>'META  EM PEÇAS'!Y32-('META  EM PEÇAS'!Y32*0.05)</f>
        <v>4203.6929999999993</v>
      </c>
      <c r="CC35" s="91">
        <f>'META  EM PEÇAS'!Z32-('META  EM PEÇAS'!Z32*0.05)</f>
        <v>2810.4135000000001</v>
      </c>
      <c r="CD35" s="91">
        <f>'META  EM PEÇAS'!AA32-('META  EM PEÇAS'!AA32*0.05)</f>
        <v>2914.6664999999998</v>
      </c>
      <c r="CE35" s="91">
        <f>'META  EM PEÇAS'!AB32-('META  EM PEÇAS'!AB32*0.05)</f>
        <v>3162.93</v>
      </c>
      <c r="CF35" s="91">
        <f>'META  EM PEÇAS'!AC32-('META  EM PEÇAS'!AC32*0.05)</f>
        <v>4051.7309999999998</v>
      </c>
      <c r="CG35" s="91">
        <f>'META  EM PEÇAS'!AD32-('META  EM PEÇAS'!AD32*0.05)</f>
        <v>5709.1769999999997</v>
      </c>
      <c r="CH35" s="91">
        <f t="shared" si="70"/>
        <v>40319.59199999999</v>
      </c>
      <c r="CJ35" s="91">
        <v>3211.29</v>
      </c>
      <c r="CK35" s="91">
        <v>2482.1699999999996</v>
      </c>
      <c r="CL35" s="91">
        <v>2790.0929999999998</v>
      </c>
      <c r="CM35" s="91">
        <v>2586.0044999999996</v>
      </c>
      <c r="CN35" s="91">
        <v>2902.2974999999997</v>
      </c>
      <c r="CO35" s="91">
        <v>3495.1259999999997</v>
      </c>
      <c r="CP35" s="91">
        <v>4203.6929999999993</v>
      </c>
      <c r="CQ35" s="91">
        <v>2810.4135000000001</v>
      </c>
      <c r="CR35" s="91">
        <v>2914.6664999999998</v>
      </c>
      <c r="CS35" s="91">
        <v>3162.93</v>
      </c>
      <c r="CT35" s="91">
        <v>4051.7309999999998</v>
      </c>
      <c r="CU35" s="91">
        <v>5709.1769999999997</v>
      </c>
      <c r="CV35" s="91">
        <v>40319.59199999999</v>
      </c>
    </row>
    <row r="36" spans="1:100" ht="15" hidden="1" customHeight="1" outlineLevel="1">
      <c r="A36" s="94">
        <v>9</v>
      </c>
      <c r="B36" s="1092" t="s">
        <v>63</v>
      </c>
      <c r="C36" s="1118"/>
      <c r="D36" s="313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>
        <f t="shared" si="65"/>
        <v>0</v>
      </c>
      <c r="Q36" s="90"/>
      <c r="R36" s="313">
        <v>1636</v>
      </c>
      <c r="S36" s="91">
        <v>1636</v>
      </c>
      <c r="T36" s="91">
        <f t="shared" ref="T36:T37" si="72">1818/2</f>
        <v>909</v>
      </c>
      <c r="U36" s="91">
        <v>0</v>
      </c>
      <c r="V36" s="91">
        <v>200</v>
      </c>
      <c r="W36" s="91">
        <v>300</v>
      </c>
      <c r="X36" s="91">
        <v>1000</v>
      </c>
      <c r="Y36" s="91">
        <v>1200</v>
      </c>
      <c r="Z36" s="91">
        <v>1600</v>
      </c>
      <c r="AA36" s="91">
        <v>1600</v>
      </c>
      <c r="AB36" s="91">
        <v>1800</v>
      </c>
      <c r="AC36" s="91">
        <v>2300</v>
      </c>
      <c r="AD36" s="315">
        <f t="shared" si="66"/>
        <v>14181</v>
      </c>
      <c r="AE36" s="23"/>
      <c r="AF36" s="316">
        <v>1500</v>
      </c>
      <c r="AG36" s="91">
        <v>1000</v>
      </c>
      <c r="AH36" s="91">
        <v>126</v>
      </c>
      <c r="AI36" s="91">
        <v>387</v>
      </c>
      <c r="AJ36" s="91">
        <v>895</v>
      </c>
      <c r="AK36" s="91">
        <v>800</v>
      </c>
      <c r="AL36" s="91">
        <v>1500</v>
      </c>
      <c r="AM36" s="91">
        <v>1000</v>
      </c>
      <c r="AN36" s="91">
        <v>1000</v>
      </c>
      <c r="AO36" s="91">
        <v>1000</v>
      </c>
      <c r="AP36" s="91">
        <v>1100</v>
      </c>
      <c r="AQ36" s="91">
        <v>1600</v>
      </c>
      <c r="AR36" s="92">
        <f t="shared" si="67"/>
        <v>11908</v>
      </c>
      <c r="AS36" s="23"/>
      <c r="AT36" s="91">
        <v>1182</v>
      </c>
      <c r="AU36" s="91">
        <v>1200</v>
      </c>
      <c r="AV36" s="91">
        <v>932</v>
      </c>
      <c r="AW36" s="91">
        <v>1020</v>
      </c>
      <c r="AX36" s="317">
        <v>0</v>
      </c>
      <c r="AY36" s="317">
        <v>0</v>
      </c>
      <c r="AZ36" s="317">
        <v>0</v>
      </c>
      <c r="BA36" s="317">
        <v>0</v>
      </c>
      <c r="BB36" s="317">
        <v>0</v>
      </c>
      <c r="BC36" s="317">
        <v>0</v>
      </c>
      <c r="BD36" s="317">
        <v>0</v>
      </c>
      <c r="BE36" s="317">
        <v>0</v>
      </c>
      <c r="BF36" s="91">
        <f t="shared" si="68"/>
        <v>4334</v>
      </c>
      <c r="BG36" s="93">
        <f t="shared" si="69"/>
        <v>-0.63604299630500505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>
        <v>7070</v>
      </c>
      <c r="BU36" s="54"/>
      <c r="BV36" s="91">
        <v>928.14</v>
      </c>
      <c r="BW36" s="91">
        <v>717.95999999999992</v>
      </c>
      <c r="BX36" s="91">
        <f>'META  EM PEÇAS'!U37-('META  EM PEÇAS'!U37*0.05)</f>
        <v>806.63549999999987</v>
      </c>
      <c r="BY36" s="91">
        <f>'META  EM PEÇAS'!V37-('META  EM PEÇAS'!V37*0.05)</f>
        <v>747.44100000000003</v>
      </c>
      <c r="BZ36" s="91">
        <f>'META  EM PEÇAS'!W37-('META  EM PEÇAS'!W37*0.05)</f>
        <v>839.32499999999993</v>
      </c>
      <c r="CA36" s="91">
        <f>'META  EM PEÇAS'!X37-('META  EM PEÇAS'!X37*0.05)</f>
        <v>1010.7239999999998</v>
      </c>
      <c r="CB36" s="91">
        <f>'META  EM PEÇAS'!Y37-('META  EM PEÇAS'!Y37*0.05)</f>
        <v>1214.8125</v>
      </c>
      <c r="CC36" s="91">
        <f>'META  EM PEÇAS'!Z37-('META  EM PEÇAS'!Z37*0.05)</f>
        <v>812.81999999999994</v>
      </c>
      <c r="CD36" s="91">
        <f>'META  EM PEÇAS'!AA37-('META  EM PEÇAS'!AA37*0.05)</f>
        <v>842.85899999999992</v>
      </c>
      <c r="CE36" s="91">
        <f>'META  EM PEÇAS'!AB37-('META  EM PEÇAS'!AB37*0.05)</f>
        <v>914.4224999999999</v>
      </c>
      <c r="CF36" s="91">
        <f>'META  EM PEÇAS'!AC37-('META  EM PEÇAS'!AC37*0.05)</f>
        <v>1171.5209999999997</v>
      </c>
      <c r="CG36" s="91">
        <f>'META  EM PEÇAS'!AD37-('META  EM PEÇAS'!AD37*0.05)</f>
        <v>1650.3779999999997</v>
      </c>
      <c r="CH36" s="91">
        <f t="shared" si="70"/>
        <v>11657.038499999999</v>
      </c>
      <c r="CJ36" s="91">
        <v>928.14</v>
      </c>
      <c r="CK36" s="91">
        <v>717.95999999999992</v>
      </c>
      <c r="CL36" s="91">
        <v>806.63549999999987</v>
      </c>
      <c r="CM36" s="91">
        <v>747.44100000000003</v>
      </c>
      <c r="CN36" s="91">
        <v>839.32499999999993</v>
      </c>
      <c r="CO36" s="91">
        <v>1010.7239999999998</v>
      </c>
      <c r="CP36" s="91">
        <v>1214.8125</v>
      </c>
      <c r="CQ36" s="91">
        <v>812.81999999999994</v>
      </c>
      <c r="CR36" s="91">
        <v>842.85899999999992</v>
      </c>
      <c r="CS36" s="91">
        <v>914.4224999999999</v>
      </c>
      <c r="CT36" s="91">
        <v>1171.5209999999997</v>
      </c>
      <c r="CU36" s="91">
        <v>1650.3779999999997</v>
      </c>
      <c r="CV36" s="91">
        <v>11657.038499999999</v>
      </c>
    </row>
    <row r="37" spans="1:100" ht="15" hidden="1" customHeight="1" outlineLevel="1">
      <c r="A37" s="94">
        <v>10</v>
      </c>
      <c r="B37" s="1092" t="s">
        <v>64</v>
      </c>
      <c r="C37" s="1118"/>
      <c r="D37" s="313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>
        <f t="shared" si="65"/>
        <v>0</v>
      </c>
      <c r="Q37" s="90"/>
      <c r="R37" s="313">
        <v>1636</v>
      </c>
      <c r="S37" s="91">
        <v>1636</v>
      </c>
      <c r="T37" s="91">
        <f t="shared" si="72"/>
        <v>909</v>
      </c>
      <c r="U37" s="91">
        <f>0.5*U7</f>
        <v>0.5</v>
      </c>
      <c r="V37" s="91">
        <v>200</v>
      </c>
      <c r="W37" s="91">
        <v>300</v>
      </c>
      <c r="X37" s="91">
        <v>1000</v>
      </c>
      <c r="Y37" s="91">
        <v>1200</v>
      </c>
      <c r="Z37" s="91">
        <v>1600</v>
      </c>
      <c r="AA37" s="91">
        <v>1600</v>
      </c>
      <c r="AB37" s="91">
        <v>1800</v>
      </c>
      <c r="AC37" s="91">
        <v>2300</v>
      </c>
      <c r="AD37" s="315">
        <f t="shared" si="66"/>
        <v>14181.5</v>
      </c>
      <c r="AE37" s="23"/>
      <c r="AF37" s="316">
        <v>1500</v>
      </c>
      <c r="AG37" s="91">
        <v>1000</v>
      </c>
      <c r="AH37" s="91">
        <v>764</v>
      </c>
      <c r="AI37" s="91">
        <v>561</v>
      </c>
      <c r="AJ37" s="91">
        <v>1353</v>
      </c>
      <c r="AK37" s="91">
        <v>960</v>
      </c>
      <c r="AL37" s="91">
        <v>1500</v>
      </c>
      <c r="AM37" s="91">
        <v>1200</v>
      </c>
      <c r="AN37" s="91">
        <v>1200</v>
      </c>
      <c r="AO37" s="91">
        <v>1200</v>
      </c>
      <c r="AP37" s="91">
        <v>1320</v>
      </c>
      <c r="AQ37" s="91">
        <v>1920</v>
      </c>
      <c r="AR37" s="92">
        <f t="shared" si="67"/>
        <v>14478</v>
      </c>
      <c r="AS37" s="23"/>
      <c r="AT37" s="91">
        <v>1285</v>
      </c>
      <c r="AU37" s="91">
        <v>957</v>
      </c>
      <c r="AV37" s="91">
        <v>1426</v>
      </c>
      <c r="AW37" s="91">
        <v>1595</v>
      </c>
      <c r="AX37" s="317">
        <v>1767</v>
      </c>
      <c r="AY37" s="317">
        <v>1767</v>
      </c>
      <c r="AZ37" s="317">
        <v>1686</v>
      </c>
      <c r="BA37" s="317">
        <v>1686</v>
      </c>
      <c r="BB37" s="317">
        <v>1767</v>
      </c>
      <c r="BC37" s="317">
        <v>2088</v>
      </c>
      <c r="BD37" s="317">
        <v>2248</v>
      </c>
      <c r="BE37" s="317">
        <v>3212</v>
      </c>
      <c r="BF37" s="91">
        <f t="shared" si="68"/>
        <v>21484</v>
      </c>
      <c r="BG37" s="93">
        <f t="shared" si="69"/>
        <v>0.48390661693604087</v>
      </c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>
        <v>16952</v>
      </c>
      <c r="BU37" s="54"/>
      <c r="BV37" s="91">
        <v>2631.8999999999996</v>
      </c>
      <c r="BW37" s="91">
        <v>2034.84</v>
      </c>
      <c r="BX37" s="91">
        <f>'META  EM PEÇAS'!U33-('META  EM PEÇAS'!U33*0.05)</f>
        <v>2287.3815</v>
      </c>
      <c r="BY37" s="91">
        <f>'META  EM PEÇAS'!V33-('META  EM PEÇAS'!V33*0.05)</f>
        <v>2119.5164999999997</v>
      </c>
      <c r="BZ37" s="91">
        <f>'META  EM PEÇAS'!W33-('META  EM PEÇAS'!W33*0.05)</f>
        <v>2379.2655</v>
      </c>
      <c r="CA37" s="91">
        <f>'META  EM PEÇAS'!X33-('META  EM PEÇAS'!X33*0.05)</f>
        <v>2865.1904999999997</v>
      </c>
      <c r="CB37" s="91">
        <f>'META  EM PEÇAS'!Y33-('META  EM PEÇAS'!Y33*0.05)</f>
        <v>3445.6499999999996</v>
      </c>
      <c r="CC37" s="91">
        <f>'META  EM PEÇAS'!Z33-('META  EM PEÇAS'!Z33*0.05)</f>
        <v>2303.2844999999998</v>
      </c>
      <c r="CD37" s="91">
        <f>'META  EM PEÇAS'!AA33-('META  EM PEÇAS'!AA33*0.05)</f>
        <v>2388.9839999999999</v>
      </c>
      <c r="CE37" s="91">
        <f>'META  EM PEÇAS'!AB33-('META  EM PEÇAS'!AB33*0.05)</f>
        <v>2592.1889999999999</v>
      </c>
      <c r="CF37" s="91">
        <f>'META  EM PEÇAS'!AC33-('META  EM PEÇAS'!AC33*0.05)</f>
        <v>3321.0765000000001</v>
      </c>
      <c r="CG37" s="91">
        <f>'META  EM PEÇAS'!AD33-('META  EM PEÇAS'!AD33*0.05)</f>
        <v>4679.8995000000004</v>
      </c>
      <c r="CH37" s="91">
        <f t="shared" si="70"/>
        <v>33049.177499999998</v>
      </c>
      <c r="CJ37" s="91">
        <v>2631.8999999999996</v>
      </c>
      <c r="CK37" s="91">
        <v>2034.84</v>
      </c>
      <c r="CL37" s="91">
        <v>2287.3815</v>
      </c>
      <c r="CM37" s="91">
        <v>2119.5164999999997</v>
      </c>
      <c r="CN37" s="91">
        <v>2379.2655</v>
      </c>
      <c r="CO37" s="91">
        <v>2865.1904999999997</v>
      </c>
      <c r="CP37" s="91">
        <v>3445.6499999999996</v>
      </c>
      <c r="CQ37" s="91">
        <v>2303.2844999999998</v>
      </c>
      <c r="CR37" s="91">
        <v>2388.9839999999999</v>
      </c>
      <c r="CS37" s="91">
        <v>2592.1889999999999</v>
      </c>
      <c r="CT37" s="91">
        <v>3321.0765000000001</v>
      </c>
      <c r="CU37" s="91">
        <v>4679.8995000000004</v>
      </c>
      <c r="CV37" s="91">
        <v>33049.177499999998</v>
      </c>
    </row>
    <row r="38" spans="1:100" ht="15" hidden="1" customHeight="1" outlineLevel="1">
      <c r="A38" s="94">
        <v>10</v>
      </c>
      <c r="B38" s="1092" t="s">
        <v>65</v>
      </c>
      <c r="C38" s="1118"/>
      <c r="D38" s="313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>
        <f t="shared" si="65"/>
        <v>0</v>
      </c>
      <c r="Q38" s="90"/>
      <c r="R38" s="313">
        <v>0</v>
      </c>
      <c r="S38" s="91">
        <v>0</v>
      </c>
      <c r="T38" s="91">
        <v>0</v>
      </c>
      <c r="U38" s="91">
        <v>0</v>
      </c>
      <c r="V38" s="91">
        <v>3500</v>
      </c>
      <c r="W38" s="91">
        <v>350</v>
      </c>
      <c r="X38" s="91">
        <v>800</v>
      </c>
      <c r="Y38" s="91">
        <v>1000</v>
      </c>
      <c r="Z38" s="91">
        <v>1600</v>
      </c>
      <c r="AA38" s="91">
        <v>2000</v>
      </c>
      <c r="AB38" s="91">
        <v>2400</v>
      </c>
      <c r="AC38" s="91">
        <v>3000</v>
      </c>
      <c r="AD38" s="315">
        <f t="shared" si="66"/>
        <v>14650</v>
      </c>
      <c r="AE38" s="23"/>
      <c r="AF38" s="316">
        <v>2500</v>
      </c>
      <c r="AG38" s="91">
        <v>1000</v>
      </c>
      <c r="AH38" s="91">
        <f>2500*0.15</f>
        <v>375</v>
      </c>
      <c r="AI38" s="91">
        <v>787</v>
      </c>
      <c r="AJ38" s="91">
        <v>1569</v>
      </c>
      <c r="AK38" s="91">
        <v>2000</v>
      </c>
      <c r="AL38" s="91">
        <v>2500</v>
      </c>
      <c r="AM38" s="91">
        <v>2500</v>
      </c>
      <c r="AN38" s="91">
        <v>2500</v>
      </c>
      <c r="AO38" s="91">
        <v>2500</v>
      </c>
      <c r="AP38" s="91">
        <v>2750</v>
      </c>
      <c r="AQ38" s="91">
        <v>4000</v>
      </c>
      <c r="AR38" s="92">
        <f t="shared" si="67"/>
        <v>24981</v>
      </c>
      <c r="AS38" s="23"/>
      <c r="AT38" s="91">
        <v>1806</v>
      </c>
      <c r="AU38" s="91">
        <v>2046</v>
      </c>
      <c r="AV38" s="91">
        <v>1646</v>
      </c>
      <c r="AW38" s="91">
        <v>1902</v>
      </c>
      <c r="AX38" s="317">
        <v>1545</v>
      </c>
      <c r="AY38" s="317">
        <v>1545</v>
      </c>
      <c r="AZ38" s="317">
        <v>1475</v>
      </c>
      <c r="BA38" s="317">
        <v>1475</v>
      </c>
      <c r="BB38" s="317">
        <v>1545</v>
      </c>
      <c r="BC38" s="317">
        <v>1826</v>
      </c>
      <c r="BD38" s="317">
        <v>0</v>
      </c>
      <c r="BE38" s="317">
        <v>0</v>
      </c>
      <c r="BF38" s="91">
        <f t="shared" si="68"/>
        <v>16811</v>
      </c>
      <c r="BG38" s="93">
        <f t="shared" si="69"/>
        <v>-0.32704855690324641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>
        <v>10230</v>
      </c>
      <c r="BU38" s="54"/>
      <c r="BV38" s="91">
        <v>1335.48</v>
      </c>
      <c r="BW38" s="91">
        <v>1032.3</v>
      </c>
      <c r="BX38" s="91">
        <f>'META  EM PEÇAS'!U39-('META  EM PEÇAS'!U39*0.05)</f>
        <v>1160.0355</v>
      </c>
      <c r="BY38" s="91">
        <f>'META  EM PEÇAS'!V39-('META  EM PEÇAS'!V39*0.05)</f>
        <v>1075.2194999999999</v>
      </c>
      <c r="BZ38" s="91">
        <f>'META  EM PEÇAS'!W39-('META  EM PEÇAS'!W39*0.05)</f>
        <v>1206.8609999999999</v>
      </c>
      <c r="CA38" s="91">
        <f>'META  EM PEÇAS'!X39-('META  EM PEÇAS'!X39*0.05)</f>
        <v>1453.3574999999998</v>
      </c>
      <c r="CB38" s="91">
        <f>'META  EM PEÇAS'!Y39-('META  EM PEÇAS'!Y39*0.05)</f>
        <v>1747.5629999999999</v>
      </c>
      <c r="CC38" s="91">
        <f>'META  EM PEÇAS'!Z39-('META  EM PEÇAS'!Z39*0.05)</f>
        <v>1168.8705</v>
      </c>
      <c r="CD38" s="91">
        <f>'META  EM PEÇAS'!AA39-('META  EM PEÇAS'!AA39*0.05)</f>
        <v>1212.1619999999998</v>
      </c>
      <c r="CE38" s="91">
        <f>'META  EM PEÇAS'!AB39-('META  EM PEÇAS'!AB39*0.05)</f>
        <v>1314.6479999999999</v>
      </c>
      <c r="CF38" s="91">
        <f>'META  EM PEÇAS'!AC39-('META  EM PEÇAS'!AC39*0.05)</f>
        <v>1684.8344999999999</v>
      </c>
      <c r="CG38" s="91">
        <f>'META  EM PEÇAS'!AD39-('META  EM PEÇAS'!AD39*0.05)</f>
        <v>2373.9645</v>
      </c>
      <c r="CH38" s="91">
        <f t="shared" si="70"/>
        <v>16765.295999999995</v>
      </c>
      <c r="CJ38" s="91">
        <v>1335.48</v>
      </c>
      <c r="CK38" s="91">
        <v>1032.3</v>
      </c>
      <c r="CL38" s="91">
        <v>1160.0355</v>
      </c>
      <c r="CM38" s="91">
        <v>1075.2194999999999</v>
      </c>
      <c r="CN38" s="91">
        <v>1206.8609999999999</v>
      </c>
      <c r="CO38" s="91">
        <v>1453.3574999999998</v>
      </c>
      <c r="CP38" s="91">
        <v>1747.5629999999999</v>
      </c>
      <c r="CQ38" s="91">
        <v>1168.8705</v>
      </c>
      <c r="CR38" s="91">
        <v>1212.1619999999998</v>
      </c>
      <c r="CS38" s="91">
        <v>1314.6479999999999</v>
      </c>
      <c r="CT38" s="91">
        <v>1684.8344999999999</v>
      </c>
      <c r="CU38" s="91">
        <v>2373.9645</v>
      </c>
      <c r="CV38" s="91">
        <v>16765.295999999995</v>
      </c>
    </row>
    <row r="39" spans="1:100" ht="15" hidden="1" customHeight="1" outlineLevel="1">
      <c r="A39" s="94">
        <v>11</v>
      </c>
      <c r="B39" s="210" t="s">
        <v>66</v>
      </c>
      <c r="C39" s="211"/>
      <c r="D39" s="313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314">
        <f t="shared" si="65"/>
        <v>0</v>
      </c>
      <c r="Q39" s="90"/>
      <c r="R39" s="313">
        <v>0</v>
      </c>
      <c r="S39" s="91">
        <v>0</v>
      </c>
      <c r="T39" s="91">
        <v>0</v>
      </c>
      <c r="U39" s="91">
        <v>0</v>
      </c>
      <c r="V39" s="91">
        <v>4000</v>
      </c>
      <c r="W39" s="91">
        <v>100</v>
      </c>
      <c r="X39" s="91">
        <v>800</v>
      </c>
      <c r="Y39" s="91">
        <v>800</v>
      </c>
      <c r="Z39" s="91">
        <v>1200</v>
      </c>
      <c r="AA39" s="91">
        <v>1200</v>
      </c>
      <c r="AB39" s="91">
        <v>1800</v>
      </c>
      <c r="AC39" s="91">
        <v>2300</v>
      </c>
      <c r="AD39" s="315">
        <f t="shared" si="66"/>
        <v>12200</v>
      </c>
      <c r="AE39" s="23"/>
      <c r="AF39" s="316">
        <v>1500</v>
      </c>
      <c r="AG39" s="91">
        <v>1000</v>
      </c>
      <c r="AH39" s="91">
        <f t="shared" ref="AH39:AH40" si="73">1500*0.15</f>
        <v>225</v>
      </c>
      <c r="AI39" s="91">
        <v>324</v>
      </c>
      <c r="AJ39" s="91">
        <v>869</v>
      </c>
      <c r="AK39" s="91">
        <v>800</v>
      </c>
      <c r="AL39" s="91">
        <v>1500</v>
      </c>
      <c r="AM39" s="91">
        <v>1000</v>
      </c>
      <c r="AN39" s="91">
        <v>1000</v>
      </c>
      <c r="AO39" s="91">
        <v>1000</v>
      </c>
      <c r="AP39" s="91">
        <v>1100</v>
      </c>
      <c r="AQ39" s="91">
        <v>1600</v>
      </c>
      <c r="AR39" s="92">
        <f t="shared" si="67"/>
        <v>11918</v>
      </c>
      <c r="AS39" s="23"/>
      <c r="AT39" s="91">
        <v>1191</v>
      </c>
      <c r="AU39" s="91">
        <v>1191</v>
      </c>
      <c r="AV39" s="91">
        <v>1191</v>
      </c>
      <c r="AW39" s="91">
        <v>1191</v>
      </c>
      <c r="AX39" s="317">
        <v>876</v>
      </c>
      <c r="AY39" s="317">
        <v>876</v>
      </c>
      <c r="AZ39" s="317">
        <v>836</v>
      </c>
      <c r="BA39" s="317">
        <v>836</v>
      </c>
      <c r="BB39" s="317">
        <v>876</v>
      </c>
      <c r="BC39" s="317">
        <v>1035</v>
      </c>
      <c r="BD39" s="317">
        <v>0</v>
      </c>
      <c r="BE39" s="317">
        <v>0</v>
      </c>
      <c r="BF39" s="91">
        <f t="shared" si="68"/>
        <v>10099</v>
      </c>
      <c r="BG39" s="93">
        <f t="shared" si="69"/>
        <v>-0.15262627957711028</v>
      </c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>
        <v>7342</v>
      </c>
      <c r="BU39" s="54"/>
      <c r="BV39" s="91">
        <v>1643.31</v>
      </c>
      <c r="BW39" s="91">
        <v>1270.3799999999999</v>
      </c>
      <c r="BX39" s="91">
        <f>'META  EM PEÇAS'!U40-('META  EM PEÇAS'!U40*0.05)</f>
        <v>1427.7359999999999</v>
      </c>
      <c r="BY39" s="91">
        <f>'META  EM PEÇAS'!V40-('META  EM PEÇAS'!V40*0.05)</f>
        <v>1323.4829999999999</v>
      </c>
      <c r="BZ39" s="91">
        <f>'META  EM PEÇAS'!W40-('META  EM PEÇAS'!W40*0.05)</f>
        <v>1485.1634999999999</v>
      </c>
      <c r="CA39" s="91">
        <f>'META  EM PEÇAS'!X40-('META  EM PEÇAS'!X40*0.05)</f>
        <v>1788.204</v>
      </c>
      <c r="CB39" s="91">
        <f>'META  EM PEÇAS'!Y40-('META  EM PEÇAS'!Y40*0.05)</f>
        <v>2151.3224999999998</v>
      </c>
      <c r="CC39" s="91">
        <f>'META  EM PEÇAS'!Z40-('META  EM PEÇAS'!Z40*0.05)</f>
        <v>1438.338</v>
      </c>
      <c r="CD39" s="91">
        <f>'META  EM PEÇAS'!AA40-('META  EM PEÇAS'!AA40*0.05)</f>
        <v>1491.348</v>
      </c>
      <c r="CE39" s="91">
        <f>'META  EM PEÇAS'!AB40-('META  EM PEÇAS'!AB40*0.05)</f>
        <v>1618.5719999999999</v>
      </c>
      <c r="CF39" s="91">
        <f>'META  EM PEÇAS'!AC40-('META  EM PEÇAS'!AC40*0.05)</f>
        <v>2073.5745000000002</v>
      </c>
      <c r="CG39" s="91">
        <f>'META  EM PEÇAS'!AD40-('META  EM PEÇAS'!AD40*0.05)</f>
        <v>2921.7344999999996</v>
      </c>
      <c r="CH39" s="91">
        <f t="shared" si="70"/>
        <v>20633.165999999997</v>
      </c>
      <c r="CJ39" s="91">
        <v>1643.31</v>
      </c>
      <c r="CK39" s="91">
        <v>1270.3799999999999</v>
      </c>
      <c r="CL39" s="91">
        <v>1427.7359999999999</v>
      </c>
      <c r="CM39" s="91">
        <v>1323.4829999999999</v>
      </c>
      <c r="CN39" s="91">
        <v>1485.1634999999999</v>
      </c>
      <c r="CO39" s="91">
        <v>1788.204</v>
      </c>
      <c r="CP39" s="91">
        <v>2151.3224999999998</v>
      </c>
      <c r="CQ39" s="91">
        <v>1438.338</v>
      </c>
      <c r="CR39" s="91">
        <v>1491.348</v>
      </c>
      <c r="CS39" s="91">
        <v>1618.5719999999999</v>
      </c>
      <c r="CT39" s="91">
        <v>2073.5745000000002</v>
      </c>
      <c r="CU39" s="91">
        <v>2921.7344999999996</v>
      </c>
      <c r="CV39" s="91">
        <v>20633.165999999997</v>
      </c>
    </row>
    <row r="40" spans="1:100" ht="15" hidden="1" customHeight="1" outlineLevel="1">
      <c r="A40" s="94">
        <v>12</v>
      </c>
      <c r="B40" s="210" t="s">
        <v>67</v>
      </c>
      <c r="C40" s="211"/>
      <c r="D40" s="313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314">
        <f t="shared" si="65"/>
        <v>0</v>
      </c>
      <c r="Q40" s="90"/>
      <c r="R40" s="313">
        <v>0</v>
      </c>
      <c r="S40" s="91">
        <v>0</v>
      </c>
      <c r="T40" s="91">
        <v>0</v>
      </c>
      <c r="U40" s="91">
        <v>0</v>
      </c>
      <c r="V40" s="91">
        <v>4000</v>
      </c>
      <c r="W40" s="91">
        <v>0</v>
      </c>
      <c r="X40" s="91">
        <v>800</v>
      </c>
      <c r="Y40" s="91">
        <v>1000</v>
      </c>
      <c r="Z40" s="91">
        <v>1200</v>
      </c>
      <c r="AA40" s="91">
        <v>1200</v>
      </c>
      <c r="AB40" s="91">
        <v>1800</v>
      </c>
      <c r="AC40" s="91">
        <v>2300</v>
      </c>
      <c r="AD40" s="315">
        <f t="shared" si="66"/>
        <v>12300</v>
      </c>
      <c r="AE40" s="23"/>
      <c r="AF40" s="316">
        <v>1500</v>
      </c>
      <c r="AG40" s="91">
        <v>1200</v>
      </c>
      <c r="AH40" s="91">
        <f t="shared" si="73"/>
        <v>225</v>
      </c>
      <c r="AI40" s="91">
        <v>332</v>
      </c>
      <c r="AJ40" s="91">
        <v>945</v>
      </c>
      <c r="AK40" s="91">
        <v>960</v>
      </c>
      <c r="AL40" s="91">
        <v>1500</v>
      </c>
      <c r="AM40" s="91">
        <v>1200</v>
      </c>
      <c r="AN40" s="91">
        <v>1200</v>
      </c>
      <c r="AO40" s="91">
        <v>1200</v>
      </c>
      <c r="AP40" s="91">
        <v>1320</v>
      </c>
      <c r="AQ40" s="91">
        <v>1920</v>
      </c>
      <c r="AR40" s="92">
        <f t="shared" si="67"/>
        <v>13502</v>
      </c>
      <c r="AS40" s="23"/>
      <c r="AT40" s="91">
        <v>1254</v>
      </c>
      <c r="AU40" s="91">
        <v>1254</v>
      </c>
      <c r="AV40" s="91">
        <v>1254</v>
      </c>
      <c r="AW40" s="91">
        <v>1254</v>
      </c>
      <c r="AX40" s="317">
        <v>1236</v>
      </c>
      <c r="AY40" s="317">
        <v>1236</v>
      </c>
      <c r="AZ40" s="317">
        <v>0</v>
      </c>
      <c r="BA40" s="317">
        <v>0</v>
      </c>
      <c r="BB40" s="317">
        <v>0</v>
      </c>
      <c r="BC40" s="317">
        <v>0</v>
      </c>
      <c r="BD40" s="317">
        <v>0</v>
      </c>
      <c r="BE40" s="317">
        <v>0</v>
      </c>
      <c r="BF40" s="91">
        <f t="shared" si="68"/>
        <v>7488</v>
      </c>
      <c r="BG40" s="93">
        <f t="shared" si="69"/>
        <v>-0.44541549400088876</v>
      </c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>
        <v>16899</v>
      </c>
      <c r="BU40" s="54"/>
      <c r="BV40" s="91">
        <v>2552.85</v>
      </c>
      <c r="BW40" s="91">
        <v>1973.4599999999998</v>
      </c>
      <c r="BX40" s="91">
        <f>'META  EM PEÇAS'!U34-('META  EM PEÇAS'!U34*0.05)</f>
        <v>2218.4684999999999</v>
      </c>
      <c r="BY40" s="91">
        <f>'META  EM PEÇAS'!V34-('META  EM PEÇAS'!V34*0.05)</f>
        <v>2056.788</v>
      </c>
      <c r="BZ40" s="91">
        <f>'META  EM PEÇAS'!W34-('META  EM PEÇAS'!W34*0.05)</f>
        <v>2307.7019999999998</v>
      </c>
      <c r="CA40" s="91">
        <f>'META  EM PEÇAS'!X34-('META  EM PEÇAS'!X34*0.05)</f>
        <v>2778.6075000000001</v>
      </c>
      <c r="CB40" s="91">
        <f>'META  EM PEÇAS'!Y34-('META  EM PEÇAS'!Y34*0.05)</f>
        <v>3342.2804999999998</v>
      </c>
      <c r="CC40" s="91">
        <f>'META  EM PEÇAS'!Z34-('META  EM PEÇAS'!Z34*0.05)</f>
        <v>2234.3714999999997</v>
      </c>
      <c r="CD40" s="91">
        <f>'META  EM PEÇAS'!AA34-('META  EM PEÇAS'!AA34*0.05)</f>
        <v>2317.4204999999997</v>
      </c>
      <c r="CE40" s="91">
        <f>'META  EM PEÇAS'!AB34-('META  EM PEÇAS'!AB34*0.05)</f>
        <v>2514.4409999999998</v>
      </c>
      <c r="CF40" s="91">
        <f>'META  EM PEÇAS'!AC34-('META  EM PEÇAS'!AC34*0.05)</f>
        <v>3221.241</v>
      </c>
      <c r="CG40" s="91">
        <f>'META  EM PEÇAS'!AD34-('META  EM PEÇAS'!AD34*0.05)</f>
        <v>4539.4229999999989</v>
      </c>
      <c r="CH40" s="91">
        <f t="shared" si="70"/>
        <v>32057.053499999998</v>
      </c>
      <c r="CJ40" s="91">
        <v>2552.85</v>
      </c>
      <c r="CK40" s="91">
        <v>1973.4599999999998</v>
      </c>
      <c r="CL40" s="91">
        <v>2218.4684999999999</v>
      </c>
      <c r="CM40" s="91">
        <v>2056.788</v>
      </c>
      <c r="CN40" s="91">
        <v>2307.7019999999998</v>
      </c>
      <c r="CO40" s="91">
        <v>2778.6075000000001</v>
      </c>
      <c r="CP40" s="91">
        <v>3342.2804999999998</v>
      </c>
      <c r="CQ40" s="91">
        <v>2234.3714999999997</v>
      </c>
      <c r="CR40" s="91">
        <v>2317.4204999999997</v>
      </c>
      <c r="CS40" s="91">
        <v>2514.4409999999998</v>
      </c>
      <c r="CT40" s="91">
        <v>3221.241</v>
      </c>
      <c r="CU40" s="91">
        <v>4539.4229999999989</v>
      </c>
      <c r="CV40" s="91">
        <v>32057.053499999998</v>
      </c>
    </row>
    <row r="41" spans="1:100" ht="15" hidden="1" customHeight="1" outlineLevel="1">
      <c r="A41" s="94">
        <v>13</v>
      </c>
      <c r="B41" s="210" t="s">
        <v>68</v>
      </c>
      <c r="C41" s="212"/>
      <c r="D41" s="313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314">
        <f t="shared" si="65"/>
        <v>0</v>
      </c>
      <c r="Q41" s="90"/>
      <c r="R41" s="313">
        <v>0</v>
      </c>
      <c r="S41" s="91">
        <v>0</v>
      </c>
      <c r="T41" s="91">
        <v>0</v>
      </c>
      <c r="U41" s="91">
        <v>0</v>
      </c>
      <c r="V41" s="91">
        <v>0</v>
      </c>
      <c r="W41" s="91">
        <v>0</v>
      </c>
      <c r="X41" s="91">
        <v>2000</v>
      </c>
      <c r="Y41" s="91">
        <v>800</v>
      </c>
      <c r="Z41" s="91">
        <v>800</v>
      </c>
      <c r="AA41" s="91">
        <v>1200</v>
      </c>
      <c r="AB41" s="91">
        <v>1800</v>
      </c>
      <c r="AC41" s="91">
        <v>2300</v>
      </c>
      <c r="AD41" s="315">
        <f t="shared" si="66"/>
        <v>8900</v>
      </c>
      <c r="AE41" s="23"/>
      <c r="AF41" s="316">
        <v>1800</v>
      </c>
      <c r="AG41" s="91">
        <v>1200</v>
      </c>
      <c r="AH41" s="91">
        <f>1800*0.15</f>
        <v>270</v>
      </c>
      <c r="AI41" s="91">
        <v>896</v>
      </c>
      <c r="AJ41" s="91">
        <v>1339</v>
      </c>
      <c r="AK41" s="91">
        <v>1600</v>
      </c>
      <c r="AL41" s="91">
        <v>1800</v>
      </c>
      <c r="AM41" s="91">
        <v>2000</v>
      </c>
      <c r="AN41" s="91">
        <v>2000</v>
      </c>
      <c r="AO41" s="91">
        <v>2000</v>
      </c>
      <c r="AP41" s="91">
        <v>2200</v>
      </c>
      <c r="AQ41" s="91">
        <v>3200</v>
      </c>
      <c r="AR41" s="92">
        <f t="shared" si="67"/>
        <v>20305</v>
      </c>
      <c r="AS41" s="23"/>
      <c r="AT41" s="91">
        <v>1980</v>
      </c>
      <c r="AU41" s="91">
        <v>1980</v>
      </c>
      <c r="AV41" s="91">
        <v>1980</v>
      </c>
      <c r="AW41" s="91">
        <v>1980</v>
      </c>
      <c r="AX41" s="317">
        <v>1409</v>
      </c>
      <c r="AY41" s="317">
        <v>1409</v>
      </c>
      <c r="AZ41" s="317">
        <v>1345</v>
      </c>
      <c r="BA41" s="317">
        <v>1345</v>
      </c>
      <c r="BB41" s="317">
        <v>1409</v>
      </c>
      <c r="BC41" s="317">
        <v>1665</v>
      </c>
      <c r="BD41" s="317">
        <v>1793</v>
      </c>
      <c r="BE41" s="317">
        <v>2562</v>
      </c>
      <c r="BF41" s="91">
        <f t="shared" si="68"/>
        <v>20857</v>
      </c>
      <c r="BG41" s="93">
        <f t="shared" si="69"/>
        <v>2.7185422309775831E-2</v>
      </c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>
        <v>11555</v>
      </c>
      <c r="BU41" s="54"/>
      <c r="BV41" s="91">
        <v>1903.7099999999998</v>
      </c>
      <c r="BW41" s="91">
        <v>1471.26</v>
      </c>
      <c r="BX41" s="91">
        <f>'META  EM PEÇAS'!U35-('META  EM PEÇAS'!U35*0.05)</f>
        <v>1654.7954999999999</v>
      </c>
      <c r="BY41" s="91">
        <f>'META  EM PEÇAS'!V35-('META  EM PEÇAS'!V35*0.05)</f>
        <v>1533.7559999999999</v>
      </c>
      <c r="BZ41" s="91">
        <f>'META  EM PEÇAS'!W35-('META  EM PEÇAS'!W35*0.05)</f>
        <v>1721.058</v>
      </c>
      <c r="CA41" s="91">
        <f>'META  EM PEÇAS'!X35-('META  EM PEÇAS'!X35*0.05)</f>
        <v>2071.8074999999999</v>
      </c>
      <c r="CB41" s="91">
        <f>'META  EM PEÇAS'!Y35-('META  EM PEÇAS'!Y35*0.05)</f>
        <v>2492.3534999999997</v>
      </c>
      <c r="CC41" s="91">
        <f>'META  EM PEÇAS'!Z35-('META  EM PEÇAS'!Z35*0.05)</f>
        <v>1666.2809999999997</v>
      </c>
      <c r="CD41" s="91">
        <f>'META  EM PEÇAS'!AA35-('META  EM PEÇAS'!AA35*0.05)</f>
        <v>1728.126</v>
      </c>
      <c r="CE41" s="91">
        <f>'META  EM PEÇAS'!AB35-('META  EM PEÇAS'!AB35*0.05)</f>
        <v>1874.7869999999998</v>
      </c>
      <c r="CF41" s="91">
        <f>'META  EM PEÇAS'!AC35-('META  EM PEÇAS'!AC35*0.05)</f>
        <v>2402.2364999999995</v>
      </c>
      <c r="CG41" s="91">
        <f>'META  EM PEÇAS'!AD35-('META  EM PEÇAS'!AD35*0.05)</f>
        <v>3384.6884999999997</v>
      </c>
      <c r="CH41" s="91">
        <f t="shared" si="70"/>
        <v>23904.859499999995</v>
      </c>
      <c r="CJ41" s="91">
        <v>1903.7099999999998</v>
      </c>
      <c r="CK41" s="91">
        <v>1471.26</v>
      </c>
      <c r="CL41" s="91">
        <v>1654.7954999999999</v>
      </c>
      <c r="CM41" s="91">
        <v>1533.7559999999999</v>
      </c>
      <c r="CN41" s="91">
        <v>1721.058</v>
      </c>
      <c r="CO41" s="91">
        <v>2071.8074999999999</v>
      </c>
      <c r="CP41" s="91">
        <v>2492.3534999999997</v>
      </c>
      <c r="CQ41" s="91">
        <v>1666.2809999999997</v>
      </c>
      <c r="CR41" s="91">
        <v>1728.126</v>
      </c>
      <c r="CS41" s="91">
        <v>1874.7869999999998</v>
      </c>
      <c r="CT41" s="91">
        <v>2402.2364999999995</v>
      </c>
      <c r="CU41" s="91">
        <v>3384.6884999999997</v>
      </c>
      <c r="CV41" s="91">
        <v>23904.859499999995</v>
      </c>
    </row>
    <row r="42" spans="1:100" ht="15" hidden="1" customHeight="1" outlineLevel="1">
      <c r="A42" s="94">
        <v>14</v>
      </c>
      <c r="B42" s="210" t="s">
        <v>69</v>
      </c>
      <c r="C42" s="212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/>
      <c r="Q42" s="90"/>
      <c r="R42" s="313">
        <v>0</v>
      </c>
      <c r="S42" s="91">
        <v>0</v>
      </c>
      <c r="T42" s="91">
        <v>0</v>
      </c>
      <c r="U42" s="91">
        <v>0</v>
      </c>
      <c r="V42" s="91">
        <v>0</v>
      </c>
      <c r="W42" s="91">
        <v>0</v>
      </c>
      <c r="X42" s="91">
        <v>0</v>
      </c>
      <c r="Y42" s="91">
        <v>2000</v>
      </c>
      <c r="Z42" s="91">
        <v>800</v>
      </c>
      <c r="AA42" s="91">
        <v>800</v>
      </c>
      <c r="AB42" s="91">
        <v>1200</v>
      </c>
      <c r="AC42" s="91">
        <v>1800</v>
      </c>
      <c r="AD42" s="315">
        <f t="shared" si="66"/>
        <v>6600</v>
      </c>
      <c r="AE42" s="23"/>
      <c r="AF42" s="316">
        <v>1500</v>
      </c>
      <c r="AG42" s="91">
        <v>1200</v>
      </c>
      <c r="AH42" s="91">
        <f>1500*0.15</f>
        <v>225</v>
      </c>
      <c r="AI42" s="91">
        <v>374</v>
      </c>
      <c r="AJ42" s="91">
        <v>990</v>
      </c>
      <c r="AK42" s="91">
        <v>960</v>
      </c>
      <c r="AL42" s="91">
        <v>1800</v>
      </c>
      <c r="AM42" s="91">
        <v>1200</v>
      </c>
      <c r="AN42" s="91">
        <v>1200</v>
      </c>
      <c r="AO42" s="91">
        <v>1200</v>
      </c>
      <c r="AP42" s="91">
        <v>1320</v>
      </c>
      <c r="AQ42" s="91">
        <v>1920</v>
      </c>
      <c r="AR42" s="92">
        <f t="shared" si="67"/>
        <v>13889</v>
      </c>
      <c r="AS42" s="23"/>
      <c r="AT42" s="91">
        <v>1518</v>
      </c>
      <c r="AU42" s="91">
        <v>1518</v>
      </c>
      <c r="AV42" s="91">
        <v>1518</v>
      </c>
      <c r="AW42" s="91">
        <v>1518</v>
      </c>
      <c r="AX42" s="317">
        <v>1276</v>
      </c>
      <c r="AY42" s="317">
        <v>1276</v>
      </c>
      <c r="AZ42" s="317">
        <v>1218</v>
      </c>
      <c r="BA42" s="317">
        <v>1218</v>
      </c>
      <c r="BB42" s="317">
        <v>1276</v>
      </c>
      <c r="BC42" s="317">
        <v>1508</v>
      </c>
      <c r="BD42" s="317">
        <v>1624</v>
      </c>
      <c r="BE42" s="317">
        <v>2320</v>
      </c>
      <c r="BF42" s="91">
        <f t="shared" si="68"/>
        <v>17788</v>
      </c>
      <c r="BG42" s="93">
        <f t="shared" si="69"/>
        <v>0.2807257541939665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19018</v>
      </c>
      <c r="BU42" s="54"/>
      <c r="BV42" s="91">
        <v>2737.9199999999996</v>
      </c>
      <c r="BW42" s="91">
        <v>2116.6799999999998</v>
      </c>
      <c r="BX42" s="91">
        <f>'META  EM PEÇAS'!U36-('META  EM PEÇAS'!U36*0.05)</f>
        <v>2379.2655</v>
      </c>
      <c r="BY42" s="91">
        <f>'META  EM PEÇAS'!V36-('META  EM PEÇAS'!V36*0.05)</f>
        <v>2205.2159999999999</v>
      </c>
      <c r="BZ42" s="91">
        <f>'META  EM PEÇAS'!W36-('META  EM PEÇAS'!W36*0.05)</f>
        <v>2474.6834999999996</v>
      </c>
      <c r="CA42" s="91">
        <f>'META  EM PEÇAS'!X36-('META  EM PEÇAS'!X36*0.05)</f>
        <v>2980.0454999999997</v>
      </c>
      <c r="CB42" s="91">
        <f>'META  EM PEÇAS'!Y36-('META  EM PEÇAS'!Y36*0.05)</f>
        <v>3584.3594999999996</v>
      </c>
      <c r="CC42" s="91">
        <f>'META  EM PEÇAS'!Z36-('META  EM PEÇAS'!Z36*0.05)</f>
        <v>2396.0519999999997</v>
      </c>
      <c r="CD42" s="91">
        <f>'META  EM PEÇAS'!AA36-('META  EM PEÇAS'!AA36*0.05)</f>
        <v>2485.2854999999995</v>
      </c>
      <c r="CE42" s="91">
        <f>'META  EM PEÇAS'!AB36-('META  EM PEÇAS'!AB36*0.05)</f>
        <v>2696.4419999999996</v>
      </c>
      <c r="CF42" s="91">
        <f>'META  EM PEÇAS'!AC36-('META  EM PEÇAS'!AC36*0.05)</f>
        <v>3454.4849999999997</v>
      </c>
      <c r="CG42" s="91">
        <f>'META  EM PEÇAS'!AD36-('META  EM PEÇAS'!AD36*0.05)</f>
        <v>4868.0849999999991</v>
      </c>
      <c r="CH42" s="91">
        <f t="shared" si="70"/>
        <v>34378.519499999995</v>
      </c>
      <c r="CJ42" s="91">
        <v>2737.9199999999996</v>
      </c>
      <c r="CK42" s="91">
        <v>2116.6799999999998</v>
      </c>
      <c r="CL42" s="91">
        <v>2379.2655</v>
      </c>
      <c r="CM42" s="91">
        <v>2205.2159999999999</v>
      </c>
      <c r="CN42" s="91">
        <v>2474.6834999999996</v>
      </c>
      <c r="CO42" s="91">
        <v>2980.0454999999997</v>
      </c>
      <c r="CP42" s="91">
        <v>3584.3594999999996</v>
      </c>
      <c r="CQ42" s="91">
        <v>2396.0519999999997</v>
      </c>
      <c r="CR42" s="91">
        <v>2485.2854999999995</v>
      </c>
      <c r="CS42" s="91">
        <v>2696.4419999999996</v>
      </c>
      <c r="CT42" s="91">
        <v>3454.4849999999997</v>
      </c>
      <c r="CU42" s="91">
        <v>4868.0849999999991</v>
      </c>
      <c r="CV42" s="91">
        <v>34378.519499999995</v>
      </c>
    </row>
    <row r="43" spans="1:100" ht="15" hidden="1" customHeight="1" outlineLevel="1">
      <c r="A43" s="94">
        <v>15</v>
      </c>
      <c r="B43" s="210" t="s">
        <v>70</v>
      </c>
      <c r="C43" s="212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/>
      <c r="Q43" s="90"/>
      <c r="R43" s="313">
        <v>0</v>
      </c>
      <c r="S43" s="91">
        <v>0</v>
      </c>
      <c r="T43" s="91">
        <v>0</v>
      </c>
      <c r="U43" s="91">
        <v>0</v>
      </c>
      <c r="V43" s="91">
        <v>0</v>
      </c>
      <c r="W43" s="91">
        <v>0</v>
      </c>
      <c r="X43" s="91">
        <v>0</v>
      </c>
      <c r="Y43" s="91">
        <v>0</v>
      </c>
      <c r="Z43" s="91">
        <v>2000</v>
      </c>
      <c r="AA43" s="91">
        <v>800</v>
      </c>
      <c r="AB43" s="91">
        <v>800</v>
      </c>
      <c r="AC43" s="91">
        <v>1500</v>
      </c>
      <c r="AD43" s="315">
        <f t="shared" si="66"/>
        <v>5100</v>
      </c>
      <c r="AE43" s="23"/>
      <c r="AF43" s="316">
        <v>1800</v>
      </c>
      <c r="AG43" s="91">
        <v>1200</v>
      </c>
      <c r="AH43" s="91">
        <f>1800*0.4</f>
        <v>720</v>
      </c>
      <c r="AI43" s="91">
        <v>1147</v>
      </c>
      <c r="AJ43" s="91">
        <v>1155</v>
      </c>
      <c r="AK43" s="91">
        <v>1600</v>
      </c>
      <c r="AL43" s="91">
        <v>1800</v>
      </c>
      <c r="AM43" s="91">
        <v>2000</v>
      </c>
      <c r="AN43" s="91">
        <v>2000</v>
      </c>
      <c r="AO43" s="91">
        <v>2000</v>
      </c>
      <c r="AP43" s="91">
        <v>2200</v>
      </c>
      <c r="AQ43" s="91">
        <v>3200</v>
      </c>
      <c r="AR43" s="92">
        <f t="shared" si="67"/>
        <v>20822</v>
      </c>
      <c r="AS43" s="23"/>
      <c r="AT43" s="91">
        <v>1544</v>
      </c>
      <c r="AU43" s="91">
        <v>1544</v>
      </c>
      <c r="AV43" s="91">
        <v>1544</v>
      </c>
      <c r="AW43" s="91">
        <v>1544</v>
      </c>
      <c r="AX43" s="317">
        <v>862</v>
      </c>
      <c r="AY43" s="317">
        <v>862</v>
      </c>
      <c r="AZ43" s="317">
        <v>823</v>
      </c>
      <c r="BA43" s="317">
        <v>823</v>
      </c>
      <c r="BB43" s="317">
        <v>862</v>
      </c>
      <c r="BC43" s="317">
        <v>1019</v>
      </c>
      <c r="BD43" s="317">
        <v>1098</v>
      </c>
      <c r="BE43" s="317">
        <v>1568</v>
      </c>
      <c r="BF43" s="91">
        <f t="shared" si="68"/>
        <v>14093</v>
      </c>
      <c r="BG43" s="93">
        <f t="shared" si="69"/>
        <v>-0.32316780328498707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21133</v>
      </c>
      <c r="BU43" s="54"/>
      <c r="BV43" s="91">
        <v>3593.52</v>
      </c>
      <c r="BW43" s="91">
        <v>2776.98</v>
      </c>
      <c r="BX43" s="91">
        <f>'META  EM PEÇAS'!U38-('META  EM PEÇAS'!U38*0.05)</f>
        <v>3122.2889999999998</v>
      </c>
      <c r="BY43" s="91">
        <f>'META  EM PEÇAS'!V38-('META  EM PEÇAS'!V38*0.05)</f>
        <v>2893.4625000000001</v>
      </c>
      <c r="BZ43" s="91">
        <f>'META  EM PEÇAS'!W38-('META  EM PEÇAS'!W38*0.05)</f>
        <v>3247.7459999999996</v>
      </c>
      <c r="CA43" s="91">
        <f>'META  EM PEÇAS'!X38-('META  EM PEÇAS'!X38*0.05)</f>
        <v>3910.3709999999992</v>
      </c>
      <c r="CB43" s="91">
        <f>'META  EM PEÇAS'!Y38-('META  EM PEÇAS'!Y38*0.05)</f>
        <v>4703.7539999999999</v>
      </c>
      <c r="CC43" s="91">
        <f>'META  EM PEÇAS'!Z38-('META  EM PEÇAS'!Z38*0.05)</f>
        <v>3144.3764999999999</v>
      </c>
      <c r="CD43" s="91">
        <f>'META  EM PEÇAS'!AA38-('META  EM PEÇAS'!AA38*0.05)</f>
        <v>3260.9984999999997</v>
      </c>
      <c r="CE43" s="91">
        <f>'META  EM PEÇAS'!AB38-('META  EM PEÇAS'!AB38*0.05)</f>
        <v>3539.3009999999999</v>
      </c>
      <c r="CF43" s="91">
        <f>'META  EM PEÇAS'!AC38-('META  EM PEÇAS'!AC38*0.05)</f>
        <v>4533.2384999999995</v>
      </c>
      <c r="CG43" s="91">
        <f>'META  EM PEÇAS'!AD38-('META  EM PEÇAS'!AD38*0.05)</f>
        <v>6387.7049999999999</v>
      </c>
      <c r="CH43" s="91">
        <f t="shared" si="70"/>
        <v>45113.741999999998</v>
      </c>
      <c r="CJ43" s="91">
        <v>3593.52</v>
      </c>
      <c r="CK43" s="91">
        <v>2776.98</v>
      </c>
      <c r="CL43" s="91">
        <v>3122.2889999999998</v>
      </c>
      <c r="CM43" s="91">
        <v>2893.4625000000001</v>
      </c>
      <c r="CN43" s="91">
        <v>3247.7459999999996</v>
      </c>
      <c r="CO43" s="91">
        <v>3910.3709999999992</v>
      </c>
      <c r="CP43" s="91">
        <v>4703.7539999999999</v>
      </c>
      <c r="CQ43" s="91">
        <v>3144.3764999999999</v>
      </c>
      <c r="CR43" s="91">
        <v>3260.9984999999997</v>
      </c>
      <c r="CS43" s="91">
        <v>3539.3009999999999</v>
      </c>
      <c r="CT43" s="91">
        <v>4533.2384999999995</v>
      </c>
      <c r="CU43" s="91">
        <v>6387.7049999999999</v>
      </c>
      <c r="CV43" s="91">
        <v>45113.741999999998</v>
      </c>
    </row>
    <row r="44" spans="1:100" ht="15" hidden="1" customHeight="1" outlineLevel="1">
      <c r="A44" s="94">
        <v>16</v>
      </c>
      <c r="B44" s="216" t="s">
        <v>71</v>
      </c>
      <c r="C44" s="212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/>
      <c r="Q44" s="90"/>
      <c r="R44" s="313"/>
      <c r="S44" s="91"/>
      <c r="T44" s="91"/>
      <c r="U44" s="91"/>
      <c r="V44" s="91"/>
      <c r="W44" s="91"/>
      <c r="X44" s="91"/>
      <c r="Y44" s="91"/>
      <c r="Z44" s="91"/>
      <c r="AA44" s="91">
        <v>800</v>
      </c>
      <c r="AB44" s="91">
        <v>800</v>
      </c>
      <c r="AC44" s="91">
        <v>1500</v>
      </c>
      <c r="AD44" s="315"/>
      <c r="AE44" s="23"/>
      <c r="AF44" s="316">
        <v>1500</v>
      </c>
      <c r="AG44" s="91">
        <v>1200</v>
      </c>
      <c r="AH44" s="91">
        <f>1500*0.15</f>
        <v>225</v>
      </c>
      <c r="AI44" s="91">
        <v>192</v>
      </c>
      <c r="AJ44" s="91">
        <v>663</v>
      </c>
      <c r="AK44" s="91">
        <v>800</v>
      </c>
      <c r="AL44" s="91">
        <v>1500</v>
      </c>
      <c r="AM44" s="91">
        <v>1000</v>
      </c>
      <c r="AN44" s="91">
        <v>1000</v>
      </c>
      <c r="AO44" s="91">
        <v>1000</v>
      </c>
      <c r="AP44" s="91">
        <v>1100</v>
      </c>
      <c r="AQ44" s="91">
        <v>1600</v>
      </c>
      <c r="AR44" s="92">
        <f t="shared" si="67"/>
        <v>11780</v>
      </c>
      <c r="AS44" s="23"/>
      <c r="AT44" s="91">
        <v>960</v>
      </c>
      <c r="AU44" s="91">
        <v>960</v>
      </c>
      <c r="AV44" s="91">
        <v>960</v>
      </c>
      <c r="AW44" s="91">
        <v>960</v>
      </c>
      <c r="AX44" s="317">
        <v>1414</v>
      </c>
      <c r="AY44" s="317">
        <v>1414</v>
      </c>
      <c r="AZ44" s="317">
        <v>1350</v>
      </c>
      <c r="BA44" s="317">
        <v>1350</v>
      </c>
      <c r="BB44" s="317">
        <v>1414</v>
      </c>
      <c r="BC44" s="317">
        <v>1671</v>
      </c>
      <c r="BD44" s="317">
        <v>1800</v>
      </c>
      <c r="BE44" s="317">
        <v>2571</v>
      </c>
      <c r="BF44" s="91">
        <f t="shared" si="68"/>
        <v>16824</v>
      </c>
      <c r="BG44" s="93">
        <f t="shared" si="69"/>
        <v>0.42818336162988113</v>
      </c>
      <c r="BH44" s="91">
        <v>900</v>
      </c>
      <c r="BI44" s="91">
        <v>643</v>
      </c>
      <c r="BJ44" s="91">
        <v>891</v>
      </c>
      <c r="BK44" s="91">
        <v>679</v>
      </c>
      <c r="BL44" s="91">
        <v>940</v>
      </c>
      <c r="BM44" s="91">
        <v>948</v>
      </c>
      <c r="BN44" s="91">
        <v>1124</v>
      </c>
      <c r="BO44" s="91">
        <v>913</v>
      </c>
      <c r="BP44" s="91">
        <v>911</v>
      </c>
      <c r="BQ44" s="91">
        <v>898</v>
      </c>
      <c r="BR44" s="91">
        <v>1465</v>
      </c>
      <c r="BS44" s="91">
        <v>1278</v>
      </c>
      <c r="BT44" s="91">
        <f>SUM(BH44:BS44)</f>
        <v>11590</v>
      </c>
      <c r="BU44" s="54"/>
      <c r="BV44" s="91">
        <f>'META  EM PEÇAS'!T47</f>
        <v>1749.7324726431702</v>
      </c>
      <c r="BW44" s="91">
        <f>'META  EM PEÇAS'!T48</f>
        <v>1701.1287928475265</v>
      </c>
      <c r="BX44" s="91">
        <f>'META  EM PEÇAS'!T49</f>
        <v>1846.9398322344578</v>
      </c>
      <c r="BY44" s="91">
        <f>'META  EM PEÇAS'!T50</f>
        <v>1701.1287928475265</v>
      </c>
      <c r="BZ44" s="91">
        <f>'META  EM PEÇAS'!T51</f>
        <v>1846.9398322344578</v>
      </c>
      <c r="CA44" s="91">
        <f>'META  EM PEÇAS'!T52</f>
        <v>1749.7324726431702</v>
      </c>
      <c r="CB44" s="91">
        <f>'META  EM PEÇAS'!T53</f>
        <v>2138.5619110083194</v>
      </c>
      <c r="CC44" s="91">
        <f>'META  EM PEÇAS'!T54</f>
        <v>1749.7324726431702</v>
      </c>
      <c r="CD44" s="91">
        <f>'META  EM PEÇAS'!T55</f>
        <v>1749.7324726431702</v>
      </c>
      <c r="CE44" s="91">
        <f>'META  EM PEÇAS'!T56</f>
        <v>1749.7324726431702</v>
      </c>
      <c r="CF44" s="91">
        <f>'META  EM PEÇAS'!T57</f>
        <v>2721.8060685560426</v>
      </c>
      <c r="CG44" s="91">
        <f>'META  EM PEÇAS'!T58</f>
        <v>1944.1471918257448</v>
      </c>
      <c r="CH44" s="91">
        <f t="shared" si="70"/>
        <v>22649.314784769926</v>
      </c>
      <c r="CJ44" s="91">
        <v>1749.7324726431702</v>
      </c>
      <c r="CK44" s="91">
        <v>1701.1287928475265</v>
      </c>
      <c r="CL44" s="91">
        <v>1846.9398322344578</v>
      </c>
      <c r="CM44" s="91">
        <v>1701.1287928475265</v>
      </c>
      <c r="CN44" s="91">
        <v>1846.9398322344578</v>
      </c>
      <c r="CO44" s="91">
        <v>1749.7324726431702</v>
      </c>
      <c r="CP44" s="91">
        <v>2138.5619110083194</v>
      </c>
      <c r="CQ44" s="91">
        <v>1749.7324726431702</v>
      </c>
      <c r="CR44" s="91">
        <v>1749.7324726431702</v>
      </c>
      <c r="CS44" s="91">
        <v>1749.7324726431702</v>
      </c>
      <c r="CT44" s="91">
        <v>2721.8060685560426</v>
      </c>
      <c r="CU44" s="91">
        <v>1944.1471918257448</v>
      </c>
      <c r="CV44" s="91">
        <v>22649.314784769926</v>
      </c>
    </row>
    <row r="45" spans="1:100" ht="15" hidden="1" customHeight="1" outlineLevel="1">
      <c r="A45" s="94"/>
      <c r="B45" s="210"/>
      <c r="C45" s="213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/>
      <c r="Q45" s="90"/>
      <c r="R45" s="313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315"/>
      <c r="AE45" s="23"/>
      <c r="AF45" s="316">
        <v>0</v>
      </c>
      <c r="AG45" s="91">
        <v>0</v>
      </c>
      <c r="AH45" s="91">
        <v>0</v>
      </c>
      <c r="AI45" s="91">
        <v>0</v>
      </c>
      <c r="AJ45" s="91">
        <v>0</v>
      </c>
      <c r="AK45" s="91">
        <v>400</v>
      </c>
      <c r="AL45" s="91">
        <v>500</v>
      </c>
      <c r="AM45" s="91">
        <v>500</v>
      </c>
      <c r="AN45" s="91">
        <v>600</v>
      </c>
      <c r="AO45" s="91">
        <v>600</v>
      </c>
      <c r="AP45" s="91">
        <v>660</v>
      </c>
      <c r="AQ45" s="91">
        <v>960</v>
      </c>
      <c r="AR45" s="92">
        <f t="shared" si="67"/>
        <v>4220</v>
      </c>
      <c r="AS45" s="23"/>
      <c r="AT45" s="91">
        <v>960</v>
      </c>
      <c r="AU45" s="91">
        <v>960</v>
      </c>
      <c r="AV45" s="91">
        <v>960</v>
      </c>
      <c r="AW45" s="91">
        <v>960</v>
      </c>
      <c r="AX45" s="317">
        <v>580</v>
      </c>
      <c r="AY45" s="317">
        <v>580</v>
      </c>
      <c r="AZ45" s="317">
        <v>554</v>
      </c>
      <c r="BA45" s="317">
        <v>554</v>
      </c>
      <c r="BB45" s="317">
        <v>580</v>
      </c>
      <c r="BC45" s="317">
        <v>686</v>
      </c>
      <c r="BD45" s="317">
        <v>739</v>
      </c>
      <c r="BE45" s="317">
        <v>1055</v>
      </c>
      <c r="BF45" s="91">
        <f t="shared" si="68"/>
        <v>9168</v>
      </c>
      <c r="BG45" s="93">
        <f t="shared" si="69"/>
        <v>1.172511848341232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U45" s="54"/>
      <c r="BV45" s="91"/>
      <c r="BW45" s="91"/>
      <c r="BX45" s="91"/>
      <c r="BY45" s="91"/>
      <c r="BZ45" s="91"/>
      <c r="CA45" s="91"/>
      <c r="CB45" s="91"/>
      <c r="CC45" s="91"/>
      <c r="CD45" s="91"/>
      <c r="CE45" s="91"/>
      <c r="CF45" s="91"/>
      <c r="CG45" s="91"/>
      <c r="CH45" s="91"/>
      <c r="CJ45" s="91"/>
      <c r="CK45" s="91"/>
      <c r="CL45" s="91"/>
      <c r="CM45" s="91"/>
      <c r="CN45" s="91"/>
      <c r="CO45" s="91"/>
      <c r="CP45" s="91"/>
      <c r="CQ45" s="91"/>
      <c r="CR45" s="91"/>
      <c r="CS45" s="91"/>
      <c r="CT45" s="91"/>
      <c r="CU45" s="91"/>
      <c r="CV45" s="91"/>
    </row>
    <row r="46" spans="1:100" ht="15" hidden="1" customHeight="1" outlineLevel="1">
      <c r="A46" s="95"/>
      <c r="B46" s="216"/>
      <c r="C46" s="420"/>
      <c r="D46" s="421"/>
      <c r="E46" s="422"/>
      <c r="F46" s="422"/>
      <c r="G46" s="422"/>
      <c r="H46" s="422"/>
      <c r="I46" s="422"/>
      <c r="J46" s="422"/>
      <c r="K46" s="422"/>
      <c r="L46" s="422"/>
      <c r="M46" s="422"/>
      <c r="N46" s="422"/>
      <c r="O46" s="422"/>
      <c r="P46" s="423"/>
      <c r="Q46" s="424"/>
      <c r="R46" s="421"/>
      <c r="S46" s="425"/>
      <c r="T46" s="425"/>
      <c r="U46" s="425"/>
      <c r="V46" s="425"/>
      <c r="W46" s="425"/>
      <c r="X46" s="425"/>
      <c r="Y46" s="425"/>
      <c r="Z46" s="425"/>
      <c r="AA46" s="425"/>
      <c r="AB46" s="425"/>
      <c r="AC46" s="425"/>
      <c r="AD46" s="426"/>
      <c r="AE46" s="427"/>
      <c r="AF46" s="428">
        <v>0</v>
      </c>
      <c r="AG46" s="425">
        <v>0</v>
      </c>
      <c r="AH46" s="425">
        <v>0</v>
      </c>
      <c r="AI46" s="425">
        <v>0</v>
      </c>
      <c r="AJ46" s="425">
        <v>0</v>
      </c>
      <c r="AK46" s="425">
        <v>0</v>
      </c>
      <c r="AL46" s="425">
        <v>2500</v>
      </c>
      <c r="AM46" s="425">
        <v>2000</v>
      </c>
      <c r="AN46" s="425">
        <v>500</v>
      </c>
      <c r="AO46" s="425">
        <v>600</v>
      </c>
      <c r="AP46" s="425">
        <v>660</v>
      </c>
      <c r="AQ46" s="425">
        <v>960</v>
      </c>
      <c r="AR46" s="429">
        <f t="shared" si="67"/>
        <v>7220</v>
      </c>
      <c r="AS46" s="23"/>
      <c r="AT46" s="425">
        <v>1518</v>
      </c>
      <c r="AU46" s="425">
        <v>1518</v>
      </c>
      <c r="AV46" s="425">
        <v>1518</v>
      </c>
      <c r="AW46" s="425">
        <v>1518</v>
      </c>
      <c r="AX46" s="317">
        <v>1943</v>
      </c>
      <c r="AY46" s="317">
        <v>1943</v>
      </c>
      <c r="AZ46" s="317">
        <v>1854</v>
      </c>
      <c r="BA46" s="317">
        <v>1854</v>
      </c>
      <c r="BB46" s="317">
        <v>1943</v>
      </c>
      <c r="BC46" s="317">
        <v>2296</v>
      </c>
      <c r="BD46" s="317">
        <v>2472</v>
      </c>
      <c r="BE46" s="317">
        <v>3532</v>
      </c>
      <c r="BF46" s="425">
        <f t="shared" si="68"/>
        <v>23909</v>
      </c>
      <c r="BG46" s="93">
        <f t="shared" si="69"/>
        <v>2.3114958448753464</v>
      </c>
      <c r="BH46" s="425"/>
      <c r="BI46" s="425"/>
      <c r="BJ46" s="425"/>
      <c r="BK46" s="425"/>
      <c r="BL46" s="91"/>
      <c r="BM46" s="91"/>
      <c r="BN46" s="91"/>
      <c r="BO46" s="91"/>
      <c r="BP46" s="91"/>
      <c r="BQ46" s="91"/>
      <c r="BR46" s="91"/>
      <c r="BS46" s="91"/>
      <c r="BT46" s="91"/>
      <c r="BU46" s="54"/>
      <c r="BV46" s="425"/>
      <c r="BW46" s="425"/>
      <c r="BX46" s="425"/>
      <c r="BY46" s="425"/>
      <c r="BZ46" s="91"/>
      <c r="CA46" s="91"/>
      <c r="CB46" s="91"/>
      <c r="CC46" s="91"/>
      <c r="CD46" s="91"/>
      <c r="CE46" s="91"/>
      <c r="CF46" s="91"/>
      <c r="CG46" s="91"/>
      <c r="CH46" s="91"/>
      <c r="CJ46" s="425"/>
      <c r="CK46" s="425"/>
      <c r="CL46" s="425"/>
      <c r="CM46" s="425"/>
      <c r="CN46" s="91"/>
      <c r="CO46" s="91"/>
      <c r="CP46" s="91"/>
      <c r="CQ46" s="91"/>
      <c r="CR46" s="91"/>
      <c r="CS46" s="91"/>
      <c r="CT46" s="91"/>
      <c r="CU46" s="91"/>
      <c r="CV46" s="91"/>
    </row>
    <row r="47" spans="1:100" ht="15" hidden="1" customHeight="1" outlineLevel="1">
      <c r="A47" s="434"/>
      <c r="B47" s="1093"/>
      <c r="C47" s="1094"/>
      <c r="D47" s="435"/>
      <c r="E47" s="435"/>
      <c r="F47" s="435"/>
      <c r="G47" s="435"/>
      <c r="H47" s="435"/>
      <c r="I47" s="435"/>
      <c r="J47" s="435"/>
      <c r="K47" s="435"/>
      <c r="L47" s="435"/>
      <c r="M47" s="435"/>
      <c r="N47" s="435"/>
      <c r="O47" s="435"/>
      <c r="P47" s="435"/>
      <c r="Q47" s="435"/>
      <c r="R47" s="435"/>
      <c r="S47" s="435"/>
      <c r="T47" s="435"/>
      <c r="U47" s="435"/>
      <c r="V47" s="435"/>
      <c r="W47" s="435"/>
      <c r="X47" s="435"/>
      <c r="Y47" s="435"/>
      <c r="Z47" s="435"/>
      <c r="AA47" s="435"/>
      <c r="AB47" s="435"/>
      <c r="AC47" s="435"/>
      <c r="AD47" s="435"/>
      <c r="AE47" s="436"/>
      <c r="AF47" s="437">
        <v>0</v>
      </c>
      <c r="AG47" s="437">
        <v>0</v>
      </c>
      <c r="AH47" s="437">
        <v>0</v>
      </c>
      <c r="AI47" s="437">
        <v>0</v>
      </c>
      <c r="AJ47" s="437">
        <v>0</v>
      </c>
      <c r="AK47" s="437">
        <v>0</v>
      </c>
      <c r="AL47" s="437">
        <v>0</v>
      </c>
      <c r="AM47" s="437">
        <v>0</v>
      </c>
      <c r="AN47" s="437">
        <v>0</v>
      </c>
      <c r="AO47" s="437">
        <v>0</v>
      </c>
      <c r="AP47" s="437">
        <v>0</v>
      </c>
      <c r="AQ47" s="437">
        <v>0</v>
      </c>
      <c r="AR47" s="438">
        <f t="shared" si="67"/>
        <v>0</v>
      </c>
      <c r="AS47" s="322"/>
      <c r="AT47" s="437">
        <v>0</v>
      </c>
      <c r="AU47" s="437">
        <v>0</v>
      </c>
      <c r="AV47" s="437">
        <v>0</v>
      </c>
      <c r="AW47" s="437">
        <v>0</v>
      </c>
      <c r="AX47" s="439">
        <v>800</v>
      </c>
      <c r="AY47" s="317">
        <v>800</v>
      </c>
      <c r="AZ47" s="317">
        <v>800</v>
      </c>
      <c r="BA47" s="317">
        <v>1050</v>
      </c>
      <c r="BB47" s="317">
        <v>1100</v>
      </c>
      <c r="BC47" s="317">
        <v>1300</v>
      </c>
      <c r="BD47" s="317">
        <v>1400</v>
      </c>
      <c r="BE47" s="440">
        <v>2000</v>
      </c>
      <c r="BF47" s="437">
        <f t="shared" si="68"/>
        <v>9250</v>
      </c>
      <c r="BG47" s="325" t="e">
        <f t="shared" si="69"/>
        <v>#DIV/0!</v>
      </c>
      <c r="BH47" s="437"/>
      <c r="BI47" s="437"/>
      <c r="BJ47" s="437"/>
      <c r="BK47" s="437"/>
      <c r="BL47" s="439"/>
      <c r="BM47" s="317"/>
      <c r="BN47" s="317"/>
      <c r="BO47" s="317"/>
      <c r="BP47" s="317"/>
      <c r="BQ47" s="317"/>
      <c r="BR47" s="317"/>
      <c r="BS47" s="317"/>
      <c r="BT47" s="317"/>
      <c r="BU47" s="326"/>
      <c r="BV47" s="443"/>
      <c r="BW47" s="443"/>
      <c r="BX47" s="443"/>
      <c r="BY47" s="443"/>
      <c r="BZ47" s="444"/>
      <c r="CA47" s="317"/>
      <c r="CB47" s="317"/>
      <c r="CC47" s="317"/>
      <c r="CD47" s="317"/>
      <c r="CE47" s="317"/>
      <c r="CF47" s="317"/>
      <c r="CG47" s="317"/>
      <c r="CH47" s="317"/>
      <c r="CJ47" s="443"/>
      <c r="CK47" s="443"/>
      <c r="CL47" s="443"/>
      <c r="CM47" s="443"/>
      <c r="CN47" s="444"/>
      <c r="CO47" s="317"/>
      <c r="CP47" s="317"/>
      <c r="CQ47" s="317"/>
      <c r="CR47" s="317"/>
      <c r="CS47" s="317"/>
      <c r="CT47" s="317"/>
      <c r="CU47" s="317"/>
      <c r="CV47" s="317"/>
    </row>
    <row r="48" spans="1:100" ht="15" hidden="1" customHeight="1" outlineLevel="1">
      <c r="A48" s="430"/>
      <c r="B48" s="214"/>
      <c r="C48" s="431"/>
      <c r="D48" s="424"/>
      <c r="E48" s="424"/>
      <c r="F48" s="424"/>
      <c r="G48" s="424"/>
      <c r="H48" s="424"/>
      <c r="I48" s="424"/>
      <c r="J48" s="424"/>
      <c r="K48" s="424"/>
      <c r="L48" s="424"/>
      <c r="M48" s="424"/>
      <c r="N48" s="424"/>
      <c r="O48" s="424"/>
      <c r="P48" s="424"/>
      <c r="Q48" s="424"/>
      <c r="R48" s="424"/>
      <c r="S48" s="432"/>
      <c r="T48" s="432"/>
      <c r="U48" s="432"/>
      <c r="V48" s="432"/>
      <c r="W48" s="432"/>
      <c r="X48" s="432"/>
      <c r="Y48" s="432"/>
      <c r="Z48" s="432"/>
      <c r="AA48" s="432"/>
      <c r="AB48" s="432"/>
      <c r="AC48" s="432"/>
      <c r="AD48" s="432"/>
      <c r="AE48" s="427"/>
      <c r="AF48" s="432"/>
      <c r="AG48" s="432"/>
      <c r="AH48" s="432"/>
      <c r="AI48" s="432"/>
      <c r="AJ48" s="432"/>
      <c r="AK48" s="432"/>
      <c r="AL48" s="432"/>
      <c r="AM48" s="432"/>
      <c r="AN48" s="432"/>
      <c r="AO48" s="432"/>
      <c r="AP48" s="432"/>
      <c r="AQ48" s="432"/>
      <c r="AR48" s="433"/>
      <c r="AS48" s="23"/>
      <c r="AT48" s="97"/>
      <c r="AU48" s="97"/>
      <c r="AV48" s="97"/>
      <c r="AW48" s="97"/>
      <c r="AX48" s="91"/>
      <c r="AY48" s="91"/>
      <c r="AZ48" s="91"/>
      <c r="BA48" s="91"/>
      <c r="BB48" s="91"/>
      <c r="BC48" s="91"/>
      <c r="BD48" s="91">
        <v>600</v>
      </c>
      <c r="BE48" s="315">
        <v>700</v>
      </c>
      <c r="BF48" s="437">
        <f t="shared" si="68"/>
        <v>1300</v>
      </c>
      <c r="BG48" s="93"/>
      <c r="BH48" s="442"/>
      <c r="BI48" s="442"/>
      <c r="BJ48" s="442"/>
      <c r="BK48" s="442"/>
      <c r="BL48" s="316"/>
      <c r="BM48" s="91"/>
      <c r="BN48" s="91"/>
      <c r="BO48" s="91"/>
      <c r="BP48" s="91"/>
      <c r="BQ48" s="91"/>
      <c r="BR48" s="91"/>
      <c r="BS48" s="91"/>
      <c r="BT48" s="91"/>
      <c r="BU48" s="54"/>
      <c r="BV48" s="442"/>
      <c r="BW48" s="442"/>
      <c r="BX48" s="442"/>
      <c r="BY48" s="442"/>
      <c r="BZ48" s="442"/>
      <c r="CA48" s="316"/>
      <c r="CB48" s="91">
        <v>60</v>
      </c>
      <c r="CC48" s="91"/>
      <c r="CD48" s="91"/>
      <c r="CE48" s="91"/>
      <c r="CF48" s="91"/>
      <c r="CG48" s="91"/>
      <c r="CH48" s="91"/>
      <c r="CJ48" s="442"/>
      <c r="CK48" s="442"/>
      <c r="CL48" s="442"/>
      <c r="CM48" s="442"/>
      <c r="CN48" s="442"/>
      <c r="CO48" s="316"/>
      <c r="CP48" s="91"/>
      <c r="CQ48" s="91"/>
      <c r="CR48" s="91"/>
      <c r="CS48" s="91"/>
      <c r="CT48" s="91"/>
      <c r="CU48" s="91"/>
      <c r="CV48" s="91"/>
    </row>
    <row r="49" spans="1:100" ht="15" hidden="1" customHeight="1" outlineLevel="1">
      <c r="A49" s="95"/>
      <c r="B49" s="216" t="s">
        <v>71</v>
      </c>
      <c r="C49" s="211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>
        <f t="shared" ref="P49:P50" si="74">SUM(D49:O49)</f>
        <v>0</v>
      </c>
      <c r="Q49" s="90"/>
      <c r="R49" s="313">
        <v>350</v>
      </c>
      <c r="S49" s="91">
        <v>350</v>
      </c>
      <c r="T49" s="91">
        <v>450</v>
      </c>
      <c r="U49" s="91">
        <v>800</v>
      </c>
      <c r="V49" s="91">
        <v>531</v>
      </c>
      <c r="W49" s="91">
        <v>750</v>
      </c>
      <c r="X49" s="91">
        <v>650</v>
      </c>
      <c r="Y49" s="91">
        <v>750</v>
      </c>
      <c r="Z49" s="91">
        <v>900</v>
      </c>
      <c r="AA49" s="91">
        <v>1000</v>
      </c>
      <c r="AB49" s="91">
        <v>1200</v>
      </c>
      <c r="AC49" s="91">
        <v>1500</v>
      </c>
      <c r="AD49" s="315">
        <f t="shared" ref="AD49:AD50" si="75">SUM(R49:AC49)</f>
        <v>9231</v>
      </c>
      <c r="AE49" s="23"/>
      <c r="AF49" s="316">
        <v>1500</v>
      </c>
      <c r="AG49" s="91">
        <v>800</v>
      </c>
      <c r="AH49" s="91">
        <v>800</v>
      </c>
      <c r="AI49" s="91">
        <v>1820</v>
      </c>
      <c r="AJ49" s="91">
        <v>1630</v>
      </c>
      <c r="AK49" s="91">
        <v>1360</v>
      </c>
      <c r="AL49" s="91">
        <v>1000</v>
      </c>
      <c r="AM49" s="91">
        <v>1700</v>
      </c>
      <c r="AN49" s="91">
        <v>1700</v>
      </c>
      <c r="AO49" s="91">
        <v>1700</v>
      </c>
      <c r="AP49" s="91">
        <v>1870</v>
      </c>
      <c r="AQ49" s="91">
        <v>2720</v>
      </c>
      <c r="AR49" s="92">
        <f t="shared" ref="AR49:AR50" si="76">SUM(AF49:AQ49)</f>
        <v>18600</v>
      </c>
      <c r="AS49" s="23"/>
      <c r="AT49" s="91">
        <v>2053</v>
      </c>
      <c r="AU49" s="91">
        <v>2053</v>
      </c>
      <c r="AV49" s="91">
        <v>2053</v>
      </c>
      <c r="AW49" s="91">
        <v>2053</v>
      </c>
      <c r="AX49" s="91">
        <v>2807</v>
      </c>
      <c r="AY49" s="91">
        <v>2807</v>
      </c>
      <c r="AZ49" s="91">
        <v>2680</v>
      </c>
      <c r="BA49" s="91">
        <v>2680</v>
      </c>
      <c r="BB49" s="91">
        <v>2807</v>
      </c>
      <c r="BC49" s="91">
        <v>3318</v>
      </c>
      <c r="BD49" s="91">
        <v>5870</v>
      </c>
      <c r="BE49" s="91">
        <v>5104</v>
      </c>
      <c r="BF49" s="441">
        <f t="shared" si="68"/>
        <v>36285</v>
      </c>
      <c r="BG49" s="93">
        <f>BF49/AR49-1</f>
        <v>0.95080645161290334</v>
      </c>
      <c r="BH49" s="441"/>
      <c r="BI49" s="441"/>
      <c r="BJ49" s="441"/>
      <c r="BK49" s="441"/>
      <c r="BL49" s="91"/>
      <c r="BM49" s="91"/>
      <c r="BN49" s="91"/>
      <c r="BO49" s="91"/>
      <c r="BP49" s="91"/>
      <c r="BQ49" s="91"/>
      <c r="BR49" s="91"/>
      <c r="BS49" s="91"/>
      <c r="BT49" s="91">
        <f>SUM(BH49:BS49)</f>
        <v>0</v>
      </c>
      <c r="BU49" s="54"/>
      <c r="BV49" s="441"/>
      <c r="BW49" s="441"/>
      <c r="BX49" s="441"/>
      <c r="BY49" s="441"/>
      <c r="BZ49" s="441"/>
      <c r="CA49" s="91"/>
      <c r="CB49" s="91"/>
      <c r="CC49" s="91"/>
      <c r="CD49" s="91"/>
      <c r="CE49" s="91"/>
      <c r="CF49" s="91"/>
      <c r="CG49" s="91"/>
      <c r="CH49" s="91"/>
      <c r="CJ49" s="441"/>
      <c r="CK49" s="441"/>
      <c r="CL49" s="441"/>
      <c r="CM49" s="441"/>
      <c r="CN49" s="441"/>
      <c r="CO49" s="91"/>
      <c r="CP49" s="91"/>
      <c r="CQ49" s="91"/>
      <c r="CR49" s="91"/>
      <c r="CS49" s="91"/>
      <c r="CT49" s="91"/>
      <c r="CU49" s="91"/>
      <c r="CV49" s="91"/>
    </row>
    <row r="50" spans="1:100" ht="15.75" collapsed="1">
      <c r="A50" s="55"/>
      <c r="B50" s="56" t="s">
        <v>286</v>
      </c>
      <c r="C50" s="280"/>
      <c r="D50" s="288">
        <f t="shared" ref="D50:O50" si="77">SUM(D29:D49)</f>
        <v>0</v>
      </c>
      <c r="E50" s="57">
        <f t="shared" si="77"/>
        <v>0</v>
      </c>
      <c r="F50" s="57">
        <f t="shared" si="77"/>
        <v>0</v>
      </c>
      <c r="G50" s="57">
        <f t="shared" si="77"/>
        <v>0</v>
      </c>
      <c r="H50" s="57">
        <f t="shared" si="77"/>
        <v>0</v>
      </c>
      <c r="I50" s="57">
        <f t="shared" si="77"/>
        <v>0</v>
      </c>
      <c r="J50" s="57">
        <f t="shared" si="77"/>
        <v>0</v>
      </c>
      <c r="K50" s="57">
        <f t="shared" si="77"/>
        <v>0</v>
      </c>
      <c r="L50" s="57">
        <f t="shared" si="77"/>
        <v>0</v>
      </c>
      <c r="M50" s="57">
        <f t="shared" si="77"/>
        <v>0</v>
      </c>
      <c r="N50" s="57">
        <f t="shared" si="77"/>
        <v>0</v>
      </c>
      <c r="O50" s="57">
        <f t="shared" si="77"/>
        <v>0</v>
      </c>
      <c r="P50" s="289">
        <f t="shared" si="74"/>
        <v>0</v>
      </c>
      <c r="Q50" s="39"/>
      <c r="R50" s="288">
        <f t="shared" ref="R50:AC50" si="78">SUM(R29:R49)</f>
        <v>20557.543859649122</v>
      </c>
      <c r="S50" s="58">
        <f t="shared" si="78"/>
        <v>20512.543859649122</v>
      </c>
      <c r="T50" s="58">
        <f t="shared" si="78"/>
        <v>13699.771929824561</v>
      </c>
      <c r="U50" s="58">
        <f t="shared" si="78"/>
        <v>912.5</v>
      </c>
      <c r="V50" s="58">
        <f t="shared" si="78"/>
        <v>16851</v>
      </c>
      <c r="W50" s="290">
        <f t="shared" si="78"/>
        <v>13700</v>
      </c>
      <c r="X50" s="290">
        <f t="shared" si="78"/>
        <v>26050</v>
      </c>
      <c r="Y50" s="290">
        <f t="shared" si="78"/>
        <v>27750</v>
      </c>
      <c r="Z50" s="290">
        <f t="shared" si="78"/>
        <v>31100</v>
      </c>
      <c r="AA50" s="290">
        <f t="shared" si="78"/>
        <v>32100</v>
      </c>
      <c r="AB50" s="290">
        <f t="shared" si="78"/>
        <v>37500</v>
      </c>
      <c r="AC50" s="290">
        <f t="shared" si="78"/>
        <v>45300</v>
      </c>
      <c r="AD50" s="291">
        <f t="shared" si="75"/>
        <v>286033.35964912281</v>
      </c>
      <c r="AE50" s="59"/>
      <c r="AF50" s="292">
        <f>SUM(AF29:AF49)</f>
        <v>38500</v>
      </c>
      <c r="AG50" s="58">
        <f t="shared" ref="AG50:AQ50" si="79">SUM(AG29:AG49)</f>
        <v>22400</v>
      </c>
      <c r="AH50" s="58">
        <f t="shared" si="79"/>
        <v>10671</v>
      </c>
      <c r="AI50" s="58">
        <f t="shared" si="79"/>
        <v>16097</v>
      </c>
      <c r="AJ50" s="58">
        <f t="shared" si="79"/>
        <v>30278</v>
      </c>
      <c r="AK50" s="58">
        <f t="shared" si="79"/>
        <v>28560</v>
      </c>
      <c r="AL50" s="58">
        <f t="shared" si="79"/>
        <v>41700</v>
      </c>
      <c r="AM50" s="58">
        <f t="shared" si="79"/>
        <v>38700</v>
      </c>
      <c r="AN50" s="58">
        <f t="shared" si="79"/>
        <v>37300</v>
      </c>
      <c r="AO50" s="58">
        <f t="shared" si="79"/>
        <v>37400</v>
      </c>
      <c r="AP50" s="58">
        <f t="shared" si="79"/>
        <v>40640</v>
      </c>
      <c r="AQ50" s="58">
        <f t="shared" si="79"/>
        <v>54440</v>
      </c>
      <c r="AR50" s="58">
        <f t="shared" si="76"/>
        <v>396686</v>
      </c>
      <c r="AS50" s="59"/>
      <c r="AT50" s="58">
        <f t="shared" ref="AT50:BE50" si="80">SUM(AT29:AT49)</f>
        <v>36153</v>
      </c>
      <c r="AU50" s="58">
        <f>SUM(AU29:AU49)</f>
        <v>35289</v>
      </c>
      <c r="AV50" s="58">
        <f t="shared" si="80"/>
        <v>35872</v>
      </c>
      <c r="AW50" s="58">
        <f t="shared" si="80"/>
        <v>38031</v>
      </c>
      <c r="AX50" s="58">
        <f t="shared" si="80"/>
        <v>33566</v>
      </c>
      <c r="AY50" s="58">
        <f t="shared" si="80"/>
        <v>33566</v>
      </c>
      <c r="AZ50" s="58">
        <f t="shared" si="80"/>
        <v>30896</v>
      </c>
      <c r="BA50" s="58">
        <f t="shared" si="80"/>
        <v>31146</v>
      </c>
      <c r="BB50" s="58">
        <f t="shared" si="80"/>
        <v>32630</v>
      </c>
      <c r="BC50" s="58">
        <f t="shared" si="80"/>
        <v>38562</v>
      </c>
      <c r="BD50" s="58">
        <f t="shared" si="80"/>
        <v>41345</v>
      </c>
      <c r="BE50" s="58">
        <f t="shared" si="80"/>
        <v>49263</v>
      </c>
      <c r="BF50" s="58">
        <f>SUM(AT50:BE50)</f>
        <v>436319</v>
      </c>
      <c r="BG50" s="59">
        <f>BF50-AR50</f>
        <v>39633</v>
      </c>
      <c r="BH50" s="58">
        <v>36153</v>
      </c>
      <c r="BI50" s="58">
        <v>35289</v>
      </c>
      <c r="BJ50" s="58">
        <v>35872</v>
      </c>
      <c r="BK50" s="58">
        <v>38031</v>
      </c>
      <c r="BL50" s="58">
        <v>38570</v>
      </c>
      <c r="BM50" s="58">
        <v>39227</v>
      </c>
      <c r="BN50" s="58">
        <v>41128</v>
      </c>
      <c r="BO50" s="58">
        <v>38191</v>
      </c>
      <c r="BP50" s="58">
        <v>38191</v>
      </c>
      <c r="BQ50" s="58">
        <v>40225</v>
      </c>
      <c r="BR50" s="58">
        <v>43272</v>
      </c>
      <c r="BS50" s="58">
        <v>60327</v>
      </c>
      <c r="BT50" s="58">
        <f t="shared" ref="BT50:BT54" si="81">SUM(BH50:BS50)</f>
        <v>484476</v>
      </c>
      <c r="BU50" s="60"/>
      <c r="BV50" s="58">
        <f>SUM(BV29:BV46)</f>
        <v>35797.912472643162</v>
      </c>
      <c r="BW50" s="58">
        <f t="shared" ref="BW50:CG50" si="82">SUM(BW29:BW46)</f>
        <v>27268.538792847521</v>
      </c>
      <c r="BX50" s="58">
        <f t="shared" si="82"/>
        <v>34357.668832234456</v>
      </c>
      <c r="BY50" s="58">
        <f t="shared" si="82"/>
        <v>29626.958292847525</v>
      </c>
      <c r="BZ50" s="58">
        <f t="shared" si="82"/>
        <v>34139.121332234456</v>
      </c>
      <c r="CA50" s="58">
        <f t="shared" si="82"/>
        <v>39503.881972643161</v>
      </c>
      <c r="CB50" s="58">
        <f t="shared" si="82"/>
        <v>45728.836911008315</v>
      </c>
      <c r="CC50" s="58">
        <f t="shared" si="82"/>
        <v>32260.226972643166</v>
      </c>
      <c r="CD50" s="58">
        <f t="shared" si="82"/>
        <v>33331.522972643164</v>
      </c>
      <c r="CE50" s="58">
        <f t="shared" si="82"/>
        <v>35213.881472643166</v>
      </c>
      <c r="CF50" s="58">
        <f t="shared" si="82"/>
        <v>46168.878068556034</v>
      </c>
      <c r="CG50" s="58">
        <f t="shared" si="82"/>
        <v>57905.502691825735</v>
      </c>
      <c r="CH50" s="58">
        <f>SUM(BV50:CG50)</f>
        <v>451302.93078476982</v>
      </c>
      <c r="CI50" s="395">
        <f>(CH50-BT59)/BT59</f>
        <v>5.1833718555945915E-2</v>
      </c>
      <c r="CJ50" s="58">
        <v>35797.912472643162</v>
      </c>
      <c r="CK50" s="58">
        <v>27268.538792847521</v>
      </c>
      <c r="CL50" s="58">
        <v>34357.668832234456</v>
      </c>
      <c r="CM50" s="58">
        <v>29626.958292847525</v>
      </c>
      <c r="CN50" s="58">
        <v>34139.121332234456</v>
      </c>
      <c r="CO50" s="58">
        <v>39503.881972643161</v>
      </c>
      <c r="CP50" s="58">
        <v>45728.836911008315</v>
      </c>
      <c r="CQ50" s="58">
        <v>32260.226972643166</v>
      </c>
      <c r="CR50" s="58">
        <v>33331.522972643164</v>
      </c>
      <c r="CS50" s="58">
        <v>35213.881472643166</v>
      </c>
      <c r="CT50" s="58">
        <v>46168.878068556034</v>
      </c>
      <c r="CU50" s="58">
        <v>57905.502691825735</v>
      </c>
      <c r="CV50" s="58">
        <v>451302.93078476982</v>
      </c>
    </row>
    <row r="51" spans="1:100">
      <c r="A51" s="99"/>
      <c r="B51" s="451" t="s">
        <v>73</v>
      </c>
      <c r="C51" s="328"/>
      <c r="D51" s="301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302"/>
      <c r="Q51" s="74"/>
      <c r="R51" s="301"/>
      <c r="S51" s="69"/>
      <c r="T51" s="69"/>
      <c r="U51" s="69"/>
      <c r="V51" s="303"/>
      <c r="W51" s="304"/>
      <c r="X51" s="304"/>
      <c r="Y51" s="304"/>
      <c r="Z51" s="304"/>
      <c r="AA51" s="304"/>
      <c r="AB51" s="304"/>
      <c r="AC51" s="75"/>
      <c r="AD51" s="76"/>
      <c r="AE51" s="77"/>
      <c r="AF51" s="305"/>
      <c r="AG51" s="69"/>
      <c r="AH51" s="69"/>
      <c r="AI51" s="69"/>
      <c r="AJ51" s="303"/>
      <c r="AK51" s="303"/>
      <c r="AL51" s="303"/>
      <c r="AM51" s="303"/>
      <c r="AN51" s="69"/>
      <c r="AO51" s="69"/>
      <c r="AP51" s="69"/>
      <c r="AQ51" s="69"/>
      <c r="AR51" s="306"/>
      <c r="AS51" s="77"/>
      <c r="AT51" s="69"/>
      <c r="AU51" s="69"/>
      <c r="AV51" s="69"/>
      <c r="AW51" s="69"/>
      <c r="AX51" s="69"/>
      <c r="AY51" s="69">
        <v>15000</v>
      </c>
      <c r="AZ51" s="69">
        <v>15000</v>
      </c>
      <c r="BA51" s="69">
        <f t="shared" ref="BA51:BB51" si="83">BA50*70%</f>
        <v>21802.199999999997</v>
      </c>
      <c r="BB51" s="69">
        <f t="shared" si="83"/>
        <v>22841</v>
      </c>
      <c r="BC51" s="69">
        <v>35000</v>
      </c>
      <c r="BD51" s="69">
        <v>35000</v>
      </c>
      <c r="BE51" s="69">
        <v>42000</v>
      </c>
      <c r="BF51" s="69">
        <f t="shared" si="68"/>
        <v>186643.20000000001</v>
      </c>
      <c r="BG51" s="77"/>
      <c r="BH51" s="69">
        <f t="shared" ref="BH51:BM51" si="84">BH50*0.8</f>
        <v>28922.400000000001</v>
      </c>
      <c r="BI51" s="69">
        <f t="shared" si="84"/>
        <v>28231.200000000001</v>
      </c>
      <c r="BJ51" s="69">
        <f t="shared" si="84"/>
        <v>28697.600000000002</v>
      </c>
      <c r="BK51" s="69">
        <f t="shared" si="84"/>
        <v>30424.800000000003</v>
      </c>
      <c r="BL51" s="69">
        <f t="shared" si="84"/>
        <v>30856</v>
      </c>
      <c r="BM51" s="69">
        <f t="shared" si="84"/>
        <v>31381.600000000002</v>
      </c>
      <c r="BN51" s="69">
        <f>BN50*0.85</f>
        <v>34958.799999999996</v>
      </c>
      <c r="BO51" s="69">
        <v>29000</v>
      </c>
      <c r="BP51" s="69">
        <v>40223</v>
      </c>
      <c r="BQ51" s="69">
        <v>36735</v>
      </c>
      <c r="BR51" s="69">
        <v>36933</v>
      </c>
      <c r="BS51" s="69">
        <v>52283</v>
      </c>
      <c r="BT51" s="69">
        <f t="shared" si="81"/>
        <v>408646.40000000002</v>
      </c>
      <c r="BU51" s="28"/>
      <c r="BV51" s="69">
        <v>32000</v>
      </c>
      <c r="BW51" s="69">
        <v>32000</v>
      </c>
      <c r="BX51" s="69">
        <v>37000</v>
      </c>
      <c r="BY51" s="69">
        <v>32000</v>
      </c>
      <c r="BZ51" s="69">
        <v>35000</v>
      </c>
      <c r="CA51" s="69">
        <v>35000</v>
      </c>
      <c r="CB51" s="69">
        <v>35000</v>
      </c>
      <c r="CC51" s="69">
        <f>CC50*1</f>
        <v>32260.226972643166</v>
      </c>
      <c r="CD51" s="69">
        <f>CD50*1</f>
        <v>33331.522972643164</v>
      </c>
      <c r="CE51" s="69">
        <f>CE50</f>
        <v>35213.881472643166</v>
      </c>
      <c r="CF51" s="69">
        <v>40000</v>
      </c>
      <c r="CG51" s="69">
        <v>60000</v>
      </c>
      <c r="CH51" s="69"/>
      <c r="CI51" s="395"/>
      <c r="CJ51" s="69">
        <v>28638.329978114532</v>
      </c>
      <c r="CK51" s="69">
        <v>21814.831034278017</v>
      </c>
      <c r="CL51" s="69">
        <v>27486.135065787566</v>
      </c>
      <c r="CM51" s="69">
        <v>23701.566634278021</v>
      </c>
      <c r="CN51" s="69">
        <v>27311.297065787567</v>
      </c>
      <c r="CO51" s="69">
        <v>31603.10557811453</v>
      </c>
      <c r="CP51" s="69">
        <v>36583.069528806656</v>
      </c>
      <c r="CQ51" s="69">
        <v>25808.181578114534</v>
      </c>
      <c r="CR51" s="69">
        <v>26665.218378114532</v>
      </c>
      <c r="CS51" s="69">
        <v>28171.105178114536</v>
      </c>
      <c r="CT51" s="69">
        <v>36935.102454844826</v>
      </c>
      <c r="CU51" s="69">
        <v>46324.402153460593</v>
      </c>
      <c r="CV51" s="69"/>
    </row>
    <row r="52" spans="1:100" ht="14.25" customHeight="1">
      <c r="A52" s="55" t="s">
        <v>74</v>
      </c>
      <c r="B52" s="56"/>
      <c r="C52" s="280"/>
      <c r="D52" s="288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289"/>
      <c r="Q52" s="39"/>
      <c r="R52" s="288"/>
      <c r="S52" s="58"/>
      <c r="T52" s="58"/>
      <c r="U52" s="58"/>
      <c r="V52" s="58"/>
      <c r="W52" s="290"/>
      <c r="X52" s="290"/>
      <c r="Y52" s="290"/>
      <c r="Z52" s="290"/>
      <c r="AA52" s="290"/>
      <c r="AB52" s="290"/>
      <c r="AC52" s="290"/>
      <c r="AD52" s="291"/>
      <c r="AE52" s="59"/>
      <c r="AF52" s="292"/>
      <c r="AG52" s="58"/>
      <c r="AH52" s="58"/>
      <c r="AI52" s="58"/>
      <c r="AJ52" s="58"/>
      <c r="AK52" s="58"/>
      <c r="AL52" s="58">
        <f>AL50/AVERAGE($AF$50:$AQ$50)</f>
        <v>1.2614511225503295</v>
      </c>
      <c r="AM52" s="58"/>
      <c r="AN52" s="58"/>
      <c r="AO52" s="58"/>
      <c r="AP52" s="58">
        <f t="shared" ref="AP52:AQ52" si="85">AP50/AVERAGE($AF$50:$AQ$50)</f>
        <v>1.2293854585238704</v>
      </c>
      <c r="AQ52" s="58">
        <f t="shared" si="85"/>
        <v>1.6468441033966412</v>
      </c>
      <c r="AR52" s="58"/>
      <c r="AS52" s="59"/>
      <c r="AT52" s="58">
        <v>109190</v>
      </c>
      <c r="AU52" s="58">
        <v>153667</v>
      </c>
      <c r="AV52" s="58">
        <v>178778</v>
      </c>
      <c r="AW52" s="58">
        <v>151970</v>
      </c>
      <c r="AX52" s="58">
        <v>142416</v>
      </c>
      <c r="AY52" s="58">
        <v>177335</v>
      </c>
      <c r="AZ52" s="58">
        <v>152230</v>
      </c>
      <c r="BA52" s="58">
        <v>245527</v>
      </c>
      <c r="BB52" s="58">
        <f>5261504/27</f>
        <v>194870.51851851851</v>
      </c>
      <c r="BC52" s="58">
        <f>5784000/27</f>
        <v>214222.22222222222</v>
      </c>
      <c r="BD52" s="58">
        <f>3224000/27</f>
        <v>119407.4074074074</v>
      </c>
      <c r="BE52" s="58">
        <f>909800/27</f>
        <v>33696.296296296299</v>
      </c>
      <c r="BF52" s="58">
        <f t="shared" si="68"/>
        <v>1873309.4444444445</v>
      </c>
      <c r="BG52" s="59"/>
      <c r="BH52" s="58">
        <v>156208</v>
      </c>
      <c r="BI52" s="58">
        <v>147340</v>
      </c>
      <c r="BJ52" s="58">
        <v>166759</v>
      </c>
      <c r="BK52" s="58">
        <v>152352</v>
      </c>
      <c r="BL52" s="58">
        <v>128446</v>
      </c>
      <c r="BM52" s="58">
        <v>126790</v>
      </c>
      <c r="BN52" s="58">
        <v>173761</v>
      </c>
      <c r="BO52" s="58">
        <f>144510.599073001+BO51</f>
        <v>173510.59907300101</v>
      </c>
      <c r="BP52" s="58">
        <f>162574.422556972+BP51</f>
        <v>202797.42255697199</v>
      </c>
      <c r="BQ52" s="58">
        <f>166187.186558517+BQ51</f>
        <v>202922.18655851699</v>
      </c>
      <c r="BR52" s="58">
        <f>BQ27+BR23*0.6</f>
        <v>232502.36</v>
      </c>
      <c r="BS52" s="58">
        <f>BR23*0.4+BS23*0.5</f>
        <v>116391.04000000001</v>
      </c>
      <c r="BT52" s="58">
        <f t="shared" si="81"/>
        <v>1979779.6081884899</v>
      </c>
      <c r="BU52" s="60"/>
      <c r="BV52" s="58">
        <v>98000</v>
      </c>
      <c r="BW52" s="58">
        <f>BW51+BW27</f>
        <v>157566.83045180296</v>
      </c>
      <c r="BX52" s="58">
        <f t="shared" ref="BX52" si="86">BX51+BX27</f>
        <v>197961.53846153844</v>
      </c>
      <c r="BY52" s="58">
        <f t="shared" ref="BY52:CG52" si="87">BK52</f>
        <v>152352</v>
      </c>
      <c r="BZ52" s="58">
        <v>153232</v>
      </c>
      <c r="CA52" s="58">
        <f t="shared" si="87"/>
        <v>126790</v>
      </c>
      <c r="CB52" s="58">
        <f t="shared" si="87"/>
        <v>173761</v>
      </c>
      <c r="CC52" s="58">
        <f t="shared" si="87"/>
        <v>173510.59907300101</v>
      </c>
      <c r="CD52" s="58">
        <f t="shared" si="87"/>
        <v>202797.42255697199</v>
      </c>
      <c r="CE52" s="58">
        <f t="shared" si="87"/>
        <v>202922.18655851699</v>
      </c>
      <c r="CF52" s="58">
        <f t="shared" si="87"/>
        <v>232502.36</v>
      </c>
      <c r="CG52" s="58">
        <f t="shared" si="87"/>
        <v>116391.04000000001</v>
      </c>
      <c r="CH52" s="58"/>
      <c r="CJ52" s="58">
        <v>98000</v>
      </c>
      <c r="CK52" s="58">
        <v>147381.66148608096</v>
      </c>
      <c r="CL52" s="58">
        <v>188447.673527326</v>
      </c>
      <c r="CM52" s="58">
        <v>152352</v>
      </c>
      <c r="CN52" s="58">
        <v>128446</v>
      </c>
      <c r="CO52" s="58">
        <v>126790</v>
      </c>
      <c r="CP52" s="58">
        <v>173761</v>
      </c>
      <c r="CQ52" s="58">
        <v>173510.59907300101</v>
      </c>
      <c r="CR52" s="58">
        <v>202797.42255697199</v>
      </c>
      <c r="CS52" s="58">
        <v>202922.18655851699</v>
      </c>
      <c r="CT52" s="58">
        <v>232502.36</v>
      </c>
      <c r="CU52" s="58">
        <v>116391.04000000001</v>
      </c>
      <c r="CV52" s="58"/>
    </row>
    <row r="53" spans="1:100">
      <c r="A53" s="101" t="s">
        <v>75</v>
      </c>
      <c r="B53" s="102"/>
      <c r="C53" s="260"/>
      <c r="D53" s="277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262"/>
      <c r="Q53" s="15"/>
      <c r="R53" s="277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263"/>
      <c r="AE53" s="16"/>
      <c r="AF53" s="261">
        <v>133791</v>
      </c>
      <c r="AG53" s="14">
        <v>166459</v>
      </c>
      <c r="AH53" s="14">
        <v>149450</v>
      </c>
      <c r="AI53" s="14">
        <v>151073</v>
      </c>
      <c r="AJ53" s="14">
        <v>192944</v>
      </c>
      <c r="AK53" s="14">
        <v>166139</v>
      </c>
      <c r="AL53" s="14">
        <v>151874</v>
      </c>
      <c r="AM53" s="14">
        <v>157771</v>
      </c>
      <c r="AN53" s="14">
        <v>200312</v>
      </c>
      <c r="AO53" s="14">
        <v>202691</v>
      </c>
      <c r="AP53" s="14">
        <v>207768</v>
      </c>
      <c r="AQ53" s="14">
        <v>113286</v>
      </c>
      <c r="AR53" s="14">
        <f>SUM(AF53:AK53)</f>
        <v>959856</v>
      </c>
      <c r="AS53" s="17"/>
      <c r="AT53" s="14">
        <v>89680</v>
      </c>
      <c r="AU53" s="14">
        <v>128308</v>
      </c>
      <c r="AV53" s="14">
        <v>144871</v>
      </c>
      <c r="AW53" s="32">
        <v>161772</v>
      </c>
      <c r="AX53" s="32">
        <v>144516</v>
      </c>
      <c r="AY53" s="32">
        <v>103667</v>
      </c>
      <c r="AZ53" s="32">
        <v>141023</v>
      </c>
      <c r="BA53" s="32">
        <v>172093</v>
      </c>
      <c r="BB53" s="32">
        <f>166606+10000</f>
        <v>176606</v>
      </c>
      <c r="BC53" s="32">
        <v>181091</v>
      </c>
      <c r="BD53" s="32">
        <v>169802</v>
      </c>
      <c r="BE53" s="32">
        <v>120406</v>
      </c>
      <c r="BF53" s="32">
        <f t="shared" si="68"/>
        <v>1733835</v>
      </c>
      <c r="BG53" s="17">
        <f>BG50/AR50</f>
        <v>9.9910256474894502E-2</v>
      </c>
      <c r="BH53" s="14">
        <v>78906</v>
      </c>
      <c r="BI53" s="14">
        <v>119296</v>
      </c>
      <c r="BJ53" s="14">
        <v>165286</v>
      </c>
      <c r="BK53" s="14">
        <v>144532</v>
      </c>
      <c r="BL53" s="32">
        <v>157691</v>
      </c>
      <c r="BM53" s="32">
        <v>129096</v>
      </c>
      <c r="BN53" s="32">
        <v>125800</v>
      </c>
      <c r="BO53" s="32">
        <v>176354</v>
      </c>
      <c r="BP53" s="32">
        <v>173554</v>
      </c>
      <c r="BQ53" s="32">
        <v>185766</v>
      </c>
      <c r="BR53" s="32"/>
      <c r="BS53" s="32"/>
      <c r="BT53" s="32">
        <f t="shared" si="81"/>
        <v>1456281</v>
      </c>
      <c r="BU53" s="28"/>
      <c r="BV53" s="14"/>
      <c r="BW53" s="14"/>
      <c r="BX53" s="14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J53" s="14"/>
      <c r="CK53" s="14"/>
      <c r="CL53" s="14"/>
      <c r="CM53" s="32"/>
      <c r="CN53" s="32"/>
      <c r="CO53" s="32"/>
      <c r="CP53" s="32"/>
      <c r="CQ53" s="32"/>
      <c r="CR53" s="32"/>
      <c r="CS53" s="32"/>
      <c r="CT53" s="32"/>
      <c r="CU53" s="32"/>
      <c r="CV53" s="32"/>
    </row>
    <row r="54" spans="1:100" ht="15.75">
      <c r="A54" s="103"/>
      <c r="B54" s="329" t="s">
        <v>76</v>
      </c>
      <c r="C54" s="330"/>
      <c r="D54" s="331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332"/>
      <c r="Q54" s="105"/>
      <c r="R54" s="333"/>
      <c r="S54" s="333"/>
      <c r="T54" s="333"/>
      <c r="U54" s="333"/>
      <c r="V54" s="333"/>
      <c r="W54" s="333"/>
      <c r="X54" s="333"/>
      <c r="Y54" s="333"/>
      <c r="Z54" s="333"/>
      <c r="AA54" s="333"/>
      <c r="AB54" s="333"/>
      <c r="AC54" s="333"/>
      <c r="AD54" s="334"/>
      <c r="AE54" s="106"/>
      <c r="AF54" s="333">
        <f t="shared" ref="AF54:AQ54" si="88">AF53-AF22</f>
        <v>133789.5653258567</v>
      </c>
      <c r="AG54" s="333">
        <f t="shared" si="88"/>
        <v>166455.02546723894</v>
      </c>
      <c r="AH54" s="333">
        <f t="shared" si="88"/>
        <v>149445.54627453614</v>
      </c>
      <c r="AI54" s="333">
        <f t="shared" si="88"/>
        <v>151069.82181047046</v>
      </c>
      <c r="AJ54" s="333">
        <f t="shared" si="88"/>
        <v>192941.24487749056</v>
      </c>
      <c r="AK54" s="333">
        <f t="shared" si="88"/>
        <v>166135.77020296719</v>
      </c>
      <c r="AL54" s="333">
        <f t="shared" si="88"/>
        <v>151871.64243647002</v>
      </c>
      <c r="AM54" s="333">
        <f t="shared" si="88"/>
        <v>157768.8586839418</v>
      </c>
      <c r="AN54" s="333">
        <f t="shared" si="88"/>
        <v>200310.09576397031</v>
      </c>
      <c r="AO54" s="333">
        <f t="shared" si="88"/>
        <v>202687.83135883085</v>
      </c>
      <c r="AP54" s="333">
        <f t="shared" si="88"/>
        <v>207762.85122649223</v>
      </c>
      <c r="AQ54" s="333">
        <f t="shared" si="88"/>
        <v>113282.51926932538</v>
      </c>
      <c r="AR54" s="107">
        <f t="shared" ref="AR54:AR62" si="89">SUM(AF54:AQ54)</f>
        <v>1993520.772697591</v>
      </c>
      <c r="AS54" s="106"/>
      <c r="AT54" s="333">
        <f t="shared" ref="AT54:BE54" si="90">AT53-AT52</f>
        <v>-19510</v>
      </c>
      <c r="AU54" s="333">
        <f t="shared" si="90"/>
        <v>-25359</v>
      </c>
      <c r="AV54" s="333">
        <f t="shared" si="90"/>
        <v>-33907</v>
      </c>
      <c r="AW54" s="333">
        <f t="shared" si="90"/>
        <v>9802</v>
      </c>
      <c r="AX54" s="333">
        <f t="shared" si="90"/>
        <v>2100</v>
      </c>
      <c r="AY54" s="333">
        <f t="shared" si="90"/>
        <v>-73668</v>
      </c>
      <c r="AZ54" s="333">
        <f t="shared" si="90"/>
        <v>-11207</v>
      </c>
      <c r="BA54" s="333">
        <f t="shared" si="90"/>
        <v>-73434</v>
      </c>
      <c r="BB54" s="333">
        <f t="shared" si="90"/>
        <v>-18264.518518518511</v>
      </c>
      <c r="BC54" s="333">
        <f t="shared" si="90"/>
        <v>-33131.222222222219</v>
      </c>
      <c r="BD54" s="333">
        <f t="shared" si="90"/>
        <v>50394.592592592599</v>
      </c>
      <c r="BE54" s="333">
        <f t="shared" si="90"/>
        <v>86709.703703703708</v>
      </c>
      <c r="BF54" s="108">
        <f t="shared" si="68"/>
        <v>-139474.44444444444</v>
      </c>
      <c r="BG54" s="106"/>
      <c r="BH54" s="333">
        <f t="shared" ref="BH54:BQ54" si="91">BH53-BH52</f>
        <v>-77302</v>
      </c>
      <c r="BI54" s="333">
        <f t="shared" si="91"/>
        <v>-28044</v>
      </c>
      <c r="BJ54" s="333">
        <f t="shared" si="91"/>
        <v>-1473</v>
      </c>
      <c r="BK54" s="333">
        <f t="shared" si="91"/>
        <v>-7820</v>
      </c>
      <c r="BL54" s="333">
        <f t="shared" si="91"/>
        <v>29245</v>
      </c>
      <c r="BM54" s="333">
        <f t="shared" si="91"/>
        <v>2306</v>
      </c>
      <c r="BN54" s="333">
        <f t="shared" si="91"/>
        <v>-47961</v>
      </c>
      <c r="BO54" s="333">
        <f t="shared" si="91"/>
        <v>2843.4009269989911</v>
      </c>
      <c r="BP54" s="333">
        <f t="shared" si="91"/>
        <v>-29243.422556971986</v>
      </c>
      <c r="BQ54" s="333">
        <f t="shared" si="91"/>
        <v>-17156.186558516987</v>
      </c>
      <c r="BR54" s="108"/>
      <c r="BS54" s="108"/>
      <c r="BT54" s="108">
        <f t="shared" si="81"/>
        <v>-174605.20818848998</v>
      </c>
      <c r="BU54" s="28"/>
      <c r="BV54" s="333"/>
      <c r="BW54" s="333"/>
      <c r="BX54" s="333"/>
      <c r="BY54" s="333"/>
      <c r="BZ54" s="108"/>
      <c r="CA54" s="108"/>
      <c r="CB54" s="108"/>
      <c r="CC54" s="108"/>
      <c r="CD54" s="108"/>
      <c r="CE54" s="108"/>
      <c r="CF54" s="108"/>
      <c r="CG54" s="108"/>
      <c r="CH54" s="108"/>
      <c r="CJ54" s="333"/>
      <c r="CK54" s="333"/>
      <c r="CL54" s="333"/>
      <c r="CM54" s="333"/>
      <c r="CN54" s="108"/>
      <c r="CO54" s="108"/>
      <c r="CP54" s="108"/>
      <c r="CQ54" s="108"/>
      <c r="CR54" s="108"/>
      <c r="CS54" s="108"/>
      <c r="CT54" s="108"/>
      <c r="CU54" s="108"/>
      <c r="CV54" s="108"/>
    </row>
    <row r="55" spans="1:100" ht="15.75" customHeight="1">
      <c r="A55" s="94">
        <v>5</v>
      </c>
      <c r="B55" s="210" t="s">
        <v>77</v>
      </c>
      <c r="C55" s="335"/>
      <c r="D55" s="313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>
        <v>0</v>
      </c>
      <c r="P55" s="314">
        <f>SUM(D55:O55)</f>
        <v>0</v>
      </c>
      <c r="Q55" s="90"/>
      <c r="R55" s="313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315">
        <f>SUM(R55:AC55)</f>
        <v>0</v>
      </c>
      <c r="AE55" s="23"/>
      <c r="AF55" s="316">
        <v>0</v>
      </c>
      <c r="AG55" s="91">
        <v>0</v>
      </c>
      <c r="AH55" s="91">
        <v>0</v>
      </c>
      <c r="AI55" s="91">
        <v>0</v>
      </c>
      <c r="AJ55" s="91">
        <v>0</v>
      </c>
      <c r="AK55" s="91">
        <v>0</v>
      </c>
      <c r="AL55" s="91">
        <v>0</v>
      </c>
      <c r="AM55" s="91">
        <v>0</v>
      </c>
      <c r="AN55" s="91">
        <v>0</v>
      </c>
      <c r="AO55" s="91">
        <v>0</v>
      </c>
      <c r="AP55" s="91"/>
      <c r="AQ55" s="91">
        <v>8938</v>
      </c>
      <c r="AR55" s="92">
        <f t="shared" si="89"/>
        <v>8938</v>
      </c>
      <c r="AS55" s="23"/>
      <c r="AT55" s="91">
        <v>106642</v>
      </c>
      <c r="AU55" s="91">
        <v>90699</v>
      </c>
      <c r="AV55" s="91">
        <v>89681</v>
      </c>
      <c r="AW55" s="91">
        <v>58790</v>
      </c>
      <c r="AX55" s="91">
        <v>35520</v>
      </c>
      <c r="AY55" s="91">
        <v>61551</v>
      </c>
      <c r="AZ55" s="91">
        <v>71511</v>
      </c>
      <c r="BA55" s="91">
        <v>63617</v>
      </c>
      <c r="BB55" s="91">
        <v>66748</v>
      </c>
      <c r="BC55" s="91">
        <v>75532</v>
      </c>
      <c r="BD55" s="91">
        <v>37786</v>
      </c>
      <c r="BE55" s="91">
        <v>4503</v>
      </c>
      <c r="BF55" s="91">
        <f t="shared" si="68"/>
        <v>762580</v>
      </c>
      <c r="BG55" s="27"/>
      <c r="BH55" s="91">
        <v>69404</v>
      </c>
      <c r="BI55" s="91">
        <v>80412</v>
      </c>
      <c r="BJ55" s="91">
        <v>94386</v>
      </c>
      <c r="BK55" s="91">
        <v>78313</v>
      </c>
      <c r="BL55" s="91">
        <v>47034</v>
      </c>
      <c r="BM55" s="91">
        <v>50851</v>
      </c>
      <c r="BN55" s="91">
        <v>93202</v>
      </c>
      <c r="BO55" s="91">
        <v>100687</v>
      </c>
      <c r="BP55" s="91">
        <v>127995</v>
      </c>
      <c r="BQ55" s="91">
        <v>122686</v>
      </c>
      <c r="BR55" s="91"/>
      <c r="BS55" s="91"/>
      <c r="BT55" s="91"/>
      <c r="BU55" s="28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1"/>
      <c r="CH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/>
      <c r="CV55" s="91"/>
    </row>
    <row r="56" spans="1:100">
      <c r="A56" s="13" t="s">
        <v>78</v>
      </c>
      <c r="B56" s="259"/>
      <c r="C56" s="260"/>
      <c r="D56" s="277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262"/>
      <c r="Q56" s="15"/>
      <c r="R56" s="277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263"/>
      <c r="AE56" s="16"/>
      <c r="AF56" s="261">
        <f t="shared" ref="AF56:AQ56" si="92">AF57+AF59</f>
        <v>118364</v>
      </c>
      <c r="AG56" s="261">
        <f t="shared" si="92"/>
        <v>173742</v>
      </c>
      <c r="AH56" s="261">
        <f t="shared" si="92"/>
        <v>73470</v>
      </c>
      <c r="AI56" s="261">
        <f t="shared" si="92"/>
        <v>87377</v>
      </c>
      <c r="AJ56" s="261">
        <f t="shared" si="92"/>
        <v>119657</v>
      </c>
      <c r="AK56" s="261">
        <f t="shared" si="92"/>
        <v>154747</v>
      </c>
      <c r="AL56" s="261">
        <f t="shared" si="92"/>
        <v>138073</v>
      </c>
      <c r="AM56" s="261">
        <f t="shared" si="92"/>
        <v>180773</v>
      </c>
      <c r="AN56" s="261">
        <f t="shared" si="92"/>
        <v>194598</v>
      </c>
      <c r="AO56" s="261">
        <f t="shared" si="92"/>
        <v>242931</v>
      </c>
      <c r="AP56" s="261">
        <f t="shared" si="92"/>
        <v>107346</v>
      </c>
      <c r="AQ56" s="261">
        <f t="shared" si="92"/>
        <v>87384</v>
      </c>
      <c r="AR56" s="14">
        <f t="shared" si="89"/>
        <v>1678462</v>
      </c>
      <c r="AS56" s="17"/>
      <c r="AT56" s="261">
        <f t="shared" ref="AT56:BE56" si="93">AT57+AT59</f>
        <v>155346</v>
      </c>
      <c r="AU56" s="261">
        <f t="shared" si="93"/>
        <v>123370</v>
      </c>
      <c r="AV56" s="261">
        <f t="shared" si="93"/>
        <v>144065</v>
      </c>
      <c r="AW56" s="261">
        <f t="shared" si="93"/>
        <v>127865</v>
      </c>
      <c r="AX56" s="261">
        <f t="shared" si="93"/>
        <v>123461</v>
      </c>
      <c r="AY56" s="261">
        <f t="shared" si="93"/>
        <v>121196</v>
      </c>
      <c r="AZ56" s="261">
        <f t="shared" si="93"/>
        <v>168029</v>
      </c>
      <c r="BA56" s="261">
        <f t="shared" si="93"/>
        <v>164268</v>
      </c>
      <c r="BB56" s="261">
        <f t="shared" si="93"/>
        <v>185112</v>
      </c>
      <c r="BC56" s="261">
        <f t="shared" si="93"/>
        <v>147235</v>
      </c>
      <c r="BD56" s="261">
        <f t="shared" si="93"/>
        <v>135608</v>
      </c>
      <c r="BE56" s="261">
        <f t="shared" si="93"/>
        <v>90194</v>
      </c>
      <c r="BF56" s="32">
        <f t="shared" si="68"/>
        <v>1685749</v>
      </c>
      <c r="BG56" s="35">
        <f t="shared" ref="BG56:BG57" si="94">BF56/AR56-1</f>
        <v>4.3414745165515356E-3</v>
      </c>
      <c r="BH56" s="261">
        <f>BH57+BH59</f>
        <v>144332</v>
      </c>
      <c r="BI56" s="261">
        <f t="shared" ref="BI56:BQ56" si="95">BI57+BI59</f>
        <v>128781</v>
      </c>
      <c r="BJ56" s="261">
        <f t="shared" si="95"/>
        <v>193129</v>
      </c>
      <c r="BK56" s="261">
        <f t="shared" si="95"/>
        <v>106092</v>
      </c>
      <c r="BL56" s="261">
        <f t="shared" si="95"/>
        <v>132638</v>
      </c>
      <c r="BM56" s="261">
        <f t="shared" si="95"/>
        <v>139193</v>
      </c>
      <c r="BN56" s="261">
        <f t="shared" si="95"/>
        <v>173703</v>
      </c>
      <c r="BO56" s="261">
        <f t="shared" si="95"/>
        <v>186902</v>
      </c>
      <c r="BP56" s="261">
        <f t="shared" si="95"/>
        <v>200686</v>
      </c>
      <c r="BQ56" s="261">
        <f t="shared" si="95"/>
        <v>191324</v>
      </c>
      <c r="BR56" s="14"/>
      <c r="BS56" s="14"/>
      <c r="BT56" s="14">
        <f t="shared" ref="BT56:BT61" si="96">SUM(BH56:BS56)</f>
        <v>1596780</v>
      </c>
      <c r="BU56" s="18"/>
      <c r="BV56" s="261"/>
      <c r="BW56" s="261"/>
      <c r="BX56" s="261"/>
      <c r="BY56" s="261"/>
      <c r="BZ56" s="14"/>
      <c r="CA56" s="14"/>
      <c r="CB56" s="14"/>
      <c r="CC56" s="14"/>
      <c r="CD56" s="14"/>
      <c r="CE56" s="14"/>
      <c r="CF56" s="14"/>
      <c r="CG56" s="14"/>
      <c r="CH56" s="14"/>
      <c r="CJ56" s="261"/>
      <c r="CK56" s="261"/>
      <c r="CL56" s="261"/>
      <c r="CM56" s="261"/>
      <c r="CN56" s="14"/>
      <c r="CO56" s="14"/>
      <c r="CP56" s="14"/>
      <c r="CQ56" s="14"/>
      <c r="CR56" s="14"/>
      <c r="CS56" s="14"/>
      <c r="CT56" s="14"/>
      <c r="CU56" s="14"/>
      <c r="CV56" s="14"/>
    </row>
    <row r="57" spans="1:100" ht="15.75" customHeight="1">
      <c r="A57" s="210"/>
      <c r="B57" s="210" t="s">
        <v>79</v>
      </c>
      <c r="C57" s="316"/>
      <c r="D57" s="313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314"/>
      <c r="Q57" s="90"/>
      <c r="R57" s="313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315"/>
      <c r="AE57" s="23"/>
      <c r="AF57" s="316">
        <v>92193</v>
      </c>
      <c r="AG57" s="91">
        <v>152006</v>
      </c>
      <c r="AH57" s="91">
        <v>62734</v>
      </c>
      <c r="AI57" s="91">
        <v>71526</v>
      </c>
      <c r="AJ57" s="91">
        <v>89409</v>
      </c>
      <c r="AK57" s="91">
        <v>120675</v>
      </c>
      <c r="AL57" s="91">
        <v>100592</v>
      </c>
      <c r="AM57" s="91">
        <v>148128</v>
      </c>
      <c r="AN57" s="91">
        <v>164346</v>
      </c>
      <c r="AO57" s="91">
        <v>203437</v>
      </c>
      <c r="AP57" s="91">
        <v>64957</v>
      </c>
      <c r="AQ57" s="91">
        <v>31837</v>
      </c>
      <c r="AR57" s="92">
        <f t="shared" si="89"/>
        <v>1301840</v>
      </c>
      <c r="AS57" s="23"/>
      <c r="AT57" s="91">
        <v>125048</v>
      </c>
      <c r="AU57" s="91">
        <v>96006</v>
      </c>
      <c r="AV57" s="91">
        <v>111470</v>
      </c>
      <c r="AW57" s="91">
        <v>99222</v>
      </c>
      <c r="AX57" s="91">
        <v>91253</v>
      </c>
      <c r="AY57" s="91">
        <v>90595</v>
      </c>
      <c r="AZ57" s="91">
        <v>129147</v>
      </c>
      <c r="BA57" s="91">
        <v>133525</v>
      </c>
      <c r="BB57" s="91">
        <v>159291</v>
      </c>
      <c r="BC57" s="91">
        <v>115573</v>
      </c>
      <c r="BD57" s="91">
        <v>98386</v>
      </c>
      <c r="BE57" s="91">
        <v>36527</v>
      </c>
      <c r="BF57" s="91">
        <f t="shared" si="68"/>
        <v>1286043</v>
      </c>
      <c r="BG57" s="93">
        <f t="shared" si="94"/>
        <v>-1.2134363669882631E-2</v>
      </c>
      <c r="BH57" s="91">
        <v>110235</v>
      </c>
      <c r="BI57" s="91">
        <v>103047</v>
      </c>
      <c r="BJ57" s="91">
        <v>158855</v>
      </c>
      <c r="BK57" s="91">
        <v>77254</v>
      </c>
      <c r="BL57" s="91">
        <v>99853</v>
      </c>
      <c r="BM57" s="91">
        <v>100723</v>
      </c>
      <c r="BN57" s="91">
        <v>125338</v>
      </c>
      <c r="BO57" s="91">
        <v>153622</v>
      </c>
      <c r="BP57" s="91">
        <v>166483</v>
      </c>
      <c r="BQ57" s="91">
        <v>156140</v>
      </c>
      <c r="BR57" s="91">
        <v>111391</v>
      </c>
      <c r="BS57" s="91">
        <v>26768</v>
      </c>
      <c r="BT57" s="91">
        <f t="shared" si="96"/>
        <v>1389709</v>
      </c>
      <c r="BU57" s="28"/>
      <c r="BV57" s="91">
        <v>54245</v>
      </c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J57" s="91">
        <v>54245</v>
      </c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</row>
    <row r="58" spans="1:100" ht="15.75">
      <c r="A58" s="103"/>
      <c r="B58" s="329" t="s">
        <v>279</v>
      </c>
      <c r="C58" s="330"/>
      <c r="D58" s="331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332"/>
      <c r="Q58" s="105"/>
      <c r="R58" s="333"/>
      <c r="S58" s="333"/>
      <c r="T58" s="333"/>
      <c r="U58" s="333"/>
      <c r="V58" s="333"/>
      <c r="W58" s="333"/>
      <c r="X58" s="333"/>
      <c r="Y58" s="333"/>
      <c r="Z58" s="333"/>
      <c r="AA58" s="333"/>
      <c r="AB58" s="333"/>
      <c r="AC58" s="333"/>
      <c r="AD58" s="334"/>
      <c r="AE58" s="106"/>
      <c r="AF58" s="333">
        <f t="shared" ref="AF58:AQ58" si="97">AF57-AF27</f>
        <v>2047</v>
      </c>
      <c r="AG58" s="333">
        <f t="shared" si="97"/>
        <v>-3571</v>
      </c>
      <c r="AH58" s="333">
        <f t="shared" si="97"/>
        <v>-219</v>
      </c>
      <c r="AI58" s="333">
        <f t="shared" si="97"/>
        <v>-1735</v>
      </c>
      <c r="AJ58" s="333">
        <f t="shared" si="97"/>
        <v>-2447</v>
      </c>
      <c r="AK58" s="333">
        <f t="shared" si="97"/>
        <v>675</v>
      </c>
      <c r="AL58" s="333">
        <f t="shared" si="97"/>
        <v>-9703</v>
      </c>
      <c r="AM58" s="333">
        <f t="shared" si="97"/>
        <v>-52075</v>
      </c>
      <c r="AN58" s="333">
        <f t="shared" si="97"/>
        <v>-59487.333333333343</v>
      </c>
      <c r="AO58" s="333">
        <f t="shared" si="97"/>
        <v>-15063</v>
      </c>
      <c r="AP58" s="333">
        <f t="shared" si="97"/>
        <v>-23043</v>
      </c>
      <c r="AQ58" s="333">
        <f t="shared" si="97"/>
        <v>-11563</v>
      </c>
      <c r="AR58" s="107">
        <f t="shared" si="89"/>
        <v>-176184.33333333334</v>
      </c>
      <c r="AS58" s="106"/>
      <c r="AT58" s="333">
        <f t="shared" ref="AT58:BE58" si="98">AT57-AT27</f>
        <v>8451.75</v>
      </c>
      <c r="AU58" s="333">
        <f t="shared" si="98"/>
        <v>-37227.103448275855</v>
      </c>
      <c r="AV58" s="333">
        <f t="shared" si="98"/>
        <v>-6779.1379310344782</v>
      </c>
      <c r="AW58" s="333">
        <f t="shared" si="98"/>
        <v>-22342.137931034478</v>
      </c>
      <c r="AX58" s="333">
        <f t="shared" si="98"/>
        <v>4719.0344827586232</v>
      </c>
      <c r="AY58" s="333">
        <f t="shared" si="98"/>
        <v>-14182.777777777781</v>
      </c>
      <c r="AZ58" s="333">
        <f t="shared" si="98"/>
        <v>-6630.777777777781</v>
      </c>
      <c r="BA58" s="333">
        <f t="shared" si="98"/>
        <v>-77771.296296296292</v>
      </c>
      <c r="BB58" s="333">
        <f t="shared" si="98"/>
        <v>-51486.777777777781</v>
      </c>
      <c r="BC58" s="333">
        <f t="shared" si="98"/>
        <v>-99233.290755657828</v>
      </c>
      <c r="BD58" s="333">
        <f t="shared" si="98"/>
        <v>5175.413118527038</v>
      </c>
      <c r="BE58" s="333">
        <f t="shared" si="98"/>
        <v>5840.3870349060235</v>
      </c>
      <c r="BF58" s="108">
        <f t="shared" si="68"/>
        <v>-291466.71505944064</v>
      </c>
      <c r="BG58" s="106"/>
      <c r="BH58" s="333">
        <f t="shared" ref="BH58:BQ58" si="99">BH57-BH24</f>
        <v>-6365</v>
      </c>
      <c r="BI58" s="333">
        <f t="shared" si="99"/>
        <v>-8486.3333333333285</v>
      </c>
      <c r="BJ58" s="333">
        <f t="shared" si="99"/>
        <v>23180.925925925927</v>
      </c>
      <c r="BK58" s="333">
        <f t="shared" si="99"/>
        <v>-44486.740740740745</v>
      </c>
      <c r="BL58" s="333">
        <f t="shared" si="99"/>
        <v>5926.148148148146</v>
      </c>
      <c r="BM58" s="333">
        <f t="shared" si="99"/>
        <v>10043.740740740745</v>
      </c>
      <c r="BN58" s="333">
        <f t="shared" si="99"/>
        <v>-4917.555555555562</v>
      </c>
      <c r="BO58" s="333">
        <f t="shared" si="99"/>
        <v>3071.6218888889125</v>
      </c>
      <c r="BP58" s="333">
        <f t="shared" si="99"/>
        <v>4652.2504629629548</v>
      </c>
      <c r="BQ58" s="333">
        <f t="shared" si="99"/>
        <v>29010</v>
      </c>
      <c r="BR58" s="108"/>
      <c r="BS58" s="108"/>
      <c r="BT58" s="108">
        <f t="shared" si="96"/>
        <v>11629.05753703705</v>
      </c>
      <c r="BU58" s="28"/>
      <c r="BV58" s="333"/>
      <c r="BW58" s="333"/>
      <c r="BX58" s="333"/>
      <c r="BY58" s="333"/>
      <c r="BZ58" s="108"/>
      <c r="CA58" s="108"/>
      <c r="CB58" s="108"/>
      <c r="CC58" s="108"/>
      <c r="CD58" s="108"/>
      <c r="CE58" s="108"/>
      <c r="CF58" s="108"/>
      <c r="CG58" s="108"/>
      <c r="CH58" s="108"/>
      <c r="CJ58" s="333"/>
      <c r="CK58" s="333"/>
      <c r="CL58" s="333"/>
      <c r="CM58" s="333"/>
      <c r="CN58" s="108"/>
      <c r="CO58" s="108"/>
      <c r="CP58" s="108"/>
      <c r="CQ58" s="108"/>
      <c r="CR58" s="108"/>
      <c r="CS58" s="108"/>
      <c r="CT58" s="108"/>
      <c r="CU58" s="108"/>
      <c r="CV58" s="108"/>
    </row>
    <row r="59" spans="1:100" ht="15.75" customHeight="1">
      <c r="A59" s="94"/>
      <c r="B59" s="336" t="s">
        <v>81</v>
      </c>
      <c r="C59" s="335"/>
      <c r="D59" s="313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314"/>
      <c r="Q59" s="90"/>
      <c r="R59" s="316"/>
      <c r="S59" s="3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5"/>
      <c r="AE59" s="23"/>
      <c r="AF59" s="316">
        <v>26171</v>
      </c>
      <c r="AG59" s="316">
        <v>21736</v>
      </c>
      <c r="AH59" s="316">
        <v>10736</v>
      </c>
      <c r="AI59" s="316">
        <v>15851</v>
      </c>
      <c r="AJ59" s="316">
        <v>30248</v>
      </c>
      <c r="AK59" s="316">
        <v>34072</v>
      </c>
      <c r="AL59" s="316">
        <v>37481</v>
      </c>
      <c r="AM59" s="91">
        <v>32645</v>
      </c>
      <c r="AN59" s="91">
        <v>30252</v>
      </c>
      <c r="AO59" s="91">
        <v>39494</v>
      </c>
      <c r="AP59" s="91">
        <v>42389</v>
      </c>
      <c r="AQ59" s="91">
        <v>55547</v>
      </c>
      <c r="AR59" s="92">
        <f t="shared" si="89"/>
        <v>376622</v>
      </c>
      <c r="AS59" s="23"/>
      <c r="AT59" s="91">
        <v>30298</v>
      </c>
      <c r="AU59" s="91">
        <v>27364</v>
      </c>
      <c r="AV59" s="91">
        <v>32595</v>
      </c>
      <c r="AW59" s="91">
        <v>28643</v>
      </c>
      <c r="AX59" s="91">
        <v>32208</v>
      </c>
      <c r="AY59" s="91">
        <v>30601</v>
      </c>
      <c r="AZ59" s="91">
        <v>38882</v>
      </c>
      <c r="BA59" s="91">
        <v>30743</v>
      </c>
      <c r="BB59" s="91">
        <f>24621+1200</f>
        <v>25821</v>
      </c>
      <c r="BC59" s="91">
        <v>31662</v>
      </c>
      <c r="BD59" s="91">
        <v>37222</v>
      </c>
      <c r="BE59" s="91">
        <v>53667</v>
      </c>
      <c r="BF59" s="91">
        <f t="shared" si="68"/>
        <v>399706</v>
      </c>
      <c r="BG59" s="93">
        <f>BF59/AR59-1</f>
        <v>6.1292224033646425E-2</v>
      </c>
      <c r="BH59" s="91">
        <v>34097</v>
      </c>
      <c r="BI59" s="91">
        <v>25734</v>
      </c>
      <c r="BJ59" s="91">
        <v>34274</v>
      </c>
      <c r="BK59" s="91">
        <v>28838</v>
      </c>
      <c r="BL59" s="91">
        <v>32785</v>
      </c>
      <c r="BM59" s="91">
        <v>38470</v>
      </c>
      <c r="BN59" s="91">
        <v>48365</v>
      </c>
      <c r="BO59" s="91">
        <v>33280</v>
      </c>
      <c r="BP59" s="91">
        <v>34203</v>
      </c>
      <c r="BQ59" s="91">
        <v>35184</v>
      </c>
      <c r="BR59" s="91">
        <v>34873</v>
      </c>
      <c r="BS59" s="91">
        <v>48960</v>
      </c>
      <c r="BT59" s="91">
        <f t="shared" si="96"/>
        <v>429063</v>
      </c>
      <c r="BU59" s="28"/>
      <c r="BV59" s="91">
        <v>22115</v>
      </c>
      <c r="BW59" s="91"/>
      <c r="BX59" s="91"/>
      <c r="BY59" s="91"/>
      <c r="BZ59" s="91"/>
      <c r="CA59" s="91"/>
      <c r="CB59" s="91"/>
      <c r="CC59" s="91"/>
      <c r="CD59" s="91"/>
      <c r="CE59" s="91"/>
      <c r="CF59" s="91"/>
      <c r="CG59" s="91"/>
      <c r="CH59" s="91"/>
      <c r="CJ59" s="91">
        <v>22115</v>
      </c>
      <c r="CK59" s="91"/>
      <c r="CL59" s="91"/>
      <c r="CM59" s="91"/>
      <c r="CN59" s="91"/>
      <c r="CO59" s="91"/>
      <c r="CP59" s="91"/>
      <c r="CQ59" s="91"/>
      <c r="CR59" s="91"/>
      <c r="CS59" s="91"/>
      <c r="CT59" s="91"/>
      <c r="CU59" s="91"/>
      <c r="CV59" s="91"/>
    </row>
    <row r="60" spans="1:100" ht="15.75">
      <c r="A60" s="103"/>
      <c r="B60" s="329" t="s">
        <v>280</v>
      </c>
      <c r="C60" s="330"/>
      <c r="D60" s="331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332"/>
      <c r="Q60" s="105"/>
      <c r="R60" s="333"/>
      <c r="S60" s="333"/>
      <c r="T60" s="333"/>
      <c r="U60" s="333"/>
      <c r="V60" s="333"/>
      <c r="W60" s="333"/>
      <c r="X60" s="333"/>
      <c r="Y60" s="333"/>
      <c r="Z60" s="333"/>
      <c r="AA60" s="333"/>
      <c r="AB60" s="333"/>
      <c r="AC60" s="333"/>
      <c r="AD60" s="334"/>
      <c r="AE60" s="106"/>
      <c r="AF60" s="333">
        <f t="shared" ref="AF60:AQ60" si="100">AF59-AF50</f>
        <v>-12329</v>
      </c>
      <c r="AG60" s="333">
        <f t="shared" si="100"/>
        <v>-664</v>
      </c>
      <c r="AH60" s="333">
        <f t="shared" si="100"/>
        <v>65</v>
      </c>
      <c r="AI60" s="333">
        <f t="shared" si="100"/>
        <v>-246</v>
      </c>
      <c r="AJ60" s="333">
        <f t="shared" si="100"/>
        <v>-30</v>
      </c>
      <c r="AK60" s="333">
        <f t="shared" si="100"/>
        <v>5512</v>
      </c>
      <c r="AL60" s="333">
        <f t="shared" si="100"/>
        <v>-4219</v>
      </c>
      <c r="AM60" s="333">
        <f t="shared" si="100"/>
        <v>-6055</v>
      </c>
      <c r="AN60" s="333">
        <f t="shared" si="100"/>
        <v>-7048</v>
      </c>
      <c r="AO60" s="333">
        <f t="shared" si="100"/>
        <v>2094</v>
      </c>
      <c r="AP60" s="333">
        <f t="shared" si="100"/>
        <v>1749</v>
      </c>
      <c r="AQ60" s="333">
        <f t="shared" si="100"/>
        <v>1107</v>
      </c>
      <c r="AR60" s="107">
        <f t="shared" si="89"/>
        <v>-20064</v>
      </c>
      <c r="AS60" s="106"/>
      <c r="AT60" s="333">
        <f t="shared" ref="AT60:BE60" si="101">AT59-AT50</f>
        <v>-5855</v>
      </c>
      <c r="AU60" s="333">
        <f t="shared" si="101"/>
        <v>-7925</v>
      </c>
      <c r="AV60" s="333">
        <f t="shared" si="101"/>
        <v>-3277</v>
      </c>
      <c r="AW60" s="333">
        <f t="shared" si="101"/>
        <v>-9388</v>
      </c>
      <c r="AX60" s="333">
        <f t="shared" si="101"/>
        <v>-1358</v>
      </c>
      <c r="AY60" s="333">
        <f t="shared" si="101"/>
        <v>-2965</v>
      </c>
      <c r="AZ60" s="333">
        <f t="shared" si="101"/>
        <v>7986</v>
      </c>
      <c r="BA60" s="333">
        <f t="shared" si="101"/>
        <v>-403</v>
      </c>
      <c r="BB60" s="333">
        <f t="shared" si="101"/>
        <v>-6809</v>
      </c>
      <c r="BC60" s="333">
        <f t="shared" si="101"/>
        <v>-6900</v>
      </c>
      <c r="BD60" s="333">
        <f t="shared" si="101"/>
        <v>-4123</v>
      </c>
      <c r="BE60" s="333">
        <f t="shared" si="101"/>
        <v>4404</v>
      </c>
      <c r="BF60" s="108">
        <f t="shared" si="68"/>
        <v>-36613</v>
      </c>
      <c r="BG60" s="106"/>
      <c r="BH60" s="333">
        <f t="shared" ref="BH60:BQ60" si="102">BH59-BH50</f>
        <v>-2056</v>
      </c>
      <c r="BI60" s="333">
        <f t="shared" si="102"/>
        <v>-9555</v>
      </c>
      <c r="BJ60" s="333">
        <f t="shared" si="102"/>
        <v>-1598</v>
      </c>
      <c r="BK60" s="333">
        <f t="shared" si="102"/>
        <v>-9193</v>
      </c>
      <c r="BL60" s="333">
        <f t="shared" si="102"/>
        <v>-5785</v>
      </c>
      <c r="BM60" s="333">
        <f t="shared" si="102"/>
        <v>-757</v>
      </c>
      <c r="BN60" s="333">
        <f t="shared" si="102"/>
        <v>7237</v>
      </c>
      <c r="BO60" s="333">
        <f t="shared" si="102"/>
        <v>-4911</v>
      </c>
      <c r="BP60" s="333">
        <f t="shared" si="102"/>
        <v>-3988</v>
      </c>
      <c r="BQ60" s="333">
        <f t="shared" si="102"/>
        <v>-5041</v>
      </c>
      <c r="BR60" s="108"/>
      <c r="BS60" s="108"/>
      <c r="BT60" s="108">
        <f t="shared" si="96"/>
        <v>-35647</v>
      </c>
      <c r="BU60" s="28"/>
      <c r="BV60" s="333"/>
      <c r="BW60" s="333"/>
      <c r="BX60" s="333"/>
      <c r="BY60" s="333"/>
      <c r="BZ60" s="108"/>
      <c r="CA60" s="108"/>
      <c r="CB60" s="108"/>
      <c r="CC60" s="108"/>
      <c r="CD60" s="108"/>
      <c r="CE60" s="108"/>
      <c r="CF60" s="108"/>
      <c r="CG60" s="108"/>
      <c r="CH60" s="108"/>
      <c r="CJ60" s="333"/>
      <c r="CK60" s="333"/>
      <c r="CL60" s="333"/>
      <c r="CM60" s="333"/>
      <c r="CN60" s="108"/>
      <c r="CO60" s="108"/>
      <c r="CP60" s="108"/>
      <c r="CQ60" s="108"/>
      <c r="CR60" s="108"/>
      <c r="CS60" s="108"/>
      <c r="CT60" s="108"/>
      <c r="CU60" s="108"/>
      <c r="CV60" s="108"/>
    </row>
    <row r="61" spans="1:100" ht="15.75">
      <c r="A61" s="103" t="s">
        <v>83</v>
      </c>
      <c r="B61" s="337"/>
      <c r="C61" s="330"/>
      <c r="D61" s="331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332"/>
      <c r="Q61" s="105"/>
      <c r="R61" s="333"/>
      <c r="S61" s="333"/>
      <c r="T61" s="333"/>
      <c r="U61" s="333"/>
      <c r="V61" s="333"/>
      <c r="W61" s="333"/>
      <c r="X61" s="333"/>
      <c r="Y61" s="333"/>
      <c r="Z61" s="333"/>
      <c r="AA61" s="333"/>
      <c r="AB61" s="333"/>
      <c r="AC61" s="333"/>
      <c r="AD61" s="334"/>
      <c r="AE61" s="106"/>
      <c r="AF61" s="333">
        <f t="shared" ref="AF61:AQ62" si="103">AF56-AF23</f>
        <v>-10282</v>
      </c>
      <c r="AG61" s="333">
        <f t="shared" si="103"/>
        <v>-4235</v>
      </c>
      <c r="AH61" s="333">
        <f t="shared" si="103"/>
        <v>-154</v>
      </c>
      <c r="AI61" s="333">
        <f t="shared" si="103"/>
        <v>-1981</v>
      </c>
      <c r="AJ61" s="333">
        <f t="shared" si="103"/>
        <v>-2477</v>
      </c>
      <c r="AK61" s="333">
        <f t="shared" si="103"/>
        <v>6187</v>
      </c>
      <c r="AL61" s="333">
        <f t="shared" si="103"/>
        <v>-13922</v>
      </c>
      <c r="AM61" s="333">
        <f t="shared" si="103"/>
        <v>-58130</v>
      </c>
      <c r="AN61" s="333">
        <f t="shared" si="103"/>
        <v>-66535.333333333343</v>
      </c>
      <c r="AO61" s="333">
        <f t="shared" si="103"/>
        <v>-12969</v>
      </c>
      <c r="AP61" s="333">
        <f t="shared" si="103"/>
        <v>-21294</v>
      </c>
      <c r="AQ61" s="333">
        <f t="shared" si="103"/>
        <v>-10456</v>
      </c>
      <c r="AR61" s="107">
        <f t="shared" si="89"/>
        <v>-196248.33333333334</v>
      </c>
      <c r="AS61" s="106"/>
      <c r="AT61" s="333">
        <f t="shared" ref="AT61:BE61" si="104">AT56-AT23</f>
        <v>2596.75</v>
      </c>
      <c r="AU61" s="333">
        <f t="shared" si="104"/>
        <v>-45152.103448275855</v>
      </c>
      <c r="AV61" s="333">
        <f t="shared" si="104"/>
        <v>-10056.137931034493</v>
      </c>
      <c r="AW61" s="333">
        <f t="shared" si="104"/>
        <v>-31730.137931034493</v>
      </c>
      <c r="AX61" s="333">
        <f t="shared" si="104"/>
        <v>3361.0344827586232</v>
      </c>
      <c r="AY61" s="333">
        <f t="shared" si="104"/>
        <v>-17147.777777777781</v>
      </c>
      <c r="AZ61" s="333">
        <f t="shared" si="104"/>
        <v>1355.222222222219</v>
      </c>
      <c r="BA61" s="333">
        <f t="shared" si="104"/>
        <v>-78174.296296296292</v>
      </c>
      <c r="BB61" s="333">
        <f t="shared" si="104"/>
        <v>-58295.777777777781</v>
      </c>
      <c r="BC61" s="333">
        <f t="shared" si="104"/>
        <v>-106133.29075565783</v>
      </c>
      <c r="BD61" s="333">
        <f t="shared" si="104"/>
        <v>1052.413118527038</v>
      </c>
      <c r="BE61" s="333">
        <f t="shared" si="104"/>
        <v>17507.387034906016</v>
      </c>
      <c r="BF61" s="108">
        <f t="shared" si="68"/>
        <v>-320816.71505944064</v>
      </c>
      <c r="BG61" s="106"/>
      <c r="BH61" s="333">
        <f t="shared" ref="BH61:BQ61" si="105">BH56-BH23</f>
        <v>-8421</v>
      </c>
      <c r="BI61" s="333">
        <f t="shared" si="105"/>
        <v>-18041.333333333314</v>
      </c>
      <c r="BJ61" s="333">
        <f t="shared" si="105"/>
        <v>21582.925925925927</v>
      </c>
      <c r="BK61" s="333">
        <f t="shared" si="105"/>
        <v>-53679.74074074073</v>
      </c>
      <c r="BL61" s="333">
        <f t="shared" si="105"/>
        <v>141.14814814814599</v>
      </c>
      <c r="BM61" s="333">
        <f t="shared" si="105"/>
        <v>9286.7407407407445</v>
      </c>
      <c r="BN61" s="333">
        <f t="shared" si="105"/>
        <v>2319.444444444438</v>
      </c>
      <c r="BO61" s="333">
        <f t="shared" si="105"/>
        <v>7351.6218888889125</v>
      </c>
      <c r="BP61" s="333">
        <f t="shared" si="105"/>
        <v>-1367.7495370370452</v>
      </c>
      <c r="BQ61" s="333">
        <f t="shared" si="105"/>
        <v>27459</v>
      </c>
      <c r="BR61" s="108"/>
      <c r="BS61" s="108"/>
      <c r="BT61" s="108">
        <f t="shared" si="96"/>
        <v>-13368.942462962921</v>
      </c>
      <c r="BU61" s="28"/>
      <c r="BV61" s="333"/>
      <c r="BW61" s="333"/>
      <c r="BX61" s="333"/>
      <c r="BY61" s="333"/>
      <c r="BZ61" s="108"/>
      <c r="CA61" s="108"/>
      <c r="CB61" s="108"/>
      <c r="CC61" s="108"/>
      <c r="CD61" s="108"/>
      <c r="CE61" s="108"/>
      <c r="CF61" s="108"/>
      <c r="CG61" s="108"/>
      <c r="CH61" s="108"/>
      <c r="CJ61" s="333"/>
      <c r="CK61" s="333"/>
      <c r="CL61" s="333"/>
      <c r="CM61" s="333"/>
      <c r="CN61" s="108"/>
      <c r="CO61" s="108"/>
      <c r="CP61" s="108"/>
      <c r="CQ61" s="108"/>
      <c r="CR61" s="108"/>
      <c r="CS61" s="108"/>
      <c r="CT61" s="108"/>
      <c r="CU61" s="108"/>
      <c r="CV61" s="108"/>
    </row>
    <row r="62" spans="1:100" ht="15.75">
      <c r="A62" s="103" t="s">
        <v>85</v>
      </c>
      <c r="B62" s="337"/>
      <c r="C62" s="330"/>
      <c r="D62" s="331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332"/>
      <c r="Q62" s="105"/>
      <c r="R62" s="333"/>
      <c r="S62" s="333"/>
      <c r="T62" s="333"/>
      <c r="U62" s="333"/>
      <c r="V62" s="333"/>
      <c r="W62" s="333"/>
      <c r="X62" s="333"/>
      <c r="Y62" s="333"/>
      <c r="Z62" s="333"/>
      <c r="AA62" s="333"/>
      <c r="AB62" s="333"/>
      <c r="AC62" s="333"/>
      <c r="AD62" s="334"/>
      <c r="AE62" s="106"/>
      <c r="AF62" s="333">
        <f t="shared" si="103"/>
        <v>92193</v>
      </c>
      <c r="AG62" s="333">
        <f t="shared" si="103"/>
        <v>152006</v>
      </c>
      <c r="AH62" s="333">
        <f t="shared" si="103"/>
        <v>62734</v>
      </c>
      <c r="AI62" s="333">
        <f t="shared" si="103"/>
        <v>71526</v>
      </c>
      <c r="AJ62" s="333">
        <f t="shared" si="103"/>
        <v>89409</v>
      </c>
      <c r="AK62" s="333">
        <f t="shared" si="103"/>
        <v>120675</v>
      </c>
      <c r="AL62" s="333">
        <f t="shared" si="103"/>
        <v>100592</v>
      </c>
      <c r="AM62" s="333">
        <f t="shared" si="103"/>
        <v>148128</v>
      </c>
      <c r="AN62" s="333">
        <f t="shared" si="103"/>
        <v>164346</v>
      </c>
      <c r="AO62" s="333">
        <f t="shared" si="103"/>
        <v>203437</v>
      </c>
      <c r="AP62" s="333">
        <f t="shared" si="103"/>
        <v>64957</v>
      </c>
      <c r="AQ62" s="333">
        <f t="shared" si="103"/>
        <v>31837</v>
      </c>
      <c r="AR62" s="107">
        <f t="shared" si="89"/>
        <v>1301840</v>
      </c>
      <c r="AS62" s="106"/>
      <c r="AT62" s="338">
        <f t="shared" ref="AT62:BE62" si="106">AT61/AT23</f>
        <v>1.7000083470131603E-2</v>
      </c>
      <c r="AU62" s="338">
        <f t="shared" si="106"/>
        <v>-0.26792985919579565</v>
      </c>
      <c r="AV62" s="338">
        <f t="shared" si="106"/>
        <v>-6.5248272015318062E-2</v>
      </c>
      <c r="AW62" s="338">
        <f t="shared" si="106"/>
        <v>-0.19881644480138216</v>
      </c>
      <c r="AX62" s="338">
        <f t="shared" si="106"/>
        <v>2.798530764170884E-2</v>
      </c>
      <c r="AY62" s="338">
        <f t="shared" si="106"/>
        <v>-0.12395048084722922</v>
      </c>
      <c r="AZ62" s="338">
        <f t="shared" si="106"/>
        <v>8.1309864112464342E-3</v>
      </c>
      <c r="BA62" s="338">
        <f t="shared" si="106"/>
        <v>-0.32244495902957893</v>
      </c>
      <c r="BB62" s="338">
        <f t="shared" si="106"/>
        <v>-0.23949841829212068</v>
      </c>
      <c r="BC62" s="338">
        <f t="shared" si="106"/>
        <v>-0.41888939787658819</v>
      </c>
      <c r="BD62" s="338">
        <f t="shared" si="106"/>
        <v>7.8214003811977375E-3</v>
      </c>
      <c r="BE62" s="338">
        <f t="shared" si="106"/>
        <v>0.24086123043473662</v>
      </c>
      <c r="BF62" s="109">
        <f>AVERAGE(AT62:BE62)</f>
        <v>-0.11124823530991597</v>
      </c>
      <c r="BG62" s="106"/>
      <c r="BH62" s="338">
        <f t="shared" ref="BH62:BQ62" si="107">BH61/BH23</f>
        <v>-5.512821352117471E-2</v>
      </c>
      <c r="BI62" s="338">
        <f t="shared" si="107"/>
        <v>-0.12287867195499311</v>
      </c>
      <c r="BJ62" s="338">
        <f t="shared" si="107"/>
        <v>0.12581416416796784</v>
      </c>
      <c r="BK62" s="338">
        <f t="shared" si="107"/>
        <v>-0.33597769224938256</v>
      </c>
      <c r="BL62" s="338">
        <f t="shared" si="107"/>
        <v>1.0652943536044719E-3</v>
      </c>
      <c r="BM62" s="338">
        <f t="shared" si="107"/>
        <v>7.1488016002422286E-2</v>
      </c>
      <c r="BN62" s="338">
        <f t="shared" si="107"/>
        <v>1.3533646427895287E-2</v>
      </c>
      <c r="BO62" s="338">
        <f t="shared" si="107"/>
        <v>4.0944619366602007E-2</v>
      </c>
      <c r="BP62" s="338">
        <f t="shared" si="107"/>
        <v>-6.7692361075750926E-3</v>
      </c>
      <c r="BQ62" s="338">
        <f t="shared" si="107"/>
        <v>0.16757086626186191</v>
      </c>
      <c r="BR62" s="109"/>
      <c r="BS62" s="109"/>
      <c r="BT62" s="338">
        <f>BT61/BT23</f>
        <v>-7.1185036907011742E-3</v>
      </c>
      <c r="BU62" s="54"/>
      <c r="BV62" s="338"/>
      <c r="BW62" s="338"/>
      <c r="BX62" s="338"/>
      <c r="BY62" s="338"/>
      <c r="BZ62" s="109"/>
      <c r="CA62" s="109"/>
      <c r="CB62" s="109"/>
      <c r="CC62" s="109"/>
      <c r="CD62" s="109"/>
      <c r="CE62" s="109"/>
      <c r="CF62" s="109"/>
      <c r="CG62" s="109"/>
      <c r="CH62" s="109"/>
      <c r="CJ62" s="338"/>
      <c r="CK62" s="338"/>
      <c r="CL62" s="338"/>
      <c r="CM62" s="338"/>
      <c r="CN62" s="109"/>
      <c r="CO62" s="109"/>
      <c r="CP62" s="109"/>
      <c r="CQ62" s="109"/>
      <c r="CR62" s="109"/>
      <c r="CS62" s="109"/>
      <c r="CT62" s="109"/>
      <c r="CU62" s="109"/>
      <c r="CV62" s="109"/>
    </row>
    <row r="63" spans="1:100" ht="14.25" customHeight="1">
      <c r="A63" s="55" t="s">
        <v>86</v>
      </c>
      <c r="B63" s="56"/>
      <c r="C63" s="280"/>
      <c r="D63" s="288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289"/>
      <c r="Q63" s="39"/>
      <c r="R63" s="288"/>
      <c r="S63" s="58"/>
      <c r="T63" s="58"/>
      <c r="U63" s="58"/>
      <c r="V63" s="58"/>
      <c r="W63" s="290"/>
      <c r="X63" s="290"/>
      <c r="Y63" s="290"/>
      <c r="Z63" s="290"/>
      <c r="AA63" s="290"/>
      <c r="AB63" s="290"/>
      <c r="AC63" s="290"/>
      <c r="AD63" s="291"/>
      <c r="AE63" s="59"/>
      <c r="AF63" s="292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9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9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60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</row>
    <row r="64" spans="1:100" ht="14.25" customHeight="1">
      <c r="A64" s="55"/>
      <c r="B64" s="56" t="s">
        <v>87</v>
      </c>
      <c r="C64" s="280"/>
      <c r="D64" s="288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289"/>
      <c r="Q64" s="39"/>
      <c r="R64" s="288"/>
      <c r="S64" s="58"/>
      <c r="T64" s="58"/>
      <c r="U64" s="58"/>
      <c r="V64" s="58"/>
      <c r="W64" s="290"/>
      <c r="X64" s="290"/>
      <c r="Y64" s="290"/>
      <c r="Z64" s="290"/>
      <c r="AA64" s="290"/>
      <c r="AB64" s="290"/>
      <c r="AC64" s="290"/>
      <c r="AD64" s="291"/>
      <c r="AE64" s="59"/>
      <c r="AF64" s="292"/>
      <c r="AG64" s="292"/>
      <c r="AH64" s="292"/>
      <c r="AI64" s="292"/>
      <c r="AJ64" s="292"/>
      <c r="AK64" s="292"/>
      <c r="AL64" s="292"/>
      <c r="AM64" s="292"/>
      <c r="AN64" s="292"/>
      <c r="AO64" s="292"/>
      <c r="AP64" s="292"/>
      <c r="AQ64" s="292"/>
      <c r="AR64" s="58"/>
      <c r="AS64" s="59"/>
      <c r="AT64" s="292"/>
      <c r="AU64" s="292"/>
      <c r="AV64" s="292"/>
      <c r="AW64" s="292"/>
      <c r="AX64" s="292"/>
      <c r="AY64" s="292"/>
      <c r="AZ64" s="292"/>
      <c r="BA64" s="292"/>
      <c r="BB64" s="292"/>
      <c r="BC64" s="292"/>
      <c r="BD64" s="292"/>
      <c r="BE64" s="292"/>
      <c r="BF64" s="58"/>
      <c r="BG64" s="59"/>
      <c r="BH64" s="292"/>
      <c r="BI64" s="292"/>
      <c r="BJ64" s="292"/>
      <c r="BK64" s="292"/>
      <c r="BL64" s="292"/>
      <c r="BM64" s="292"/>
      <c r="BN64" s="292"/>
      <c r="BO64" s="292"/>
      <c r="BP64" s="292"/>
      <c r="BQ64" s="292"/>
      <c r="BR64" s="292"/>
      <c r="BS64" s="292"/>
      <c r="BT64" s="292"/>
      <c r="BU64" s="60"/>
      <c r="BV64" s="400">
        <v>152642</v>
      </c>
      <c r="BW64" s="400">
        <v>141495</v>
      </c>
      <c r="BX64" s="400">
        <v>158268</v>
      </c>
      <c r="BY64" s="400">
        <v>135742</v>
      </c>
      <c r="BZ64" s="400">
        <v>130614</v>
      </c>
      <c r="CA64" s="400">
        <v>97296</v>
      </c>
      <c r="CB64" s="400">
        <v>160984</v>
      </c>
      <c r="CC64" s="400">
        <v>175137</v>
      </c>
      <c r="CD64" s="400">
        <v>216035</v>
      </c>
      <c r="CE64" s="400"/>
      <c r="CF64" s="400"/>
      <c r="CG64" s="400"/>
      <c r="CH64" s="412">
        <f t="shared" ref="CH64:CH67" si="108">SUM(BV64:CG64)</f>
        <v>1368213</v>
      </c>
      <c r="CJ64" s="400"/>
      <c r="CK64" s="400"/>
      <c r="CL64" s="400"/>
      <c r="CM64" s="400"/>
      <c r="CN64" s="400"/>
      <c r="CO64" s="400"/>
      <c r="CP64" s="292"/>
      <c r="CQ64" s="292"/>
      <c r="CR64" s="292"/>
      <c r="CS64" s="292"/>
      <c r="CT64" s="292"/>
      <c r="CU64" s="292"/>
      <c r="CV64" s="292"/>
    </row>
    <row r="65" spans="1:100" s="414" customFormat="1" ht="22.5" customHeight="1">
      <c r="A65" s="401"/>
      <c r="B65" s="402" t="s">
        <v>287</v>
      </c>
      <c r="C65" s="403"/>
      <c r="D65" s="404"/>
      <c r="E65" s="405"/>
      <c r="F65" s="405"/>
      <c r="G65" s="405"/>
      <c r="H65" s="405"/>
      <c r="I65" s="405"/>
      <c r="J65" s="405"/>
      <c r="K65" s="405"/>
      <c r="L65" s="405"/>
      <c r="M65" s="405"/>
      <c r="N65" s="405"/>
      <c r="O65" s="405"/>
      <c r="P65" s="406"/>
      <c r="Q65" s="407"/>
      <c r="R65" s="404"/>
      <c r="S65" s="408"/>
      <c r="T65" s="408"/>
      <c r="U65" s="408"/>
      <c r="V65" s="408"/>
      <c r="W65" s="409"/>
      <c r="X65" s="409"/>
      <c r="Y65" s="409"/>
      <c r="Z65" s="409"/>
      <c r="AA65" s="409"/>
      <c r="AB65" s="409"/>
      <c r="AC65" s="409"/>
      <c r="AD65" s="410"/>
      <c r="AE65" s="411"/>
      <c r="AF65" s="412"/>
      <c r="AG65" s="412"/>
      <c r="AH65" s="412"/>
      <c r="AI65" s="412"/>
      <c r="AJ65" s="412"/>
      <c r="AK65" s="412"/>
      <c r="AL65" s="412"/>
      <c r="AM65" s="412"/>
      <c r="AN65" s="412"/>
      <c r="AO65" s="412"/>
      <c r="AP65" s="412"/>
      <c r="AQ65" s="412"/>
      <c r="AR65" s="408"/>
      <c r="AS65" s="411"/>
      <c r="AT65" s="412"/>
      <c r="AU65" s="412"/>
      <c r="AV65" s="412"/>
      <c r="AW65" s="412"/>
      <c r="AX65" s="412"/>
      <c r="AY65" s="412"/>
      <c r="AZ65" s="412"/>
      <c r="BA65" s="412"/>
      <c r="BB65" s="412"/>
      <c r="BC65" s="412"/>
      <c r="BD65" s="412"/>
      <c r="BE65" s="412"/>
      <c r="BF65" s="408"/>
      <c r="BG65" s="411"/>
      <c r="BH65" s="412"/>
      <c r="BI65" s="412"/>
      <c r="BJ65" s="412"/>
      <c r="BK65" s="412"/>
      <c r="BL65" s="412"/>
      <c r="BM65" s="412"/>
      <c r="BN65" s="412"/>
      <c r="BO65" s="412"/>
      <c r="BP65" s="412"/>
      <c r="BQ65" s="412"/>
      <c r="BR65" s="412"/>
      <c r="BS65" s="412"/>
      <c r="BT65" s="412"/>
      <c r="BU65" s="60"/>
      <c r="BV65" s="413">
        <f>BV23</f>
        <v>161157.867486095</v>
      </c>
      <c r="BW65" s="413">
        <f t="shared" ref="BW65:CG65" si="109">BW23</f>
        <v>155966.83045180296</v>
      </c>
      <c r="BX65" s="413">
        <f t="shared" si="109"/>
        <v>196111.53846153844</v>
      </c>
      <c r="BY65" s="413">
        <f t="shared" si="109"/>
        <v>159169.23076923078</v>
      </c>
      <c r="BZ65" s="413">
        <f t="shared" si="109"/>
        <v>151482.39341785663</v>
      </c>
      <c r="CA65" s="413">
        <f t="shared" si="109"/>
        <v>141442.12910096842</v>
      </c>
      <c r="CB65" s="413">
        <f t="shared" si="109"/>
        <v>176986.21444761599</v>
      </c>
      <c r="CC65" s="413">
        <f t="shared" si="109"/>
        <v>201301.08944885107</v>
      </c>
      <c r="CD65" s="413">
        <f t="shared" si="109"/>
        <v>212833.04013559342</v>
      </c>
      <c r="CE65" s="413">
        <f t="shared" si="109"/>
        <v>215922.30386211892</v>
      </c>
      <c r="CF65" s="413">
        <f t="shared" si="109"/>
        <v>171115.84223630186</v>
      </c>
      <c r="CG65" s="413">
        <f t="shared" si="109"/>
        <v>87483.816691710366</v>
      </c>
      <c r="CH65" s="412">
        <f t="shared" si="108"/>
        <v>2030972.2965096838</v>
      </c>
      <c r="CI65"/>
      <c r="CJ65" s="413">
        <f>CJ23</f>
        <v>160274.1</v>
      </c>
      <c r="CK65" s="413">
        <f t="shared" ref="CK65:CV65" si="110">CK23</f>
        <v>148569.75</v>
      </c>
      <c r="CL65" s="413">
        <f t="shared" si="110"/>
        <v>166181.4</v>
      </c>
      <c r="CM65" s="413">
        <f t="shared" si="110"/>
        <v>142529.1</v>
      </c>
      <c r="CN65" s="413">
        <f t="shared" si="110"/>
        <v>137144.70000000001</v>
      </c>
      <c r="CO65" s="413">
        <f t="shared" si="110"/>
        <v>102160.8</v>
      </c>
      <c r="CP65" s="599">
        <f>SUM(CJ65:CO65)</f>
        <v>856859.85000000009</v>
      </c>
      <c r="CQ65" s="413">
        <f t="shared" si="110"/>
        <v>183893.85</v>
      </c>
      <c r="CR65" s="413">
        <f t="shared" si="110"/>
        <v>226836.75</v>
      </c>
      <c r="CS65" s="413">
        <f t="shared" si="110"/>
        <v>226718.41905522486</v>
      </c>
      <c r="CT65" s="413">
        <f t="shared" si="110"/>
        <v>179671.63434811696</v>
      </c>
      <c r="CU65" s="413">
        <f t="shared" si="110"/>
        <v>91858.007526295885</v>
      </c>
      <c r="CV65" s="412">
        <f>SUM(CJ65:CU65)</f>
        <v>2622698.3609296377</v>
      </c>
    </row>
    <row r="66" spans="1:100" ht="15.75" customHeight="1" outlineLevel="1">
      <c r="A66" s="94">
        <v>7</v>
      </c>
      <c r="B66" s="210" t="s">
        <v>90</v>
      </c>
      <c r="C66" s="335"/>
      <c r="D66" s="313">
        <v>98048</v>
      </c>
      <c r="E66" s="89">
        <v>128688</v>
      </c>
      <c r="F66" s="89">
        <v>124704</v>
      </c>
      <c r="G66" s="89">
        <v>157500</v>
      </c>
      <c r="H66" s="89">
        <v>182600</v>
      </c>
      <c r="I66" s="89">
        <v>157700</v>
      </c>
      <c r="J66" s="89">
        <v>181700</v>
      </c>
      <c r="K66" s="89">
        <v>165900</v>
      </c>
      <c r="L66" s="89">
        <v>174300</v>
      </c>
      <c r="M66" s="89">
        <v>215800</v>
      </c>
      <c r="N66" s="89">
        <v>180000</v>
      </c>
      <c r="O66" s="89">
        <v>112500</v>
      </c>
      <c r="P66" s="314">
        <f t="shared" ref="P66:P67" si="111">SUM(D66:O66)</f>
        <v>1879440</v>
      </c>
      <c r="Q66" s="90"/>
      <c r="R66" s="313">
        <v>158400</v>
      </c>
      <c r="S66" s="91">
        <v>161000</v>
      </c>
      <c r="T66" s="91">
        <v>117800</v>
      </c>
      <c r="U66" s="91">
        <v>2000</v>
      </c>
      <c r="V66" s="91">
        <v>53800</v>
      </c>
      <c r="W66" s="91">
        <v>190600</v>
      </c>
      <c r="X66" s="91">
        <v>187900</v>
      </c>
      <c r="Y66" s="91">
        <v>196800</v>
      </c>
      <c r="Z66" s="91">
        <v>192300</v>
      </c>
      <c r="AA66" s="91">
        <v>182300</v>
      </c>
      <c r="AB66" s="91">
        <v>175000</v>
      </c>
      <c r="AC66" s="91">
        <v>134100</v>
      </c>
      <c r="AD66" s="315">
        <f>SUM(R66:AC66)</f>
        <v>1752000</v>
      </c>
      <c r="AE66" s="23"/>
      <c r="AF66" s="316">
        <f t="shared" ref="AF66:AL66" si="112">SUM(AF67,AF69)</f>
        <v>161400</v>
      </c>
      <c r="AG66" s="316">
        <f t="shared" si="112"/>
        <v>166000</v>
      </c>
      <c r="AH66" s="316">
        <f t="shared" si="112"/>
        <v>150471</v>
      </c>
      <c r="AI66" s="316">
        <f t="shared" si="112"/>
        <v>149040</v>
      </c>
      <c r="AJ66" s="316">
        <f t="shared" si="112"/>
        <v>196360</v>
      </c>
      <c r="AK66" s="316">
        <f t="shared" si="112"/>
        <v>163300</v>
      </c>
      <c r="AL66" s="316">
        <f t="shared" si="112"/>
        <v>190000</v>
      </c>
      <c r="AM66" s="316">
        <f t="shared" ref="AM66:AQ66" si="113">SUM(AM67,AM69,AM70)</f>
        <v>167000</v>
      </c>
      <c r="AN66" s="316">
        <f t="shared" si="113"/>
        <v>170500</v>
      </c>
      <c r="AO66" s="316">
        <f t="shared" si="113"/>
        <v>140000</v>
      </c>
      <c r="AP66" s="316">
        <f t="shared" si="113"/>
        <v>130000</v>
      </c>
      <c r="AQ66" s="316">
        <f t="shared" si="113"/>
        <v>100000</v>
      </c>
      <c r="AR66" s="92">
        <f t="shared" ref="AR66:AR67" si="114">SUM(AF66:AQ66)</f>
        <v>1884071</v>
      </c>
      <c r="AS66" s="23"/>
      <c r="AT66" s="316">
        <f t="shared" ref="AT66:BC66" si="115">SUM(AT67,AT69,AT70)</f>
        <v>133000</v>
      </c>
      <c r="AU66" s="316">
        <f t="shared" si="115"/>
        <v>125180</v>
      </c>
      <c r="AV66" s="316">
        <f t="shared" si="115"/>
        <v>117228</v>
      </c>
      <c r="AW66" s="316">
        <f t="shared" si="115"/>
        <v>127500</v>
      </c>
      <c r="AX66" s="316">
        <f t="shared" si="115"/>
        <v>140000</v>
      </c>
      <c r="AY66" s="316">
        <f t="shared" si="115"/>
        <v>158342.99999899999</v>
      </c>
      <c r="AZ66" s="316">
        <f t="shared" si="115"/>
        <v>152409</v>
      </c>
      <c r="BA66" s="316">
        <f t="shared" si="115"/>
        <v>173520</v>
      </c>
      <c r="BB66" s="316">
        <f t="shared" si="115"/>
        <v>165000</v>
      </c>
      <c r="BC66" s="316">
        <f t="shared" si="115"/>
        <v>157500</v>
      </c>
      <c r="BD66" s="316">
        <v>129431</v>
      </c>
      <c r="BE66" s="316">
        <v>61700</v>
      </c>
      <c r="BF66" s="91">
        <f t="shared" ref="BF66:BF67" si="116">SUM(AT66:BE66)</f>
        <v>1640810.999999</v>
      </c>
      <c r="BG66" s="27">
        <f>BF66-AR66</f>
        <v>-243260.00000100001</v>
      </c>
      <c r="BH66" s="339">
        <f>SUM(BH67,BH69,BH70)</f>
        <v>139760</v>
      </c>
      <c r="BI66" s="339">
        <f t="shared" ref="BI66:BP66" si="117">SUM(BI67,BI69,BI70)</f>
        <v>116580</v>
      </c>
      <c r="BJ66" s="339">
        <f t="shared" si="117"/>
        <v>148340</v>
      </c>
      <c r="BK66" s="339">
        <f t="shared" si="117"/>
        <v>112360</v>
      </c>
      <c r="BL66" s="339">
        <f t="shared" si="117"/>
        <v>108660</v>
      </c>
      <c r="BM66" s="339">
        <f t="shared" si="117"/>
        <v>153416</v>
      </c>
      <c r="BN66" s="339">
        <f t="shared" si="117"/>
        <v>137676</v>
      </c>
      <c r="BO66" s="339">
        <f t="shared" si="117"/>
        <v>160654</v>
      </c>
      <c r="BP66" s="339">
        <f t="shared" si="117"/>
        <v>157000</v>
      </c>
      <c r="BQ66" s="339">
        <v>156725</v>
      </c>
      <c r="BR66" s="339">
        <v>182069</v>
      </c>
      <c r="BS66" s="339">
        <f>BS67+BS70</f>
        <v>156420</v>
      </c>
      <c r="BT66" s="339">
        <f t="shared" ref="BT66:BT67" si="118">SUM(BH66:BS66)</f>
        <v>1729660</v>
      </c>
      <c r="BU66" s="60"/>
      <c r="BV66" s="396">
        <f t="shared" ref="BV66:BX66" si="119">BV7*BV68</f>
        <v>133000</v>
      </c>
      <c r="BW66" s="396">
        <f t="shared" si="119"/>
        <v>133000</v>
      </c>
      <c r="BX66" s="396">
        <f t="shared" si="119"/>
        <v>147000</v>
      </c>
      <c r="BY66" s="396">
        <f>BY7*BY68</f>
        <v>172800</v>
      </c>
      <c r="BZ66" s="396">
        <f>BZ7*BZ68</f>
        <v>165600</v>
      </c>
      <c r="CA66" s="599">
        <f>CA7*CA68</f>
        <v>158400</v>
      </c>
      <c r="CB66" s="396">
        <f>CB7*CB68</f>
        <v>180000</v>
      </c>
      <c r="CC66" s="396">
        <f t="shared" ref="CC66:CK66" si="120">CC7*CC68</f>
        <v>172800</v>
      </c>
      <c r="CD66" s="396">
        <f t="shared" si="120"/>
        <v>172800</v>
      </c>
      <c r="CE66" s="396">
        <f t="shared" si="120"/>
        <v>180000</v>
      </c>
      <c r="CF66" s="396">
        <f t="shared" si="120"/>
        <v>158400</v>
      </c>
      <c r="CG66" s="396">
        <f t="shared" si="120"/>
        <v>120000</v>
      </c>
      <c r="CH66" s="396">
        <f t="shared" si="108"/>
        <v>1893800</v>
      </c>
      <c r="CI66" s="595"/>
      <c r="CJ66" s="396">
        <f>CJ7*CJ68</f>
        <v>160000</v>
      </c>
      <c r="CK66" s="396">
        <f t="shared" ref="CK66:CU66" si="121">CK7*CK68</f>
        <v>160000</v>
      </c>
      <c r="CL66" s="396">
        <f>CL7*CL68</f>
        <v>152000</v>
      </c>
      <c r="CM66" s="396">
        <f>CM7*CM68</f>
        <v>160000</v>
      </c>
      <c r="CN66" s="396">
        <f t="shared" si="121"/>
        <v>168000</v>
      </c>
      <c r="CO66" s="396">
        <f t="shared" si="121"/>
        <v>160000</v>
      </c>
      <c r="CP66" s="599">
        <f t="shared" ref="CP66:CP67" si="122">SUM(CJ66:CO66)</f>
        <v>960000</v>
      </c>
      <c r="CQ66" s="396">
        <f t="shared" si="121"/>
        <v>184000</v>
      </c>
      <c r="CR66" s="396">
        <f t="shared" si="121"/>
        <v>184000</v>
      </c>
      <c r="CS66" s="396">
        <f t="shared" si="121"/>
        <v>192000</v>
      </c>
      <c r="CT66" s="396">
        <f t="shared" si="121"/>
        <v>176000</v>
      </c>
      <c r="CU66" s="396">
        <f>CU7*CU68</f>
        <v>104000</v>
      </c>
      <c r="CV66" s="339">
        <f>SUM(CJ66:CU66)</f>
        <v>2760000</v>
      </c>
    </row>
    <row r="67" spans="1:100" ht="15.75" outlineLevel="1">
      <c r="A67" s="94"/>
      <c r="B67" s="210" t="s">
        <v>91</v>
      </c>
      <c r="C67" s="335"/>
      <c r="D67" s="313">
        <v>98048</v>
      </c>
      <c r="E67" s="89">
        <v>128688</v>
      </c>
      <c r="F67" s="89">
        <v>124704</v>
      </c>
      <c r="G67" s="89">
        <v>157500</v>
      </c>
      <c r="H67" s="89">
        <v>182600</v>
      </c>
      <c r="I67" s="89">
        <v>157700</v>
      </c>
      <c r="J67" s="89">
        <v>181700</v>
      </c>
      <c r="K67" s="89">
        <v>165900</v>
      </c>
      <c r="L67" s="89">
        <v>174300</v>
      </c>
      <c r="M67" s="89">
        <v>215800</v>
      </c>
      <c r="N67" s="89">
        <v>180000</v>
      </c>
      <c r="O67" s="89">
        <v>112500</v>
      </c>
      <c r="P67" s="314">
        <f t="shared" si="111"/>
        <v>1879440</v>
      </c>
      <c r="Q67" s="90"/>
      <c r="R67" s="313">
        <v>158400</v>
      </c>
      <c r="S67" s="91">
        <v>146000</v>
      </c>
      <c r="T67" s="91">
        <v>102200</v>
      </c>
      <c r="U67" s="91">
        <v>0</v>
      </c>
      <c r="V67" s="91">
        <v>43800</v>
      </c>
      <c r="W67" s="91">
        <v>160600</v>
      </c>
      <c r="X67" s="91">
        <v>167900</v>
      </c>
      <c r="Y67" s="91">
        <v>153300</v>
      </c>
      <c r="Z67" s="91">
        <v>153300</v>
      </c>
      <c r="AA67" s="91">
        <v>153300</v>
      </c>
      <c r="AB67" s="91">
        <v>146000</v>
      </c>
      <c r="AC67" s="91">
        <v>124100</v>
      </c>
      <c r="AD67" s="315"/>
      <c r="AE67" s="23"/>
      <c r="AF67" s="316">
        <v>131400</v>
      </c>
      <c r="AG67" s="91">
        <v>146000</v>
      </c>
      <c r="AH67" s="91">
        <v>125511</v>
      </c>
      <c r="AI67" s="91">
        <v>135000</v>
      </c>
      <c r="AJ67" s="91">
        <v>177320</v>
      </c>
      <c r="AK67" s="91">
        <v>151300</v>
      </c>
      <c r="AL67" s="91">
        <v>176000</v>
      </c>
      <c r="AM67" s="91">
        <f>AM68*AM7</f>
        <v>154000</v>
      </c>
      <c r="AN67" s="91">
        <f>AN68*AN7</f>
        <v>157500</v>
      </c>
      <c r="AO67" s="91">
        <f>AO68*AO7</f>
        <v>140000</v>
      </c>
      <c r="AP67" s="91">
        <f>AP68*AP7</f>
        <v>130000</v>
      </c>
      <c r="AQ67" s="91">
        <f>AQ68*AQ7+16000</f>
        <v>100000</v>
      </c>
      <c r="AR67" s="92">
        <f t="shared" si="114"/>
        <v>1724031</v>
      </c>
      <c r="AS67" s="23"/>
      <c r="AT67" s="91">
        <f>AT68*AT7</f>
        <v>133000</v>
      </c>
      <c r="AU67" s="91">
        <f>125180</f>
        <v>125180</v>
      </c>
      <c r="AV67" s="91">
        <f>AV68*AV7+7428</f>
        <v>117228</v>
      </c>
      <c r="AW67" s="91">
        <f>AW68*AW7</f>
        <v>123500</v>
      </c>
      <c r="AX67" s="91">
        <f>AX68*AX7</f>
        <v>132000</v>
      </c>
      <c r="AY67" s="91">
        <f>AY68*AY7</f>
        <v>153342.99999899999</v>
      </c>
      <c r="AZ67" s="91">
        <v>142409</v>
      </c>
      <c r="BA67" s="91">
        <v>163520</v>
      </c>
      <c r="BB67" s="91">
        <f>BB68*BB7</f>
        <v>165000</v>
      </c>
      <c r="BC67" s="91">
        <f>BC68*BC7</f>
        <v>157500</v>
      </c>
      <c r="BD67" s="316">
        <v>129431</v>
      </c>
      <c r="BE67" s="316">
        <v>61700</v>
      </c>
      <c r="BF67" s="91">
        <f t="shared" si="116"/>
        <v>1603810.999999</v>
      </c>
      <c r="BG67" s="27">
        <f>BF67+BF70-AR67-AR70</f>
        <v>-113040.00000100001</v>
      </c>
      <c r="BH67" s="91">
        <v>136760</v>
      </c>
      <c r="BI67" s="91">
        <v>116580</v>
      </c>
      <c r="BJ67" s="91">
        <v>148340</v>
      </c>
      <c r="BK67" s="91">
        <v>112360</v>
      </c>
      <c r="BL67" s="91">
        <v>108660</v>
      </c>
      <c r="BM67" s="91">
        <v>153416</v>
      </c>
      <c r="BN67" s="91">
        <v>137676</v>
      </c>
      <c r="BO67" s="91">
        <v>150654</v>
      </c>
      <c r="BP67" s="91">
        <f>7100*BP7</f>
        <v>142000</v>
      </c>
      <c r="BQ67" s="91">
        <f t="shared" ref="BQ67:BR67" si="123">BQ66-BQ70</f>
        <v>136725</v>
      </c>
      <c r="BR67" s="91">
        <f t="shared" si="123"/>
        <v>167069</v>
      </c>
      <c r="BS67" s="91">
        <v>124020</v>
      </c>
      <c r="BT67" s="91">
        <f t="shared" si="118"/>
        <v>1634260</v>
      </c>
      <c r="BU67" s="28"/>
      <c r="BV67" s="397">
        <f>BV68*BV69-24551</f>
        <v>108449</v>
      </c>
      <c r="BW67" s="397">
        <f>BW68*BW69</f>
        <v>133000</v>
      </c>
      <c r="BX67" s="397">
        <f t="shared" ref="BX67:CG67" si="124">BX68*BX69</f>
        <v>147000</v>
      </c>
      <c r="BY67" s="397">
        <f>BY68*BY69</f>
        <v>172800</v>
      </c>
      <c r="BZ67" s="397">
        <f>BZ68*BZ69</f>
        <v>165600</v>
      </c>
      <c r="CA67" s="397">
        <f>CA68*CA69</f>
        <v>158400</v>
      </c>
      <c r="CB67" s="397">
        <f>CB68*CB69</f>
        <v>180000</v>
      </c>
      <c r="CC67" s="397">
        <f t="shared" si="124"/>
        <v>172800</v>
      </c>
      <c r="CD67" s="397">
        <f t="shared" si="124"/>
        <v>172800</v>
      </c>
      <c r="CE67" s="397">
        <f t="shared" si="124"/>
        <v>180000</v>
      </c>
      <c r="CF67" s="397">
        <f t="shared" si="124"/>
        <v>158400</v>
      </c>
      <c r="CG67" s="397">
        <f t="shared" si="124"/>
        <v>120000</v>
      </c>
      <c r="CH67" s="91">
        <f t="shared" si="108"/>
        <v>1869249</v>
      </c>
      <c r="CI67" s="395">
        <f>(CH67-BT72)/BT72</f>
        <v>0.30762983265407201</v>
      </c>
      <c r="CJ67" s="397">
        <f>CJ66</f>
        <v>160000</v>
      </c>
      <c r="CK67" s="397">
        <f t="shared" ref="CK67:CO67" si="125">CK66</f>
        <v>160000</v>
      </c>
      <c r="CL67" s="397">
        <f t="shared" si="125"/>
        <v>152000</v>
      </c>
      <c r="CM67" s="397">
        <f t="shared" si="125"/>
        <v>160000</v>
      </c>
      <c r="CN67" s="397">
        <f t="shared" si="125"/>
        <v>168000</v>
      </c>
      <c r="CO67" s="397">
        <f t="shared" si="125"/>
        <v>160000</v>
      </c>
      <c r="CP67" s="680">
        <f t="shared" si="122"/>
        <v>960000</v>
      </c>
      <c r="CQ67" s="397">
        <v>194340</v>
      </c>
      <c r="CR67" s="397">
        <v>208000</v>
      </c>
      <c r="CS67" s="397">
        <v>201780</v>
      </c>
      <c r="CT67" s="397">
        <v>154060</v>
      </c>
      <c r="CU67" s="397">
        <v>96720</v>
      </c>
      <c r="CV67" s="91">
        <v>1949109</v>
      </c>
    </row>
    <row r="68" spans="1:100" ht="15.75" customHeight="1" outlineLevel="1">
      <c r="A68" s="94"/>
      <c r="B68" s="210" t="s">
        <v>92</v>
      </c>
      <c r="C68" s="335"/>
      <c r="D68" s="313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314"/>
      <c r="Q68" s="90"/>
      <c r="R68" s="316">
        <f t="shared" ref="R68:AC68" si="126">R67/R7</f>
        <v>7200</v>
      </c>
      <c r="S68" s="316">
        <f t="shared" si="126"/>
        <v>7300</v>
      </c>
      <c r="T68" s="316">
        <f t="shared" si="126"/>
        <v>7300</v>
      </c>
      <c r="U68" s="316">
        <f t="shared" si="126"/>
        <v>0</v>
      </c>
      <c r="V68" s="316">
        <f t="shared" si="126"/>
        <v>3650</v>
      </c>
      <c r="W68" s="316">
        <f t="shared" si="126"/>
        <v>7300</v>
      </c>
      <c r="X68" s="316">
        <f t="shared" si="126"/>
        <v>7300</v>
      </c>
      <c r="Y68" s="316">
        <f t="shared" si="126"/>
        <v>7300</v>
      </c>
      <c r="Z68" s="316">
        <f t="shared" si="126"/>
        <v>7300</v>
      </c>
      <c r="AA68" s="316">
        <f t="shared" si="126"/>
        <v>7300</v>
      </c>
      <c r="AB68" s="316">
        <f t="shared" si="126"/>
        <v>7300</v>
      </c>
      <c r="AC68" s="316">
        <f t="shared" si="126"/>
        <v>7300</v>
      </c>
      <c r="AD68" s="315"/>
      <c r="AE68" s="23"/>
      <c r="AF68" s="316">
        <f t="shared" ref="AF68:AL68" si="127">AF67/AF7</f>
        <v>7300</v>
      </c>
      <c r="AG68" s="316">
        <f t="shared" si="127"/>
        <v>7300</v>
      </c>
      <c r="AH68" s="316">
        <f t="shared" si="127"/>
        <v>6275.55</v>
      </c>
      <c r="AI68" s="316">
        <f t="shared" si="127"/>
        <v>6750</v>
      </c>
      <c r="AJ68" s="316">
        <f t="shared" si="127"/>
        <v>8060</v>
      </c>
      <c r="AK68" s="316">
        <f t="shared" si="127"/>
        <v>7565</v>
      </c>
      <c r="AL68" s="316">
        <f t="shared" si="127"/>
        <v>8000</v>
      </c>
      <c r="AM68" s="91">
        <v>7000</v>
      </c>
      <c r="AN68" s="91">
        <v>7500</v>
      </c>
      <c r="AO68" s="91">
        <v>7000</v>
      </c>
      <c r="AP68" s="91">
        <v>6500</v>
      </c>
      <c r="AQ68" s="91">
        <v>7000</v>
      </c>
      <c r="AR68" s="92">
        <f>AVERAGE(AF68:AQ68)</f>
        <v>7187.5458333333336</v>
      </c>
      <c r="AS68" s="23"/>
      <c r="AT68" s="91">
        <v>7000</v>
      </c>
      <c r="AU68" s="91">
        <f>AU67/AU7</f>
        <v>6588.4210526315792</v>
      </c>
      <c r="AV68" s="91">
        <v>6100</v>
      </c>
      <c r="AW68" s="91">
        <v>6500</v>
      </c>
      <c r="AX68" s="91">
        <v>6000</v>
      </c>
      <c r="AY68" s="91">
        <v>7302.0476189999999</v>
      </c>
      <c r="AZ68" s="91">
        <v>7000</v>
      </c>
      <c r="BA68" s="91">
        <f>BA67/BA7</f>
        <v>7432.727272727273</v>
      </c>
      <c r="BB68" s="91">
        <v>7500</v>
      </c>
      <c r="BC68" s="91">
        <v>7500</v>
      </c>
      <c r="BD68" s="91">
        <f>BD67/BD7</f>
        <v>6471.55</v>
      </c>
      <c r="BE68" s="91">
        <f>BE67/BE7</f>
        <v>6170</v>
      </c>
      <c r="BF68" s="91">
        <f>AVERAGE(AT68:BE68)</f>
        <v>6797.0621620299053</v>
      </c>
      <c r="BG68" s="27"/>
      <c r="BH68" s="91">
        <f t="shared" ref="BH68:BS68" si="128">BH67/BH7</f>
        <v>6838</v>
      </c>
      <c r="BI68" s="91">
        <f t="shared" si="128"/>
        <v>6857.6470588235297</v>
      </c>
      <c r="BJ68" s="91">
        <f t="shared" si="128"/>
        <v>6449.565217391304</v>
      </c>
      <c r="BK68" s="91">
        <f t="shared" si="128"/>
        <v>6242.2222222222226</v>
      </c>
      <c r="BL68" s="91">
        <f t="shared" si="128"/>
        <v>4939.090909090909</v>
      </c>
      <c r="BM68" s="91">
        <f t="shared" si="128"/>
        <v>6670.260869565217</v>
      </c>
      <c r="BN68" s="91">
        <f t="shared" si="128"/>
        <v>6556</v>
      </c>
      <c r="BO68" s="91">
        <f t="shared" si="128"/>
        <v>7174</v>
      </c>
      <c r="BP68" s="91">
        <f t="shared" si="128"/>
        <v>7100</v>
      </c>
      <c r="BQ68" s="91">
        <f t="shared" si="128"/>
        <v>6510.7142857142853</v>
      </c>
      <c r="BR68" s="91">
        <f t="shared" si="128"/>
        <v>8353.4500000000007</v>
      </c>
      <c r="BS68" s="91">
        <f t="shared" si="128"/>
        <v>8858.5714285714294</v>
      </c>
      <c r="BT68" s="91">
        <f>AVERAGE(BH68:BS68)</f>
        <v>6879.1268326149084</v>
      </c>
      <c r="BU68" s="28"/>
      <c r="BV68" s="91">
        <v>7000</v>
      </c>
      <c r="BW68" s="91">
        <v>7000</v>
      </c>
      <c r="BX68" s="91">
        <v>7000</v>
      </c>
      <c r="BY68" s="91">
        <v>7200</v>
      </c>
      <c r="BZ68" s="91">
        <v>7200</v>
      </c>
      <c r="CA68" s="91">
        <v>7200</v>
      </c>
      <c r="CB68" s="91">
        <v>7200</v>
      </c>
      <c r="CC68" s="91">
        <f t="shared" ref="CC68" si="129">CB68</f>
        <v>7200</v>
      </c>
      <c r="CD68" s="91">
        <v>7200</v>
      </c>
      <c r="CE68" s="91">
        <v>7200</v>
      </c>
      <c r="CF68" s="91">
        <v>7200</v>
      </c>
      <c r="CG68" s="91">
        <v>8000</v>
      </c>
      <c r="CH68" s="91"/>
      <c r="CI68" s="596"/>
      <c r="CJ68" s="91">
        <f>CG68</f>
        <v>8000</v>
      </c>
      <c r="CK68" s="91">
        <f>CJ68</f>
        <v>8000</v>
      </c>
      <c r="CL68" s="91">
        <f t="shared" ref="CL68:CU68" si="130">CK68</f>
        <v>8000</v>
      </c>
      <c r="CM68" s="91">
        <f t="shared" si="130"/>
        <v>8000</v>
      </c>
      <c r="CN68" s="91">
        <f t="shared" si="130"/>
        <v>8000</v>
      </c>
      <c r="CO68" s="91">
        <f t="shared" si="130"/>
        <v>8000</v>
      </c>
      <c r="CP68" s="91">
        <f t="shared" si="130"/>
        <v>8000</v>
      </c>
      <c r="CQ68" s="91">
        <f t="shared" si="130"/>
        <v>8000</v>
      </c>
      <c r="CR68" s="91">
        <f t="shared" si="130"/>
        <v>8000</v>
      </c>
      <c r="CS68" s="91">
        <f t="shared" si="130"/>
        <v>8000</v>
      </c>
      <c r="CT68" s="91">
        <f t="shared" si="130"/>
        <v>8000</v>
      </c>
      <c r="CU68" s="91">
        <f t="shared" si="130"/>
        <v>8000</v>
      </c>
      <c r="CV68" s="91"/>
    </row>
    <row r="69" spans="1:100" ht="15.75" customHeight="1" outlineLevel="1">
      <c r="A69" s="94"/>
      <c r="B69" s="210" t="s">
        <v>93</v>
      </c>
      <c r="C69" s="335"/>
      <c r="D69" s="313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314"/>
      <c r="Q69" s="90"/>
      <c r="R69" s="313"/>
      <c r="S69" s="91">
        <v>15000</v>
      </c>
      <c r="T69" s="91">
        <v>15600</v>
      </c>
      <c r="U69" s="91">
        <v>2000</v>
      </c>
      <c r="V69" s="91">
        <v>10000</v>
      </c>
      <c r="W69" s="91">
        <v>30000</v>
      </c>
      <c r="X69" s="91">
        <v>20000</v>
      </c>
      <c r="Y69" s="91">
        <v>30000</v>
      </c>
      <c r="Z69" s="91">
        <v>30000</v>
      </c>
      <c r="AA69" s="91">
        <v>20000</v>
      </c>
      <c r="AB69" s="91">
        <v>20000</v>
      </c>
      <c r="AC69" s="91">
        <v>10000</v>
      </c>
      <c r="AD69" s="315"/>
      <c r="AE69" s="23"/>
      <c r="AF69" s="316">
        <v>30000</v>
      </c>
      <c r="AG69" s="91">
        <v>20000</v>
      </c>
      <c r="AH69" s="91">
        <v>24960</v>
      </c>
      <c r="AI69" s="91">
        <v>14040</v>
      </c>
      <c r="AJ69" s="91">
        <v>19040</v>
      </c>
      <c r="AK69" s="91">
        <v>12000</v>
      </c>
      <c r="AL69" s="91">
        <v>14000</v>
      </c>
      <c r="AM69" s="91">
        <v>13000</v>
      </c>
      <c r="AN69" s="91">
        <v>13000</v>
      </c>
      <c r="AO69" s="91">
        <v>0</v>
      </c>
      <c r="AP69" s="91">
        <v>0</v>
      </c>
      <c r="AQ69" s="91">
        <v>0</v>
      </c>
      <c r="AR69" s="92">
        <f t="shared" ref="AR69:AR70" si="131">SUM(AF69:AQ69)</f>
        <v>160040</v>
      </c>
      <c r="AS69" s="23"/>
      <c r="AT69" s="91">
        <v>0</v>
      </c>
      <c r="AU69" s="91">
        <v>0</v>
      </c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>
        <f t="shared" ref="BF69:BF70" si="132">SUM(AT69:BE69)</f>
        <v>0</v>
      </c>
      <c r="BG69" s="27">
        <f>BF69-AR69</f>
        <v>-160040</v>
      </c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>
        <f t="shared" ref="BT69" si="133">SUM(BH69:BS69)</f>
        <v>0</v>
      </c>
      <c r="BU69" s="28"/>
      <c r="BV69" s="399">
        <f t="shared" ref="BV69:BZ69" si="134">BV7</f>
        <v>19</v>
      </c>
      <c r="BW69" s="399">
        <f t="shared" si="134"/>
        <v>19</v>
      </c>
      <c r="BX69" s="399">
        <f t="shared" si="134"/>
        <v>21</v>
      </c>
      <c r="BY69" s="399">
        <f t="shared" si="134"/>
        <v>24</v>
      </c>
      <c r="BZ69" s="399">
        <f t="shared" si="134"/>
        <v>23</v>
      </c>
      <c r="CA69" s="399">
        <f>CA7</f>
        <v>22</v>
      </c>
      <c r="CB69" s="399">
        <f t="shared" ref="CB69:CG69" si="135">CB7</f>
        <v>25</v>
      </c>
      <c r="CC69" s="399">
        <f t="shared" si="135"/>
        <v>24</v>
      </c>
      <c r="CD69" s="399">
        <f t="shared" si="135"/>
        <v>24</v>
      </c>
      <c r="CE69" s="399">
        <f t="shared" si="135"/>
        <v>25</v>
      </c>
      <c r="CF69" s="399">
        <f t="shared" si="135"/>
        <v>22</v>
      </c>
      <c r="CG69" s="399">
        <f t="shared" si="135"/>
        <v>15</v>
      </c>
      <c r="CH69" s="91">
        <f t="shared" ref="CH69" si="136">SUM(BV69:CG69)</f>
        <v>263</v>
      </c>
      <c r="CJ69" s="597">
        <f>CJ7</f>
        <v>20</v>
      </c>
      <c r="CK69" s="597">
        <f t="shared" ref="CK69:CO69" si="137">CK7</f>
        <v>20</v>
      </c>
      <c r="CL69" s="597">
        <f t="shared" si="137"/>
        <v>19</v>
      </c>
      <c r="CM69" s="597">
        <f t="shared" si="137"/>
        <v>20</v>
      </c>
      <c r="CN69" s="597">
        <f t="shared" si="137"/>
        <v>21</v>
      </c>
      <c r="CO69" s="597">
        <f t="shared" si="137"/>
        <v>20</v>
      </c>
      <c r="CP69" s="91"/>
      <c r="CQ69" s="91"/>
      <c r="CR69" s="91"/>
      <c r="CS69" s="91"/>
      <c r="CT69" s="91"/>
      <c r="CU69" s="91"/>
      <c r="CV69" s="91">
        <v>131</v>
      </c>
    </row>
    <row r="70" spans="1:100" ht="15.75" customHeight="1" outlineLevel="1">
      <c r="A70" s="94"/>
      <c r="B70" s="210" t="s">
        <v>94</v>
      </c>
      <c r="C70" s="335"/>
      <c r="D70" s="313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314"/>
      <c r="Q70" s="90"/>
      <c r="R70" s="313"/>
      <c r="S70" s="91"/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13500</v>
      </c>
      <c r="Z70" s="91">
        <v>9000</v>
      </c>
      <c r="AA70" s="91">
        <v>9000</v>
      </c>
      <c r="AB70" s="91">
        <v>9000</v>
      </c>
      <c r="AC70" s="91">
        <v>0</v>
      </c>
      <c r="AD70" s="315"/>
      <c r="AE70" s="23"/>
      <c r="AF70" s="91">
        <v>13500</v>
      </c>
      <c r="AG70" s="91">
        <v>13500</v>
      </c>
      <c r="AH70" s="91">
        <v>2820</v>
      </c>
      <c r="AI70" s="91">
        <v>0</v>
      </c>
      <c r="AJ70" s="91">
        <v>0</v>
      </c>
      <c r="AK70" s="91">
        <v>0</v>
      </c>
      <c r="AL70" s="91">
        <v>0</v>
      </c>
      <c r="AM70" s="91"/>
      <c r="AN70" s="91"/>
      <c r="AO70" s="91"/>
      <c r="AP70" s="91"/>
      <c r="AQ70" s="91"/>
      <c r="AR70" s="92">
        <f t="shared" si="131"/>
        <v>29820</v>
      </c>
      <c r="AS70" s="23"/>
      <c r="AT70" s="91"/>
      <c r="AU70" s="91"/>
      <c r="AV70" s="91"/>
      <c r="AW70" s="91">
        <v>4000</v>
      </c>
      <c r="AX70" s="91">
        <v>8000</v>
      </c>
      <c r="AY70" s="91">
        <v>5000</v>
      </c>
      <c r="AZ70" s="91">
        <v>10000</v>
      </c>
      <c r="BA70" s="91">
        <v>10000</v>
      </c>
      <c r="BB70" s="91">
        <v>0</v>
      </c>
      <c r="BC70" s="91">
        <v>0</v>
      </c>
      <c r="BD70" s="91">
        <v>0</v>
      </c>
      <c r="BE70" s="91"/>
      <c r="BF70" s="91">
        <f t="shared" si="132"/>
        <v>37000</v>
      </c>
      <c r="BG70" s="27"/>
      <c r="BH70" s="91">
        <v>3000</v>
      </c>
      <c r="BI70" s="91"/>
      <c r="BJ70" s="91"/>
      <c r="BK70" s="91"/>
      <c r="BL70" s="91"/>
      <c r="BM70" s="91"/>
      <c r="BN70" s="91"/>
      <c r="BO70" s="91">
        <v>10000</v>
      </c>
      <c r="BP70" s="91">
        <v>15000</v>
      </c>
      <c r="BQ70" s="91">
        <v>20000</v>
      </c>
      <c r="BR70" s="91">
        <v>15000</v>
      </c>
      <c r="BS70" s="91">
        <f>7200*9/2</f>
        <v>32400</v>
      </c>
      <c r="BT70" s="91">
        <f>SUM(BH70:BS70)</f>
        <v>95400</v>
      </c>
      <c r="BU70" s="28"/>
      <c r="BV70" s="91">
        <f>BV72-BV66</f>
        <v>21584</v>
      </c>
      <c r="BW70" s="91">
        <f t="shared" ref="BW70:CG70" si="138">BW72-BW66</f>
        <v>18963</v>
      </c>
      <c r="BX70" s="91">
        <f t="shared" si="138"/>
        <v>-2354</v>
      </c>
      <c r="BY70" s="91">
        <f t="shared" si="138"/>
        <v>5998</v>
      </c>
      <c r="BZ70" s="91">
        <f t="shared" si="138"/>
        <v>-13737</v>
      </c>
      <c r="CA70" s="91">
        <f t="shared" si="138"/>
        <v>-6090</v>
      </c>
      <c r="CB70" s="91">
        <f t="shared" si="138"/>
        <v>-2176</v>
      </c>
      <c r="CC70" s="91">
        <f t="shared" si="138"/>
        <v>-17344</v>
      </c>
      <c r="CD70" s="91">
        <f t="shared" si="138"/>
        <v>-13369</v>
      </c>
      <c r="CE70" s="91">
        <f t="shared" si="138"/>
        <v>-180000</v>
      </c>
      <c r="CF70" s="91">
        <f t="shared" si="138"/>
        <v>-158400</v>
      </c>
      <c r="CG70" s="91">
        <f t="shared" si="138"/>
        <v>-120000</v>
      </c>
      <c r="CH70" s="92">
        <f>SUM(CD70:CG70)</f>
        <v>-471769</v>
      </c>
      <c r="CJ70" s="91">
        <f>BV72</f>
        <v>154584</v>
      </c>
      <c r="CK70" s="91">
        <f t="shared" ref="CK70:CO70" si="139">BW72</f>
        <v>151963</v>
      </c>
      <c r="CL70" s="91">
        <f t="shared" si="139"/>
        <v>144646</v>
      </c>
      <c r="CM70" s="91">
        <f t="shared" si="139"/>
        <v>178798</v>
      </c>
      <c r="CN70" s="91">
        <f t="shared" si="139"/>
        <v>151863</v>
      </c>
      <c r="CO70" s="91">
        <f t="shared" si="139"/>
        <v>152310</v>
      </c>
      <c r="CP70" s="91"/>
      <c r="CQ70" s="91"/>
      <c r="CR70" s="91"/>
      <c r="CS70" s="91"/>
      <c r="CT70" s="91"/>
      <c r="CU70" s="91"/>
      <c r="CV70" s="91">
        <v>127800</v>
      </c>
    </row>
    <row r="71" spans="1:100" ht="15.75" customHeight="1" outlineLevel="1">
      <c r="A71" s="94"/>
      <c r="B71" s="210" t="s">
        <v>283</v>
      </c>
      <c r="C71" s="335"/>
      <c r="D71" s="313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314"/>
      <c r="Q71" s="90"/>
      <c r="R71" s="313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315"/>
      <c r="AE71" s="23"/>
      <c r="AF71" s="91"/>
      <c r="AG71" s="91"/>
      <c r="AH71" s="91"/>
      <c r="AI71" s="91"/>
      <c r="AJ71" s="91"/>
      <c r="AK71" s="91"/>
      <c r="AL71" s="91"/>
      <c r="AM71" s="91"/>
      <c r="AN71" s="91"/>
      <c r="AO71" s="91">
        <f t="shared" ref="AO71:AQ71" si="140">AO66*9.68</f>
        <v>1355200</v>
      </c>
      <c r="AP71" s="91">
        <f t="shared" si="140"/>
        <v>1258400</v>
      </c>
      <c r="AQ71" s="91">
        <f t="shared" si="140"/>
        <v>968000</v>
      </c>
      <c r="AR71" s="92"/>
      <c r="AS71" s="23"/>
      <c r="AT71" s="91">
        <f t="shared" ref="AT71:BF71" si="141">AT66*9.68</f>
        <v>1287440</v>
      </c>
      <c r="AU71" s="91">
        <f t="shared" si="141"/>
        <v>1211742.3999999999</v>
      </c>
      <c r="AV71" s="91">
        <f t="shared" si="141"/>
        <v>1134767.04</v>
      </c>
      <c r="AW71" s="91">
        <f t="shared" si="141"/>
        <v>1234200</v>
      </c>
      <c r="AX71" s="91">
        <f t="shared" si="141"/>
        <v>1355200</v>
      </c>
      <c r="AY71" s="91">
        <f t="shared" si="141"/>
        <v>1532760.2399903198</v>
      </c>
      <c r="AZ71" s="91">
        <f t="shared" si="141"/>
        <v>1475319.1199999999</v>
      </c>
      <c r="BA71" s="91">
        <f t="shared" si="141"/>
        <v>1679673.5999999999</v>
      </c>
      <c r="BB71" s="91">
        <f t="shared" si="141"/>
        <v>1597200</v>
      </c>
      <c r="BC71" s="91">
        <f t="shared" si="141"/>
        <v>1524600</v>
      </c>
      <c r="BD71" s="91">
        <f t="shared" si="141"/>
        <v>1252892.08</v>
      </c>
      <c r="BE71" s="91">
        <f t="shared" si="141"/>
        <v>597256</v>
      </c>
      <c r="BF71" s="91">
        <f t="shared" si="141"/>
        <v>15883050.47999032</v>
      </c>
      <c r="BG71" s="27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28"/>
      <c r="BV71" s="91"/>
      <c r="BW71" s="91"/>
      <c r="BX71" s="91"/>
      <c r="BY71" s="91"/>
      <c r="BZ71" s="91"/>
      <c r="CA71" s="91"/>
      <c r="CB71" s="91"/>
      <c r="CC71" s="91"/>
      <c r="CD71" s="91" t="s">
        <v>96</v>
      </c>
      <c r="CE71" s="91"/>
      <c r="CF71" s="601" t="s">
        <v>97</v>
      </c>
      <c r="CG71" s="91"/>
      <c r="CH71" s="91"/>
      <c r="CJ71" s="91"/>
      <c r="CK71" s="91"/>
      <c r="CL71" s="91"/>
      <c r="CM71" s="91"/>
      <c r="CN71" s="91"/>
      <c r="CO71" s="91"/>
      <c r="CP71" s="91"/>
      <c r="CQ71" s="91"/>
      <c r="CR71" s="91"/>
      <c r="CS71" s="91"/>
      <c r="CT71" s="91"/>
      <c r="CU71" s="91"/>
      <c r="CV71" s="91"/>
    </row>
    <row r="72" spans="1:100">
      <c r="A72" s="110" t="s">
        <v>99</v>
      </c>
      <c r="B72" s="340" t="s">
        <v>100</v>
      </c>
      <c r="C72" s="341"/>
      <c r="D72" s="342">
        <v>95972</v>
      </c>
      <c r="E72" s="111">
        <v>130805</v>
      </c>
      <c r="F72" s="111">
        <v>121914</v>
      </c>
      <c r="G72" s="111">
        <v>165455</v>
      </c>
      <c r="H72" s="111">
        <v>192013</v>
      </c>
      <c r="I72" s="111">
        <v>167281</v>
      </c>
      <c r="J72" s="111">
        <v>181409</v>
      </c>
      <c r="K72" s="111">
        <v>163138</v>
      </c>
      <c r="L72" s="111">
        <v>169051</v>
      </c>
      <c r="M72" s="111">
        <v>183254</v>
      </c>
      <c r="N72" s="111"/>
      <c r="O72" s="111"/>
      <c r="P72" s="343">
        <f>SUM(D72:O72)</f>
        <v>1570292</v>
      </c>
      <c r="Q72" s="84"/>
      <c r="R72" s="342">
        <v>149582</v>
      </c>
      <c r="S72" s="112">
        <v>152735</v>
      </c>
      <c r="T72" s="112">
        <v>107681</v>
      </c>
      <c r="U72" s="112">
        <v>2974</v>
      </c>
      <c r="V72" s="112">
        <v>32639</v>
      </c>
      <c r="W72" s="112">
        <v>153121</v>
      </c>
      <c r="X72" s="112">
        <v>198635</v>
      </c>
      <c r="Y72" s="112">
        <v>160489</v>
      </c>
      <c r="Z72" s="112">
        <v>160893</v>
      </c>
      <c r="AA72" s="112">
        <v>180999</v>
      </c>
      <c r="AB72" s="112">
        <v>167265</v>
      </c>
      <c r="AC72" s="112">
        <v>135424</v>
      </c>
      <c r="AD72" s="344">
        <f>SUM(R72:AC72)</f>
        <v>1602437</v>
      </c>
      <c r="AE72" s="113"/>
      <c r="AF72" s="345">
        <v>145616</v>
      </c>
      <c r="AG72" s="112">
        <v>168450</v>
      </c>
      <c r="AH72" s="112">
        <v>153291</v>
      </c>
      <c r="AI72" s="112">
        <v>149378</v>
      </c>
      <c r="AJ72" s="112">
        <v>196360</v>
      </c>
      <c r="AK72" s="112">
        <v>170558</v>
      </c>
      <c r="AL72" s="112">
        <v>171758</v>
      </c>
      <c r="AM72" s="112">
        <f t="shared" ref="AM72:AQ72" si="142">SUM(AM73:AM74)</f>
        <v>168974</v>
      </c>
      <c r="AN72" s="112">
        <f t="shared" si="142"/>
        <v>144792</v>
      </c>
      <c r="AO72" s="112">
        <f t="shared" si="142"/>
        <v>141375</v>
      </c>
      <c r="AP72" s="112">
        <f t="shared" si="142"/>
        <v>143221</v>
      </c>
      <c r="AQ72" s="112">
        <f t="shared" si="142"/>
        <v>85543</v>
      </c>
      <c r="AR72" s="112">
        <f t="shared" ref="AR72:AR76" si="143">SUM(AF72:AQ72)</f>
        <v>1839316</v>
      </c>
      <c r="AS72" s="23"/>
      <c r="AT72" s="112">
        <f t="shared" ref="AT72:BE72" si="144">SUM(AT73:AT74)</f>
        <v>120211</v>
      </c>
      <c r="AU72" s="112">
        <f t="shared" si="144"/>
        <v>120216</v>
      </c>
      <c r="AV72" s="112">
        <f t="shared" si="144"/>
        <v>101053</v>
      </c>
      <c r="AW72" s="112">
        <f t="shared" si="144"/>
        <v>137388</v>
      </c>
      <c r="AX72" s="112">
        <f t="shared" si="144"/>
        <v>137400</v>
      </c>
      <c r="AY72" s="112">
        <f t="shared" si="144"/>
        <v>135412</v>
      </c>
      <c r="AZ72" s="112">
        <f t="shared" si="144"/>
        <v>157032</v>
      </c>
      <c r="BA72" s="112">
        <f t="shared" si="144"/>
        <v>173287</v>
      </c>
      <c r="BB72" s="114">
        <f t="shared" si="144"/>
        <v>166815</v>
      </c>
      <c r="BC72" s="114">
        <f t="shared" si="144"/>
        <v>153816</v>
      </c>
      <c r="BD72" s="114">
        <f t="shared" si="144"/>
        <v>138051</v>
      </c>
      <c r="BE72" s="114">
        <f t="shared" si="144"/>
        <v>55950</v>
      </c>
      <c r="BF72" s="114">
        <f t="shared" ref="BF72:BF76" si="145">SUM(AT72:BE72)</f>
        <v>1596631</v>
      </c>
      <c r="BG72" s="93">
        <f>BF72/AR72-1</f>
        <v>-0.1319430701412917</v>
      </c>
      <c r="BH72" s="112">
        <f t="shared" ref="BH72:BQ72" si="146">SUM(BH73:BH74)</f>
        <v>138562</v>
      </c>
      <c r="BI72" s="112">
        <f t="shared" si="146"/>
        <v>109391</v>
      </c>
      <c r="BJ72" s="112">
        <f t="shared" si="146"/>
        <v>160056</v>
      </c>
      <c r="BK72" s="112">
        <f t="shared" si="146"/>
        <v>124826</v>
      </c>
      <c r="BL72" s="112">
        <f t="shared" si="146"/>
        <v>151185</v>
      </c>
      <c r="BM72" s="112">
        <f t="shared" si="146"/>
        <v>134688</v>
      </c>
      <c r="BN72" s="112">
        <f t="shared" si="146"/>
        <v>157005</v>
      </c>
      <c r="BO72" s="112">
        <f t="shared" si="146"/>
        <v>151231</v>
      </c>
      <c r="BP72" s="112">
        <f t="shared" si="146"/>
        <v>143335</v>
      </c>
      <c r="BQ72" s="112">
        <f t="shared" si="146"/>
        <v>159215</v>
      </c>
      <c r="BR72" s="112"/>
      <c r="BS72" s="112"/>
      <c r="BT72" s="112">
        <f t="shared" ref="BT72:BT76" si="147">SUM(BH72:BS72)</f>
        <v>1429494</v>
      </c>
      <c r="BU72" s="18"/>
      <c r="BV72" s="112">
        <v>154584</v>
      </c>
      <c r="BW72" s="112">
        <v>151963</v>
      </c>
      <c r="BX72" s="112">
        <v>144646</v>
      </c>
      <c r="BY72" s="112">
        <v>178798</v>
      </c>
      <c r="BZ72" s="112">
        <v>151863</v>
      </c>
      <c r="CA72" s="112">
        <v>152310</v>
      </c>
      <c r="CB72" s="112">
        <f>CB73+CB74</f>
        <v>177824</v>
      </c>
      <c r="CC72" s="112">
        <f t="shared" ref="CC72:CJ72" si="148">CC73+CC74</f>
        <v>155456</v>
      </c>
      <c r="CD72" s="112">
        <f t="shared" si="148"/>
        <v>159431</v>
      </c>
      <c r="CE72" s="112">
        <f t="shared" si="148"/>
        <v>0</v>
      </c>
      <c r="CF72" s="112">
        <f t="shared" si="148"/>
        <v>0</v>
      </c>
      <c r="CG72" s="112">
        <f t="shared" si="148"/>
        <v>0</v>
      </c>
      <c r="CH72" s="112">
        <f t="shared" ref="CH72" si="149">SUM(BV72:CG72)</f>
        <v>1426875</v>
      </c>
      <c r="CJ72" s="112"/>
      <c r="CK72" s="112"/>
      <c r="CL72" s="112"/>
      <c r="CM72" s="112"/>
      <c r="CN72" s="112"/>
      <c r="CO72" s="112"/>
      <c r="CP72" s="112"/>
      <c r="CQ72" s="112"/>
      <c r="CR72" s="112"/>
      <c r="CS72" s="112"/>
      <c r="CT72" s="112"/>
      <c r="CU72" s="112"/>
      <c r="CV72" s="112"/>
    </row>
    <row r="73" spans="1:100" ht="15.75" customHeight="1">
      <c r="A73" s="115"/>
      <c r="B73" s="346" t="s">
        <v>101</v>
      </c>
      <c r="C73" s="347"/>
      <c r="D73" s="265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66"/>
      <c r="Q73" s="116"/>
      <c r="R73" s="265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67"/>
      <c r="AE73" s="23"/>
      <c r="AF73" s="348">
        <v>126362</v>
      </c>
      <c r="AG73" s="22">
        <v>153970</v>
      </c>
      <c r="AH73" s="22">
        <v>128331</v>
      </c>
      <c r="AI73" s="22">
        <v>135338</v>
      </c>
      <c r="AJ73" s="22">
        <v>177312</v>
      </c>
      <c r="AK73" s="22">
        <v>150818</v>
      </c>
      <c r="AL73" s="22">
        <v>158858</v>
      </c>
      <c r="AM73" s="22">
        <v>153933</v>
      </c>
      <c r="AN73" s="22">
        <v>134244</v>
      </c>
      <c r="AO73" s="22">
        <v>137435</v>
      </c>
      <c r="AP73" s="22">
        <v>143221</v>
      </c>
      <c r="AQ73" s="22">
        <v>85543</v>
      </c>
      <c r="AR73" s="117">
        <f t="shared" si="143"/>
        <v>1685365</v>
      </c>
      <c r="AS73" s="23"/>
      <c r="AT73" s="22">
        <v>120211</v>
      </c>
      <c r="AU73" s="22">
        <v>120216</v>
      </c>
      <c r="AV73" s="22">
        <v>101053</v>
      </c>
      <c r="AW73" s="22">
        <v>137388</v>
      </c>
      <c r="AX73" s="22">
        <v>137400</v>
      </c>
      <c r="AY73" s="22">
        <v>135412</v>
      </c>
      <c r="AZ73" s="22">
        <v>157032</v>
      </c>
      <c r="BA73" s="22">
        <v>172227</v>
      </c>
      <c r="BB73" s="22">
        <f>157995+8500</f>
        <v>166495</v>
      </c>
      <c r="BC73" s="22">
        <v>153816</v>
      </c>
      <c r="BD73" s="22">
        <v>138051</v>
      </c>
      <c r="BE73" s="22">
        <v>55950</v>
      </c>
      <c r="BF73" s="22">
        <f t="shared" si="145"/>
        <v>1595251</v>
      </c>
      <c r="BG73" s="27"/>
      <c r="BH73" s="22">
        <v>138562</v>
      </c>
      <c r="BI73" s="22">
        <v>109391</v>
      </c>
      <c r="BJ73" s="22">
        <v>160056</v>
      </c>
      <c r="BK73" s="22">
        <v>124826</v>
      </c>
      <c r="BL73" s="22">
        <v>151185</v>
      </c>
      <c r="BM73" s="22">
        <v>134688</v>
      </c>
      <c r="BN73" s="22">
        <v>157005</v>
      </c>
      <c r="BO73" s="22">
        <v>151231</v>
      </c>
      <c r="BP73" s="22">
        <v>143335</v>
      </c>
      <c r="BQ73" s="22">
        <v>159215</v>
      </c>
      <c r="BR73" s="22"/>
      <c r="BS73" s="22"/>
      <c r="BT73" s="22">
        <f t="shared" si="147"/>
        <v>1429494</v>
      </c>
      <c r="BU73" s="28"/>
      <c r="BV73" s="22">
        <v>154584</v>
      </c>
      <c r="BW73" s="22">
        <v>151963</v>
      </c>
      <c r="BX73" s="22">
        <v>144646</v>
      </c>
      <c r="BY73" s="22">
        <v>178798</v>
      </c>
      <c r="BZ73" s="22">
        <v>151863</v>
      </c>
      <c r="CA73" s="22">
        <v>152310</v>
      </c>
      <c r="CB73" s="22">
        <v>177824</v>
      </c>
      <c r="CC73" s="22">
        <v>155456</v>
      </c>
      <c r="CD73" s="22">
        <v>159431</v>
      </c>
      <c r="CE73" s="22"/>
      <c r="CF73" s="22"/>
      <c r="CG73" s="22"/>
      <c r="CH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</row>
    <row r="74" spans="1:100" ht="15.75" customHeight="1">
      <c r="A74" s="115"/>
      <c r="B74" s="346" t="s">
        <v>102</v>
      </c>
      <c r="C74" s="347"/>
      <c r="D74" s="265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66"/>
      <c r="Q74" s="116"/>
      <c r="R74" s="265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67"/>
      <c r="AE74" s="23"/>
      <c r="AF74" s="22">
        <f t="shared" ref="AF74:AL74" si="150">AF72-AF73</f>
        <v>19254</v>
      </c>
      <c r="AG74" s="22">
        <f t="shared" si="150"/>
        <v>14480</v>
      </c>
      <c r="AH74" s="22">
        <f t="shared" si="150"/>
        <v>24960</v>
      </c>
      <c r="AI74" s="22">
        <f t="shared" si="150"/>
        <v>14040</v>
      </c>
      <c r="AJ74" s="22">
        <f t="shared" si="150"/>
        <v>19048</v>
      </c>
      <c r="AK74" s="22">
        <f t="shared" si="150"/>
        <v>19740</v>
      </c>
      <c r="AL74" s="22">
        <f t="shared" si="150"/>
        <v>12900</v>
      </c>
      <c r="AM74" s="22">
        <v>15041</v>
      </c>
      <c r="AN74" s="22">
        <v>10548</v>
      </c>
      <c r="AO74" s="22">
        <v>3940</v>
      </c>
      <c r="AP74" s="22">
        <v>0</v>
      </c>
      <c r="AQ74" s="22">
        <v>0</v>
      </c>
      <c r="AR74" s="117">
        <f t="shared" si="143"/>
        <v>153951</v>
      </c>
      <c r="AS74" s="23"/>
      <c r="AT74" s="22">
        <v>0</v>
      </c>
      <c r="AU74" s="22">
        <v>0</v>
      </c>
      <c r="AV74" s="22">
        <v>0</v>
      </c>
      <c r="AW74" s="22">
        <v>0</v>
      </c>
      <c r="AX74" s="22">
        <v>0</v>
      </c>
      <c r="AY74" s="22">
        <v>0</v>
      </c>
      <c r="AZ74" s="22">
        <v>0</v>
      </c>
      <c r="BA74" s="22">
        <v>1060</v>
      </c>
      <c r="BB74" s="22">
        <v>320</v>
      </c>
      <c r="BC74" s="22">
        <v>0</v>
      </c>
      <c r="BD74" s="22">
        <v>0</v>
      </c>
      <c r="BE74" s="22"/>
      <c r="BF74" s="22">
        <f t="shared" si="145"/>
        <v>1380</v>
      </c>
      <c r="BG74" s="27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>
        <f t="shared" si="147"/>
        <v>0</v>
      </c>
      <c r="BU74" s="28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J74" s="22"/>
      <c r="CK74" s="22"/>
      <c r="CL74" s="22"/>
      <c r="CM74" s="22"/>
    </row>
    <row r="75" spans="1:100" ht="15.75">
      <c r="A75" s="103" t="s">
        <v>103</v>
      </c>
      <c r="B75" s="337"/>
      <c r="C75" s="330"/>
      <c r="D75" s="331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332"/>
      <c r="Q75" s="105"/>
      <c r="R75" s="333"/>
      <c r="S75" s="333"/>
      <c r="T75" s="333"/>
      <c r="U75" s="333"/>
      <c r="V75" s="333"/>
      <c r="W75" s="333"/>
      <c r="X75" s="333"/>
      <c r="Y75" s="333"/>
      <c r="Z75" s="333"/>
      <c r="AA75" s="333"/>
      <c r="AB75" s="333"/>
      <c r="AC75" s="333"/>
      <c r="AD75" s="334"/>
      <c r="AE75" s="106"/>
      <c r="AF75" s="333">
        <f t="shared" ref="AF75:AQ75" si="151">AF72-AF66</f>
        <v>-15784</v>
      </c>
      <c r="AG75" s="333">
        <f t="shared" si="151"/>
        <v>2450</v>
      </c>
      <c r="AH75" s="333">
        <f t="shared" si="151"/>
        <v>2820</v>
      </c>
      <c r="AI75" s="333">
        <f t="shared" si="151"/>
        <v>338</v>
      </c>
      <c r="AJ75" s="333">
        <f t="shared" si="151"/>
        <v>0</v>
      </c>
      <c r="AK75" s="333">
        <f t="shared" si="151"/>
        <v>7258</v>
      </c>
      <c r="AL75" s="333">
        <f t="shared" si="151"/>
        <v>-18242</v>
      </c>
      <c r="AM75" s="333">
        <f t="shared" si="151"/>
        <v>1974</v>
      </c>
      <c r="AN75" s="333">
        <f t="shared" si="151"/>
        <v>-25708</v>
      </c>
      <c r="AO75" s="333">
        <f t="shared" si="151"/>
        <v>1375</v>
      </c>
      <c r="AP75" s="333">
        <f t="shared" si="151"/>
        <v>13221</v>
      </c>
      <c r="AQ75" s="333">
        <f t="shared" si="151"/>
        <v>-14457</v>
      </c>
      <c r="AR75" s="107">
        <f t="shared" si="143"/>
        <v>-44755</v>
      </c>
      <c r="AS75" s="106"/>
      <c r="AT75" s="333">
        <f t="shared" ref="AT75:BE75" si="152">AT72-AT66</f>
        <v>-12789</v>
      </c>
      <c r="AU75" s="333">
        <f t="shared" si="152"/>
        <v>-4964</v>
      </c>
      <c r="AV75" s="333">
        <f t="shared" si="152"/>
        <v>-16175</v>
      </c>
      <c r="AW75" s="333">
        <f t="shared" si="152"/>
        <v>9888</v>
      </c>
      <c r="AX75" s="333">
        <f t="shared" si="152"/>
        <v>-2600</v>
      </c>
      <c r="AY75" s="333">
        <f t="shared" si="152"/>
        <v>-22930.999998999992</v>
      </c>
      <c r="AZ75" s="333">
        <f t="shared" si="152"/>
        <v>4623</v>
      </c>
      <c r="BA75" s="333">
        <f t="shared" si="152"/>
        <v>-233</v>
      </c>
      <c r="BB75" s="333">
        <f t="shared" si="152"/>
        <v>1815</v>
      </c>
      <c r="BC75" s="333">
        <f t="shared" si="152"/>
        <v>-3684</v>
      </c>
      <c r="BD75" s="333">
        <f t="shared" si="152"/>
        <v>8620</v>
      </c>
      <c r="BE75" s="333">
        <f t="shared" si="152"/>
        <v>-5750</v>
      </c>
      <c r="BF75" s="108">
        <f t="shared" si="145"/>
        <v>-44179.999998999992</v>
      </c>
      <c r="BG75" s="106"/>
      <c r="BH75" s="333">
        <f t="shared" ref="BH75:BQ75" si="153">BH72-BH66</f>
        <v>-1198</v>
      </c>
      <c r="BI75" s="333">
        <f t="shared" si="153"/>
        <v>-7189</v>
      </c>
      <c r="BJ75" s="333">
        <f t="shared" si="153"/>
        <v>11716</v>
      </c>
      <c r="BK75" s="333">
        <f t="shared" si="153"/>
        <v>12466</v>
      </c>
      <c r="BL75" s="333">
        <f t="shared" si="153"/>
        <v>42525</v>
      </c>
      <c r="BM75" s="333">
        <f t="shared" si="153"/>
        <v>-18728</v>
      </c>
      <c r="BN75" s="333">
        <f t="shared" si="153"/>
        <v>19329</v>
      </c>
      <c r="BO75" s="333">
        <f t="shared" si="153"/>
        <v>-9423</v>
      </c>
      <c r="BP75" s="333">
        <f t="shared" si="153"/>
        <v>-13665</v>
      </c>
      <c r="BQ75" s="333">
        <f t="shared" si="153"/>
        <v>2490</v>
      </c>
      <c r="BR75" s="108"/>
      <c r="BS75" s="108"/>
      <c r="BT75" s="108">
        <f t="shared" si="147"/>
        <v>38323</v>
      </c>
      <c r="BU75" s="28"/>
      <c r="BV75" s="333"/>
      <c r="BW75" s="333"/>
      <c r="BX75" s="333"/>
      <c r="BY75" s="333">
        <f>BY72-BY66</f>
        <v>5998</v>
      </c>
      <c r="BZ75" s="333">
        <f t="shared" ref="BZ75:CG75" si="154">BZ72-BZ66</f>
        <v>-13737</v>
      </c>
      <c r="CA75" s="333">
        <f t="shared" si="154"/>
        <v>-6090</v>
      </c>
      <c r="CB75" s="333">
        <f t="shared" si="154"/>
        <v>-2176</v>
      </c>
      <c r="CC75" s="333">
        <f t="shared" si="154"/>
        <v>-17344</v>
      </c>
      <c r="CD75" s="333">
        <f t="shared" si="154"/>
        <v>-13369</v>
      </c>
      <c r="CE75" s="333">
        <f t="shared" si="154"/>
        <v>-180000</v>
      </c>
      <c r="CF75" s="333">
        <f t="shared" si="154"/>
        <v>-158400</v>
      </c>
      <c r="CG75" s="333">
        <f t="shared" si="154"/>
        <v>-120000</v>
      </c>
      <c r="CJ75" s="333">
        <v>-133000</v>
      </c>
      <c r="CK75" s="333">
        <v>-133000</v>
      </c>
      <c r="CL75" s="333">
        <v>-147000</v>
      </c>
      <c r="CM75" s="333">
        <v>-180000</v>
      </c>
    </row>
    <row r="76" spans="1:100" ht="14.25" customHeight="1">
      <c r="A76" s="55" t="s">
        <v>104</v>
      </c>
      <c r="B76" s="56"/>
      <c r="C76" s="280"/>
      <c r="D76" s="288" t="e">
        <f t="shared" ref="D76:F76" si="155">#REF!-#REF!</f>
        <v>#REF!</v>
      </c>
      <c r="E76" s="57" t="e">
        <f t="shared" si="155"/>
        <v>#REF!</v>
      </c>
      <c r="F76" s="57" t="e">
        <f t="shared" si="155"/>
        <v>#REF!</v>
      </c>
      <c r="G76" s="57" t="e">
        <f t="shared" ref="G76:I76" si="156">G66-#REF!</f>
        <v>#REF!</v>
      </c>
      <c r="H76" s="57" t="e">
        <f t="shared" si="156"/>
        <v>#REF!</v>
      </c>
      <c r="I76" s="57" t="e">
        <f t="shared" si="156"/>
        <v>#REF!</v>
      </c>
      <c r="J76" s="57" t="e">
        <f t="shared" ref="J76:K76" si="157">#REF!-#REF!</f>
        <v>#REF!</v>
      </c>
      <c r="K76" s="57" t="e">
        <f t="shared" si="157"/>
        <v>#REF!</v>
      </c>
      <c r="L76" s="57">
        <f>L66-L23</f>
        <v>-24911</v>
      </c>
      <c r="M76" s="57">
        <f>M66-M23</f>
        <v>-13674</v>
      </c>
      <c r="N76" s="57">
        <f>N66-N23</f>
        <v>57632</v>
      </c>
      <c r="O76" s="57">
        <f>O66-O23</f>
        <v>74079</v>
      </c>
      <c r="P76" s="289" t="e">
        <f>SUM(D76:O76)</f>
        <v>#REF!</v>
      </c>
      <c r="Q76" s="39"/>
      <c r="R76" s="288">
        <f t="shared" ref="R76:AD76" si="158">R66-R23</f>
        <v>22222.660017050745</v>
      </c>
      <c r="S76" s="58">
        <f t="shared" si="158"/>
        <v>17159.673608830723</v>
      </c>
      <c r="T76" s="58">
        <f t="shared" si="158"/>
        <v>-24753.77192982455</v>
      </c>
      <c r="U76" s="58">
        <f t="shared" si="158"/>
        <v>-17814.899999999998</v>
      </c>
      <c r="V76" s="58">
        <f t="shared" si="158"/>
        <v>1715</v>
      </c>
      <c r="W76" s="290">
        <f t="shared" si="158"/>
        <v>120430.6180497602</v>
      </c>
      <c r="X76" s="290">
        <f t="shared" si="158"/>
        <v>43436.666666667006</v>
      </c>
      <c r="Y76" s="290">
        <f t="shared" si="158"/>
        <v>-29747.083333333314</v>
      </c>
      <c r="Z76" s="290">
        <f t="shared" si="158"/>
        <v>-80887.5</v>
      </c>
      <c r="AA76" s="290">
        <f t="shared" si="158"/>
        <v>10200</v>
      </c>
      <c r="AB76" s="290">
        <f t="shared" si="158"/>
        <v>137500</v>
      </c>
      <c r="AC76" s="290">
        <f t="shared" si="158"/>
        <v>134100</v>
      </c>
      <c r="AD76" s="291">
        <f t="shared" si="158"/>
        <v>333561.36307915067</v>
      </c>
      <c r="AE76" s="59"/>
      <c r="AF76" s="292">
        <f t="shared" ref="AF76:AQ76" si="159">AF66-AF23</f>
        <v>32754</v>
      </c>
      <c r="AG76" s="58">
        <f t="shared" si="159"/>
        <v>-11977</v>
      </c>
      <c r="AH76" s="58">
        <f t="shared" si="159"/>
        <v>76847</v>
      </c>
      <c r="AI76" s="58">
        <f t="shared" si="159"/>
        <v>59682</v>
      </c>
      <c r="AJ76" s="58">
        <f t="shared" si="159"/>
        <v>74226</v>
      </c>
      <c r="AK76" s="58">
        <f t="shared" si="159"/>
        <v>14740</v>
      </c>
      <c r="AL76" s="58">
        <f t="shared" si="159"/>
        <v>38005</v>
      </c>
      <c r="AM76" s="58">
        <f t="shared" si="159"/>
        <v>-71903</v>
      </c>
      <c r="AN76" s="58">
        <f t="shared" si="159"/>
        <v>-90633.333333333343</v>
      </c>
      <c r="AO76" s="58">
        <f t="shared" si="159"/>
        <v>-115900</v>
      </c>
      <c r="AP76" s="58">
        <f t="shared" si="159"/>
        <v>1360</v>
      </c>
      <c r="AQ76" s="58">
        <f t="shared" si="159"/>
        <v>2160</v>
      </c>
      <c r="AR76" s="58">
        <f t="shared" si="143"/>
        <v>9360.666666666657</v>
      </c>
      <c r="AS76" s="59"/>
      <c r="AT76" s="58">
        <f t="shared" ref="AT76:BE76" si="160">AT66-AT23</f>
        <v>-19749.25</v>
      </c>
      <c r="AU76" s="58">
        <f t="shared" si="160"/>
        <v>-43342.103448275855</v>
      </c>
      <c r="AV76" s="58">
        <f t="shared" si="160"/>
        <v>-36893.137931034493</v>
      </c>
      <c r="AW76" s="58">
        <f t="shared" si="160"/>
        <v>-32095.137931034493</v>
      </c>
      <c r="AX76" s="58">
        <f t="shared" si="160"/>
        <v>19900.034482758623</v>
      </c>
      <c r="AY76" s="58">
        <f t="shared" si="160"/>
        <v>19999.222221222211</v>
      </c>
      <c r="AZ76" s="58">
        <f t="shared" si="160"/>
        <v>-14264.777777777781</v>
      </c>
      <c r="BA76" s="58">
        <f t="shared" si="160"/>
        <v>-68922.296296296292</v>
      </c>
      <c r="BB76" s="58">
        <f t="shared" si="160"/>
        <v>-78407.777777777781</v>
      </c>
      <c r="BC76" s="58">
        <f t="shared" si="160"/>
        <v>-95868.290755657828</v>
      </c>
      <c r="BD76" s="58">
        <f t="shared" si="160"/>
        <v>-5124.586881472962</v>
      </c>
      <c r="BE76" s="58">
        <f t="shared" si="160"/>
        <v>-10986.612965093984</v>
      </c>
      <c r="BF76" s="58">
        <f t="shared" si="145"/>
        <v>-365754.71506044065</v>
      </c>
      <c r="BG76" s="59"/>
      <c r="BH76" s="58">
        <f t="shared" ref="BH76:BQ76" si="161">BH66-BH23</f>
        <v>-12993</v>
      </c>
      <c r="BI76" s="58">
        <f t="shared" si="161"/>
        <v>-30242.333333333314</v>
      </c>
      <c r="BJ76" s="58">
        <f t="shared" si="161"/>
        <v>-23206.074074074073</v>
      </c>
      <c r="BK76" s="58">
        <f t="shared" si="161"/>
        <v>-47411.74074074073</v>
      </c>
      <c r="BL76" s="58">
        <f t="shared" si="161"/>
        <v>-23836.851851851854</v>
      </c>
      <c r="BM76" s="58">
        <f t="shared" si="161"/>
        <v>23509.740740740745</v>
      </c>
      <c r="BN76" s="58">
        <f t="shared" si="161"/>
        <v>-33707.555555555562</v>
      </c>
      <c r="BO76" s="58">
        <f t="shared" si="161"/>
        <v>-18896.378111111087</v>
      </c>
      <c r="BP76" s="58">
        <f t="shared" si="161"/>
        <v>-45053.749537037045</v>
      </c>
      <c r="BQ76" s="58">
        <f t="shared" si="161"/>
        <v>-7140</v>
      </c>
      <c r="BR76" s="58"/>
      <c r="BS76" s="58"/>
      <c r="BT76" s="58">
        <f t="shared" si="147"/>
        <v>-218977.94246296291</v>
      </c>
      <c r="BU76" s="60"/>
      <c r="BV76" s="58"/>
      <c r="BW76" s="58"/>
      <c r="BX76" s="58"/>
      <c r="BY76" s="58">
        <f>BY66-BY23</f>
        <v>13630.76923076922</v>
      </c>
      <c r="BZ76" s="58">
        <f t="shared" ref="BZ76:CG76" si="162">BZ66-BZ23</f>
        <v>14117.606582143373</v>
      </c>
      <c r="CA76" s="58">
        <f t="shared" si="162"/>
        <v>16957.870899031579</v>
      </c>
      <c r="CB76" s="58">
        <f t="shared" si="162"/>
        <v>3013.7855523840117</v>
      </c>
      <c r="CC76" s="58">
        <f t="shared" si="162"/>
        <v>-28501.089448851068</v>
      </c>
      <c r="CD76" s="58">
        <f t="shared" si="162"/>
        <v>-40033.040135593415</v>
      </c>
      <c r="CE76" s="58">
        <f t="shared" si="162"/>
        <v>-35922.303862118919</v>
      </c>
      <c r="CF76" s="58">
        <f t="shared" si="162"/>
        <v>-12715.842236301862</v>
      </c>
      <c r="CG76" s="58">
        <f t="shared" si="162"/>
        <v>32516.183308289634</v>
      </c>
      <c r="CJ76" s="58">
        <v>-24964.280965303798</v>
      </c>
      <c r="CK76" s="58">
        <v>-13290.919934367063</v>
      </c>
      <c r="CL76" s="58">
        <v>-40073.366774036636</v>
      </c>
      <c r="CM76" s="58">
        <v>28714.280928205117</v>
      </c>
    </row>
    <row r="77" spans="1:100" ht="15" customHeight="1">
      <c r="BZ77" s="598"/>
      <c r="CA77" s="598">
        <f>BZ77+CA76</f>
        <v>16957.870899031579</v>
      </c>
      <c r="CB77" s="598">
        <f t="shared" ref="CB77:CG77" si="163">CA77+CB76</f>
        <v>19971.656451415591</v>
      </c>
      <c r="CC77" s="598">
        <f t="shared" si="163"/>
        <v>-8529.4329974354769</v>
      </c>
      <c r="CD77" s="598">
        <f t="shared" si="163"/>
        <v>-48562.473133028892</v>
      </c>
      <c r="CE77" s="598">
        <f t="shared" si="163"/>
        <v>-84484.776995147811</v>
      </c>
      <c r="CF77" s="598">
        <f t="shared" si="163"/>
        <v>-97200.619231449673</v>
      </c>
      <c r="CG77" s="598">
        <f t="shared" si="163"/>
        <v>-64684.435923160039</v>
      </c>
    </row>
  </sheetData>
  <mergeCells count="24">
    <mergeCell ref="B35:C35"/>
    <mergeCell ref="B36:C36"/>
    <mergeCell ref="CJ1:CU1"/>
    <mergeCell ref="R1:AD1"/>
    <mergeCell ref="AF1:AR1"/>
    <mergeCell ref="AT1:BF1"/>
    <mergeCell ref="BH1:BS1"/>
    <mergeCell ref="BV1:CG1"/>
    <mergeCell ref="B37:C37"/>
    <mergeCell ref="B38:C38"/>
    <mergeCell ref="B47:C47"/>
    <mergeCell ref="CJ2:CU2"/>
    <mergeCell ref="B29:C29"/>
    <mergeCell ref="B30:C30"/>
    <mergeCell ref="B31:C31"/>
    <mergeCell ref="B32:C32"/>
    <mergeCell ref="B33:C33"/>
    <mergeCell ref="D2:P2"/>
    <mergeCell ref="R2:AD2"/>
    <mergeCell ref="AF2:AR2"/>
    <mergeCell ref="AT2:BF2"/>
    <mergeCell ref="BH2:BS2"/>
    <mergeCell ref="BV2:CG2"/>
    <mergeCell ref="B34:C34"/>
  </mergeCells>
  <pageMargins left="0.25" right="0.25" top="0.75" bottom="0.75" header="0" footer="0"/>
  <pageSetup paperSize="9" scale="55"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4901-D92D-4EA8-A6D0-29EC00DF0013}">
  <sheetPr>
    <tabColor rgb="FFFF0000"/>
  </sheetPr>
  <dimension ref="A1:CV77"/>
  <sheetViews>
    <sheetView showGridLines="0" zoomScale="80" zoomScaleNormal="80" workbookViewId="0">
      <pane xSplit="3" ySplit="9" topLeftCell="CE12" activePane="bottomRight" state="frozen"/>
      <selection pane="bottomRight" activeCell="CE12" sqref="CE12"/>
      <selection pane="bottomLeft" activeCell="A6" sqref="A6"/>
      <selection pane="topRight" activeCell="D1" sqref="D1"/>
    </sheetView>
  </sheetViews>
  <sheetFormatPr defaultColWidth="14.42578125" defaultRowHeight="15" customHeight="1" outlineLevelRow="1" outlineLevelCol="1"/>
  <cols>
    <col min="1" max="1" width="16.85546875" customWidth="1"/>
    <col min="2" max="2" width="17.85546875" customWidth="1"/>
    <col min="3" max="3" width="25.8554687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customWidth="1" outlineLevel="1" collapsed="1"/>
    <col min="61" max="62" width="15" customWidth="1" outlineLevel="1"/>
    <col min="63" max="63" width="13.140625" customWidth="1" outlineLevel="1"/>
    <col min="64" max="64" width="17.42578125" customWidth="1" outlineLevel="1"/>
    <col min="65" max="65" width="15.5703125" customWidth="1" outlineLevel="1"/>
    <col min="66" max="66" width="15" customWidth="1" outlineLevel="1"/>
    <col min="67" max="71" width="13.140625" customWidth="1" outlineLevel="1"/>
    <col min="72" max="72" width="16.42578125" customWidth="1" outlineLevel="1"/>
    <col min="73" max="73" width="3.140625" customWidth="1"/>
    <col min="74" max="85" width="13.140625" customWidth="1"/>
    <col min="86" max="86" width="16.42578125" bestFit="1" customWidth="1"/>
  </cols>
  <sheetData>
    <row r="1" spans="1:100" ht="16.5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t="s">
        <v>284</v>
      </c>
      <c r="CJ1" s="1081" t="s">
        <v>0</v>
      </c>
      <c r="CK1" s="1113"/>
      <c r="CL1" s="1113"/>
      <c r="CM1" s="1113"/>
      <c r="CN1" s="1113"/>
      <c r="CO1" s="1113"/>
      <c r="CP1" s="1113"/>
      <c r="CQ1" s="1113"/>
      <c r="CR1" s="1113"/>
      <c r="CS1" s="1113"/>
      <c r="CT1" s="1113"/>
      <c r="CU1" s="1114"/>
    </row>
    <row r="2" spans="1:100" ht="15.75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J2" s="1077">
        <v>2025</v>
      </c>
      <c r="CK2" s="1115"/>
      <c r="CL2" s="1115"/>
      <c r="CM2" s="1115"/>
      <c r="CN2" s="1115"/>
      <c r="CO2" s="1115"/>
      <c r="CP2" s="1115"/>
      <c r="CQ2" s="1115"/>
      <c r="CR2" s="1115"/>
      <c r="CS2" s="1115"/>
      <c r="CT2" s="1115"/>
      <c r="CU2" s="1116"/>
    </row>
    <row r="3" spans="1:100" ht="15.75">
      <c r="A3" s="4" t="s">
        <v>5</v>
      </c>
      <c r="B3" s="4"/>
      <c r="C3" s="4"/>
      <c r="D3" s="642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247"/>
      <c r="R3" s="642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248"/>
      <c r="AF3" s="642"/>
      <c r="AG3" s="642"/>
      <c r="AH3" s="642"/>
      <c r="AI3" s="642"/>
      <c r="AJ3" s="642"/>
      <c r="AK3" s="642"/>
      <c r="AL3" s="642"/>
      <c r="AM3" s="642"/>
      <c r="AN3" s="642"/>
      <c r="AO3" s="642"/>
      <c r="AP3" s="642"/>
      <c r="AQ3" s="642"/>
      <c r="AR3" s="642"/>
      <c r="AS3" s="124"/>
      <c r="AT3" s="644"/>
      <c r="AU3" s="643"/>
      <c r="AV3" s="643"/>
      <c r="AW3" s="643"/>
      <c r="AX3" s="643"/>
      <c r="AY3" s="643"/>
      <c r="AZ3" s="643"/>
      <c r="BA3" s="643"/>
      <c r="BB3" s="643"/>
      <c r="BC3" s="643"/>
      <c r="BD3" s="643"/>
      <c r="BE3" s="643"/>
      <c r="BF3" s="643"/>
      <c r="BG3" s="7"/>
      <c r="BH3" s="644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U3" s="6"/>
      <c r="BV3" s="644"/>
      <c r="BW3" s="643"/>
      <c r="BX3" s="643"/>
      <c r="BY3" s="643"/>
      <c r="BZ3" s="643"/>
      <c r="CA3" s="643"/>
      <c r="CB3" s="643"/>
      <c r="CC3" s="643"/>
      <c r="CD3" s="643"/>
      <c r="CE3" s="643"/>
      <c r="CF3" s="643"/>
      <c r="CG3" s="643"/>
      <c r="CJ3" s="253">
        <v>23</v>
      </c>
      <c r="CK3" s="566">
        <v>20</v>
      </c>
      <c r="CL3" s="566">
        <v>21</v>
      </c>
      <c r="CM3" s="252">
        <v>22</v>
      </c>
      <c r="CN3" s="248">
        <v>22</v>
      </c>
      <c r="CO3" s="248">
        <v>21</v>
      </c>
      <c r="CP3" s="248">
        <v>23</v>
      </c>
      <c r="CQ3" s="248">
        <v>21</v>
      </c>
      <c r="CR3" s="248">
        <v>21</v>
      </c>
      <c r="CS3" s="248">
        <v>23</v>
      </c>
      <c r="CT3" s="248">
        <v>20</v>
      </c>
      <c r="CU3" s="248">
        <v>13</v>
      </c>
    </row>
    <row r="4" spans="1:100" ht="15.75">
      <c r="A4" s="4" t="s">
        <v>7</v>
      </c>
      <c r="B4" s="4"/>
      <c r="C4" s="4"/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247"/>
      <c r="R4" s="642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248"/>
      <c r="AF4" s="642"/>
      <c r="AG4" s="642"/>
      <c r="AH4" s="642"/>
      <c r="AI4" s="642"/>
      <c r="AJ4" s="642"/>
      <c r="AK4" s="642"/>
      <c r="AL4" s="642"/>
      <c r="AM4" s="642"/>
      <c r="AN4" s="642"/>
      <c r="AO4" s="642"/>
      <c r="AP4" s="642"/>
      <c r="AQ4" s="642"/>
      <c r="AR4" s="642"/>
      <c r="AS4" s="124"/>
      <c r="AT4" s="644"/>
      <c r="AU4" s="643"/>
      <c r="AV4" s="643"/>
      <c r="AW4" s="643"/>
      <c r="AX4" s="643"/>
      <c r="AY4" s="643"/>
      <c r="AZ4" s="643"/>
      <c r="BA4" s="643"/>
      <c r="BB4" s="643"/>
      <c r="BC4" s="643"/>
      <c r="BD4" s="643"/>
      <c r="BE4" s="643"/>
      <c r="BF4" s="643"/>
      <c r="BG4" s="7"/>
      <c r="BH4" s="644"/>
      <c r="BI4" s="643"/>
      <c r="BJ4" s="643"/>
      <c r="BK4" s="643"/>
      <c r="BL4" s="643"/>
      <c r="BM4" s="643"/>
      <c r="BN4" s="643"/>
      <c r="BO4" s="643"/>
      <c r="BP4" s="643"/>
      <c r="BQ4" s="643"/>
      <c r="BR4" s="643"/>
      <c r="BS4" s="643"/>
      <c r="BU4" s="6"/>
      <c r="BV4" s="644"/>
      <c r="BW4" s="643"/>
      <c r="BX4" s="643"/>
      <c r="BY4" s="643"/>
      <c r="BZ4" s="643"/>
      <c r="CA4" s="643"/>
      <c r="CB4" s="643"/>
      <c r="CC4" s="643"/>
      <c r="CD4" s="643"/>
      <c r="CE4" s="643"/>
      <c r="CF4" s="643"/>
      <c r="CG4" s="643"/>
      <c r="CJ4" s="253">
        <v>3</v>
      </c>
      <c r="CK4" s="566"/>
      <c r="CL4" s="566"/>
      <c r="CM4" s="252"/>
      <c r="CN4" s="248"/>
      <c r="CO4" s="248"/>
      <c r="CP4" s="248"/>
      <c r="CQ4" s="248"/>
      <c r="CR4" s="248"/>
      <c r="CS4" s="248"/>
      <c r="CT4" s="248"/>
      <c r="CU4" s="248"/>
    </row>
    <row r="5" spans="1:100" ht="15.75">
      <c r="A5" s="4" t="s">
        <v>9</v>
      </c>
      <c r="B5" s="4"/>
      <c r="C5" s="4"/>
      <c r="D5" s="642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247"/>
      <c r="R5" s="642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248"/>
      <c r="AF5" s="642"/>
      <c r="AG5" s="642"/>
      <c r="AH5" s="642"/>
      <c r="AI5" s="642"/>
      <c r="AJ5" s="642"/>
      <c r="AK5" s="642"/>
      <c r="AL5" s="642"/>
      <c r="AM5" s="642"/>
      <c r="AN5" s="642"/>
      <c r="AO5" s="642"/>
      <c r="AP5" s="642"/>
      <c r="AQ5" s="642"/>
      <c r="AR5" s="642"/>
      <c r="AS5" s="124"/>
      <c r="AT5" s="644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7"/>
      <c r="BH5" s="644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U5" s="6"/>
      <c r="BV5" s="644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J5" s="644">
        <v>2</v>
      </c>
      <c r="CK5" s="643">
        <v>3</v>
      </c>
      <c r="CL5" s="643">
        <v>2</v>
      </c>
      <c r="CM5" s="643">
        <v>3</v>
      </c>
      <c r="CN5" s="643">
        <v>2</v>
      </c>
      <c r="CO5" s="643"/>
      <c r="CP5" s="643"/>
      <c r="CQ5" s="643">
        <v>2</v>
      </c>
      <c r="CR5" s="643">
        <v>3</v>
      </c>
      <c r="CS5" s="643">
        <v>2</v>
      </c>
      <c r="CT5" s="643">
        <v>3</v>
      </c>
      <c r="CU5" s="643"/>
    </row>
    <row r="6" spans="1:100" ht="15.75">
      <c r="A6" s="4" t="s">
        <v>11</v>
      </c>
      <c r="B6" s="4"/>
      <c r="C6" s="4"/>
      <c r="D6" s="642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247"/>
      <c r="R6" s="642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248"/>
      <c r="AF6" s="642"/>
      <c r="AG6" s="642"/>
      <c r="AH6" s="642"/>
      <c r="AI6" s="642"/>
      <c r="AJ6" s="642"/>
      <c r="AK6" s="642"/>
      <c r="AL6" s="642"/>
      <c r="AM6" s="642"/>
      <c r="AN6" s="642"/>
      <c r="AO6" s="642"/>
      <c r="AP6" s="642"/>
      <c r="AQ6" s="642"/>
      <c r="AR6" s="642"/>
      <c r="AS6" s="124"/>
      <c r="AT6" s="644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7"/>
      <c r="BH6" s="644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U6" s="6"/>
      <c r="BV6" s="644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 t="s">
        <v>12</v>
      </c>
      <c r="CJ6" s="644"/>
      <c r="CK6" s="643"/>
      <c r="CL6" s="643">
        <v>2</v>
      </c>
      <c r="CM6" s="643">
        <v>2</v>
      </c>
      <c r="CN6" s="643">
        <v>1</v>
      </c>
      <c r="CO6" s="643">
        <v>1</v>
      </c>
      <c r="CP6" s="643"/>
      <c r="CQ6" s="643"/>
      <c r="CR6" s="643">
        <v>1</v>
      </c>
      <c r="CS6" s="643">
        <v>1</v>
      </c>
      <c r="CT6" s="643">
        <v>1</v>
      </c>
      <c r="CU6" s="643"/>
    </row>
    <row r="7" spans="1:100">
      <c r="A7" s="3" t="s">
        <v>13</v>
      </c>
      <c r="B7" s="3"/>
      <c r="C7" s="3"/>
      <c r="D7" s="252">
        <v>16</v>
      </c>
      <c r="E7" s="252">
        <v>21</v>
      </c>
      <c r="F7" s="252">
        <v>18</v>
      </c>
      <c r="G7" s="252">
        <v>21</v>
      </c>
      <c r="H7" s="252">
        <v>22</v>
      </c>
      <c r="I7" s="252">
        <v>19</v>
      </c>
      <c r="J7" s="252">
        <v>23</v>
      </c>
      <c r="K7" s="252">
        <v>21</v>
      </c>
      <c r="L7" s="252">
        <v>21</v>
      </c>
      <c r="M7" s="252">
        <v>26</v>
      </c>
      <c r="N7" s="252">
        <v>24</v>
      </c>
      <c r="O7" s="252">
        <v>15</v>
      </c>
      <c r="P7" s="4"/>
      <c r="Q7" s="247"/>
      <c r="R7" s="252">
        <v>22</v>
      </c>
      <c r="S7" s="252">
        <v>20</v>
      </c>
      <c r="T7" s="252">
        <v>14</v>
      </c>
      <c r="U7" s="252">
        <v>1</v>
      </c>
      <c r="V7" s="252">
        <v>12</v>
      </c>
      <c r="W7" s="252">
        <v>22</v>
      </c>
      <c r="X7" s="252">
        <v>23</v>
      </c>
      <c r="Y7" s="252">
        <v>21</v>
      </c>
      <c r="Z7" s="252">
        <v>21</v>
      </c>
      <c r="AA7" s="252">
        <v>21</v>
      </c>
      <c r="AB7" s="252">
        <v>20</v>
      </c>
      <c r="AC7" s="252">
        <v>17</v>
      </c>
      <c r="AD7" s="2"/>
      <c r="AE7" s="253"/>
      <c r="AF7" s="254">
        <v>18</v>
      </c>
      <c r="AG7" s="252">
        <v>20</v>
      </c>
      <c r="AH7" s="248">
        <v>20</v>
      </c>
      <c r="AI7" s="248">
        <v>20</v>
      </c>
      <c r="AJ7" s="252">
        <v>22</v>
      </c>
      <c r="AK7" s="252">
        <v>20</v>
      </c>
      <c r="AL7" s="252">
        <v>22</v>
      </c>
      <c r="AM7" s="252">
        <v>22</v>
      </c>
      <c r="AN7" s="252">
        <v>21</v>
      </c>
      <c r="AO7" s="252">
        <v>20</v>
      </c>
      <c r="AP7" s="252">
        <v>20</v>
      </c>
      <c r="AQ7" s="248">
        <v>12</v>
      </c>
      <c r="AR7" s="2"/>
      <c r="AS7" s="124"/>
      <c r="AT7" s="253">
        <v>19</v>
      </c>
      <c r="AU7" s="248">
        <v>19</v>
      </c>
      <c r="AV7" s="248">
        <v>18</v>
      </c>
      <c r="AW7" s="248">
        <v>19</v>
      </c>
      <c r="AX7" s="248">
        <v>22</v>
      </c>
      <c r="AY7" s="248">
        <v>21</v>
      </c>
      <c r="AZ7" s="248">
        <v>21</v>
      </c>
      <c r="BA7" s="248">
        <v>22</v>
      </c>
      <c r="BB7" s="248">
        <v>22</v>
      </c>
      <c r="BC7" s="248">
        <v>21</v>
      </c>
      <c r="BD7" s="248">
        <v>20</v>
      </c>
      <c r="BE7" s="248">
        <v>10</v>
      </c>
      <c r="BF7" s="2"/>
      <c r="BG7" s="125"/>
      <c r="BH7" s="253">
        <v>20</v>
      </c>
      <c r="BI7" s="248">
        <v>17</v>
      </c>
      <c r="BJ7" s="248">
        <v>23</v>
      </c>
      <c r="BK7" s="248">
        <v>18</v>
      </c>
      <c r="BL7" s="248">
        <v>22</v>
      </c>
      <c r="BM7" s="248">
        <v>23</v>
      </c>
      <c r="BN7" s="248">
        <v>21</v>
      </c>
      <c r="BO7" s="248">
        <v>21</v>
      </c>
      <c r="BP7" s="248">
        <v>20</v>
      </c>
      <c r="BQ7" s="248">
        <v>21</v>
      </c>
      <c r="BR7" s="248">
        <v>20</v>
      </c>
      <c r="BS7" s="248">
        <v>14</v>
      </c>
      <c r="BT7" s="253">
        <v>20</v>
      </c>
      <c r="BU7" s="252"/>
      <c r="BV7" s="253">
        <v>19</v>
      </c>
      <c r="BW7" s="248">
        <v>19</v>
      </c>
      <c r="BX7" s="566">
        <v>21</v>
      </c>
      <c r="BY7" s="566">
        <f>22+2</f>
        <v>24</v>
      </c>
      <c r="BZ7" s="248">
        <f>21+2</f>
        <v>23</v>
      </c>
      <c r="CA7" s="567">
        <f>20+2</f>
        <v>22</v>
      </c>
      <c r="CB7" s="567">
        <f>23+2</f>
        <v>25</v>
      </c>
      <c r="CC7" s="252">
        <f>21+3</f>
        <v>24</v>
      </c>
      <c r="CD7" s="252">
        <f>21+3</f>
        <v>24</v>
      </c>
      <c r="CE7" s="248">
        <f>23+2</f>
        <v>25</v>
      </c>
      <c r="CF7" s="248">
        <f>20+2</f>
        <v>22</v>
      </c>
      <c r="CG7" s="248">
        <f>15</f>
        <v>15</v>
      </c>
      <c r="CH7" s="248"/>
      <c r="CJ7" s="253">
        <f>CJ3+CJ5-CJ6-CJ4</f>
        <v>22</v>
      </c>
      <c r="CK7" s="253">
        <f t="shared" ref="CK7:CO7" si="0">CK3+CK5-CK6-CK4</f>
        <v>23</v>
      </c>
      <c r="CL7" s="253">
        <f t="shared" si="0"/>
        <v>21</v>
      </c>
      <c r="CM7" s="253">
        <f t="shared" si="0"/>
        <v>23</v>
      </c>
      <c r="CN7" s="253">
        <f t="shared" si="0"/>
        <v>23</v>
      </c>
      <c r="CO7" s="253">
        <f t="shared" si="0"/>
        <v>20</v>
      </c>
      <c r="CP7" s="253">
        <f t="shared" ref="CN7:CU7" si="1">CP3+CP5-CP6</f>
        <v>23</v>
      </c>
      <c r="CQ7" s="253">
        <f t="shared" si="1"/>
        <v>23</v>
      </c>
      <c r="CR7" s="253">
        <f t="shared" si="1"/>
        <v>23</v>
      </c>
      <c r="CS7" s="253">
        <f t="shared" si="1"/>
        <v>24</v>
      </c>
      <c r="CT7" s="253">
        <f t="shared" si="1"/>
        <v>22</v>
      </c>
      <c r="CU7" s="253">
        <f t="shared" si="1"/>
        <v>13</v>
      </c>
      <c r="CV7" s="248"/>
    </row>
    <row r="8" spans="1:100">
      <c r="A8" s="8"/>
      <c r="B8" s="255"/>
      <c r="C8" s="256"/>
      <c r="D8" s="257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258" t="s">
        <v>26</v>
      </c>
      <c r="Q8" s="10"/>
      <c r="R8" s="257" t="s">
        <v>14</v>
      </c>
      <c r="S8" s="9" t="s">
        <v>15</v>
      </c>
      <c r="T8" s="9" t="s">
        <v>16</v>
      </c>
      <c r="U8" s="9" t="s">
        <v>17</v>
      </c>
      <c r="V8" s="9" t="s">
        <v>18</v>
      </c>
      <c r="W8" s="9" t="s">
        <v>19</v>
      </c>
      <c r="X8" s="9" t="s">
        <v>20</v>
      </c>
      <c r="Y8" s="9" t="s">
        <v>21</v>
      </c>
      <c r="Z8" s="9" t="s">
        <v>22</v>
      </c>
      <c r="AA8" s="9" t="s">
        <v>23</v>
      </c>
      <c r="AB8" s="9" t="s">
        <v>24</v>
      </c>
      <c r="AC8" s="9" t="s">
        <v>25</v>
      </c>
      <c r="AD8" s="258" t="s">
        <v>26</v>
      </c>
      <c r="AE8" s="11"/>
      <c r="AF8" s="257" t="s">
        <v>14</v>
      </c>
      <c r="AG8" s="9" t="s">
        <v>15</v>
      </c>
      <c r="AH8" s="9" t="s">
        <v>16</v>
      </c>
      <c r="AI8" s="9" t="s">
        <v>17</v>
      </c>
      <c r="AJ8" s="9" t="s">
        <v>18</v>
      </c>
      <c r="AK8" s="9" t="s">
        <v>19</v>
      </c>
      <c r="AL8" s="9" t="s">
        <v>20</v>
      </c>
      <c r="AM8" s="9" t="s">
        <v>21</v>
      </c>
      <c r="AN8" s="9" t="s">
        <v>22</v>
      </c>
      <c r="AO8" s="9" t="s">
        <v>23</v>
      </c>
      <c r="AP8" s="9" t="s">
        <v>24</v>
      </c>
      <c r="AQ8" s="9" t="s">
        <v>25</v>
      </c>
      <c r="AR8" s="9" t="s">
        <v>26</v>
      </c>
      <c r="AS8" s="11"/>
      <c r="AT8" s="9" t="s">
        <v>14</v>
      </c>
      <c r="AU8" s="9" t="s">
        <v>15</v>
      </c>
      <c r="AV8" s="9" t="s">
        <v>16</v>
      </c>
      <c r="AW8" s="9" t="s">
        <v>17</v>
      </c>
      <c r="AX8" s="9" t="s">
        <v>18</v>
      </c>
      <c r="AY8" s="9" t="s">
        <v>19</v>
      </c>
      <c r="AZ8" s="9" t="s">
        <v>20</v>
      </c>
      <c r="BA8" s="9" t="s">
        <v>21</v>
      </c>
      <c r="BB8" s="9" t="s">
        <v>22</v>
      </c>
      <c r="BC8" s="9" t="s">
        <v>23</v>
      </c>
      <c r="BD8" s="9" t="s">
        <v>24</v>
      </c>
      <c r="BE8" s="9" t="s">
        <v>25</v>
      </c>
      <c r="BF8" s="9" t="s">
        <v>26</v>
      </c>
      <c r="BG8" s="10"/>
      <c r="BH8" s="9" t="s">
        <v>14</v>
      </c>
      <c r="BI8" s="9" t="s">
        <v>15</v>
      </c>
      <c r="BJ8" s="9" t="s">
        <v>16</v>
      </c>
      <c r="BK8" s="9" t="s">
        <v>17</v>
      </c>
      <c r="BL8" s="9" t="s">
        <v>18</v>
      </c>
      <c r="BM8" s="9" t="s">
        <v>19</v>
      </c>
      <c r="BN8" s="9" t="s">
        <v>20</v>
      </c>
      <c r="BO8" s="9" t="s">
        <v>21</v>
      </c>
      <c r="BP8" s="9" t="s">
        <v>22</v>
      </c>
      <c r="BQ8" s="9" t="s">
        <v>23</v>
      </c>
      <c r="BR8" s="9" t="s">
        <v>24</v>
      </c>
      <c r="BS8" s="9" t="s">
        <v>25</v>
      </c>
      <c r="BT8" s="9" t="s">
        <v>26</v>
      </c>
      <c r="BU8" s="12"/>
      <c r="BV8" s="9" t="s">
        <v>14</v>
      </c>
      <c r="BW8" s="9" t="s">
        <v>15</v>
      </c>
      <c r="BX8" s="9" t="s">
        <v>16</v>
      </c>
      <c r="BY8" s="9" t="s">
        <v>17</v>
      </c>
      <c r="BZ8" s="9" t="s">
        <v>18</v>
      </c>
      <c r="CA8" s="9" t="s">
        <v>19</v>
      </c>
      <c r="CB8" s="9" t="s">
        <v>20</v>
      </c>
      <c r="CC8" s="9" t="s">
        <v>21</v>
      </c>
      <c r="CD8" s="9" t="s">
        <v>22</v>
      </c>
      <c r="CE8" s="9" t="s">
        <v>23</v>
      </c>
      <c r="CF8" s="9" t="s">
        <v>24</v>
      </c>
      <c r="CG8" s="9" t="s">
        <v>25</v>
      </c>
      <c r="CH8" s="9" t="s">
        <v>26</v>
      </c>
      <c r="CJ8" s="9" t="s">
        <v>14</v>
      </c>
      <c r="CK8" s="9" t="s">
        <v>15</v>
      </c>
      <c r="CL8" s="9" t="s">
        <v>16</v>
      </c>
      <c r="CM8" s="9" t="s">
        <v>17</v>
      </c>
      <c r="CN8" s="9" t="s">
        <v>18</v>
      </c>
      <c r="CO8" s="9" t="s">
        <v>19</v>
      </c>
      <c r="CP8" s="9" t="s">
        <v>20</v>
      </c>
      <c r="CQ8" s="9" t="s">
        <v>21</v>
      </c>
      <c r="CR8" s="9" t="s">
        <v>22</v>
      </c>
      <c r="CS8" s="9" t="s">
        <v>23</v>
      </c>
      <c r="CT8" s="9" t="s">
        <v>24</v>
      </c>
      <c r="CU8" s="9" t="s">
        <v>25</v>
      </c>
      <c r="CV8" s="9" t="s">
        <v>26</v>
      </c>
    </row>
    <row r="9" spans="1:100">
      <c r="A9" s="13"/>
      <c r="B9" s="259"/>
      <c r="C9" s="260"/>
      <c r="D9" s="26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62"/>
      <c r="Q9" s="15"/>
      <c r="R9" s="261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263"/>
      <c r="AE9" s="16"/>
      <c r="AF9" s="261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7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7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8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t="s">
        <v>27</v>
      </c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</row>
    <row r="10" spans="1:100">
      <c r="A10" s="13" t="s">
        <v>28</v>
      </c>
      <c r="B10" s="259" t="s">
        <v>263</v>
      </c>
      <c r="C10" s="260"/>
      <c r="D10" s="261">
        <f t="shared" ref="D10:O10" si="2">SUM(D13:D15)</f>
        <v>304786</v>
      </c>
      <c r="E10" s="14">
        <f t="shared" si="2"/>
        <v>311986</v>
      </c>
      <c r="F10" s="14">
        <f t="shared" si="2"/>
        <v>328231</v>
      </c>
      <c r="G10" s="14">
        <f t="shared" si="2"/>
        <v>317873</v>
      </c>
      <c r="H10" s="14">
        <f t="shared" si="2"/>
        <v>347196</v>
      </c>
      <c r="I10" s="14">
        <f t="shared" si="2"/>
        <v>402253</v>
      </c>
      <c r="J10" s="14">
        <f t="shared" si="2"/>
        <v>454488</v>
      </c>
      <c r="K10" s="14">
        <f t="shared" si="2"/>
        <v>447182</v>
      </c>
      <c r="L10" s="14">
        <f t="shared" si="2"/>
        <v>416931</v>
      </c>
      <c r="M10" s="14">
        <f t="shared" si="2"/>
        <v>304402</v>
      </c>
      <c r="N10" s="14">
        <f t="shared" si="2"/>
        <v>0</v>
      </c>
      <c r="O10" s="14">
        <f t="shared" si="2"/>
        <v>188264</v>
      </c>
      <c r="P10" s="262"/>
      <c r="Q10" s="15"/>
      <c r="R10" s="14">
        <f t="shared" ref="R10:AC10" si="3">SUM(R13:R15)</f>
        <v>283359</v>
      </c>
      <c r="S10" s="14">
        <f t="shared" si="3"/>
        <v>342718</v>
      </c>
      <c r="T10" s="14">
        <f t="shared" si="3"/>
        <v>313212</v>
      </c>
      <c r="U10" s="14">
        <f t="shared" si="3"/>
        <v>298093</v>
      </c>
      <c r="V10" s="14">
        <f t="shared" si="3"/>
        <v>206617</v>
      </c>
      <c r="W10" s="14">
        <f t="shared" si="3"/>
        <v>235875</v>
      </c>
      <c r="X10" s="14">
        <f t="shared" si="3"/>
        <v>360135</v>
      </c>
      <c r="Y10" s="14">
        <f t="shared" si="3"/>
        <v>361665</v>
      </c>
      <c r="Z10" s="14">
        <f t="shared" si="3"/>
        <v>353400</v>
      </c>
      <c r="AA10" s="14">
        <f t="shared" si="3"/>
        <v>272097</v>
      </c>
      <c r="AB10" s="14">
        <f t="shared" si="3"/>
        <v>170626</v>
      </c>
      <c r="AC10" s="14">
        <f t="shared" si="3"/>
        <v>197551</v>
      </c>
      <c r="AD10" s="263"/>
      <c r="AE10" s="16"/>
      <c r="AF10" s="14">
        <f t="shared" ref="AF10:AQ10" si="4">SUM(AF13:AF17)</f>
        <v>255339</v>
      </c>
      <c r="AG10" s="14">
        <f t="shared" si="4"/>
        <v>292621</v>
      </c>
      <c r="AH10" s="14">
        <f t="shared" si="4"/>
        <v>397976</v>
      </c>
      <c r="AI10" s="14">
        <f t="shared" si="4"/>
        <v>388165</v>
      </c>
      <c r="AJ10" s="14">
        <f t="shared" si="4"/>
        <v>409301</v>
      </c>
      <c r="AK10" s="14">
        <f t="shared" si="4"/>
        <v>490913</v>
      </c>
      <c r="AL10" s="14">
        <f t="shared" si="4"/>
        <v>563229</v>
      </c>
      <c r="AM10" s="14">
        <f t="shared" si="4"/>
        <v>559169</v>
      </c>
      <c r="AN10" s="14">
        <f t="shared" si="4"/>
        <v>487294</v>
      </c>
      <c r="AO10" s="14">
        <f t="shared" si="4"/>
        <v>407614</v>
      </c>
      <c r="AP10" s="14">
        <f t="shared" si="4"/>
        <v>503756</v>
      </c>
      <c r="AQ10" s="14">
        <f t="shared" si="4"/>
        <v>531679</v>
      </c>
      <c r="AR10" s="14">
        <f t="shared" ref="AR10:AR21" si="5">AQ10</f>
        <v>531679</v>
      </c>
      <c r="AS10" s="17"/>
      <c r="AT10" s="14">
        <f t="shared" ref="AT10:BE10" si="6">SUM(AT13:AT17)</f>
        <v>471378</v>
      </c>
      <c r="AU10" s="14">
        <f t="shared" si="6"/>
        <v>473307</v>
      </c>
      <c r="AV10" s="14">
        <f t="shared" si="6"/>
        <v>412518</v>
      </c>
      <c r="AW10" s="14">
        <f t="shared" si="6"/>
        <v>398039</v>
      </c>
      <c r="AX10" s="14">
        <f t="shared" si="6"/>
        <v>417827</v>
      </c>
      <c r="AY10" s="14">
        <f t="shared" si="6"/>
        <v>507968</v>
      </c>
      <c r="AZ10" s="14">
        <f t="shared" si="6"/>
        <v>477530</v>
      </c>
      <c r="BA10" s="14">
        <f t="shared" si="6"/>
        <v>520708</v>
      </c>
      <c r="BB10" s="14">
        <f t="shared" si="6"/>
        <v>505851</v>
      </c>
      <c r="BC10" s="14">
        <f t="shared" si="6"/>
        <v>454245</v>
      </c>
      <c r="BD10" s="14">
        <f t="shared" si="6"/>
        <v>405700</v>
      </c>
      <c r="BE10" s="14">
        <f t="shared" si="6"/>
        <v>356505</v>
      </c>
      <c r="BF10" s="14">
        <f t="shared" ref="BF10:BF18" si="7">BE10</f>
        <v>356505</v>
      </c>
      <c r="BG10" s="17"/>
      <c r="BH10" s="14">
        <f t="shared" ref="BH10:BQ10" si="8">SUM(BH13:BH17)</f>
        <v>357143</v>
      </c>
      <c r="BI10" s="14">
        <f t="shared" si="8"/>
        <v>355011</v>
      </c>
      <c r="BJ10" s="14">
        <f t="shared" si="8"/>
        <v>344281</v>
      </c>
      <c r="BK10" s="14">
        <f t="shared" si="8"/>
        <v>389628</v>
      </c>
      <c r="BL10" s="14">
        <f t="shared" si="8"/>
        <v>324889</v>
      </c>
      <c r="BM10" s="14">
        <f t="shared" si="8"/>
        <v>352666</v>
      </c>
      <c r="BN10" s="14">
        <f t="shared" si="8"/>
        <v>418721</v>
      </c>
      <c r="BO10" s="14">
        <f t="shared" si="8"/>
        <v>356602</v>
      </c>
      <c r="BP10" s="14">
        <f t="shared" si="8"/>
        <v>326706</v>
      </c>
      <c r="BQ10" s="14">
        <f t="shared" si="8"/>
        <v>304987</v>
      </c>
      <c r="BR10" s="14">
        <f>SUM(BR13:BR17)</f>
        <v>228035</v>
      </c>
      <c r="BS10" s="14">
        <f>BS13+BS14+BS17</f>
        <v>201165</v>
      </c>
      <c r="BT10" s="14">
        <f>BS10</f>
        <v>201165</v>
      </c>
      <c r="BU10" s="18"/>
      <c r="BV10" s="14">
        <f>BV13+BV14+BV17</f>
        <v>195178</v>
      </c>
      <c r="BW10" s="14">
        <f>BV10+BW66-BW23</f>
        <v>172211.16954819704</v>
      </c>
      <c r="BX10" s="14">
        <f>BX13+BX14+BX17</f>
        <v>187490</v>
      </c>
      <c r="BY10" s="14">
        <f>BY13+BY14+BY17</f>
        <v>212823</v>
      </c>
      <c r="BZ10" s="14">
        <f>BZ13+BZ14+BZ17</f>
        <v>237955</v>
      </c>
      <c r="CA10" s="14">
        <f>BZ10-CA23+CA66</f>
        <v>254912.87089903158</v>
      </c>
      <c r="CB10" s="14">
        <f>CA10-CB23+CB66</f>
        <v>257926.65645141559</v>
      </c>
      <c r="CC10" s="14">
        <f>CB10-CC23+CC66</f>
        <v>229425.56700256452</v>
      </c>
      <c r="CD10" s="14">
        <f>CC10-CD23+CD66</f>
        <v>189392.52686697111</v>
      </c>
      <c r="CE10" s="14">
        <f>CD10-CE23+CE66</f>
        <v>153470.22300485219</v>
      </c>
      <c r="CF10" s="14">
        <f>CE10-CF23+CF66</f>
        <v>140754.38076855033</v>
      </c>
      <c r="CG10" s="14">
        <f t="shared" ref="CG10" si="9">CF10+CG66-CG23</f>
        <v>161270.56407683995</v>
      </c>
      <c r="CH10" s="14">
        <f>CG10</f>
        <v>161270.56407683995</v>
      </c>
      <c r="CJ10" s="14">
        <f>CH10+CJ66-CJ23</f>
        <v>143957.26407683993</v>
      </c>
      <c r="CK10" s="14">
        <f>CJ10+CK66-CK23</f>
        <v>151428.31407683989</v>
      </c>
      <c r="CL10" s="14">
        <f>CK10+CL66-CL23</f>
        <v>129645.01407683987</v>
      </c>
      <c r="CM10" s="14">
        <f>CL10+CM66-CM23</f>
        <v>145448.86407683991</v>
      </c>
      <c r="CN10" s="14">
        <f>CM10+CN66-CN23</f>
        <v>166624.51407683987</v>
      </c>
      <c r="CO10" s="14">
        <f t="shared" ref="CO10:CU10" si="10">CN10+CO66-CO23</f>
        <v>193816.21407683991</v>
      </c>
      <c r="CP10" s="14">
        <f t="shared" si="10"/>
        <v>141187.36407683991</v>
      </c>
      <c r="CQ10" s="14">
        <f t="shared" si="10"/>
        <v>113047.66407683986</v>
      </c>
      <c r="CR10" s="14">
        <f t="shared" si="10"/>
        <v>78097.664076839865</v>
      </c>
      <c r="CS10" s="14">
        <f t="shared" si="10"/>
        <v>24179.245021615003</v>
      </c>
      <c r="CT10" s="14">
        <f t="shared" si="10"/>
        <v>2907.6106734980422</v>
      </c>
      <c r="CU10" s="14">
        <f t="shared" si="10"/>
        <v>4649.6031472021568</v>
      </c>
      <c r="CV10" s="14">
        <v>116080.10690622788</v>
      </c>
    </row>
    <row r="11" spans="1:100">
      <c r="A11" s="13"/>
      <c r="B11" s="259" t="s">
        <v>30</v>
      </c>
      <c r="C11" s="260"/>
      <c r="D11" s="261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262"/>
      <c r="Q11" s="15"/>
      <c r="R11" s="261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263"/>
      <c r="AE11" s="16"/>
      <c r="AF11" s="14"/>
      <c r="AG11" s="14"/>
      <c r="AH11" s="14"/>
      <c r="AI11" s="14"/>
      <c r="AJ11" s="645"/>
      <c r="AK11" s="14"/>
      <c r="AL11" s="14"/>
      <c r="AM11" s="14"/>
      <c r="AN11" s="14"/>
      <c r="AO11" s="14"/>
      <c r="AP11" s="14"/>
      <c r="AQ11" s="14"/>
      <c r="AR11" s="14"/>
      <c r="AS11" s="17"/>
      <c r="AT11" s="14"/>
      <c r="AU11" s="14"/>
      <c r="AV11" s="14"/>
      <c r="AW11" s="14"/>
      <c r="AX11" s="14"/>
      <c r="AY11" s="14"/>
      <c r="AZ11" s="14"/>
      <c r="BA11" s="14"/>
      <c r="BB11" s="646"/>
      <c r="BC11" s="14"/>
      <c r="BD11" s="14"/>
      <c r="BE11" s="14"/>
      <c r="BF11" s="14"/>
      <c r="BG11" s="17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8"/>
      <c r="BV11" s="14">
        <v>204006</v>
      </c>
      <c r="BW11" s="14">
        <v>241182</v>
      </c>
      <c r="BX11" s="14">
        <v>245950</v>
      </c>
      <c r="BY11" s="14">
        <v>281974</v>
      </c>
      <c r="BZ11" s="14">
        <v>202865</v>
      </c>
      <c r="CA11" s="14">
        <v>240895</v>
      </c>
      <c r="CB11" s="14">
        <v>273565</v>
      </c>
      <c r="CC11" s="14">
        <v>288981</v>
      </c>
      <c r="CD11" s="14">
        <v>273990</v>
      </c>
      <c r="CE11" s="14">
        <f>CD11+CE$66-CE$23*(0.95)</f>
        <v>248863.81133098702</v>
      </c>
      <c r="CF11" s="14">
        <f t="shared" ref="CF11:CG11" si="11">CE11+CF$66-CF$23*(0.95)</f>
        <v>244703.76120650026</v>
      </c>
      <c r="CG11" s="14">
        <f t="shared" si="11"/>
        <v>269594.13534937537</v>
      </c>
      <c r="CH11" s="14">
        <f>CG11</f>
        <v>269594.13534937537</v>
      </c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</row>
    <row r="12" spans="1:100">
      <c r="A12" s="13"/>
      <c r="B12" s="259" t="s">
        <v>31</v>
      </c>
      <c r="C12" s="260"/>
      <c r="D12" s="261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262"/>
      <c r="Q12" s="15"/>
      <c r="R12" s="261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263"/>
      <c r="AE12" s="16"/>
      <c r="AF12" s="14"/>
      <c r="AG12" s="14"/>
      <c r="AH12" s="14"/>
      <c r="AI12" s="14"/>
      <c r="AJ12" s="645"/>
      <c r="AK12" s="14"/>
      <c r="AL12" s="14"/>
      <c r="AM12" s="14"/>
      <c r="AN12" s="14"/>
      <c r="AO12" s="14"/>
      <c r="AP12" s="14"/>
      <c r="AQ12" s="14"/>
      <c r="AR12" s="14"/>
      <c r="AS12" s="17"/>
      <c r="AT12" s="14"/>
      <c r="AU12" s="14"/>
      <c r="AV12" s="14"/>
      <c r="AW12" s="14"/>
      <c r="AX12" s="14"/>
      <c r="AY12" s="14"/>
      <c r="AZ12" s="14"/>
      <c r="BA12" s="14"/>
      <c r="BB12" s="646"/>
      <c r="BC12" s="14"/>
      <c r="BD12" s="14"/>
      <c r="BE12" s="14"/>
      <c r="BF12" s="14"/>
      <c r="BG12" s="17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8"/>
      <c r="BV12" s="14">
        <v>80956</v>
      </c>
      <c r="BW12" s="14">
        <v>110544</v>
      </c>
      <c r="BX12" s="14">
        <v>134506</v>
      </c>
      <c r="BY12" s="14">
        <v>127959</v>
      </c>
      <c r="BZ12" s="14">
        <v>66136</v>
      </c>
      <c r="CA12" s="14">
        <v>72582</v>
      </c>
      <c r="CB12" s="14">
        <v>94286</v>
      </c>
      <c r="CC12" s="14">
        <v>133081</v>
      </c>
      <c r="CD12" s="14">
        <v>148174</v>
      </c>
      <c r="CE12" s="14"/>
      <c r="CF12" s="14"/>
      <c r="CG12" s="14"/>
      <c r="CH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</row>
    <row r="13" spans="1:100">
      <c r="A13" s="19">
        <v>1</v>
      </c>
      <c r="B13" s="158" t="s">
        <v>34</v>
      </c>
      <c r="C13" s="264"/>
      <c r="D13" s="265">
        <v>197000</v>
      </c>
      <c r="E13" s="20">
        <v>223027</v>
      </c>
      <c r="F13" s="20">
        <v>230513</v>
      </c>
      <c r="G13" s="20">
        <v>231174</v>
      </c>
      <c r="H13" s="20">
        <v>255028</v>
      </c>
      <c r="I13" s="20">
        <f>316386+3241</f>
        <v>319627</v>
      </c>
      <c r="J13" s="20">
        <v>377712</v>
      </c>
      <c r="K13" s="20">
        <v>382411</v>
      </c>
      <c r="L13" s="20">
        <v>394107</v>
      </c>
      <c r="M13" s="20">
        <v>267954</v>
      </c>
      <c r="N13" s="20"/>
      <c r="O13" s="20">
        <v>143875</v>
      </c>
      <c r="P13" s="266"/>
      <c r="Q13" s="21"/>
      <c r="R13" s="265">
        <v>208084</v>
      </c>
      <c r="S13" s="22">
        <v>268431</v>
      </c>
      <c r="T13" s="22">
        <v>250616</v>
      </c>
      <c r="U13" s="22">
        <v>237088</v>
      </c>
      <c r="V13" s="22">
        <v>147777</v>
      </c>
      <c r="W13" s="22">
        <v>215818</v>
      </c>
      <c r="X13" s="22">
        <v>273510</v>
      </c>
      <c r="Y13" s="22">
        <v>299059</v>
      </c>
      <c r="Z13" s="22">
        <v>304980</v>
      </c>
      <c r="AA13" s="22">
        <v>231197</v>
      </c>
      <c r="AB13" s="22">
        <v>143086</v>
      </c>
      <c r="AC13" s="22">
        <v>172491</v>
      </c>
      <c r="AD13" s="267"/>
      <c r="AE13" s="23"/>
      <c r="AF13" s="22">
        <v>198695</v>
      </c>
      <c r="AG13" s="22">
        <v>234210</v>
      </c>
      <c r="AH13" s="22">
        <v>327560</v>
      </c>
      <c r="AI13" s="22">
        <v>332523</v>
      </c>
      <c r="AJ13" s="24">
        <v>356667</v>
      </c>
      <c r="AK13" s="22">
        <v>384165</v>
      </c>
      <c r="AL13" s="22">
        <v>317268</v>
      </c>
      <c r="AM13" s="22">
        <v>370708</v>
      </c>
      <c r="AN13" s="22">
        <v>354503</v>
      </c>
      <c r="AO13" s="22">
        <v>314605</v>
      </c>
      <c r="AP13" s="25">
        <v>90490</v>
      </c>
      <c r="AQ13" s="22">
        <v>58348</v>
      </c>
      <c r="AR13" s="22">
        <f t="shared" si="5"/>
        <v>58348</v>
      </c>
      <c r="AS13" s="23"/>
      <c r="AT13" s="22">
        <v>158701</v>
      </c>
      <c r="AU13" s="22">
        <v>115369</v>
      </c>
      <c r="AV13" s="22">
        <v>142379</v>
      </c>
      <c r="AW13" s="22">
        <v>118765</v>
      </c>
      <c r="AX13" s="22">
        <v>113246</v>
      </c>
      <c r="AY13" s="22">
        <v>106776</v>
      </c>
      <c r="AZ13" s="22">
        <v>175234</v>
      </c>
      <c r="BA13" s="22">
        <v>151553</v>
      </c>
      <c r="BB13" s="26">
        <v>167082</v>
      </c>
      <c r="BC13" s="22">
        <v>150959</v>
      </c>
      <c r="BD13" s="22">
        <v>119787</v>
      </c>
      <c r="BE13" s="22">
        <v>65426</v>
      </c>
      <c r="BF13" s="22">
        <f t="shared" si="7"/>
        <v>65426</v>
      </c>
      <c r="BG13" s="27"/>
      <c r="BH13" s="22">
        <v>166918</v>
      </c>
      <c r="BI13" s="22">
        <v>167160</v>
      </c>
      <c r="BJ13" s="22">
        <v>204571</v>
      </c>
      <c r="BK13" s="22">
        <v>153197</v>
      </c>
      <c r="BL13" s="22">
        <v>196798</v>
      </c>
      <c r="BM13" s="22">
        <v>145596</v>
      </c>
      <c r="BN13" s="22">
        <v>166021</v>
      </c>
      <c r="BO13" s="22">
        <v>211305</v>
      </c>
      <c r="BP13" s="22">
        <v>201071</v>
      </c>
      <c r="BQ13" s="22">
        <v>177743</v>
      </c>
      <c r="BR13" s="22">
        <v>144020</v>
      </c>
      <c r="BS13" s="22">
        <v>154347</v>
      </c>
      <c r="BT13" s="22">
        <f>BS13</f>
        <v>154347</v>
      </c>
      <c r="BU13" s="28"/>
      <c r="BV13" s="22">
        <v>151471</v>
      </c>
      <c r="BW13" s="22">
        <v>155653</v>
      </c>
      <c r="BX13" s="22">
        <v>151611</v>
      </c>
      <c r="BY13" s="22">
        <v>177044</v>
      </c>
      <c r="BZ13" s="22">
        <v>170481</v>
      </c>
      <c r="CA13" s="22">
        <v>221665</v>
      </c>
      <c r="CB13" s="22">
        <v>218105</v>
      </c>
      <c r="CC13" s="22">
        <v>188153</v>
      </c>
      <c r="CD13" s="22">
        <v>147751</v>
      </c>
      <c r="CE13" s="22">
        <f>CD13+CE$66-CE$23*(0.95)</f>
        <v>122624.81133098702</v>
      </c>
      <c r="CF13" s="22">
        <f>CE13+CF66-CF23*(0.95)</f>
        <v>118464.76120650026</v>
      </c>
      <c r="CG13" s="22">
        <f>CF13+CG66-CG23*(0.95)</f>
        <v>143355.13534937543</v>
      </c>
      <c r="CH13" s="22">
        <f t="shared" ref="CH13:CH21" si="12">CG13</f>
        <v>143355.13534937543</v>
      </c>
      <c r="CJ13" s="22">
        <f>CH13+CJ66-CJ23</f>
        <v>126041.83534937541</v>
      </c>
      <c r="CK13" s="22">
        <f>CJ13+CK66-CK23</f>
        <v>133512.88534937537</v>
      </c>
      <c r="CL13" s="22">
        <f t="shared" ref="CL13:CU13" si="13">CK13+CL66-CL23</f>
        <v>111729.58534937535</v>
      </c>
      <c r="CM13" s="22">
        <f t="shared" si="13"/>
        <v>127533.43534937539</v>
      </c>
      <c r="CN13" s="22">
        <f t="shared" si="13"/>
        <v>148709.08534937535</v>
      </c>
      <c r="CO13" s="22">
        <f t="shared" si="13"/>
        <v>175900.78534937539</v>
      </c>
      <c r="CP13" s="22">
        <f t="shared" si="13"/>
        <v>123271.93534937539</v>
      </c>
      <c r="CQ13" s="22">
        <f t="shared" si="13"/>
        <v>95132.235349375347</v>
      </c>
      <c r="CR13" s="22">
        <f t="shared" si="13"/>
        <v>60182.235349375347</v>
      </c>
      <c r="CS13" s="22">
        <f t="shared" si="13"/>
        <v>6263.8162941504852</v>
      </c>
      <c r="CT13" s="22">
        <f t="shared" si="13"/>
        <v>-15007.818053966475</v>
      </c>
      <c r="CU13" s="22">
        <f t="shared" si="13"/>
        <v>-13265.825580262361</v>
      </c>
      <c r="CV13" s="22">
        <v>0</v>
      </c>
    </row>
    <row r="14" spans="1:100">
      <c r="A14" s="19">
        <v>2</v>
      </c>
      <c r="B14" s="158" t="s">
        <v>35</v>
      </c>
      <c r="C14" s="264"/>
      <c r="D14" s="265">
        <v>73670</v>
      </c>
      <c r="E14" s="20">
        <v>59682</v>
      </c>
      <c r="F14" s="20">
        <v>54710</v>
      </c>
      <c r="G14" s="20">
        <v>56175</v>
      </c>
      <c r="H14" s="20">
        <v>58933</v>
      </c>
      <c r="I14" s="20">
        <v>42784</v>
      </c>
      <c r="J14" s="20">
        <v>35755</v>
      </c>
      <c r="K14" s="20">
        <v>33547</v>
      </c>
      <c r="L14" s="20">
        <v>22824</v>
      </c>
      <c r="M14" s="20">
        <v>26162</v>
      </c>
      <c r="N14" s="20"/>
      <c r="O14" s="20">
        <v>44389</v>
      </c>
      <c r="P14" s="266"/>
      <c r="Q14" s="21"/>
      <c r="R14" s="265">
        <v>39759</v>
      </c>
      <c r="S14" s="22">
        <v>38325</v>
      </c>
      <c r="T14" s="22">
        <v>26634</v>
      </c>
      <c r="U14" s="22">
        <f>14430+2754+7859</f>
        <v>25043</v>
      </c>
      <c r="V14" s="22">
        <v>23840</v>
      </c>
      <c r="W14" s="22">
        <v>20057</v>
      </c>
      <c r="X14" s="22">
        <v>80502</v>
      </c>
      <c r="Y14" s="22">
        <v>56483</v>
      </c>
      <c r="Z14" s="22">
        <v>44233</v>
      </c>
      <c r="AA14" s="22">
        <v>38155</v>
      </c>
      <c r="AB14" s="22">
        <v>27540</v>
      </c>
      <c r="AC14" s="22">
        <v>25060</v>
      </c>
      <c r="AD14" s="267"/>
      <c r="AE14" s="23"/>
      <c r="AF14" s="22">
        <v>21326</v>
      </c>
      <c r="AG14" s="22">
        <v>17804</v>
      </c>
      <c r="AH14" s="22">
        <v>27157</v>
      </c>
      <c r="AI14" s="22">
        <v>19677</v>
      </c>
      <c r="AJ14" s="22">
        <v>18817</v>
      </c>
      <c r="AK14" s="22">
        <v>25034</v>
      </c>
      <c r="AL14" s="22">
        <v>28090</v>
      </c>
      <c r="AM14" s="22">
        <v>25660</v>
      </c>
      <c r="AN14" s="22">
        <v>33752</v>
      </c>
      <c r="AO14" s="22">
        <v>24699</v>
      </c>
      <c r="AP14" s="25">
        <v>19340</v>
      </c>
      <c r="AQ14" s="22">
        <v>29842</v>
      </c>
      <c r="AR14" s="22">
        <f t="shared" si="5"/>
        <v>29842</v>
      </c>
      <c r="AS14" s="23"/>
      <c r="AT14" s="22">
        <v>46493</v>
      </c>
      <c r="AU14" s="22">
        <v>37125</v>
      </c>
      <c r="AV14" s="22">
        <v>38574</v>
      </c>
      <c r="AW14" s="22">
        <v>43626</v>
      </c>
      <c r="AX14" s="22">
        <v>39641</v>
      </c>
      <c r="AY14" s="22">
        <v>55553</v>
      </c>
      <c r="AZ14" s="22">
        <v>48023</v>
      </c>
      <c r="BA14" s="22">
        <v>55043</v>
      </c>
      <c r="BB14" s="26">
        <v>50383</v>
      </c>
      <c r="BC14" s="22">
        <v>54355</v>
      </c>
      <c r="BD14" s="22">
        <v>82473</v>
      </c>
      <c r="BE14" s="22">
        <v>65398</v>
      </c>
      <c r="BF14" s="22">
        <f t="shared" si="7"/>
        <v>65398</v>
      </c>
      <c r="BG14" s="27"/>
      <c r="BH14" s="22">
        <v>68747</v>
      </c>
      <c r="BI14" s="22">
        <v>62843</v>
      </c>
      <c r="BJ14" s="22">
        <v>62154</v>
      </c>
      <c r="BK14" s="22">
        <v>49337</v>
      </c>
      <c r="BL14" s="22">
        <v>27730</v>
      </c>
      <c r="BM14" s="22">
        <v>42459</v>
      </c>
      <c r="BN14" s="22">
        <v>44049</v>
      </c>
      <c r="BO14" s="22">
        <v>29196</v>
      </c>
      <c r="BP14" s="22">
        <v>36882</v>
      </c>
      <c r="BQ14" s="22">
        <v>35965</v>
      </c>
      <c r="BR14" s="22">
        <v>31343</v>
      </c>
      <c r="BS14" s="22">
        <v>23087</v>
      </c>
      <c r="BT14" s="22">
        <f t="shared" ref="BT14:BT21" si="14">BS14</f>
        <v>23087</v>
      </c>
      <c r="BU14" s="28"/>
      <c r="BV14" s="22">
        <v>15202</v>
      </c>
      <c r="BW14" s="22">
        <v>12471</v>
      </c>
      <c r="BX14" s="22">
        <v>11483</v>
      </c>
      <c r="BY14" s="22">
        <v>14071</v>
      </c>
      <c r="BZ14" s="22">
        <v>49617</v>
      </c>
      <c r="CA14" s="22">
        <v>36385</v>
      </c>
      <c r="CB14" s="22">
        <v>25473</v>
      </c>
      <c r="CC14" s="22">
        <v>16933</v>
      </c>
      <c r="CD14" s="22">
        <v>12684</v>
      </c>
      <c r="CE14" s="22"/>
      <c r="CF14" s="22"/>
      <c r="CG14" s="22"/>
      <c r="CH14" s="22">
        <f t="shared" si="12"/>
        <v>0</v>
      </c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>
        <v>0</v>
      </c>
    </row>
    <row r="15" spans="1:100">
      <c r="A15" s="19">
        <v>3</v>
      </c>
      <c r="B15" s="158" t="s">
        <v>266</v>
      </c>
      <c r="C15" s="264"/>
      <c r="D15" s="268">
        <v>34116</v>
      </c>
      <c r="E15" s="269">
        <v>29277</v>
      </c>
      <c r="F15" s="269">
        <v>43008</v>
      </c>
      <c r="G15" s="269">
        <v>30524</v>
      </c>
      <c r="H15" s="269">
        <v>33235</v>
      </c>
      <c r="I15" s="269">
        <v>39842</v>
      </c>
      <c r="J15" s="269">
        <v>41021</v>
      </c>
      <c r="K15" s="269">
        <v>31224</v>
      </c>
      <c r="L15" s="269"/>
      <c r="M15" s="269">
        <v>10286</v>
      </c>
      <c r="N15" s="269"/>
      <c r="O15" s="269"/>
      <c r="P15" s="266"/>
      <c r="Q15" s="21"/>
      <c r="R15" s="268">
        <v>35516</v>
      </c>
      <c r="S15" s="270">
        <v>35962</v>
      </c>
      <c r="T15" s="270">
        <v>35962</v>
      </c>
      <c r="U15" s="270">
        <v>35962</v>
      </c>
      <c r="V15" s="270">
        <v>35000</v>
      </c>
      <c r="W15" s="270"/>
      <c r="X15" s="270">
        <v>6123</v>
      </c>
      <c r="Y15" s="270">
        <v>6123</v>
      </c>
      <c r="Z15" s="270">
        <v>4187</v>
      </c>
      <c r="AA15" s="270">
        <v>2745</v>
      </c>
      <c r="AB15" s="270"/>
      <c r="AC15" s="270"/>
      <c r="AD15" s="267"/>
      <c r="AE15" s="23"/>
      <c r="AF15" s="270">
        <v>8366</v>
      </c>
      <c r="AG15" s="270">
        <v>11534</v>
      </c>
      <c r="AH15" s="270">
        <v>11507</v>
      </c>
      <c r="AI15" s="270">
        <v>9148</v>
      </c>
      <c r="AJ15" s="22">
        <v>8524</v>
      </c>
      <c r="AK15" s="270">
        <v>25290</v>
      </c>
      <c r="AL15" s="270">
        <v>91080</v>
      </c>
      <c r="AM15" s="270">
        <v>66830</v>
      </c>
      <c r="AN15" s="270">
        <v>36866</v>
      </c>
      <c r="AO15" s="270">
        <v>16173</v>
      </c>
      <c r="AP15" s="271">
        <v>178274</v>
      </c>
      <c r="AQ15" s="270">
        <v>210665</v>
      </c>
      <c r="AR15" s="22">
        <f t="shared" si="5"/>
        <v>210665</v>
      </c>
      <c r="AS15" s="23"/>
      <c r="AT15" s="270">
        <v>121075</v>
      </c>
      <c r="AU15" s="270">
        <v>149376</v>
      </c>
      <c r="AV15" s="270">
        <v>104538</v>
      </c>
      <c r="AW15" s="270">
        <v>105262</v>
      </c>
      <c r="AX15" s="270">
        <v>121073</v>
      </c>
      <c r="AY15" s="270">
        <v>163931</v>
      </c>
      <c r="AZ15" s="270">
        <v>109964</v>
      </c>
      <c r="BA15" s="270">
        <v>148266</v>
      </c>
      <c r="BB15" s="26">
        <v>130697</v>
      </c>
      <c r="BC15" s="270">
        <v>113779</v>
      </c>
      <c r="BD15" s="270">
        <v>91119</v>
      </c>
      <c r="BE15" s="270">
        <v>103286</v>
      </c>
      <c r="BF15" s="22">
        <f t="shared" si="7"/>
        <v>103286</v>
      </c>
      <c r="BG15" s="27"/>
      <c r="BH15" s="270">
        <v>49631</v>
      </c>
      <c r="BI15" s="270">
        <v>52953</v>
      </c>
      <c r="BJ15" s="270">
        <v>28440</v>
      </c>
      <c r="BK15" s="270">
        <v>83601</v>
      </c>
      <c r="BL15" s="22">
        <v>25812</v>
      </c>
      <c r="BM15" s="22">
        <v>59545</v>
      </c>
      <c r="BN15" s="22">
        <v>83435</v>
      </c>
      <c r="BO15" s="22">
        <v>34041</v>
      </c>
      <c r="BP15" s="22">
        <v>22399</v>
      </c>
      <c r="BQ15" s="22">
        <v>24887</v>
      </c>
      <c r="BR15" s="22">
        <v>12183</v>
      </c>
      <c r="BS15" s="22">
        <v>12183</v>
      </c>
      <c r="BT15" s="22">
        <f t="shared" si="14"/>
        <v>12183</v>
      </c>
      <c r="BU15" s="28"/>
      <c r="BV15" s="270">
        <v>5216</v>
      </c>
      <c r="BW15" s="270"/>
      <c r="BX15" s="270">
        <v>65273</v>
      </c>
      <c r="BY15" s="270">
        <v>70182</v>
      </c>
      <c r="BZ15" s="22">
        <v>57659</v>
      </c>
      <c r="CA15" s="22">
        <v>71669</v>
      </c>
      <c r="CB15" s="22">
        <v>73078</v>
      </c>
      <c r="CC15" s="22">
        <v>85302</v>
      </c>
      <c r="CD15" s="22">
        <v>25343</v>
      </c>
      <c r="CE15" s="22"/>
      <c r="CF15" s="22"/>
      <c r="CG15" s="22"/>
      <c r="CH15" s="22">
        <f t="shared" si="12"/>
        <v>0</v>
      </c>
      <c r="CJ15" s="270"/>
      <c r="CK15" s="270"/>
      <c r="CL15" s="270"/>
      <c r="CM15" s="270"/>
      <c r="CN15" s="22"/>
      <c r="CO15" s="22"/>
      <c r="CP15" s="22"/>
      <c r="CQ15" s="22"/>
      <c r="CR15" s="22"/>
      <c r="CS15" s="22"/>
      <c r="CT15" s="22"/>
      <c r="CU15" s="22"/>
      <c r="CV15" s="22">
        <v>0</v>
      </c>
    </row>
    <row r="16" spans="1:100">
      <c r="A16" s="19">
        <v>4</v>
      </c>
      <c r="B16" s="158" t="s">
        <v>285</v>
      </c>
      <c r="C16" s="264"/>
      <c r="D16" s="268">
        <v>34116</v>
      </c>
      <c r="E16" s="269">
        <v>29277</v>
      </c>
      <c r="F16" s="269">
        <v>43008</v>
      </c>
      <c r="G16" s="269">
        <v>30524</v>
      </c>
      <c r="H16" s="269">
        <v>33235</v>
      </c>
      <c r="I16" s="269">
        <v>39842</v>
      </c>
      <c r="J16" s="269">
        <v>41021</v>
      </c>
      <c r="K16" s="269">
        <v>31224</v>
      </c>
      <c r="L16" s="269"/>
      <c r="M16" s="269">
        <v>10286</v>
      </c>
      <c r="N16" s="269"/>
      <c r="O16" s="269"/>
      <c r="P16" s="266"/>
      <c r="Q16" s="21"/>
      <c r="R16" s="268">
        <v>35516</v>
      </c>
      <c r="S16" s="270">
        <v>35962</v>
      </c>
      <c r="T16" s="270">
        <v>35962</v>
      </c>
      <c r="U16" s="270">
        <v>35962</v>
      </c>
      <c r="V16" s="270">
        <v>35000</v>
      </c>
      <c r="W16" s="270"/>
      <c r="X16" s="270">
        <v>6123</v>
      </c>
      <c r="Y16" s="270">
        <v>6123</v>
      </c>
      <c r="Z16" s="270">
        <v>4187</v>
      </c>
      <c r="AA16" s="270">
        <v>2745</v>
      </c>
      <c r="AB16" s="270"/>
      <c r="AC16" s="270"/>
      <c r="AD16" s="267"/>
      <c r="AE16" s="23"/>
      <c r="AF16" s="270">
        <v>8366</v>
      </c>
      <c r="AG16" s="270">
        <v>11534</v>
      </c>
      <c r="AH16" s="270">
        <v>11507</v>
      </c>
      <c r="AI16" s="270">
        <v>9148</v>
      </c>
      <c r="AJ16" s="22">
        <v>8524</v>
      </c>
      <c r="AK16" s="270">
        <v>25290</v>
      </c>
      <c r="AL16" s="270">
        <v>91080</v>
      </c>
      <c r="AM16" s="270">
        <v>66830</v>
      </c>
      <c r="AN16" s="270">
        <v>36866</v>
      </c>
      <c r="AO16" s="270">
        <v>16173</v>
      </c>
      <c r="AP16" s="271">
        <v>178274</v>
      </c>
      <c r="AQ16" s="270">
        <v>210665</v>
      </c>
      <c r="AR16" s="22">
        <f t="shared" ref="AR16" si="15">AQ16</f>
        <v>210665</v>
      </c>
      <c r="AS16" s="23"/>
      <c r="AT16" s="270">
        <v>121075</v>
      </c>
      <c r="AU16" s="270">
        <v>149376</v>
      </c>
      <c r="AV16" s="270">
        <v>104538</v>
      </c>
      <c r="AW16" s="270">
        <v>105262</v>
      </c>
      <c r="AX16" s="270">
        <v>121073</v>
      </c>
      <c r="AY16" s="270">
        <v>163931</v>
      </c>
      <c r="AZ16" s="270">
        <v>109964</v>
      </c>
      <c r="BA16" s="270">
        <v>148266</v>
      </c>
      <c r="BB16" s="26">
        <v>130697</v>
      </c>
      <c r="BC16" s="270">
        <v>113779</v>
      </c>
      <c r="BD16" s="270">
        <v>91119</v>
      </c>
      <c r="BE16" s="270">
        <v>103286</v>
      </c>
      <c r="BF16" s="22">
        <f t="shared" ref="BF16" si="16">BE16</f>
        <v>103286</v>
      </c>
      <c r="BG16" s="27"/>
      <c r="BH16" s="270">
        <v>49631</v>
      </c>
      <c r="BI16" s="270">
        <v>52953</v>
      </c>
      <c r="BJ16" s="270">
        <v>28440</v>
      </c>
      <c r="BK16" s="270">
        <v>83601</v>
      </c>
      <c r="BL16" s="22">
        <v>25812</v>
      </c>
      <c r="BM16" s="22">
        <v>59545</v>
      </c>
      <c r="BN16" s="22">
        <v>83435</v>
      </c>
      <c r="BO16" s="22">
        <v>34041</v>
      </c>
      <c r="BP16" s="22">
        <v>22399</v>
      </c>
      <c r="BQ16" s="22">
        <v>24887</v>
      </c>
      <c r="BR16" s="22">
        <v>12183</v>
      </c>
      <c r="BS16" s="22">
        <v>12183</v>
      </c>
      <c r="BT16" s="22">
        <f t="shared" ref="BT16" si="17">BS16</f>
        <v>12183</v>
      </c>
      <c r="BU16" s="28"/>
      <c r="BV16" s="270"/>
      <c r="BW16" s="270"/>
      <c r="BX16" s="270"/>
      <c r="BY16" s="270"/>
      <c r="BZ16" s="22"/>
      <c r="CA16" s="22"/>
      <c r="CB16" s="22"/>
      <c r="CC16" s="22"/>
      <c r="CD16" s="22">
        <v>6361</v>
      </c>
      <c r="CE16" s="22"/>
      <c r="CF16" s="22"/>
      <c r="CG16" s="22"/>
      <c r="CH16" s="22">
        <f t="shared" ref="CH16" si="18">CG16</f>
        <v>0</v>
      </c>
      <c r="CJ16" s="270"/>
      <c r="CK16" s="270"/>
      <c r="CL16" s="270"/>
      <c r="CM16" s="270"/>
      <c r="CN16" s="22"/>
      <c r="CO16" s="22"/>
      <c r="CP16" s="22"/>
      <c r="CQ16" s="22"/>
      <c r="CR16" s="22"/>
      <c r="CS16" s="22"/>
      <c r="CT16" s="22"/>
      <c r="CU16" s="22"/>
      <c r="CV16" s="22">
        <v>0</v>
      </c>
    </row>
    <row r="17" spans="1:100">
      <c r="A17" s="19">
        <v>1</v>
      </c>
      <c r="B17" s="158" t="s">
        <v>267</v>
      </c>
      <c r="C17" s="159"/>
      <c r="D17" s="265">
        <v>6409</v>
      </c>
      <c r="E17" s="20">
        <v>6860</v>
      </c>
      <c r="F17" s="20">
        <v>4970</v>
      </c>
      <c r="G17" s="20">
        <v>31203</v>
      </c>
      <c r="H17" s="20">
        <v>31499</v>
      </c>
      <c r="I17" s="20">
        <v>25903</v>
      </c>
      <c r="J17" s="20">
        <v>18606</v>
      </c>
      <c r="K17" s="20">
        <v>16014</v>
      </c>
      <c r="L17" s="20">
        <v>13416</v>
      </c>
      <c r="M17" s="20">
        <v>40079</v>
      </c>
      <c r="N17" s="20"/>
      <c r="O17" s="20">
        <v>0</v>
      </c>
      <c r="P17" s="266"/>
      <c r="Q17" s="21"/>
      <c r="R17" s="265">
        <v>3376</v>
      </c>
      <c r="S17" s="22">
        <v>11736</v>
      </c>
      <c r="T17" s="22">
        <v>22454</v>
      </c>
      <c r="U17" s="22">
        <v>21384</v>
      </c>
      <c r="V17" s="22">
        <v>66870</v>
      </c>
      <c r="W17" s="22">
        <v>73769</v>
      </c>
      <c r="X17" s="22">
        <v>13944</v>
      </c>
      <c r="Y17" s="22">
        <v>32750</v>
      </c>
      <c r="Z17" s="22">
        <v>18536</v>
      </c>
      <c r="AA17" s="22">
        <v>40211</v>
      </c>
      <c r="AB17" s="22">
        <v>44457</v>
      </c>
      <c r="AC17" s="22">
        <v>24504</v>
      </c>
      <c r="AD17" s="267"/>
      <c r="AE17" s="23"/>
      <c r="AF17" s="22">
        <v>18586</v>
      </c>
      <c r="AG17" s="22">
        <v>17539</v>
      </c>
      <c r="AH17" s="22">
        <v>20245</v>
      </c>
      <c r="AI17" s="22">
        <v>17669</v>
      </c>
      <c r="AJ17" s="22">
        <v>16769</v>
      </c>
      <c r="AK17" s="22">
        <v>31134</v>
      </c>
      <c r="AL17" s="22">
        <v>35711</v>
      </c>
      <c r="AM17" s="22">
        <v>29141</v>
      </c>
      <c r="AN17" s="22">
        <v>25307</v>
      </c>
      <c r="AO17" s="22">
        <v>35964</v>
      </c>
      <c r="AP17" s="25">
        <v>37378</v>
      </c>
      <c r="AQ17" s="22">
        <v>22159</v>
      </c>
      <c r="AR17" s="22">
        <f t="shared" si="5"/>
        <v>22159</v>
      </c>
      <c r="AS17" s="23"/>
      <c r="AT17" s="22">
        <v>24034</v>
      </c>
      <c r="AU17" s="270">
        <v>22061</v>
      </c>
      <c r="AV17" s="22">
        <v>22489</v>
      </c>
      <c r="AW17" s="22">
        <v>25124</v>
      </c>
      <c r="AX17" s="22">
        <v>22794</v>
      </c>
      <c r="AY17" s="22">
        <v>17777</v>
      </c>
      <c r="AZ17" s="22">
        <v>34345</v>
      </c>
      <c r="BA17" s="22">
        <v>17580</v>
      </c>
      <c r="BB17" s="26">
        <v>26992</v>
      </c>
      <c r="BC17" s="22">
        <v>21373</v>
      </c>
      <c r="BD17" s="22">
        <v>21202</v>
      </c>
      <c r="BE17" s="22">
        <v>19109</v>
      </c>
      <c r="BF17" s="22">
        <f t="shared" si="7"/>
        <v>19109</v>
      </c>
      <c r="BG17" s="27"/>
      <c r="BH17" s="22">
        <v>22216</v>
      </c>
      <c r="BI17" s="270">
        <v>19102</v>
      </c>
      <c r="BJ17" s="22">
        <v>20676</v>
      </c>
      <c r="BK17" s="22">
        <v>19892</v>
      </c>
      <c r="BL17" s="22">
        <v>48737</v>
      </c>
      <c r="BM17" s="22">
        <v>45521</v>
      </c>
      <c r="BN17" s="22">
        <v>41781</v>
      </c>
      <c r="BO17" s="22">
        <v>48019</v>
      </c>
      <c r="BP17" s="22">
        <v>43955</v>
      </c>
      <c r="BQ17" s="22">
        <v>41505</v>
      </c>
      <c r="BR17" s="22">
        <v>28306</v>
      </c>
      <c r="BS17" s="22">
        <v>23731</v>
      </c>
      <c r="BT17" s="22">
        <f t="shared" si="14"/>
        <v>23731</v>
      </c>
      <c r="BU17" s="28"/>
      <c r="BV17" s="22">
        <v>28505</v>
      </c>
      <c r="BW17" s="270">
        <v>25054</v>
      </c>
      <c r="BX17" s="22">
        <v>24396</v>
      </c>
      <c r="BY17" s="22">
        <v>21708</v>
      </c>
      <c r="BZ17" s="22">
        <v>17857</v>
      </c>
      <c r="CA17" s="22">
        <v>33103</v>
      </c>
      <c r="CB17" s="22">
        <v>29327</v>
      </c>
      <c r="CC17" s="22">
        <v>27562</v>
      </c>
      <c r="CD17" s="22">
        <v>19590</v>
      </c>
      <c r="CE17" s="22"/>
      <c r="CF17" s="22"/>
      <c r="CG17" s="22"/>
      <c r="CH17" s="22">
        <f t="shared" si="12"/>
        <v>0</v>
      </c>
      <c r="CJ17" s="22"/>
      <c r="CK17" s="270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>
        <v>0</v>
      </c>
    </row>
    <row r="18" spans="1:100">
      <c r="A18" s="29"/>
      <c r="B18" s="272" t="s">
        <v>41</v>
      </c>
      <c r="C18" s="273"/>
      <c r="D18" s="274">
        <f t="shared" ref="D18:O18" si="19">D10-D15</f>
        <v>270670</v>
      </c>
      <c r="E18" s="30">
        <f t="shared" si="19"/>
        <v>282709</v>
      </c>
      <c r="F18" s="30">
        <f t="shared" si="19"/>
        <v>285223</v>
      </c>
      <c r="G18" s="30">
        <f t="shared" si="19"/>
        <v>287349</v>
      </c>
      <c r="H18" s="30">
        <f t="shared" si="19"/>
        <v>313961</v>
      </c>
      <c r="I18" s="30">
        <f t="shared" si="19"/>
        <v>362411</v>
      </c>
      <c r="J18" s="30">
        <f t="shared" si="19"/>
        <v>413467</v>
      </c>
      <c r="K18" s="30">
        <f t="shared" si="19"/>
        <v>415958</v>
      </c>
      <c r="L18" s="30">
        <f t="shared" si="19"/>
        <v>416931</v>
      </c>
      <c r="M18" s="30">
        <f t="shared" si="19"/>
        <v>294116</v>
      </c>
      <c r="N18" s="30">
        <f t="shared" si="19"/>
        <v>0</v>
      </c>
      <c r="O18" s="30">
        <f t="shared" si="19"/>
        <v>188264</v>
      </c>
      <c r="P18" s="275"/>
      <c r="Q18" s="31"/>
      <c r="R18" s="274">
        <f t="shared" ref="R18:AB18" si="20">R10-R15</f>
        <v>247843</v>
      </c>
      <c r="S18" s="32">
        <f t="shared" si="20"/>
        <v>306756</v>
      </c>
      <c r="T18" s="32">
        <f t="shared" si="20"/>
        <v>277250</v>
      </c>
      <c r="U18" s="32">
        <f t="shared" si="20"/>
        <v>262131</v>
      </c>
      <c r="V18" s="32">
        <f t="shared" si="20"/>
        <v>171617</v>
      </c>
      <c r="W18" s="32">
        <f t="shared" si="20"/>
        <v>235875</v>
      </c>
      <c r="X18" s="32">
        <f t="shared" si="20"/>
        <v>354012</v>
      </c>
      <c r="Y18" s="32">
        <f t="shared" si="20"/>
        <v>355542</v>
      </c>
      <c r="Z18" s="32">
        <f t="shared" si="20"/>
        <v>349213</v>
      </c>
      <c r="AA18" s="32">
        <f t="shared" si="20"/>
        <v>269352</v>
      </c>
      <c r="AB18" s="32">
        <f t="shared" si="20"/>
        <v>170626</v>
      </c>
      <c r="AC18" s="32"/>
      <c r="AD18" s="276"/>
      <c r="AE18" s="17"/>
      <c r="AF18" s="32">
        <f t="shared" ref="AF18:AQ18" si="21">AF10-AF15</f>
        <v>246973</v>
      </c>
      <c r="AG18" s="32">
        <f t="shared" si="21"/>
        <v>281087</v>
      </c>
      <c r="AH18" s="32">
        <f t="shared" si="21"/>
        <v>386469</v>
      </c>
      <c r="AI18" s="32">
        <f t="shared" si="21"/>
        <v>379017</v>
      </c>
      <c r="AJ18" s="32">
        <f t="shared" si="21"/>
        <v>400777</v>
      </c>
      <c r="AK18" s="32">
        <f t="shared" si="21"/>
        <v>465623</v>
      </c>
      <c r="AL18" s="32">
        <f t="shared" si="21"/>
        <v>472149</v>
      </c>
      <c r="AM18" s="32">
        <f t="shared" si="21"/>
        <v>492339</v>
      </c>
      <c r="AN18" s="32">
        <f t="shared" si="21"/>
        <v>450428</v>
      </c>
      <c r="AO18" s="32">
        <f t="shared" si="21"/>
        <v>391441</v>
      </c>
      <c r="AP18" s="32">
        <f t="shared" si="21"/>
        <v>325482</v>
      </c>
      <c r="AQ18" s="32">
        <f t="shared" si="21"/>
        <v>321014</v>
      </c>
      <c r="AR18" s="32">
        <f t="shared" si="5"/>
        <v>321014</v>
      </c>
      <c r="AS18" s="17"/>
      <c r="AT18" s="32">
        <f t="shared" ref="AT18:BE18" si="22">AT10-AT15</f>
        <v>350303</v>
      </c>
      <c r="AU18" s="32">
        <f t="shared" si="22"/>
        <v>323931</v>
      </c>
      <c r="AV18" s="32">
        <f t="shared" si="22"/>
        <v>307980</v>
      </c>
      <c r="AW18" s="32">
        <f t="shared" si="22"/>
        <v>292777</v>
      </c>
      <c r="AX18" s="32">
        <f t="shared" si="22"/>
        <v>296754</v>
      </c>
      <c r="AY18" s="32">
        <f t="shared" si="22"/>
        <v>344037</v>
      </c>
      <c r="AZ18" s="32">
        <f t="shared" si="22"/>
        <v>367566</v>
      </c>
      <c r="BA18" s="32">
        <f t="shared" si="22"/>
        <v>372442</v>
      </c>
      <c r="BB18" s="32">
        <f t="shared" si="22"/>
        <v>375154</v>
      </c>
      <c r="BC18" s="32">
        <f t="shared" si="22"/>
        <v>340466</v>
      </c>
      <c r="BD18" s="32">
        <f t="shared" si="22"/>
        <v>314581</v>
      </c>
      <c r="BE18" s="32">
        <f t="shared" si="22"/>
        <v>253219</v>
      </c>
      <c r="BF18" s="32">
        <f t="shared" si="7"/>
        <v>253219</v>
      </c>
      <c r="BG18" s="17"/>
      <c r="BH18" s="32">
        <f t="shared" ref="BH18:BQ18" si="23">BH10-BH15</f>
        <v>307512</v>
      </c>
      <c r="BI18" s="32">
        <f t="shared" si="23"/>
        <v>302058</v>
      </c>
      <c r="BJ18" s="32">
        <f t="shared" si="23"/>
        <v>315841</v>
      </c>
      <c r="BK18" s="32">
        <f t="shared" si="23"/>
        <v>306027</v>
      </c>
      <c r="BL18" s="32">
        <f t="shared" si="23"/>
        <v>299077</v>
      </c>
      <c r="BM18" s="32">
        <f t="shared" si="23"/>
        <v>293121</v>
      </c>
      <c r="BN18" s="32">
        <f t="shared" si="23"/>
        <v>335286</v>
      </c>
      <c r="BO18" s="32">
        <f t="shared" si="23"/>
        <v>322561</v>
      </c>
      <c r="BP18" s="32">
        <f t="shared" si="23"/>
        <v>304307</v>
      </c>
      <c r="BQ18" s="32">
        <f t="shared" si="23"/>
        <v>280100</v>
      </c>
      <c r="BR18" s="32">
        <f>BR10-BR15</f>
        <v>215852</v>
      </c>
      <c r="BS18" s="32">
        <f>BS10-BS15</f>
        <v>188982</v>
      </c>
      <c r="BT18" s="32">
        <f>BS18</f>
        <v>188982</v>
      </c>
      <c r="BU18" s="28"/>
      <c r="BV18" s="32">
        <f>BV10-BV15</f>
        <v>189962</v>
      </c>
      <c r="BW18" s="32">
        <f t="shared" ref="BW18:CG18" si="24">BW10-BW15</f>
        <v>172211.16954819704</v>
      </c>
      <c r="BX18" s="32">
        <f t="shared" si="24"/>
        <v>122217</v>
      </c>
      <c r="BY18" s="32">
        <f t="shared" si="24"/>
        <v>142641</v>
      </c>
      <c r="BZ18" s="32">
        <f t="shared" si="24"/>
        <v>180296</v>
      </c>
      <c r="CA18" s="32">
        <f>CA10-CA15</f>
        <v>183243.87089903158</v>
      </c>
      <c r="CB18" s="32">
        <f>CB10-CB15</f>
        <v>184848.65645141559</v>
      </c>
      <c r="CC18" s="32">
        <f t="shared" si="24"/>
        <v>144123.56700256452</v>
      </c>
      <c r="CD18" s="32">
        <f>CD10-CD15</f>
        <v>164049.52686697111</v>
      </c>
      <c r="CE18" s="32">
        <f>CE10-CE15</f>
        <v>153470.22300485219</v>
      </c>
      <c r="CF18" s="32">
        <f t="shared" si="24"/>
        <v>140754.38076855033</v>
      </c>
      <c r="CG18" s="32">
        <f t="shared" si="24"/>
        <v>161270.56407683995</v>
      </c>
      <c r="CH18" s="32">
        <f t="shared" si="12"/>
        <v>161270.56407683995</v>
      </c>
      <c r="CJ18" s="32">
        <v>242497</v>
      </c>
      <c r="CK18" s="32">
        <v>234422.08006563294</v>
      </c>
      <c r="CL18" s="32">
        <v>194348.7132915963</v>
      </c>
      <c r="CM18" s="32">
        <v>223062.99421980139</v>
      </c>
      <c r="CN18" s="32">
        <v>228884.86858944659</v>
      </c>
      <c r="CO18" s="32">
        <v>240669.78918926936</v>
      </c>
      <c r="CP18" s="32">
        <v>234679.65868928705</v>
      </c>
      <c r="CQ18" s="32">
        <v>197008.01236523816</v>
      </c>
      <c r="CR18" s="32">
        <v>148007.96159444697</v>
      </c>
      <c r="CS18" s="32">
        <v>111276.29521213027</v>
      </c>
      <c r="CT18" s="32">
        <v>93072.105643725808</v>
      </c>
      <c r="CU18" s="32">
        <v>116080.10690622788</v>
      </c>
      <c r="CV18" s="32">
        <v>116080.10690622788</v>
      </c>
    </row>
    <row r="19" spans="1:100">
      <c r="A19" s="13" t="s">
        <v>42</v>
      </c>
      <c r="B19" s="259"/>
      <c r="C19" s="260" t="s">
        <v>43</v>
      </c>
      <c r="D19" s="277">
        <f>D13-D15</f>
        <v>162884</v>
      </c>
      <c r="E19" s="33">
        <f t="shared" ref="E19:O19" si="25">E13+E17-E15-E55</f>
        <v>200610</v>
      </c>
      <c r="F19" s="33">
        <f t="shared" si="25"/>
        <v>192475</v>
      </c>
      <c r="G19" s="33">
        <f t="shared" si="25"/>
        <v>231853</v>
      </c>
      <c r="H19" s="33">
        <f t="shared" si="25"/>
        <v>253292</v>
      </c>
      <c r="I19" s="33">
        <f t="shared" si="25"/>
        <v>305688</v>
      </c>
      <c r="J19" s="33">
        <f t="shared" si="25"/>
        <v>355297</v>
      </c>
      <c r="K19" s="33">
        <f t="shared" si="25"/>
        <v>367201</v>
      </c>
      <c r="L19" s="33">
        <f t="shared" si="25"/>
        <v>407523</v>
      </c>
      <c r="M19" s="33">
        <f t="shared" si="25"/>
        <v>297747</v>
      </c>
      <c r="N19" s="33">
        <f t="shared" si="25"/>
        <v>0</v>
      </c>
      <c r="O19" s="33">
        <f t="shared" si="25"/>
        <v>143875</v>
      </c>
      <c r="P19" s="262">
        <f>J19</f>
        <v>355297</v>
      </c>
      <c r="Q19" s="15"/>
      <c r="R19" s="277">
        <f>R13-R15</f>
        <v>172568</v>
      </c>
      <c r="S19" s="14">
        <f t="shared" ref="S19:AC19" si="26">S13+S17-S15-S55</f>
        <v>244205</v>
      </c>
      <c r="T19" s="14">
        <f t="shared" si="26"/>
        <v>237108</v>
      </c>
      <c r="U19" s="14">
        <f t="shared" si="26"/>
        <v>222510</v>
      </c>
      <c r="V19" s="14">
        <f t="shared" si="26"/>
        <v>179647</v>
      </c>
      <c r="W19" s="14">
        <f t="shared" si="26"/>
        <v>289587</v>
      </c>
      <c r="X19" s="14">
        <f t="shared" si="26"/>
        <v>281331</v>
      </c>
      <c r="Y19" s="14">
        <f t="shared" si="26"/>
        <v>325686</v>
      </c>
      <c r="Z19" s="14">
        <f t="shared" si="26"/>
        <v>319329</v>
      </c>
      <c r="AA19" s="14">
        <f t="shared" si="26"/>
        <v>268663</v>
      </c>
      <c r="AB19" s="14">
        <f t="shared" si="26"/>
        <v>187543</v>
      </c>
      <c r="AC19" s="14">
        <f t="shared" si="26"/>
        <v>196995</v>
      </c>
      <c r="AD19" s="263">
        <f>X19</f>
        <v>281331</v>
      </c>
      <c r="AE19" s="16"/>
      <c r="AF19" s="14">
        <f t="shared" ref="AF19:AQ19" si="27">AF13+AF15+AF14</f>
        <v>228387</v>
      </c>
      <c r="AG19" s="14">
        <f t="shared" si="27"/>
        <v>263548</v>
      </c>
      <c r="AH19" s="14">
        <f t="shared" si="27"/>
        <v>366224</v>
      </c>
      <c r="AI19" s="14">
        <f t="shared" si="27"/>
        <v>361348</v>
      </c>
      <c r="AJ19" s="14">
        <f t="shared" si="27"/>
        <v>384008</v>
      </c>
      <c r="AK19" s="14">
        <f t="shared" si="27"/>
        <v>434489</v>
      </c>
      <c r="AL19" s="14">
        <f t="shared" si="27"/>
        <v>436438</v>
      </c>
      <c r="AM19" s="14">
        <f t="shared" si="27"/>
        <v>463198</v>
      </c>
      <c r="AN19" s="14">
        <f t="shared" si="27"/>
        <v>425121</v>
      </c>
      <c r="AO19" s="14">
        <f t="shared" si="27"/>
        <v>355477</v>
      </c>
      <c r="AP19" s="14">
        <f t="shared" si="27"/>
        <v>288104</v>
      </c>
      <c r="AQ19" s="14">
        <f t="shared" si="27"/>
        <v>298855</v>
      </c>
      <c r="AR19" s="14">
        <f t="shared" si="5"/>
        <v>298855</v>
      </c>
      <c r="AS19" s="17"/>
      <c r="AT19" s="14">
        <f t="shared" ref="AT19:BE19" si="28">AT13+AT15+AT14</f>
        <v>326269</v>
      </c>
      <c r="AU19" s="14">
        <f t="shared" si="28"/>
        <v>301870</v>
      </c>
      <c r="AV19" s="14">
        <f t="shared" si="28"/>
        <v>285491</v>
      </c>
      <c r="AW19" s="14">
        <f t="shared" si="28"/>
        <v>267653</v>
      </c>
      <c r="AX19" s="14">
        <f t="shared" si="28"/>
        <v>273960</v>
      </c>
      <c r="AY19" s="14">
        <f t="shared" si="28"/>
        <v>326260</v>
      </c>
      <c r="AZ19" s="14">
        <f t="shared" si="28"/>
        <v>333221</v>
      </c>
      <c r="BA19" s="14">
        <f t="shared" si="28"/>
        <v>354862</v>
      </c>
      <c r="BB19" s="14">
        <f t="shared" si="28"/>
        <v>348162</v>
      </c>
      <c r="BC19" s="14">
        <f t="shared" si="28"/>
        <v>319093</v>
      </c>
      <c r="BD19" s="14">
        <f t="shared" si="28"/>
        <v>293379</v>
      </c>
      <c r="BE19" s="14">
        <f t="shared" si="28"/>
        <v>234110</v>
      </c>
      <c r="BF19" s="32">
        <f t="shared" ref="BF19:BF20" si="29">SUM(AT19:BE19)</f>
        <v>3664330</v>
      </c>
      <c r="BG19" s="17"/>
      <c r="BH19" s="14">
        <f t="shared" ref="BH19:BS19" si="30">BH13+BH15+BH14</f>
        <v>285296</v>
      </c>
      <c r="BI19" s="14">
        <f t="shared" si="30"/>
        <v>282956</v>
      </c>
      <c r="BJ19" s="14">
        <f t="shared" si="30"/>
        <v>295165</v>
      </c>
      <c r="BK19" s="14">
        <f t="shared" si="30"/>
        <v>286135</v>
      </c>
      <c r="BL19" s="14">
        <f t="shared" si="30"/>
        <v>250340</v>
      </c>
      <c r="BM19" s="14">
        <f t="shared" si="30"/>
        <v>247600</v>
      </c>
      <c r="BN19" s="14">
        <f t="shared" si="30"/>
        <v>293505</v>
      </c>
      <c r="BO19" s="14">
        <f t="shared" si="30"/>
        <v>274542</v>
      </c>
      <c r="BP19" s="14">
        <f t="shared" si="30"/>
        <v>260352</v>
      </c>
      <c r="BQ19" s="14">
        <f>BQ13+BQ15+BQ14</f>
        <v>238595</v>
      </c>
      <c r="BR19" s="14">
        <f t="shared" si="30"/>
        <v>187546</v>
      </c>
      <c r="BS19" s="14">
        <f t="shared" si="30"/>
        <v>189617</v>
      </c>
      <c r="BT19" s="14">
        <f t="shared" si="14"/>
        <v>189617</v>
      </c>
      <c r="BU19" s="18"/>
      <c r="BV19" s="14">
        <f t="shared" ref="BV19:CG19" si="31">BV13+BV15+BV14</f>
        <v>171889</v>
      </c>
      <c r="BW19" s="14">
        <f>BW13+BW17+BW14</f>
        <v>193178</v>
      </c>
      <c r="BX19" s="14">
        <f t="shared" si="31"/>
        <v>228367</v>
      </c>
      <c r="BY19" s="14">
        <f t="shared" si="31"/>
        <v>261297</v>
      </c>
      <c r="BZ19" s="14">
        <f t="shared" si="31"/>
        <v>277757</v>
      </c>
      <c r="CA19" s="14">
        <f t="shared" si="31"/>
        <v>329719</v>
      </c>
      <c r="CB19" s="14">
        <f t="shared" si="31"/>
        <v>316656</v>
      </c>
      <c r="CC19" s="14">
        <f t="shared" si="31"/>
        <v>290388</v>
      </c>
      <c r="CD19" s="14">
        <f t="shared" si="31"/>
        <v>185778</v>
      </c>
      <c r="CE19" s="14">
        <f t="shared" si="31"/>
        <v>122624.81133098702</v>
      </c>
      <c r="CF19" s="14">
        <f t="shared" si="31"/>
        <v>118464.76120650026</v>
      </c>
      <c r="CG19" s="14">
        <f t="shared" si="31"/>
        <v>143355.13534937543</v>
      </c>
      <c r="CH19" s="14">
        <f t="shared" si="12"/>
        <v>143355.13534937543</v>
      </c>
      <c r="CJ19" s="14">
        <v>224424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</row>
    <row r="20" spans="1:100">
      <c r="A20" s="34" t="s">
        <v>44</v>
      </c>
      <c r="B20" s="278"/>
      <c r="C20" s="445" t="s">
        <v>45</v>
      </c>
      <c r="D20" s="277">
        <f t="shared" ref="D20:O20" si="32">D10-D17-D15</f>
        <v>264261</v>
      </c>
      <c r="E20" s="33">
        <f t="shared" si="32"/>
        <v>275849</v>
      </c>
      <c r="F20" s="33">
        <f t="shared" si="32"/>
        <v>280253</v>
      </c>
      <c r="G20" s="33">
        <f t="shared" si="32"/>
        <v>256146</v>
      </c>
      <c r="H20" s="33">
        <f t="shared" si="32"/>
        <v>282462</v>
      </c>
      <c r="I20" s="33">
        <f t="shared" si="32"/>
        <v>336508</v>
      </c>
      <c r="J20" s="33">
        <f t="shared" si="32"/>
        <v>394861</v>
      </c>
      <c r="K20" s="33">
        <f t="shared" si="32"/>
        <v>399944</v>
      </c>
      <c r="L20" s="33">
        <f t="shared" si="32"/>
        <v>403515</v>
      </c>
      <c r="M20" s="33">
        <f t="shared" si="32"/>
        <v>254037</v>
      </c>
      <c r="N20" s="33">
        <f t="shared" si="32"/>
        <v>0</v>
      </c>
      <c r="O20" s="33">
        <f t="shared" si="32"/>
        <v>188264</v>
      </c>
      <c r="P20" s="262">
        <f t="shared" ref="P20:P21" si="33">O20</f>
        <v>188264</v>
      </c>
      <c r="Q20" s="15"/>
      <c r="R20" s="277">
        <f t="shared" ref="R20:AC20" si="34">R10-R17-R15</f>
        <v>244467</v>
      </c>
      <c r="S20" s="14">
        <f t="shared" si="34"/>
        <v>295020</v>
      </c>
      <c r="T20" s="14">
        <f t="shared" si="34"/>
        <v>254796</v>
      </c>
      <c r="U20" s="14">
        <f t="shared" si="34"/>
        <v>240747</v>
      </c>
      <c r="V20" s="14">
        <f t="shared" si="34"/>
        <v>104747</v>
      </c>
      <c r="W20" s="14">
        <f t="shared" si="34"/>
        <v>162106</v>
      </c>
      <c r="X20" s="14">
        <f t="shared" si="34"/>
        <v>340068</v>
      </c>
      <c r="Y20" s="14">
        <f t="shared" si="34"/>
        <v>322792</v>
      </c>
      <c r="Z20" s="14">
        <f t="shared" si="34"/>
        <v>330677</v>
      </c>
      <c r="AA20" s="14">
        <f t="shared" si="34"/>
        <v>229141</v>
      </c>
      <c r="AB20" s="14">
        <f t="shared" si="34"/>
        <v>126169</v>
      </c>
      <c r="AC20" s="14">
        <f t="shared" si="34"/>
        <v>173047</v>
      </c>
      <c r="AD20" s="263">
        <f t="shared" ref="AD20:AD21" si="35">AC20</f>
        <v>173047</v>
      </c>
      <c r="AE20" s="16"/>
      <c r="AF20" s="261">
        <f t="shared" ref="AF20:AQ20" si="36">AF19-AF15</f>
        <v>220021</v>
      </c>
      <c r="AG20" s="261">
        <f t="shared" si="36"/>
        <v>252014</v>
      </c>
      <c r="AH20" s="261">
        <f t="shared" si="36"/>
        <v>354717</v>
      </c>
      <c r="AI20" s="261">
        <f t="shared" si="36"/>
        <v>352200</v>
      </c>
      <c r="AJ20" s="261">
        <f t="shared" si="36"/>
        <v>375484</v>
      </c>
      <c r="AK20" s="261">
        <f t="shared" si="36"/>
        <v>409199</v>
      </c>
      <c r="AL20" s="261">
        <f t="shared" si="36"/>
        <v>345358</v>
      </c>
      <c r="AM20" s="261">
        <f t="shared" si="36"/>
        <v>396368</v>
      </c>
      <c r="AN20" s="261">
        <f t="shared" si="36"/>
        <v>388255</v>
      </c>
      <c r="AO20" s="261">
        <f t="shared" si="36"/>
        <v>339304</v>
      </c>
      <c r="AP20" s="261">
        <f t="shared" si="36"/>
        <v>109830</v>
      </c>
      <c r="AQ20" s="261">
        <f t="shared" si="36"/>
        <v>88190</v>
      </c>
      <c r="AR20" s="14">
        <f t="shared" si="5"/>
        <v>88190</v>
      </c>
      <c r="AS20" s="17"/>
      <c r="AT20" s="261">
        <f t="shared" ref="AT20:BE20" si="37">AT19-AT15</f>
        <v>205194</v>
      </c>
      <c r="AU20" s="261">
        <f t="shared" si="37"/>
        <v>152494</v>
      </c>
      <c r="AV20" s="261">
        <f t="shared" si="37"/>
        <v>180953</v>
      </c>
      <c r="AW20" s="261">
        <f t="shared" si="37"/>
        <v>162391</v>
      </c>
      <c r="AX20" s="261">
        <f t="shared" si="37"/>
        <v>152887</v>
      </c>
      <c r="AY20" s="261">
        <f t="shared" si="37"/>
        <v>162329</v>
      </c>
      <c r="AZ20" s="261">
        <f t="shared" si="37"/>
        <v>223257</v>
      </c>
      <c r="BA20" s="261">
        <f t="shared" si="37"/>
        <v>206596</v>
      </c>
      <c r="BB20" s="261">
        <f t="shared" si="37"/>
        <v>217465</v>
      </c>
      <c r="BC20" s="261">
        <f t="shared" si="37"/>
        <v>205314</v>
      </c>
      <c r="BD20" s="261">
        <f t="shared" si="37"/>
        <v>202260</v>
      </c>
      <c r="BE20" s="261">
        <f t="shared" si="37"/>
        <v>130824</v>
      </c>
      <c r="BF20" s="32">
        <f t="shared" si="29"/>
        <v>2201964</v>
      </c>
      <c r="BG20" s="35">
        <f>SUM(AT23:AY23)/SUM(AF56:AK56)-1</f>
        <v>0.2283258050797119</v>
      </c>
      <c r="BH20" s="416">
        <f t="shared" ref="BH20:BS20" si="38">BH19-BH15</f>
        <v>235665</v>
      </c>
      <c r="BI20" s="416">
        <f t="shared" si="38"/>
        <v>230003</v>
      </c>
      <c r="BJ20" s="416">
        <f t="shared" si="38"/>
        <v>266725</v>
      </c>
      <c r="BK20" s="416">
        <f t="shared" si="38"/>
        <v>202534</v>
      </c>
      <c r="BL20" s="417">
        <f t="shared" si="38"/>
        <v>224528</v>
      </c>
      <c r="BM20" s="417">
        <f t="shared" si="38"/>
        <v>188055</v>
      </c>
      <c r="BN20" s="417">
        <f t="shared" si="38"/>
        <v>210070</v>
      </c>
      <c r="BO20" s="417">
        <f t="shared" si="38"/>
        <v>240501</v>
      </c>
      <c r="BP20" s="417">
        <f t="shared" si="38"/>
        <v>237953</v>
      </c>
      <c r="BQ20" s="417">
        <f t="shared" si="38"/>
        <v>213708</v>
      </c>
      <c r="BR20" s="417">
        <f t="shared" si="38"/>
        <v>175363</v>
      </c>
      <c r="BS20" s="417">
        <f t="shared" si="38"/>
        <v>177434</v>
      </c>
      <c r="BT20" s="417">
        <f t="shared" si="14"/>
        <v>177434</v>
      </c>
      <c r="BU20" s="18"/>
      <c r="BV20" s="261">
        <f t="shared" ref="BV20:CG20" si="39">BV19-BV15</f>
        <v>166673</v>
      </c>
      <c r="BW20" s="261">
        <f t="shared" si="39"/>
        <v>193178</v>
      </c>
      <c r="BX20" s="261">
        <f t="shared" si="39"/>
        <v>163094</v>
      </c>
      <c r="BY20" s="416">
        <f t="shared" si="39"/>
        <v>191115</v>
      </c>
      <c r="BZ20" s="417">
        <f t="shared" si="39"/>
        <v>220098</v>
      </c>
      <c r="CA20" s="417">
        <f t="shared" si="39"/>
        <v>258050</v>
      </c>
      <c r="CB20" s="417">
        <f t="shared" si="39"/>
        <v>243578</v>
      </c>
      <c r="CC20" s="417">
        <f t="shared" si="39"/>
        <v>205086</v>
      </c>
      <c r="CD20" s="417">
        <f t="shared" si="39"/>
        <v>160435</v>
      </c>
      <c r="CE20" s="417">
        <f t="shared" si="39"/>
        <v>122624.81133098702</v>
      </c>
      <c r="CF20" s="417">
        <f t="shared" si="39"/>
        <v>118464.76120650026</v>
      </c>
      <c r="CG20" s="417">
        <f t="shared" si="39"/>
        <v>143355.13534937543</v>
      </c>
      <c r="CH20" s="417">
        <f t="shared" si="12"/>
        <v>143355.13534937543</v>
      </c>
      <c r="CJ20" s="261">
        <v>219208</v>
      </c>
      <c r="CK20" s="261">
        <v>0</v>
      </c>
      <c r="CL20" s="261">
        <v>0</v>
      </c>
      <c r="CM20" s="416">
        <v>0</v>
      </c>
      <c r="CN20" s="417">
        <v>0</v>
      </c>
      <c r="CO20" s="417">
        <v>0</v>
      </c>
      <c r="CP20" s="417">
        <v>0</v>
      </c>
      <c r="CQ20" s="417">
        <v>0</v>
      </c>
      <c r="CR20" s="417">
        <v>0</v>
      </c>
      <c r="CS20" s="417">
        <v>0</v>
      </c>
      <c r="CT20" s="417">
        <v>0</v>
      </c>
      <c r="CU20" s="417">
        <v>0</v>
      </c>
      <c r="CV20" s="417">
        <v>0</v>
      </c>
    </row>
    <row r="21" spans="1:100" ht="15.75">
      <c r="A21" s="447" t="s">
        <v>46</v>
      </c>
      <c r="B21" s="448"/>
      <c r="C21" s="449" t="s">
        <v>47</v>
      </c>
      <c r="D21" s="281">
        <f t="shared" ref="D21:O21" si="40">D10</f>
        <v>304786</v>
      </c>
      <c r="E21" s="37">
        <f t="shared" si="40"/>
        <v>311986</v>
      </c>
      <c r="F21" s="37">
        <f t="shared" si="40"/>
        <v>328231</v>
      </c>
      <c r="G21" s="37">
        <f t="shared" si="40"/>
        <v>317873</v>
      </c>
      <c r="H21" s="37">
        <f t="shared" si="40"/>
        <v>347196</v>
      </c>
      <c r="I21" s="37">
        <f t="shared" si="40"/>
        <v>402253</v>
      </c>
      <c r="J21" s="37">
        <f t="shared" si="40"/>
        <v>454488</v>
      </c>
      <c r="K21" s="37">
        <f t="shared" si="40"/>
        <v>447182</v>
      </c>
      <c r="L21" s="37">
        <f t="shared" si="40"/>
        <v>416931</v>
      </c>
      <c r="M21" s="37">
        <f t="shared" si="40"/>
        <v>304402</v>
      </c>
      <c r="N21" s="37">
        <f t="shared" si="40"/>
        <v>0</v>
      </c>
      <c r="O21" s="37">
        <f t="shared" si="40"/>
        <v>188264</v>
      </c>
      <c r="P21" s="38">
        <f t="shared" si="33"/>
        <v>188264</v>
      </c>
      <c r="Q21" s="39"/>
      <c r="R21" s="40">
        <f t="shared" ref="R21:AC21" si="41">R10</f>
        <v>283359</v>
      </c>
      <c r="S21" s="41">
        <f t="shared" si="41"/>
        <v>342718</v>
      </c>
      <c r="T21" s="41">
        <f t="shared" si="41"/>
        <v>313212</v>
      </c>
      <c r="U21" s="41">
        <f t="shared" si="41"/>
        <v>298093</v>
      </c>
      <c r="V21" s="41">
        <f t="shared" si="41"/>
        <v>206617</v>
      </c>
      <c r="W21" s="41">
        <f t="shared" si="41"/>
        <v>235875</v>
      </c>
      <c r="X21" s="41">
        <f t="shared" si="41"/>
        <v>360135</v>
      </c>
      <c r="Y21" s="41">
        <f t="shared" si="41"/>
        <v>361665</v>
      </c>
      <c r="Z21" s="41">
        <f t="shared" si="41"/>
        <v>353400</v>
      </c>
      <c r="AA21" s="41">
        <f t="shared" si="41"/>
        <v>272097</v>
      </c>
      <c r="AB21" s="41">
        <f t="shared" si="41"/>
        <v>170626</v>
      </c>
      <c r="AC21" s="41">
        <f t="shared" si="41"/>
        <v>197551</v>
      </c>
      <c r="AD21" s="229">
        <f t="shared" si="35"/>
        <v>197551</v>
      </c>
      <c r="AE21" s="42"/>
      <c r="AF21" s="41">
        <f>AF10-AF55</f>
        <v>255339</v>
      </c>
      <c r="AG21" s="41">
        <f t="shared" ref="AG21:AQ21" si="42">AG10-AG55</f>
        <v>292621</v>
      </c>
      <c r="AH21" s="41">
        <f t="shared" si="42"/>
        <v>397976</v>
      </c>
      <c r="AI21" s="41">
        <f t="shared" si="42"/>
        <v>388165</v>
      </c>
      <c r="AJ21" s="41">
        <f t="shared" si="42"/>
        <v>409301</v>
      </c>
      <c r="AK21" s="41">
        <f t="shared" si="42"/>
        <v>490913</v>
      </c>
      <c r="AL21" s="41">
        <f t="shared" si="42"/>
        <v>563229</v>
      </c>
      <c r="AM21" s="41">
        <f t="shared" si="42"/>
        <v>559169</v>
      </c>
      <c r="AN21" s="41">
        <f t="shared" si="42"/>
        <v>487294</v>
      </c>
      <c r="AO21" s="41">
        <f t="shared" si="42"/>
        <v>407614</v>
      </c>
      <c r="AP21" s="41">
        <f t="shared" si="42"/>
        <v>503756</v>
      </c>
      <c r="AQ21" s="41">
        <f t="shared" si="42"/>
        <v>522741</v>
      </c>
      <c r="AR21" s="41">
        <f t="shared" si="5"/>
        <v>522741</v>
      </c>
      <c r="AS21" s="42"/>
      <c r="AT21" s="41">
        <f t="shared" ref="AT21:BB21" si="43">AT10-AT55</f>
        <v>364736</v>
      </c>
      <c r="AU21" s="41">
        <f t="shared" si="43"/>
        <v>382608</v>
      </c>
      <c r="AV21" s="41">
        <f t="shared" si="43"/>
        <v>322837</v>
      </c>
      <c r="AW21" s="41">
        <f t="shared" si="43"/>
        <v>339249</v>
      </c>
      <c r="AX21" s="41">
        <f t="shared" si="43"/>
        <v>382307</v>
      </c>
      <c r="AY21" s="41">
        <f t="shared" si="43"/>
        <v>446417</v>
      </c>
      <c r="AZ21" s="41">
        <f t="shared" si="43"/>
        <v>406019</v>
      </c>
      <c r="BA21" s="41">
        <f t="shared" si="43"/>
        <v>457091</v>
      </c>
      <c r="BB21" s="41">
        <f t="shared" si="43"/>
        <v>439103</v>
      </c>
      <c r="BC21" s="41">
        <f>BB21-BC23+BC66-BC55</f>
        <v>267702.70924434217</v>
      </c>
      <c r="BD21" s="41">
        <f>BC21-BD23+BD66-BD55</f>
        <v>224792.12236286921</v>
      </c>
      <c r="BE21" s="41">
        <f>BD21-BE23+BE66-BE55</f>
        <v>209302.50939777523</v>
      </c>
      <c r="BF21" s="41">
        <f>BE21</f>
        <v>209302.50939777523</v>
      </c>
      <c r="BG21" s="43">
        <f>BG23/AR23</f>
        <v>7.0333736034655189E-2</v>
      </c>
      <c r="BH21" s="41">
        <f t="shared" ref="BH21:BS21" si="44">BH10-BH55</f>
        <v>287739</v>
      </c>
      <c r="BI21" s="41">
        <f t="shared" si="44"/>
        <v>274599</v>
      </c>
      <c r="BJ21" s="41">
        <f t="shared" si="44"/>
        <v>249895</v>
      </c>
      <c r="BK21" s="41">
        <f t="shared" si="44"/>
        <v>311315</v>
      </c>
      <c r="BL21" s="41">
        <f t="shared" si="44"/>
        <v>277855</v>
      </c>
      <c r="BM21" s="41">
        <f t="shared" si="44"/>
        <v>301815</v>
      </c>
      <c r="BN21" s="41">
        <f t="shared" si="44"/>
        <v>325519</v>
      </c>
      <c r="BO21" s="41">
        <f t="shared" si="44"/>
        <v>255915</v>
      </c>
      <c r="BP21" s="41">
        <f t="shared" si="44"/>
        <v>198711</v>
      </c>
      <c r="BQ21" s="41">
        <f t="shared" si="44"/>
        <v>182301</v>
      </c>
      <c r="BR21" s="41">
        <f t="shared" si="44"/>
        <v>228035</v>
      </c>
      <c r="BS21" s="41">
        <f t="shared" si="44"/>
        <v>201165</v>
      </c>
      <c r="BT21" s="41">
        <f t="shared" si="14"/>
        <v>201165</v>
      </c>
      <c r="BU21" s="45"/>
      <c r="BV21" s="41">
        <f>BV10-BV55</f>
        <v>195178</v>
      </c>
      <c r="BW21" s="41">
        <f>BW10-BW55</f>
        <v>172211.16954819704</v>
      </c>
      <c r="BX21" s="41">
        <f>BX10-BX55</f>
        <v>187490</v>
      </c>
      <c r="BY21" s="41">
        <f>BY10-BY55</f>
        <v>212823</v>
      </c>
      <c r="BZ21" s="41">
        <f>BZ10-BZ55</f>
        <v>237955</v>
      </c>
      <c r="CA21" s="41">
        <f>CA10-CA55</f>
        <v>254912.87089903158</v>
      </c>
      <c r="CB21" s="41">
        <f>CB10-CB55</f>
        <v>257926.65645141559</v>
      </c>
      <c r="CC21" s="41">
        <f>CC10-CC55</f>
        <v>229425.56700256452</v>
      </c>
      <c r="CD21" s="41">
        <f>CD10-CD55</f>
        <v>189392.52686697111</v>
      </c>
      <c r="CE21" s="41">
        <f>CE10-CE55</f>
        <v>153470.22300485219</v>
      </c>
      <c r="CF21" s="41">
        <f>CF10-CF55</f>
        <v>140754.38076855033</v>
      </c>
      <c r="CG21" s="41">
        <f>CG10-CG55</f>
        <v>161270.56407683995</v>
      </c>
      <c r="CH21" s="41">
        <f t="shared" si="12"/>
        <v>161270.56407683995</v>
      </c>
      <c r="CJ21" s="41">
        <v>247713</v>
      </c>
      <c r="CK21" s="41">
        <v>234422.08006563294</v>
      </c>
      <c r="CL21" s="41">
        <v>194348.7132915963</v>
      </c>
      <c r="CM21" s="41">
        <v>223062.99421980139</v>
      </c>
      <c r="CN21" s="41">
        <v>228884.86858944659</v>
      </c>
      <c r="CO21" s="41">
        <v>240669.78918926936</v>
      </c>
      <c r="CP21" s="41">
        <v>234679.65868928705</v>
      </c>
      <c r="CQ21" s="41">
        <v>197008.01236523816</v>
      </c>
      <c r="CR21" s="41">
        <v>148007.96159444697</v>
      </c>
      <c r="CS21" s="41">
        <v>111276.29521213027</v>
      </c>
      <c r="CT21" s="41">
        <v>93072.105643725808</v>
      </c>
      <c r="CU21" s="41">
        <v>116080.10690622788</v>
      </c>
      <c r="CV21" s="41">
        <v>116080.10690622788</v>
      </c>
    </row>
    <row r="22" spans="1:100">
      <c r="A22" s="46"/>
      <c r="B22" s="47" t="s">
        <v>48</v>
      </c>
      <c r="C22" s="446"/>
      <c r="D22" s="283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284"/>
      <c r="Q22" s="49"/>
      <c r="R22" s="283"/>
      <c r="S22" s="50"/>
      <c r="T22" s="50"/>
      <c r="U22" s="50"/>
      <c r="V22" s="51"/>
      <c r="W22" s="51"/>
      <c r="X22" s="51"/>
      <c r="Y22" s="51"/>
      <c r="Z22" s="51"/>
      <c r="AA22" s="51"/>
      <c r="AB22" s="51"/>
      <c r="AC22" s="50"/>
      <c r="AD22" s="285"/>
      <c r="AE22" s="23"/>
      <c r="AF22" s="286">
        <f t="shared" ref="AF22:AP22" si="45">AF10/AG23</f>
        <v>1.4346741432881778</v>
      </c>
      <c r="AG22" s="286">
        <f t="shared" si="45"/>
        <v>3.9745327610561771</v>
      </c>
      <c r="AH22" s="286">
        <f t="shared" si="45"/>
        <v>4.4537254638644557</v>
      </c>
      <c r="AI22" s="286">
        <f t="shared" si="45"/>
        <v>3.1781895295331357</v>
      </c>
      <c r="AJ22" s="286">
        <f t="shared" si="45"/>
        <v>2.7551225094238019</v>
      </c>
      <c r="AK22" s="286">
        <f t="shared" si="45"/>
        <v>3.2297970327971317</v>
      </c>
      <c r="AL22" s="286">
        <f t="shared" si="45"/>
        <v>2.3575635299682296</v>
      </c>
      <c r="AM22" s="286">
        <f t="shared" si="45"/>
        <v>2.1413160582078121</v>
      </c>
      <c r="AN22" s="286">
        <f t="shared" si="45"/>
        <v>1.9042360296991012</v>
      </c>
      <c r="AO22" s="286">
        <f t="shared" si="45"/>
        <v>3.1686411691542289</v>
      </c>
      <c r="AP22" s="286">
        <f t="shared" si="45"/>
        <v>5.1487735077677845</v>
      </c>
      <c r="AQ22" s="286">
        <f>AQ10/AT23</f>
        <v>3.4807306746186968</v>
      </c>
      <c r="AR22" s="287">
        <f>AQ22</f>
        <v>3.4807306746186968</v>
      </c>
      <c r="AS22" s="23"/>
      <c r="AT22" s="286">
        <f>AT10/AU23</f>
        <v>2.7971286279646934</v>
      </c>
      <c r="AU22" s="286">
        <f>AU10/AV23</f>
        <v>3.0710063937614676</v>
      </c>
      <c r="AV22" s="286">
        <f>AV10/AW23</f>
        <v>2.5847779910329129</v>
      </c>
      <c r="AW22" s="286">
        <f>AW10/AX23</f>
        <v>3.3142307600651066</v>
      </c>
      <c r="AX22" s="286">
        <f>AX10/AY23</f>
        <v>3.0202081128011216</v>
      </c>
      <c r="AY22" s="286">
        <f t="shared" ref="AY22:BD22" si="46">AY10/(AZ52+AZ51)</f>
        <v>3.0375411110446691</v>
      </c>
      <c r="AZ22" s="286">
        <f t="shared" si="46"/>
        <v>1.7862994390436959</v>
      </c>
      <c r="BA22" s="286">
        <f t="shared" si="46"/>
        <v>2.3917338115287117</v>
      </c>
      <c r="BB22" s="286">
        <f t="shared" si="46"/>
        <v>2.0297186803388318</v>
      </c>
      <c r="BC22" s="286">
        <f t="shared" si="46"/>
        <v>2.9418601583113455</v>
      </c>
      <c r="BD22" s="286">
        <f t="shared" si="46"/>
        <v>5.3595753009100697</v>
      </c>
      <c r="BE22" s="286">
        <f>BE10/BH23</f>
        <v>2.3338657833234047</v>
      </c>
      <c r="BF22" s="52"/>
      <c r="BG22" s="27"/>
      <c r="BH22" s="418">
        <f t="shared" ref="BH22:BN22" si="47">BH10/BI23</f>
        <v>2.4324841588586663</v>
      </c>
      <c r="BI22" s="418">
        <f t="shared" si="47"/>
        <v>2.0694790126570033</v>
      </c>
      <c r="BJ22" s="418">
        <f t="shared" si="47"/>
        <v>2.1548303749075362</v>
      </c>
      <c r="BK22" s="418">
        <f t="shared" si="47"/>
        <v>2.940658548141605</v>
      </c>
      <c r="BL22" s="418">
        <f t="shared" si="47"/>
        <v>2.5009495450993295</v>
      </c>
      <c r="BM22" s="418">
        <f t="shared" si="47"/>
        <v>2.0577586855214944</v>
      </c>
      <c r="BN22" s="418">
        <f t="shared" si="47"/>
        <v>2.3320530115558045</v>
      </c>
      <c r="BO22" s="419"/>
      <c r="BP22" s="419"/>
      <c r="BQ22" s="419"/>
      <c r="BR22" s="419"/>
      <c r="BS22" s="419"/>
      <c r="BT22" s="419"/>
      <c r="BU22" s="54"/>
      <c r="BV22" s="286">
        <v>0</v>
      </c>
      <c r="BW22" s="286">
        <v>0</v>
      </c>
      <c r="BX22" s="286">
        <v>0</v>
      </c>
      <c r="BY22" s="418">
        <v>0</v>
      </c>
      <c r="BZ22" s="418">
        <v>0</v>
      </c>
      <c r="CA22" s="418">
        <v>0</v>
      </c>
      <c r="CB22" s="418">
        <v>0</v>
      </c>
      <c r="CC22" s="418">
        <v>0</v>
      </c>
      <c r="CD22" s="418">
        <v>0</v>
      </c>
      <c r="CE22" s="418">
        <v>0</v>
      </c>
      <c r="CF22" s="418">
        <v>0</v>
      </c>
      <c r="CG22" s="419"/>
      <c r="CH22" s="419"/>
      <c r="CJ22" s="286">
        <v>0</v>
      </c>
      <c r="CK22" s="286">
        <v>0</v>
      </c>
      <c r="CL22" s="286">
        <v>0</v>
      </c>
      <c r="CM22" s="418">
        <v>0</v>
      </c>
      <c r="CN22" s="418">
        <v>0</v>
      </c>
      <c r="CO22" s="418">
        <v>0</v>
      </c>
      <c r="CP22" s="418">
        <v>0</v>
      </c>
      <c r="CQ22" s="418">
        <v>0</v>
      </c>
      <c r="CR22" s="418">
        <v>0</v>
      </c>
      <c r="CS22" s="418">
        <v>0</v>
      </c>
      <c r="CT22" s="418">
        <v>0</v>
      </c>
      <c r="CU22" s="419"/>
      <c r="CV22" s="419"/>
    </row>
    <row r="23" spans="1:100" ht="15.75">
      <c r="A23" s="55">
        <v>6</v>
      </c>
      <c r="B23" s="56" t="s">
        <v>49</v>
      </c>
      <c r="C23" s="280"/>
      <c r="D23" s="288">
        <f t="shared" ref="D23:P23" si="48">SUM(D27:D49)</f>
        <v>82250</v>
      </c>
      <c r="E23" s="57">
        <f t="shared" si="48"/>
        <v>117000</v>
      </c>
      <c r="F23" s="57">
        <f t="shared" si="48"/>
        <v>121750</v>
      </c>
      <c r="G23" s="57">
        <f t="shared" si="48"/>
        <v>150000</v>
      </c>
      <c r="H23" s="57">
        <f t="shared" si="48"/>
        <v>99500</v>
      </c>
      <c r="I23" s="57">
        <f t="shared" si="48"/>
        <v>102000</v>
      </c>
      <c r="J23" s="57">
        <f t="shared" si="48"/>
        <v>177632</v>
      </c>
      <c r="K23" s="57">
        <f t="shared" si="48"/>
        <v>178158</v>
      </c>
      <c r="L23" s="57">
        <f t="shared" si="48"/>
        <v>199211</v>
      </c>
      <c r="M23" s="57">
        <f t="shared" si="48"/>
        <v>229474</v>
      </c>
      <c r="N23" s="57">
        <f t="shared" si="48"/>
        <v>122368</v>
      </c>
      <c r="O23" s="57">
        <f t="shared" si="48"/>
        <v>38421</v>
      </c>
      <c r="P23" s="289">
        <f t="shared" si="48"/>
        <v>1617764</v>
      </c>
      <c r="Q23" s="39"/>
      <c r="R23" s="288">
        <f t="shared" ref="R23:AC23" si="49">R27+R50</f>
        <v>136177.33998294926</v>
      </c>
      <c r="S23" s="58">
        <f t="shared" si="49"/>
        <v>143840.32639116928</v>
      </c>
      <c r="T23" s="58">
        <f t="shared" si="49"/>
        <v>142553.77192982455</v>
      </c>
      <c r="U23" s="58">
        <f t="shared" si="49"/>
        <v>19814.899999999998</v>
      </c>
      <c r="V23" s="58">
        <f t="shared" si="49"/>
        <v>52085</v>
      </c>
      <c r="W23" s="290">
        <f t="shared" si="49"/>
        <v>70169.381950239796</v>
      </c>
      <c r="X23" s="290">
        <f t="shared" si="49"/>
        <v>144463.33333333299</v>
      </c>
      <c r="Y23" s="290">
        <f t="shared" si="49"/>
        <v>226547.08333333331</v>
      </c>
      <c r="Z23" s="290">
        <f t="shared" si="49"/>
        <v>273187.5</v>
      </c>
      <c r="AA23" s="290">
        <f t="shared" si="49"/>
        <v>172100</v>
      </c>
      <c r="AB23" s="290">
        <f t="shared" si="49"/>
        <v>37500</v>
      </c>
      <c r="AC23" s="290">
        <f t="shared" si="49"/>
        <v>0</v>
      </c>
      <c r="AD23" s="291">
        <f>SUM(R23:AC23)</f>
        <v>1418438.6369208493</v>
      </c>
      <c r="AE23" s="59"/>
      <c r="AF23" s="292">
        <f>AF27+AF50</f>
        <v>128646</v>
      </c>
      <c r="AG23" s="58">
        <f t="shared" ref="AG23:AQ23" si="50">AG27+AG50</f>
        <v>177977</v>
      </c>
      <c r="AH23" s="58">
        <f t="shared" si="50"/>
        <v>73624</v>
      </c>
      <c r="AI23" s="58">
        <f t="shared" si="50"/>
        <v>89358</v>
      </c>
      <c r="AJ23" s="58">
        <f t="shared" si="50"/>
        <v>122134</v>
      </c>
      <c r="AK23" s="58">
        <f t="shared" si="50"/>
        <v>148560</v>
      </c>
      <c r="AL23" s="58">
        <f t="shared" si="50"/>
        <v>151995</v>
      </c>
      <c r="AM23" s="58">
        <f t="shared" si="50"/>
        <v>238903</v>
      </c>
      <c r="AN23" s="58">
        <f t="shared" si="50"/>
        <v>261133.33333333334</v>
      </c>
      <c r="AO23" s="58">
        <f t="shared" si="50"/>
        <v>255900</v>
      </c>
      <c r="AP23" s="58">
        <f t="shared" si="50"/>
        <v>128640</v>
      </c>
      <c r="AQ23" s="58">
        <f t="shared" si="50"/>
        <v>97840</v>
      </c>
      <c r="AR23" s="58">
        <f>SUM(AF23:AQ23)</f>
        <v>1874710.3333333333</v>
      </c>
      <c r="AS23" s="59"/>
      <c r="AT23" s="58">
        <f t="shared" ref="AT23:BD23" si="51">AT27+AT50</f>
        <v>152749.25</v>
      </c>
      <c r="AU23" s="58">
        <f t="shared" si="51"/>
        <v>168522.10344827586</v>
      </c>
      <c r="AV23" s="58">
        <f t="shared" si="51"/>
        <v>154121.13793103449</v>
      </c>
      <c r="AW23" s="58">
        <f t="shared" si="51"/>
        <v>159595.13793103449</v>
      </c>
      <c r="AX23" s="58">
        <f t="shared" si="51"/>
        <v>120099.96551724138</v>
      </c>
      <c r="AY23" s="58">
        <f t="shared" si="51"/>
        <v>138343.77777777778</v>
      </c>
      <c r="AZ23" s="58">
        <f t="shared" si="51"/>
        <v>166673.77777777778</v>
      </c>
      <c r="BA23" s="58">
        <f t="shared" si="51"/>
        <v>242442.29629629629</v>
      </c>
      <c r="BB23" s="58">
        <f t="shared" si="51"/>
        <v>243407.77777777778</v>
      </c>
      <c r="BC23" s="58">
        <f t="shared" si="51"/>
        <v>253368.29075565783</v>
      </c>
      <c r="BD23" s="58">
        <f t="shared" si="51"/>
        <v>134555.58688147296</v>
      </c>
      <c r="BE23" s="58">
        <f>BE27+BE51</f>
        <v>72686.612965093984</v>
      </c>
      <c r="BF23" s="58">
        <f t="shared" ref="BF23:BF25" si="52">SUM(AT23:BE23)</f>
        <v>2006565.7150594404</v>
      </c>
      <c r="BG23" s="59">
        <f>BF23-AR23</f>
        <v>131855.38172610709</v>
      </c>
      <c r="BH23" s="58">
        <f>BH24+BH50</f>
        <v>152753</v>
      </c>
      <c r="BI23" s="58">
        <f t="shared" ref="BI23:BN23" si="53">BI24+BI50</f>
        <v>146822.33333333331</v>
      </c>
      <c r="BJ23" s="58">
        <f t="shared" si="53"/>
        <v>171546.07407407407</v>
      </c>
      <c r="BK23" s="58">
        <f t="shared" si="53"/>
        <v>159771.74074074073</v>
      </c>
      <c r="BL23" s="58">
        <f t="shared" si="53"/>
        <v>132496.85185185185</v>
      </c>
      <c r="BM23" s="58">
        <f t="shared" si="53"/>
        <v>129906.25925925926</v>
      </c>
      <c r="BN23" s="58">
        <f t="shared" si="53"/>
        <v>171383.55555555556</v>
      </c>
      <c r="BO23" s="58">
        <f>BO24+BO51</f>
        <v>179550.37811111109</v>
      </c>
      <c r="BP23" s="58">
        <f>BP24+BP51</f>
        <v>202053.74953703705</v>
      </c>
      <c r="BQ23" s="58">
        <f>BQ24+BQ51</f>
        <v>163865</v>
      </c>
      <c r="BR23" s="58">
        <f>BR24+BR51</f>
        <v>175620.6</v>
      </c>
      <c r="BS23" s="58">
        <v>92285.6</v>
      </c>
      <c r="BT23" s="58">
        <f t="shared" ref="BT23:BT25" si="54">SUM(BH23:BS23)</f>
        <v>1878055.142462963</v>
      </c>
      <c r="BU23" s="60"/>
      <c r="BV23" s="58">
        <f>BV27+(BV51)*$CI$23</f>
        <v>161157.867486095</v>
      </c>
      <c r="BW23" s="58">
        <f t="shared" ref="BW23:CG23" si="55">BW27+(BW51)*$CI$23</f>
        <v>155966.83045180296</v>
      </c>
      <c r="BX23" s="58">
        <f>BX27+(BX51)*$CI$23</f>
        <v>196111.53846153844</v>
      </c>
      <c r="BY23" s="58">
        <f t="shared" si="55"/>
        <v>159169.23076923078</v>
      </c>
      <c r="BZ23" s="58">
        <f>BZ27+(BZ51)*$CI$23</f>
        <v>151482.39341785663</v>
      </c>
      <c r="CA23" s="58">
        <f t="shared" si="55"/>
        <v>141442.12910096842</v>
      </c>
      <c r="CB23" s="58">
        <f>CB27+(CB51)*$CI$23</f>
        <v>176986.21444761599</v>
      </c>
      <c r="CC23" s="58">
        <f t="shared" si="55"/>
        <v>201301.08944885107</v>
      </c>
      <c r="CD23" s="58">
        <f t="shared" si="55"/>
        <v>212833.04013559342</v>
      </c>
      <c r="CE23" s="58">
        <f t="shared" si="55"/>
        <v>215922.30386211892</v>
      </c>
      <c r="CF23" s="58">
        <f>CF27+(CF51)*$CI$23</f>
        <v>171115.84223630186</v>
      </c>
      <c r="CG23" s="58">
        <f t="shared" si="55"/>
        <v>87483.816691710366</v>
      </c>
      <c r="CH23" s="58">
        <f t="shared" ref="CH23:CH24" si="56">SUM(BV23:CG23)</f>
        <v>2030972.2965096838</v>
      </c>
      <c r="CI23" s="594">
        <v>0.95</v>
      </c>
      <c r="CJ23" s="58">
        <f>BV64*1.05</f>
        <v>175713.30000000002</v>
      </c>
      <c r="CK23" s="58">
        <f t="shared" ref="CK23:CM23" si="57">BW64*1.05</f>
        <v>158128.95000000001</v>
      </c>
      <c r="CL23" s="58">
        <f t="shared" si="57"/>
        <v>172983.30000000002</v>
      </c>
      <c r="CM23" s="58">
        <f t="shared" si="57"/>
        <v>149796.15</v>
      </c>
      <c r="CN23" s="58">
        <f t="shared" ref="CN23" si="58">BZ64*1.05</f>
        <v>144424.35</v>
      </c>
      <c r="CO23" s="58">
        <f t="shared" ref="CO23:CP23" si="59">CA64*1.05</f>
        <v>116808.3</v>
      </c>
      <c r="CP23" s="58">
        <f t="shared" si="59"/>
        <v>218228.85</v>
      </c>
      <c r="CQ23" s="58">
        <f t="shared" ref="CQ23" si="60">CC64*1.05</f>
        <v>193739.7</v>
      </c>
      <c r="CR23" s="58">
        <f t="shared" ref="CR23" si="61">CD64*1.05</f>
        <v>200550</v>
      </c>
      <c r="CS23" s="58">
        <f t="shared" ref="CP23:CU23" si="62">CE23*1.05</f>
        <v>226718.41905522486</v>
      </c>
      <c r="CT23" s="58">
        <f t="shared" si="62"/>
        <v>179671.63434811696</v>
      </c>
      <c r="CU23" s="58">
        <f t="shared" si="62"/>
        <v>91858.007526295885</v>
      </c>
      <c r="CV23" s="58">
        <v>1957097.174059076</v>
      </c>
    </row>
    <row r="24" spans="1:100">
      <c r="A24" s="61"/>
      <c r="B24" s="62" t="s">
        <v>51</v>
      </c>
      <c r="C24" s="293"/>
      <c r="D24" s="294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295"/>
      <c r="Q24" s="64"/>
      <c r="R24" s="294"/>
      <c r="S24" s="65"/>
      <c r="T24" s="65"/>
      <c r="U24" s="65"/>
      <c r="V24" s="296"/>
      <c r="W24" s="297"/>
      <c r="X24" s="297"/>
      <c r="Y24" s="297"/>
      <c r="Z24" s="297"/>
      <c r="AA24" s="297"/>
      <c r="AB24" s="297"/>
      <c r="AC24" s="66"/>
      <c r="AD24" s="67"/>
      <c r="AE24" s="68"/>
      <c r="AF24" s="298"/>
      <c r="AG24" s="65"/>
      <c r="AH24" s="65"/>
      <c r="AI24" s="65"/>
      <c r="AJ24" s="296"/>
      <c r="AK24" s="296"/>
      <c r="AL24" s="296"/>
      <c r="AM24" s="296"/>
      <c r="AN24" s="65"/>
      <c r="AO24" s="65"/>
      <c r="AP24" s="65"/>
      <c r="AQ24" s="65"/>
      <c r="AR24" s="299"/>
      <c r="AS24" s="68"/>
      <c r="AT24" s="65"/>
      <c r="AU24" s="65"/>
      <c r="AV24" s="65"/>
      <c r="AW24" s="65"/>
      <c r="AX24" s="65"/>
      <c r="AY24" s="69">
        <f t="shared" ref="AY24:BA24" si="63">AY27+AY51</f>
        <v>119777.77777777778</v>
      </c>
      <c r="AZ24" s="69">
        <f t="shared" si="63"/>
        <v>150777.77777777778</v>
      </c>
      <c r="BA24" s="69">
        <f t="shared" si="63"/>
        <v>233098.4962962963</v>
      </c>
      <c r="BB24" s="69">
        <f>BB25/BB26</f>
        <v>210777.77777777778</v>
      </c>
      <c r="BC24" s="69">
        <f>BC27+BC51</f>
        <v>249806.29075565783</v>
      </c>
      <c r="BD24" s="69">
        <f t="shared" ref="BD24:BE24" si="64">BD27+BD51*0.85</f>
        <v>122960.58688147296</v>
      </c>
      <c r="BE24" s="69">
        <f t="shared" si="64"/>
        <v>66386.612965093984</v>
      </c>
      <c r="BF24" s="69">
        <f t="shared" si="52"/>
        <v>1153585.3202318544</v>
      </c>
      <c r="BG24" s="68"/>
      <c r="BH24" s="69">
        <f>BH25/BH26-0.1*BH25/BH26</f>
        <v>116600</v>
      </c>
      <c r="BI24" s="69">
        <f t="shared" ref="BI24" si="65">BI25/BI26-0.1*BI25/BI26</f>
        <v>111533.33333333333</v>
      </c>
      <c r="BJ24" s="69">
        <f t="shared" ref="BJ24:BP24" si="66">BJ25/BJ26-0.05*BJ25/BJ26</f>
        <v>135674.07407407407</v>
      </c>
      <c r="BK24" s="69">
        <f t="shared" si="66"/>
        <v>121740.74074074074</v>
      </c>
      <c r="BL24" s="69">
        <f t="shared" si="66"/>
        <v>93926.851851851854</v>
      </c>
      <c r="BM24" s="69">
        <f t="shared" si="66"/>
        <v>90679.259259259255</v>
      </c>
      <c r="BN24" s="69">
        <f t="shared" si="66"/>
        <v>130255.55555555556</v>
      </c>
      <c r="BO24" s="69">
        <f t="shared" si="66"/>
        <v>150550.37811111109</v>
      </c>
      <c r="BP24" s="69">
        <f t="shared" si="66"/>
        <v>161830.74953703705</v>
      </c>
      <c r="BQ24" s="69">
        <v>127130</v>
      </c>
      <c r="BR24" s="69">
        <v>138687.6</v>
      </c>
      <c r="BS24" s="69">
        <v>43639.199999999997</v>
      </c>
      <c r="BT24" s="69">
        <f t="shared" si="54"/>
        <v>1422247.7424629631</v>
      </c>
      <c r="BU24" s="54"/>
      <c r="BV24" s="69">
        <f>BV27+BV50</f>
        <v>166555.77995873816</v>
      </c>
      <c r="BW24" s="69">
        <f>BW27+BW50</f>
        <v>152835.36924465047</v>
      </c>
      <c r="BX24" s="69">
        <f t="shared" ref="BX24:CG24" si="67">BX27+BX50</f>
        <v>195319.2072937729</v>
      </c>
      <c r="BY24" s="69">
        <f t="shared" si="67"/>
        <v>158396.18906207831</v>
      </c>
      <c r="BZ24" s="69">
        <f t="shared" si="67"/>
        <v>152371.51475009107</v>
      </c>
      <c r="CA24" s="69">
        <f t="shared" si="67"/>
        <v>147696.01107361159</v>
      </c>
      <c r="CB24" s="69">
        <f t="shared" si="67"/>
        <v>189465.0513586243</v>
      </c>
      <c r="CC24" s="69">
        <f t="shared" si="67"/>
        <v>202914.10079748323</v>
      </c>
      <c r="CD24" s="69">
        <f t="shared" si="67"/>
        <v>214499.61628422557</v>
      </c>
      <c r="CE24" s="69">
        <f t="shared" si="67"/>
        <v>217682.99793575107</v>
      </c>
      <c r="CF24" s="69">
        <f t="shared" si="67"/>
        <v>179284.72030485788</v>
      </c>
      <c r="CG24" s="69">
        <f t="shared" si="67"/>
        <v>88389.319383536102</v>
      </c>
      <c r="CH24" s="69">
        <f t="shared" si="56"/>
        <v>2065409.8774474205</v>
      </c>
      <c r="CI24" s="395">
        <f>(CH24-BT57)/BT57</f>
        <v>0.48621753003500767</v>
      </c>
      <c r="CJ24" s="69">
        <v>166555.77995873816</v>
      </c>
      <c r="CK24" s="69">
        <v>152835.36924465047</v>
      </c>
      <c r="CL24" s="69">
        <v>195319.2072937729</v>
      </c>
      <c r="CM24" s="69">
        <v>158396.18906207831</v>
      </c>
      <c r="CN24" s="69">
        <v>152371.51475009107</v>
      </c>
      <c r="CO24" s="69">
        <v>147696.01107361159</v>
      </c>
      <c r="CP24" s="69">
        <v>189465.0513586243</v>
      </c>
      <c r="CQ24" s="69">
        <v>202914.10079748323</v>
      </c>
      <c r="CR24" s="69">
        <v>214499.61628422557</v>
      </c>
      <c r="CS24" s="69">
        <v>217682.99793575107</v>
      </c>
      <c r="CT24" s="69">
        <v>179284.72030485788</v>
      </c>
      <c r="CU24" s="69">
        <v>88389.319383536102</v>
      </c>
      <c r="CV24" s="69">
        <v>2065409.8774474205</v>
      </c>
    </row>
    <row r="25" spans="1:100">
      <c r="A25" s="61"/>
      <c r="B25" s="62" t="s">
        <v>52</v>
      </c>
      <c r="C25" s="293"/>
      <c r="D25" s="294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295"/>
      <c r="Q25" s="64"/>
      <c r="R25" s="294"/>
      <c r="S25" s="65"/>
      <c r="T25" s="65"/>
      <c r="U25" s="65"/>
      <c r="V25" s="296"/>
      <c r="W25" s="297"/>
      <c r="X25" s="297"/>
      <c r="Y25" s="297"/>
      <c r="Z25" s="297"/>
      <c r="AA25" s="297"/>
      <c r="AB25" s="297"/>
      <c r="AC25" s="66"/>
      <c r="AD25" s="67"/>
      <c r="AE25" s="68"/>
      <c r="AF25" s="298"/>
      <c r="AG25" s="65"/>
      <c r="AH25" s="65" t="s">
        <v>53</v>
      </c>
      <c r="AI25" s="65"/>
      <c r="AJ25" s="296"/>
      <c r="AK25" s="296"/>
      <c r="AL25" s="296"/>
      <c r="AM25" s="296"/>
      <c r="AN25" s="65">
        <v>6715000</v>
      </c>
      <c r="AO25" s="65">
        <v>6555000</v>
      </c>
      <c r="AP25" s="65">
        <v>2640000</v>
      </c>
      <c r="AQ25" s="65">
        <v>1302000</v>
      </c>
      <c r="AR25" s="299"/>
      <c r="AS25" s="68"/>
      <c r="AT25" s="65">
        <v>3264695</v>
      </c>
      <c r="AU25" s="65">
        <v>3863760</v>
      </c>
      <c r="AV25" s="65">
        <v>3429225</v>
      </c>
      <c r="AW25" s="65">
        <v>3525360</v>
      </c>
      <c r="AX25" s="65">
        <v>2509485</v>
      </c>
      <c r="AY25" s="65">
        <v>2829000</v>
      </c>
      <c r="AZ25" s="65">
        <v>3666000</v>
      </c>
      <c r="BA25" s="65">
        <v>5705000</v>
      </c>
      <c r="BB25" s="65">
        <v>5691000</v>
      </c>
      <c r="BC25" s="65">
        <v>5600000</v>
      </c>
      <c r="BD25" s="65">
        <v>2430000</v>
      </c>
      <c r="BE25" s="65">
        <v>800000</v>
      </c>
      <c r="BF25" s="69">
        <f t="shared" si="52"/>
        <v>43313525</v>
      </c>
      <c r="BG25" s="68"/>
      <c r="BH25" s="70">
        <v>3498000</v>
      </c>
      <c r="BI25" s="70">
        <v>3346000</v>
      </c>
      <c r="BJ25" s="70">
        <v>3856000</v>
      </c>
      <c r="BK25" s="70">
        <v>3460000</v>
      </c>
      <c r="BL25" s="70">
        <v>2669500</v>
      </c>
      <c r="BM25" s="70">
        <v>2577200</v>
      </c>
      <c r="BN25" s="70">
        <v>3702000</v>
      </c>
      <c r="BO25" s="70">
        <v>4278800.22</v>
      </c>
      <c r="BP25" s="70">
        <v>4599400.25</v>
      </c>
      <c r="BQ25" s="70">
        <f>BQ24*BQ26</f>
        <v>3432510</v>
      </c>
      <c r="BR25" s="70">
        <v>2954493.21</v>
      </c>
      <c r="BS25" s="70">
        <v>984831.07</v>
      </c>
      <c r="BT25" s="65">
        <f t="shared" si="54"/>
        <v>39358734.75</v>
      </c>
      <c r="BU25" s="54"/>
      <c r="BV25" s="70">
        <f>BV26*BV27</f>
        <v>3399704.5546384701</v>
      </c>
      <c r="BW25" s="70">
        <f t="shared" ref="BW25:CG25" si="68">BW26*BW27</f>
        <v>3264737.5917468769</v>
      </c>
      <c r="BX25" s="70">
        <f t="shared" si="68"/>
        <v>4184999.9999999995</v>
      </c>
      <c r="BY25" s="70">
        <f t="shared" si="68"/>
        <v>3348000.0000000005</v>
      </c>
      <c r="BZ25" s="70">
        <f t="shared" si="68"/>
        <v>3074042.2288642721</v>
      </c>
      <c r="CA25" s="70">
        <f t="shared" si="68"/>
        <v>2812995.3566251793</v>
      </c>
      <c r="CB25" s="70">
        <f t="shared" si="68"/>
        <v>3737141.5756380158</v>
      </c>
      <c r="CC25" s="70">
        <f t="shared" si="68"/>
        <v>4437000.7194458414</v>
      </c>
      <c r="CD25" s="70">
        <f t="shared" si="68"/>
        <v>4710370.4261011425</v>
      </c>
      <c r="CE25" s="70">
        <f t="shared" si="68"/>
        <v>4744197.0280408058</v>
      </c>
      <c r="CF25" s="70">
        <f t="shared" si="68"/>
        <v>3461011.8981438484</v>
      </c>
      <c r="CG25" s="70">
        <f t="shared" si="68"/>
        <v>792579.23398446955</v>
      </c>
      <c r="CH25" s="65">
        <f>SUM(BV25:CG25)</f>
        <v>41966780.613228925</v>
      </c>
      <c r="CJ25" s="70">
        <v>3399704.5546384701</v>
      </c>
      <c r="CK25" s="70">
        <v>3264737.5917468769</v>
      </c>
      <c r="CL25" s="70">
        <v>4184999.9999999995</v>
      </c>
      <c r="CM25" s="70">
        <v>3348000.0000000005</v>
      </c>
      <c r="CN25" s="70">
        <v>3074042.2288642721</v>
      </c>
      <c r="CO25" s="70">
        <v>2812995.3566251793</v>
      </c>
      <c r="CP25" s="70">
        <v>3737141.5756380158</v>
      </c>
      <c r="CQ25" s="70">
        <v>4437000.7194458414</v>
      </c>
      <c r="CR25" s="70">
        <v>4710370.4261011425</v>
      </c>
      <c r="CS25" s="70">
        <v>4744197.0280408058</v>
      </c>
      <c r="CT25" s="70">
        <v>3461011.8981438484</v>
      </c>
      <c r="CU25" s="70">
        <v>792579.23398446955</v>
      </c>
      <c r="CV25" s="65">
        <v>41966780.613228925</v>
      </c>
    </row>
    <row r="26" spans="1:100">
      <c r="A26" s="71"/>
      <c r="B26" s="72" t="s">
        <v>54</v>
      </c>
      <c r="C26" s="300"/>
      <c r="D26" s="301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302"/>
      <c r="Q26" s="74"/>
      <c r="R26" s="301"/>
      <c r="S26" s="69"/>
      <c r="T26" s="69"/>
      <c r="U26" s="69"/>
      <c r="V26" s="303"/>
      <c r="W26" s="304"/>
      <c r="X26" s="304"/>
      <c r="Y26" s="304"/>
      <c r="Z26" s="304"/>
      <c r="AA26" s="304"/>
      <c r="AB26" s="304"/>
      <c r="AC26" s="75"/>
      <c r="AD26" s="76"/>
      <c r="AE26" s="77"/>
      <c r="AF26" s="305"/>
      <c r="AG26" s="69"/>
      <c r="AH26" s="69"/>
      <c r="AI26" s="69"/>
      <c r="AJ26" s="303"/>
      <c r="AK26" s="303"/>
      <c r="AL26" s="303"/>
      <c r="AM26" s="303"/>
      <c r="AN26" s="69">
        <f t="shared" ref="AN26:AQ26" si="69">30</f>
        <v>30</v>
      </c>
      <c r="AO26" s="69">
        <f t="shared" si="69"/>
        <v>30</v>
      </c>
      <c r="AP26" s="69">
        <f t="shared" si="69"/>
        <v>30</v>
      </c>
      <c r="AQ26" s="69">
        <f t="shared" si="69"/>
        <v>30</v>
      </c>
      <c r="AR26" s="306"/>
      <c r="AS26" s="77"/>
      <c r="AT26" s="69">
        <v>28</v>
      </c>
      <c r="AU26" s="69">
        <v>29</v>
      </c>
      <c r="AV26" s="69">
        <v>29</v>
      </c>
      <c r="AW26" s="69">
        <v>29</v>
      </c>
      <c r="AX26" s="69">
        <v>29</v>
      </c>
      <c r="AY26" s="69">
        <v>27</v>
      </c>
      <c r="AZ26" s="69">
        <v>27</v>
      </c>
      <c r="BA26" s="69">
        <v>27</v>
      </c>
      <c r="BB26" s="69">
        <v>27</v>
      </c>
      <c r="BC26" s="69">
        <v>26.07</v>
      </c>
      <c r="BD26" s="69">
        <v>26.07</v>
      </c>
      <c r="BE26" s="69">
        <v>26.07</v>
      </c>
      <c r="BF26" s="305"/>
      <c r="BG26" s="78"/>
      <c r="BH26" s="69">
        <v>27</v>
      </c>
      <c r="BI26" s="69">
        <v>27</v>
      </c>
      <c r="BJ26" s="69">
        <v>27</v>
      </c>
      <c r="BK26" s="69">
        <v>27</v>
      </c>
      <c r="BL26" s="69">
        <v>27</v>
      </c>
      <c r="BM26" s="69">
        <v>27</v>
      </c>
      <c r="BN26" s="69">
        <v>27</v>
      </c>
      <c r="BO26" s="69">
        <v>27</v>
      </c>
      <c r="BP26" s="69">
        <v>27</v>
      </c>
      <c r="BQ26" s="69">
        <v>27</v>
      </c>
      <c r="BR26" s="69">
        <v>27</v>
      </c>
      <c r="BS26" s="69">
        <v>27</v>
      </c>
      <c r="BT26" s="69"/>
      <c r="BU26" s="54"/>
      <c r="BV26" s="69">
        <v>26</v>
      </c>
      <c r="BW26" s="69">
        <v>26</v>
      </c>
      <c r="BX26" s="69">
        <v>26</v>
      </c>
      <c r="BY26" s="69">
        <v>26</v>
      </c>
      <c r="BZ26" s="69">
        <v>26</v>
      </c>
      <c r="CA26" s="69">
        <v>26</v>
      </c>
      <c r="CB26" s="69">
        <v>26</v>
      </c>
      <c r="CC26" s="69">
        <v>26</v>
      </c>
      <c r="CD26" s="69">
        <v>26</v>
      </c>
      <c r="CE26" s="69">
        <v>26</v>
      </c>
      <c r="CF26" s="69">
        <v>26</v>
      </c>
      <c r="CG26" s="69">
        <v>26</v>
      </c>
      <c r="CH26" s="69"/>
      <c r="CJ26" s="69">
        <v>26</v>
      </c>
      <c r="CK26" s="69">
        <v>26</v>
      </c>
      <c r="CL26" s="69">
        <v>26</v>
      </c>
      <c r="CM26" s="69">
        <v>26</v>
      </c>
      <c r="CN26" s="69">
        <v>26</v>
      </c>
      <c r="CO26" s="69">
        <v>26</v>
      </c>
      <c r="CP26" s="69">
        <v>26</v>
      </c>
      <c r="CQ26" s="69">
        <v>26</v>
      </c>
      <c r="CR26" s="69">
        <v>26</v>
      </c>
      <c r="CS26" s="69">
        <v>26</v>
      </c>
      <c r="CT26" s="69">
        <v>26</v>
      </c>
      <c r="CU26" s="69">
        <v>26</v>
      </c>
      <c r="CV26" s="69"/>
    </row>
    <row r="27" spans="1:100" ht="15.75">
      <c r="A27" s="79"/>
      <c r="B27" s="80" t="s">
        <v>55</v>
      </c>
      <c r="C27" s="81"/>
      <c r="D27" s="288">
        <v>82250</v>
      </c>
      <c r="E27" s="57">
        <v>117000</v>
      </c>
      <c r="F27" s="57">
        <v>121750</v>
      </c>
      <c r="G27" s="57">
        <v>150000</v>
      </c>
      <c r="H27" s="57">
        <v>99500</v>
      </c>
      <c r="I27" s="57">
        <v>102000</v>
      </c>
      <c r="J27" s="57">
        <v>177632</v>
      </c>
      <c r="K27" s="57">
        <v>178158</v>
      </c>
      <c r="L27" s="57">
        <v>199211</v>
      </c>
      <c r="M27" s="57">
        <v>229474</v>
      </c>
      <c r="N27" s="57">
        <v>122368</v>
      </c>
      <c r="O27" s="57">
        <v>38421</v>
      </c>
      <c r="P27" s="289">
        <f>SUM(D27:O27)</f>
        <v>1617764</v>
      </c>
      <c r="Q27" s="39"/>
      <c r="R27" s="288">
        <v>115619.79612330014</v>
      </c>
      <c r="S27" s="58">
        <v>123327.78253152016</v>
      </c>
      <c r="T27" s="58">
        <v>128854</v>
      </c>
      <c r="U27" s="58">
        <f>126016*0.15</f>
        <v>18902.399999999998</v>
      </c>
      <c r="V27" s="58">
        <v>35234</v>
      </c>
      <c r="W27" s="290">
        <v>56469.381950239796</v>
      </c>
      <c r="X27" s="290">
        <v>118413.33333333299</v>
      </c>
      <c r="Y27" s="290">
        <v>198797.08333333331</v>
      </c>
      <c r="Z27" s="290">
        <v>242087.5</v>
      </c>
      <c r="AA27" s="290">
        <v>140000</v>
      </c>
      <c r="AB27" s="290">
        <v>0</v>
      </c>
      <c r="AC27" s="290">
        <v>-45300</v>
      </c>
      <c r="AD27" s="291">
        <f>SUM(R27:AC27)</f>
        <v>1132405.2772717264</v>
      </c>
      <c r="AE27" s="59"/>
      <c r="AF27" s="292">
        <v>90146</v>
      </c>
      <c r="AG27" s="58">
        <v>155577</v>
      </c>
      <c r="AH27" s="58">
        <v>62953</v>
      </c>
      <c r="AI27" s="58">
        <v>73261</v>
      </c>
      <c r="AJ27" s="58">
        <v>91856</v>
      </c>
      <c r="AK27" s="58">
        <v>120000</v>
      </c>
      <c r="AL27" s="58">
        <v>110295</v>
      </c>
      <c r="AM27" s="58">
        <v>200203</v>
      </c>
      <c r="AN27" s="58">
        <f t="shared" ref="AN27:AQ27" si="70">AN25/AN26</f>
        <v>223833.33333333334</v>
      </c>
      <c r="AO27" s="58">
        <f t="shared" si="70"/>
        <v>218500</v>
      </c>
      <c r="AP27" s="58">
        <f t="shared" si="70"/>
        <v>88000</v>
      </c>
      <c r="AQ27" s="58">
        <f t="shared" si="70"/>
        <v>43400</v>
      </c>
      <c r="AR27" s="58">
        <f>SUM(AF27:AQ27)</f>
        <v>1478024.3333333333</v>
      </c>
      <c r="AS27" s="59"/>
      <c r="AT27" s="58">
        <f t="shared" ref="AT27:BE27" si="71">AT25/AT26</f>
        <v>116596.25</v>
      </c>
      <c r="AU27" s="58">
        <f t="shared" si="71"/>
        <v>133233.10344827586</v>
      </c>
      <c r="AV27" s="58">
        <f t="shared" si="71"/>
        <v>118249.13793103448</v>
      </c>
      <c r="AW27" s="58">
        <f t="shared" si="71"/>
        <v>121564.13793103448</v>
      </c>
      <c r="AX27" s="58">
        <f t="shared" si="71"/>
        <v>86533.965517241377</v>
      </c>
      <c r="AY27" s="58">
        <f t="shared" si="71"/>
        <v>104777.77777777778</v>
      </c>
      <c r="AZ27" s="58">
        <f t="shared" si="71"/>
        <v>135777.77777777778</v>
      </c>
      <c r="BA27" s="58">
        <f t="shared" si="71"/>
        <v>211296.29629629629</v>
      </c>
      <c r="BB27" s="58">
        <f t="shared" si="71"/>
        <v>210777.77777777778</v>
      </c>
      <c r="BC27" s="58">
        <f t="shared" si="71"/>
        <v>214806.29075565783</v>
      </c>
      <c r="BD27" s="58">
        <f t="shared" si="71"/>
        <v>93210.586881472962</v>
      </c>
      <c r="BE27" s="58">
        <f t="shared" si="71"/>
        <v>30686.612965093977</v>
      </c>
      <c r="BF27" s="58">
        <f>SUM(AT27:BE27)</f>
        <v>1577509.7150594404</v>
      </c>
      <c r="BG27" s="59">
        <f>BF27-AR27</f>
        <v>99485.381726107094</v>
      </c>
      <c r="BH27" s="58">
        <f>BH24</f>
        <v>116600</v>
      </c>
      <c r="BI27" s="58">
        <f t="shared" ref="BI27:BT27" si="72">BI24</f>
        <v>111533.33333333333</v>
      </c>
      <c r="BJ27" s="58">
        <f t="shared" si="72"/>
        <v>135674.07407407407</v>
      </c>
      <c r="BK27" s="58">
        <f t="shared" si="72"/>
        <v>121740.74074074074</v>
      </c>
      <c r="BL27" s="58">
        <f t="shared" si="72"/>
        <v>93926.851851851854</v>
      </c>
      <c r="BM27" s="58">
        <f t="shared" si="72"/>
        <v>90679.259259259255</v>
      </c>
      <c r="BN27" s="58">
        <f t="shared" si="72"/>
        <v>130255.55555555556</v>
      </c>
      <c r="BO27" s="58">
        <f t="shared" si="72"/>
        <v>150550.37811111109</v>
      </c>
      <c r="BP27" s="58">
        <f t="shared" si="72"/>
        <v>161830.74953703705</v>
      </c>
      <c r="BQ27" s="58">
        <f t="shared" si="72"/>
        <v>127130</v>
      </c>
      <c r="BR27" s="58">
        <f>BR24</f>
        <v>138687.6</v>
      </c>
      <c r="BS27" s="58">
        <f t="shared" si="72"/>
        <v>43639.199999999997</v>
      </c>
      <c r="BT27" s="58">
        <f t="shared" si="72"/>
        <v>1422247.7424629631</v>
      </c>
      <c r="BU27" s="60"/>
      <c r="BV27" s="58">
        <f>'META  EM PEÇAS'!S73</f>
        <v>130757.867486095</v>
      </c>
      <c r="BW27" s="58">
        <f>'META  EM PEÇAS'!T73</f>
        <v>125566.83045180296</v>
      </c>
      <c r="BX27" s="58">
        <f>'META  EM PEÇAS'!U73</f>
        <v>160961.53846153844</v>
      </c>
      <c r="BY27" s="58">
        <f>'META  EM PEÇAS'!V73</f>
        <v>128769.23076923078</v>
      </c>
      <c r="BZ27" s="58">
        <f>'META  EM PEÇAS'!W73</f>
        <v>118232.39341785663</v>
      </c>
      <c r="CA27" s="58">
        <f>'META  EM PEÇAS'!X73</f>
        <v>108192.12910096844</v>
      </c>
      <c r="CB27" s="58">
        <f>'META  EM PEÇAS'!Y73</f>
        <v>143736.21444761599</v>
      </c>
      <c r="CC27" s="58">
        <f>'META  EM PEÇAS'!Z73</f>
        <v>170653.87382484006</v>
      </c>
      <c r="CD27" s="58">
        <f>'META  EM PEÇAS'!AA73</f>
        <v>181168.0933115824</v>
      </c>
      <c r="CE27" s="58">
        <f>'META  EM PEÇAS'!AB73</f>
        <v>182469.1164631079</v>
      </c>
      <c r="CF27" s="58">
        <f>'META  EM PEÇAS'!AC73</f>
        <v>133115.84223630186</v>
      </c>
      <c r="CG27" s="58">
        <f>'META  EM PEÇAS'!AD73</f>
        <v>30483.816691710366</v>
      </c>
      <c r="CH27" s="58">
        <v>45</v>
      </c>
      <c r="CI27">
        <f>CH27*26</f>
        <v>1170</v>
      </c>
      <c r="CJ27" s="58">
        <v>130757.867486095</v>
      </c>
      <c r="CK27" s="58">
        <v>125566.83045180296</v>
      </c>
      <c r="CL27" s="58">
        <v>160961.53846153844</v>
      </c>
      <c r="CM27" s="58">
        <v>128769.23076923078</v>
      </c>
      <c r="CN27" s="58">
        <v>118232.39341785663</v>
      </c>
      <c r="CO27" s="58">
        <v>108192.12910096844</v>
      </c>
      <c r="CP27" s="58">
        <v>143736.21444761599</v>
      </c>
      <c r="CQ27" s="58">
        <v>170653.87382484006</v>
      </c>
      <c r="CR27" s="58">
        <v>181168.0933115824</v>
      </c>
      <c r="CS27" s="58">
        <v>182469.1164631079</v>
      </c>
      <c r="CT27" s="58">
        <v>133115.84223630186</v>
      </c>
      <c r="CU27" s="58">
        <v>30483.816691710366</v>
      </c>
      <c r="CV27" s="58">
        <v>1614106.9466626509</v>
      </c>
    </row>
    <row r="28" spans="1:100">
      <c r="A28" s="307"/>
      <c r="B28" s="82"/>
      <c r="C28" s="308"/>
      <c r="D28" s="309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310"/>
      <c r="Q28" s="84"/>
      <c r="R28" s="309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311"/>
      <c r="AE28" s="23"/>
      <c r="AF28" s="312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6"/>
      <c r="AS28" s="23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2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54"/>
      <c r="BV28" s="87"/>
      <c r="BW28" s="87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87"/>
    </row>
    <row r="29" spans="1:100" ht="15" hidden="1" customHeight="1" outlineLevel="1">
      <c r="A29" s="88">
        <v>1</v>
      </c>
      <c r="B29" s="1095" t="s">
        <v>56</v>
      </c>
      <c r="C29" s="1117"/>
      <c r="D29" s="313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314">
        <f t="shared" ref="P29:P41" si="73">SUM(D29:O29)</f>
        <v>0</v>
      </c>
      <c r="Q29" s="90"/>
      <c r="R29" s="313">
        <v>7017.5438596491231</v>
      </c>
      <c r="S29" s="91">
        <v>7017.5438596491231</v>
      </c>
      <c r="T29" s="91">
        <f>7017.54385964912/2</f>
        <v>3508.7719298245602</v>
      </c>
      <c r="U29" s="91">
        <f>96*U7</f>
        <v>96</v>
      </c>
      <c r="V29" s="91">
        <v>3000</v>
      </c>
      <c r="W29" s="91">
        <v>7200</v>
      </c>
      <c r="X29" s="91">
        <v>8500</v>
      </c>
      <c r="Y29" s="91">
        <v>8500</v>
      </c>
      <c r="Z29" s="91">
        <v>8500</v>
      </c>
      <c r="AA29" s="91">
        <v>9000</v>
      </c>
      <c r="AB29" s="91">
        <v>9500</v>
      </c>
      <c r="AC29" s="91">
        <v>8500</v>
      </c>
      <c r="AD29" s="315">
        <f t="shared" ref="AD29:AD43" si="74">SUM(R29:AC29)</f>
        <v>80339.859649122809</v>
      </c>
      <c r="AE29" s="23"/>
      <c r="AF29" s="316">
        <v>8000</v>
      </c>
      <c r="AG29" s="91">
        <v>4000</v>
      </c>
      <c r="AH29" s="91">
        <v>5673</v>
      </c>
      <c r="AI29" s="91">
        <v>4500</v>
      </c>
      <c r="AJ29" s="91">
        <v>7892</v>
      </c>
      <c r="AK29" s="91">
        <v>6400</v>
      </c>
      <c r="AL29" s="91">
        <v>8000</v>
      </c>
      <c r="AM29" s="91">
        <v>8000</v>
      </c>
      <c r="AN29" s="91">
        <v>8000</v>
      </c>
      <c r="AO29" s="91">
        <v>8000</v>
      </c>
      <c r="AP29" s="91">
        <v>8800</v>
      </c>
      <c r="AQ29" s="91">
        <v>6400</v>
      </c>
      <c r="AR29" s="92">
        <f t="shared" ref="AR29:AR47" si="75">SUM(AF29:AQ29)</f>
        <v>83665</v>
      </c>
      <c r="AS29" s="23"/>
      <c r="AT29" s="91">
        <v>4861</v>
      </c>
      <c r="AU29" s="91">
        <v>5809</v>
      </c>
      <c r="AV29" s="91">
        <v>5072</v>
      </c>
      <c r="AW29" s="91">
        <v>4725</v>
      </c>
      <c r="AX29" s="317">
        <v>5832</v>
      </c>
      <c r="AY29" s="317">
        <v>5832</v>
      </c>
      <c r="AZ29" s="317">
        <v>5567</v>
      </c>
      <c r="BA29" s="317">
        <v>5567</v>
      </c>
      <c r="BB29" s="317">
        <v>5832</v>
      </c>
      <c r="BC29" s="317">
        <v>6892</v>
      </c>
      <c r="BD29" s="317">
        <v>7422</v>
      </c>
      <c r="BE29" s="317">
        <v>4241</v>
      </c>
      <c r="BF29" s="91">
        <f t="shared" ref="BF29:BF61" si="76">SUM(AT29:BE29)</f>
        <v>67652</v>
      </c>
      <c r="BG29" s="93">
        <f t="shared" ref="BG29:BG47" si="77">BF29/AR29-1</f>
        <v>-0.19139425088149165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>
        <v>36051</v>
      </c>
      <c r="BU29" s="54"/>
      <c r="BV29" s="91">
        <v>4782.99</v>
      </c>
      <c r="BW29" s="91">
        <v>2945.31</v>
      </c>
      <c r="BX29" s="91">
        <f>'META  EM PEÇAS'!U26-('META  EM PEÇAS'!U26*0.05)</f>
        <v>7080.3689999999997</v>
      </c>
      <c r="BY29" s="91">
        <f>'META  EM PEÇAS'!V26-('META  EM PEÇAS'!V26*0.05)</f>
        <v>4355.6549999999997</v>
      </c>
      <c r="BZ29" s="91">
        <f>'META  EM PEÇAS'!W26-('META  EM PEÇAS'!W26*0.05)</f>
        <v>5839.9349999999995</v>
      </c>
      <c r="CA29" s="91">
        <f>'META  EM PEÇAS'!X26-('META  EM PEÇAS'!X26*0.05)</f>
        <v>5900.8964999999989</v>
      </c>
      <c r="CB29" s="91">
        <f>'META  EM PEÇAS'!Y26-('META  EM PEÇAS'!Y26*0.05)</f>
        <v>5279.7959999999994</v>
      </c>
      <c r="CC29" s="91">
        <f>'META  EM PEÇAS'!Z26-('META  EM PEÇAS'!Z26*0.05)</f>
        <v>4897.2404999999999</v>
      </c>
      <c r="CD29" s="91">
        <f>'META  EM PEÇAS'!AA26-('META  EM PEÇAS'!AA26*0.05)</f>
        <v>5018.28</v>
      </c>
      <c r="CE29" s="91">
        <f>'META  EM PEÇAS'!AB26-('META  EM PEÇAS'!AB26*0.05)</f>
        <v>4641.0254999999997</v>
      </c>
      <c r="CF29" s="91">
        <f>'META  EM PEÇAS'!AC26-('META  EM PEÇAS'!AC26*0.05)</f>
        <v>6521.1134999999995</v>
      </c>
      <c r="CG29" s="91">
        <f>'META  EM PEÇAS'!AD26-('META  EM PEÇAS'!AD26*0.05)</f>
        <v>3929.8079999999995</v>
      </c>
      <c r="CH29" s="91">
        <v>4136.6400000000003</v>
      </c>
      <c r="CJ29" s="91">
        <v>4782.99</v>
      </c>
      <c r="CK29" s="91">
        <v>2945.31</v>
      </c>
      <c r="CL29" s="91">
        <v>7080.3689999999997</v>
      </c>
      <c r="CM29" s="91">
        <v>4355.6549999999997</v>
      </c>
      <c r="CN29" s="91">
        <v>5839.9349999999995</v>
      </c>
      <c r="CO29" s="91">
        <v>5900.8964999999989</v>
      </c>
      <c r="CP29" s="91">
        <v>5279.7959999999994</v>
      </c>
      <c r="CQ29" s="91">
        <v>4897.2404999999999</v>
      </c>
      <c r="CR29" s="91">
        <v>5018.28</v>
      </c>
      <c r="CS29" s="91">
        <v>4641.0254999999997</v>
      </c>
      <c r="CT29" s="91">
        <v>6521.1134999999995</v>
      </c>
      <c r="CU29" s="91">
        <v>3929.8079999999995</v>
      </c>
      <c r="CV29" s="91">
        <v>4136.6400000000003</v>
      </c>
    </row>
    <row r="30" spans="1:100" ht="15" hidden="1" customHeight="1" outlineLevel="1">
      <c r="A30" s="94">
        <v>2</v>
      </c>
      <c r="B30" s="1092" t="s">
        <v>57</v>
      </c>
      <c r="C30" s="1118"/>
      <c r="D30" s="313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314">
        <f t="shared" si="73"/>
        <v>0</v>
      </c>
      <c r="Q30" s="90"/>
      <c r="R30" s="313">
        <v>2909</v>
      </c>
      <c r="S30" s="91">
        <v>2545</v>
      </c>
      <c r="T30" s="91">
        <f>2727/1.2</f>
        <v>2272.5</v>
      </c>
      <c r="U30" s="91">
        <f>2*U7</f>
        <v>2</v>
      </c>
      <c r="V30" s="91">
        <v>500</v>
      </c>
      <c r="W30" s="91">
        <v>1300</v>
      </c>
      <c r="X30" s="91">
        <v>3200</v>
      </c>
      <c r="Y30" s="91">
        <v>3200</v>
      </c>
      <c r="Z30" s="91">
        <v>3600</v>
      </c>
      <c r="AA30" s="91">
        <v>3600</v>
      </c>
      <c r="AB30" s="91">
        <v>3600</v>
      </c>
      <c r="AC30" s="91">
        <v>4500</v>
      </c>
      <c r="AD30" s="315">
        <f t="shared" si="74"/>
        <v>31228.5</v>
      </c>
      <c r="AE30" s="23"/>
      <c r="AF30" s="316">
        <v>4000</v>
      </c>
      <c r="AG30" s="91">
        <v>1500</v>
      </c>
      <c r="AH30" s="91">
        <v>189</v>
      </c>
      <c r="AI30" s="91">
        <v>1842</v>
      </c>
      <c r="AJ30" s="91">
        <v>3764</v>
      </c>
      <c r="AK30" s="91">
        <v>3200</v>
      </c>
      <c r="AL30" s="91">
        <v>6000</v>
      </c>
      <c r="AM30" s="91">
        <v>5000</v>
      </c>
      <c r="AN30" s="91">
        <v>5000</v>
      </c>
      <c r="AO30" s="91">
        <v>5000</v>
      </c>
      <c r="AP30" s="91">
        <v>5000</v>
      </c>
      <c r="AQ30" s="91">
        <v>9000</v>
      </c>
      <c r="AR30" s="92">
        <f t="shared" si="75"/>
        <v>49495</v>
      </c>
      <c r="AS30" s="23"/>
      <c r="AT30" s="91">
        <v>5468</v>
      </c>
      <c r="AU30" s="91">
        <v>5468</v>
      </c>
      <c r="AV30" s="91">
        <v>6249</v>
      </c>
      <c r="AW30" s="91">
        <v>6249</v>
      </c>
      <c r="AX30" s="317">
        <v>3923</v>
      </c>
      <c r="AY30" s="317">
        <v>3923</v>
      </c>
      <c r="AZ30" s="317">
        <v>3745</v>
      </c>
      <c r="BA30" s="317">
        <v>3745</v>
      </c>
      <c r="BB30" s="317">
        <v>3923</v>
      </c>
      <c r="BC30" s="317">
        <v>4636</v>
      </c>
      <c r="BD30" s="317">
        <v>4993</v>
      </c>
      <c r="BE30" s="317">
        <v>7133</v>
      </c>
      <c r="BF30" s="91">
        <f t="shared" si="76"/>
        <v>59455</v>
      </c>
      <c r="BG30" s="93">
        <f t="shared" si="77"/>
        <v>0.20123244772199222</v>
      </c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>
        <v>40562</v>
      </c>
      <c r="BU30" s="54"/>
      <c r="BV30" s="91">
        <v>4442.6099999999997</v>
      </c>
      <c r="BW30" s="91">
        <v>3433.56</v>
      </c>
      <c r="BX30" s="91">
        <f>'META  EM PEÇAS'!U27-('META  EM PEÇAS'!U27*0.05)</f>
        <v>3860.0114999999996</v>
      </c>
      <c r="BY30" s="91">
        <f>'META  EM PEÇAS'!V27-('META  EM PEÇAS'!V27*0.05)</f>
        <v>3578.1749999999997</v>
      </c>
      <c r="BZ30" s="91">
        <f>'META  EM PEÇAS'!W27-('META  EM PEÇAS'!W27*0.05)</f>
        <v>4015.5074999999997</v>
      </c>
      <c r="CA30" s="91">
        <f>'META  EM PEÇAS'!X27-('META  EM PEÇAS'!X27*0.05)</f>
        <v>4835.3954999999996</v>
      </c>
      <c r="CB30" s="91">
        <f>'META  EM PEÇAS'!Y27-('META  EM PEÇAS'!Y27*0.05)</f>
        <v>5815.1969999999992</v>
      </c>
      <c r="CC30" s="91">
        <f>'META  EM PEÇAS'!Z27-('META  EM PEÇAS'!Z27*0.05)</f>
        <v>3888.2835</v>
      </c>
      <c r="CD30" s="91">
        <f>'META  EM PEÇAS'!AA27-('META  EM PEÇAS'!AA27*0.05)</f>
        <v>4032.2939999999994</v>
      </c>
      <c r="CE30" s="91">
        <f>'META  EM PEÇAS'!AB27-('META  EM PEÇAS'!AB27*0.05)</f>
        <v>4375.0919999999996</v>
      </c>
      <c r="CF30" s="91">
        <f>'META  EM PEÇAS'!AC27-('META  EM PEÇAS'!AC27*0.05)</f>
        <v>5604.9239999999991</v>
      </c>
      <c r="CG30" s="91">
        <f>'META  EM PEÇAS'!AD27-('META  EM PEÇAS'!AD27*0.05)</f>
        <v>7897.606499999999</v>
      </c>
      <c r="CH30" s="91">
        <f>SUM(BV30:CG30)</f>
        <v>55778.656499999997</v>
      </c>
      <c r="CJ30" s="91">
        <v>4442.6099999999997</v>
      </c>
      <c r="CK30" s="91">
        <v>3433.56</v>
      </c>
      <c r="CL30" s="91">
        <v>3860.0114999999996</v>
      </c>
      <c r="CM30" s="91">
        <v>3578.1749999999997</v>
      </c>
      <c r="CN30" s="91">
        <v>4015.5074999999997</v>
      </c>
      <c r="CO30" s="91">
        <v>4835.3954999999996</v>
      </c>
      <c r="CP30" s="91">
        <v>5815.1969999999992</v>
      </c>
      <c r="CQ30" s="91">
        <v>3888.2835</v>
      </c>
      <c r="CR30" s="91">
        <v>4032.2939999999994</v>
      </c>
      <c r="CS30" s="91">
        <v>4375.0919999999996</v>
      </c>
      <c r="CT30" s="91">
        <v>5604.9239999999991</v>
      </c>
      <c r="CU30" s="91">
        <v>7897.606499999999</v>
      </c>
      <c r="CV30" s="91">
        <v>55778.656499999997</v>
      </c>
    </row>
    <row r="31" spans="1:100" ht="15" hidden="1" customHeight="1" outlineLevel="1">
      <c r="A31" s="94">
        <v>3</v>
      </c>
      <c r="B31" s="1092" t="s">
        <v>58</v>
      </c>
      <c r="C31" s="1118"/>
      <c r="D31" s="313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314">
        <f t="shared" si="73"/>
        <v>0</v>
      </c>
      <c r="Q31" s="90"/>
      <c r="R31" s="313">
        <v>746</v>
      </c>
      <c r="S31" s="91">
        <v>653</v>
      </c>
      <c r="T31" s="91">
        <v>700</v>
      </c>
      <c r="U31" s="91">
        <v>0</v>
      </c>
      <c r="V31" s="91">
        <v>200</v>
      </c>
      <c r="W31" s="91">
        <v>400</v>
      </c>
      <c r="X31" s="91">
        <v>900</v>
      </c>
      <c r="Y31" s="91">
        <v>900</v>
      </c>
      <c r="Z31" s="91">
        <v>900</v>
      </c>
      <c r="AA31" s="91">
        <v>900</v>
      </c>
      <c r="AB31" s="91">
        <v>900</v>
      </c>
      <c r="AC31" s="91">
        <v>1200</v>
      </c>
      <c r="AD31" s="315">
        <f t="shared" si="74"/>
        <v>8399</v>
      </c>
      <c r="AE31" s="23"/>
      <c r="AF31" s="316">
        <v>1800</v>
      </c>
      <c r="AG31" s="91">
        <v>1200</v>
      </c>
      <c r="AH31" s="91">
        <v>230</v>
      </c>
      <c r="AI31" s="91">
        <v>472</v>
      </c>
      <c r="AJ31" s="91">
        <v>1495</v>
      </c>
      <c r="AK31" s="91">
        <v>1200</v>
      </c>
      <c r="AL31" s="91">
        <v>1500</v>
      </c>
      <c r="AM31" s="91">
        <v>1500</v>
      </c>
      <c r="AN31" s="91">
        <v>1500</v>
      </c>
      <c r="AO31" s="91">
        <v>1500</v>
      </c>
      <c r="AP31" s="91">
        <v>1650</v>
      </c>
      <c r="AQ31" s="91">
        <v>2400</v>
      </c>
      <c r="AR31" s="92">
        <f t="shared" si="75"/>
        <v>16447</v>
      </c>
      <c r="AS31" s="23"/>
      <c r="AT31" s="91">
        <v>2438</v>
      </c>
      <c r="AU31" s="91">
        <v>1501</v>
      </c>
      <c r="AV31" s="91">
        <v>1566</v>
      </c>
      <c r="AW31" s="91">
        <v>2127</v>
      </c>
      <c r="AX31" s="317">
        <v>1928</v>
      </c>
      <c r="AY31" s="317">
        <v>1928</v>
      </c>
      <c r="AZ31" s="317">
        <v>1840</v>
      </c>
      <c r="BA31" s="317">
        <v>1840</v>
      </c>
      <c r="BB31" s="317">
        <v>1928</v>
      </c>
      <c r="BC31" s="317">
        <v>2278</v>
      </c>
      <c r="BD31" s="317">
        <v>2454</v>
      </c>
      <c r="BE31" s="317">
        <v>3505</v>
      </c>
      <c r="BF31" s="91">
        <f t="shared" si="76"/>
        <v>25333</v>
      </c>
      <c r="BG31" s="93">
        <f t="shared" si="77"/>
        <v>0.54028090229221126</v>
      </c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>
        <v>7784</v>
      </c>
      <c r="BU31" s="54"/>
      <c r="BV31" s="91">
        <v>450.99999999999989</v>
      </c>
      <c r="BW31" s="91">
        <v>348.59999999999991</v>
      </c>
      <c r="BX31" s="91">
        <f>'META  EM PEÇAS'!U28-('META  EM PEÇAS'!U28*0.05)</f>
        <v>391.96999999999991</v>
      </c>
      <c r="BY31" s="91">
        <f>'META  EM PEÇAS'!V28-('META  EM PEÇAS'!V28*0.05)</f>
        <v>363.27999999999992</v>
      </c>
      <c r="BZ31" s="91">
        <f>'META  EM PEÇAS'!W28-('META  EM PEÇAS'!W28*0.05)</f>
        <v>407.5499999999999</v>
      </c>
      <c r="CA31" s="91">
        <f>'META  EM PEÇAS'!X28-('META  EM PEÇAS'!X28*0.05)</f>
        <v>490.76999999999992</v>
      </c>
      <c r="CB31" s="91">
        <f>'META  EM PEÇAS'!Y28-('META  EM PEÇAS'!Y28*0.05)</f>
        <v>590.32999999999993</v>
      </c>
      <c r="CC31" s="91">
        <f>'META  EM PEÇAS'!Z28-('META  EM PEÇAS'!Z28*0.05)</f>
        <v>394.62999999999994</v>
      </c>
      <c r="CD31" s="91">
        <f>'META  EM PEÇAS'!AA28-('META  EM PEÇAS'!AA28*0.05)</f>
        <v>409.25999999999988</v>
      </c>
      <c r="CE31" s="91">
        <f>'META  EM PEÇAS'!AB28-('META  EM PEÇAS'!AB28*0.05)</f>
        <v>444.21999999999991</v>
      </c>
      <c r="CF31" s="91">
        <f>'META  EM PEÇAS'!AC28-('META  EM PEÇAS'!AC28*0.05)</f>
        <v>569.04999999999984</v>
      </c>
      <c r="CG31" s="91">
        <f>'META  EM PEÇAS'!AD28-('META  EM PEÇAS'!AD28*0.05)</f>
        <v>801.79999999999973</v>
      </c>
      <c r="CH31" s="91">
        <f t="shared" ref="CH31:CH44" si="78">SUM(BV31:CG31)</f>
        <v>5662.4599999999991</v>
      </c>
      <c r="CJ31" s="91">
        <v>450.99999999999989</v>
      </c>
      <c r="CK31" s="91">
        <v>348.59999999999991</v>
      </c>
      <c r="CL31" s="91">
        <v>391.96999999999991</v>
      </c>
      <c r="CM31" s="91">
        <v>363.27999999999992</v>
      </c>
      <c r="CN31" s="91">
        <v>407.5499999999999</v>
      </c>
      <c r="CO31" s="91">
        <v>490.76999999999992</v>
      </c>
      <c r="CP31" s="91">
        <v>590.32999999999993</v>
      </c>
      <c r="CQ31" s="91">
        <v>394.62999999999994</v>
      </c>
      <c r="CR31" s="91">
        <v>409.25999999999988</v>
      </c>
      <c r="CS31" s="91">
        <v>444.21999999999991</v>
      </c>
      <c r="CT31" s="91">
        <v>569.04999999999984</v>
      </c>
      <c r="CU31" s="91">
        <v>801.79999999999973</v>
      </c>
      <c r="CV31" s="91">
        <v>5662.4599999999991</v>
      </c>
    </row>
    <row r="32" spans="1:100" ht="15" hidden="1" customHeight="1" outlineLevel="1">
      <c r="A32" s="94">
        <v>4</v>
      </c>
      <c r="B32" s="1092" t="s">
        <v>59</v>
      </c>
      <c r="C32" s="1118"/>
      <c r="D32" s="313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314">
        <f t="shared" si="73"/>
        <v>0</v>
      </c>
      <c r="Q32" s="90"/>
      <c r="R32" s="313">
        <v>1455</v>
      </c>
      <c r="S32" s="91">
        <f>2036</f>
        <v>2036</v>
      </c>
      <c r="T32" s="91">
        <f>2182/2</f>
        <v>1091</v>
      </c>
      <c r="U32" s="91">
        <v>0</v>
      </c>
      <c r="V32" s="91">
        <v>200</v>
      </c>
      <c r="W32" s="91">
        <v>900</v>
      </c>
      <c r="X32" s="91">
        <v>1600</v>
      </c>
      <c r="Y32" s="91">
        <v>1600</v>
      </c>
      <c r="Z32" s="91">
        <v>1600</v>
      </c>
      <c r="AA32" s="91">
        <v>1600</v>
      </c>
      <c r="AB32" s="91">
        <v>2200</v>
      </c>
      <c r="AC32" s="91">
        <v>2500</v>
      </c>
      <c r="AD32" s="315">
        <f t="shared" si="74"/>
        <v>16782</v>
      </c>
      <c r="AE32" s="23"/>
      <c r="AF32" s="316">
        <v>2200</v>
      </c>
      <c r="AG32" s="91">
        <v>1500</v>
      </c>
      <c r="AH32" s="91">
        <v>121</v>
      </c>
      <c r="AI32" s="91">
        <v>565</v>
      </c>
      <c r="AJ32" s="91">
        <v>1514</v>
      </c>
      <c r="AK32" s="91">
        <v>1760</v>
      </c>
      <c r="AL32" s="91">
        <v>1800</v>
      </c>
      <c r="AM32" s="91">
        <v>2200</v>
      </c>
      <c r="AN32" s="91">
        <v>2200</v>
      </c>
      <c r="AO32" s="91">
        <v>2200</v>
      </c>
      <c r="AP32" s="91">
        <v>2420</v>
      </c>
      <c r="AQ32" s="91">
        <v>3520</v>
      </c>
      <c r="AR32" s="92">
        <f t="shared" si="75"/>
        <v>22000</v>
      </c>
      <c r="AS32" s="23"/>
      <c r="AT32" s="91">
        <v>1529</v>
      </c>
      <c r="AU32" s="91">
        <v>1516</v>
      </c>
      <c r="AV32" s="91">
        <v>1586</v>
      </c>
      <c r="AW32" s="91">
        <v>1979</v>
      </c>
      <c r="AX32" s="317">
        <v>1283</v>
      </c>
      <c r="AY32" s="317">
        <v>1283</v>
      </c>
      <c r="AZ32" s="317">
        <v>1224</v>
      </c>
      <c r="BA32" s="317">
        <v>1224</v>
      </c>
      <c r="BB32" s="317">
        <v>1283</v>
      </c>
      <c r="BC32" s="317">
        <v>1516</v>
      </c>
      <c r="BD32" s="317">
        <v>1632</v>
      </c>
      <c r="BE32" s="317">
        <v>2332</v>
      </c>
      <c r="BF32" s="91">
        <f t="shared" si="76"/>
        <v>18387</v>
      </c>
      <c r="BG32" s="93">
        <f t="shared" si="77"/>
        <v>-0.16422727272727278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>
        <v>9018</v>
      </c>
      <c r="BU32" s="54"/>
      <c r="BV32" s="91">
        <v>1143.8999999999999</v>
      </c>
      <c r="BW32" s="91">
        <v>884.43</v>
      </c>
      <c r="BX32" s="91">
        <f>'META  EM PEÇAS'!U29-('META  EM PEÇAS'!U29*0.05)</f>
        <v>993.9375</v>
      </c>
      <c r="BY32" s="91">
        <f>'META  EM PEÇAS'!V29-('META  EM PEÇAS'!V29*0.05)</f>
        <v>921.49049999999988</v>
      </c>
      <c r="BZ32" s="91">
        <f>'META  EM PEÇAS'!W29-('META  EM PEÇAS'!W29*0.05)</f>
        <v>1033.6949999999999</v>
      </c>
      <c r="CA32" s="91">
        <f>'META  EM PEÇAS'!X29-('META  EM PEÇAS'!X29*0.05)</f>
        <v>1244.8515</v>
      </c>
      <c r="CB32" s="91">
        <f>'META  EM PEÇAS'!Y29-('META  EM PEÇAS'!Y29*0.05)</f>
        <v>1497.5324999999998</v>
      </c>
      <c r="CC32" s="91">
        <f>'META  EM PEÇAS'!Z29-('META  EM PEÇAS'!Z29*0.05)</f>
        <v>1001.0054999999999</v>
      </c>
      <c r="CD32" s="91">
        <f>'META  EM PEÇAS'!AA29-('META  EM PEÇAS'!AA29*0.05)</f>
        <v>1038.1125</v>
      </c>
      <c r="CE32" s="91">
        <f>'META  EM PEÇAS'!AB29-('META  EM PEÇAS'!AB29*0.05)</f>
        <v>1126.4625000000001</v>
      </c>
      <c r="CF32" s="91">
        <f>'META  EM PEÇAS'!AC29-('META  EM PEÇAS'!AC29*0.05)</f>
        <v>1443.6389999999999</v>
      </c>
      <c r="CG32" s="91">
        <f>'META  EM PEÇAS'!AD29-('META  EM PEÇAS'!AD29*0.05)</f>
        <v>2033.8169999999998</v>
      </c>
      <c r="CH32" s="91">
        <f t="shared" si="78"/>
        <v>14362.873499999996</v>
      </c>
      <c r="CJ32" s="91">
        <v>1143.8999999999999</v>
      </c>
      <c r="CK32" s="91">
        <v>884.43</v>
      </c>
      <c r="CL32" s="91">
        <v>993.9375</v>
      </c>
      <c r="CM32" s="91">
        <v>921.49049999999988</v>
      </c>
      <c r="CN32" s="91">
        <v>1033.6949999999999</v>
      </c>
      <c r="CO32" s="91">
        <v>1244.8515</v>
      </c>
      <c r="CP32" s="91">
        <v>1497.5324999999998</v>
      </c>
      <c r="CQ32" s="91">
        <v>1001.0054999999999</v>
      </c>
      <c r="CR32" s="91">
        <v>1038.1125</v>
      </c>
      <c r="CS32" s="91">
        <v>1126.4625000000001</v>
      </c>
      <c r="CT32" s="91">
        <v>1443.6389999999999</v>
      </c>
      <c r="CU32" s="91">
        <v>2033.8169999999998</v>
      </c>
      <c r="CV32" s="91">
        <v>14362.873499999996</v>
      </c>
    </row>
    <row r="33" spans="1:100" ht="15" hidden="1" customHeight="1" outlineLevel="1">
      <c r="A33" s="94">
        <v>5</v>
      </c>
      <c r="B33" s="1092" t="s">
        <v>60</v>
      </c>
      <c r="C33" s="1118"/>
      <c r="D33" s="313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314">
        <f t="shared" si="73"/>
        <v>0</v>
      </c>
      <c r="Q33" s="90"/>
      <c r="R33" s="313">
        <v>1353</v>
      </c>
      <c r="S33" s="91">
        <v>1184</v>
      </c>
      <c r="T33" s="91">
        <v>1268</v>
      </c>
      <c r="U33" s="91">
        <f t="shared" ref="U33:V33" si="79">10*U7</f>
        <v>10</v>
      </c>
      <c r="V33" s="91">
        <f t="shared" si="79"/>
        <v>120</v>
      </c>
      <c r="W33" s="91">
        <v>600</v>
      </c>
      <c r="X33" s="91">
        <v>1600</v>
      </c>
      <c r="Y33" s="91">
        <v>1600</v>
      </c>
      <c r="Z33" s="91">
        <v>1600</v>
      </c>
      <c r="AA33" s="91">
        <v>1600</v>
      </c>
      <c r="AB33" s="91">
        <v>1600</v>
      </c>
      <c r="AC33" s="91">
        <v>2200</v>
      </c>
      <c r="AD33" s="315">
        <f t="shared" si="74"/>
        <v>14735</v>
      </c>
      <c r="AE33" s="23"/>
      <c r="AF33" s="316">
        <v>1800</v>
      </c>
      <c r="AG33" s="91">
        <v>1200</v>
      </c>
      <c r="AH33" s="91">
        <v>181</v>
      </c>
      <c r="AI33" s="91">
        <v>628</v>
      </c>
      <c r="AJ33" s="91">
        <v>1169</v>
      </c>
      <c r="AK33" s="91">
        <v>960</v>
      </c>
      <c r="AL33" s="91">
        <v>1500</v>
      </c>
      <c r="AM33" s="91">
        <v>1200</v>
      </c>
      <c r="AN33" s="91">
        <v>1200</v>
      </c>
      <c r="AO33" s="91">
        <v>1200</v>
      </c>
      <c r="AP33" s="91">
        <v>1320</v>
      </c>
      <c r="AQ33" s="91">
        <v>1920</v>
      </c>
      <c r="AR33" s="92">
        <f t="shared" si="75"/>
        <v>14278</v>
      </c>
      <c r="AS33" s="23"/>
      <c r="AT33" s="91">
        <v>1496</v>
      </c>
      <c r="AU33" s="91">
        <v>1200</v>
      </c>
      <c r="AV33" s="91">
        <v>1227</v>
      </c>
      <c r="AW33" s="91">
        <v>1655</v>
      </c>
      <c r="AX33" s="317">
        <v>1141</v>
      </c>
      <c r="AY33" s="317">
        <v>1141</v>
      </c>
      <c r="AZ33" s="317">
        <v>1089</v>
      </c>
      <c r="BA33" s="317">
        <v>1089</v>
      </c>
      <c r="BB33" s="317">
        <v>1141</v>
      </c>
      <c r="BC33" s="317">
        <v>1349</v>
      </c>
      <c r="BD33" s="317">
        <v>1453</v>
      </c>
      <c r="BE33" s="317">
        <v>2075</v>
      </c>
      <c r="BF33" s="91">
        <f t="shared" si="76"/>
        <v>16056</v>
      </c>
      <c r="BG33" s="93">
        <f t="shared" si="77"/>
        <v>0.1245272447121446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>
        <v>10591</v>
      </c>
      <c r="BU33" s="54"/>
      <c r="BV33" s="91">
        <v>1474.9799999999998</v>
      </c>
      <c r="BW33" s="91">
        <v>1140.1799999999998</v>
      </c>
      <c r="BX33" s="91">
        <f>'META  EM PEÇAS'!U30-('META  EM PEÇAS'!U30*0.05)</f>
        <v>1281.9584999999997</v>
      </c>
      <c r="BY33" s="91">
        <f>'META  EM PEÇAS'!V30-('META  EM PEÇAS'!V30*0.05)</f>
        <v>1188.3074999999999</v>
      </c>
      <c r="BZ33" s="91">
        <f>'META  EM PEÇAS'!W30-('META  EM PEÇAS'!W30*0.05)</f>
        <v>1333.2014999999999</v>
      </c>
      <c r="CA33" s="91">
        <f>'META  EM PEÇAS'!X30-('META  EM PEÇAS'!X30*0.05)</f>
        <v>1606.2029999999997</v>
      </c>
      <c r="CB33" s="91">
        <f>'META  EM PEÇAS'!Y30-('META  EM PEÇAS'!Y30*0.05)</f>
        <v>1931.3309999999997</v>
      </c>
      <c r="CC33" s="91">
        <f>'META  EM PEÇAS'!Z30-('META  EM PEÇAS'!Z30*0.05)</f>
        <v>1291.6769999999999</v>
      </c>
      <c r="CD33" s="91">
        <f>'META  EM PEÇAS'!AA30-('META  EM PEÇAS'!AA30*0.05)</f>
        <v>1339.386</v>
      </c>
      <c r="CE33" s="91">
        <f>'META  EM PEÇAS'!AB30-('META  EM PEÇAS'!AB30*0.05)</f>
        <v>1453.3574999999998</v>
      </c>
      <c r="CF33" s="91">
        <f>'META  EM PEÇAS'!AC30-('META  EM PEÇAS'!AC30*0.05)</f>
        <v>1861.5344999999998</v>
      </c>
      <c r="CG33" s="91">
        <f>'META  EM PEÇAS'!AD30-('META  EM PEÇAS'!AD30*0.05)</f>
        <v>2623.1114999999995</v>
      </c>
      <c r="CH33" s="91">
        <f t="shared" si="78"/>
        <v>18525.227999999999</v>
      </c>
      <c r="CI33" s="450"/>
      <c r="CJ33" s="91">
        <v>1474.9799999999998</v>
      </c>
      <c r="CK33" s="91">
        <v>1140.1799999999998</v>
      </c>
      <c r="CL33" s="91">
        <v>1281.9584999999997</v>
      </c>
      <c r="CM33" s="91">
        <v>1188.3074999999999</v>
      </c>
      <c r="CN33" s="91">
        <v>1333.2014999999999</v>
      </c>
      <c r="CO33" s="91">
        <v>1606.2029999999997</v>
      </c>
      <c r="CP33" s="91">
        <v>1931.3309999999997</v>
      </c>
      <c r="CQ33" s="91">
        <v>1291.6769999999999</v>
      </c>
      <c r="CR33" s="91">
        <v>1339.386</v>
      </c>
      <c r="CS33" s="91">
        <v>1453.3574999999998</v>
      </c>
      <c r="CT33" s="91">
        <v>1861.5344999999998</v>
      </c>
      <c r="CU33" s="91">
        <v>2623.1114999999995</v>
      </c>
      <c r="CV33" s="91">
        <v>18525.227999999999</v>
      </c>
    </row>
    <row r="34" spans="1:100" ht="15" hidden="1" customHeight="1" outlineLevel="1">
      <c r="A34" s="94">
        <v>6</v>
      </c>
      <c r="B34" s="1092" t="s">
        <v>61</v>
      </c>
      <c r="C34" s="1118"/>
      <c r="D34" s="313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si="73"/>
        <v>0</v>
      </c>
      <c r="Q34" s="90"/>
      <c r="R34" s="313">
        <v>1455</v>
      </c>
      <c r="S34" s="91">
        <v>1273</v>
      </c>
      <c r="T34" s="91">
        <v>1364</v>
      </c>
      <c r="U34" s="91">
        <v>0</v>
      </c>
      <c r="V34" s="91">
        <v>200</v>
      </c>
      <c r="W34" s="91">
        <v>800</v>
      </c>
      <c r="X34" s="91">
        <v>1600</v>
      </c>
      <c r="Y34" s="91">
        <v>1600</v>
      </c>
      <c r="Z34" s="91">
        <v>1600</v>
      </c>
      <c r="AA34" s="91">
        <v>1600</v>
      </c>
      <c r="AB34" s="91">
        <v>1800</v>
      </c>
      <c r="AC34" s="91">
        <v>2400</v>
      </c>
      <c r="AD34" s="315">
        <f t="shared" si="74"/>
        <v>15692</v>
      </c>
      <c r="AE34" s="23"/>
      <c r="AF34" s="316">
        <v>1500</v>
      </c>
      <c r="AG34" s="91">
        <v>1200</v>
      </c>
      <c r="AH34" s="91">
        <v>127</v>
      </c>
      <c r="AI34" s="91">
        <v>426</v>
      </c>
      <c r="AJ34" s="91">
        <v>1063</v>
      </c>
      <c r="AK34" s="91">
        <v>960</v>
      </c>
      <c r="AL34" s="91">
        <v>1500</v>
      </c>
      <c r="AM34" s="91">
        <v>1200</v>
      </c>
      <c r="AN34" s="91">
        <v>1200</v>
      </c>
      <c r="AO34" s="91">
        <v>1200</v>
      </c>
      <c r="AP34" s="91">
        <v>1320</v>
      </c>
      <c r="AQ34" s="91">
        <v>1920</v>
      </c>
      <c r="AR34" s="92">
        <f t="shared" si="75"/>
        <v>13616</v>
      </c>
      <c r="AS34" s="23"/>
      <c r="AT34" s="91">
        <v>1222</v>
      </c>
      <c r="AU34" s="91">
        <v>1200</v>
      </c>
      <c r="AV34" s="91">
        <v>1117</v>
      </c>
      <c r="AW34" s="91">
        <v>1463</v>
      </c>
      <c r="AX34" s="317">
        <v>1087</v>
      </c>
      <c r="AY34" s="317">
        <v>1087</v>
      </c>
      <c r="AZ34" s="317">
        <v>1038</v>
      </c>
      <c r="BA34" s="317">
        <v>1038</v>
      </c>
      <c r="BB34" s="317">
        <v>1087</v>
      </c>
      <c r="BC34" s="317">
        <v>1285</v>
      </c>
      <c r="BD34" s="317">
        <v>1384</v>
      </c>
      <c r="BE34" s="317">
        <v>1977</v>
      </c>
      <c r="BF34" s="91">
        <f t="shared" si="76"/>
        <v>14985</v>
      </c>
      <c r="BG34" s="93">
        <f t="shared" si="77"/>
        <v>0.10054347826086962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>
        <v>10087</v>
      </c>
      <c r="BU34" s="54"/>
      <c r="BV34" s="91">
        <v>1214.58</v>
      </c>
      <c r="BW34" s="91">
        <v>939.3</v>
      </c>
      <c r="BX34" s="91">
        <f>'META  EM PEÇAS'!U31-('META  EM PEÇAS'!U31*0.05)</f>
        <v>1055.7824999999998</v>
      </c>
      <c r="BY34" s="91">
        <f>'META  EM PEÇAS'!V31-('META  EM PEÇAS'!V31*0.05)</f>
        <v>978.03449999999998</v>
      </c>
      <c r="BZ34" s="91">
        <f>'META  EM PEÇAS'!W31-('META  EM PEÇAS'!W31*0.05)</f>
        <v>1098.1904999999999</v>
      </c>
      <c r="CA34" s="91">
        <f>'META  EM PEÇAS'!X31-('META  EM PEÇAS'!X31*0.05)</f>
        <v>1322.5994999999998</v>
      </c>
      <c r="CB34" s="91">
        <f>'META  EM PEÇAS'!Y31-('META  EM PEÇAS'!Y31*0.05)</f>
        <v>1590.3</v>
      </c>
      <c r="CC34" s="91">
        <f>'META  EM PEÇAS'!Z31-('META  EM PEÇAS'!Z31*0.05)</f>
        <v>1062.8505</v>
      </c>
      <c r="CD34" s="91">
        <f>'META  EM PEÇAS'!AA31-('META  EM PEÇAS'!AA31*0.05)</f>
        <v>1102.6079999999999</v>
      </c>
      <c r="CE34" s="91">
        <f>'META  EM PEÇAS'!AB31-('META  EM PEÇAS'!AB31*0.05)</f>
        <v>1196.259</v>
      </c>
      <c r="CF34" s="91">
        <f>'META  EM PEÇAS'!AC31-('META  EM PEÇAS'!AC31*0.05)</f>
        <v>1532.8724999999999</v>
      </c>
      <c r="CG34" s="91">
        <f>'META  EM PEÇAS'!AD31-('META  EM PEÇAS'!AD31*0.05)</f>
        <v>2160.1574999999998</v>
      </c>
      <c r="CH34" s="91">
        <f t="shared" si="78"/>
        <v>15253.534499999998</v>
      </c>
      <c r="CJ34" s="91">
        <v>1214.58</v>
      </c>
      <c r="CK34" s="91">
        <v>939.3</v>
      </c>
      <c r="CL34" s="91">
        <v>1055.7824999999998</v>
      </c>
      <c r="CM34" s="91">
        <v>978.03449999999998</v>
      </c>
      <c r="CN34" s="91">
        <v>1098.1904999999999</v>
      </c>
      <c r="CO34" s="91">
        <v>1322.5994999999998</v>
      </c>
      <c r="CP34" s="91">
        <v>1590.3</v>
      </c>
      <c r="CQ34" s="91">
        <v>1062.8505</v>
      </c>
      <c r="CR34" s="91">
        <v>1102.6079999999999</v>
      </c>
      <c r="CS34" s="91">
        <v>1196.259</v>
      </c>
      <c r="CT34" s="91">
        <v>1532.8724999999999</v>
      </c>
      <c r="CU34" s="91">
        <v>2160.1574999999998</v>
      </c>
      <c r="CV34" s="91">
        <v>15253.534499999998</v>
      </c>
    </row>
    <row r="35" spans="1:100" ht="15" hidden="1" customHeight="1" outlineLevel="1">
      <c r="A35" s="94">
        <v>7</v>
      </c>
      <c r="B35" s="1092" t="s">
        <v>62</v>
      </c>
      <c r="C35" s="1118"/>
      <c r="D35" s="313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>
        <f t="shared" si="73"/>
        <v>0</v>
      </c>
      <c r="Q35" s="90"/>
      <c r="R35" s="313">
        <v>2000</v>
      </c>
      <c r="S35" s="91">
        <f>2182</f>
        <v>2182</v>
      </c>
      <c r="T35" s="91">
        <f>2455/2</f>
        <v>1227.5</v>
      </c>
      <c r="U35" s="91">
        <f>4*U7</f>
        <v>4</v>
      </c>
      <c r="V35" s="91">
        <v>200</v>
      </c>
      <c r="W35" s="91">
        <v>700</v>
      </c>
      <c r="X35" s="91">
        <v>1600</v>
      </c>
      <c r="Y35" s="91">
        <v>1600</v>
      </c>
      <c r="Z35" s="91">
        <v>1600</v>
      </c>
      <c r="AA35" s="91">
        <v>1600</v>
      </c>
      <c r="AB35" s="91">
        <v>2500</v>
      </c>
      <c r="AC35" s="91">
        <v>3200</v>
      </c>
      <c r="AD35" s="315">
        <f t="shared" si="74"/>
        <v>18413.5</v>
      </c>
      <c r="AE35" s="23"/>
      <c r="AF35" s="316">
        <v>2600</v>
      </c>
      <c r="AG35" s="91">
        <v>1000</v>
      </c>
      <c r="AH35" s="91">
        <v>195</v>
      </c>
      <c r="AI35" s="91">
        <v>844</v>
      </c>
      <c r="AJ35" s="91">
        <v>1973</v>
      </c>
      <c r="AK35" s="91">
        <v>1840</v>
      </c>
      <c r="AL35" s="91">
        <v>2000</v>
      </c>
      <c r="AM35" s="91">
        <v>2300</v>
      </c>
      <c r="AN35" s="91">
        <v>2300</v>
      </c>
      <c r="AO35" s="91">
        <v>2300</v>
      </c>
      <c r="AP35" s="91">
        <v>2530</v>
      </c>
      <c r="AQ35" s="91">
        <v>3680</v>
      </c>
      <c r="AR35" s="92">
        <f t="shared" si="75"/>
        <v>23562</v>
      </c>
      <c r="AS35" s="23"/>
      <c r="AT35" s="91">
        <v>1888</v>
      </c>
      <c r="AU35" s="91">
        <v>1414</v>
      </c>
      <c r="AV35" s="91">
        <v>2073</v>
      </c>
      <c r="AW35" s="91">
        <v>2338</v>
      </c>
      <c r="AX35" s="317">
        <v>1857</v>
      </c>
      <c r="AY35" s="317">
        <v>1857</v>
      </c>
      <c r="AZ35" s="317">
        <v>1772</v>
      </c>
      <c r="BA35" s="317">
        <v>1772</v>
      </c>
      <c r="BB35" s="317">
        <v>1857</v>
      </c>
      <c r="BC35" s="317">
        <v>2194</v>
      </c>
      <c r="BD35" s="317">
        <v>2363</v>
      </c>
      <c r="BE35" s="317">
        <v>3376</v>
      </c>
      <c r="BF35" s="91">
        <f t="shared" si="76"/>
        <v>24761</v>
      </c>
      <c r="BG35" s="93">
        <f t="shared" si="77"/>
        <v>5.0887021475256811E-2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>
        <v>22941</v>
      </c>
      <c r="BU35" s="54"/>
      <c r="BV35" s="91">
        <v>3211.29</v>
      </c>
      <c r="BW35" s="91">
        <v>2482.1699999999996</v>
      </c>
      <c r="BX35" s="91">
        <f>'META  EM PEÇAS'!U32-('META  EM PEÇAS'!U32*0.05)</f>
        <v>2790.0929999999998</v>
      </c>
      <c r="BY35" s="91">
        <f>'META  EM PEÇAS'!V32-('META  EM PEÇAS'!V32*0.05)</f>
        <v>2586.0044999999996</v>
      </c>
      <c r="BZ35" s="91">
        <f>'META  EM PEÇAS'!W32-('META  EM PEÇAS'!W32*0.05)</f>
        <v>2902.2974999999997</v>
      </c>
      <c r="CA35" s="91">
        <f>'META  EM PEÇAS'!X32-('META  EM PEÇAS'!X32*0.05)</f>
        <v>3495.1259999999997</v>
      </c>
      <c r="CB35" s="91">
        <f>'META  EM PEÇAS'!Y32-('META  EM PEÇAS'!Y32*0.05)</f>
        <v>4203.6929999999993</v>
      </c>
      <c r="CC35" s="91">
        <f>'META  EM PEÇAS'!Z32-('META  EM PEÇAS'!Z32*0.05)</f>
        <v>2810.4135000000001</v>
      </c>
      <c r="CD35" s="91">
        <f>'META  EM PEÇAS'!AA32-('META  EM PEÇAS'!AA32*0.05)</f>
        <v>2914.6664999999998</v>
      </c>
      <c r="CE35" s="91">
        <f>'META  EM PEÇAS'!AB32-('META  EM PEÇAS'!AB32*0.05)</f>
        <v>3162.93</v>
      </c>
      <c r="CF35" s="91">
        <f>'META  EM PEÇAS'!AC32-('META  EM PEÇAS'!AC32*0.05)</f>
        <v>4051.7309999999998</v>
      </c>
      <c r="CG35" s="91">
        <f>'META  EM PEÇAS'!AD32-('META  EM PEÇAS'!AD32*0.05)</f>
        <v>5709.1769999999997</v>
      </c>
      <c r="CH35" s="91">
        <f t="shared" si="78"/>
        <v>40319.59199999999</v>
      </c>
      <c r="CJ35" s="91">
        <v>3211.29</v>
      </c>
      <c r="CK35" s="91">
        <v>2482.1699999999996</v>
      </c>
      <c r="CL35" s="91">
        <v>2790.0929999999998</v>
      </c>
      <c r="CM35" s="91">
        <v>2586.0044999999996</v>
      </c>
      <c r="CN35" s="91">
        <v>2902.2974999999997</v>
      </c>
      <c r="CO35" s="91">
        <v>3495.1259999999997</v>
      </c>
      <c r="CP35" s="91">
        <v>4203.6929999999993</v>
      </c>
      <c r="CQ35" s="91">
        <v>2810.4135000000001</v>
      </c>
      <c r="CR35" s="91">
        <v>2914.6664999999998</v>
      </c>
      <c r="CS35" s="91">
        <v>3162.93</v>
      </c>
      <c r="CT35" s="91">
        <v>4051.7309999999998</v>
      </c>
      <c r="CU35" s="91">
        <v>5709.1769999999997</v>
      </c>
      <c r="CV35" s="91">
        <v>40319.59199999999</v>
      </c>
    </row>
    <row r="36" spans="1:100" ht="15" hidden="1" customHeight="1" outlineLevel="1">
      <c r="A36" s="94">
        <v>9</v>
      </c>
      <c r="B36" s="1092" t="s">
        <v>63</v>
      </c>
      <c r="C36" s="1118"/>
      <c r="D36" s="313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>
        <f t="shared" si="73"/>
        <v>0</v>
      </c>
      <c r="Q36" s="90"/>
      <c r="R36" s="313">
        <v>1636</v>
      </c>
      <c r="S36" s="91">
        <v>1636</v>
      </c>
      <c r="T36" s="91">
        <f t="shared" ref="T36:T37" si="80">1818/2</f>
        <v>909</v>
      </c>
      <c r="U36" s="91">
        <v>0</v>
      </c>
      <c r="V36" s="91">
        <v>200</v>
      </c>
      <c r="W36" s="91">
        <v>300</v>
      </c>
      <c r="X36" s="91">
        <v>1000</v>
      </c>
      <c r="Y36" s="91">
        <v>1200</v>
      </c>
      <c r="Z36" s="91">
        <v>1600</v>
      </c>
      <c r="AA36" s="91">
        <v>1600</v>
      </c>
      <c r="AB36" s="91">
        <v>1800</v>
      </c>
      <c r="AC36" s="91">
        <v>2300</v>
      </c>
      <c r="AD36" s="315">
        <f t="shared" si="74"/>
        <v>14181</v>
      </c>
      <c r="AE36" s="23"/>
      <c r="AF36" s="316">
        <v>1500</v>
      </c>
      <c r="AG36" s="91">
        <v>1000</v>
      </c>
      <c r="AH36" s="91">
        <v>126</v>
      </c>
      <c r="AI36" s="91">
        <v>387</v>
      </c>
      <c r="AJ36" s="91">
        <v>895</v>
      </c>
      <c r="AK36" s="91">
        <v>800</v>
      </c>
      <c r="AL36" s="91">
        <v>1500</v>
      </c>
      <c r="AM36" s="91">
        <v>1000</v>
      </c>
      <c r="AN36" s="91">
        <v>1000</v>
      </c>
      <c r="AO36" s="91">
        <v>1000</v>
      </c>
      <c r="AP36" s="91">
        <v>1100</v>
      </c>
      <c r="AQ36" s="91">
        <v>1600</v>
      </c>
      <c r="AR36" s="92">
        <f t="shared" si="75"/>
        <v>11908</v>
      </c>
      <c r="AS36" s="23"/>
      <c r="AT36" s="91">
        <v>1182</v>
      </c>
      <c r="AU36" s="91">
        <v>1200</v>
      </c>
      <c r="AV36" s="91">
        <v>932</v>
      </c>
      <c r="AW36" s="91">
        <v>1020</v>
      </c>
      <c r="AX36" s="317">
        <v>0</v>
      </c>
      <c r="AY36" s="317">
        <v>0</v>
      </c>
      <c r="AZ36" s="317">
        <v>0</v>
      </c>
      <c r="BA36" s="317">
        <v>0</v>
      </c>
      <c r="BB36" s="317">
        <v>0</v>
      </c>
      <c r="BC36" s="317">
        <v>0</v>
      </c>
      <c r="BD36" s="317">
        <v>0</v>
      </c>
      <c r="BE36" s="317">
        <v>0</v>
      </c>
      <c r="BF36" s="91">
        <f t="shared" si="76"/>
        <v>4334</v>
      </c>
      <c r="BG36" s="93">
        <f t="shared" si="77"/>
        <v>-0.63604299630500505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>
        <v>7070</v>
      </c>
      <c r="BU36" s="54"/>
      <c r="BV36" s="91">
        <v>928.14</v>
      </c>
      <c r="BW36" s="91">
        <v>717.95999999999992</v>
      </c>
      <c r="BX36" s="91">
        <f>'META  EM PEÇAS'!U37-('META  EM PEÇAS'!U37*0.05)</f>
        <v>806.63549999999987</v>
      </c>
      <c r="BY36" s="91">
        <f>'META  EM PEÇAS'!V37-('META  EM PEÇAS'!V37*0.05)</f>
        <v>747.44100000000003</v>
      </c>
      <c r="BZ36" s="91">
        <f>'META  EM PEÇAS'!W37-('META  EM PEÇAS'!W37*0.05)</f>
        <v>839.32499999999993</v>
      </c>
      <c r="CA36" s="91">
        <f>'META  EM PEÇAS'!X37-('META  EM PEÇAS'!X37*0.05)</f>
        <v>1010.7239999999998</v>
      </c>
      <c r="CB36" s="91">
        <f>'META  EM PEÇAS'!Y37-('META  EM PEÇAS'!Y37*0.05)</f>
        <v>1214.8125</v>
      </c>
      <c r="CC36" s="91">
        <f>'META  EM PEÇAS'!Z37-('META  EM PEÇAS'!Z37*0.05)</f>
        <v>812.81999999999994</v>
      </c>
      <c r="CD36" s="91">
        <f>'META  EM PEÇAS'!AA37-('META  EM PEÇAS'!AA37*0.05)</f>
        <v>842.85899999999992</v>
      </c>
      <c r="CE36" s="91">
        <f>'META  EM PEÇAS'!AB37-('META  EM PEÇAS'!AB37*0.05)</f>
        <v>914.4224999999999</v>
      </c>
      <c r="CF36" s="91">
        <f>'META  EM PEÇAS'!AC37-('META  EM PEÇAS'!AC37*0.05)</f>
        <v>1171.5209999999997</v>
      </c>
      <c r="CG36" s="91">
        <f>'META  EM PEÇAS'!AD37-('META  EM PEÇAS'!AD37*0.05)</f>
        <v>1650.3779999999997</v>
      </c>
      <c r="CH36" s="91">
        <f t="shared" si="78"/>
        <v>11657.038499999999</v>
      </c>
      <c r="CJ36" s="91">
        <v>928.14</v>
      </c>
      <c r="CK36" s="91">
        <v>717.95999999999992</v>
      </c>
      <c r="CL36" s="91">
        <v>806.63549999999987</v>
      </c>
      <c r="CM36" s="91">
        <v>747.44100000000003</v>
      </c>
      <c r="CN36" s="91">
        <v>839.32499999999993</v>
      </c>
      <c r="CO36" s="91">
        <v>1010.7239999999998</v>
      </c>
      <c r="CP36" s="91">
        <v>1214.8125</v>
      </c>
      <c r="CQ36" s="91">
        <v>812.81999999999994</v>
      </c>
      <c r="CR36" s="91">
        <v>842.85899999999992</v>
      </c>
      <c r="CS36" s="91">
        <v>914.4224999999999</v>
      </c>
      <c r="CT36" s="91">
        <v>1171.5209999999997</v>
      </c>
      <c r="CU36" s="91">
        <v>1650.3779999999997</v>
      </c>
      <c r="CV36" s="91">
        <v>11657.038499999999</v>
      </c>
    </row>
    <row r="37" spans="1:100" ht="15" hidden="1" customHeight="1" outlineLevel="1">
      <c r="A37" s="94">
        <v>10</v>
      </c>
      <c r="B37" s="1092" t="s">
        <v>64</v>
      </c>
      <c r="C37" s="1118"/>
      <c r="D37" s="313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>
        <f t="shared" si="73"/>
        <v>0</v>
      </c>
      <c r="Q37" s="90"/>
      <c r="R37" s="313">
        <v>1636</v>
      </c>
      <c r="S37" s="91">
        <v>1636</v>
      </c>
      <c r="T37" s="91">
        <f t="shared" si="80"/>
        <v>909</v>
      </c>
      <c r="U37" s="91">
        <f>0.5*U7</f>
        <v>0.5</v>
      </c>
      <c r="V37" s="91">
        <v>200</v>
      </c>
      <c r="W37" s="91">
        <v>300</v>
      </c>
      <c r="X37" s="91">
        <v>1000</v>
      </c>
      <c r="Y37" s="91">
        <v>1200</v>
      </c>
      <c r="Z37" s="91">
        <v>1600</v>
      </c>
      <c r="AA37" s="91">
        <v>1600</v>
      </c>
      <c r="AB37" s="91">
        <v>1800</v>
      </c>
      <c r="AC37" s="91">
        <v>2300</v>
      </c>
      <c r="AD37" s="315">
        <f t="shared" si="74"/>
        <v>14181.5</v>
      </c>
      <c r="AE37" s="23"/>
      <c r="AF37" s="316">
        <v>1500</v>
      </c>
      <c r="AG37" s="91">
        <v>1000</v>
      </c>
      <c r="AH37" s="91">
        <v>764</v>
      </c>
      <c r="AI37" s="91">
        <v>561</v>
      </c>
      <c r="AJ37" s="91">
        <v>1353</v>
      </c>
      <c r="AK37" s="91">
        <v>960</v>
      </c>
      <c r="AL37" s="91">
        <v>1500</v>
      </c>
      <c r="AM37" s="91">
        <v>1200</v>
      </c>
      <c r="AN37" s="91">
        <v>1200</v>
      </c>
      <c r="AO37" s="91">
        <v>1200</v>
      </c>
      <c r="AP37" s="91">
        <v>1320</v>
      </c>
      <c r="AQ37" s="91">
        <v>1920</v>
      </c>
      <c r="AR37" s="92">
        <f t="shared" si="75"/>
        <v>14478</v>
      </c>
      <c r="AS37" s="23"/>
      <c r="AT37" s="91">
        <v>1285</v>
      </c>
      <c r="AU37" s="91">
        <v>957</v>
      </c>
      <c r="AV37" s="91">
        <v>1426</v>
      </c>
      <c r="AW37" s="91">
        <v>1595</v>
      </c>
      <c r="AX37" s="317">
        <v>1767</v>
      </c>
      <c r="AY37" s="317">
        <v>1767</v>
      </c>
      <c r="AZ37" s="317">
        <v>1686</v>
      </c>
      <c r="BA37" s="317">
        <v>1686</v>
      </c>
      <c r="BB37" s="317">
        <v>1767</v>
      </c>
      <c r="BC37" s="317">
        <v>2088</v>
      </c>
      <c r="BD37" s="317">
        <v>2248</v>
      </c>
      <c r="BE37" s="317">
        <v>3212</v>
      </c>
      <c r="BF37" s="91">
        <f t="shared" si="76"/>
        <v>21484</v>
      </c>
      <c r="BG37" s="93">
        <f t="shared" si="77"/>
        <v>0.48390661693604087</v>
      </c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>
        <v>16952</v>
      </c>
      <c r="BU37" s="54"/>
      <c r="BV37" s="91">
        <v>2631.8999999999996</v>
      </c>
      <c r="BW37" s="91">
        <v>2034.84</v>
      </c>
      <c r="BX37" s="91">
        <f>'META  EM PEÇAS'!U33-('META  EM PEÇAS'!U33*0.05)</f>
        <v>2287.3815</v>
      </c>
      <c r="BY37" s="91">
        <f>'META  EM PEÇAS'!V33-('META  EM PEÇAS'!V33*0.05)</f>
        <v>2119.5164999999997</v>
      </c>
      <c r="BZ37" s="91">
        <f>'META  EM PEÇAS'!W33-('META  EM PEÇAS'!W33*0.05)</f>
        <v>2379.2655</v>
      </c>
      <c r="CA37" s="91">
        <f>'META  EM PEÇAS'!X33-('META  EM PEÇAS'!X33*0.05)</f>
        <v>2865.1904999999997</v>
      </c>
      <c r="CB37" s="91">
        <f>'META  EM PEÇAS'!Y33-('META  EM PEÇAS'!Y33*0.05)</f>
        <v>3445.6499999999996</v>
      </c>
      <c r="CC37" s="91">
        <f>'META  EM PEÇAS'!Z33-('META  EM PEÇAS'!Z33*0.05)</f>
        <v>2303.2844999999998</v>
      </c>
      <c r="CD37" s="91">
        <f>'META  EM PEÇAS'!AA33-('META  EM PEÇAS'!AA33*0.05)</f>
        <v>2388.9839999999999</v>
      </c>
      <c r="CE37" s="91">
        <f>'META  EM PEÇAS'!AB33-('META  EM PEÇAS'!AB33*0.05)</f>
        <v>2592.1889999999999</v>
      </c>
      <c r="CF37" s="91">
        <f>'META  EM PEÇAS'!AC33-('META  EM PEÇAS'!AC33*0.05)</f>
        <v>3321.0765000000001</v>
      </c>
      <c r="CG37" s="91">
        <f>'META  EM PEÇAS'!AD33-('META  EM PEÇAS'!AD33*0.05)</f>
        <v>4679.8995000000004</v>
      </c>
      <c r="CH37" s="91">
        <f t="shared" si="78"/>
        <v>33049.177499999998</v>
      </c>
      <c r="CJ37" s="91">
        <v>2631.8999999999996</v>
      </c>
      <c r="CK37" s="91">
        <v>2034.84</v>
      </c>
      <c r="CL37" s="91">
        <v>2287.3815</v>
      </c>
      <c r="CM37" s="91">
        <v>2119.5164999999997</v>
      </c>
      <c r="CN37" s="91">
        <v>2379.2655</v>
      </c>
      <c r="CO37" s="91">
        <v>2865.1904999999997</v>
      </c>
      <c r="CP37" s="91">
        <v>3445.6499999999996</v>
      </c>
      <c r="CQ37" s="91">
        <v>2303.2844999999998</v>
      </c>
      <c r="CR37" s="91">
        <v>2388.9839999999999</v>
      </c>
      <c r="CS37" s="91">
        <v>2592.1889999999999</v>
      </c>
      <c r="CT37" s="91">
        <v>3321.0765000000001</v>
      </c>
      <c r="CU37" s="91">
        <v>4679.8995000000004</v>
      </c>
      <c r="CV37" s="91">
        <v>33049.177499999998</v>
      </c>
    </row>
    <row r="38" spans="1:100" ht="15" hidden="1" customHeight="1" outlineLevel="1">
      <c r="A38" s="94">
        <v>10</v>
      </c>
      <c r="B38" s="1092" t="s">
        <v>65</v>
      </c>
      <c r="C38" s="1118"/>
      <c r="D38" s="313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>
        <f t="shared" si="73"/>
        <v>0</v>
      </c>
      <c r="Q38" s="90"/>
      <c r="R38" s="313">
        <v>0</v>
      </c>
      <c r="S38" s="91">
        <v>0</v>
      </c>
      <c r="T38" s="91">
        <v>0</v>
      </c>
      <c r="U38" s="91">
        <v>0</v>
      </c>
      <c r="V38" s="91">
        <v>3500</v>
      </c>
      <c r="W38" s="91">
        <v>350</v>
      </c>
      <c r="X38" s="91">
        <v>800</v>
      </c>
      <c r="Y38" s="91">
        <v>1000</v>
      </c>
      <c r="Z38" s="91">
        <v>1600</v>
      </c>
      <c r="AA38" s="91">
        <v>2000</v>
      </c>
      <c r="AB38" s="91">
        <v>2400</v>
      </c>
      <c r="AC38" s="91">
        <v>3000</v>
      </c>
      <c r="AD38" s="315">
        <f t="shared" si="74"/>
        <v>14650</v>
      </c>
      <c r="AE38" s="23"/>
      <c r="AF38" s="316">
        <v>2500</v>
      </c>
      <c r="AG38" s="91">
        <v>1000</v>
      </c>
      <c r="AH38" s="91">
        <f>2500*0.15</f>
        <v>375</v>
      </c>
      <c r="AI38" s="91">
        <v>787</v>
      </c>
      <c r="AJ38" s="91">
        <v>1569</v>
      </c>
      <c r="AK38" s="91">
        <v>2000</v>
      </c>
      <c r="AL38" s="91">
        <v>2500</v>
      </c>
      <c r="AM38" s="91">
        <v>2500</v>
      </c>
      <c r="AN38" s="91">
        <v>2500</v>
      </c>
      <c r="AO38" s="91">
        <v>2500</v>
      </c>
      <c r="AP38" s="91">
        <v>2750</v>
      </c>
      <c r="AQ38" s="91">
        <v>4000</v>
      </c>
      <c r="AR38" s="92">
        <f t="shared" si="75"/>
        <v>24981</v>
      </c>
      <c r="AS38" s="23"/>
      <c r="AT38" s="91">
        <v>1806</v>
      </c>
      <c r="AU38" s="91">
        <v>2046</v>
      </c>
      <c r="AV38" s="91">
        <v>1646</v>
      </c>
      <c r="AW38" s="91">
        <v>1902</v>
      </c>
      <c r="AX38" s="317">
        <v>1545</v>
      </c>
      <c r="AY38" s="317">
        <v>1545</v>
      </c>
      <c r="AZ38" s="317">
        <v>1475</v>
      </c>
      <c r="BA38" s="317">
        <v>1475</v>
      </c>
      <c r="BB38" s="317">
        <v>1545</v>
      </c>
      <c r="BC38" s="317">
        <v>1826</v>
      </c>
      <c r="BD38" s="317">
        <v>0</v>
      </c>
      <c r="BE38" s="317">
        <v>0</v>
      </c>
      <c r="BF38" s="91">
        <f t="shared" si="76"/>
        <v>16811</v>
      </c>
      <c r="BG38" s="93">
        <f t="shared" si="77"/>
        <v>-0.32704855690324641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>
        <v>10230</v>
      </c>
      <c r="BU38" s="54"/>
      <c r="BV38" s="91">
        <v>1335.48</v>
      </c>
      <c r="BW38" s="91">
        <v>1032.3</v>
      </c>
      <c r="BX38" s="91">
        <f>'META  EM PEÇAS'!U39-('META  EM PEÇAS'!U39*0.05)</f>
        <v>1160.0355</v>
      </c>
      <c r="BY38" s="91">
        <f>'META  EM PEÇAS'!V39-('META  EM PEÇAS'!V39*0.05)</f>
        <v>1075.2194999999999</v>
      </c>
      <c r="BZ38" s="91">
        <f>'META  EM PEÇAS'!W39-('META  EM PEÇAS'!W39*0.05)</f>
        <v>1206.8609999999999</v>
      </c>
      <c r="CA38" s="91">
        <f>'META  EM PEÇAS'!X39-('META  EM PEÇAS'!X39*0.05)</f>
        <v>1453.3574999999998</v>
      </c>
      <c r="CB38" s="91">
        <f>'META  EM PEÇAS'!Y39-('META  EM PEÇAS'!Y39*0.05)</f>
        <v>1747.5629999999999</v>
      </c>
      <c r="CC38" s="91">
        <f>'META  EM PEÇAS'!Z39-('META  EM PEÇAS'!Z39*0.05)</f>
        <v>1168.8705</v>
      </c>
      <c r="CD38" s="91">
        <f>'META  EM PEÇAS'!AA39-('META  EM PEÇAS'!AA39*0.05)</f>
        <v>1212.1619999999998</v>
      </c>
      <c r="CE38" s="91">
        <f>'META  EM PEÇAS'!AB39-('META  EM PEÇAS'!AB39*0.05)</f>
        <v>1314.6479999999999</v>
      </c>
      <c r="CF38" s="91">
        <f>'META  EM PEÇAS'!AC39-('META  EM PEÇAS'!AC39*0.05)</f>
        <v>1684.8344999999999</v>
      </c>
      <c r="CG38" s="91">
        <f>'META  EM PEÇAS'!AD39-('META  EM PEÇAS'!AD39*0.05)</f>
        <v>2373.9645</v>
      </c>
      <c r="CH38" s="91">
        <f t="shared" si="78"/>
        <v>16765.295999999995</v>
      </c>
      <c r="CJ38" s="91">
        <v>1335.48</v>
      </c>
      <c r="CK38" s="91">
        <v>1032.3</v>
      </c>
      <c r="CL38" s="91">
        <v>1160.0355</v>
      </c>
      <c r="CM38" s="91">
        <v>1075.2194999999999</v>
      </c>
      <c r="CN38" s="91">
        <v>1206.8609999999999</v>
      </c>
      <c r="CO38" s="91">
        <v>1453.3574999999998</v>
      </c>
      <c r="CP38" s="91">
        <v>1747.5629999999999</v>
      </c>
      <c r="CQ38" s="91">
        <v>1168.8705</v>
      </c>
      <c r="CR38" s="91">
        <v>1212.1619999999998</v>
      </c>
      <c r="CS38" s="91">
        <v>1314.6479999999999</v>
      </c>
      <c r="CT38" s="91">
        <v>1684.8344999999999</v>
      </c>
      <c r="CU38" s="91">
        <v>2373.9645</v>
      </c>
      <c r="CV38" s="91">
        <v>16765.295999999995</v>
      </c>
    </row>
    <row r="39" spans="1:100" ht="15" hidden="1" customHeight="1" outlineLevel="1">
      <c r="A39" s="94">
        <v>11</v>
      </c>
      <c r="B39" s="210" t="s">
        <v>66</v>
      </c>
      <c r="C39" s="211"/>
      <c r="D39" s="313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314">
        <f t="shared" si="73"/>
        <v>0</v>
      </c>
      <c r="Q39" s="90"/>
      <c r="R39" s="313">
        <v>0</v>
      </c>
      <c r="S39" s="91">
        <v>0</v>
      </c>
      <c r="T39" s="91">
        <v>0</v>
      </c>
      <c r="U39" s="91">
        <v>0</v>
      </c>
      <c r="V39" s="91">
        <v>4000</v>
      </c>
      <c r="W39" s="91">
        <v>100</v>
      </c>
      <c r="X39" s="91">
        <v>800</v>
      </c>
      <c r="Y39" s="91">
        <v>800</v>
      </c>
      <c r="Z39" s="91">
        <v>1200</v>
      </c>
      <c r="AA39" s="91">
        <v>1200</v>
      </c>
      <c r="AB39" s="91">
        <v>1800</v>
      </c>
      <c r="AC39" s="91">
        <v>2300</v>
      </c>
      <c r="AD39" s="315">
        <f t="shared" si="74"/>
        <v>12200</v>
      </c>
      <c r="AE39" s="23"/>
      <c r="AF39" s="316">
        <v>1500</v>
      </c>
      <c r="AG39" s="91">
        <v>1000</v>
      </c>
      <c r="AH39" s="91">
        <f t="shared" ref="AH39:AH40" si="81">1500*0.15</f>
        <v>225</v>
      </c>
      <c r="AI39" s="91">
        <v>324</v>
      </c>
      <c r="AJ39" s="91">
        <v>869</v>
      </c>
      <c r="AK39" s="91">
        <v>800</v>
      </c>
      <c r="AL39" s="91">
        <v>1500</v>
      </c>
      <c r="AM39" s="91">
        <v>1000</v>
      </c>
      <c r="AN39" s="91">
        <v>1000</v>
      </c>
      <c r="AO39" s="91">
        <v>1000</v>
      </c>
      <c r="AP39" s="91">
        <v>1100</v>
      </c>
      <c r="AQ39" s="91">
        <v>1600</v>
      </c>
      <c r="AR39" s="92">
        <f t="shared" si="75"/>
        <v>11918</v>
      </c>
      <c r="AS39" s="23"/>
      <c r="AT39" s="91">
        <v>1191</v>
      </c>
      <c r="AU39" s="91">
        <v>1191</v>
      </c>
      <c r="AV39" s="91">
        <v>1191</v>
      </c>
      <c r="AW39" s="91">
        <v>1191</v>
      </c>
      <c r="AX39" s="317">
        <v>876</v>
      </c>
      <c r="AY39" s="317">
        <v>876</v>
      </c>
      <c r="AZ39" s="317">
        <v>836</v>
      </c>
      <c r="BA39" s="317">
        <v>836</v>
      </c>
      <c r="BB39" s="317">
        <v>876</v>
      </c>
      <c r="BC39" s="317">
        <v>1035</v>
      </c>
      <c r="BD39" s="317">
        <v>0</v>
      </c>
      <c r="BE39" s="317">
        <v>0</v>
      </c>
      <c r="BF39" s="91">
        <f t="shared" si="76"/>
        <v>10099</v>
      </c>
      <c r="BG39" s="93">
        <f t="shared" si="77"/>
        <v>-0.15262627957711028</v>
      </c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>
        <v>7342</v>
      </c>
      <c r="BU39" s="54"/>
      <c r="BV39" s="91">
        <v>1643.31</v>
      </c>
      <c r="BW39" s="91">
        <v>1270.3799999999999</v>
      </c>
      <c r="BX39" s="91">
        <f>'META  EM PEÇAS'!U40-('META  EM PEÇAS'!U40*0.05)</f>
        <v>1427.7359999999999</v>
      </c>
      <c r="BY39" s="91">
        <f>'META  EM PEÇAS'!V40-('META  EM PEÇAS'!V40*0.05)</f>
        <v>1323.4829999999999</v>
      </c>
      <c r="BZ39" s="91">
        <f>'META  EM PEÇAS'!W40-('META  EM PEÇAS'!W40*0.05)</f>
        <v>1485.1634999999999</v>
      </c>
      <c r="CA39" s="91">
        <f>'META  EM PEÇAS'!X40-('META  EM PEÇAS'!X40*0.05)</f>
        <v>1788.204</v>
      </c>
      <c r="CB39" s="91">
        <f>'META  EM PEÇAS'!Y40-('META  EM PEÇAS'!Y40*0.05)</f>
        <v>2151.3224999999998</v>
      </c>
      <c r="CC39" s="91">
        <f>'META  EM PEÇAS'!Z40-('META  EM PEÇAS'!Z40*0.05)</f>
        <v>1438.338</v>
      </c>
      <c r="CD39" s="91">
        <f>'META  EM PEÇAS'!AA40-('META  EM PEÇAS'!AA40*0.05)</f>
        <v>1491.348</v>
      </c>
      <c r="CE39" s="91">
        <f>'META  EM PEÇAS'!AB40-('META  EM PEÇAS'!AB40*0.05)</f>
        <v>1618.5719999999999</v>
      </c>
      <c r="CF39" s="91">
        <f>'META  EM PEÇAS'!AC40-('META  EM PEÇAS'!AC40*0.05)</f>
        <v>2073.5745000000002</v>
      </c>
      <c r="CG39" s="91">
        <f>'META  EM PEÇAS'!AD40-('META  EM PEÇAS'!AD40*0.05)</f>
        <v>2921.7344999999996</v>
      </c>
      <c r="CH39" s="91">
        <f t="shared" si="78"/>
        <v>20633.165999999997</v>
      </c>
      <c r="CJ39" s="91">
        <v>1643.31</v>
      </c>
      <c r="CK39" s="91">
        <v>1270.3799999999999</v>
      </c>
      <c r="CL39" s="91">
        <v>1427.7359999999999</v>
      </c>
      <c r="CM39" s="91">
        <v>1323.4829999999999</v>
      </c>
      <c r="CN39" s="91">
        <v>1485.1634999999999</v>
      </c>
      <c r="CO39" s="91">
        <v>1788.204</v>
      </c>
      <c r="CP39" s="91">
        <v>2151.3224999999998</v>
      </c>
      <c r="CQ39" s="91">
        <v>1438.338</v>
      </c>
      <c r="CR39" s="91">
        <v>1491.348</v>
      </c>
      <c r="CS39" s="91">
        <v>1618.5719999999999</v>
      </c>
      <c r="CT39" s="91">
        <v>2073.5745000000002</v>
      </c>
      <c r="CU39" s="91">
        <v>2921.7344999999996</v>
      </c>
      <c r="CV39" s="91">
        <v>20633.165999999997</v>
      </c>
    </row>
    <row r="40" spans="1:100" ht="15" hidden="1" customHeight="1" outlineLevel="1">
      <c r="A40" s="94">
        <v>12</v>
      </c>
      <c r="B40" s="210" t="s">
        <v>67</v>
      </c>
      <c r="C40" s="211"/>
      <c r="D40" s="313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314">
        <f t="shared" si="73"/>
        <v>0</v>
      </c>
      <c r="Q40" s="90"/>
      <c r="R40" s="313">
        <v>0</v>
      </c>
      <c r="S40" s="91">
        <v>0</v>
      </c>
      <c r="T40" s="91">
        <v>0</v>
      </c>
      <c r="U40" s="91">
        <v>0</v>
      </c>
      <c r="V40" s="91">
        <v>4000</v>
      </c>
      <c r="W40" s="91">
        <v>0</v>
      </c>
      <c r="X40" s="91">
        <v>800</v>
      </c>
      <c r="Y40" s="91">
        <v>1000</v>
      </c>
      <c r="Z40" s="91">
        <v>1200</v>
      </c>
      <c r="AA40" s="91">
        <v>1200</v>
      </c>
      <c r="AB40" s="91">
        <v>1800</v>
      </c>
      <c r="AC40" s="91">
        <v>2300</v>
      </c>
      <c r="AD40" s="315">
        <f t="shared" si="74"/>
        <v>12300</v>
      </c>
      <c r="AE40" s="23"/>
      <c r="AF40" s="316">
        <v>1500</v>
      </c>
      <c r="AG40" s="91">
        <v>1200</v>
      </c>
      <c r="AH40" s="91">
        <f t="shared" si="81"/>
        <v>225</v>
      </c>
      <c r="AI40" s="91">
        <v>332</v>
      </c>
      <c r="AJ40" s="91">
        <v>945</v>
      </c>
      <c r="AK40" s="91">
        <v>960</v>
      </c>
      <c r="AL40" s="91">
        <v>1500</v>
      </c>
      <c r="AM40" s="91">
        <v>1200</v>
      </c>
      <c r="AN40" s="91">
        <v>1200</v>
      </c>
      <c r="AO40" s="91">
        <v>1200</v>
      </c>
      <c r="AP40" s="91">
        <v>1320</v>
      </c>
      <c r="AQ40" s="91">
        <v>1920</v>
      </c>
      <c r="AR40" s="92">
        <f t="shared" si="75"/>
        <v>13502</v>
      </c>
      <c r="AS40" s="23"/>
      <c r="AT40" s="91">
        <v>1254</v>
      </c>
      <c r="AU40" s="91">
        <v>1254</v>
      </c>
      <c r="AV40" s="91">
        <v>1254</v>
      </c>
      <c r="AW40" s="91">
        <v>1254</v>
      </c>
      <c r="AX40" s="317">
        <v>1236</v>
      </c>
      <c r="AY40" s="317">
        <v>1236</v>
      </c>
      <c r="AZ40" s="317">
        <v>0</v>
      </c>
      <c r="BA40" s="317">
        <v>0</v>
      </c>
      <c r="BB40" s="317">
        <v>0</v>
      </c>
      <c r="BC40" s="317">
        <v>0</v>
      </c>
      <c r="BD40" s="317">
        <v>0</v>
      </c>
      <c r="BE40" s="317">
        <v>0</v>
      </c>
      <c r="BF40" s="91">
        <f t="shared" si="76"/>
        <v>7488</v>
      </c>
      <c r="BG40" s="93">
        <f t="shared" si="77"/>
        <v>-0.44541549400088876</v>
      </c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>
        <v>16899</v>
      </c>
      <c r="BU40" s="54"/>
      <c r="BV40" s="91">
        <v>2552.85</v>
      </c>
      <c r="BW40" s="91">
        <v>1973.4599999999998</v>
      </c>
      <c r="BX40" s="91">
        <f>'META  EM PEÇAS'!U34-('META  EM PEÇAS'!U34*0.05)</f>
        <v>2218.4684999999999</v>
      </c>
      <c r="BY40" s="91">
        <f>'META  EM PEÇAS'!V34-('META  EM PEÇAS'!V34*0.05)</f>
        <v>2056.788</v>
      </c>
      <c r="BZ40" s="91">
        <f>'META  EM PEÇAS'!W34-('META  EM PEÇAS'!W34*0.05)</f>
        <v>2307.7019999999998</v>
      </c>
      <c r="CA40" s="91">
        <f>'META  EM PEÇAS'!X34-('META  EM PEÇAS'!X34*0.05)</f>
        <v>2778.6075000000001</v>
      </c>
      <c r="CB40" s="91">
        <f>'META  EM PEÇAS'!Y34-('META  EM PEÇAS'!Y34*0.05)</f>
        <v>3342.2804999999998</v>
      </c>
      <c r="CC40" s="91">
        <f>'META  EM PEÇAS'!Z34-('META  EM PEÇAS'!Z34*0.05)</f>
        <v>2234.3714999999997</v>
      </c>
      <c r="CD40" s="91">
        <f>'META  EM PEÇAS'!AA34-('META  EM PEÇAS'!AA34*0.05)</f>
        <v>2317.4204999999997</v>
      </c>
      <c r="CE40" s="91">
        <f>'META  EM PEÇAS'!AB34-('META  EM PEÇAS'!AB34*0.05)</f>
        <v>2514.4409999999998</v>
      </c>
      <c r="CF40" s="91">
        <f>'META  EM PEÇAS'!AC34-('META  EM PEÇAS'!AC34*0.05)</f>
        <v>3221.241</v>
      </c>
      <c r="CG40" s="91">
        <f>'META  EM PEÇAS'!AD34-('META  EM PEÇAS'!AD34*0.05)</f>
        <v>4539.4229999999989</v>
      </c>
      <c r="CH40" s="91">
        <f t="shared" si="78"/>
        <v>32057.053499999998</v>
      </c>
      <c r="CJ40" s="91">
        <v>2552.85</v>
      </c>
      <c r="CK40" s="91">
        <v>1973.4599999999998</v>
      </c>
      <c r="CL40" s="91">
        <v>2218.4684999999999</v>
      </c>
      <c r="CM40" s="91">
        <v>2056.788</v>
      </c>
      <c r="CN40" s="91">
        <v>2307.7019999999998</v>
      </c>
      <c r="CO40" s="91">
        <v>2778.6075000000001</v>
      </c>
      <c r="CP40" s="91">
        <v>3342.2804999999998</v>
      </c>
      <c r="CQ40" s="91">
        <v>2234.3714999999997</v>
      </c>
      <c r="CR40" s="91">
        <v>2317.4204999999997</v>
      </c>
      <c r="CS40" s="91">
        <v>2514.4409999999998</v>
      </c>
      <c r="CT40" s="91">
        <v>3221.241</v>
      </c>
      <c r="CU40" s="91">
        <v>4539.4229999999989</v>
      </c>
      <c r="CV40" s="91">
        <v>32057.053499999998</v>
      </c>
    </row>
    <row r="41" spans="1:100" ht="15" hidden="1" customHeight="1" outlineLevel="1">
      <c r="A41" s="94">
        <v>13</v>
      </c>
      <c r="B41" s="210" t="s">
        <v>68</v>
      </c>
      <c r="C41" s="212"/>
      <c r="D41" s="313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314">
        <f t="shared" si="73"/>
        <v>0</v>
      </c>
      <c r="Q41" s="90"/>
      <c r="R41" s="313">
        <v>0</v>
      </c>
      <c r="S41" s="91">
        <v>0</v>
      </c>
      <c r="T41" s="91">
        <v>0</v>
      </c>
      <c r="U41" s="91">
        <v>0</v>
      </c>
      <c r="V41" s="91">
        <v>0</v>
      </c>
      <c r="W41" s="91">
        <v>0</v>
      </c>
      <c r="X41" s="91">
        <v>2000</v>
      </c>
      <c r="Y41" s="91">
        <v>800</v>
      </c>
      <c r="Z41" s="91">
        <v>800</v>
      </c>
      <c r="AA41" s="91">
        <v>1200</v>
      </c>
      <c r="AB41" s="91">
        <v>1800</v>
      </c>
      <c r="AC41" s="91">
        <v>2300</v>
      </c>
      <c r="AD41" s="315">
        <f t="shared" si="74"/>
        <v>8900</v>
      </c>
      <c r="AE41" s="23"/>
      <c r="AF41" s="316">
        <v>1800</v>
      </c>
      <c r="AG41" s="91">
        <v>1200</v>
      </c>
      <c r="AH41" s="91">
        <f>1800*0.15</f>
        <v>270</v>
      </c>
      <c r="AI41" s="91">
        <v>896</v>
      </c>
      <c r="AJ41" s="91">
        <v>1339</v>
      </c>
      <c r="AK41" s="91">
        <v>1600</v>
      </c>
      <c r="AL41" s="91">
        <v>1800</v>
      </c>
      <c r="AM41" s="91">
        <v>2000</v>
      </c>
      <c r="AN41" s="91">
        <v>2000</v>
      </c>
      <c r="AO41" s="91">
        <v>2000</v>
      </c>
      <c r="AP41" s="91">
        <v>2200</v>
      </c>
      <c r="AQ41" s="91">
        <v>3200</v>
      </c>
      <c r="AR41" s="92">
        <f t="shared" si="75"/>
        <v>20305</v>
      </c>
      <c r="AS41" s="23"/>
      <c r="AT41" s="91">
        <v>1980</v>
      </c>
      <c r="AU41" s="91">
        <v>1980</v>
      </c>
      <c r="AV41" s="91">
        <v>1980</v>
      </c>
      <c r="AW41" s="91">
        <v>1980</v>
      </c>
      <c r="AX41" s="317">
        <v>1409</v>
      </c>
      <c r="AY41" s="317">
        <v>1409</v>
      </c>
      <c r="AZ41" s="317">
        <v>1345</v>
      </c>
      <c r="BA41" s="317">
        <v>1345</v>
      </c>
      <c r="BB41" s="317">
        <v>1409</v>
      </c>
      <c r="BC41" s="317">
        <v>1665</v>
      </c>
      <c r="BD41" s="317">
        <v>1793</v>
      </c>
      <c r="BE41" s="317">
        <v>2562</v>
      </c>
      <c r="BF41" s="91">
        <f t="shared" si="76"/>
        <v>20857</v>
      </c>
      <c r="BG41" s="93">
        <f t="shared" si="77"/>
        <v>2.7185422309775831E-2</v>
      </c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>
        <v>11555</v>
      </c>
      <c r="BU41" s="54"/>
      <c r="BV41" s="91">
        <v>1903.7099999999998</v>
      </c>
      <c r="BW41" s="91">
        <v>1471.26</v>
      </c>
      <c r="BX41" s="91">
        <f>'META  EM PEÇAS'!U35-('META  EM PEÇAS'!U35*0.05)</f>
        <v>1654.7954999999999</v>
      </c>
      <c r="BY41" s="91">
        <f>'META  EM PEÇAS'!V35-('META  EM PEÇAS'!V35*0.05)</f>
        <v>1533.7559999999999</v>
      </c>
      <c r="BZ41" s="91">
        <f>'META  EM PEÇAS'!W35-('META  EM PEÇAS'!W35*0.05)</f>
        <v>1721.058</v>
      </c>
      <c r="CA41" s="91">
        <f>'META  EM PEÇAS'!X35-('META  EM PEÇAS'!X35*0.05)</f>
        <v>2071.8074999999999</v>
      </c>
      <c r="CB41" s="91">
        <f>'META  EM PEÇAS'!Y35-('META  EM PEÇAS'!Y35*0.05)</f>
        <v>2492.3534999999997</v>
      </c>
      <c r="CC41" s="91">
        <f>'META  EM PEÇAS'!Z35-('META  EM PEÇAS'!Z35*0.05)</f>
        <v>1666.2809999999997</v>
      </c>
      <c r="CD41" s="91">
        <f>'META  EM PEÇAS'!AA35-('META  EM PEÇAS'!AA35*0.05)</f>
        <v>1728.126</v>
      </c>
      <c r="CE41" s="91">
        <f>'META  EM PEÇAS'!AB35-('META  EM PEÇAS'!AB35*0.05)</f>
        <v>1874.7869999999998</v>
      </c>
      <c r="CF41" s="91">
        <f>'META  EM PEÇAS'!AC35-('META  EM PEÇAS'!AC35*0.05)</f>
        <v>2402.2364999999995</v>
      </c>
      <c r="CG41" s="91">
        <f>'META  EM PEÇAS'!AD35-('META  EM PEÇAS'!AD35*0.05)</f>
        <v>3384.6884999999997</v>
      </c>
      <c r="CH41" s="91">
        <f t="shared" si="78"/>
        <v>23904.859499999995</v>
      </c>
      <c r="CJ41" s="91">
        <v>1903.7099999999998</v>
      </c>
      <c r="CK41" s="91">
        <v>1471.26</v>
      </c>
      <c r="CL41" s="91">
        <v>1654.7954999999999</v>
      </c>
      <c r="CM41" s="91">
        <v>1533.7559999999999</v>
      </c>
      <c r="CN41" s="91">
        <v>1721.058</v>
      </c>
      <c r="CO41" s="91">
        <v>2071.8074999999999</v>
      </c>
      <c r="CP41" s="91">
        <v>2492.3534999999997</v>
      </c>
      <c r="CQ41" s="91">
        <v>1666.2809999999997</v>
      </c>
      <c r="CR41" s="91">
        <v>1728.126</v>
      </c>
      <c r="CS41" s="91">
        <v>1874.7869999999998</v>
      </c>
      <c r="CT41" s="91">
        <v>2402.2364999999995</v>
      </c>
      <c r="CU41" s="91">
        <v>3384.6884999999997</v>
      </c>
      <c r="CV41" s="91">
        <v>23904.859499999995</v>
      </c>
    </row>
    <row r="42" spans="1:100" ht="15" hidden="1" customHeight="1" outlineLevel="1">
      <c r="A42" s="94">
        <v>14</v>
      </c>
      <c r="B42" s="210" t="s">
        <v>69</v>
      </c>
      <c r="C42" s="212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/>
      <c r="Q42" s="90"/>
      <c r="R42" s="313">
        <v>0</v>
      </c>
      <c r="S42" s="91">
        <v>0</v>
      </c>
      <c r="T42" s="91">
        <v>0</v>
      </c>
      <c r="U42" s="91">
        <v>0</v>
      </c>
      <c r="V42" s="91">
        <v>0</v>
      </c>
      <c r="W42" s="91">
        <v>0</v>
      </c>
      <c r="X42" s="91">
        <v>0</v>
      </c>
      <c r="Y42" s="91">
        <v>2000</v>
      </c>
      <c r="Z42" s="91">
        <v>800</v>
      </c>
      <c r="AA42" s="91">
        <v>800</v>
      </c>
      <c r="AB42" s="91">
        <v>1200</v>
      </c>
      <c r="AC42" s="91">
        <v>1800</v>
      </c>
      <c r="AD42" s="315">
        <f t="shared" si="74"/>
        <v>6600</v>
      </c>
      <c r="AE42" s="23"/>
      <c r="AF42" s="316">
        <v>1500</v>
      </c>
      <c r="AG42" s="91">
        <v>1200</v>
      </c>
      <c r="AH42" s="91">
        <f>1500*0.15</f>
        <v>225</v>
      </c>
      <c r="AI42" s="91">
        <v>374</v>
      </c>
      <c r="AJ42" s="91">
        <v>990</v>
      </c>
      <c r="AK42" s="91">
        <v>960</v>
      </c>
      <c r="AL42" s="91">
        <v>1800</v>
      </c>
      <c r="AM42" s="91">
        <v>1200</v>
      </c>
      <c r="AN42" s="91">
        <v>1200</v>
      </c>
      <c r="AO42" s="91">
        <v>1200</v>
      </c>
      <c r="AP42" s="91">
        <v>1320</v>
      </c>
      <c r="AQ42" s="91">
        <v>1920</v>
      </c>
      <c r="AR42" s="92">
        <f t="shared" si="75"/>
        <v>13889</v>
      </c>
      <c r="AS42" s="23"/>
      <c r="AT42" s="91">
        <v>1518</v>
      </c>
      <c r="AU42" s="91">
        <v>1518</v>
      </c>
      <c r="AV42" s="91">
        <v>1518</v>
      </c>
      <c r="AW42" s="91">
        <v>1518</v>
      </c>
      <c r="AX42" s="317">
        <v>1276</v>
      </c>
      <c r="AY42" s="317">
        <v>1276</v>
      </c>
      <c r="AZ42" s="317">
        <v>1218</v>
      </c>
      <c r="BA42" s="317">
        <v>1218</v>
      </c>
      <c r="BB42" s="317">
        <v>1276</v>
      </c>
      <c r="BC42" s="317">
        <v>1508</v>
      </c>
      <c r="BD42" s="317">
        <v>1624</v>
      </c>
      <c r="BE42" s="317">
        <v>2320</v>
      </c>
      <c r="BF42" s="91">
        <f t="shared" si="76"/>
        <v>17788</v>
      </c>
      <c r="BG42" s="93">
        <f t="shared" si="77"/>
        <v>0.2807257541939665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>
        <v>19018</v>
      </c>
      <c r="BU42" s="54"/>
      <c r="BV42" s="91">
        <v>2737.9199999999996</v>
      </c>
      <c r="BW42" s="91">
        <v>2116.6799999999998</v>
      </c>
      <c r="BX42" s="91">
        <f>'META  EM PEÇAS'!U36-('META  EM PEÇAS'!U36*0.05)</f>
        <v>2379.2655</v>
      </c>
      <c r="BY42" s="91">
        <f>'META  EM PEÇAS'!V36-('META  EM PEÇAS'!V36*0.05)</f>
        <v>2205.2159999999999</v>
      </c>
      <c r="BZ42" s="91">
        <f>'META  EM PEÇAS'!W36-('META  EM PEÇAS'!W36*0.05)</f>
        <v>2474.6834999999996</v>
      </c>
      <c r="CA42" s="91">
        <f>'META  EM PEÇAS'!X36-('META  EM PEÇAS'!X36*0.05)</f>
        <v>2980.0454999999997</v>
      </c>
      <c r="CB42" s="91">
        <f>'META  EM PEÇAS'!Y36-('META  EM PEÇAS'!Y36*0.05)</f>
        <v>3584.3594999999996</v>
      </c>
      <c r="CC42" s="91">
        <f>'META  EM PEÇAS'!Z36-('META  EM PEÇAS'!Z36*0.05)</f>
        <v>2396.0519999999997</v>
      </c>
      <c r="CD42" s="91">
        <f>'META  EM PEÇAS'!AA36-('META  EM PEÇAS'!AA36*0.05)</f>
        <v>2485.2854999999995</v>
      </c>
      <c r="CE42" s="91">
        <f>'META  EM PEÇAS'!AB36-('META  EM PEÇAS'!AB36*0.05)</f>
        <v>2696.4419999999996</v>
      </c>
      <c r="CF42" s="91">
        <f>'META  EM PEÇAS'!AC36-('META  EM PEÇAS'!AC36*0.05)</f>
        <v>3454.4849999999997</v>
      </c>
      <c r="CG42" s="91">
        <f>'META  EM PEÇAS'!AD36-('META  EM PEÇAS'!AD36*0.05)</f>
        <v>4868.0849999999991</v>
      </c>
      <c r="CH42" s="91">
        <f t="shared" si="78"/>
        <v>34378.519499999995</v>
      </c>
      <c r="CJ42" s="91">
        <v>2737.9199999999996</v>
      </c>
      <c r="CK42" s="91">
        <v>2116.6799999999998</v>
      </c>
      <c r="CL42" s="91">
        <v>2379.2655</v>
      </c>
      <c r="CM42" s="91">
        <v>2205.2159999999999</v>
      </c>
      <c r="CN42" s="91">
        <v>2474.6834999999996</v>
      </c>
      <c r="CO42" s="91">
        <v>2980.0454999999997</v>
      </c>
      <c r="CP42" s="91">
        <v>3584.3594999999996</v>
      </c>
      <c r="CQ42" s="91">
        <v>2396.0519999999997</v>
      </c>
      <c r="CR42" s="91">
        <v>2485.2854999999995</v>
      </c>
      <c r="CS42" s="91">
        <v>2696.4419999999996</v>
      </c>
      <c r="CT42" s="91">
        <v>3454.4849999999997</v>
      </c>
      <c r="CU42" s="91">
        <v>4868.0849999999991</v>
      </c>
      <c r="CV42" s="91">
        <v>34378.519499999995</v>
      </c>
    </row>
    <row r="43" spans="1:100" ht="15" hidden="1" customHeight="1" outlineLevel="1">
      <c r="A43" s="94">
        <v>15</v>
      </c>
      <c r="B43" s="210" t="s">
        <v>70</v>
      </c>
      <c r="C43" s="212"/>
      <c r="D43" s="313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314"/>
      <c r="Q43" s="90"/>
      <c r="R43" s="313">
        <v>0</v>
      </c>
      <c r="S43" s="91">
        <v>0</v>
      </c>
      <c r="T43" s="91">
        <v>0</v>
      </c>
      <c r="U43" s="91">
        <v>0</v>
      </c>
      <c r="V43" s="91">
        <v>0</v>
      </c>
      <c r="W43" s="91">
        <v>0</v>
      </c>
      <c r="X43" s="91">
        <v>0</v>
      </c>
      <c r="Y43" s="91">
        <v>0</v>
      </c>
      <c r="Z43" s="91">
        <v>2000</v>
      </c>
      <c r="AA43" s="91">
        <v>800</v>
      </c>
      <c r="AB43" s="91">
        <v>800</v>
      </c>
      <c r="AC43" s="91">
        <v>1500</v>
      </c>
      <c r="AD43" s="315">
        <f t="shared" si="74"/>
        <v>5100</v>
      </c>
      <c r="AE43" s="23"/>
      <c r="AF43" s="316">
        <v>1800</v>
      </c>
      <c r="AG43" s="91">
        <v>1200</v>
      </c>
      <c r="AH43" s="91">
        <f>1800*0.4</f>
        <v>720</v>
      </c>
      <c r="AI43" s="91">
        <v>1147</v>
      </c>
      <c r="AJ43" s="91">
        <v>1155</v>
      </c>
      <c r="AK43" s="91">
        <v>1600</v>
      </c>
      <c r="AL43" s="91">
        <v>1800</v>
      </c>
      <c r="AM43" s="91">
        <v>2000</v>
      </c>
      <c r="AN43" s="91">
        <v>2000</v>
      </c>
      <c r="AO43" s="91">
        <v>2000</v>
      </c>
      <c r="AP43" s="91">
        <v>2200</v>
      </c>
      <c r="AQ43" s="91">
        <v>3200</v>
      </c>
      <c r="AR43" s="92">
        <f t="shared" si="75"/>
        <v>20822</v>
      </c>
      <c r="AS43" s="23"/>
      <c r="AT43" s="91">
        <v>1544</v>
      </c>
      <c r="AU43" s="91">
        <v>1544</v>
      </c>
      <c r="AV43" s="91">
        <v>1544</v>
      </c>
      <c r="AW43" s="91">
        <v>1544</v>
      </c>
      <c r="AX43" s="317">
        <v>862</v>
      </c>
      <c r="AY43" s="317">
        <v>862</v>
      </c>
      <c r="AZ43" s="317">
        <v>823</v>
      </c>
      <c r="BA43" s="317">
        <v>823</v>
      </c>
      <c r="BB43" s="317">
        <v>862</v>
      </c>
      <c r="BC43" s="317">
        <v>1019</v>
      </c>
      <c r="BD43" s="317">
        <v>1098</v>
      </c>
      <c r="BE43" s="317">
        <v>1568</v>
      </c>
      <c r="BF43" s="91">
        <f t="shared" si="76"/>
        <v>14093</v>
      </c>
      <c r="BG43" s="93">
        <f t="shared" si="77"/>
        <v>-0.32316780328498707</v>
      </c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>
        <v>21133</v>
      </c>
      <c r="BU43" s="54"/>
      <c r="BV43" s="91">
        <v>3593.52</v>
      </c>
      <c r="BW43" s="91">
        <v>2776.98</v>
      </c>
      <c r="BX43" s="91">
        <f>'META  EM PEÇAS'!U38-('META  EM PEÇAS'!U38*0.05)</f>
        <v>3122.2889999999998</v>
      </c>
      <c r="BY43" s="91">
        <f>'META  EM PEÇAS'!V38-('META  EM PEÇAS'!V38*0.05)</f>
        <v>2893.4625000000001</v>
      </c>
      <c r="BZ43" s="91">
        <f>'META  EM PEÇAS'!W38-('META  EM PEÇAS'!W38*0.05)</f>
        <v>3247.7459999999996</v>
      </c>
      <c r="CA43" s="91">
        <f>'META  EM PEÇAS'!X38-('META  EM PEÇAS'!X38*0.05)</f>
        <v>3910.3709999999992</v>
      </c>
      <c r="CB43" s="91">
        <f>'META  EM PEÇAS'!Y38-('META  EM PEÇAS'!Y38*0.05)</f>
        <v>4703.7539999999999</v>
      </c>
      <c r="CC43" s="91">
        <f>'META  EM PEÇAS'!Z38-('META  EM PEÇAS'!Z38*0.05)</f>
        <v>3144.3764999999999</v>
      </c>
      <c r="CD43" s="91">
        <f>'META  EM PEÇAS'!AA38-('META  EM PEÇAS'!AA38*0.05)</f>
        <v>3260.9984999999997</v>
      </c>
      <c r="CE43" s="91">
        <f>'META  EM PEÇAS'!AB38-('META  EM PEÇAS'!AB38*0.05)</f>
        <v>3539.3009999999999</v>
      </c>
      <c r="CF43" s="91">
        <f>'META  EM PEÇAS'!AC38-('META  EM PEÇAS'!AC38*0.05)</f>
        <v>4533.2384999999995</v>
      </c>
      <c r="CG43" s="91">
        <f>'META  EM PEÇAS'!AD38-('META  EM PEÇAS'!AD38*0.05)</f>
        <v>6387.7049999999999</v>
      </c>
      <c r="CH43" s="91">
        <f t="shared" si="78"/>
        <v>45113.741999999998</v>
      </c>
      <c r="CJ43" s="91">
        <v>3593.52</v>
      </c>
      <c r="CK43" s="91">
        <v>2776.98</v>
      </c>
      <c r="CL43" s="91">
        <v>3122.2889999999998</v>
      </c>
      <c r="CM43" s="91">
        <v>2893.4625000000001</v>
      </c>
      <c r="CN43" s="91">
        <v>3247.7459999999996</v>
      </c>
      <c r="CO43" s="91">
        <v>3910.3709999999992</v>
      </c>
      <c r="CP43" s="91">
        <v>4703.7539999999999</v>
      </c>
      <c r="CQ43" s="91">
        <v>3144.3764999999999</v>
      </c>
      <c r="CR43" s="91">
        <v>3260.9984999999997</v>
      </c>
      <c r="CS43" s="91">
        <v>3539.3009999999999</v>
      </c>
      <c r="CT43" s="91">
        <v>4533.2384999999995</v>
      </c>
      <c r="CU43" s="91">
        <v>6387.7049999999999</v>
      </c>
      <c r="CV43" s="91">
        <v>45113.741999999998</v>
      </c>
    </row>
    <row r="44" spans="1:100" ht="15" hidden="1" customHeight="1" outlineLevel="1">
      <c r="A44" s="94">
        <v>16</v>
      </c>
      <c r="B44" s="216" t="s">
        <v>71</v>
      </c>
      <c r="C44" s="212"/>
      <c r="D44" s="313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314"/>
      <c r="Q44" s="90"/>
      <c r="R44" s="313"/>
      <c r="S44" s="91"/>
      <c r="T44" s="91"/>
      <c r="U44" s="91"/>
      <c r="V44" s="91"/>
      <c r="W44" s="91"/>
      <c r="X44" s="91"/>
      <c r="Y44" s="91"/>
      <c r="Z44" s="91"/>
      <c r="AA44" s="91">
        <v>800</v>
      </c>
      <c r="AB44" s="91">
        <v>800</v>
      </c>
      <c r="AC44" s="91">
        <v>1500</v>
      </c>
      <c r="AD44" s="315"/>
      <c r="AE44" s="23"/>
      <c r="AF44" s="316">
        <v>1500</v>
      </c>
      <c r="AG44" s="91">
        <v>1200</v>
      </c>
      <c r="AH44" s="91">
        <f>1500*0.15</f>
        <v>225</v>
      </c>
      <c r="AI44" s="91">
        <v>192</v>
      </c>
      <c r="AJ44" s="91">
        <v>663</v>
      </c>
      <c r="AK44" s="91">
        <v>800</v>
      </c>
      <c r="AL44" s="91">
        <v>1500</v>
      </c>
      <c r="AM44" s="91">
        <v>1000</v>
      </c>
      <c r="AN44" s="91">
        <v>1000</v>
      </c>
      <c r="AO44" s="91">
        <v>1000</v>
      </c>
      <c r="AP44" s="91">
        <v>1100</v>
      </c>
      <c r="AQ44" s="91">
        <v>1600</v>
      </c>
      <c r="AR44" s="92">
        <f t="shared" si="75"/>
        <v>11780</v>
      </c>
      <c r="AS44" s="23"/>
      <c r="AT44" s="91">
        <v>960</v>
      </c>
      <c r="AU44" s="91">
        <v>960</v>
      </c>
      <c r="AV44" s="91">
        <v>960</v>
      </c>
      <c r="AW44" s="91">
        <v>960</v>
      </c>
      <c r="AX44" s="317">
        <v>1414</v>
      </c>
      <c r="AY44" s="317">
        <v>1414</v>
      </c>
      <c r="AZ44" s="317">
        <v>1350</v>
      </c>
      <c r="BA44" s="317">
        <v>1350</v>
      </c>
      <c r="BB44" s="317">
        <v>1414</v>
      </c>
      <c r="BC44" s="317">
        <v>1671</v>
      </c>
      <c r="BD44" s="317">
        <v>1800</v>
      </c>
      <c r="BE44" s="317">
        <v>2571</v>
      </c>
      <c r="BF44" s="91">
        <f t="shared" si="76"/>
        <v>16824</v>
      </c>
      <c r="BG44" s="93">
        <f t="shared" si="77"/>
        <v>0.42818336162988113</v>
      </c>
      <c r="BH44" s="91">
        <v>900</v>
      </c>
      <c r="BI44" s="91">
        <v>643</v>
      </c>
      <c r="BJ44" s="91">
        <v>891</v>
      </c>
      <c r="BK44" s="91">
        <v>679</v>
      </c>
      <c r="BL44" s="91">
        <v>940</v>
      </c>
      <c r="BM44" s="91">
        <v>948</v>
      </c>
      <c r="BN44" s="91">
        <v>1124</v>
      </c>
      <c r="BO44" s="91">
        <v>913</v>
      </c>
      <c r="BP44" s="91">
        <v>911</v>
      </c>
      <c r="BQ44" s="91">
        <v>898</v>
      </c>
      <c r="BR44" s="91">
        <v>1465</v>
      </c>
      <c r="BS44" s="91">
        <v>1278</v>
      </c>
      <c r="BT44" s="91">
        <f>SUM(BH44:BS44)</f>
        <v>11590</v>
      </c>
      <c r="BU44" s="54"/>
      <c r="BV44" s="91">
        <f>'META  EM PEÇAS'!T47</f>
        <v>1749.7324726431702</v>
      </c>
      <c r="BW44" s="91">
        <f>'META  EM PEÇAS'!T48</f>
        <v>1701.1287928475265</v>
      </c>
      <c r="BX44" s="91">
        <f>'META  EM PEÇAS'!T49</f>
        <v>1846.9398322344578</v>
      </c>
      <c r="BY44" s="91">
        <f>'META  EM PEÇAS'!T50</f>
        <v>1701.1287928475265</v>
      </c>
      <c r="BZ44" s="91">
        <f>'META  EM PEÇAS'!T51</f>
        <v>1846.9398322344578</v>
      </c>
      <c r="CA44" s="91">
        <f>'META  EM PEÇAS'!T52</f>
        <v>1749.7324726431702</v>
      </c>
      <c r="CB44" s="91">
        <f>'META  EM PEÇAS'!T53</f>
        <v>2138.5619110083194</v>
      </c>
      <c r="CC44" s="91">
        <f>'META  EM PEÇAS'!T54</f>
        <v>1749.7324726431702</v>
      </c>
      <c r="CD44" s="91">
        <f>'META  EM PEÇAS'!T55</f>
        <v>1749.7324726431702</v>
      </c>
      <c r="CE44" s="91">
        <f>'META  EM PEÇAS'!T56</f>
        <v>1749.7324726431702</v>
      </c>
      <c r="CF44" s="91">
        <f>'META  EM PEÇAS'!T57</f>
        <v>2721.8060685560426</v>
      </c>
      <c r="CG44" s="91">
        <f>'META  EM PEÇAS'!T58</f>
        <v>1944.1471918257448</v>
      </c>
      <c r="CH44" s="91">
        <f t="shared" si="78"/>
        <v>22649.314784769926</v>
      </c>
      <c r="CJ44" s="91">
        <v>1749.7324726431702</v>
      </c>
      <c r="CK44" s="91">
        <v>1701.1287928475265</v>
      </c>
      <c r="CL44" s="91">
        <v>1846.9398322344578</v>
      </c>
      <c r="CM44" s="91">
        <v>1701.1287928475265</v>
      </c>
      <c r="CN44" s="91">
        <v>1846.9398322344578</v>
      </c>
      <c r="CO44" s="91">
        <v>1749.7324726431702</v>
      </c>
      <c r="CP44" s="91">
        <v>2138.5619110083194</v>
      </c>
      <c r="CQ44" s="91">
        <v>1749.7324726431702</v>
      </c>
      <c r="CR44" s="91">
        <v>1749.7324726431702</v>
      </c>
      <c r="CS44" s="91">
        <v>1749.7324726431702</v>
      </c>
      <c r="CT44" s="91">
        <v>2721.8060685560426</v>
      </c>
      <c r="CU44" s="91">
        <v>1944.1471918257448</v>
      </c>
      <c r="CV44" s="91">
        <v>22649.314784769926</v>
      </c>
    </row>
    <row r="45" spans="1:100" ht="15" hidden="1" customHeight="1" outlineLevel="1">
      <c r="A45" s="94"/>
      <c r="B45" s="210"/>
      <c r="C45" s="213"/>
      <c r="D45" s="3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314"/>
      <c r="Q45" s="90"/>
      <c r="R45" s="313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315"/>
      <c r="AE45" s="23"/>
      <c r="AF45" s="316">
        <v>0</v>
      </c>
      <c r="AG45" s="91">
        <v>0</v>
      </c>
      <c r="AH45" s="91">
        <v>0</v>
      </c>
      <c r="AI45" s="91">
        <v>0</v>
      </c>
      <c r="AJ45" s="91">
        <v>0</v>
      </c>
      <c r="AK45" s="91">
        <v>400</v>
      </c>
      <c r="AL45" s="91">
        <v>500</v>
      </c>
      <c r="AM45" s="91">
        <v>500</v>
      </c>
      <c r="AN45" s="91">
        <v>600</v>
      </c>
      <c r="AO45" s="91">
        <v>600</v>
      </c>
      <c r="AP45" s="91">
        <v>660</v>
      </c>
      <c r="AQ45" s="91">
        <v>960</v>
      </c>
      <c r="AR45" s="92">
        <f t="shared" si="75"/>
        <v>4220</v>
      </c>
      <c r="AS45" s="23"/>
      <c r="AT45" s="91">
        <v>960</v>
      </c>
      <c r="AU45" s="91">
        <v>960</v>
      </c>
      <c r="AV45" s="91">
        <v>960</v>
      </c>
      <c r="AW45" s="91">
        <v>960</v>
      </c>
      <c r="AX45" s="317">
        <v>580</v>
      </c>
      <c r="AY45" s="317">
        <v>580</v>
      </c>
      <c r="AZ45" s="317">
        <v>554</v>
      </c>
      <c r="BA45" s="317">
        <v>554</v>
      </c>
      <c r="BB45" s="317">
        <v>580</v>
      </c>
      <c r="BC45" s="317">
        <v>686</v>
      </c>
      <c r="BD45" s="317">
        <v>739</v>
      </c>
      <c r="BE45" s="317">
        <v>1055</v>
      </c>
      <c r="BF45" s="91">
        <f t="shared" si="76"/>
        <v>9168</v>
      </c>
      <c r="BG45" s="93">
        <f t="shared" si="77"/>
        <v>1.172511848341232</v>
      </c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U45" s="54"/>
      <c r="BV45" s="91"/>
      <c r="BW45" s="91"/>
      <c r="BX45" s="91"/>
      <c r="BY45" s="91"/>
      <c r="BZ45" s="91"/>
      <c r="CA45" s="91"/>
      <c r="CB45" s="91"/>
      <c r="CC45" s="91"/>
      <c r="CD45" s="91"/>
      <c r="CE45" s="91"/>
      <c r="CF45" s="91"/>
      <c r="CG45" s="91"/>
      <c r="CH45" s="91"/>
      <c r="CJ45" s="91"/>
      <c r="CK45" s="91"/>
      <c r="CL45" s="91"/>
      <c r="CM45" s="91"/>
      <c r="CN45" s="91"/>
      <c r="CO45" s="91"/>
      <c r="CP45" s="91"/>
      <c r="CQ45" s="91"/>
      <c r="CR45" s="91"/>
      <c r="CS45" s="91"/>
      <c r="CT45" s="91"/>
      <c r="CU45" s="91"/>
      <c r="CV45" s="91"/>
    </row>
    <row r="46" spans="1:100" ht="15" hidden="1" customHeight="1" outlineLevel="1">
      <c r="A46" s="95"/>
      <c r="B46" s="216"/>
      <c r="C46" s="420"/>
      <c r="D46" s="421"/>
      <c r="E46" s="422"/>
      <c r="F46" s="422"/>
      <c r="G46" s="422"/>
      <c r="H46" s="422"/>
      <c r="I46" s="422"/>
      <c r="J46" s="422"/>
      <c r="K46" s="422"/>
      <c r="L46" s="422"/>
      <c r="M46" s="422"/>
      <c r="N46" s="422"/>
      <c r="O46" s="422"/>
      <c r="P46" s="423"/>
      <c r="Q46" s="424"/>
      <c r="R46" s="421"/>
      <c r="S46" s="425"/>
      <c r="T46" s="425"/>
      <c r="U46" s="425"/>
      <c r="V46" s="425"/>
      <c r="W46" s="425"/>
      <c r="X46" s="425"/>
      <c r="Y46" s="425"/>
      <c r="Z46" s="425"/>
      <c r="AA46" s="425"/>
      <c r="AB46" s="425"/>
      <c r="AC46" s="425"/>
      <c r="AD46" s="426"/>
      <c r="AE46" s="427"/>
      <c r="AF46" s="428">
        <v>0</v>
      </c>
      <c r="AG46" s="425">
        <v>0</v>
      </c>
      <c r="AH46" s="425">
        <v>0</v>
      </c>
      <c r="AI46" s="425">
        <v>0</v>
      </c>
      <c r="AJ46" s="425">
        <v>0</v>
      </c>
      <c r="AK46" s="425">
        <v>0</v>
      </c>
      <c r="AL46" s="425">
        <v>2500</v>
      </c>
      <c r="AM46" s="425">
        <v>2000</v>
      </c>
      <c r="AN46" s="425">
        <v>500</v>
      </c>
      <c r="AO46" s="425">
        <v>600</v>
      </c>
      <c r="AP46" s="425">
        <v>660</v>
      </c>
      <c r="AQ46" s="425">
        <v>960</v>
      </c>
      <c r="AR46" s="429">
        <f t="shared" si="75"/>
        <v>7220</v>
      </c>
      <c r="AS46" s="23"/>
      <c r="AT46" s="425">
        <v>1518</v>
      </c>
      <c r="AU46" s="425">
        <v>1518</v>
      </c>
      <c r="AV46" s="425">
        <v>1518</v>
      </c>
      <c r="AW46" s="425">
        <v>1518</v>
      </c>
      <c r="AX46" s="317">
        <v>1943</v>
      </c>
      <c r="AY46" s="317">
        <v>1943</v>
      </c>
      <c r="AZ46" s="317">
        <v>1854</v>
      </c>
      <c r="BA46" s="317">
        <v>1854</v>
      </c>
      <c r="BB46" s="317">
        <v>1943</v>
      </c>
      <c r="BC46" s="317">
        <v>2296</v>
      </c>
      <c r="BD46" s="317">
        <v>2472</v>
      </c>
      <c r="BE46" s="317">
        <v>3532</v>
      </c>
      <c r="BF46" s="425">
        <f t="shared" si="76"/>
        <v>23909</v>
      </c>
      <c r="BG46" s="93">
        <f t="shared" si="77"/>
        <v>2.3114958448753464</v>
      </c>
      <c r="BH46" s="425"/>
      <c r="BI46" s="425"/>
      <c r="BJ46" s="425"/>
      <c r="BK46" s="425"/>
      <c r="BL46" s="91"/>
      <c r="BM46" s="91"/>
      <c r="BN46" s="91"/>
      <c r="BO46" s="91"/>
      <c r="BP46" s="91"/>
      <c r="BQ46" s="91"/>
      <c r="BR46" s="91"/>
      <c r="BS46" s="91"/>
      <c r="BT46" s="91"/>
      <c r="BU46" s="54"/>
      <c r="BV46" s="425"/>
      <c r="BW46" s="425"/>
      <c r="BX46" s="425"/>
      <c r="BY46" s="425"/>
      <c r="BZ46" s="91"/>
      <c r="CA46" s="91"/>
      <c r="CB46" s="91"/>
      <c r="CC46" s="91"/>
      <c r="CD46" s="91"/>
      <c r="CE46" s="91"/>
      <c r="CF46" s="91"/>
      <c r="CG46" s="91"/>
      <c r="CH46" s="91"/>
      <c r="CJ46" s="425"/>
      <c r="CK46" s="425"/>
      <c r="CL46" s="425"/>
      <c r="CM46" s="425"/>
      <c r="CN46" s="91"/>
      <c r="CO46" s="91"/>
      <c r="CP46" s="91"/>
      <c r="CQ46" s="91"/>
      <c r="CR46" s="91"/>
      <c r="CS46" s="91"/>
      <c r="CT46" s="91"/>
      <c r="CU46" s="91"/>
      <c r="CV46" s="91"/>
    </row>
    <row r="47" spans="1:100" ht="15" hidden="1" customHeight="1" outlineLevel="1">
      <c r="A47" s="434"/>
      <c r="B47" s="1093"/>
      <c r="C47" s="1094"/>
      <c r="D47" s="435"/>
      <c r="E47" s="435"/>
      <c r="F47" s="435"/>
      <c r="G47" s="435"/>
      <c r="H47" s="435"/>
      <c r="I47" s="435"/>
      <c r="J47" s="435"/>
      <c r="K47" s="435"/>
      <c r="L47" s="435"/>
      <c r="M47" s="435"/>
      <c r="N47" s="435"/>
      <c r="O47" s="435"/>
      <c r="P47" s="435"/>
      <c r="Q47" s="435"/>
      <c r="R47" s="435"/>
      <c r="S47" s="435"/>
      <c r="T47" s="435"/>
      <c r="U47" s="435"/>
      <c r="V47" s="435"/>
      <c r="W47" s="435"/>
      <c r="X47" s="435"/>
      <c r="Y47" s="435"/>
      <c r="Z47" s="435"/>
      <c r="AA47" s="435"/>
      <c r="AB47" s="435"/>
      <c r="AC47" s="435"/>
      <c r="AD47" s="435"/>
      <c r="AE47" s="436"/>
      <c r="AF47" s="437">
        <v>0</v>
      </c>
      <c r="AG47" s="437">
        <v>0</v>
      </c>
      <c r="AH47" s="437">
        <v>0</v>
      </c>
      <c r="AI47" s="437">
        <v>0</v>
      </c>
      <c r="AJ47" s="437">
        <v>0</v>
      </c>
      <c r="AK47" s="437">
        <v>0</v>
      </c>
      <c r="AL47" s="437">
        <v>0</v>
      </c>
      <c r="AM47" s="437">
        <v>0</v>
      </c>
      <c r="AN47" s="437">
        <v>0</v>
      </c>
      <c r="AO47" s="437">
        <v>0</v>
      </c>
      <c r="AP47" s="437">
        <v>0</v>
      </c>
      <c r="AQ47" s="437">
        <v>0</v>
      </c>
      <c r="AR47" s="438">
        <f t="shared" si="75"/>
        <v>0</v>
      </c>
      <c r="AS47" s="322"/>
      <c r="AT47" s="437">
        <v>0</v>
      </c>
      <c r="AU47" s="437">
        <v>0</v>
      </c>
      <c r="AV47" s="437">
        <v>0</v>
      </c>
      <c r="AW47" s="437">
        <v>0</v>
      </c>
      <c r="AX47" s="439">
        <v>800</v>
      </c>
      <c r="AY47" s="317">
        <v>800</v>
      </c>
      <c r="AZ47" s="317">
        <v>800</v>
      </c>
      <c r="BA47" s="317">
        <v>1050</v>
      </c>
      <c r="BB47" s="317">
        <v>1100</v>
      </c>
      <c r="BC47" s="317">
        <v>1300</v>
      </c>
      <c r="BD47" s="317">
        <v>1400</v>
      </c>
      <c r="BE47" s="440">
        <v>2000</v>
      </c>
      <c r="BF47" s="437">
        <f t="shared" si="76"/>
        <v>9250</v>
      </c>
      <c r="BG47" s="325" t="e">
        <f t="shared" si="77"/>
        <v>#DIV/0!</v>
      </c>
      <c r="BH47" s="437"/>
      <c r="BI47" s="437"/>
      <c r="BJ47" s="437"/>
      <c r="BK47" s="437"/>
      <c r="BL47" s="439"/>
      <c r="BM47" s="317"/>
      <c r="BN47" s="317"/>
      <c r="BO47" s="317"/>
      <c r="BP47" s="317"/>
      <c r="BQ47" s="317"/>
      <c r="BR47" s="317"/>
      <c r="BS47" s="317"/>
      <c r="BT47" s="317"/>
      <c r="BU47" s="326"/>
      <c r="BV47" s="443"/>
      <c r="BW47" s="443"/>
      <c r="BX47" s="443"/>
      <c r="BY47" s="443"/>
      <c r="BZ47" s="444"/>
      <c r="CA47" s="317"/>
      <c r="CB47" s="317"/>
      <c r="CC47" s="317"/>
      <c r="CD47" s="317"/>
      <c r="CE47" s="317"/>
      <c r="CF47" s="317"/>
      <c r="CG47" s="317"/>
      <c r="CH47" s="317"/>
      <c r="CJ47" s="443"/>
      <c r="CK47" s="443"/>
      <c r="CL47" s="443"/>
      <c r="CM47" s="443"/>
      <c r="CN47" s="444"/>
      <c r="CO47" s="317"/>
      <c r="CP47" s="317"/>
      <c r="CQ47" s="317"/>
      <c r="CR47" s="317"/>
      <c r="CS47" s="317"/>
      <c r="CT47" s="317"/>
      <c r="CU47" s="317"/>
      <c r="CV47" s="317"/>
    </row>
    <row r="48" spans="1:100" ht="15" hidden="1" customHeight="1" outlineLevel="1">
      <c r="A48" s="430"/>
      <c r="B48" s="214"/>
      <c r="C48" s="431"/>
      <c r="D48" s="424"/>
      <c r="E48" s="424"/>
      <c r="F48" s="424"/>
      <c r="G48" s="424"/>
      <c r="H48" s="424"/>
      <c r="I48" s="424"/>
      <c r="J48" s="424"/>
      <c r="K48" s="424"/>
      <c r="L48" s="424"/>
      <c r="M48" s="424"/>
      <c r="N48" s="424"/>
      <c r="O48" s="424"/>
      <c r="P48" s="424"/>
      <c r="Q48" s="424"/>
      <c r="R48" s="424"/>
      <c r="S48" s="432"/>
      <c r="T48" s="432"/>
      <c r="U48" s="432"/>
      <c r="V48" s="432"/>
      <c r="W48" s="432"/>
      <c r="X48" s="432"/>
      <c r="Y48" s="432"/>
      <c r="Z48" s="432"/>
      <c r="AA48" s="432"/>
      <c r="AB48" s="432"/>
      <c r="AC48" s="432"/>
      <c r="AD48" s="432"/>
      <c r="AE48" s="427"/>
      <c r="AF48" s="432"/>
      <c r="AG48" s="432"/>
      <c r="AH48" s="432"/>
      <c r="AI48" s="432"/>
      <c r="AJ48" s="432"/>
      <c r="AK48" s="432"/>
      <c r="AL48" s="432"/>
      <c r="AM48" s="432"/>
      <c r="AN48" s="432"/>
      <c r="AO48" s="432"/>
      <c r="AP48" s="432"/>
      <c r="AQ48" s="432"/>
      <c r="AR48" s="433"/>
      <c r="AS48" s="23"/>
      <c r="AT48" s="97"/>
      <c r="AU48" s="97"/>
      <c r="AV48" s="97"/>
      <c r="AW48" s="97"/>
      <c r="AX48" s="91"/>
      <c r="AY48" s="91"/>
      <c r="AZ48" s="91"/>
      <c r="BA48" s="91"/>
      <c r="BB48" s="91"/>
      <c r="BC48" s="91"/>
      <c r="BD48" s="91">
        <v>600</v>
      </c>
      <c r="BE48" s="315">
        <v>700</v>
      </c>
      <c r="BF48" s="437">
        <f t="shared" si="76"/>
        <v>1300</v>
      </c>
      <c r="BG48" s="93"/>
      <c r="BH48" s="442"/>
      <c r="BI48" s="442"/>
      <c r="BJ48" s="442"/>
      <c r="BK48" s="442"/>
      <c r="BL48" s="316"/>
      <c r="BM48" s="91"/>
      <c r="BN48" s="91"/>
      <c r="BO48" s="91"/>
      <c r="BP48" s="91"/>
      <c r="BQ48" s="91"/>
      <c r="BR48" s="91"/>
      <c r="BS48" s="91"/>
      <c r="BT48" s="91"/>
      <c r="BU48" s="54"/>
      <c r="BV48" s="442"/>
      <c r="BW48" s="442"/>
      <c r="BX48" s="442"/>
      <c r="BY48" s="442"/>
      <c r="BZ48" s="442"/>
      <c r="CA48" s="316"/>
      <c r="CB48" s="91">
        <v>60</v>
      </c>
      <c r="CC48" s="91"/>
      <c r="CD48" s="91"/>
      <c r="CE48" s="91"/>
      <c r="CF48" s="91"/>
      <c r="CG48" s="91"/>
      <c r="CH48" s="91"/>
      <c r="CJ48" s="442"/>
      <c r="CK48" s="442"/>
      <c r="CL48" s="442"/>
      <c r="CM48" s="442"/>
      <c r="CN48" s="442"/>
      <c r="CO48" s="316"/>
      <c r="CP48" s="91"/>
      <c r="CQ48" s="91"/>
      <c r="CR48" s="91"/>
      <c r="CS48" s="91"/>
      <c r="CT48" s="91"/>
      <c r="CU48" s="91"/>
      <c r="CV48" s="91"/>
    </row>
    <row r="49" spans="1:100" ht="15" hidden="1" customHeight="1" outlineLevel="1">
      <c r="A49" s="95"/>
      <c r="B49" s="216" t="s">
        <v>71</v>
      </c>
      <c r="C49" s="211"/>
      <c r="D49" s="313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314">
        <f t="shared" ref="P49:P50" si="82">SUM(D49:O49)</f>
        <v>0</v>
      </c>
      <c r="Q49" s="90"/>
      <c r="R49" s="313">
        <v>350</v>
      </c>
      <c r="S49" s="91">
        <v>350</v>
      </c>
      <c r="T49" s="91">
        <v>450</v>
      </c>
      <c r="U49" s="91">
        <v>800</v>
      </c>
      <c r="V49" s="91">
        <v>531</v>
      </c>
      <c r="W49" s="91">
        <v>750</v>
      </c>
      <c r="X49" s="91">
        <v>650</v>
      </c>
      <c r="Y49" s="91">
        <v>750</v>
      </c>
      <c r="Z49" s="91">
        <v>900</v>
      </c>
      <c r="AA49" s="91">
        <v>1000</v>
      </c>
      <c r="AB49" s="91">
        <v>1200</v>
      </c>
      <c r="AC49" s="91">
        <v>1500</v>
      </c>
      <c r="AD49" s="315">
        <f t="shared" ref="AD49:AD50" si="83">SUM(R49:AC49)</f>
        <v>9231</v>
      </c>
      <c r="AE49" s="23"/>
      <c r="AF49" s="316">
        <v>1500</v>
      </c>
      <c r="AG49" s="91">
        <v>800</v>
      </c>
      <c r="AH49" s="91">
        <v>800</v>
      </c>
      <c r="AI49" s="91">
        <v>1820</v>
      </c>
      <c r="AJ49" s="91">
        <v>1630</v>
      </c>
      <c r="AK49" s="91">
        <v>1360</v>
      </c>
      <c r="AL49" s="91">
        <v>1000</v>
      </c>
      <c r="AM49" s="91">
        <v>1700</v>
      </c>
      <c r="AN49" s="91">
        <v>1700</v>
      </c>
      <c r="AO49" s="91">
        <v>1700</v>
      </c>
      <c r="AP49" s="91">
        <v>1870</v>
      </c>
      <c r="AQ49" s="91">
        <v>2720</v>
      </c>
      <c r="AR49" s="92">
        <f t="shared" ref="AR49:AR50" si="84">SUM(AF49:AQ49)</f>
        <v>18600</v>
      </c>
      <c r="AS49" s="23"/>
      <c r="AT49" s="91">
        <v>2053</v>
      </c>
      <c r="AU49" s="91">
        <v>2053</v>
      </c>
      <c r="AV49" s="91">
        <v>2053</v>
      </c>
      <c r="AW49" s="91">
        <v>2053</v>
      </c>
      <c r="AX49" s="91">
        <v>2807</v>
      </c>
      <c r="AY49" s="91">
        <v>2807</v>
      </c>
      <c r="AZ49" s="91">
        <v>2680</v>
      </c>
      <c r="BA49" s="91">
        <v>2680</v>
      </c>
      <c r="BB49" s="91">
        <v>2807</v>
      </c>
      <c r="BC49" s="91">
        <v>3318</v>
      </c>
      <c r="BD49" s="91">
        <v>5870</v>
      </c>
      <c r="BE49" s="91">
        <v>5104</v>
      </c>
      <c r="BF49" s="441">
        <f t="shared" si="76"/>
        <v>36285</v>
      </c>
      <c r="BG49" s="93">
        <f>BF49/AR49-1</f>
        <v>0.95080645161290334</v>
      </c>
      <c r="BH49" s="441"/>
      <c r="BI49" s="441"/>
      <c r="BJ49" s="441"/>
      <c r="BK49" s="441"/>
      <c r="BL49" s="91"/>
      <c r="BM49" s="91"/>
      <c r="BN49" s="91"/>
      <c r="BO49" s="91"/>
      <c r="BP49" s="91"/>
      <c r="BQ49" s="91"/>
      <c r="BR49" s="91"/>
      <c r="BS49" s="91"/>
      <c r="BT49" s="91">
        <f>SUM(BH49:BS49)</f>
        <v>0</v>
      </c>
      <c r="BU49" s="54"/>
      <c r="BV49" s="441"/>
      <c r="BW49" s="441"/>
      <c r="BX49" s="441"/>
      <c r="BY49" s="441"/>
      <c r="BZ49" s="441"/>
      <c r="CA49" s="91"/>
      <c r="CB49" s="91"/>
      <c r="CC49" s="91"/>
      <c r="CD49" s="91"/>
      <c r="CE49" s="91"/>
      <c r="CF49" s="91"/>
      <c r="CG49" s="91"/>
      <c r="CH49" s="91"/>
      <c r="CJ49" s="441"/>
      <c r="CK49" s="441"/>
      <c r="CL49" s="441"/>
      <c r="CM49" s="441"/>
      <c r="CN49" s="441"/>
      <c r="CO49" s="91"/>
      <c r="CP49" s="91"/>
      <c r="CQ49" s="91"/>
      <c r="CR49" s="91"/>
      <c r="CS49" s="91"/>
      <c r="CT49" s="91"/>
      <c r="CU49" s="91"/>
      <c r="CV49" s="91"/>
    </row>
    <row r="50" spans="1:100" ht="15.75" collapsed="1">
      <c r="A50" s="55"/>
      <c r="B50" s="56" t="s">
        <v>286</v>
      </c>
      <c r="C50" s="280"/>
      <c r="D50" s="288">
        <f t="shared" ref="D50:O50" si="85">SUM(D29:D49)</f>
        <v>0</v>
      </c>
      <c r="E50" s="57">
        <f t="shared" si="85"/>
        <v>0</v>
      </c>
      <c r="F50" s="57">
        <f t="shared" si="85"/>
        <v>0</v>
      </c>
      <c r="G50" s="57">
        <f t="shared" si="85"/>
        <v>0</v>
      </c>
      <c r="H50" s="57">
        <f t="shared" si="85"/>
        <v>0</v>
      </c>
      <c r="I50" s="57">
        <f t="shared" si="85"/>
        <v>0</v>
      </c>
      <c r="J50" s="57">
        <f t="shared" si="85"/>
        <v>0</v>
      </c>
      <c r="K50" s="57">
        <f t="shared" si="85"/>
        <v>0</v>
      </c>
      <c r="L50" s="57">
        <f t="shared" si="85"/>
        <v>0</v>
      </c>
      <c r="M50" s="57">
        <f t="shared" si="85"/>
        <v>0</v>
      </c>
      <c r="N50" s="57">
        <f t="shared" si="85"/>
        <v>0</v>
      </c>
      <c r="O50" s="57">
        <f t="shared" si="85"/>
        <v>0</v>
      </c>
      <c r="P50" s="289">
        <f t="shared" si="82"/>
        <v>0</v>
      </c>
      <c r="Q50" s="39"/>
      <c r="R50" s="288">
        <f t="shared" ref="R50:AC50" si="86">SUM(R29:R49)</f>
        <v>20557.543859649122</v>
      </c>
      <c r="S50" s="58">
        <f t="shared" si="86"/>
        <v>20512.543859649122</v>
      </c>
      <c r="T50" s="58">
        <f t="shared" si="86"/>
        <v>13699.771929824561</v>
      </c>
      <c r="U50" s="58">
        <f t="shared" si="86"/>
        <v>912.5</v>
      </c>
      <c r="V50" s="58">
        <f t="shared" si="86"/>
        <v>16851</v>
      </c>
      <c r="W50" s="290">
        <f t="shared" si="86"/>
        <v>13700</v>
      </c>
      <c r="X50" s="290">
        <f t="shared" si="86"/>
        <v>26050</v>
      </c>
      <c r="Y50" s="290">
        <f t="shared" si="86"/>
        <v>27750</v>
      </c>
      <c r="Z50" s="290">
        <f t="shared" si="86"/>
        <v>31100</v>
      </c>
      <c r="AA50" s="290">
        <f t="shared" si="86"/>
        <v>32100</v>
      </c>
      <c r="AB50" s="290">
        <f t="shared" si="86"/>
        <v>37500</v>
      </c>
      <c r="AC50" s="290">
        <f t="shared" si="86"/>
        <v>45300</v>
      </c>
      <c r="AD50" s="291">
        <f t="shared" si="83"/>
        <v>286033.35964912281</v>
      </c>
      <c r="AE50" s="59"/>
      <c r="AF50" s="292">
        <f>SUM(AF29:AF49)</f>
        <v>38500</v>
      </c>
      <c r="AG50" s="58">
        <f t="shared" ref="AG50:AQ50" si="87">SUM(AG29:AG49)</f>
        <v>22400</v>
      </c>
      <c r="AH50" s="58">
        <f t="shared" si="87"/>
        <v>10671</v>
      </c>
      <c r="AI50" s="58">
        <f t="shared" si="87"/>
        <v>16097</v>
      </c>
      <c r="AJ50" s="58">
        <f t="shared" si="87"/>
        <v>30278</v>
      </c>
      <c r="AK50" s="58">
        <f t="shared" si="87"/>
        <v>28560</v>
      </c>
      <c r="AL50" s="58">
        <f t="shared" si="87"/>
        <v>41700</v>
      </c>
      <c r="AM50" s="58">
        <f t="shared" si="87"/>
        <v>38700</v>
      </c>
      <c r="AN50" s="58">
        <f t="shared" si="87"/>
        <v>37300</v>
      </c>
      <c r="AO50" s="58">
        <f t="shared" si="87"/>
        <v>37400</v>
      </c>
      <c r="AP50" s="58">
        <f t="shared" si="87"/>
        <v>40640</v>
      </c>
      <c r="AQ50" s="58">
        <f t="shared" si="87"/>
        <v>54440</v>
      </c>
      <c r="AR50" s="58">
        <f t="shared" si="84"/>
        <v>396686</v>
      </c>
      <c r="AS50" s="59"/>
      <c r="AT50" s="58">
        <f t="shared" ref="AT50:BE50" si="88">SUM(AT29:AT49)</f>
        <v>36153</v>
      </c>
      <c r="AU50" s="58">
        <f>SUM(AU29:AU49)</f>
        <v>35289</v>
      </c>
      <c r="AV50" s="58">
        <f t="shared" si="88"/>
        <v>35872</v>
      </c>
      <c r="AW50" s="58">
        <f t="shared" si="88"/>
        <v>38031</v>
      </c>
      <c r="AX50" s="58">
        <f t="shared" si="88"/>
        <v>33566</v>
      </c>
      <c r="AY50" s="58">
        <f t="shared" si="88"/>
        <v>33566</v>
      </c>
      <c r="AZ50" s="58">
        <f t="shared" si="88"/>
        <v>30896</v>
      </c>
      <c r="BA50" s="58">
        <f t="shared" si="88"/>
        <v>31146</v>
      </c>
      <c r="BB50" s="58">
        <f t="shared" si="88"/>
        <v>32630</v>
      </c>
      <c r="BC50" s="58">
        <f t="shared" si="88"/>
        <v>38562</v>
      </c>
      <c r="BD50" s="58">
        <f t="shared" si="88"/>
        <v>41345</v>
      </c>
      <c r="BE50" s="58">
        <f t="shared" si="88"/>
        <v>49263</v>
      </c>
      <c r="BF50" s="58">
        <f>SUM(AT50:BE50)</f>
        <v>436319</v>
      </c>
      <c r="BG50" s="59">
        <f>BF50-AR50</f>
        <v>39633</v>
      </c>
      <c r="BH50" s="58">
        <v>36153</v>
      </c>
      <c r="BI50" s="58">
        <v>35289</v>
      </c>
      <c r="BJ50" s="58">
        <v>35872</v>
      </c>
      <c r="BK50" s="58">
        <v>38031</v>
      </c>
      <c r="BL50" s="58">
        <v>38570</v>
      </c>
      <c r="BM50" s="58">
        <v>39227</v>
      </c>
      <c r="BN50" s="58">
        <v>41128</v>
      </c>
      <c r="BO50" s="58">
        <v>38191</v>
      </c>
      <c r="BP50" s="58">
        <v>38191</v>
      </c>
      <c r="BQ50" s="58">
        <v>40225</v>
      </c>
      <c r="BR50" s="58">
        <v>43272</v>
      </c>
      <c r="BS50" s="58">
        <v>60327</v>
      </c>
      <c r="BT50" s="58">
        <f t="shared" ref="BT50:BT54" si="89">SUM(BH50:BS50)</f>
        <v>484476</v>
      </c>
      <c r="BU50" s="60"/>
      <c r="BV50" s="58">
        <f>SUM(BV29:BV46)</f>
        <v>35797.912472643162</v>
      </c>
      <c r="BW50" s="58">
        <f t="shared" ref="BW50:CG50" si="90">SUM(BW29:BW46)</f>
        <v>27268.538792847521</v>
      </c>
      <c r="BX50" s="58">
        <f t="shared" si="90"/>
        <v>34357.668832234456</v>
      </c>
      <c r="BY50" s="58">
        <f t="shared" si="90"/>
        <v>29626.958292847525</v>
      </c>
      <c r="BZ50" s="58">
        <f t="shared" si="90"/>
        <v>34139.121332234456</v>
      </c>
      <c r="CA50" s="58">
        <f t="shared" si="90"/>
        <v>39503.881972643161</v>
      </c>
      <c r="CB50" s="58">
        <f t="shared" si="90"/>
        <v>45728.836911008315</v>
      </c>
      <c r="CC50" s="58">
        <f t="shared" si="90"/>
        <v>32260.226972643166</v>
      </c>
      <c r="CD50" s="58">
        <f t="shared" si="90"/>
        <v>33331.522972643164</v>
      </c>
      <c r="CE50" s="58">
        <f t="shared" si="90"/>
        <v>35213.881472643166</v>
      </c>
      <c r="CF50" s="58">
        <f t="shared" si="90"/>
        <v>46168.878068556034</v>
      </c>
      <c r="CG50" s="58">
        <f t="shared" si="90"/>
        <v>57905.502691825735</v>
      </c>
      <c r="CH50" s="58">
        <f>SUM(BV50:CG50)</f>
        <v>451302.93078476982</v>
      </c>
      <c r="CI50" s="395">
        <f>(CH50-BT59)/BT59</f>
        <v>5.1833718555945915E-2</v>
      </c>
      <c r="CJ50" s="58">
        <v>35797.912472643162</v>
      </c>
      <c r="CK50" s="58">
        <v>27268.538792847521</v>
      </c>
      <c r="CL50" s="58">
        <v>34357.668832234456</v>
      </c>
      <c r="CM50" s="58">
        <v>29626.958292847525</v>
      </c>
      <c r="CN50" s="58">
        <v>34139.121332234456</v>
      </c>
      <c r="CO50" s="58">
        <v>39503.881972643161</v>
      </c>
      <c r="CP50" s="58">
        <v>45728.836911008315</v>
      </c>
      <c r="CQ50" s="58">
        <v>32260.226972643166</v>
      </c>
      <c r="CR50" s="58">
        <v>33331.522972643164</v>
      </c>
      <c r="CS50" s="58">
        <v>35213.881472643166</v>
      </c>
      <c r="CT50" s="58">
        <v>46168.878068556034</v>
      </c>
      <c r="CU50" s="58">
        <v>57905.502691825735</v>
      </c>
      <c r="CV50" s="58">
        <v>451302.93078476982</v>
      </c>
    </row>
    <row r="51" spans="1:100">
      <c r="A51" s="99"/>
      <c r="B51" s="451" t="s">
        <v>73</v>
      </c>
      <c r="C51" s="328"/>
      <c r="D51" s="301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302"/>
      <c r="Q51" s="74"/>
      <c r="R51" s="301"/>
      <c r="S51" s="69"/>
      <c r="T51" s="69"/>
      <c r="U51" s="69"/>
      <c r="V51" s="303"/>
      <c r="W51" s="304"/>
      <c r="X51" s="304"/>
      <c r="Y51" s="304"/>
      <c r="Z51" s="304"/>
      <c r="AA51" s="304"/>
      <c r="AB51" s="304"/>
      <c r="AC51" s="75"/>
      <c r="AD51" s="76"/>
      <c r="AE51" s="77"/>
      <c r="AF51" s="305"/>
      <c r="AG51" s="69"/>
      <c r="AH51" s="69"/>
      <c r="AI51" s="69"/>
      <c r="AJ51" s="303"/>
      <c r="AK51" s="303"/>
      <c r="AL51" s="303"/>
      <c r="AM51" s="303"/>
      <c r="AN51" s="69"/>
      <c r="AO51" s="69"/>
      <c r="AP51" s="69"/>
      <c r="AQ51" s="69"/>
      <c r="AR51" s="306"/>
      <c r="AS51" s="77"/>
      <c r="AT51" s="69"/>
      <c r="AU51" s="69"/>
      <c r="AV51" s="69"/>
      <c r="AW51" s="69"/>
      <c r="AX51" s="69"/>
      <c r="AY51" s="69">
        <v>15000</v>
      </c>
      <c r="AZ51" s="69">
        <v>15000</v>
      </c>
      <c r="BA51" s="69">
        <f t="shared" ref="BA51:BB51" si="91">BA50*70%</f>
        <v>21802.199999999997</v>
      </c>
      <c r="BB51" s="69">
        <f t="shared" si="91"/>
        <v>22841</v>
      </c>
      <c r="BC51" s="69">
        <v>35000</v>
      </c>
      <c r="BD51" s="69">
        <v>35000</v>
      </c>
      <c r="BE51" s="69">
        <v>42000</v>
      </c>
      <c r="BF51" s="69">
        <f t="shared" si="76"/>
        <v>186643.20000000001</v>
      </c>
      <c r="BG51" s="77"/>
      <c r="BH51" s="69">
        <f t="shared" ref="BH51:BM51" si="92">BH50*0.8</f>
        <v>28922.400000000001</v>
      </c>
      <c r="BI51" s="69">
        <f t="shared" si="92"/>
        <v>28231.200000000001</v>
      </c>
      <c r="BJ51" s="69">
        <f t="shared" si="92"/>
        <v>28697.600000000002</v>
      </c>
      <c r="BK51" s="69">
        <f t="shared" si="92"/>
        <v>30424.800000000003</v>
      </c>
      <c r="BL51" s="69">
        <f t="shared" si="92"/>
        <v>30856</v>
      </c>
      <c r="BM51" s="69">
        <f t="shared" si="92"/>
        <v>31381.600000000002</v>
      </c>
      <c r="BN51" s="69">
        <f>BN50*0.85</f>
        <v>34958.799999999996</v>
      </c>
      <c r="BO51" s="69">
        <v>29000</v>
      </c>
      <c r="BP51" s="69">
        <v>40223</v>
      </c>
      <c r="BQ51" s="69">
        <v>36735</v>
      </c>
      <c r="BR51" s="69">
        <v>36933</v>
      </c>
      <c r="BS51" s="69">
        <v>52283</v>
      </c>
      <c r="BT51" s="69">
        <f t="shared" si="89"/>
        <v>408646.40000000002</v>
      </c>
      <c r="BU51" s="28"/>
      <c r="BV51" s="69">
        <v>32000</v>
      </c>
      <c r="BW51" s="69">
        <v>32000</v>
      </c>
      <c r="BX51" s="69">
        <v>37000</v>
      </c>
      <c r="BY51" s="69">
        <v>32000</v>
      </c>
      <c r="BZ51" s="69">
        <v>35000</v>
      </c>
      <c r="CA51" s="69">
        <v>35000</v>
      </c>
      <c r="CB51" s="69">
        <v>35000</v>
      </c>
      <c r="CC51" s="69">
        <f>CC50*1</f>
        <v>32260.226972643166</v>
      </c>
      <c r="CD51" s="69">
        <f>CD50*1</f>
        <v>33331.522972643164</v>
      </c>
      <c r="CE51" s="69">
        <f>CE50</f>
        <v>35213.881472643166</v>
      </c>
      <c r="CF51" s="69">
        <v>40000</v>
      </c>
      <c r="CG51" s="69">
        <v>60000</v>
      </c>
      <c r="CH51" s="69"/>
      <c r="CI51" s="395"/>
      <c r="CJ51" s="69">
        <v>28638.329978114532</v>
      </c>
      <c r="CK51" s="69">
        <v>21814.831034278017</v>
      </c>
      <c r="CL51" s="69">
        <v>27486.135065787566</v>
      </c>
      <c r="CM51" s="69">
        <v>23701.566634278021</v>
      </c>
      <c r="CN51" s="69">
        <v>27311.297065787567</v>
      </c>
      <c r="CO51" s="69">
        <v>31603.10557811453</v>
      </c>
      <c r="CP51" s="69">
        <v>36583.069528806656</v>
      </c>
      <c r="CQ51" s="69">
        <v>25808.181578114534</v>
      </c>
      <c r="CR51" s="69">
        <v>26665.218378114532</v>
      </c>
      <c r="CS51" s="69">
        <v>28171.105178114536</v>
      </c>
      <c r="CT51" s="69">
        <v>36935.102454844826</v>
      </c>
      <c r="CU51" s="69">
        <v>46324.402153460593</v>
      </c>
      <c r="CV51" s="69"/>
    </row>
    <row r="52" spans="1:100" ht="14.25" customHeight="1">
      <c r="A52" s="55" t="s">
        <v>74</v>
      </c>
      <c r="B52" s="56"/>
      <c r="C52" s="280"/>
      <c r="D52" s="288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289"/>
      <c r="Q52" s="39"/>
      <c r="R52" s="288"/>
      <c r="S52" s="58"/>
      <c r="T52" s="58"/>
      <c r="U52" s="58"/>
      <c r="V52" s="58"/>
      <c r="W52" s="290"/>
      <c r="X52" s="290"/>
      <c r="Y52" s="290"/>
      <c r="Z52" s="290"/>
      <c r="AA52" s="290"/>
      <c r="AB52" s="290"/>
      <c r="AC52" s="290"/>
      <c r="AD52" s="291"/>
      <c r="AE52" s="59"/>
      <c r="AF52" s="292"/>
      <c r="AG52" s="58"/>
      <c r="AH52" s="58"/>
      <c r="AI52" s="58"/>
      <c r="AJ52" s="58"/>
      <c r="AK52" s="58"/>
      <c r="AL52" s="58">
        <f>AL50/AVERAGE($AF$50:$AQ$50)</f>
        <v>1.2614511225503295</v>
      </c>
      <c r="AM52" s="58"/>
      <c r="AN52" s="58"/>
      <c r="AO52" s="58"/>
      <c r="AP52" s="58">
        <f t="shared" ref="AP52:AQ52" si="93">AP50/AVERAGE($AF$50:$AQ$50)</f>
        <v>1.2293854585238704</v>
      </c>
      <c r="AQ52" s="58">
        <f t="shared" si="93"/>
        <v>1.6468441033966412</v>
      </c>
      <c r="AR52" s="58"/>
      <c r="AS52" s="59"/>
      <c r="AT52" s="58">
        <v>109190</v>
      </c>
      <c r="AU52" s="58">
        <v>153667</v>
      </c>
      <c r="AV52" s="58">
        <v>178778</v>
      </c>
      <c r="AW52" s="58">
        <v>151970</v>
      </c>
      <c r="AX52" s="58">
        <v>142416</v>
      </c>
      <c r="AY52" s="58">
        <v>177335</v>
      </c>
      <c r="AZ52" s="58">
        <v>152230</v>
      </c>
      <c r="BA52" s="58">
        <v>245527</v>
      </c>
      <c r="BB52" s="58">
        <f>5261504/27</f>
        <v>194870.51851851851</v>
      </c>
      <c r="BC52" s="58">
        <f>5784000/27</f>
        <v>214222.22222222222</v>
      </c>
      <c r="BD52" s="58">
        <f>3224000/27</f>
        <v>119407.4074074074</v>
      </c>
      <c r="BE52" s="58">
        <f>909800/27</f>
        <v>33696.296296296299</v>
      </c>
      <c r="BF52" s="58">
        <f t="shared" si="76"/>
        <v>1873309.4444444445</v>
      </c>
      <c r="BG52" s="59"/>
      <c r="BH52" s="58">
        <v>156208</v>
      </c>
      <c r="BI52" s="58">
        <v>147340</v>
      </c>
      <c r="BJ52" s="58">
        <v>166759</v>
      </c>
      <c r="BK52" s="58">
        <v>152352</v>
      </c>
      <c r="BL52" s="58">
        <v>128446</v>
      </c>
      <c r="BM52" s="58">
        <v>126790</v>
      </c>
      <c r="BN52" s="58">
        <v>173761</v>
      </c>
      <c r="BO52" s="58">
        <f>144510.599073001+BO51</f>
        <v>173510.59907300101</v>
      </c>
      <c r="BP52" s="58">
        <f>162574.422556972+BP51</f>
        <v>202797.42255697199</v>
      </c>
      <c r="BQ52" s="58">
        <f>166187.186558517+BQ51</f>
        <v>202922.18655851699</v>
      </c>
      <c r="BR52" s="58">
        <f>BQ27+BR23*0.6</f>
        <v>232502.36</v>
      </c>
      <c r="BS52" s="58">
        <f>BR23*0.4+BS23*0.5</f>
        <v>116391.04000000001</v>
      </c>
      <c r="BT52" s="58">
        <f t="shared" si="89"/>
        <v>1979779.6081884899</v>
      </c>
      <c r="BU52" s="60"/>
      <c r="BV52" s="58">
        <v>98000</v>
      </c>
      <c r="BW52" s="58">
        <f>BW51+BW27</f>
        <v>157566.83045180296</v>
      </c>
      <c r="BX52" s="58">
        <f t="shared" ref="BX52" si="94">BX51+BX27</f>
        <v>197961.53846153844</v>
      </c>
      <c r="BY52" s="58">
        <f t="shared" ref="BY52:CG52" si="95">BK52</f>
        <v>152352</v>
      </c>
      <c r="BZ52" s="58">
        <v>153232</v>
      </c>
      <c r="CA52" s="58">
        <f t="shared" si="95"/>
        <v>126790</v>
      </c>
      <c r="CB52" s="58">
        <f t="shared" si="95"/>
        <v>173761</v>
      </c>
      <c r="CC52" s="58">
        <f t="shared" si="95"/>
        <v>173510.59907300101</v>
      </c>
      <c r="CD52" s="58">
        <f t="shared" si="95"/>
        <v>202797.42255697199</v>
      </c>
      <c r="CE52" s="58">
        <f t="shared" si="95"/>
        <v>202922.18655851699</v>
      </c>
      <c r="CF52" s="58">
        <f t="shared" si="95"/>
        <v>232502.36</v>
      </c>
      <c r="CG52" s="58">
        <f t="shared" si="95"/>
        <v>116391.04000000001</v>
      </c>
      <c r="CH52" s="58"/>
      <c r="CJ52" s="58">
        <v>98000</v>
      </c>
      <c r="CK52" s="58">
        <v>147381.66148608096</v>
      </c>
      <c r="CL52" s="58">
        <v>188447.673527326</v>
      </c>
      <c r="CM52" s="58">
        <v>152352</v>
      </c>
      <c r="CN52" s="58">
        <v>128446</v>
      </c>
      <c r="CO52" s="58">
        <v>126790</v>
      </c>
      <c r="CP52" s="58">
        <v>173761</v>
      </c>
      <c r="CQ52" s="58">
        <v>173510.59907300101</v>
      </c>
      <c r="CR52" s="58">
        <v>202797.42255697199</v>
      </c>
      <c r="CS52" s="58">
        <v>202922.18655851699</v>
      </c>
      <c r="CT52" s="58">
        <v>232502.36</v>
      </c>
      <c r="CU52" s="58">
        <v>116391.04000000001</v>
      </c>
      <c r="CV52" s="58"/>
    </row>
    <row r="53" spans="1:100">
      <c r="A53" s="101" t="s">
        <v>75</v>
      </c>
      <c r="B53" s="102"/>
      <c r="C53" s="260"/>
      <c r="D53" s="277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262"/>
      <c r="Q53" s="15"/>
      <c r="R53" s="277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263"/>
      <c r="AE53" s="16"/>
      <c r="AF53" s="261">
        <v>133791</v>
      </c>
      <c r="AG53" s="14">
        <v>166459</v>
      </c>
      <c r="AH53" s="14">
        <v>149450</v>
      </c>
      <c r="AI53" s="14">
        <v>151073</v>
      </c>
      <c r="AJ53" s="14">
        <v>192944</v>
      </c>
      <c r="AK53" s="14">
        <v>166139</v>
      </c>
      <c r="AL53" s="14">
        <v>151874</v>
      </c>
      <c r="AM53" s="14">
        <v>157771</v>
      </c>
      <c r="AN53" s="14">
        <v>200312</v>
      </c>
      <c r="AO53" s="14">
        <v>202691</v>
      </c>
      <c r="AP53" s="14">
        <v>207768</v>
      </c>
      <c r="AQ53" s="14">
        <v>113286</v>
      </c>
      <c r="AR53" s="14">
        <f>SUM(AF53:AK53)</f>
        <v>959856</v>
      </c>
      <c r="AS53" s="17"/>
      <c r="AT53" s="14">
        <v>89680</v>
      </c>
      <c r="AU53" s="14">
        <v>128308</v>
      </c>
      <c r="AV53" s="14">
        <v>144871</v>
      </c>
      <c r="AW53" s="32">
        <v>161772</v>
      </c>
      <c r="AX53" s="32">
        <v>144516</v>
      </c>
      <c r="AY53" s="32">
        <v>103667</v>
      </c>
      <c r="AZ53" s="32">
        <v>141023</v>
      </c>
      <c r="BA53" s="32">
        <v>172093</v>
      </c>
      <c r="BB53" s="32">
        <f>166606+10000</f>
        <v>176606</v>
      </c>
      <c r="BC53" s="32">
        <v>181091</v>
      </c>
      <c r="BD53" s="32">
        <v>169802</v>
      </c>
      <c r="BE53" s="32">
        <v>120406</v>
      </c>
      <c r="BF53" s="32">
        <f t="shared" si="76"/>
        <v>1733835</v>
      </c>
      <c r="BG53" s="17">
        <f>BG50/AR50</f>
        <v>9.9910256474894502E-2</v>
      </c>
      <c r="BH53" s="14">
        <v>78906</v>
      </c>
      <c r="BI53" s="14">
        <v>119296</v>
      </c>
      <c r="BJ53" s="14">
        <v>165286</v>
      </c>
      <c r="BK53" s="14">
        <v>144532</v>
      </c>
      <c r="BL53" s="32">
        <v>157691</v>
      </c>
      <c r="BM53" s="32">
        <v>129096</v>
      </c>
      <c r="BN53" s="32">
        <v>125800</v>
      </c>
      <c r="BO53" s="32">
        <v>176354</v>
      </c>
      <c r="BP53" s="32">
        <v>173554</v>
      </c>
      <c r="BQ53" s="32">
        <v>185766</v>
      </c>
      <c r="BR53" s="32"/>
      <c r="BS53" s="32"/>
      <c r="BT53" s="32">
        <f t="shared" si="89"/>
        <v>1456281</v>
      </c>
      <c r="BU53" s="28"/>
      <c r="BV53" s="14"/>
      <c r="BW53" s="14"/>
      <c r="BX53" s="14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J53" s="14"/>
      <c r="CK53" s="14"/>
      <c r="CL53" s="14"/>
      <c r="CM53" s="32"/>
      <c r="CN53" s="32"/>
      <c r="CO53" s="32"/>
      <c r="CP53" s="32"/>
      <c r="CQ53" s="32"/>
      <c r="CR53" s="32"/>
      <c r="CS53" s="32"/>
      <c r="CT53" s="32"/>
      <c r="CU53" s="32"/>
      <c r="CV53" s="32"/>
    </row>
    <row r="54" spans="1:100" ht="15.75">
      <c r="A54" s="103"/>
      <c r="B54" s="329" t="s">
        <v>76</v>
      </c>
      <c r="C54" s="330"/>
      <c r="D54" s="331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332"/>
      <c r="Q54" s="105"/>
      <c r="R54" s="333"/>
      <c r="S54" s="333"/>
      <c r="T54" s="333"/>
      <c r="U54" s="333"/>
      <c r="V54" s="333"/>
      <c r="W54" s="333"/>
      <c r="X54" s="333"/>
      <c r="Y54" s="333"/>
      <c r="Z54" s="333"/>
      <c r="AA54" s="333"/>
      <c r="AB54" s="333"/>
      <c r="AC54" s="333"/>
      <c r="AD54" s="334"/>
      <c r="AE54" s="106"/>
      <c r="AF54" s="333">
        <f t="shared" ref="AF54:AQ54" si="96">AF53-AF22</f>
        <v>133789.5653258567</v>
      </c>
      <c r="AG54" s="333">
        <f t="shared" si="96"/>
        <v>166455.02546723894</v>
      </c>
      <c r="AH54" s="333">
        <f t="shared" si="96"/>
        <v>149445.54627453614</v>
      </c>
      <c r="AI54" s="333">
        <f t="shared" si="96"/>
        <v>151069.82181047046</v>
      </c>
      <c r="AJ54" s="333">
        <f t="shared" si="96"/>
        <v>192941.24487749056</v>
      </c>
      <c r="AK54" s="333">
        <f t="shared" si="96"/>
        <v>166135.77020296719</v>
      </c>
      <c r="AL54" s="333">
        <f t="shared" si="96"/>
        <v>151871.64243647002</v>
      </c>
      <c r="AM54" s="333">
        <f t="shared" si="96"/>
        <v>157768.8586839418</v>
      </c>
      <c r="AN54" s="333">
        <f t="shared" si="96"/>
        <v>200310.09576397031</v>
      </c>
      <c r="AO54" s="333">
        <f t="shared" si="96"/>
        <v>202687.83135883085</v>
      </c>
      <c r="AP54" s="333">
        <f t="shared" si="96"/>
        <v>207762.85122649223</v>
      </c>
      <c r="AQ54" s="333">
        <f t="shared" si="96"/>
        <v>113282.51926932538</v>
      </c>
      <c r="AR54" s="107">
        <f t="shared" ref="AR54:AR62" si="97">SUM(AF54:AQ54)</f>
        <v>1993520.772697591</v>
      </c>
      <c r="AS54" s="106"/>
      <c r="AT54" s="333">
        <f t="shared" ref="AT54:BE54" si="98">AT53-AT52</f>
        <v>-19510</v>
      </c>
      <c r="AU54" s="333">
        <f t="shared" si="98"/>
        <v>-25359</v>
      </c>
      <c r="AV54" s="333">
        <f t="shared" si="98"/>
        <v>-33907</v>
      </c>
      <c r="AW54" s="333">
        <f t="shared" si="98"/>
        <v>9802</v>
      </c>
      <c r="AX54" s="333">
        <f t="shared" si="98"/>
        <v>2100</v>
      </c>
      <c r="AY54" s="333">
        <f t="shared" si="98"/>
        <v>-73668</v>
      </c>
      <c r="AZ54" s="333">
        <f t="shared" si="98"/>
        <v>-11207</v>
      </c>
      <c r="BA54" s="333">
        <f t="shared" si="98"/>
        <v>-73434</v>
      </c>
      <c r="BB54" s="333">
        <f t="shared" si="98"/>
        <v>-18264.518518518511</v>
      </c>
      <c r="BC54" s="333">
        <f t="shared" si="98"/>
        <v>-33131.222222222219</v>
      </c>
      <c r="BD54" s="333">
        <f t="shared" si="98"/>
        <v>50394.592592592599</v>
      </c>
      <c r="BE54" s="333">
        <f t="shared" si="98"/>
        <v>86709.703703703708</v>
      </c>
      <c r="BF54" s="108">
        <f t="shared" si="76"/>
        <v>-139474.44444444444</v>
      </c>
      <c r="BG54" s="106"/>
      <c r="BH54" s="333">
        <f t="shared" ref="BH54:BQ54" si="99">BH53-BH52</f>
        <v>-77302</v>
      </c>
      <c r="BI54" s="333">
        <f t="shared" si="99"/>
        <v>-28044</v>
      </c>
      <c r="BJ54" s="333">
        <f t="shared" si="99"/>
        <v>-1473</v>
      </c>
      <c r="BK54" s="333">
        <f t="shared" si="99"/>
        <v>-7820</v>
      </c>
      <c r="BL54" s="333">
        <f t="shared" si="99"/>
        <v>29245</v>
      </c>
      <c r="BM54" s="333">
        <f t="shared" si="99"/>
        <v>2306</v>
      </c>
      <c r="BN54" s="333">
        <f t="shared" si="99"/>
        <v>-47961</v>
      </c>
      <c r="BO54" s="333">
        <f t="shared" si="99"/>
        <v>2843.4009269989911</v>
      </c>
      <c r="BP54" s="333">
        <f t="shared" si="99"/>
        <v>-29243.422556971986</v>
      </c>
      <c r="BQ54" s="333">
        <f t="shared" si="99"/>
        <v>-17156.186558516987</v>
      </c>
      <c r="BR54" s="108"/>
      <c r="BS54" s="108"/>
      <c r="BT54" s="108">
        <f t="shared" si="89"/>
        <v>-174605.20818848998</v>
      </c>
      <c r="BU54" s="28"/>
      <c r="BV54" s="333"/>
      <c r="BW54" s="333"/>
      <c r="BX54" s="333"/>
      <c r="BY54" s="333"/>
      <c r="BZ54" s="108"/>
      <c r="CA54" s="108"/>
      <c r="CB54" s="108"/>
      <c r="CC54" s="108"/>
      <c r="CD54" s="108"/>
      <c r="CE54" s="108"/>
      <c r="CF54" s="108"/>
      <c r="CG54" s="108"/>
      <c r="CH54" s="108"/>
      <c r="CJ54" s="333"/>
      <c r="CK54" s="333"/>
      <c r="CL54" s="333"/>
      <c r="CM54" s="333"/>
      <c r="CN54" s="108"/>
      <c r="CO54" s="108"/>
      <c r="CP54" s="108"/>
      <c r="CQ54" s="108"/>
      <c r="CR54" s="108"/>
      <c r="CS54" s="108"/>
      <c r="CT54" s="108"/>
      <c r="CU54" s="108"/>
      <c r="CV54" s="108"/>
    </row>
    <row r="55" spans="1:100" ht="15.75" customHeight="1">
      <c r="A55" s="94">
        <v>5</v>
      </c>
      <c r="B55" s="210" t="s">
        <v>77</v>
      </c>
      <c r="C55" s="335"/>
      <c r="D55" s="313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>
        <v>0</v>
      </c>
      <c r="P55" s="314">
        <f>SUM(D55:O55)</f>
        <v>0</v>
      </c>
      <c r="Q55" s="90"/>
      <c r="R55" s="313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315">
        <f>SUM(R55:AC55)</f>
        <v>0</v>
      </c>
      <c r="AE55" s="23"/>
      <c r="AF55" s="316">
        <v>0</v>
      </c>
      <c r="AG55" s="91">
        <v>0</v>
      </c>
      <c r="AH55" s="91">
        <v>0</v>
      </c>
      <c r="AI55" s="91">
        <v>0</v>
      </c>
      <c r="AJ55" s="91">
        <v>0</v>
      </c>
      <c r="AK55" s="91">
        <v>0</v>
      </c>
      <c r="AL55" s="91">
        <v>0</v>
      </c>
      <c r="AM55" s="91">
        <v>0</v>
      </c>
      <c r="AN55" s="91">
        <v>0</v>
      </c>
      <c r="AO55" s="91">
        <v>0</v>
      </c>
      <c r="AP55" s="91"/>
      <c r="AQ55" s="91">
        <v>8938</v>
      </c>
      <c r="AR55" s="92">
        <f t="shared" si="97"/>
        <v>8938</v>
      </c>
      <c r="AS55" s="23"/>
      <c r="AT55" s="91">
        <v>106642</v>
      </c>
      <c r="AU55" s="91">
        <v>90699</v>
      </c>
      <c r="AV55" s="91">
        <v>89681</v>
      </c>
      <c r="AW55" s="91">
        <v>58790</v>
      </c>
      <c r="AX55" s="91">
        <v>35520</v>
      </c>
      <c r="AY55" s="91">
        <v>61551</v>
      </c>
      <c r="AZ55" s="91">
        <v>71511</v>
      </c>
      <c r="BA55" s="91">
        <v>63617</v>
      </c>
      <c r="BB55" s="91">
        <v>66748</v>
      </c>
      <c r="BC55" s="91">
        <v>75532</v>
      </c>
      <c r="BD55" s="91">
        <v>37786</v>
      </c>
      <c r="BE55" s="91">
        <v>4503</v>
      </c>
      <c r="BF55" s="91">
        <f t="shared" si="76"/>
        <v>762580</v>
      </c>
      <c r="BG55" s="27"/>
      <c r="BH55" s="91">
        <v>69404</v>
      </c>
      <c r="BI55" s="91">
        <v>80412</v>
      </c>
      <c r="BJ55" s="91">
        <v>94386</v>
      </c>
      <c r="BK55" s="91">
        <v>78313</v>
      </c>
      <c r="BL55" s="91">
        <v>47034</v>
      </c>
      <c r="BM55" s="91">
        <v>50851</v>
      </c>
      <c r="BN55" s="91">
        <v>93202</v>
      </c>
      <c r="BO55" s="91">
        <v>100687</v>
      </c>
      <c r="BP55" s="91">
        <v>127995</v>
      </c>
      <c r="BQ55" s="91">
        <v>122686</v>
      </c>
      <c r="BR55" s="91"/>
      <c r="BS55" s="91"/>
      <c r="BT55" s="91"/>
      <c r="BU55" s="28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1"/>
      <c r="CH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/>
      <c r="CV55" s="91"/>
    </row>
    <row r="56" spans="1:100">
      <c r="A56" s="13" t="s">
        <v>78</v>
      </c>
      <c r="B56" s="259"/>
      <c r="C56" s="260"/>
      <c r="D56" s="277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262"/>
      <c r="Q56" s="15"/>
      <c r="R56" s="277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263"/>
      <c r="AE56" s="16"/>
      <c r="AF56" s="261">
        <f t="shared" ref="AF56:AQ56" si="100">AF57+AF59</f>
        <v>118364</v>
      </c>
      <c r="AG56" s="261">
        <f t="shared" si="100"/>
        <v>173742</v>
      </c>
      <c r="AH56" s="261">
        <f t="shared" si="100"/>
        <v>73470</v>
      </c>
      <c r="AI56" s="261">
        <f t="shared" si="100"/>
        <v>87377</v>
      </c>
      <c r="AJ56" s="261">
        <f t="shared" si="100"/>
        <v>119657</v>
      </c>
      <c r="AK56" s="261">
        <f t="shared" si="100"/>
        <v>154747</v>
      </c>
      <c r="AL56" s="261">
        <f t="shared" si="100"/>
        <v>138073</v>
      </c>
      <c r="AM56" s="261">
        <f t="shared" si="100"/>
        <v>180773</v>
      </c>
      <c r="AN56" s="261">
        <f t="shared" si="100"/>
        <v>194598</v>
      </c>
      <c r="AO56" s="261">
        <f t="shared" si="100"/>
        <v>242931</v>
      </c>
      <c r="AP56" s="261">
        <f t="shared" si="100"/>
        <v>107346</v>
      </c>
      <c r="AQ56" s="261">
        <f t="shared" si="100"/>
        <v>87384</v>
      </c>
      <c r="AR56" s="14">
        <f t="shared" si="97"/>
        <v>1678462</v>
      </c>
      <c r="AS56" s="17"/>
      <c r="AT56" s="261">
        <f t="shared" ref="AT56:BE56" si="101">AT57+AT59</f>
        <v>155346</v>
      </c>
      <c r="AU56" s="261">
        <f t="shared" si="101"/>
        <v>123370</v>
      </c>
      <c r="AV56" s="261">
        <f t="shared" si="101"/>
        <v>144065</v>
      </c>
      <c r="AW56" s="261">
        <f t="shared" si="101"/>
        <v>127865</v>
      </c>
      <c r="AX56" s="261">
        <f t="shared" si="101"/>
        <v>123461</v>
      </c>
      <c r="AY56" s="261">
        <f t="shared" si="101"/>
        <v>121196</v>
      </c>
      <c r="AZ56" s="261">
        <f t="shared" si="101"/>
        <v>168029</v>
      </c>
      <c r="BA56" s="261">
        <f t="shared" si="101"/>
        <v>164268</v>
      </c>
      <c r="BB56" s="261">
        <f t="shared" si="101"/>
        <v>185112</v>
      </c>
      <c r="BC56" s="261">
        <f t="shared" si="101"/>
        <v>147235</v>
      </c>
      <c r="BD56" s="261">
        <f t="shared" si="101"/>
        <v>135608</v>
      </c>
      <c r="BE56" s="261">
        <f t="shared" si="101"/>
        <v>90194</v>
      </c>
      <c r="BF56" s="32">
        <f t="shared" si="76"/>
        <v>1685749</v>
      </c>
      <c r="BG56" s="35">
        <f t="shared" ref="BG56:BG57" si="102">BF56/AR56-1</f>
        <v>4.3414745165515356E-3</v>
      </c>
      <c r="BH56" s="261">
        <f>BH57+BH59</f>
        <v>144332</v>
      </c>
      <c r="BI56" s="261">
        <f t="shared" ref="BI56:BQ56" si="103">BI57+BI59</f>
        <v>128781</v>
      </c>
      <c r="BJ56" s="261">
        <f t="shared" si="103"/>
        <v>193129</v>
      </c>
      <c r="BK56" s="261">
        <f t="shared" si="103"/>
        <v>106092</v>
      </c>
      <c r="BL56" s="261">
        <f t="shared" si="103"/>
        <v>132638</v>
      </c>
      <c r="BM56" s="261">
        <f t="shared" si="103"/>
        <v>139193</v>
      </c>
      <c r="BN56" s="261">
        <f t="shared" si="103"/>
        <v>173703</v>
      </c>
      <c r="BO56" s="261">
        <f t="shared" si="103"/>
        <v>186902</v>
      </c>
      <c r="BP56" s="261">
        <f t="shared" si="103"/>
        <v>200686</v>
      </c>
      <c r="BQ56" s="261">
        <f t="shared" si="103"/>
        <v>191324</v>
      </c>
      <c r="BR56" s="14"/>
      <c r="BS56" s="14"/>
      <c r="BT56" s="14">
        <f t="shared" ref="BT56:BT61" si="104">SUM(BH56:BS56)</f>
        <v>1596780</v>
      </c>
      <c r="BU56" s="18"/>
      <c r="BV56" s="261"/>
      <c r="BW56" s="261"/>
      <c r="BX56" s="261"/>
      <c r="BY56" s="261"/>
      <c r="BZ56" s="14"/>
      <c r="CA56" s="14"/>
      <c r="CB56" s="14"/>
      <c r="CC56" s="14"/>
      <c r="CD56" s="14"/>
      <c r="CE56" s="14"/>
      <c r="CF56" s="14"/>
      <c r="CG56" s="14"/>
      <c r="CH56" s="14"/>
      <c r="CJ56" s="261"/>
      <c r="CK56" s="261"/>
      <c r="CL56" s="261"/>
      <c r="CM56" s="261"/>
      <c r="CN56" s="14"/>
      <c r="CO56" s="14"/>
      <c r="CP56" s="14"/>
      <c r="CQ56" s="14"/>
      <c r="CR56" s="14"/>
      <c r="CS56" s="14"/>
      <c r="CT56" s="14"/>
      <c r="CU56" s="14"/>
      <c r="CV56" s="14"/>
    </row>
    <row r="57" spans="1:100" ht="15.75" customHeight="1">
      <c r="A57" s="210"/>
      <c r="B57" s="210" t="s">
        <v>79</v>
      </c>
      <c r="C57" s="316"/>
      <c r="D57" s="313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314"/>
      <c r="Q57" s="90"/>
      <c r="R57" s="313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315"/>
      <c r="AE57" s="23"/>
      <c r="AF57" s="316">
        <v>92193</v>
      </c>
      <c r="AG57" s="91">
        <v>152006</v>
      </c>
      <c r="AH57" s="91">
        <v>62734</v>
      </c>
      <c r="AI57" s="91">
        <v>71526</v>
      </c>
      <c r="AJ57" s="91">
        <v>89409</v>
      </c>
      <c r="AK57" s="91">
        <v>120675</v>
      </c>
      <c r="AL57" s="91">
        <v>100592</v>
      </c>
      <c r="AM57" s="91">
        <v>148128</v>
      </c>
      <c r="AN57" s="91">
        <v>164346</v>
      </c>
      <c r="AO57" s="91">
        <v>203437</v>
      </c>
      <c r="AP57" s="91">
        <v>64957</v>
      </c>
      <c r="AQ57" s="91">
        <v>31837</v>
      </c>
      <c r="AR57" s="92">
        <f t="shared" si="97"/>
        <v>1301840</v>
      </c>
      <c r="AS57" s="23"/>
      <c r="AT57" s="91">
        <v>125048</v>
      </c>
      <c r="AU57" s="91">
        <v>96006</v>
      </c>
      <c r="AV57" s="91">
        <v>111470</v>
      </c>
      <c r="AW57" s="91">
        <v>99222</v>
      </c>
      <c r="AX57" s="91">
        <v>91253</v>
      </c>
      <c r="AY57" s="91">
        <v>90595</v>
      </c>
      <c r="AZ57" s="91">
        <v>129147</v>
      </c>
      <c r="BA57" s="91">
        <v>133525</v>
      </c>
      <c r="BB57" s="91">
        <v>159291</v>
      </c>
      <c r="BC57" s="91">
        <v>115573</v>
      </c>
      <c r="BD57" s="91">
        <v>98386</v>
      </c>
      <c r="BE57" s="91">
        <v>36527</v>
      </c>
      <c r="BF57" s="91">
        <f t="shared" si="76"/>
        <v>1286043</v>
      </c>
      <c r="BG57" s="93">
        <f t="shared" si="102"/>
        <v>-1.2134363669882631E-2</v>
      </c>
      <c r="BH57" s="91">
        <v>110235</v>
      </c>
      <c r="BI57" s="91">
        <v>103047</v>
      </c>
      <c r="BJ57" s="91">
        <v>158855</v>
      </c>
      <c r="BK57" s="91">
        <v>77254</v>
      </c>
      <c r="BL57" s="91">
        <v>99853</v>
      </c>
      <c r="BM57" s="91">
        <v>100723</v>
      </c>
      <c r="BN57" s="91">
        <v>125338</v>
      </c>
      <c r="BO57" s="91">
        <v>153622</v>
      </c>
      <c r="BP57" s="91">
        <v>166483</v>
      </c>
      <c r="BQ57" s="91">
        <v>156140</v>
      </c>
      <c r="BR57" s="91">
        <v>111391</v>
      </c>
      <c r="BS57" s="91">
        <v>26768</v>
      </c>
      <c r="BT57" s="91">
        <f t="shared" si="104"/>
        <v>1389709</v>
      </c>
      <c r="BU57" s="28"/>
      <c r="BV57" s="91">
        <v>54245</v>
      </c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J57" s="91">
        <v>54245</v>
      </c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</row>
    <row r="58" spans="1:100" ht="15.75">
      <c r="A58" s="103"/>
      <c r="B58" s="329" t="s">
        <v>279</v>
      </c>
      <c r="C58" s="330"/>
      <c r="D58" s="331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332"/>
      <c r="Q58" s="105"/>
      <c r="R58" s="333"/>
      <c r="S58" s="333"/>
      <c r="T58" s="333"/>
      <c r="U58" s="333"/>
      <c r="V58" s="333"/>
      <c r="W58" s="333"/>
      <c r="X58" s="333"/>
      <c r="Y58" s="333"/>
      <c r="Z58" s="333"/>
      <c r="AA58" s="333"/>
      <c r="AB58" s="333"/>
      <c r="AC58" s="333"/>
      <c r="AD58" s="334"/>
      <c r="AE58" s="106"/>
      <c r="AF58" s="333">
        <f t="shared" ref="AF58:AQ58" si="105">AF57-AF27</f>
        <v>2047</v>
      </c>
      <c r="AG58" s="333">
        <f t="shared" si="105"/>
        <v>-3571</v>
      </c>
      <c r="AH58" s="333">
        <f t="shared" si="105"/>
        <v>-219</v>
      </c>
      <c r="AI58" s="333">
        <f t="shared" si="105"/>
        <v>-1735</v>
      </c>
      <c r="AJ58" s="333">
        <f t="shared" si="105"/>
        <v>-2447</v>
      </c>
      <c r="AK58" s="333">
        <f t="shared" si="105"/>
        <v>675</v>
      </c>
      <c r="AL58" s="333">
        <f t="shared" si="105"/>
        <v>-9703</v>
      </c>
      <c r="AM58" s="333">
        <f t="shared" si="105"/>
        <v>-52075</v>
      </c>
      <c r="AN58" s="333">
        <f t="shared" si="105"/>
        <v>-59487.333333333343</v>
      </c>
      <c r="AO58" s="333">
        <f t="shared" si="105"/>
        <v>-15063</v>
      </c>
      <c r="AP58" s="333">
        <f t="shared" si="105"/>
        <v>-23043</v>
      </c>
      <c r="AQ58" s="333">
        <f t="shared" si="105"/>
        <v>-11563</v>
      </c>
      <c r="AR58" s="107">
        <f t="shared" si="97"/>
        <v>-176184.33333333334</v>
      </c>
      <c r="AS58" s="106"/>
      <c r="AT58" s="333">
        <f t="shared" ref="AT58:BE58" si="106">AT57-AT27</f>
        <v>8451.75</v>
      </c>
      <c r="AU58" s="333">
        <f t="shared" si="106"/>
        <v>-37227.103448275855</v>
      </c>
      <c r="AV58" s="333">
        <f t="shared" si="106"/>
        <v>-6779.1379310344782</v>
      </c>
      <c r="AW58" s="333">
        <f t="shared" si="106"/>
        <v>-22342.137931034478</v>
      </c>
      <c r="AX58" s="333">
        <f t="shared" si="106"/>
        <v>4719.0344827586232</v>
      </c>
      <c r="AY58" s="333">
        <f t="shared" si="106"/>
        <v>-14182.777777777781</v>
      </c>
      <c r="AZ58" s="333">
        <f t="shared" si="106"/>
        <v>-6630.777777777781</v>
      </c>
      <c r="BA58" s="333">
        <f t="shared" si="106"/>
        <v>-77771.296296296292</v>
      </c>
      <c r="BB58" s="333">
        <f t="shared" si="106"/>
        <v>-51486.777777777781</v>
      </c>
      <c r="BC58" s="333">
        <f t="shared" si="106"/>
        <v>-99233.290755657828</v>
      </c>
      <c r="BD58" s="333">
        <f t="shared" si="106"/>
        <v>5175.413118527038</v>
      </c>
      <c r="BE58" s="333">
        <f t="shared" si="106"/>
        <v>5840.3870349060235</v>
      </c>
      <c r="BF58" s="108">
        <f t="shared" si="76"/>
        <v>-291466.71505944064</v>
      </c>
      <c r="BG58" s="106"/>
      <c r="BH58" s="333">
        <f t="shared" ref="BH58:BQ58" si="107">BH57-BH24</f>
        <v>-6365</v>
      </c>
      <c r="BI58" s="333">
        <f t="shared" si="107"/>
        <v>-8486.3333333333285</v>
      </c>
      <c r="BJ58" s="333">
        <f t="shared" si="107"/>
        <v>23180.925925925927</v>
      </c>
      <c r="BK58" s="333">
        <f t="shared" si="107"/>
        <v>-44486.740740740745</v>
      </c>
      <c r="BL58" s="333">
        <f t="shared" si="107"/>
        <v>5926.148148148146</v>
      </c>
      <c r="BM58" s="333">
        <f t="shared" si="107"/>
        <v>10043.740740740745</v>
      </c>
      <c r="BN58" s="333">
        <f t="shared" si="107"/>
        <v>-4917.555555555562</v>
      </c>
      <c r="BO58" s="333">
        <f t="shared" si="107"/>
        <v>3071.6218888889125</v>
      </c>
      <c r="BP58" s="333">
        <f t="shared" si="107"/>
        <v>4652.2504629629548</v>
      </c>
      <c r="BQ58" s="333">
        <f t="shared" si="107"/>
        <v>29010</v>
      </c>
      <c r="BR58" s="108"/>
      <c r="BS58" s="108"/>
      <c r="BT58" s="108">
        <f t="shared" si="104"/>
        <v>11629.05753703705</v>
      </c>
      <c r="BU58" s="28"/>
      <c r="BV58" s="333"/>
      <c r="BW58" s="333"/>
      <c r="BX58" s="333"/>
      <c r="BY58" s="333"/>
      <c r="BZ58" s="108"/>
      <c r="CA58" s="108"/>
      <c r="CB58" s="108"/>
      <c r="CC58" s="108"/>
      <c r="CD58" s="108"/>
      <c r="CE58" s="108"/>
      <c r="CF58" s="108"/>
      <c r="CG58" s="108"/>
      <c r="CH58" s="108"/>
      <c r="CJ58" s="333"/>
      <c r="CK58" s="333"/>
      <c r="CL58" s="333"/>
      <c r="CM58" s="333"/>
      <c r="CN58" s="108"/>
      <c r="CO58" s="108"/>
      <c r="CP58" s="108"/>
      <c r="CQ58" s="108"/>
      <c r="CR58" s="108"/>
      <c r="CS58" s="108"/>
      <c r="CT58" s="108"/>
      <c r="CU58" s="108"/>
      <c r="CV58" s="108"/>
    </row>
    <row r="59" spans="1:100" ht="15.75" customHeight="1">
      <c r="A59" s="94"/>
      <c r="B59" s="336" t="s">
        <v>81</v>
      </c>
      <c r="C59" s="335"/>
      <c r="D59" s="313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314"/>
      <c r="Q59" s="90"/>
      <c r="R59" s="316"/>
      <c r="S59" s="3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5"/>
      <c r="AE59" s="23"/>
      <c r="AF59" s="316">
        <v>26171</v>
      </c>
      <c r="AG59" s="316">
        <v>21736</v>
      </c>
      <c r="AH59" s="316">
        <v>10736</v>
      </c>
      <c r="AI59" s="316">
        <v>15851</v>
      </c>
      <c r="AJ59" s="316">
        <v>30248</v>
      </c>
      <c r="AK59" s="316">
        <v>34072</v>
      </c>
      <c r="AL59" s="316">
        <v>37481</v>
      </c>
      <c r="AM59" s="91">
        <v>32645</v>
      </c>
      <c r="AN59" s="91">
        <v>30252</v>
      </c>
      <c r="AO59" s="91">
        <v>39494</v>
      </c>
      <c r="AP59" s="91">
        <v>42389</v>
      </c>
      <c r="AQ59" s="91">
        <v>55547</v>
      </c>
      <c r="AR59" s="92">
        <f t="shared" si="97"/>
        <v>376622</v>
      </c>
      <c r="AS59" s="23"/>
      <c r="AT59" s="91">
        <v>30298</v>
      </c>
      <c r="AU59" s="91">
        <v>27364</v>
      </c>
      <c r="AV59" s="91">
        <v>32595</v>
      </c>
      <c r="AW59" s="91">
        <v>28643</v>
      </c>
      <c r="AX59" s="91">
        <v>32208</v>
      </c>
      <c r="AY59" s="91">
        <v>30601</v>
      </c>
      <c r="AZ59" s="91">
        <v>38882</v>
      </c>
      <c r="BA59" s="91">
        <v>30743</v>
      </c>
      <c r="BB59" s="91">
        <f>24621+1200</f>
        <v>25821</v>
      </c>
      <c r="BC59" s="91">
        <v>31662</v>
      </c>
      <c r="BD59" s="91">
        <v>37222</v>
      </c>
      <c r="BE59" s="91">
        <v>53667</v>
      </c>
      <c r="BF59" s="91">
        <f t="shared" si="76"/>
        <v>399706</v>
      </c>
      <c r="BG59" s="93">
        <f>BF59/AR59-1</f>
        <v>6.1292224033646425E-2</v>
      </c>
      <c r="BH59" s="91">
        <v>34097</v>
      </c>
      <c r="BI59" s="91">
        <v>25734</v>
      </c>
      <c r="BJ59" s="91">
        <v>34274</v>
      </c>
      <c r="BK59" s="91">
        <v>28838</v>
      </c>
      <c r="BL59" s="91">
        <v>32785</v>
      </c>
      <c r="BM59" s="91">
        <v>38470</v>
      </c>
      <c r="BN59" s="91">
        <v>48365</v>
      </c>
      <c r="BO59" s="91">
        <v>33280</v>
      </c>
      <c r="BP59" s="91">
        <v>34203</v>
      </c>
      <c r="BQ59" s="91">
        <v>35184</v>
      </c>
      <c r="BR59" s="91">
        <v>34873</v>
      </c>
      <c r="BS59" s="91">
        <v>48960</v>
      </c>
      <c r="BT59" s="91">
        <f t="shared" si="104"/>
        <v>429063</v>
      </c>
      <c r="BU59" s="28"/>
      <c r="BV59" s="91">
        <v>22115</v>
      </c>
      <c r="BW59" s="91"/>
      <c r="BX59" s="91"/>
      <c r="BY59" s="91"/>
      <c r="BZ59" s="91"/>
      <c r="CA59" s="91"/>
      <c r="CB59" s="91"/>
      <c r="CC59" s="91"/>
      <c r="CD59" s="91"/>
      <c r="CE59" s="91"/>
      <c r="CF59" s="91"/>
      <c r="CG59" s="91"/>
      <c r="CH59" s="91"/>
      <c r="CJ59" s="91">
        <v>22115</v>
      </c>
      <c r="CK59" s="91"/>
      <c r="CL59" s="91"/>
      <c r="CM59" s="91"/>
      <c r="CN59" s="91"/>
      <c r="CO59" s="91"/>
      <c r="CP59" s="91"/>
      <c r="CQ59" s="91"/>
      <c r="CR59" s="91"/>
      <c r="CS59" s="91"/>
      <c r="CT59" s="91"/>
      <c r="CU59" s="91"/>
      <c r="CV59" s="91"/>
    </row>
    <row r="60" spans="1:100" ht="15.75">
      <c r="A60" s="103"/>
      <c r="B60" s="329" t="s">
        <v>280</v>
      </c>
      <c r="C60" s="330"/>
      <c r="D60" s="331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332"/>
      <c r="Q60" s="105"/>
      <c r="R60" s="333"/>
      <c r="S60" s="333"/>
      <c r="T60" s="333"/>
      <c r="U60" s="333"/>
      <c r="V60" s="333"/>
      <c r="W60" s="333"/>
      <c r="X60" s="333"/>
      <c r="Y60" s="333"/>
      <c r="Z60" s="333"/>
      <c r="AA60" s="333"/>
      <c r="AB60" s="333"/>
      <c r="AC60" s="333"/>
      <c r="AD60" s="334"/>
      <c r="AE60" s="106"/>
      <c r="AF60" s="333">
        <f t="shared" ref="AF60:AQ60" si="108">AF59-AF50</f>
        <v>-12329</v>
      </c>
      <c r="AG60" s="333">
        <f t="shared" si="108"/>
        <v>-664</v>
      </c>
      <c r="AH60" s="333">
        <f t="shared" si="108"/>
        <v>65</v>
      </c>
      <c r="AI60" s="333">
        <f t="shared" si="108"/>
        <v>-246</v>
      </c>
      <c r="AJ60" s="333">
        <f t="shared" si="108"/>
        <v>-30</v>
      </c>
      <c r="AK60" s="333">
        <f t="shared" si="108"/>
        <v>5512</v>
      </c>
      <c r="AL60" s="333">
        <f t="shared" si="108"/>
        <v>-4219</v>
      </c>
      <c r="AM60" s="333">
        <f t="shared" si="108"/>
        <v>-6055</v>
      </c>
      <c r="AN60" s="333">
        <f t="shared" si="108"/>
        <v>-7048</v>
      </c>
      <c r="AO60" s="333">
        <f t="shared" si="108"/>
        <v>2094</v>
      </c>
      <c r="AP60" s="333">
        <f t="shared" si="108"/>
        <v>1749</v>
      </c>
      <c r="AQ60" s="333">
        <f t="shared" si="108"/>
        <v>1107</v>
      </c>
      <c r="AR60" s="107">
        <f t="shared" si="97"/>
        <v>-20064</v>
      </c>
      <c r="AS60" s="106"/>
      <c r="AT60" s="333">
        <f t="shared" ref="AT60:BE60" si="109">AT59-AT50</f>
        <v>-5855</v>
      </c>
      <c r="AU60" s="333">
        <f t="shared" si="109"/>
        <v>-7925</v>
      </c>
      <c r="AV60" s="333">
        <f t="shared" si="109"/>
        <v>-3277</v>
      </c>
      <c r="AW60" s="333">
        <f t="shared" si="109"/>
        <v>-9388</v>
      </c>
      <c r="AX60" s="333">
        <f t="shared" si="109"/>
        <v>-1358</v>
      </c>
      <c r="AY60" s="333">
        <f t="shared" si="109"/>
        <v>-2965</v>
      </c>
      <c r="AZ60" s="333">
        <f t="shared" si="109"/>
        <v>7986</v>
      </c>
      <c r="BA60" s="333">
        <f t="shared" si="109"/>
        <v>-403</v>
      </c>
      <c r="BB60" s="333">
        <f t="shared" si="109"/>
        <v>-6809</v>
      </c>
      <c r="BC60" s="333">
        <f t="shared" si="109"/>
        <v>-6900</v>
      </c>
      <c r="BD60" s="333">
        <f t="shared" si="109"/>
        <v>-4123</v>
      </c>
      <c r="BE60" s="333">
        <f t="shared" si="109"/>
        <v>4404</v>
      </c>
      <c r="BF60" s="108">
        <f t="shared" si="76"/>
        <v>-36613</v>
      </c>
      <c r="BG60" s="106"/>
      <c r="BH60" s="333">
        <f t="shared" ref="BH60:BQ60" si="110">BH59-BH50</f>
        <v>-2056</v>
      </c>
      <c r="BI60" s="333">
        <f t="shared" si="110"/>
        <v>-9555</v>
      </c>
      <c r="BJ60" s="333">
        <f t="shared" si="110"/>
        <v>-1598</v>
      </c>
      <c r="BK60" s="333">
        <f t="shared" si="110"/>
        <v>-9193</v>
      </c>
      <c r="BL60" s="333">
        <f t="shared" si="110"/>
        <v>-5785</v>
      </c>
      <c r="BM60" s="333">
        <f t="shared" si="110"/>
        <v>-757</v>
      </c>
      <c r="BN60" s="333">
        <f t="shared" si="110"/>
        <v>7237</v>
      </c>
      <c r="BO60" s="333">
        <f t="shared" si="110"/>
        <v>-4911</v>
      </c>
      <c r="BP60" s="333">
        <f t="shared" si="110"/>
        <v>-3988</v>
      </c>
      <c r="BQ60" s="333">
        <f t="shared" si="110"/>
        <v>-5041</v>
      </c>
      <c r="BR60" s="108"/>
      <c r="BS60" s="108"/>
      <c r="BT60" s="108">
        <f t="shared" si="104"/>
        <v>-35647</v>
      </c>
      <c r="BU60" s="28"/>
      <c r="BV60" s="333"/>
      <c r="BW60" s="333"/>
      <c r="BX60" s="333"/>
      <c r="BY60" s="333"/>
      <c r="BZ60" s="108"/>
      <c r="CA60" s="108"/>
      <c r="CB60" s="108"/>
      <c r="CC60" s="108"/>
      <c r="CD60" s="108"/>
      <c r="CE60" s="108"/>
      <c r="CF60" s="108"/>
      <c r="CG60" s="108"/>
      <c r="CH60" s="108"/>
      <c r="CJ60" s="333"/>
      <c r="CK60" s="333"/>
      <c r="CL60" s="333"/>
      <c r="CM60" s="333"/>
      <c r="CN60" s="108"/>
      <c r="CO60" s="108"/>
      <c r="CP60" s="108"/>
      <c r="CQ60" s="108"/>
      <c r="CR60" s="108"/>
      <c r="CS60" s="108"/>
      <c r="CT60" s="108"/>
      <c r="CU60" s="108"/>
      <c r="CV60" s="108"/>
    </row>
    <row r="61" spans="1:100" ht="15.75">
      <c r="A61" s="103" t="s">
        <v>83</v>
      </c>
      <c r="B61" s="337"/>
      <c r="C61" s="330"/>
      <c r="D61" s="331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332"/>
      <c r="Q61" s="105"/>
      <c r="R61" s="333"/>
      <c r="S61" s="333"/>
      <c r="T61" s="333"/>
      <c r="U61" s="333"/>
      <c r="V61" s="333"/>
      <c r="W61" s="333"/>
      <c r="X61" s="333"/>
      <c r="Y61" s="333"/>
      <c r="Z61" s="333"/>
      <c r="AA61" s="333"/>
      <c r="AB61" s="333"/>
      <c r="AC61" s="333"/>
      <c r="AD61" s="334"/>
      <c r="AE61" s="106"/>
      <c r="AF61" s="333">
        <f t="shared" ref="AF61:AQ62" si="111">AF56-AF23</f>
        <v>-10282</v>
      </c>
      <c r="AG61" s="333">
        <f t="shared" si="111"/>
        <v>-4235</v>
      </c>
      <c r="AH61" s="333">
        <f t="shared" si="111"/>
        <v>-154</v>
      </c>
      <c r="AI61" s="333">
        <f t="shared" si="111"/>
        <v>-1981</v>
      </c>
      <c r="AJ61" s="333">
        <f t="shared" si="111"/>
        <v>-2477</v>
      </c>
      <c r="AK61" s="333">
        <f t="shared" si="111"/>
        <v>6187</v>
      </c>
      <c r="AL61" s="333">
        <f t="shared" si="111"/>
        <v>-13922</v>
      </c>
      <c r="AM61" s="333">
        <f t="shared" si="111"/>
        <v>-58130</v>
      </c>
      <c r="AN61" s="333">
        <f t="shared" si="111"/>
        <v>-66535.333333333343</v>
      </c>
      <c r="AO61" s="333">
        <f t="shared" si="111"/>
        <v>-12969</v>
      </c>
      <c r="AP61" s="333">
        <f t="shared" si="111"/>
        <v>-21294</v>
      </c>
      <c r="AQ61" s="333">
        <f t="shared" si="111"/>
        <v>-10456</v>
      </c>
      <c r="AR61" s="107">
        <f t="shared" si="97"/>
        <v>-196248.33333333334</v>
      </c>
      <c r="AS61" s="106"/>
      <c r="AT61" s="333">
        <f t="shared" ref="AT61:BE61" si="112">AT56-AT23</f>
        <v>2596.75</v>
      </c>
      <c r="AU61" s="333">
        <f t="shared" si="112"/>
        <v>-45152.103448275855</v>
      </c>
      <c r="AV61" s="333">
        <f t="shared" si="112"/>
        <v>-10056.137931034493</v>
      </c>
      <c r="AW61" s="333">
        <f t="shared" si="112"/>
        <v>-31730.137931034493</v>
      </c>
      <c r="AX61" s="333">
        <f t="shared" si="112"/>
        <v>3361.0344827586232</v>
      </c>
      <c r="AY61" s="333">
        <f t="shared" si="112"/>
        <v>-17147.777777777781</v>
      </c>
      <c r="AZ61" s="333">
        <f t="shared" si="112"/>
        <v>1355.222222222219</v>
      </c>
      <c r="BA61" s="333">
        <f t="shared" si="112"/>
        <v>-78174.296296296292</v>
      </c>
      <c r="BB61" s="333">
        <f t="shared" si="112"/>
        <v>-58295.777777777781</v>
      </c>
      <c r="BC61" s="333">
        <f t="shared" si="112"/>
        <v>-106133.29075565783</v>
      </c>
      <c r="BD61" s="333">
        <f t="shared" si="112"/>
        <v>1052.413118527038</v>
      </c>
      <c r="BE61" s="333">
        <f t="shared" si="112"/>
        <v>17507.387034906016</v>
      </c>
      <c r="BF61" s="108">
        <f t="shared" si="76"/>
        <v>-320816.71505944064</v>
      </c>
      <c r="BG61" s="106"/>
      <c r="BH61" s="333">
        <f t="shared" ref="BH61:BQ61" si="113">BH56-BH23</f>
        <v>-8421</v>
      </c>
      <c r="BI61" s="333">
        <f t="shared" si="113"/>
        <v>-18041.333333333314</v>
      </c>
      <c r="BJ61" s="333">
        <f t="shared" si="113"/>
        <v>21582.925925925927</v>
      </c>
      <c r="BK61" s="333">
        <f t="shared" si="113"/>
        <v>-53679.74074074073</v>
      </c>
      <c r="BL61" s="333">
        <f t="shared" si="113"/>
        <v>141.14814814814599</v>
      </c>
      <c r="BM61" s="333">
        <f t="shared" si="113"/>
        <v>9286.7407407407445</v>
      </c>
      <c r="BN61" s="333">
        <f t="shared" si="113"/>
        <v>2319.444444444438</v>
      </c>
      <c r="BO61" s="333">
        <f t="shared" si="113"/>
        <v>7351.6218888889125</v>
      </c>
      <c r="BP61" s="333">
        <f t="shared" si="113"/>
        <v>-1367.7495370370452</v>
      </c>
      <c r="BQ61" s="333">
        <f t="shared" si="113"/>
        <v>27459</v>
      </c>
      <c r="BR61" s="108"/>
      <c r="BS61" s="108"/>
      <c r="BT61" s="108">
        <f t="shared" si="104"/>
        <v>-13368.942462962921</v>
      </c>
      <c r="BU61" s="28"/>
      <c r="BV61" s="333"/>
      <c r="BW61" s="333"/>
      <c r="BX61" s="333"/>
      <c r="BY61" s="333"/>
      <c r="BZ61" s="108"/>
      <c r="CA61" s="108"/>
      <c r="CB61" s="108"/>
      <c r="CC61" s="108"/>
      <c r="CD61" s="108"/>
      <c r="CE61" s="108"/>
      <c r="CF61" s="108"/>
      <c r="CG61" s="108"/>
      <c r="CH61" s="108"/>
      <c r="CJ61" s="333"/>
      <c r="CK61" s="333"/>
      <c r="CL61" s="333"/>
      <c r="CM61" s="333"/>
      <c r="CN61" s="108"/>
      <c r="CO61" s="108"/>
      <c r="CP61" s="108"/>
      <c r="CQ61" s="108"/>
      <c r="CR61" s="108"/>
      <c r="CS61" s="108"/>
      <c r="CT61" s="108"/>
      <c r="CU61" s="108"/>
      <c r="CV61" s="108"/>
    </row>
    <row r="62" spans="1:100" ht="15.75">
      <c r="A62" s="103" t="s">
        <v>85</v>
      </c>
      <c r="B62" s="337"/>
      <c r="C62" s="330"/>
      <c r="D62" s="331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332"/>
      <c r="Q62" s="105"/>
      <c r="R62" s="333"/>
      <c r="S62" s="333"/>
      <c r="T62" s="333"/>
      <c r="U62" s="333"/>
      <c r="V62" s="333"/>
      <c r="W62" s="333"/>
      <c r="X62" s="333"/>
      <c r="Y62" s="333"/>
      <c r="Z62" s="333"/>
      <c r="AA62" s="333"/>
      <c r="AB62" s="333"/>
      <c r="AC62" s="333"/>
      <c r="AD62" s="334"/>
      <c r="AE62" s="106"/>
      <c r="AF62" s="333">
        <f t="shared" si="111"/>
        <v>92193</v>
      </c>
      <c r="AG62" s="333">
        <f t="shared" si="111"/>
        <v>152006</v>
      </c>
      <c r="AH62" s="333">
        <f t="shared" si="111"/>
        <v>62734</v>
      </c>
      <c r="AI62" s="333">
        <f t="shared" si="111"/>
        <v>71526</v>
      </c>
      <c r="AJ62" s="333">
        <f t="shared" si="111"/>
        <v>89409</v>
      </c>
      <c r="AK62" s="333">
        <f t="shared" si="111"/>
        <v>120675</v>
      </c>
      <c r="AL62" s="333">
        <f t="shared" si="111"/>
        <v>100592</v>
      </c>
      <c r="AM62" s="333">
        <f t="shared" si="111"/>
        <v>148128</v>
      </c>
      <c r="AN62" s="333">
        <f t="shared" si="111"/>
        <v>164346</v>
      </c>
      <c r="AO62" s="333">
        <f t="shared" si="111"/>
        <v>203437</v>
      </c>
      <c r="AP62" s="333">
        <f t="shared" si="111"/>
        <v>64957</v>
      </c>
      <c r="AQ62" s="333">
        <f t="shared" si="111"/>
        <v>31837</v>
      </c>
      <c r="AR62" s="107">
        <f t="shared" si="97"/>
        <v>1301840</v>
      </c>
      <c r="AS62" s="106"/>
      <c r="AT62" s="338">
        <f t="shared" ref="AT62:BE62" si="114">AT61/AT23</f>
        <v>1.7000083470131603E-2</v>
      </c>
      <c r="AU62" s="338">
        <f t="shared" si="114"/>
        <v>-0.26792985919579565</v>
      </c>
      <c r="AV62" s="338">
        <f t="shared" si="114"/>
        <v>-6.5248272015318062E-2</v>
      </c>
      <c r="AW62" s="338">
        <f t="shared" si="114"/>
        <v>-0.19881644480138216</v>
      </c>
      <c r="AX62" s="338">
        <f t="shared" si="114"/>
        <v>2.798530764170884E-2</v>
      </c>
      <c r="AY62" s="338">
        <f t="shared" si="114"/>
        <v>-0.12395048084722922</v>
      </c>
      <c r="AZ62" s="338">
        <f t="shared" si="114"/>
        <v>8.1309864112464342E-3</v>
      </c>
      <c r="BA62" s="338">
        <f t="shared" si="114"/>
        <v>-0.32244495902957893</v>
      </c>
      <c r="BB62" s="338">
        <f t="shared" si="114"/>
        <v>-0.23949841829212068</v>
      </c>
      <c r="BC62" s="338">
        <f t="shared" si="114"/>
        <v>-0.41888939787658819</v>
      </c>
      <c r="BD62" s="338">
        <f t="shared" si="114"/>
        <v>7.8214003811977375E-3</v>
      </c>
      <c r="BE62" s="338">
        <f t="shared" si="114"/>
        <v>0.24086123043473662</v>
      </c>
      <c r="BF62" s="109">
        <f>AVERAGE(AT62:BE62)</f>
        <v>-0.11124823530991597</v>
      </c>
      <c r="BG62" s="106"/>
      <c r="BH62" s="338">
        <f t="shared" ref="BH62:BQ62" si="115">BH61/BH23</f>
        <v>-5.512821352117471E-2</v>
      </c>
      <c r="BI62" s="338">
        <f t="shared" si="115"/>
        <v>-0.12287867195499311</v>
      </c>
      <c r="BJ62" s="338">
        <f t="shared" si="115"/>
        <v>0.12581416416796784</v>
      </c>
      <c r="BK62" s="338">
        <f t="shared" si="115"/>
        <v>-0.33597769224938256</v>
      </c>
      <c r="BL62" s="338">
        <f t="shared" si="115"/>
        <v>1.0652943536044719E-3</v>
      </c>
      <c r="BM62" s="338">
        <f t="shared" si="115"/>
        <v>7.1488016002422286E-2</v>
      </c>
      <c r="BN62" s="338">
        <f t="shared" si="115"/>
        <v>1.3533646427895287E-2</v>
      </c>
      <c r="BO62" s="338">
        <f t="shared" si="115"/>
        <v>4.0944619366602007E-2</v>
      </c>
      <c r="BP62" s="338">
        <f t="shared" si="115"/>
        <v>-6.7692361075750926E-3</v>
      </c>
      <c r="BQ62" s="338">
        <f t="shared" si="115"/>
        <v>0.16757086626186191</v>
      </c>
      <c r="BR62" s="109"/>
      <c r="BS62" s="109"/>
      <c r="BT62" s="338">
        <f>BT61/BT23</f>
        <v>-7.1185036907011742E-3</v>
      </c>
      <c r="BU62" s="54"/>
      <c r="BV62" s="338"/>
      <c r="BW62" s="338"/>
      <c r="BX62" s="338"/>
      <c r="BY62" s="338"/>
      <c r="BZ62" s="109"/>
      <c r="CA62" s="109"/>
      <c r="CB62" s="109"/>
      <c r="CC62" s="109"/>
      <c r="CD62" s="109"/>
      <c r="CE62" s="109"/>
      <c r="CF62" s="109"/>
      <c r="CG62" s="109"/>
      <c r="CH62" s="109"/>
      <c r="CJ62" s="338"/>
      <c r="CK62" s="338"/>
      <c r="CL62" s="338"/>
      <c r="CM62" s="338"/>
      <c r="CN62" s="109"/>
      <c r="CO62" s="109"/>
      <c r="CP62" s="109"/>
      <c r="CQ62" s="109"/>
      <c r="CR62" s="109"/>
      <c r="CS62" s="109"/>
      <c r="CT62" s="109"/>
      <c r="CU62" s="109"/>
      <c r="CV62" s="109"/>
    </row>
    <row r="63" spans="1:100" ht="14.25" customHeight="1">
      <c r="A63" s="55" t="s">
        <v>86</v>
      </c>
      <c r="B63" s="56"/>
      <c r="C63" s="280"/>
      <c r="D63" s="288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289"/>
      <c r="Q63" s="39"/>
      <c r="R63" s="288"/>
      <c r="S63" s="58"/>
      <c r="T63" s="58"/>
      <c r="U63" s="58"/>
      <c r="V63" s="58"/>
      <c r="W63" s="290"/>
      <c r="X63" s="290"/>
      <c r="Y63" s="290"/>
      <c r="Z63" s="290"/>
      <c r="AA63" s="290"/>
      <c r="AB63" s="290"/>
      <c r="AC63" s="290"/>
      <c r="AD63" s="291"/>
      <c r="AE63" s="59"/>
      <c r="AF63" s="292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9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9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60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</row>
    <row r="64" spans="1:100" ht="14.25" customHeight="1">
      <c r="A64" s="55"/>
      <c r="B64" s="56" t="s">
        <v>288</v>
      </c>
      <c r="C64" s="280"/>
      <c r="D64" s="288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289"/>
      <c r="Q64" s="39"/>
      <c r="R64" s="288"/>
      <c r="S64" s="58"/>
      <c r="T64" s="58"/>
      <c r="U64" s="58"/>
      <c r="V64" s="58"/>
      <c r="W64" s="290"/>
      <c r="X64" s="290"/>
      <c r="Y64" s="290"/>
      <c r="Z64" s="290"/>
      <c r="AA64" s="290"/>
      <c r="AB64" s="290"/>
      <c r="AC64" s="290"/>
      <c r="AD64" s="291"/>
      <c r="AE64" s="59"/>
      <c r="AF64" s="292"/>
      <c r="AG64" s="292"/>
      <c r="AH64" s="292"/>
      <c r="AI64" s="292"/>
      <c r="AJ64" s="292"/>
      <c r="AK64" s="292"/>
      <c r="AL64" s="292"/>
      <c r="AM64" s="292"/>
      <c r="AN64" s="292"/>
      <c r="AO64" s="292"/>
      <c r="AP64" s="292"/>
      <c r="AQ64" s="292"/>
      <c r="AR64" s="58"/>
      <c r="AS64" s="59"/>
      <c r="AT64" s="292"/>
      <c r="AU64" s="292"/>
      <c r="AV64" s="292"/>
      <c r="AW64" s="292"/>
      <c r="AX64" s="292"/>
      <c r="AY64" s="292"/>
      <c r="AZ64" s="292"/>
      <c r="BA64" s="292"/>
      <c r="BB64" s="292"/>
      <c r="BC64" s="292"/>
      <c r="BD64" s="292"/>
      <c r="BE64" s="292"/>
      <c r="BF64" s="58"/>
      <c r="BG64" s="59"/>
      <c r="BH64" s="292"/>
      <c r="BI64" s="292"/>
      <c r="BJ64" s="292"/>
      <c r="BK64" s="292"/>
      <c r="BL64" s="292"/>
      <c r="BM64" s="292"/>
      <c r="BN64" s="292"/>
      <c r="BO64" s="292"/>
      <c r="BP64" s="292"/>
      <c r="BQ64" s="292"/>
      <c r="BR64" s="292"/>
      <c r="BS64" s="292"/>
      <c r="BT64" s="292"/>
      <c r="BU64" s="60"/>
      <c r="BV64" s="400">
        <v>167346</v>
      </c>
      <c r="BW64" s="400">
        <v>150599</v>
      </c>
      <c r="BX64" s="400">
        <v>164746</v>
      </c>
      <c r="BY64" s="400">
        <v>142663</v>
      </c>
      <c r="BZ64" s="400">
        <v>137547</v>
      </c>
      <c r="CA64" s="400">
        <v>111246</v>
      </c>
      <c r="CB64" s="400">
        <v>207837</v>
      </c>
      <c r="CC64" s="400">
        <v>184514</v>
      </c>
      <c r="CD64" s="400">
        <v>191000</v>
      </c>
      <c r="CE64" s="400"/>
      <c r="CF64" s="400"/>
      <c r="CG64" s="400"/>
      <c r="CH64" s="412">
        <f t="shared" ref="CH64:CH67" si="116">SUM(BV64:CG64)</f>
        <v>1457498</v>
      </c>
      <c r="CJ64" s="400"/>
      <c r="CK64" s="400"/>
      <c r="CL64" s="400"/>
      <c r="CM64" s="400"/>
      <c r="CN64" s="400"/>
      <c r="CO64" s="400"/>
      <c r="CP64" s="292"/>
      <c r="CQ64" s="292"/>
      <c r="CR64" s="292"/>
      <c r="CS64" s="292"/>
      <c r="CT64" s="292"/>
      <c r="CU64" s="292"/>
      <c r="CV64" s="292"/>
    </row>
    <row r="65" spans="1:100" s="414" customFormat="1" ht="22.5" customHeight="1">
      <c r="A65" s="401"/>
      <c r="B65" s="402" t="s">
        <v>289</v>
      </c>
      <c r="C65" s="403"/>
      <c r="D65" s="404"/>
      <c r="E65" s="405"/>
      <c r="F65" s="405"/>
      <c r="G65" s="405"/>
      <c r="H65" s="405"/>
      <c r="I65" s="405"/>
      <c r="J65" s="405"/>
      <c r="K65" s="405"/>
      <c r="L65" s="405"/>
      <c r="M65" s="405"/>
      <c r="N65" s="405"/>
      <c r="O65" s="405"/>
      <c r="P65" s="406"/>
      <c r="Q65" s="407"/>
      <c r="R65" s="404"/>
      <c r="S65" s="408"/>
      <c r="T65" s="408"/>
      <c r="U65" s="408"/>
      <c r="V65" s="408"/>
      <c r="W65" s="409"/>
      <c r="X65" s="409"/>
      <c r="Y65" s="409"/>
      <c r="Z65" s="409"/>
      <c r="AA65" s="409"/>
      <c r="AB65" s="409"/>
      <c r="AC65" s="409"/>
      <c r="AD65" s="410"/>
      <c r="AE65" s="411"/>
      <c r="AF65" s="412"/>
      <c r="AG65" s="412"/>
      <c r="AH65" s="412"/>
      <c r="AI65" s="412"/>
      <c r="AJ65" s="412"/>
      <c r="AK65" s="412"/>
      <c r="AL65" s="412"/>
      <c r="AM65" s="412"/>
      <c r="AN65" s="412"/>
      <c r="AO65" s="412"/>
      <c r="AP65" s="412"/>
      <c r="AQ65" s="412"/>
      <c r="AR65" s="408"/>
      <c r="AS65" s="411"/>
      <c r="AT65" s="412"/>
      <c r="AU65" s="412"/>
      <c r="AV65" s="412"/>
      <c r="AW65" s="412"/>
      <c r="AX65" s="412"/>
      <c r="AY65" s="412"/>
      <c r="AZ65" s="412"/>
      <c r="BA65" s="412"/>
      <c r="BB65" s="412"/>
      <c r="BC65" s="412"/>
      <c r="BD65" s="412"/>
      <c r="BE65" s="412"/>
      <c r="BF65" s="408"/>
      <c r="BG65" s="411"/>
      <c r="BH65" s="412"/>
      <c r="BI65" s="412"/>
      <c r="BJ65" s="412"/>
      <c r="BK65" s="412"/>
      <c r="BL65" s="412"/>
      <c r="BM65" s="412"/>
      <c r="BN65" s="412"/>
      <c r="BO65" s="412"/>
      <c r="BP65" s="412"/>
      <c r="BQ65" s="412"/>
      <c r="BR65" s="412"/>
      <c r="BS65" s="412"/>
      <c r="BT65" s="412"/>
      <c r="BU65" s="60"/>
      <c r="BV65" s="413">
        <f>BV23</f>
        <v>161157.867486095</v>
      </c>
      <c r="BW65" s="413">
        <f t="shared" ref="BW65:CG65" si="117">BW23</f>
        <v>155966.83045180296</v>
      </c>
      <c r="BX65" s="413">
        <f t="shared" si="117"/>
        <v>196111.53846153844</v>
      </c>
      <c r="BY65" s="413">
        <f t="shared" si="117"/>
        <v>159169.23076923078</v>
      </c>
      <c r="BZ65" s="413">
        <f t="shared" si="117"/>
        <v>151482.39341785663</v>
      </c>
      <c r="CA65" s="413">
        <f t="shared" si="117"/>
        <v>141442.12910096842</v>
      </c>
      <c r="CB65" s="413">
        <f t="shared" si="117"/>
        <v>176986.21444761599</v>
      </c>
      <c r="CC65" s="413">
        <f t="shared" si="117"/>
        <v>201301.08944885107</v>
      </c>
      <c r="CD65" s="413">
        <f t="shared" si="117"/>
        <v>212833.04013559342</v>
      </c>
      <c r="CE65" s="413">
        <f t="shared" si="117"/>
        <v>215922.30386211892</v>
      </c>
      <c r="CF65" s="413">
        <f t="shared" si="117"/>
        <v>171115.84223630186</v>
      </c>
      <c r="CG65" s="413">
        <f t="shared" si="117"/>
        <v>87483.816691710366</v>
      </c>
      <c r="CH65" s="412">
        <f t="shared" si="116"/>
        <v>2030972.2965096838</v>
      </c>
      <c r="CI65"/>
      <c r="CJ65" s="413">
        <f>CJ23</f>
        <v>175713.30000000002</v>
      </c>
      <c r="CK65" s="413">
        <f t="shared" ref="CK65:CU65" si="118">CK23</f>
        <v>158128.95000000001</v>
      </c>
      <c r="CL65" s="413">
        <f t="shared" si="118"/>
        <v>172983.30000000002</v>
      </c>
      <c r="CM65" s="413">
        <f t="shared" si="118"/>
        <v>149796.15</v>
      </c>
      <c r="CN65" s="413">
        <f t="shared" si="118"/>
        <v>144424.35</v>
      </c>
      <c r="CO65" s="413">
        <f t="shared" si="118"/>
        <v>116808.3</v>
      </c>
      <c r="CP65" s="413">
        <f t="shared" si="118"/>
        <v>218228.85</v>
      </c>
      <c r="CQ65" s="413">
        <f t="shared" si="118"/>
        <v>193739.7</v>
      </c>
      <c r="CR65" s="413">
        <f t="shared" si="118"/>
        <v>200550</v>
      </c>
      <c r="CS65" s="413">
        <f t="shared" si="118"/>
        <v>226718.41905522486</v>
      </c>
      <c r="CT65" s="413">
        <f t="shared" si="118"/>
        <v>179671.63434811696</v>
      </c>
      <c r="CU65" s="413">
        <f t="shared" si="118"/>
        <v>91858.007526295885</v>
      </c>
      <c r="CV65" s="412">
        <f t="shared" ref="CQ65:CV65" si="119">CV23</f>
        <v>1957097.174059076</v>
      </c>
    </row>
    <row r="66" spans="1:100" ht="15.75" customHeight="1" outlineLevel="1">
      <c r="A66" s="94">
        <v>7</v>
      </c>
      <c r="B66" s="210" t="s">
        <v>90</v>
      </c>
      <c r="C66" s="335"/>
      <c r="D66" s="313">
        <v>98048</v>
      </c>
      <c r="E66" s="89">
        <v>128688</v>
      </c>
      <c r="F66" s="89">
        <v>124704</v>
      </c>
      <c r="G66" s="89">
        <v>157500</v>
      </c>
      <c r="H66" s="89">
        <v>182600</v>
      </c>
      <c r="I66" s="89">
        <v>157700</v>
      </c>
      <c r="J66" s="89">
        <v>181700</v>
      </c>
      <c r="K66" s="89">
        <v>165900</v>
      </c>
      <c r="L66" s="89">
        <v>174300</v>
      </c>
      <c r="M66" s="89">
        <v>215800</v>
      </c>
      <c r="N66" s="89">
        <v>180000</v>
      </c>
      <c r="O66" s="89">
        <v>112500</v>
      </c>
      <c r="P66" s="314">
        <f t="shared" ref="P66:P67" si="120">SUM(D66:O66)</f>
        <v>1879440</v>
      </c>
      <c r="Q66" s="90"/>
      <c r="R66" s="313">
        <v>158400</v>
      </c>
      <c r="S66" s="91">
        <v>161000</v>
      </c>
      <c r="T66" s="91">
        <v>117800</v>
      </c>
      <c r="U66" s="91">
        <v>2000</v>
      </c>
      <c r="V66" s="91">
        <v>53800</v>
      </c>
      <c r="W66" s="91">
        <v>190600</v>
      </c>
      <c r="X66" s="91">
        <v>187900</v>
      </c>
      <c r="Y66" s="91">
        <v>196800</v>
      </c>
      <c r="Z66" s="91">
        <v>192300</v>
      </c>
      <c r="AA66" s="91">
        <v>182300</v>
      </c>
      <c r="AB66" s="91">
        <v>175000</v>
      </c>
      <c r="AC66" s="91">
        <v>134100</v>
      </c>
      <c r="AD66" s="315">
        <f>SUM(R66:AC66)</f>
        <v>1752000</v>
      </c>
      <c r="AE66" s="23"/>
      <c r="AF66" s="316">
        <f t="shared" ref="AF66:AL66" si="121">SUM(AF67,AF69)</f>
        <v>161400</v>
      </c>
      <c r="AG66" s="316">
        <f t="shared" si="121"/>
        <v>166000</v>
      </c>
      <c r="AH66" s="316">
        <f t="shared" si="121"/>
        <v>150471</v>
      </c>
      <c r="AI66" s="316">
        <f t="shared" si="121"/>
        <v>149040</v>
      </c>
      <c r="AJ66" s="316">
        <f t="shared" si="121"/>
        <v>196360</v>
      </c>
      <c r="AK66" s="316">
        <f t="shared" si="121"/>
        <v>163300</v>
      </c>
      <c r="AL66" s="316">
        <f t="shared" si="121"/>
        <v>190000</v>
      </c>
      <c r="AM66" s="316">
        <f t="shared" ref="AM66:AQ66" si="122">SUM(AM67,AM69,AM70)</f>
        <v>167000</v>
      </c>
      <c r="AN66" s="316">
        <f t="shared" si="122"/>
        <v>170500</v>
      </c>
      <c r="AO66" s="316">
        <f t="shared" si="122"/>
        <v>140000</v>
      </c>
      <c r="AP66" s="316">
        <f t="shared" si="122"/>
        <v>130000</v>
      </c>
      <c r="AQ66" s="316">
        <f t="shared" si="122"/>
        <v>100000</v>
      </c>
      <c r="AR66" s="92">
        <f t="shared" ref="AR66:AR67" si="123">SUM(AF66:AQ66)</f>
        <v>1884071</v>
      </c>
      <c r="AS66" s="23"/>
      <c r="AT66" s="316">
        <f t="shared" ref="AT66:BC66" si="124">SUM(AT67,AT69,AT70)</f>
        <v>133000</v>
      </c>
      <c r="AU66" s="316">
        <f t="shared" si="124"/>
        <v>125180</v>
      </c>
      <c r="AV66" s="316">
        <f t="shared" si="124"/>
        <v>117228</v>
      </c>
      <c r="AW66" s="316">
        <f t="shared" si="124"/>
        <v>127500</v>
      </c>
      <c r="AX66" s="316">
        <f t="shared" si="124"/>
        <v>140000</v>
      </c>
      <c r="AY66" s="316">
        <f t="shared" si="124"/>
        <v>158342.99999899999</v>
      </c>
      <c r="AZ66" s="316">
        <f t="shared" si="124"/>
        <v>152409</v>
      </c>
      <c r="BA66" s="316">
        <f t="shared" si="124"/>
        <v>173520</v>
      </c>
      <c r="BB66" s="316">
        <f t="shared" si="124"/>
        <v>165000</v>
      </c>
      <c r="BC66" s="316">
        <f t="shared" si="124"/>
        <v>157500</v>
      </c>
      <c r="BD66" s="316">
        <v>129431</v>
      </c>
      <c r="BE66" s="316">
        <v>61700</v>
      </c>
      <c r="BF66" s="91">
        <f t="shared" ref="BF66:BF67" si="125">SUM(AT66:BE66)</f>
        <v>1640810.999999</v>
      </c>
      <c r="BG66" s="27">
        <f>BF66-AR66</f>
        <v>-243260.00000100001</v>
      </c>
      <c r="BH66" s="339">
        <f>SUM(BH67,BH69,BH70)</f>
        <v>139760</v>
      </c>
      <c r="BI66" s="339">
        <f t="shared" ref="BI66:BP66" si="126">SUM(BI67,BI69,BI70)</f>
        <v>116580</v>
      </c>
      <c r="BJ66" s="339">
        <f t="shared" si="126"/>
        <v>148340</v>
      </c>
      <c r="BK66" s="339">
        <f t="shared" si="126"/>
        <v>112360</v>
      </c>
      <c r="BL66" s="339">
        <f t="shared" si="126"/>
        <v>108660</v>
      </c>
      <c r="BM66" s="339">
        <f t="shared" si="126"/>
        <v>153416</v>
      </c>
      <c r="BN66" s="339">
        <f t="shared" si="126"/>
        <v>137676</v>
      </c>
      <c r="BO66" s="339">
        <f t="shared" si="126"/>
        <v>160654</v>
      </c>
      <c r="BP66" s="339">
        <f t="shared" si="126"/>
        <v>157000</v>
      </c>
      <c r="BQ66" s="339">
        <v>156725</v>
      </c>
      <c r="BR66" s="339">
        <v>182069</v>
      </c>
      <c r="BS66" s="339">
        <f>BS67+BS70</f>
        <v>156420</v>
      </c>
      <c r="BT66" s="339">
        <f t="shared" ref="BT66:BT67" si="127">SUM(BH66:BS66)</f>
        <v>1729660</v>
      </c>
      <c r="BU66" s="60"/>
      <c r="BV66" s="396">
        <f t="shared" ref="BV66:BX66" si="128">BV7*BV68</f>
        <v>133000</v>
      </c>
      <c r="BW66" s="396">
        <f t="shared" si="128"/>
        <v>133000</v>
      </c>
      <c r="BX66" s="396">
        <f t="shared" si="128"/>
        <v>147000</v>
      </c>
      <c r="BY66" s="396">
        <f>BY7*BY68</f>
        <v>172800</v>
      </c>
      <c r="BZ66" s="396">
        <f>BZ7*BZ68</f>
        <v>165600</v>
      </c>
      <c r="CA66" s="599">
        <f>CA7*CA68</f>
        <v>158400</v>
      </c>
      <c r="CB66" s="396">
        <f>CB7*CB68</f>
        <v>180000</v>
      </c>
      <c r="CC66" s="396">
        <f t="shared" ref="CA66:CI66" si="129">CC7*CC68</f>
        <v>172800</v>
      </c>
      <c r="CD66" s="396">
        <f t="shared" si="129"/>
        <v>172800</v>
      </c>
      <c r="CE66" s="396">
        <f t="shared" si="129"/>
        <v>180000</v>
      </c>
      <c r="CF66" s="396">
        <f t="shared" si="129"/>
        <v>158400</v>
      </c>
      <c r="CG66" s="396">
        <f t="shared" si="129"/>
        <v>108000</v>
      </c>
      <c r="CH66" s="396">
        <f t="shared" si="116"/>
        <v>1881800</v>
      </c>
      <c r="CI66" s="595"/>
      <c r="CJ66" s="396">
        <f>CJ7*CJ68</f>
        <v>158400</v>
      </c>
      <c r="CK66" s="396">
        <f t="shared" ref="CK66:CU66" si="130">CK7*CK68</f>
        <v>165600</v>
      </c>
      <c r="CL66" s="396">
        <f>CL7*CL68</f>
        <v>151200</v>
      </c>
      <c r="CM66" s="396">
        <f>CM7*CM68</f>
        <v>165600</v>
      </c>
      <c r="CN66" s="396">
        <f t="shared" si="130"/>
        <v>165600</v>
      </c>
      <c r="CO66" s="396">
        <f t="shared" si="130"/>
        <v>144000</v>
      </c>
      <c r="CP66" s="396">
        <f t="shared" si="130"/>
        <v>165600</v>
      </c>
      <c r="CQ66" s="396">
        <f t="shared" si="130"/>
        <v>165600</v>
      </c>
      <c r="CR66" s="396">
        <f t="shared" si="130"/>
        <v>165600</v>
      </c>
      <c r="CS66" s="396">
        <f t="shared" si="130"/>
        <v>172800</v>
      </c>
      <c r="CT66" s="396">
        <f t="shared" si="130"/>
        <v>158400</v>
      </c>
      <c r="CU66" s="396">
        <f t="shared" si="130"/>
        <v>93600</v>
      </c>
      <c r="CV66" s="339">
        <v>1800500</v>
      </c>
    </row>
    <row r="67" spans="1:100" ht="15.75" outlineLevel="1">
      <c r="A67" s="94"/>
      <c r="B67" s="210" t="s">
        <v>91</v>
      </c>
      <c r="C67" s="335"/>
      <c r="D67" s="313">
        <v>98048</v>
      </c>
      <c r="E67" s="89">
        <v>128688</v>
      </c>
      <c r="F67" s="89">
        <v>124704</v>
      </c>
      <c r="G67" s="89">
        <v>157500</v>
      </c>
      <c r="H67" s="89">
        <v>182600</v>
      </c>
      <c r="I67" s="89">
        <v>157700</v>
      </c>
      <c r="J67" s="89">
        <v>181700</v>
      </c>
      <c r="K67" s="89">
        <v>165900</v>
      </c>
      <c r="L67" s="89">
        <v>174300</v>
      </c>
      <c r="M67" s="89">
        <v>215800</v>
      </c>
      <c r="N67" s="89">
        <v>180000</v>
      </c>
      <c r="O67" s="89">
        <v>112500</v>
      </c>
      <c r="P67" s="314">
        <f t="shared" si="120"/>
        <v>1879440</v>
      </c>
      <c r="Q67" s="90"/>
      <c r="R67" s="313">
        <v>158400</v>
      </c>
      <c r="S67" s="91">
        <v>146000</v>
      </c>
      <c r="T67" s="91">
        <v>102200</v>
      </c>
      <c r="U67" s="91">
        <v>0</v>
      </c>
      <c r="V67" s="91">
        <v>43800</v>
      </c>
      <c r="W67" s="91">
        <v>160600</v>
      </c>
      <c r="X67" s="91">
        <v>167900</v>
      </c>
      <c r="Y67" s="91">
        <v>153300</v>
      </c>
      <c r="Z67" s="91">
        <v>153300</v>
      </c>
      <c r="AA67" s="91">
        <v>153300</v>
      </c>
      <c r="AB67" s="91">
        <v>146000</v>
      </c>
      <c r="AC67" s="91">
        <v>124100</v>
      </c>
      <c r="AD67" s="315"/>
      <c r="AE67" s="23"/>
      <c r="AF67" s="316">
        <v>131400</v>
      </c>
      <c r="AG67" s="91">
        <v>146000</v>
      </c>
      <c r="AH67" s="91">
        <v>125511</v>
      </c>
      <c r="AI67" s="91">
        <v>135000</v>
      </c>
      <c r="AJ67" s="91">
        <v>177320</v>
      </c>
      <c r="AK67" s="91">
        <v>151300</v>
      </c>
      <c r="AL67" s="91">
        <v>176000</v>
      </c>
      <c r="AM67" s="91">
        <f>AM68*AM7</f>
        <v>154000</v>
      </c>
      <c r="AN67" s="91">
        <f>AN68*AN7</f>
        <v>157500</v>
      </c>
      <c r="AO67" s="91">
        <f>AO68*AO7</f>
        <v>140000</v>
      </c>
      <c r="AP67" s="91">
        <f>AP68*AP7</f>
        <v>130000</v>
      </c>
      <c r="AQ67" s="91">
        <f>AQ68*AQ7+16000</f>
        <v>100000</v>
      </c>
      <c r="AR67" s="92">
        <f t="shared" si="123"/>
        <v>1724031</v>
      </c>
      <c r="AS67" s="23"/>
      <c r="AT67" s="91">
        <f>AT68*AT7</f>
        <v>133000</v>
      </c>
      <c r="AU67" s="91">
        <f>125180</f>
        <v>125180</v>
      </c>
      <c r="AV67" s="91">
        <f>AV68*AV7+7428</f>
        <v>117228</v>
      </c>
      <c r="AW67" s="91">
        <f>AW68*AW7</f>
        <v>123500</v>
      </c>
      <c r="AX67" s="91">
        <f>AX68*AX7</f>
        <v>132000</v>
      </c>
      <c r="AY67" s="91">
        <f>AY68*AY7</f>
        <v>153342.99999899999</v>
      </c>
      <c r="AZ67" s="91">
        <v>142409</v>
      </c>
      <c r="BA67" s="91">
        <v>163520</v>
      </c>
      <c r="BB67" s="91">
        <f>BB68*BB7</f>
        <v>165000</v>
      </c>
      <c r="BC67" s="91">
        <f>BC68*BC7</f>
        <v>157500</v>
      </c>
      <c r="BD67" s="316">
        <v>129431</v>
      </c>
      <c r="BE67" s="316">
        <v>61700</v>
      </c>
      <c r="BF67" s="91">
        <f t="shared" si="125"/>
        <v>1603810.999999</v>
      </c>
      <c r="BG67" s="27">
        <f>BF67+BF70-AR67-AR70</f>
        <v>-113040.00000100001</v>
      </c>
      <c r="BH67" s="91">
        <v>136760</v>
      </c>
      <c r="BI67" s="91">
        <v>116580</v>
      </c>
      <c r="BJ67" s="91">
        <v>148340</v>
      </c>
      <c r="BK67" s="91">
        <v>112360</v>
      </c>
      <c r="BL67" s="91">
        <v>108660</v>
      </c>
      <c r="BM67" s="91">
        <v>153416</v>
      </c>
      <c r="BN67" s="91">
        <v>137676</v>
      </c>
      <c r="BO67" s="91">
        <v>150654</v>
      </c>
      <c r="BP67" s="91">
        <f>7100*BP7</f>
        <v>142000</v>
      </c>
      <c r="BQ67" s="91">
        <f t="shared" ref="BQ67:BR67" si="131">BQ66-BQ70</f>
        <v>136725</v>
      </c>
      <c r="BR67" s="91">
        <f t="shared" si="131"/>
        <v>167069</v>
      </c>
      <c r="BS67" s="91">
        <v>124020</v>
      </c>
      <c r="BT67" s="91">
        <f t="shared" si="127"/>
        <v>1634260</v>
      </c>
      <c r="BU67" s="28"/>
      <c r="BV67" s="397">
        <f>BV68*BV69-24551</f>
        <v>108449</v>
      </c>
      <c r="BW67" s="397">
        <f>BW68*BW69</f>
        <v>133000</v>
      </c>
      <c r="BX67" s="397">
        <f t="shared" ref="BX67:CG67" si="132">BX68*BX69</f>
        <v>147000</v>
      </c>
      <c r="BY67" s="397">
        <f>BY68*BY69</f>
        <v>172800</v>
      </c>
      <c r="BZ67" s="397">
        <f>BZ68*BZ69</f>
        <v>165600</v>
      </c>
      <c r="CA67" s="397">
        <f>CA68*CA69</f>
        <v>158400</v>
      </c>
      <c r="CB67" s="397">
        <f>CB68*CB69</f>
        <v>180000</v>
      </c>
      <c r="CC67" s="397">
        <f t="shared" si="132"/>
        <v>172800</v>
      </c>
      <c r="CD67" s="397">
        <f t="shared" si="132"/>
        <v>172800</v>
      </c>
      <c r="CE67" s="397">
        <f t="shared" si="132"/>
        <v>180000</v>
      </c>
      <c r="CF67" s="397">
        <f t="shared" si="132"/>
        <v>158400</v>
      </c>
      <c r="CG67" s="397">
        <f t="shared" si="132"/>
        <v>108000</v>
      </c>
      <c r="CH67" s="91">
        <f t="shared" si="116"/>
        <v>1857249</v>
      </c>
      <c r="CI67" s="395">
        <f>(CH67-BT72)/BT72</f>
        <v>0.29923525387304878</v>
      </c>
      <c r="CJ67" s="397">
        <f>CJ66</f>
        <v>158400</v>
      </c>
      <c r="CK67" s="397">
        <f t="shared" ref="CK67:CO67" si="133">CK66</f>
        <v>165600</v>
      </c>
      <c r="CL67" s="397">
        <f t="shared" si="133"/>
        <v>151200</v>
      </c>
      <c r="CM67" s="397">
        <f t="shared" si="133"/>
        <v>165600</v>
      </c>
      <c r="CN67" s="397">
        <f t="shared" si="133"/>
        <v>165600</v>
      </c>
      <c r="CO67" s="397">
        <f t="shared" si="133"/>
        <v>144000</v>
      </c>
      <c r="CP67" s="397">
        <v>168760</v>
      </c>
      <c r="CQ67" s="397">
        <v>194340</v>
      </c>
      <c r="CR67" s="397">
        <v>208000</v>
      </c>
      <c r="CS67" s="397">
        <v>201780</v>
      </c>
      <c r="CT67" s="397">
        <v>154060</v>
      </c>
      <c r="CU67" s="397">
        <v>96720</v>
      </c>
      <c r="CV67" s="91">
        <v>1949109</v>
      </c>
    </row>
    <row r="68" spans="1:100" ht="15.75" customHeight="1" outlineLevel="1">
      <c r="A68" s="94"/>
      <c r="B68" s="210" t="s">
        <v>92</v>
      </c>
      <c r="C68" s="335"/>
      <c r="D68" s="313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314"/>
      <c r="Q68" s="90"/>
      <c r="R68" s="316">
        <f t="shared" ref="R68:AC68" si="134">R67/R7</f>
        <v>7200</v>
      </c>
      <c r="S68" s="316">
        <f t="shared" si="134"/>
        <v>7300</v>
      </c>
      <c r="T68" s="316">
        <f t="shared" si="134"/>
        <v>7300</v>
      </c>
      <c r="U68" s="316">
        <f t="shared" si="134"/>
        <v>0</v>
      </c>
      <c r="V68" s="316">
        <f t="shared" si="134"/>
        <v>3650</v>
      </c>
      <c r="W68" s="316">
        <f t="shared" si="134"/>
        <v>7300</v>
      </c>
      <c r="X68" s="316">
        <f t="shared" si="134"/>
        <v>7300</v>
      </c>
      <c r="Y68" s="316">
        <f t="shared" si="134"/>
        <v>7300</v>
      </c>
      <c r="Z68" s="316">
        <f t="shared" si="134"/>
        <v>7300</v>
      </c>
      <c r="AA68" s="316">
        <f t="shared" si="134"/>
        <v>7300</v>
      </c>
      <c r="AB68" s="316">
        <f t="shared" si="134"/>
        <v>7300</v>
      </c>
      <c r="AC68" s="316">
        <f t="shared" si="134"/>
        <v>7300</v>
      </c>
      <c r="AD68" s="315"/>
      <c r="AE68" s="23"/>
      <c r="AF68" s="316">
        <f t="shared" ref="AF68:AL68" si="135">AF67/AF7</f>
        <v>7300</v>
      </c>
      <c r="AG68" s="316">
        <f t="shared" si="135"/>
        <v>7300</v>
      </c>
      <c r="AH68" s="316">
        <f t="shared" si="135"/>
        <v>6275.55</v>
      </c>
      <c r="AI68" s="316">
        <f t="shared" si="135"/>
        <v>6750</v>
      </c>
      <c r="AJ68" s="316">
        <f t="shared" si="135"/>
        <v>8060</v>
      </c>
      <c r="AK68" s="316">
        <f t="shared" si="135"/>
        <v>7565</v>
      </c>
      <c r="AL68" s="316">
        <f t="shared" si="135"/>
        <v>8000</v>
      </c>
      <c r="AM68" s="91">
        <v>7000</v>
      </c>
      <c r="AN68" s="91">
        <v>7500</v>
      </c>
      <c r="AO68" s="91">
        <v>7000</v>
      </c>
      <c r="AP68" s="91">
        <v>6500</v>
      </c>
      <c r="AQ68" s="91">
        <v>7000</v>
      </c>
      <c r="AR68" s="92">
        <f>AVERAGE(AF68:AQ68)</f>
        <v>7187.5458333333336</v>
      </c>
      <c r="AS68" s="23"/>
      <c r="AT68" s="91">
        <v>7000</v>
      </c>
      <c r="AU68" s="91">
        <f>AU67/AU7</f>
        <v>6588.4210526315792</v>
      </c>
      <c r="AV68" s="91">
        <v>6100</v>
      </c>
      <c r="AW68" s="91">
        <v>6500</v>
      </c>
      <c r="AX68" s="91">
        <v>6000</v>
      </c>
      <c r="AY68" s="91">
        <v>7302.0476189999999</v>
      </c>
      <c r="AZ68" s="91">
        <v>7000</v>
      </c>
      <c r="BA68" s="91">
        <f>BA67/BA7</f>
        <v>7432.727272727273</v>
      </c>
      <c r="BB68" s="91">
        <v>7500</v>
      </c>
      <c r="BC68" s="91">
        <v>7500</v>
      </c>
      <c r="BD68" s="91">
        <f>BD67/BD7</f>
        <v>6471.55</v>
      </c>
      <c r="BE68" s="91">
        <f>BE67/BE7</f>
        <v>6170</v>
      </c>
      <c r="BF68" s="91">
        <f>AVERAGE(AT68:BE68)</f>
        <v>6797.0621620299053</v>
      </c>
      <c r="BG68" s="27"/>
      <c r="BH68" s="91">
        <f t="shared" ref="BH68:BS68" si="136">BH67/BH7</f>
        <v>6838</v>
      </c>
      <c r="BI68" s="91">
        <f t="shared" si="136"/>
        <v>6857.6470588235297</v>
      </c>
      <c r="BJ68" s="91">
        <f t="shared" si="136"/>
        <v>6449.565217391304</v>
      </c>
      <c r="BK68" s="91">
        <f t="shared" si="136"/>
        <v>6242.2222222222226</v>
      </c>
      <c r="BL68" s="91">
        <f t="shared" si="136"/>
        <v>4939.090909090909</v>
      </c>
      <c r="BM68" s="91">
        <f t="shared" si="136"/>
        <v>6670.260869565217</v>
      </c>
      <c r="BN68" s="91">
        <f t="shared" si="136"/>
        <v>6556</v>
      </c>
      <c r="BO68" s="91">
        <f t="shared" si="136"/>
        <v>7174</v>
      </c>
      <c r="BP68" s="91">
        <f t="shared" si="136"/>
        <v>7100</v>
      </c>
      <c r="BQ68" s="91">
        <f t="shared" si="136"/>
        <v>6510.7142857142853</v>
      </c>
      <c r="BR68" s="91">
        <f t="shared" si="136"/>
        <v>8353.4500000000007</v>
      </c>
      <c r="BS68" s="91">
        <f t="shared" si="136"/>
        <v>8858.5714285714294</v>
      </c>
      <c r="BT68" s="91">
        <f>AVERAGE(BH68:BS68)</f>
        <v>6879.1268326149084</v>
      </c>
      <c r="BU68" s="28"/>
      <c r="BV68" s="91">
        <v>7000</v>
      </c>
      <c r="BW68" s="91">
        <v>7000</v>
      </c>
      <c r="BX68" s="91">
        <v>7000</v>
      </c>
      <c r="BY68" s="91">
        <v>7200</v>
      </c>
      <c r="BZ68" s="91">
        <v>7200</v>
      </c>
      <c r="CA68" s="91">
        <v>7200</v>
      </c>
      <c r="CB68" s="91">
        <v>7200</v>
      </c>
      <c r="CC68" s="91">
        <f t="shared" ref="CC68:CG68" si="137">CB68</f>
        <v>7200</v>
      </c>
      <c r="CD68" s="91">
        <v>7200</v>
      </c>
      <c r="CE68" s="91">
        <v>7200</v>
      </c>
      <c r="CF68" s="91">
        <v>7200</v>
      </c>
      <c r="CG68" s="91">
        <v>7200</v>
      </c>
      <c r="CH68" s="91"/>
      <c r="CI68" s="596"/>
      <c r="CJ68" s="91">
        <f>CG68</f>
        <v>7200</v>
      </c>
      <c r="CK68" s="91">
        <f>CJ68</f>
        <v>7200</v>
      </c>
      <c r="CL68" s="91">
        <f t="shared" ref="CL68:CU68" si="138">CK68</f>
        <v>7200</v>
      </c>
      <c r="CM68" s="91">
        <f t="shared" si="138"/>
        <v>7200</v>
      </c>
      <c r="CN68" s="91">
        <f t="shared" si="138"/>
        <v>7200</v>
      </c>
      <c r="CO68" s="91">
        <f t="shared" si="138"/>
        <v>7200</v>
      </c>
      <c r="CP68" s="91">
        <f t="shared" si="138"/>
        <v>7200</v>
      </c>
      <c r="CQ68" s="91">
        <f t="shared" si="138"/>
        <v>7200</v>
      </c>
      <c r="CR68" s="91">
        <f t="shared" si="138"/>
        <v>7200</v>
      </c>
      <c r="CS68" s="91">
        <f t="shared" si="138"/>
        <v>7200</v>
      </c>
      <c r="CT68" s="91">
        <f t="shared" si="138"/>
        <v>7200</v>
      </c>
      <c r="CU68" s="91">
        <f t="shared" si="138"/>
        <v>7200</v>
      </c>
      <c r="CV68" s="91"/>
    </row>
    <row r="69" spans="1:100" ht="15.75" customHeight="1" outlineLevel="1">
      <c r="A69" s="94"/>
      <c r="B69" s="210" t="s">
        <v>93</v>
      </c>
      <c r="C69" s="335"/>
      <c r="D69" s="313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314"/>
      <c r="Q69" s="90"/>
      <c r="R69" s="313"/>
      <c r="S69" s="91">
        <v>15000</v>
      </c>
      <c r="T69" s="91">
        <v>15600</v>
      </c>
      <c r="U69" s="91">
        <v>2000</v>
      </c>
      <c r="V69" s="91">
        <v>10000</v>
      </c>
      <c r="W69" s="91">
        <v>30000</v>
      </c>
      <c r="X69" s="91">
        <v>20000</v>
      </c>
      <c r="Y69" s="91">
        <v>30000</v>
      </c>
      <c r="Z69" s="91">
        <v>30000</v>
      </c>
      <c r="AA69" s="91">
        <v>20000</v>
      </c>
      <c r="AB69" s="91">
        <v>20000</v>
      </c>
      <c r="AC69" s="91">
        <v>10000</v>
      </c>
      <c r="AD69" s="315"/>
      <c r="AE69" s="23"/>
      <c r="AF69" s="316">
        <v>30000</v>
      </c>
      <c r="AG69" s="91">
        <v>20000</v>
      </c>
      <c r="AH69" s="91">
        <v>24960</v>
      </c>
      <c r="AI69" s="91">
        <v>14040</v>
      </c>
      <c r="AJ69" s="91">
        <v>19040</v>
      </c>
      <c r="AK69" s="91">
        <v>12000</v>
      </c>
      <c r="AL69" s="91">
        <v>14000</v>
      </c>
      <c r="AM69" s="91">
        <v>13000</v>
      </c>
      <c r="AN69" s="91">
        <v>13000</v>
      </c>
      <c r="AO69" s="91">
        <v>0</v>
      </c>
      <c r="AP69" s="91">
        <v>0</v>
      </c>
      <c r="AQ69" s="91">
        <v>0</v>
      </c>
      <c r="AR69" s="92">
        <f t="shared" ref="AR69:AR70" si="139">SUM(AF69:AQ69)</f>
        <v>160040</v>
      </c>
      <c r="AS69" s="23"/>
      <c r="AT69" s="91">
        <v>0</v>
      </c>
      <c r="AU69" s="91">
        <v>0</v>
      </c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>
        <f t="shared" ref="BF69:BF70" si="140">SUM(AT69:BE69)</f>
        <v>0</v>
      </c>
      <c r="BG69" s="27">
        <f>BF69-AR69</f>
        <v>-160040</v>
      </c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>
        <f t="shared" ref="BT69" si="141">SUM(BH69:BS69)</f>
        <v>0</v>
      </c>
      <c r="BU69" s="28"/>
      <c r="BV69" s="399">
        <f t="shared" ref="BV69:BZ69" si="142">BV7</f>
        <v>19</v>
      </c>
      <c r="BW69" s="399">
        <f t="shared" si="142"/>
        <v>19</v>
      </c>
      <c r="BX69" s="399">
        <f t="shared" si="142"/>
        <v>21</v>
      </c>
      <c r="BY69" s="399">
        <f t="shared" si="142"/>
        <v>24</v>
      </c>
      <c r="BZ69" s="399">
        <f t="shared" si="142"/>
        <v>23</v>
      </c>
      <c r="CA69" s="399">
        <f>CA7</f>
        <v>22</v>
      </c>
      <c r="CB69" s="399">
        <f t="shared" ref="CB69:CG69" si="143">CB7</f>
        <v>25</v>
      </c>
      <c r="CC69" s="399">
        <f t="shared" si="143"/>
        <v>24</v>
      </c>
      <c r="CD69" s="399">
        <f t="shared" si="143"/>
        <v>24</v>
      </c>
      <c r="CE69" s="399">
        <f t="shared" si="143"/>
        <v>25</v>
      </c>
      <c r="CF69" s="399">
        <f t="shared" si="143"/>
        <v>22</v>
      </c>
      <c r="CG69" s="399">
        <f t="shared" si="143"/>
        <v>15</v>
      </c>
      <c r="CH69" s="91">
        <f t="shared" ref="CH69" si="144">SUM(BV69:CG69)</f>
        <v>263</v>
      </c>
      <c r="CJ69" s="597">
        <f>CJ7</f>
        <v>22</v>
      </c>
      <c r="CK69" s="597">
        <f t="shared" ref="CK69:CO69" si="145">CK7</f>
        <v>23</v>
      </c>
      <c r="CL69" s="597">
        <f t="shared" si="145"/>
        <v>21</v>
      </c>
      <c r="CM69" s="597">
        <f t="shared" si="145"/>
        <v>23</v>
      </c>
      <c r="CN69" s="597">
        <f t="shared" si="145"/>
        <v>23</v>
      </c>
      <c r="CO69" s="597">
        <f t="shared" si="145"/>
        <v>20</v>
      </c>
      <c r="CP69" s="91"/>
      <c r="CQ69" s="91"/>
      <c r="CR69" s="91"/>
      <c r="CS69" s="91"/>
      <c r="CT69" s="91"/>
      <c r="CU69" s="91"/>
      <c r="CV69" s="91">
        <v>131</v>
      </c>
    </row>
    <row r="70" spans="1:100" ht="15.75" customHeight="1" outlineLevel="1">
      <c r="A70" s="94"/>
      <c r="B70" s="210" t="s">
        <v>94</v>
      </c>
      <c r="C70" s="335"/>
      <c r="D70" s="313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314"/>
      <c r="Q70" s="90"/>
      <c r="R70" s="313"/>
      <c r="S70" s="91"/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13500</v>
      </c>
      <c r="Z70" s="91">
        <v>9000</v>
      </c>
      <c r="AA70" s="91">
        <v>9000</v>
      </c>
      <c r="AB70" s="91">
        <v>9000</v>
      </c>
      <c r="AC70" s="91">
        <v>0</v>
      </c>
      <c r="AD70" s="315"/>
      <c r="AE70" s="23"/>
      <c r="AF70" s="91">
        <v>13500</v>
      </c>
      <c r="AG70" s="91">
        <v>13500</v>
      </c>
      <c r="AH70" s="91">
        <v>2820</v>
      </c>
      <c r="AI70" s="91">
        <v>0</v>
      </c>
      <c r="AJ70" s="91">
        <v>0</v>
      </c>
      <c r="AK70" s="91">
        <v>0</v>
      </c>
      <c r="AL70" s="91">
        <v>0</v>
      </c>
      <c r="AM70" s="91"/>
      <c r="AN70" s="91"/>
      <c r="AO70" s="91"/>
      <c r="AP70" s="91"/>
      <c r="AQ70" s="91"/>
      <c r="AR70" s="92">
        <f t="shared" si="139"/>
        <v>29820</v>
      </c>
      <c r="AS70" s="23"/>
      <c r="AT70" s="91"/>
      <c r="AU70" s="91"/>
      <c r="AV70" s="91"/>
      <c r="AW70" s="91">
        <v>4000</v>
      </c>
      <c r="AX70" s="91">
        <v>8000</v>
      </c>
      <c r="AY70" s="91">
        <v>5000</v>
      </c>
      <c r="AZ70" s="91">
        <v>10000</v>
      </c>
      <c r="BA70" s="91">
        <v>10000</v>
      </c>
      <c r="BB70" s="91">
        <v>0</v>
      </c>
      <c r="BC70" s="91">
        <v>0</v>
      </c>
      <c r="BD70" s="91">
        <v>0</v>
      </c>
      <c r="BE70" s="91"/>
      <c r="BF70" s="91">
        <f t="shared" si="140"/>
        <v>37000</v>
      </c>
      <c r="BG70" s="27"/>
      <c r="BH70" s="91">
        <v>3000</v>
      </c>
      <c r="BI70" s="91"/>
      <c r="BJ70" s="91"/>
      <c r="BK70" s="91"/>
      <c r="BL70" s="91"/>
      <c r="BM70" s="91"/>
      <c r="BN70" s="91"/>
      <c r="BO70" s="91">
        <v>10000</v>
      </c>
      <c r="BP70" s="91">
        <v>15000</v>
      </c>
      <c r="BQ70" s="91">
        <v>20000</v>
      </c>
      <c r="BR70" s="91">
        <v>15000</v>
      </c>
      <c r="BS70" s="91">
        <f>7200*9/2</f>
        <v>32400</v>
      </c>
      <c r="BT70" s="91">
        <f>SUM(BH70:BS70)</f>
        <v>95400</v>
      </c>
      <c r="BU70" s="28"/>
      <c r="BV70" s="91">
        <f>BV72-BV66</f>
        <v>21584</v>
      </c>
      <c r="BW70" s="91">
        <f t="shared" ref="BW70:CG70" si="146">BW72-BW66</f>
        <v>18963</v>
      </c>
      <c r="BX70" s="91">
        <f t="shared" si="146"/>
        <v>-2354</v>
      </c>
      <c r="BY70" s="91">
        <f t="shared" si="146"/>
        <v>5998</v>
      </c>
      <c r="BZ70" s="91">
        <f t="shared" si="146"/>
        <v>-13737</v>
      </c>
      <c r="CA70" s="91">
        <f t="shared" si="146"/>
        <v>-6090</v>
      </c>
      <c r="CB70" s="91">
        <f t="shared" si="146"/>
        <v>-2176</v>
      </c>
      <c r="CC70" s="91">
        <f t="shared" si="146"/>
        <v>-17344</v>
      </c>
      <c r="CD70" s="91">
        <f t="shared" si="146"/>
        <v>-13369</v>
      </c>
      <c r="CE70" s="91">
        <f t="shared" si="146"/>
        <v>-180000</v>
      </c>
      <c r="CF70" s="91">
        <f t="shared" si="146"/>
        <v>-158400</v>
      </c>
      <c r="CG70" s="91">
        <f t="shared" si="146"/>
        <v>-108000</v>
      </c>
      <c r="CH70" s="92">
        <f>SUM(CD70:CG70)</f>
        <v>-459769</v>
      </c>
      <c r="CJ70" s="91">
        <f>BV72</f>
        <v>154584</v>
      </c>
      <c r="CK70" s="91">
        <f t="shared" ref="CK70:CO70" si="147">BW72</f>
        <v>151963</v>
      </c>
      <c r="CL70" s="91">
        <f t="shared" si="147"/>
        <v>144646</v>
      </c>
      <c r="CM70" s="91">
        <f t="shared" si="147"/>
        <v>178798</v>
      </c>
      <c r="CN70" s="91">
        <f t="shared" si="147"/>
        <v>151863</v>
      </c>
      <c r="CO70" s="91">
        <f t="shared" si="147"/>
        <v>152310</v>
      </c>
      <c r="CP70" s="91"/>
      <c r="CQ70" s="91"/>
      <c r="CR70" s="91"/>
      <c r="CS70" s="91"/>
      <c r="CT70" s="91"/>
      <c r="CU70" s="91"/>
      <c r="CV70" s="91">
        <v>127800</v>
      </c>
    </row>
    <row r="71" spans="1:100" ht="15.75" customHeight="1" outlineLevel="1">
      <c r="A71" s="94"/>
      <c r="B71" s="210" t="s">
        <v>283</v>
      </c>
      <c r="C71" s="335"/>
      <c r="D71" s="313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314"/>
      <c r="Q71" s="90"/>
      <c r="R71" s="313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315"/>
      <c r="AE71" s="23"/>
      <c r="AF71" s="91"/>
      <c r="AG71" s="91"/>
      <c r="AH71" s="91"/>
      <c r="AI71" s="91"/>
      <c r="AJ71" s="91"/>
      <c r="AK71" s="91"/>
      <c r="AL71" s="91"/>
      <c r="AM71" s="91"/>
      <c r="AN71" s="91"/>
      <c r="AO71" s="91">
        <f t="shared" ref="AO71:AQ71" si="148">AO66*9.68</f>
        <v>1355200</v>
      </c>
      <c r="AP71" s="91">
        <f t="shared" si="148"/>
        <v>1258400</v>
      </c>
      <c r="AQ71" s="91">
        <f t="shared" si="148"/>
        <v>968000</v>
      </c>
      <c r="AR71" s="92"/>
      <c r="AS71" s="23"/>
      <c r="AT71" s="91">
        <f t="shared" ref="AT71:BF71" si="149">AT66*9.68</f>
        <v>1287440</v>
      </c>
      <c r="AU71" s="91">
        <f t="shared" si="149"/>
        <v>1211742.3999999999</v>
      </c>
      <c r="AV71" s="91">
        <f t="shared" si="149"/>
        <v>1134767.04</v>
      </c>
      <c r="AW71" s="91">
        <f t="shared" si="149"/>
        <v>1234200</v>
      </c>
      <c r="AX71" s="91">
        <f t="shared" si="149"/>
        <v>1355200</v>
      </c>
      <c r="AY71" s="91">
        <f t="shared" si="149"/>
        <v>1532760.2399903198</v>
      </c>
      <c r="AZ71" s="91">
        <f t="shared" si="149"/>
        <v>1475319.1199999999</v>
      </c>
      <c r="BA71" s="91">
        <f t="shared" si="149"/>
        <v>1679673.5999999999</v>
      </c>
      <c r="BB71" s="91">
        <f t="shared" si="149"/>
        <v>1597200</v>
      </c>
      <c r="BC71" s="91">
        <f t="shared" si="149"/>
        <v>1524600</v>
      </c>
      <c r="BD71" s="91">
        <f t="shared" si="149"/>
        <v>1252892.08</v>
      </c>
      <c r="BE71" s="91">
        <f t="shared" si="149"/>
        <v>597256</v>
      </c>
      <c r="BF71" s="91">
        <f t="shared" si="149"/>
        <v>15883050.47999032</v>
      </c>
      <c r="BG71" s="27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28"/>
      <c r="BV71" s="91"/>
      <c r="BW71" s="91"/>
      <c r="BX71" s="91"/>
      <c r="BY71" s="91"/>
      <c r="BZ71" s="91"/>
      <c r="CA71" s="91"/>
      <c r="CB71" s="91"/>
      <c r="CC71" s="91"/>
      <c r="CD71" s="91" t="s">
        <v>96</v>
      </c>
      <c r="CE71" s="91"/>
      <c r="CF71" s="601" t="s">
        <v>97</v>
      </c>
      <c r="CG71" s="91"/>
      <c r="CH71" s="91"/>
      <c r="CJ71" s="91"/>
      <c r="CK71" s="91"/>
      <c r="CL71" s="91"/>
      <c r="CM71" s="91"/>
      <c r="CN71" s="91"/>
      <c r="CO71" s="91"/>
      <c r="CP71" s="91"/>
      <c r="CQ71" s="91"/>
      <c r="CR71" s="91"/>
      <c r="CS71" s="91"/>
      <c r="CT71" s="91"/>
      <c r="CU71" s="91"/>
      <c r="CV71" s="91"/>
    </row>
    <row r="72" spans="1:100">
      <c r="A72" s="110" t="s">
        <v>99</v>
      </c>
      <c r="B72" s="340" t="s">
        <v>100</v>
      </c>
      <c r="C72" s="341"/>
      <c r="D72" s="342">
        <v>95972</v>
      </c>
      <c r="E72" s="111">
        <v>130805</v>
      </c>
      <c r="F72" s="111">
        <v>121914</v>
      </c>
      <c r="G72" s="111">
        <v>165455</v>
      </c>
      <c r="H72" s="111">
        <v>192013</v>
      </c>
      <c r="I72" s="111">
        <v>167281</v>
      </c>
      <c r="J72" s="111">
        <v>181409</v>
      </c>
      <c r="K72" s="111">
        <v>163138</v>
      </c>
      <c r="L72" s="111">
        <v>169051</v>
      </c>
      <c r="M72" s="111">
        <v>183254</v>
      </c>
      <c r="N72" s="111"/>
      <c r="O72" s="111"/>
      <c r="P72" s="343">
        <f>SUM(D72:O72)</f>
        <v>1570292</v>
      </c>
      <c r="Q72" s="84"/>
      <c r="R72" s="342">
        <v>149582</v>
      </c>
      <c r="S72" s="112">
        <v>152735</v>
      </c>
      <c r="T72" s="112">
        <v>107681</v>
      </c>
      <c r="U72" s="112">
        <v>2974</v>
      </c>
      <c r="V72" s="112">
        <v>32639</v>
      </c>
      <c r="W72" s="112">
        <v>153121</v>
      </c>
      <c r="X72" s="112">
        <v>198635</v>
      </c>
      <c r="Y72" s="112">
        <v>160489</v>
      </c>
      <c r="Z72" s="112">
        <v>160893</v>
      </c>
      <c r="AA72" s="112">
        <v>180999</v>
      </c>
      <c r="AB72" s="112">
        <v>167265</v>
      </c>
      <c r="AC72" s="112">
        <v>135424</v>
      </c>
      <c r="AD72" s="344">
        <f>SUM(R72:AC72)</f>
        <v>1602437</v>
      </c>
      <c r="AE72" s="113"/>
      <c r="AF72" s="345">
        <v>145616</v>
      </c>
      <c r="AG72" s="112">
        <v>168450</v>
      </c>
      <c r="AH72" s="112">
        <v>153291</v>
      </c>
      <c r="AI72" s="112">
        <v>149378</v>
      </c>
      <c r="AJ72" s="112">
        <v>196360</v>
      </c>
      <c r="AK72" s="112">
        <v>170558</v>
      </c>
      <c r="AL72" s="112">
        <v>171758</v>
      </c>
      <c r="AM72" s="112">
        <f t="shared" ref="AM72:AQ72" si="150">SUM(AM73:AM74)</f>
        <v>168974</v>
      </c>
      <c r="AN72" s="112">
        <f t="shared" si="150"/>
        <v>144792</v>
      </c>
      <c r="AO72" s="112">
        <f t="shared" si="150"/>
        <v>141375</v>
      </c>
      <c r="AP72" s="112">
        <f t="shared" si="150"/>
        <v>143221</v>
      </c>
      <c r="AQ72" s="112">
        <f t="shared" si="150"/>
        <v>85543</v>
      </c>
      <c r="AR72" s="112">
        <f t="shared" ref="AR72:AR76" si="151">SUM(AF72:AQ72)</f>
        <v>1839316</v>
      </c>
      <c r="AS72" s="23"/>
      <c r="AT72" s="112">
        <f t="shared" ref="AT72:BE72" si="152">SUM(AT73:AT74)</f>
        <v>120211</v>
      </c>
      <c r="AU72" s="112">
        <f t="shared" si="152"/>
        <v>120216</v>
      </c>
      <c r="AV72" s="112">
        <f t="shared" si="152"/>
        <v>101053</v>
      </c>
      <c r="AW72" s="112">
        <f t="shared" si="152"/>
        <v>137388</v>
      </c>
      <c r="AX72" s="112">
        <f t="shared" si="152"/>
        <v>137400</v>
      </c>
      <c r="AY72" s="112">
        <f t="shared" si="152"/>
        <v>135412</v>
      </c>
      <c r="AZ72" s="112">
        <f t="shared" si="152"/>
        <v>157032</v>
      </c>
      <c r="BA72" s="112">
        <f t="shared" si="152"/>
        <v>173287</v>
      </c>
      <c r="BB72" s="114">
        <f t="shared" si="152"/>
        <v>166815</v>
      </c>
      <c r="BC72" s="114">
        <f t="shared" si="152"/>
        <v>153816</v>
      </c>
      <c r="BD72" s="114">
        <f t="shared" si="152"/>
        <v>138051</v>
      </c>
      <c r="BE72" s="114">
        <f t="shared" si="152"/>
        <v>55950</v>
      </c>
      <c r="BF72" s="114">
        <f t="shared" ref="BF72:BF76" si="153">SUM(AT72:BE72)</f>
        <v>1596631</v>
      </c>
      <c r="BG72" s="93">
        <f>BF72/AR72-1</f>
        <v>-0.1319430701412917</v>
      </c>
      <c r="BH72" s="112">
        <f t="shared" ref="BH72:BQ72" si="154">SUM(BH73:BH74)</f>
        <v>138562</v>
      </c>
      <c r="BI72" s="112">
        <f t="shared" si="154"/>
        <v>109391</v>
      </c>
      <c r="BJ72" s="112">
        <f t="shared" si="154"/>
        <v>160056</v>
      </c>
      <c r="BK72" s="112">
        <f t="shared" si="154"/>
        <v>124826</v>
      </c>
      <c r="BL72" s="112">
        <f t="shared" si="154"/>
        <v>151185</v>
      </c>
      <c r="BM72" s="112">
        <f t="shared" si="154"/>
        <v>134688</v>
      </c>
      <c r="BN72" s="112">
        <f t="shared" si="154"/>
        <v>157005</v>
      </c>
      <c r="BO72" s="112">
        <f t="shared" si="154"/>
        <v>151231</v>
      </c>
      <c r="BP72" s="112">
        <f t="shared" si="154"/>
        <v>143335</v>
      </c>
      <c r="BQ72" s="112">
        <f t="shared" si="154"/>
        <v>159215</v>
      </c>
      <c r="BR72" s="112"/>
      <c r="BS72" s="112"/>
      <c r="BT72" s="112">
        <f>SUM(BH72:BS72)</f>
        <v>1429494</v>
      </c>
      <c r="BU72" s="18"/>
      <c r="BV72" s="112">
        <v>154584</v>
      </c>
      <c r="BW72" s="112">
        <v>151963</v>
      </c>
      <c r="BX72" s="112">
        <v>144646</v>
      </c>
      <c r="BY72" s="112">
        <v>178798</v>
      </c>
      <c r="BZ72" s="112">
        <v>151863</v>
      </c>
      <c r="CA72" s="112">
        <v>152310</v>
      </c>
      <c r="CB72" s="112">
        <f>CB73+CB74</f>
        <v>177824</v>
      </c>
      <c r="CC72" s="112">
        <f t="shared" ref="BZ72:CG72" si="155">CC73+CC74</f>
        <v>155456</v>
      </c>
      <c r="CD72" s="112">
        <f t="shared" si="155"/>
        <v>159431</v>
      </c>
      <c r="CE72" s="112">
        <f t="shared" si="155"/>
        <v>0</v>
      </c>
      <c r="CF72" s="112">
        <f t="shared" si="155"/>
        <v>0</v>
      </c>
      <c r="CG72" s="112">
        <f t="shared" si="155"/>
        <v>0</v>
      </c>
      <c r="CH72" s="112">
        <f t="shared" ref="CH72" si="156">SUM(BV72:CG72)</f>
        <v>1426875</v>
      </c>
      <c r="CJ72" s="112"/>
      <c r="CK72" s="112"/>
      <c r="CL72" s="112"/>
      <c r="CM72" s="112"/>
      <c r="CN72" s="112"/>
      <c r="CO72" s="112"/>
      <c r="CP72" s="112"/>
      <c r="CQ72" s="112"/>
      <c r="CR72" s="112"/>
      <c r="CS72" s="112"/>
      <c r="CT72" s="112"/>
      <c r="CU72" s="112"/>
      <c r="CV72" s="112"/>
    </row>
    <row r="73" spans="1:100" ht="15.75" customHeight="1">
      <c r="A73" s="115"/>
      <c r="B73" s="346" t="s">
        <v>101</v>
      </c>
      <c r="C73" s="347"/>
      <c r="D73" s="265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66"/>
      <c r="Q73" s="116"/>
      <c r="R73" s="265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67"/>
      <c r="AE73" s="23"/>
      <c r="AF73" s="348">
        <v>126362</v>
      </c>
      <c r="AG73" s="22">
        <v>153970</v>
      </c>
      <c r="AH73" s="22">
        <v>128331</v>
      </c>
      <c r="AI73" s="22">
        <v>135338</v>
      </c>
      <c r="AJ73" s="22">
        <v>177312</v>
      </c>
      <c r="AK73" s="22">
        <v>150818</v>
      </c>
      <c r="AL73" s="22">
        <v>158858</v>
      </c>
      <c r="AM73" s="22">
        <v>153933</v>
      </c>
      <c r="AN73" s="22">
        <v>134244</v>
      </c>
      <c r="AO73" s="22">
        <v>137435</v>
      </c>
      <c r="AP73" s="22">
        <v>143221</v>
      </c>
      <c r="AQ73" s="22">
        <v>85543</v>
      </c>
      <c r="AR73" s="117">
        <f t="shared" si="151"/>
        <v>1685365</v>
      </c>
      <c r="AS73" s="23"/>
      <c r="AT73" s="22">
        <v>120211</v>
      </c>
      <c r="AU73" s="22">
        <v>120216</v>
      </c>
      <c r="AV73" s="22">
        <v>101053</v>
      </c>
      <c r="AW73" s="22">
        <v>137388</v>
      </c>
      <c r="AX73" s="22">
        <v>137400</v>
      </c>
      <c r="AY73" s="22">
        <v>135412</v>
      </c>
      <c r="AZ73" s="22">
        <v>157032</v>
      </c>
      <c r="BA73" s="22">
        <v>172227</v>
      </c>
      <c r="BB73" s="22">
        <f>157995+8500</f>
        <v>166495</v>
      </c>
      <c r="BC73" s="22">
        <v>153816</v>
      </c>
      <c r="BD73" s="22">
        <v>138051</v>
      </c>
      <c r="BE73" s="22">
        <v>55950</v>
      </c>
      <c r="BF73" s="22">
        <f t="shared" si="153"/>
        <v>1595251</v>
      </c>
      <c r="BG73" s="27"/>
      <c r="BH73" s="22">
        <v>138562</v>
      </c>
      <c r="BI73" s="22">
        <v>109391</v>
      </c>
      <c r="BJ73" s="22">
        <v>160056</v>
      </c>
      <c r="BK73" s="22">
        <v>124826</v>
      </c>
      <c r="BL73" s="22">
        <v>151185</v>
      </c>
      <c r="BM73" s="22">
        <v>134688</v>
      </c>
      <c r="BN73" s="22">
        <v>157005</v>
      </c>
      <c r="BO73" s="22">
        <v>151231</v>
      </c>
      <c r="BP73" s="22">
        <v>143335</v>
      </c>
      <c r="BQ73" s="22">
        <v>159215</v>
      </c>
      <c r="BR73" s="22"/>
      <c r="BS73" s="22"/>
      <c r="BT73" s="22">
        <f t="shared" ref="BT72:BT76" si="157">SUM(BH73:BS73)</f>
        <v>1429494</v>
      </c>
      <c r="BU73" s="28"/>
      <c r="BV73" s="22">
        <v>154584</v>
      </c>
      <c r="BW73" s="22">
        <v>151963</v>
      </c>
      <c r="BX73" s="22">
        <v>144646</v>
      </c>
      <c r="BY73" s="22">
        <v>178798</v>
      </c>
      <c r="BZ73" s="22">
        <v>151863</v>
      </c>
      <c r="CA73" s="22">
        <v>152310</v>
      </c>
      <c r="CB73" s="22">
        <v>177824</v>
      </c>
      <c r="CC73" s="22">
        <v>155456</v>
      </c>
      <c r="CD73" s="22">
        <v>159431</v>
      </c>
      <c r="CE73" s="22"/>
      <c r="CF73" s="22"/>
      <c r="CG73" s="22"/>
      <c r="CH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</row>
    <row r="74" spans="1:100" ht="15.75" customHeight="1">
      <c r="A74" s="115"/>
      <c r="B74" s="346" t="s">
        <v>102</v>
      </c>
      <c r="C74" s="347"/>
      <c r="D74" s="265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66"/>
      <c r="Q74" s="116"/>
      <c r="R74" s="265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67"/>
      <c r="AE74" s="23"/>
      <c r="AF74" s="22">
        <f t="shared" ref="AF74:AL74" si="158">AF72-AF73</f>
        <v>19254</v>
      </c>
      <c r="AG74" s="22">
        <f t="shared" si="158"/>
        <v>14480</v>
      </c>
      <c r="AH74" s="22">
        <f t="shared" si="158"/>
        <v>24960</v>
      </c>
      <c r="AI74" s="22">
        <f t="shared" si="158"/>
        <v>14040</v>
      </c>
      <c r="AJ74" s="22">
        <f t="shared" si="158"/>
        <v>19048</v>
      </c>
      <c r="AK74" s="22">
        <f t="shared" si="158"/>
        <v>19740</v>
      </c>
      <c r="AL74" s="22">
        <f t="shared" si="158"/>
        <v>12900</v>
      </c>
      <c r="AM74" s="22">
        <v>15041</v>
      </c>
      <c r="AN74" s="22">
        <v>10548</v>
      </c>
      <c r="AO74" s="22">
        <v>3940</v>
      </c>
      <c r="AP74" s="22">
        <v>0</v>
      </c>
      <c r="AQ74" s="22">
        <v>0</v>
      </c>
      <c r="AR74" s="117">
        <f t="shared" si="151"/>
        <v>153951</v>
      </c>
      <c r="AS74" s="23"/>
      <c r="AT74" s="22">
        <v>0</v>
      </c>
      <c r="AU74" s="22">
        <v>0</v>
      </c>
      <c r="AV74" s="22">
        <v>0</v>
      </c>
      <c r="AW74" s="22">
        <v>0</v>
      </c>
      <c r="AX74" s="22">
        <v>0</v>
      </c>
      <c r="AY74" s="22">
        <v>0</v>
      </c>
      <c r="AZ74" s="22">
        <v>0</v>
      </c>
      <c r="BA74" s="22">
        <v>1060</v>
      </c>
      <c r="BB74" s="22">
        <v>320</v>
      </c>
      <c r="BC74" s="22">
        <v>0</v>
      </c>
      <c r="BD74" s="22">
        <v>0</v>
      </c>
      <c r="BE74" s="22"/>
      <c r="BF74" s="22">
        <f t="shared" si="153"/>
        <v>1380</v>
      </c>
      <c r="BG74" s="27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>
        <f t="shared" si="157"/>
        <v>0</v>
      </c>
      <c r="BU74" s="28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J74" s="22"/>
      <c r="CK74" s="22"/>
      <c r="CL74" s="22"/>
      <c r="CM74" s="22"/>
    </row>
    <row r="75" spans="1:100" ht="15.75">
      <c r="A75" s="103" t="s">
        <v>103</v>
      </c>
      <c r="B75" s="337"/>
      <c r="C75" s="330"/>
      <c r="D75" s="331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332"/>
      <c r="Q75" s="105"/>
      <c r="R75" s="333"/>
      <c r="S75" s="333"/>
      <c r="T75" s="333"/>
      <c r="U75" s="333"/>
      <c r="V75" s="333"/>
      <c r="W75" s="333"/>
      <c r="X75" s="333"/>
      <c r="Y75" s="333"/>
      <c r="Z75" s="333"/>
      <c r="AA75" s="333"/>
      <c r="AB75" s="333"/>
      <c r="AC75" s="333"/>
      <c r="AD75" s="334"/>
      <c r="AE75" s="106"/>
      <c r="AF75" s="333">
        <f t="shared" ref="AF75:AQ75" si="159">AF72-AF66</f>
        <v>-15784</v>
      </c>
      <c r="AG75" s="333">
        <f t="shared" si="159"/>
        <v>2450</v>
      </c>
      <c r="AH75" s="333">
        <f t="shared" si="159"/>
        <v>2820</v>
      </c>
      <c r="AI75" s="333">
        <f t="shared" si="159"/>
        <v>338</v>
      </c>
      <c r="AJ75" s="333">
        <f t="shared" si="159"/>
        <v>0</v>
      </c>
      <c r="AK75" s="333">
        <f t="shared" si="159"/>
        <v>7258</v>
      </c>
      <c r="AL75" s="333">
        <f t="shared" si="159"/>
        <v>-18242</v>
      </c>
      <c r="AM75" s="333">
        <f t="shared" si="159"/>
        <v>1974</v>
      </c>
      <c r="AN75" s="333">
        <f t="shared" si="159"/>
        <v>-25708</v>
      </c>
      <c r="AO75" s="333">
        <f t="shared" si="159"/>
        <v>1375</v>
      </c>
      <c r="AP75" s="333">
        <f t="shared" si="159"/>
        <v>13221</v>
      </c>
      <c r="AQ75" s="333">
        <f t="shared" si="159"/>
        <v>-14457</v>
      </c>
      <c r="AR75" s="107">
        <f t="shared" si="151"/>
        <v>-44755</v>
      </c>
      <c r="AS75" s="106"/>
      <c r="AT75" s="333">
        <f t="shared" ref="AT75:BE75" si="160">AT72-AT66</f>
        <v>-12789</v>
      </c>
      <c r="AU75" s="333">
        <f t="shared" si="160"/>
        <v>-4964</v>
      </c>
      <c r="AV75" s="333">
        <f t="shared" si="160"/>
        <v>-16175</v>
      </c>
      <c r="AW75" s="333">
        <f t="shared" si="160"/>
        <v>9888</v>
      </c>
      <c r="AX75" s="333">
        <f t="shared" si="160"/>
        <v>-2600</v>
      </c>
      <c r="AY75" s="333">
        <f t="shared" si="160"/>
        <v>-22930.999998999992</v>
      </c>
      <c r="AZ75" s="333">
        <f t="shared" si="160"/>
        <v>4623</v>
      </c>
      <c r="BA75" s="333">
        <f t="shared" si="160"/>
        <v>-233</v>
      </c>
      <c r="BB75" s="333">
        <f t="shared" si="160"/>
        <v>1815</v>
      </c>
      <c r="BC75" s="333">
        <f t="shared" si="160"/>
        <v>-3684</v>
      </c>
      <c r="BD75" s="333">
        <f t="shared" si="160"/>
        <v>8620</v>
      </c>
      <c r="BE75" s="333">
        <f t="shared" si="160"/>
        <v>-5750</v>
      </c>
      <c r="BF75" s="108">
        <f t="shared" si="153"/>
        <v>-44179.999998999992</v>
      </c>
      <c r="BG75" s="106"/>
      <c r="BH75" s="333">
        <f t="shared" ref="BH75:BQ75" si="161">BH72-BH66</f>
        <v>-1198</v>
      </c>
      <c r="BI75" s="333">
        <f t="shared" si="161"/>
        <v>-7189</v>
      </c>
      <c r="BJ75" s="333">
        <f t="shared" si="161"/>
        <v>11716</v>
      </c>
      <c r="BK75" s="333">
        <f t="shared" si="161"/>
        <v>12466</v>
      </c>
      <c r="BL75" s="333">
        <f t="shared" si="161"/>
        <v>42525</v>
      </c>
      <c r="BM75" s="333">
        <f t="shared" si="161"/>
        <v>-18728</v>
      </c>
      <c r="BN75" s="333">
        <f t="shared" si="161"/>
        <v>19329</v>
      </c>
      <c r="BO75" s="333">
        <f t="shared" si="161"/>
        <v>-9423</v>
      </c>
      <c r="BP75" s="333">
        <f t="shared" si="161"/>
        <v>-13665</v>
      </c>
      <c r="BQ75" s="333">
        <f t="shared" si="161"/>
        <v>2490</v>
      </c>
      <c r="BR75" s="108"/>
      <c r="BS75" s="108"/>
      <c r="BT75" s="108">
        <f t="shared" si="157"/>
        <v>38323</v>
      </c>
      <c r="BU75" s="28"/>
      <c r="BV75" s="333"/>
      <c r="BW75" s="333"/>
      <c r="BX75" s="333"/>
      <c r="BY75" s="333">
        <f>BY72-BY66</f>
        <v>5998</v>
      </c>
      <c r="BZ75" s="333">
        <f t="shared" ref="BZ75:CG75" si="162">BZ72-BZ66</f>
        <v>-13737</v>
      </c>
      <c r="CA75" s="333">
        <f t="shared" si="162"/>
        <v>-6090</v>
      </c>
      <c r="CB75" s="333">
        <f t="shared" si="162"/>
        <v>-2176</v>
      </c>
      <c r="CC75" s="333">
        <f t="shared" si="162"/>
        <v>-17344</v>
      </c>
      <c r="CD75" s="333">
        <f t="shared" si="162"/>
        <v>-13369</v>
      </c>
      <c r="CE75" s="333">
        <f t="shared" si="162"/>
        <v>-180000</v>
      </c>
      <c r="CF75" s="333">
        <f t="shared" si="162"/>
        <v>-158400</v>
      </c>
      <c r="CG75" s="333">
        <f t="shared" si="162"/>
        <v>-108000</v>
      </c>
      <c r="CJ75" s="333">
        <v>-133000</v>
      </c>
      <c r="CK75" s="333">
        <v>-133000</v>
      </c>
      <c r="CL75" s="333">
        <v>-147000</v>
      </c>
      <c r="CM75" s="333">
        <v>-180000</v>
      </c>
    </row>
    <row r="76" spans="1:100" ht="14.25" customHeight="1">
      <c r="A76" s="55" t="s">
        <v>104</v>
      </c>
      <c r="B76" s="56"/>
      <c r="C76" s="280"/>
      <c r="D76" s="288" t="e">
        <f t="shared" ref="D76:F76" si="163">#REF!-#REF!</f>
        <v>#REF!</v>
      </c>
      <c r="E76" s="57" t="e">
        <f t="shared" si="163"/>
        <v>#REF!</v>
      </c>
      <c r="F76" s="57" t="e">
        <f t="shared" si="163"/>
        <v>#REF!</v>
      </c>
      <c r="G76" s="57" t="e">
        <f t="shared" ref="G76:I76" si="164">G66-#REF!</f>
        <v>#REF!</v>
      </c>
      <c r="H76" s="57" t="e">
        <f t="shared" si="164"/>
        <v>#REF!</v>
      </c>
      <c r="I76" s="57" t="e">
        <f t="shared" si="164"/>
        <v>#REF!</v>
      </c>
      <c r="J76" s="57" t="e">
        <f t="shared" ref="J76:K76" si="165">#REF!-#REF!</f>
        <v>#REF!</v>
      </c>
      <c r="K76" s="57" t="e">
        <f t="shared" si="165"/>
        <v>#REF!</v>
      </c>
      <c r="L76" s="57">
        <f>L66-L23</f>
        <v>-24911</v>
      </c>
      <c r="M76" s="57">
        <f>M66-M23</f>
        <v>-13674</v>
      </c>
      <c r="N76" s="57">
        <f>N66-N23</f>
        <v>57632</v>
      </c>
      <c r="O76" s="57">
        <f>O66-O23</f>
        <v>74079</v>
      </c>
      <c r="P76" s="289" t="e">
        <f>SUM(D76:O76)</f>
        <v>#REF!</v>
      </c>
      <c r="Q76" s="39"/>
      <c r="R76" s="288">
        <f t="shared" ref="R76:AD76" si="166">R66-R23</f>
        <v>22222.660017050745</v>
      </c>
      <c r="S76" s="58">
        <f t="shared" si="166"/>
        <v>17159.673608830723</v>
      </c>
      <c r="T76" s="58">
        <f t="shared" si="166"/>
        <v>-24753.77192982455</v>
      </c>
      <c r="U76" s="58">
        <f t="shared" si="166"/>
        <v>-17814.899999999998</v>
      </c>
      <c r="V76" s="58">
        <f t="shared" si="166"/>
        <v>1715</v>
      </c>
      <c r="W76" s="290">
        <f t="shared" si="166"/>
        <v>120430.6180497602</v>
      </c>
      <c r="X76" s="290">
        <f t="shared" si="166"/>
        <v>43436.666666667006</v>
      </c>
      <c r="Y76" s="290">
        <f t="shared" si="166"/>
        <v>-29747.083333333314</v>
      </c>
      <c r="Z76" s="290">
        <f t="shared" si="166"/>
        <v>-80887.5</v>
      </c>
      <c r="AA76" s="290">
        <f t="shared" si="166"/>
        <v>10200</v>
      </c>
      <c r="AB76" s="290">
        <f t="shared" si="166"/>
        <v>137500</v>
      </c>
      <c r="AC76" s="290">
        <f t="shared" si="166"/>
        <v>134100</v>
      </c>
      <c r="AD76" s="291">
        <f t="shared" si="166"/>
        <v>333561.36307915067</v>
      </c>
      <c r="AE76" s="59"/>
      <c r="AF76" s="292">
        <f t="shared" ref="AF76:AQ76" si="167">AF66-AF23</f>
        <v>32754</v>
      </c>
      <c r="AG76" s="58">
        <f t="shared" si="167"/>
        <v>-11977</v>
      </c>
      <c r="AH76" s="58">
        <f t="shared" si="167"/>
        <v>76847</v>
      </c>
      <c r="AI76" s="58">
        <f t="shared" si="167"/>
        <v>59682</v>
      </c>
      <c r="AJ76" s="58">
        <f t="shared" si="167"/>
        <v>74226</v>
      </c>
      <c r="AK76" s="58">
        <f t="shared" si="167"/>
        <v>14740</v>
      </c>
      <c r="AL76" s="58">
        <f t="shared" si="167"/>
        <v>38005</v>
      </c>
      <c r="AM76" s="58">
        <f t="shared" si="167"/>
        <v>-71903</v>
      </c>
      <c r="AN76" s="58">
        <f t="shared" si="167"/>
        <v>-90633.333333333343</v>
      </c>
      <c r="AO76" s="58">
        <f t="shared" si="167"/>
        <v>-115900</v>
      </c>
      <c r="AP76" s="58">
        <f t="shared" si="167"/>
        <v>1360</v>
      </c>
      <c r="AQ76" s="58">
        <f t="shared" si="167"/>
        <v>2160</v>
      </c>
      <c r="AR76" s="58">
        <f t="shared" si="151"/>
        <v>9360.666666666657</v>
      </c>
      <c r="AS76" s="59"/>
      <c r="AT76" s="58">
        <f t="shared" ref="AT76:BE76" si="168">AT66-AT23</f>
        <v>-19749.25</v>
      </c>
      <c r="AU76" s="58">
        <f t="shared" si="168"/>
        <v>-43342.103448275855</v>
      </c>
      <c r="AV76" s="58">
        <f t="shared" si="168"/>
        <v>-36893.137931034493</v>
      </c>
      <c r="AW76" s="58">
        <f t="shared" si="168"/>
        <v>-32095.137931034493</v>
      </c>
      <c r="AX76" s="58">
        <f t="shared" si="168"/>
        <v>19900.034482758623</v>
      </c>
      <c r="AY76" s="58">
        <f t="shared" si="168"/>
        <v>19999.222221222211</v>
      </c>
      <c r="AZ76" s="58">
        <f t="shared" si="168"/>
        <v>-14264.777777777781</v>
      </c>
      <c r="BA76" s="58">
        <f t="shared" si="168"/>
        <v>-68922.296296296292</v>
      </c>
      <c r="BB76" s="58">
        <f t="shared" si="168"/>
        <v>-78407.777777777781</v>
      </c>
      <c r="BC76" s="58">
        <f t="shared" si="168"/>
        <v>-95868.290755657828</v>
      </c>
      <c r="BD76" s="58">
        <f t="shared" si="168"/>
        <v>-5124.586881472962</v>
      </c>
      <c r="BE76" s="58">
        <f t="shared" si="168"/>
        <v>-10986.612965093984</v>
      </c>
      <c r="BF76" s="58">
        <f t="shared" si="153"/>
        <v>-365754.71506044065</v>
      </c>
      <c r="BG76" s="59"/>
      <c r="BH76" s="58">
        <f t="shared" ref="BH76:BQ76" si="169">BH66-BH23</f>
        <v>-12993</v>
      </c>
      <c r="BI76" s="58">
        <f t="shared" si="169"/>
        <v>-30242.333333333314</v>
      </c>
      <c r="BJ76" s="58">
        <f t="shared" si="169"/>
        <v>-23206.074074074073</v>
      </c>
      <c r="BK76" s="58">
        <f t="shared" si="169"/>
        <v>-47411.74074074073</v>
      </c>
      <c r="BL76" s="58">
        <f t="shared" si="169"/>
        <v>-23836.851851851854</v>
      </c>
      <c r="BM76" s="58">
        <f t="shared" si="169"/>
        <v>23509.740740740745</v>
      </c>
      <c r="BN76" s="58">
        <f t="shared" si="169"/>
        <v>-33707.555555555562</v>
      </c>
      <c r="BO76" s="58">
        <f t="shared" si="169"/>
        <v>-18896.378111111087</v>
      </c>
      <c r="BP76" s="58">
        <f t="shared" si="169"/>
        <v>-45053.749537037045</v>
      </c>
      <c r="BQ76" s="58">
        <f t="shared" si="169"/>
        <v>-7140</v>
      </c>
      <c r="BR76" s="58"/>
      <c r="BS76" s="58"/>
      <c r="BT76" s="58">
        <f t="shared" si="157"/>
        <v>-218977.94246296291</v>
      </c>
      <c r="BU76" s="60"/>
      <c r="BV76" s="58"/>
      <c r="BW76" s="58"/>
      <c r="BX76" s="58"/>
      <c r="BY76" s="58">
        <f>BY66-BY23</f>
        <v>13630.76923076922</v>
      </c>
      <c r="BZ76" s="58">
        <f t="shared" ref="BZ76:CG76" si="170">BZ66-BZ23</f>
        <v>14117.606582143373</v>
      </c>
      <c r="CA76" s="58">
        <f t="shared" si="170"/>
        <v>16957.870899031579</v>
      </c>
      <c r="CB76" s="58">
        <f t="shared" si="170"/>
        <v>3013.7855523840117</v>
      </c>
      <c r="CC76" s="58">
        <f t="shared" si="170"/>
        <v>-28501.089448851068</v>
      </c>
      <c r="CD76" s="58">
        <f t="shared" si="170"/>
        <v>-40033.040135593415</v>
      </c>
      <c r="CE76" s="58">
        <f t="shared" si="170"/>
        <v>-35922.303862118919</v>
      </c>
      <c r="CF76" s="58">
        <f t="shared" si="170"/>
        <v>-12715.842236301862</v>
      </c>
      <c r="CG76" s="58">
        <f t="shared" si="170"/>
        <v>20516.183308289634</v>
      </c>
      <c r="CJ76" s="58">
        <v>-24964.280965303798</v>
      </c>
      <c r="CK76" s="58">
        <v>-13290.919934367063</v>
      </c>
      <c r="CL76" s="58">
        <v>-40073.366774036636</v>
      </c>
      <c r="CM76" s="58">
        <v>28714.280928205117</v>
      </c>
    </row>
    <row r="77" spans="1:100" ht="15" customHeight="1">
      <c r="BZ77" s="598"/>
      <c r="CA77" s="598">
        <f>BZ77+CA76</f>
        <v>16957.870899031579</v>
      </c>
      <c r="CB77" s="598">
        <f t="shared" ref="CB77:CG77" si="171">CA77+CB76</f>
        <v>19971.656451415591</v>
      </c>
      <c r="CC77" s="598">
        <f t="shared" si="171"/>
        <v>-8529.4329974354769</v>
      </c>
      <c r="CD77" s="598">
        <f t="shared" si="171"/>
        <v>-48562.473133028892</v>
      </c>
      <c r="CE77" s="598">
        <f t="shared" si="171"/>
        <v>-84484.776995147811</v>
      </c>
      <c r="CF77" s="598">
        <f t="shared" si="171"/>
        <v>-97200.619231449673</v>
      </c>
      <c r="CG77" s="598">
        <f t="shared" si="171"/>
        <v>-76684.435923160039</v>
      </c>
    </row>
  </sheetData>
  <mergeCells count="24">
    <mergeCell ref="B35:C35"/>
    <mergeCell ref="B36:C36"/>
    <mergeCell ref="CJ1:CU1"/>
    <mergeCell ref="R1:AD1"/>
    <mergeCell ref="AF1:AR1"/>
    <mergeCell ref="AT1:BF1"/>
    <mergeCell ref="BH1:BS1"/>
    <mergeCell ref="BV1:CG1"/>
    <mergeCell ref="B37:C37"/>
    <mergeCell ref="B38:C38"/>
    <mergeCell ref="B47:C47"/>
    <mergeCell ref="CJ2:CU2"/>
    <mergeCell ref="B29:C29"/>
    <mergeCell ref="B30:C30"/>
    <mergeCell ref="B31:C31"/>
    <mergeCell ref="B32:C32"/>
    <mergeCell ref="B33:C33"/>
    <mergeCell ref="D2:P2"/>
    <mergeCell ref="R2:AD2"/>
    <mergeCell ref="AF2:AR2"/>
    <mergeCell ref="AT2:BF2"/>
    <mergeCell ref="BH2:BS2"/>
    <mergeCell ref="BV2:CG2"/>
    <mergeCell ref="B34:C34"/>
  </mergeCells>
  <pageMargins left="0.25" right="0.25" top="0.75" bottom="0.75" header="0" footer="0"/>
  <pageSetup paperSize="9" scale="55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F6EC-8430-49F6-8D88-E771FB86A037}">
  <dimension ref="B2:Y187"/>
  <sheetViews>
    <sheetView workbookViewId="0">
      <selection activeCell="V1" sqref="V1"/>
    </sheetView>
  </sheetViews>
  <sheetFormatPr defaultRowHeight="15"/>
  <cols>
    <col min="3" max="3" width="13.42578125" customWidth="1"/>
    <col min="4" max="4" width="15.5703125" customWidth="1"/>
    <col min="5" max="5" width="16" customWidth="1"/>
    <col min="6" max="6" width="17.140625" customWidth="1"/>
    <col min="7" max="7" width="19" customWidth="1"/>
    <col min="8" max="8" width="12.42578125" customWidth="1"/>
    <col min="19" max="19" width="16.28515625" customWidth="1"/>
    <col min="20" max="20" width="17.85546875" customWidth="1"/>
    <col min="21" max="21" width="14.5703125" customWidth="1"/>
    <col min="22" max="22" width="26.42578125" customWidth="1"/>
  </cols>
  <sheetData>
    <row r="2" spans="2:25">
      <c r="B2" s="647"/>
      <c r="C2" s="647">
        <v>157091</v>
      </c>
      <c r="D2" s="647">
        <v>138943</v>
      </c>
      <c r="E2" s="647">
        <v>13214</v>
      </c>
      <c r="F2" s="647">
        <v>149620</v>
      </c>
      <c r="G2" s="647">
        <v>110730</v>
      </c>
      <c r="H2" s="647">
        <v>-46361</v>
      </c>
      <c r="L2" s="647"/>
      <c r="M2" s="647"/>
      <c r="N2" s="647"/>
      <c r="O2" s="647"/>
      <c r="P2" s="647"/>
      <c r="Q2" s="647"/>
      <c r="R2" s="647"/>
      <c r="S2" s="647">
        <v>157091</v>
      </c>
      <c r="T2" s="647">
        <v>138943</v>
      </c>
      <c r="U2" s="647">
        <v>13214</v>
      </c>
      <c r="V2" s="647">
        <v>149620</v>
      </c>
      <c r="W2" s="647"/>
      <c r="X2" s="647">
        <v>110730</v>
      </c>
      <c r="Y2" s="647"/>
    </row>
    <row r="3" spans="2:25" ht="46.5">
      <c r="B3" s="648" t="s">
        <v>290</v>
      </c>
      <c r="C3" s="649" t="s">
        <v>291</v>
      </c>
      <c r="D3" s="649" t="s">
        <v>292</v>
      </c>
      <c r="E3" s="649" t="s">
        <v>293</v>
      </c>
      <c r="F3" s="649" t="s">
        <v>294</v>
      </c>
      <c r="G3" s="650" t="s">
        <v>295</v>
      </c>
      <c r="H3" s="651" t="s">
        <v>296</v>
      </c>
      <c r="L3" s="648" t="s">
        <v>290</v>
      </c>
      <c r="M3" s="673" t="s">
        <v>297</v>
      </c>
      <c r="N3" s="674" t="s">
        <v>298</v>
      </c>
      <c r="O3" s="674" t="s">
        <v>299</v>
      </c>
      <c r="P3" s="674" t="s">
        <v>300</v>
      </c>
      <c r="Q3" s="674" t="s">
        <v>301</v>
      </c>
      <c r="R3" s="674" t="s">
        <v>302</v>
      </c>
      <c r="S3" s="674" t="s">
        <v>291</v>
      </c>
      <c r="T3" s="674" t="s">
        <v>292</v>
      </c>
      <c r="U3" s="674" t="s">
        <v>293</v>
      </c>
      <c r="V3" s="675" t="s">
        <v>294</v>
      </c>
      <c r="W3" s="676" t="s">
        <v>303</v>
      </c>
      <c r="X3" s="676" t="s">
        <v>295</v>
      </c>
      <c r="Y3" s="677" t="s">
        <v>296</v>
      </c>
    </row>
    <row r="4" spans="2:25">
      <c r="B4" s="652" t="s">
        <v>304</v>
      </c>
      <c r="C4" s="653">
        <v>4363</v>
      </c>
      <c r="D4" s="653">
        <v>3723</v>
      </c>
      <c r="E4" s="653">
        <v>1469</v>
      </c>
      <c r="F4" s="653">
        <v>4786</v>
      </c>
      <c r="G4" s="654">
        <v>3838</v>
      </c>
      <c r="H4" s="655">
        <v>-525</v>
      </c>
      <c r="L4" s="652" t="s">
        <v>304</v>
      </c>
      <c r="M4" s="653" t="s">
        <v>234</v>
      </c>
      <c r="N4" s="639" t="s">
        <v>305</v>
      </c>
      <c r="O4" s="639" t="s">
        <v>145</v>
      </c>
      <c r="P4" s="639" t="s">
        <v>306</v>
      </c>
      <c r="Q4" s="639">
        <v>401302</v>
      </c>
      <c r="R4" s="639" t="s">
        <v>307</v>
      </c>
      <c r="S4" s="639">
        <v>230</v>
      </c>
      <c r="T4" s="653">
        <v>205</v>
      </c>
      <c r="U4" s="653" t="s">
        <v>308</v>
      </c>
      <c r="V4" s="653">
        <v>205</v>
      </c>
      <c r="W4" s="653" t="s">
        <v>308</v>
      </c>
      <c r="X4" s="653">
        <v>-56</v>
      </c>
      <c r="Y4" s="666">
        <v>-286</v>
      </c>
    </row>
    <row r="5" spans="2:25">
      <c r="B5" s="652" t="s">
        <v>231</v>
      </c>
      <c r="C5" s="653">
        <v>4205</v>
      </c>
      <c r="D5" s="653">
        <v>2441</v>
      </c>
      <c r="E5" s="653">
        <v>2312</v>
      </c>
      <c r="F5" s="653">
        <v>4114</v>
      </c>
      <c r="G5" s="654">
        <v>-1320</v>
      </c>
      <c r="H5" s="656">
        <v>-5525</v>
      </c>
      <c r="L5" s="652" t="s">
        <v>304</v>
      </c>
      <c r="M5" s="653" t="s">
        <v>234</v>
      </c>
      <c r="N5" s="639" t="s">
        <v>305</v>
      </c>
      <c r="O5" s="639" t="s">
        <v>145</v>
      </c>
      <c r="P5" s="639" t="s">
        <v>306</v>
      </c>
      <c r="Q5" s="639">
        <v>401309</v>
      </c>
      <c r="R5" s="639" t="s">
        <v>309</v>
      </c>
      <c r="S5" s="639">
        <v>391</v>
      </c>
      <c r="T5" s="653">
        <v>310</v>
      </c>
      <c r="U5" s="653" t="s">
        <v>308</v>
      </c>
      <c r="V5" s="653">
        <v>310</v>
      </c>
      <c r="W5" s="653" t="s">
        <v>308</v>
      </c>
      <c r="X5" s="653">
        <v>441</v>
      </c>
      <c r="Y5" s="666">
        <v>50</v>
      </c>
    </row>
    <row r="6" spans="2:25">
      <c r="B6" s="652" t="s">
        <v>242</v>
      </c>
      <c r="C6" s="653">
        <v>26298</v>
      </c>
      <c r="D6" s="653">
        <v>25131</v>
      </c>
      <c r="E6" s="653">
        <v>4298</v>
      </c>
      <c r="F6" s="653">
        <v>29212</v>
      </c>
      <c r="G6" s="654">
        <v>25229</v>
      </c>
      <c r="H6" s="656">
        <v>-1069</v>
      </c>
      <c r="L6" s="652" t="s">
        <v>304</v>
      </c>
      <c r="M6" s="653" t="s">
        <v>234</v>
      </c>
      <c r="N6" s="639" t="s">
        <v>305</v>
      </c>
      <c r="O6" s="639" t="s">
        <v>145</v>
      </c>
      <c r="P6" s="639" t="s">
        <v>306</v>
      </c>
      <c r="Q6" s="639">
        <v>401700</v>
      </c>
      <c r="R6" s="639" t="s">
        <v>310</v>
      </c>
      <c r="S6" s="639">
        <v>194</v>
      </c>
      <c r="T6" s="653">
        <v>167</v>
      </c>
      <c r="U6" s="653">
        <v>293</v>
      </c>
      <c r="V6" s="653">
        <v>293</v>
      </c>
      <c r="W6" s="653" t="s">
        <v>293</v>
      </c>
      <c r="X6" s="653">
        <v>53</v>
      </c>
      <c r="Y6" s="666">
        <v>-141</v>
      </c>
    </row>
    <row r="7" spans="2:25">
      <c r="B7" s="652" t="s">
        <v>212</v>
      </c>
      <c r="C7" s="653">
        <v>44374</v>
      </c>
      <c r="D7" s="653">
        <v>30467</v>
      </c>
      <c r="E7" s="653">
        <v>787</v>
      </c>
      <c r="F7" s="653">
        <v>31253</v>
      </c>
      <c r="G7" s="654">
        <v>7877</v>
      </c>
      <c r="H7" s="656">
        <v>-36497</v>
      </c>
      <c r="L7" s="652" t="s">
        <v>304</v>
      </c>
      <c r="M7" s="653" t="s">
        <v>311</v>
      </c>
      <c r="N7" s="639" t="s">
        <v>305</v>
      </c>
      <c r="O7" s="639" t="s">
        <v>145</v>
      </c>
      <c r="P7" s="639" t="s">
        <v>306</v>
      </c>
      <c r="Q7" s="639">
        <v>402101</v>
      </c>
      <c r="R7" s="639" t="s">
        <v>312</v>
      </c>
      <c r="S7" s="639">
        <v>367</v>
      </c>
      <c r="T7" s="653">
        <v>359</v>
      </c>
      <c r="U7" s="653" t="s">
        <v>308</v>
      </c>
      <c r="V7" s="653">
        <v>359</v>
      </c>
      <c r="W7" s="653" t="s">
        <v>308</v>
      </c>
      <c r="X7" s="653">
        <v>-221</v>
      </c>
      <c r="Y7" s="666">
        <v>-588</v>
      </c>
    </row>
    <row r="8" spans="2:25">
      <c r="B8" s="652" t="s">
        <v>238</v>
      </c>
      <c r="C8" s="653">
        <v>26904</v>
      </c>
      <c r="D8" s="653">
        <v>27099</v>
      </c>
      <c r="E8" s="653">
        <v>205</v>
      </c>
      <c r="F8" s="653">
        <v>27287</v>
      </c>
      <c r="G8" s="654">
        <v>32559</v>
      </c>
      <c r="H8" s="657">
        <v>5655</v>
      </c>
      <c r="L8" s="652" t="s">
        <v>304</v>
      </c>
      <c r="M8" s="653" t="s">
        <v>311</v>
      </c>
      <c r="N8" s="639" t="s">
        <v>305</v>
      </c>
      <c r="O8" s="639" t="s">
        <v>145</v>
      </c>
      <c r="P8" s="639" t="s">
        <v>306</v>
      </c>
      <c r="Q8" s="639">
        <v>402102</v>
      </c>
      <c r="R8" s="639" t="s">
        <v>313</v>
      </c>
      <c r="S8" s="639">
        <v>410</v>
      </c>
      <c r="T8" s="653">
        <v>425</v>
      </c>
      <c r="U8" s="653" t="s">
        <v>308</v>
      </c>
      <c r="V8" s="653">
        <v>425</v>
      </c>
      <c r="W8" s="653" t="s">
        <v>308</v>
      </c>
      <c r="X8" s="653">
        <v>402</v>
      </c>
      <c r="Y8" s="666">
        <v>-8</v>
      </c>
    </row>
    <row r="9" spans="2:25">
      <c r="B9" s="652" t="s">
        <v>219</v>
      </c>
      <c r="C9" s="653">
        <v>13077</v>
      </c>
      <c r="D9" s="653">
        <v>11734</v>
      </c>
      <c r="E9" s="653">
        <v>1917</v>
      </c>
      <c r="F9" s="653">
        <v>13044</v>
      </c>
      <c r="G9" s="654">
        <v>13932</v>
      </c>
      <c r="H9" s="657">
        <v>855</v>
      </c>
      <c r="L9" s="652" t="s">
        <v>231</v>
      </c>
      <c r="M9" s="653" t="s">
        <v>143</v>
      </c>
      <c r="N9" s="639" t="s">
        <v>305</v>
      </c>
      <c r="O9" s="639" t="s">
        <v>145</v>
      </c>
      <c r="P9" s="639" t="s">
        <v>306</v>
      </c>
      <c r="Q9" s="639">
        <v>403300</v>
      </c>
      <c r="R9" s="639" t="s">
        <v>314</v>
      </c>
      <c r="S9" s="639">
        <v>290</v>
      </c>
      <c r="T9" s="653">
        <v>314</v>
      </c>
      <c r="U9" s="653" t="s">
        <v>308</v>
      </c>
      <c r="V9" s="653">
        <v>314</v>
      </c>
      <c r="W9" s="653" t="s">
        <v>308</v>
      </c>
      <c r="X9" s="653">
        <v>383</v>
      </c>
      <c r="Y9" s="666">
        <v>93</v>
      </c>
    </row>
    <row r="10" spans="2:25">
      <c r="B10" s="652" t="s">
        <v>200</v>
      </c>
      <c r="C10" s="653">
        <v>5614</v>
      </c>
      <c r="D10" s="653">
        <v>4154</v>
      </c>
      <c r="E10" s="653">
        <v>1987</v>
      </c>
      <c r="F10" s="653">
        <v>5623</v>
      </c>
      <c r="G10" s="654">
        <v>4332</v>
      </c>
      <c r="H10" s="656">
        <v>-1282</v>
      </c>
      <c r="L10" s="652" t="s">
        <v>231</v>
      </c>
      <c r="M10" s="653" t="s">
        <v>315</v>
      </c>
      <c r="N10" s="639" t="s">
        <v>305</v>
      </c>
      <c r="O10" s="639" t="s">
        <v>145</v>
      </c>
      <c r="P10" s="639" t="s">
        <v>306</v>
      </c>
      <c r="Q10" s="639">
        <v>406600</v>
      </c>
      <c r="R10" s="639" t="s">
        <v>316</v>
      </c>
      <c r="S10" s="639">
        <v>652</v>
      </c>
      <c r="T10" s="653">
        <v>257</v>
      </c>
      <c r="U10" s="653" t="s">
        <v>308</v>
      </c>
      <c r="V10" s="653">
        <v>257</v>
      </c>
      <c r="W10" s="653" t="s">
        <v>308</v>
      </c>
      <c r="X10" s="653">
        <v>-575</v>
      </c>
      <c r="Y10" s="666">
        <v>-1227</v>
      </c>
    </row>
    <row r="11" spans="2:25">
      <c r="B11" s="652" t="s">
        <v>247</v>
      </c>
      <c r="C11" s="653">
        <v>7625</v>
      </c>
      <c r="D11" s="653">
        <v>7722</v>
      </c>
      <c r="E11" s="653">
        <v>0</v>
      </c>
      <c r="F11" s="653">
        <v>7722</v>
      </c>
      <c r="G11" s="654">
        <v>1385</v>
      </c>
      <c r="H11" s="656">
        <v>-6240</v>
      </c>
      <c r="L11" s="652" t="s">
        <v>231</v>
      </c>
      <c r="M11" s="653" t="s">
        <v>317</v>
      </c>
      <c r="N11" s="639" t="s">
        <v>305</v>
      </c>
      <c r="O11" s="639" t="s">
        <v>145</v>
      </c>
      <c r="P11" s="639" t="s">
        <v>306</v>
      </c>
      <c r="Q11" s="639">
        <v>406604</v>
      </c>
      <c r="R11" s="639" t="s">
        <v>318</v>
      </c>
      <c r="S11" s="639">
        <v>161</v>
      </c>
      <c r="T11" s="653">
        <v>143</v>
      </c>
      <c r="U11" s="653">
        <v>300</v>
      </c>
      <c r="V11" s="653">
        <v>300</v>
      </c>
      <c r="W11" s="653" t="s">
        <v>308</v>
      </c>
      <c r="X11" s="653">
        <v>-391</v>
      </c>
      <c r="Y11" s="666">
        <v>-552</v>
      </c>
    </row>
    <row r="12" spans="2:25">
      <c r="B12" s="652" t="s">
        <v>208</v>
      </c>
      <c r="C12" s="653">
        <v>768</v>
      </c>
      <c r="D12" s="653">
        <v>1058</v>
      </c>
      <c r="E12" s="653">
        <v>0</v>
      </c>
      <c r="F12" s="653">
        <v>1058</v>
      </c>
      <c r="G12" s="654">
        <v>1212</v>
      </c>
      <c r="H12" s="657">
        <v>444</v>
      </c>
      <c r="L12" s="652" t="s">
        <v>231</v>
      </c>
      <c r="M12" s="653" t="s">
        <v>315</v>
      </c>
      <c r="N12" s="639" t="s">
        <v>305</v>
      </c>
      <c r="O12" s="639" t="s">
        <v>145</v>
      </c>
      <c r="P12" s="639" t="s">
        <v>306</v>
      </c>
      <c r="Q12" s="639">
        <v>406608</v>
      </c>
      <c r="R12" s="639" t="s">
        <v>319</v>
      </c>
      <c r="S12" s="639">
        <v>103</v>
      </c>
      <c r="T12" s="653">
        <v>5</v>
      </c>
      <c r="U12" s="653">
        <v>274</v>
      </c>
      <c r="V12" s="653">
        <v>274</v>
      </c>
      <c r="W12" s="653" t="s">
        <v>308</v>
      </c>
      <c r="X12" s="653">
        <v>-99</v>
      </c>
      <c r="Y12" s="666">
        <v>-202</v>
      </c>
    </row>
    <row r="13" spans="2:25">
      <c r="B13" s="652" t="s">
        <v>228</v>
      </c>
      <c r="C13" s="653">
        <v>5173</v>
      </c>
      <c r="D13" s="653">
        <v>5311</v>
      </c>
      <c r="E13" s="653">
        <v>239</v>
      </c>
      <c r="F13" s="653">
        <v>5418</v>
      </c>
      <c r="G13" s="654">
        <v>1803</v>
      </c>
      <c r="H13" s="656">
        <v>-3370</v>
      </c>
      <c r="L13" s="652" t="s">
        <v>304</v>
      </c>
      <c r="M13" s="653" t="s">
        <v>234</v>
      </c>
      <c r="N13" s="639" t="s">
        <v>305</v>
      </c>
      <c r="O13" s="639" t="s">
        <v>145</v>
      </c>
      <c r="P13" s="639" t="s">
        <v>320</v>
      </c>
      <c r="Q13" s="639">
        <v>401310</v>
      </c>
      <c r="R13" s="639" t="s">
        <v>321</v>
      </c>
      <c r="S13" s="639">
        <v>143</v>
      </c>
      <c r="T13" s="653">
        <v>168</v>
      </c>
      <c r="U13" s="653">
        <v>140</v>
      </c>
      <c r="V13" s="653">
        <v>168</v>
      </c>
      <c r="W13" s="653" t="s">
        <v>308</v>
      </c>
      <c r="X13" s="653">
        <v>534</v>
      </c>
      <c r="Y13" s="666">
        <v>391</v>
      </c>
    </row>
    <row r="14" spans="2:25">
      <c r="B14" s="658" t="s">
        <v>235</v>
      </c>
      <c r="C14" s="659">
        <v>18690</v>
      </c>
      <c r="D14" s="659">
        <v>20104</v>
      </c>
      <c r="E14" s="659">
        <v>0</v>
      </c>
      <c r="F14" s="659">
        <v>20104</v>
      </c>
      <c r="G14" s="660">
        <v>19883</v>
      </c>
      <c r="H14" s="672">
        <v>1193</v>
      </c>
      <c r="L14" s="652" t="s">
        <v>304</v>
      </c>
      <c r="M14" s="653" t="s">
        <v>234</v>
      </c>
      <c r="N14" s="639" t="s">
        <v>305</v>
      </c>
      <c r="O14" s="639" t="s">
        <v>145</v>
      </c>
      <c r="P14" s="639" t="s">
        <v>320</v>
      </c>
      <c r="Q14" s="639">
        <v>401311</v>
      </c>
      <c r="R14" s="639" t="s">
        <v>321</v>
      </c>
      <c r="S14" s="639">
        <v>85</v>
      </c>
      <c r="T14" s="653">
        <v>69</v>
      </c>
      <c r="U14" s="653">
        <v>97</v>
      </c>
      <c r="V14" s="653">
        <v>97</v>
      </c>
      <c r="W14" s="653" t="s">
        <v>308</v>
      </c>
      <c r="X14" s="653">
        <v>221</v>
      </c>
      <c r="Y14" s="666">
        <v>136</v>
      </c>
    </row>
    <row r="15" spans="2:25">
      <c r="B15" s="647"/>
      <c r="C15" s="647"/>
      <c r="D15" s="647"/>
      <c r="E15" s="647"/>
      <c r="F15" s="647"/>
      <c r="G15" s="647"/>
      <c r="H15" s="647"/>
      <c r="L15" s="652" t="s">
        <v>242</v>
      </c>
      <c r="M15" s="653" t="s">
        <v>234</v>
      </c>
      <c r="N15" s="639" t="s">
        <v>305</v>
      </c>
      <c r="O15" s="639" t="s">
        <v>145</v>
      </c>
      <c r="P15" s="639" t="s">
        <v>320</v>
      </c>
      <c r="Q15" s="639">
        <v>401600</v>
      </c>
      <c r="R15" s="639" t="s">
        <v>322</v>
      </c>
      <c r="S15" s="639">
        <v>91</v>
      </c>
      <c r="T15" s="653">
        <v>110</v>
      </c>
      <c r="U15" s="653">
        <v>54</v>
      </c>
      <c r="V15" s="653">
        <v>110</v>
      </c>
      <c r="W15" s="653" t="s">
        <v>308</v>
      </c>
      <c r="X15" s="653">
        <v>-42</v>
      </c>
      <c r="Y15" s="666">
        <v>-133</v>
      </c>
    </row>
    <row r="16" spans="2:25">
      <c r="B16" s="647"/>
      <c r="C16" s="647"/>
      <c r="D16" s="647"/>
      <c r="E16" s="647"/>
      <c r="F16" s="647"/>
      <c r="G16" s="647"/>
      <c r="H16" s="647"/>
      <c r="L16" s="652" t="s">
        <v>231</v>
      </c>
      <c r="M16" s="653" t="s">
        <v>143</v>
      </c>
      <c r="N16" s="639" t="s">
        <v>305</v>
      </c>
      <c r="O16" s="639" t="s">
        <v>145</v>
      </c>
      <c r="P16" s="639" t="s">
        <v>320</v>
      </c>
      <c r="Q16" s="639">
        <v>403301</v>
      </c>
      <c r="R16" s="639" t="s">
        <v>323</v>
      </c>
      <c r="S16" s="639">
        <v>77</v>
      </c>
      <c r="T16" s="653">
        <v>100</v>
      </c>
      <c r="U16" s="653">
        <v>58</v>
      </c>
      <c r="V16" s="653">
        <v>100</v>
      </c>
      <c r="W16" s="653" t="s">
        <v>308</v>
      </c>
      <c r="X16" s="653">
        <v>-13</v>
      </c>
      <c r="Y16" s="666">
        <v>-90</v>
      </c>
    </row>
    <row r="17" spans="2:25">
      <c r="B17" s="661">
        <v>1</v>
      </c>
      <c r="C17" s="647">
        <v>157091</v>
      </c>
      <c r="D17" s="647">
        <v>138943</v>
      </c>
      <c r="E17" s="647">
        <v>13214</v>
      </c>
      <c r="F17" s="647">
        <v>149620</v>
      </c>
      <c r="G17" s="647"/>
      <c r="H17" s="647"/>
      <c r="L17" s="652" t="s">
        <v>231</v>
      </c>
      <c r="M17" s="653" t="s">
        <v>143</v>
      </c>
      <c r="N17" s="639" t="s">
        <v>305</v>
      </c>
      <c r="O17" s="639" t="s">
        <v>145</v>
      </c>
      <c r="P17" s="639" t="s">
        <v>320</v>
      </c>
      <c r="Q17" s="639">
        <v>403306</v>
      </c>
      <c r="R17" s="639" t="s">
        <v>324</v>
      </c>
      <c r="S17" s="639">
        <v>154</v>
      </c>
      <c r="T17" s="653">
        <v>162</v>
      </c>
      <c r="U17" s="653">
        <v>148</v>
      </c>
      <c r="V17" s="653">
        <v>162</v>
      </c>
      <c r="W17" s="653" t="s">
        <v>308</v>
      </c>
      <c r="X17" s="653">
        <v>98</v>
      </c>
      <c r="Y17" s="666">
        <v>-56</v>
      </c>
    </row>
    <row r="18" spans="2:25">
      <c r="B18" s="647"/>
      <c r="C18" s="647">
        <v>157091</v>
      </c>
      <c r="D18" s="647">
        <v>138943</v>
      </c>
      <c r="E18" s="647">
        <v>13214</v>
      </c>
      <c r="F18" s="647">
        <v>149620</v>
      </c>
      <c r="G18" s="647">
        <v>110730</v>
      </c>
      <c r="H18" s="647">
        <v>-46361</v>
      </c>
      <c r="L18" s="652" t="s">
        <v>231</v>
      </c>
      <c r="M18" s="653" t="s">
        <v>315</v>
      </c>
      <c r="N18" s="639" t="s">
        <v>305</v>
      </c>
      <c r="O18" s="639" t="s">
        <v>145</v>
      </c>
      <c r="P18" s="639" t="s">
        <v>320</v>
      </c>
      <c r="Q18" s="639">
        <v>406606</v>
      </c>
      <c r="R18" s="639" t="s">
        <v>325</v>
      </c>
      <c r="S18" s="639">
        <v>76</v>
      </c>
      <c r="T18" s="653">
        <v>87</v>
      </c>
      <c r="U18" s="653">
        <v>94</v>
      </c>
      <c r="V18" s="653">
        <v>94</v>
      </c>
      <c r="W18" s="653" t="s">
        <v>308</v>
      </c>
      <c r="X18" s="653">
        <v>-33</v>
      </c>
      <c r="Y18" s="666">
        <v>-109</v>
      </c>
    </row>
    <row r="19" spans="2:25" ht="43.5">
      <c r="B19" s="662" t="s">
        <v>290</v>
      </c>
      <c r="C19" s="663" t="s">
        <v>291</v>
      </c>
      <c r="D19" s="663" t="s">
        <v>292</v>
      </c>
      <c r="E19" s="663" t="s">
        <v>293</v>
      </c>
      <c r="F19" s="651" t="s">
        <v>294</v>
      </c>
      <c r="G19" s="668" t="s">
        <v>326</v>
      </c>
      <c r="H19" s="651" t="s">
        <v>296</v>
      </c>
      <c r="L19" s="652" t="s">
        <v>242</v>
      </c>
      <c r="M19" s="653" t="s">
        <v>234</v>
      </c>
      <c r="N19" s="639" t="s">
        <v>305</v>
      </c>
      <c r="O19" s="639" t="s">
        <v>327</v>
      </c>
      <c r="P19" s="639" t="s">
        <v>306</v>
      </c>
      <c r="Q19" s="639">
        <v>121000</v>
      </c>
      <c r="R19" s="639" t="s">
        <v>328</v>
      </c>
      <c r="S19" s="639">
        <v>1137</v>
      </c>
      <c r="T19" s="653">
        <v>1208</v>
      </c>
      <c r="U19" s="653" t="s">
        <v>308</v>
      </c>
      <c r="V19" s="653">
        <v>1208</v>
      </c>
      <c r="W19" s="653" t="s">
        <v>308</v>
      </c>
      <c r="X19" s="653">
        <v>1483</v>
      </c>
      <c r="Y19" s="666">
        <v>346</v>
      </c>
    </row>
    <row r="20" spans="2:25">
      <c r="B20" s="664" t="s">
        <v>234</v>
      </c>
      <c r="C20" s="665">
        <v>61601</v>
      </c>
      <c r="D20" s="665">
        <v>60320</v>
      </c>
      <c r="E20" s="665">
        <v>5436</v>
      </c>
      <c r="F20" s="665">
        <v>65116</v>
      </c>
      <c r="G20" s="653">
        <v>58356</v>
      </c>
      <c r="H20" s="669">
        <v>-3245</v>
      </c>
      <c r="L20" s="652" t="s">
        <v>242</v>
      </c>
      <c r="M20" s="653" t="s">
        <v>234</v>
      </c>
      <c r="N20" s="639" t="s">
        <v>305</v>
      </c>
      <c r="O20" s="639" t="s">
        <v>327</v>
      </c>
      <c r="P20" s="639" t="s">
        <v>306</v>
      </c>
      <c r="Q20" s="639">
        <v>121301</v>
      </c>
      <c r="R20" s="639" t="s">
        <v>329</v>
      </c>
      <c r="S20" s="639">
        <v>539</v>
      </c>
      <c r="T20" s="653">
        <v>551</v>
      </c>
      <c r="U20" s="653" t="s">
        <v>308</v>
      </c>
      <c r="V20" s="653">
        <v>551</v>
      </c>
      <c r="W20" s="653" t="s">
        <v>308</v>
      </c>
      <c r="X20" s="653">
        <v>265</v>
      </c>
      <c r="Y20" s="666">
        <v>-274</v>
      </c>
    </row>
    <row r="21" spans="2:25">
      <c r="B21" s="652" t="s">
        <v>311</v>
      </c>
      <c r="C21" s="653">
        <v>3707</v>
      </c>
      <c r="D21" s="653">
        <v>3345</v>
      </c>
      <c r="E21" s="653">
        <v>104</v>
      </c>
      <c r="F21" s="653">
        <v>3448</v>
      </c>
      <c r="G21" s="653">
        <v>2869</v>
      </c>
      <c r="H21" s="670">
        <v>-838</v>
      </c>
      <c r="L21" s="652" t="s">
        <v>242</v>
      </c>
      <c r="M21" s="653" t="s">
        <v>234</v>
      </c>
      <c r="N21" s="639" t="s">
        <v>305</v>
      </c>
      <c r="O21" s="639" t="s">
        <v>327</v>
      </c>
      <c r="P21" s="639" t="s">
        <v>306</v>
      </c>
      <c r="Q21" s="639">
        <v>121704</v>
      </c>
      <c r="R21" s="639" t="s">
        <v>330</v>
      </c>
      <c r="S21" s="639">
        <v>856</v>
      </c>
      <c r="T21" s="653">
        <v>915</v>
      </c>
      <c r="U21" s="653" t="s">
        <v>308</v>
      </c>
      <c r="V21" s="653">
        <v>915</v>
      </c>
      <c r="W21" s="653" t="s">
        <v>308</v>
      </c>
      <c r="X21" s="653">
        <v>911</v>
      </c>
      <c r="Y21" s="666">
        <v>55</v>
      </c>
    </row>
    <row r="22" spans="2:25">
      <c r="B22" s="652" t="s">
        <v>143</v>
      </c>
      <c r="C22" s="653">
        <v>64390</v>
      </c>
      <c r="D22" s="653">
        <v>47593</v>
      </c>
      <c r="E22" s="653">
        <v>5019</v>
      </c>
      <c r="F22" s="653">
        <v>51468</v>
      </c>
      <c r="G22" s="653">
        <v>21582</v>
      </c>
      <c r="H22" s="670">
        <v>-42808</v>
      </c>
      <c r="L22" s="652" t="s">
        <v>212</v>
      </c>
      <c r="M22" s="653" t="s">
        <v>143</v>
      </c>
      <c r="N22" s="639" t="s">
        <v>305</v>
      </c>
      <c r="O22" s="639" t="s">
        <v>327</v>
      </c>
      <c r="P22" s="639" t="s">
        <v>306</v>
      </c>
      <c r="Q22" s="639">
        <v>123007</v>
      </c>
      <c r="R22" s="639" t="s">
        <v>331</v>
      </c>
      <c r="S22" s="639">
        <v>952</v>
      </c>
      <c r="T22" s="653">
        <v>539</v>
      </c>
      <c r="U22" s="653" t="s">
        <v>308</v>
      </c>
      <c r="V22" s="653">
        <v>539</v>
      </c>
      <c r="W22" s="653" t="s">
        <v>308</v>
      </c>
      <c r="X22" s="653">
        <v>15</v>
      </c>
      <c r="Y22" s="666">
        <v>-937</v>
      </c>
    </row>
    <row r="23" spans="2:25">
      <c r="B23" s="652" t="s">
        <v>315</v>
      </c>
      <c r="C23" s="653">
        <v>1599</v>
      </c>
      <c r="D23" s="653">
        <v>1407</v>
      </c>
      <c r="E23" s="653">
        <v>368</v>
      </c>
      <c r="F23" s="653">
        <v>1684</v>
      </c>
      <c r="G23" s="653">
        <v>505</v>
      </c>
      <c r="H23" s="670">
        <v>-1094</v>
      </c>
      <c r="L23" s="652" t="s">
        <v>212</v>
      </c>
      <c r="M23" s="653" t="s">
        <v>143</v>
      </c>
      <c r="N23" s="639" t="s">
        <v>305</v>
      </c>
      <c r="O23" s="639" t="s">
        <v>327</v>
      </c>
      <c r="P23" s="639" t="s">
        <v>306</v>
      </c>
      <c r="Q23" s="639">
        <v>123101</v>
      </c>
      <c r="R23" s="639" t="s">
        <v>332</v>
      </c>
      <c r="S23" s="639">
        <v>1470</v>
      </c>
      <c r="T23" s="653">
        <v>733</v>
      </c>
      <c r="U23" s="653" t="s">
        <v>308</v>
      </c>
      <c r="V23" s="653">
        <v>733</v>
      </c>
      <c r="W23" s="653" t="s">
        <v>308</v>
      </c>
      <c r="X23" s="653">
        <v>571</v>
      </c>
      <c r="Y23" s="666">
        <v>-899</v>
      </c>
    </row>
    <row r="24" spans="2:25">
      <c r="B24" s="652" t="s">
        <v>317</v>
      </c>
      <c r="C24" s="653">
        <v>161</v>
      </c>
      <c r="D24" s="653">
        <v>143</v>
      </c>
      <c r="E24" s="653">
        <v>300</v>
      </c>
      <c r="F24" s="653">
        <v>300</v>
      </c>
      <c r="G24" s="653">
        <v>-391</v>
      </c>
      <c r="H24" s="670">
        <v>-552</v>
      </c>
      <c r="L24" s="652" t="s">
        <v>212</v>
      </c>
      <c r="M24" s="653" t="s">
        <v>143</v>
      </c>
      <c r="N24" s="639" t="s">
        <v>305</v>
      </c>
      <c r="O24" s="639" t="s">
        <v>327</v>
      </c>
      <c r="P24" s="639" t="s">
        <v>306</v>
      </c>
      <c r="Q24" s="639">
        <v>123700</v>
      </c>
      <c r="R24" s="639" t="s">
        <v>333</v>
      </c>
      <c r="S24" s="639">
        <v>185</v>
      </c>
      <c r="T24" s="653">
        <v>247</v>
      </c>
      <c r="U24" s="653" t="s">
        <v>308</v>
      </c>
      <c r="V24" s="653">
        <v>247</v>
      </c>
      <c r="W24" s="653" t="s">
        <v>308</v>
      </c>
      <c r="X24" s="653">
        <v>-16</v>
      </c>
      <c r="Y24" s="666">
        <v>-201</v>
      </c>
    </row>
    <row r="25" spans="2:25">
      <c r="B25" s="652" t="s">
        <v>334</v>
      </c>
      <c r="C25" s="653">
        <v>1748</v>
      </c>
      <c r="D25" s="653">
        <v>1832</v>
      </c>
      <c r="E25" s="653">
        <v>0</v>
      </c>
      <c r="F25" s="653">
        <v>1832</v>
      </c>
      <c r="G25" s="653">
        <v>2040</v>
      </c>
      <c r="H25" s="666">
        <v>292</v>
      </c>
      <c r="L25" s="652" t="s">
        <v>212</v>
      </c>
      <c r="M25" s="653" t="s">
        <v>143</v>
      </c>
      <c r="N25" s="639" t="s">
        <v>305</v>
      </c>
      <c r="O25" s="639" t="s">
        <v>327</v>
      </c>
      <c r="P25" s="639" t="s">
        <v>306</v>
      </c>
      <c r="Q25" s="639">
        <v>303600</v>
      </c>
      <c r="R25" s="639" t="s">
        <v>335</v>
      </c>
      <c r="S25" s="639">
        <v>546</v>
      </c>
      <c r="T25" s="653">
        <v>633</v>
      </c>
      <c r="U25" s="653" t="s">
        <v>308</v>
      </c>
      <c r="V25" s="653">
        <v>633</v>
      </c>
      <c r="W25" s="653" t="s">
        <v>308</v>
      </c>
      <c r="X25" s="653">
        <v>-151</v>
      </c>
      <c r="Y25" s="666">
        <v>-697</v>
      </c>
    </row>
    <row r="26" spans="2:25">
      <c r="B26" s="652" t="s">
        <v>336</v>
      </c>
      <c r="C26" s="653">
        <v>800</v>
      </c>
      <c r="D26" s="653">
        <v>950</v>
      </c>
      <c r="E26" s="653">
        <v>0</v>
      </c>
      <c r="F26" s="653">
        <v>950</v>
      </c>
      <c r="G26" s="653">
        <v>387</v>
      </c>
      <c r="H26" s="670">
        <v>-413</v>
      </c>
      <c r="L26" s="652" t="s">
        <v>304</v>
      </c>
      <c r="M26" s="653" t="s">
        <v>234</v>
      </c>
      <c r="N26" s="639" t="s">
        <v>305</v>
      </c>
      <c r="O26" s="639" t="s">
        <v>337</v>
      </c>
      <c r="P26" s="639" t="s">
        <v>306</v>
      </c>
      <c r="Q26" s="639">
        <v>701307</v>
      </c>
      <c r="R26" s="639" t="s">
        <v>338</v>
      </c>
      <c r="S26" s="639">
        <v>436</v>
      </c>
      <c r="T26" s="653">
        <v>327</v>
      </c>
      <c r="U26" s="653" t="s">
        <v>308</v>
      </c>
      <c r="V26" s="653">
        <v>327</v>
      </c>
      <c r="W26" s="653" t="s">
        <v>308</v>
      </c>
      <c r="X26" s="653">
        <v>244</v>
      </c>
      <c r="Y26" s="666">
        <v>-192</v>
      </c>
    </row>
    <row r="27" spans="2:25">
      <c r="B27" s="652" t="s">
        <v>339</v>
      </c>
      <c r="C27" s="653">
        <v>17447</v>
      </c>
      <c r="D27" s="653">
        <v>19227</v>
      </c>
      <c r="E27" s="653">
        <v>0</v>
      </c>
      <c r="F27" s="653">
        <v>19227</v>
      </c>
      <c r="G27" s="653">
        <v>21430</v>
      </c>
      <c r="H27" s="666">
        <v>3983</v>
      </c>
      <c r="L27" s="652" t="s">
        <v>304</v>
      </c>
      <c r="M27" s="653" t="s">
        <v>234</v>
      </c>
      <c r="N27" s="639" t="s">
        <v>305</v>
      </c>
      <c r="O27" s="639" t="s">
        <v>337</v>
      </c>
      <c r="P27" s="639" t="s">
        <v>306</v>
      </c>
      <c r="Q27" s="639">
        <v>701308</v>
      </c>
      <c r="R27" s="639" t="s">
        <v>338</v>
      </c>
      <c r="S27" s="639">
        <v>236</v>
      </c>
      <c r="T27" s="653">
        <v>17</v>
      </c>
      <c r="U27" s="653">
        <v>702</v>
      </c>
      <c r="V27" s="653">
        <v>702</v>
      </c>
      <c r="W27" s="653" t="s">
        <v>308</v>
      </c>
      <c r="X27" s="653">
        <v>1001</v>
      </c>
      <c r="Y27" s="666">
        <v>765</v>
      </c>
    </row>
    <row r="28" spans="2:25">
      <c r="B28" s="652" t="s">
        <v>340</v>
      </c>
      <c r="C28" s="653">
        <v>3502</v>
      </c>
      <c r="D28" s="653">
        <v>2120</v>
      </c>
      <c r="E28" s="653">
        <v>1614</v>
      </c>
      <c r="F28" s="653">
        <v>3384</v>
      </c>
      <c r="G28" s="653">
        <v>2798</v>
      </c>
      <c r="H28" s="670">
        <v>-704</v>
      </c>
      <c r="L28" s="652" t="s">
        <v>304</v>
      </c>
      <c r="M28" s="653" t="s">
        <v>234</v>
      </c>
      <c r="N28" s="639" t="s">
        <v>305</v>
      </c>
      <c r="O28" s="639" t="s">
        <v>337</v>
      </c>
      <c r="P28" s="639" t="s">
        <v>306</v>
      </c>
      <c r="Q28" s="639">
        <v>701309</v>
      </c>
      <c r="R28" s="639" t="s">
        <v>341</v>
      </c>
      <c r="S28" s="639">
        <v>122</v>
      </c>
      <c r="T28" s="653">
        <v>14</v>
      </c>
      <c r="U28" s="653">
        <v>237</v>
      </c>
      <c r="V28" s="653">
        <v>237</v>
      </c>
      <c r="W28" s="653" t="s">
        <v>308</v>
      </c>
      <c r="X28" s="653">
        <v>334</v>
      </c>
      <c r="Y28" s="666">
        <v>212</v>
      </c>
    </row>
    <row r="29" spans="2:25">
      <c r="B29" s="652" t="s">
        <v>342</v>
      </c>
      <c r="C29" s="653">
        <v>1178</v>
      </c>
      <c r="D29" s="653">
        <v>1124</v>
      </c>
      <c r="E29" s="653">
        <v>0</v>
      </c>
      <c r="F29" s="653">
        <v>1124</v>
      </c>
      <c r="G29" s="653">
        <v>1064</v>
      </c>
      <c r="H29" s="670">
        <v>-114</v>
      </c>
      <c r="L29" s="652" t="s">
        <v>231</v>
      </c>
      <c r="M29" s="653" t="s">
        <v>143</v>
      </c>
      <c r="N29" s="639" t="s">
        <v>305</v>
      </c>
      <c r="O29" s="639" t="s">
        <v>337</v>
      </c>
      <c r="P29" s="639" t="s">
        <v>306</v>
      </c>
      <c r="Q29" s="639">
        <v>703304</v>
      </c>
      <c r="R29" s="639" t="s">
        <v>343</v>
      </c>
      <c r="S29" s="639">
        <v>109</v>
      </c>
      <c r="T29" s="653">
        <v>9</v>
      </c>
      <c r="U29" s="653">
        <v>362</v>
      </c>
      <c r="V29" s="653">
        <v>362</v>
      </c>
      <c r="W29" s="653" t="s">
        <v>308</v>
      </c>
      <c r="X29" s="653">
        <v>-14</v>
      </c>
      <c r="Y29" s="666">
        <v>-123</v>
      </c>
    </row>
    <row r="30" spans="2:25">
      <c r="B30" s="652" t="s">
        <v>344</v>
      </c>
      <c r="C30" s="653">
        <v>252</v>
      </c>
      <c r="D30" s="653">
        <v>168</v>
      </c>
      <c r="E30" s="653">
        <v>372</v>
      </c>
      <c r="F30" s="653">
        <v>372</v>
      </c>
      <c r="G30" s="653">
        <v>90</v>
      </c>
      <c r="H30" s="670">
        <v>-162</v>
      </c>
      <c r="L30" s="652" t="s">
        <v>231</v>
      </c>
      <c r="M30" s="653" t="s">
        <v>143</v>
      </c>
      <c r="N30" s="639" t="s">
        <v>305</v>
      </c>
      <c r="O30" s="639" t="s">
        <v>337</v>
      </c>
      <c r="P30" s="639" t="s">
        <v>306</v>
      </c>
      <c r="Q30" s="639">
        <v>703307</v>
      </c>
      <c r="R30" s="639" t="s">
        <v>343</v>
      </c>
      <c r="S30" s="639">
        <v>593</v>
      </c>
      <c r="T30" s="653">
        <v>403</v>
      </c>
      <c r="U30" s="653" t="s">
        <v>308</v>
      </c>
      <c r="V30" s="653">
        <v>403</v>
      </c>
      <c r="W30" s="653" t="s">
        <v>308</v>
      </c>
      <c r="X30" s="653">
        <v>220</v>
      </c>
      <c r="Y30" s="666">
        <v>-373</v>
      </c>
    </row>
    <row r="31" spans="2:25">
      <c r="B31" s="652" t="s">
        <v>345</v>
      </c>
      <c r="C31" s="653">
        <v>446</v>
      </c>
      <c r="D31" s="653">
        <v>436</v>
      </c>
      <c r="E31" s="653">
        <v>0</v>
      </c>
      <c r="F31" s="653">
        <v>436</v>
      </c>
      <c r="G31" s="653">
        <v>0</v>
      </c>
      <c r="H31" s="670">
        <v>-446</v>
      </c>
      <c r="L31" s="652" t="s">
        <v>231</v>
      </c>
      <c r="M31" s="653" t="s">
        <v>143</v>
      </c>
      <c r="N31" s="639" t="s">
        <v>305</v>
      </c>
      <c r="O31" s="639" t="s">
        <v>337</v>
      </c>
      <c r="P31" s="639" t="s">
        <v>306</v>
      </c>
      <c r="Q31" s="639">
        <v>703308</v>
      </c>
      <c r="R31" s="639" t="s">
        <v>346</v>
      </c>
      <c r="S31" s="639">
        <v>621</v>
      </c>
      <c r="T31" s="653">
        <v>411</v>
      </c>
      <c r="U31" s="653" t="s">
        <v>308</v>
      </c>
      <c r="V31" s="653">
        <v>411</v>
      </c>
      <c r="W31" s="653" t="s">
        <v>308</v>
      </c>
      <c r="X31" s="653">
        <v>229</v>
      </c>
      <c r="Y31" s="666">
        <v>-392</v>
      </c>
    </row>
    <row r="32" spans="2:25">
      <c r="B32" s="658" t="s">
        <v>347</v>
      </c>
      <c r="C32" s="659">
        <v>260</v>
      </c>
      <c r="D32" s="659">
        <v>279</v>
      </c>
      <c r="E32" s="659">
        <v>0</v>
      </c>
      <c r="F32" s="659">
        <v>279</v>
      </c>
      <c r="G32" s="659">
        <v>0</v>
      </c>
      <c r="H32" s="671">
        <v>-260</v>
      </c>
      <c r="L32" s="652" t="s">
        <v>231</v>
      </c>
      <c r="M32" s="653" t="s">
        <v>143</v>
      </c>
      <c r="N32" s="639" t="s">
        <v>305</v>
      </c>
      <c r="O32" s="639" t="s">
        <v>337</v>
      </c>
      <c r="P32" s="639" t="s">
        <v>306</v>
      </c>
      <c r="Q32" s="639">
        <v>703404</v>
      </c>
      <c r="R32" s="639" t="s">
        <v>348</v>
      </c>
      <c r="S32" s="639">
        <v>202</v>
      </c>
      <c r="T32" s="653">
        <v>14</v>
      </c>
      <c r="U32" s="653">
        <v>531</v>
      </c>
      <c r="V32" s="653">
        <v>531</v>
      </c>
      <c r="W32" s="653" t="s">
        <v>308</v>
      </c>
      <c r="X32" s="653">
        <v>-162</v>
      </c>
      <c r="Y32" s="666">
        <v>-364</v>
      </c>
    </row>
    <row r="33" spans="12:25">
      <c r="L33" s="652" t="s">
        <v>231</v>
      </c>
      <c r="M33" s="653" t="s">
        <v>143</v>
      </c>
      <c r="N33" s="639" t="s">
        <v>305</v>
      </c>
      <c r="O33" s="639" t="s">
        <v>337</v>
      </c>
      <c r="P33" s="639" t="s">
        <v>349</v>
      </c>
      <c r="Q33" s="639">
        <v>703312</v>
      </c>
      <c r="R33" s="639" t="s">
        <v>350</v>
      </c>
      <c r="S33" s="639">
        <v>146</v>
      </c>
      <c r="T33" s="653">
        <v>12</v>
      </c>
      <c r="U33" s="653">
        <v>350</v>
      </c>
      <c r="V33" s="653">
        <v>350</v>
      </c>
      <c r="W33" s="653" t="s">
        <v>308</v>
      </c>
      <c r="X33" s="653">
        <v>31</v>
      </c>
      <c r="Y33" s="666">
        <v>-115</v>
      </c>
    </row>
    <row r="34" spans="12:25">
      <c r="L34" s="652" t="s">
        <v>242</v>
      </c>
      <c r="M34" s="653" t="s">
        <v>234</v>
      </c>
      <c r="N34" s="639" t="s">
        <v>305</v>
      </c>
      <c r="O34" s="639" t="s">
        <v>351</v>
      </c>
      <c r="P34" s="639" t="s">
        <v>306</v>
      </c>
      <c r="Q34" s="639">
        <v>101000</v>
      </c>
      <c r="R34" s="639" t="s">
        <v>352</v>
      </c>
      <c r="S34" s="639">
        <v>3059</v>
      </c>
      <c r="T34" s="653">
        <v>3347</v>
      </c>
      <c r="U34" s="653" t="s">
        <v>308</v>
      </c>
      <c r="V34" s="653">
        <v>3347</v>
      </c>
      <c r="W34" s="653" t="s">
        <v>308</v>
      </c>
      <c r="X34" s="653">
        <v>2399</v>
      </c>
      <c r="Y34" s="666">
        <v>-660</v>
      </c>
    </row>
    <row r="35" spans="12:25">
      <c r="L35" s="652" t="s">
        <v>242</v>
      </c>
      <c r="M35" s="653" t="s">
        <v>234</v>
      </c>
      <c r="N35" s="639" t="s">
        <v>305</v>
      </c>
      <c r="O35" s="639" t="s">
        <v>351</v>
      </c>
      <c r="P35" s="639" t="s">
        <v>306</v>
      </c>
      <c r="Q35" s="639">
        <v>101500</v>
      </c>
      <c r="R35" s="639" t="s">
        <v>353</v>
      </c>
      <c r="S35" s="639">
        <v>3895</v>
      </c>
      <c r="T35" s="653">
        <v>4356</v>
      </c>
      <c r="U35" s="653" t="s">
        <v>308</v>
      </c>
      <c r="V35" s="653">
        <v>4356</v>
      </c>
      <c r="W35" s="653" t="s">
        <v>308</v>
      </c>
      <c r="X35" s="653">
        <v>3040</v>
      </c>
      <c r="Y35" s="666">
        <v>-855</v>
      </c>
    </row>
    <row r="36" spans="12:25">
      <c r="L36" s="652" t="s">
        <v>242</v>
      </c>
      <c r="M36" s="653" t="s">
        <v>234</v>
      </c>
      <c r="N36" s="639" t="s">
        <v>305</v>
      </c>
      <c r="O36" s="639" t="s">
        <v>351</v>
      </c>
      <c r="P36" s="639" t="s">
        <v>306</v>
      </c>
      <c r="Q36" s="639">
        <v>101700</v>
      </c>
      <c r="R36" s="639" t="s">
        <v>354</v>
      </c>
      <c r="S36" s="639">
        <v>4217</v>
      </c>
      <c r="T36" s="653">
        <v>4329</v>
      </c>
      <c r="U36" s="653" t="s">
        <v>308</v>
      </c>
      <c r="V36" s="653">
        <v>4329</v>
      </c>
      <c r="W36" s="653" t="s">
        <v>308</v>
      </c>
      <c r="X36" s="653">
        <v>1071</v>
      </c>
      <c r="Y36" s="666">
        <v>-3146</v>
      </c>
    </row>
    <row r="37" spans="12:25">
      <c r="L37" s="652" t="s">
        <v>238</v>
      </c>
      <c r="M37" s="653" t="s">
        <v>311</v>
      </c>
      <c r="N37" s="639" t="s">
        <v>305</v>
      </c>
      <c r="O37" s="639" t="s">
        <v>351</v>
      </c>
      <c r="P37" s="639" t="s">
        <v>306</v>
      </c>
      <c r="Q37" s="639">
        <v>102100</v>
      </c>
      <c r="R37" s="639" t="s">
        <v>355</v>
      </c>
      <c r="S37" s="639">
        <v>38</v>
      </c>
      <c r="T37" s="653">
        <v>2</v>
      </c>
      <c r="U37" s="653">
        <v>104</v>
      </c>
      <c r="V37" s="653">
        <v>104</v>
      </c>
      <c r="W37" s="653" t="s">
        <v>308</v>
      </c>
      <c r="X37" s="653">
        <v>132</v>
      </c>
      <c r="Y37" s="666">
        <v>94</v>
      </c>
    </row>
    <row r="38" spans="12:25">
      <c r="L38" s="652" t="s">
        <v>212</v>
      </c>
      <c r="M38" s="653" t="s">
        <v>143</v>
      </c>
      <c r="N38" s="639" t="s">
        <v>305</v>
      </c>
      <c r="O38" s="639" t="s">
        <v>351</v>
      </c>
      <c r="P38" s="639" t="s">
        <v>306</v>
      </c>
      <c r="Q38" s="639">
        <v>103006</v>
      </c>
      <c r="R38" s="639" t="s">
        <v>356</v>
      </c>
      <c r="S38" s="639">
        <v>1203</v>
      </c>
      <c r="T38" s="653">
        <v>1097</v>
      </c>
      <c r="U38" s="653" t="s">
        <v>308</v>
      </c>
      <c r="V38" s="653">
        <v>1097</v>
      </c>
      <c r="W38" s="653" t="s">
        <v>308</v>
      </c>
      <c r="X38" s="653">
        <v>203</v>
      </c>
      <c r="Y38" s="666">
        <v>-1000</v>
      </c>
    </row>
    <row r="39" spans="12:25">
      <c r="L39" s="652" t="s">
        <v>212</v>
      </c>
      <c r="M39" s="653" t="s">
        <v>143</v>
      </c>
      <c r="N39" s="639" t="s">
        <v>305</v>
      </c>
      <c r="O39" s="639" t="s">
        <v>351</v>
      </c>
      <c r="P39" s="639" t="s">
        <v>306</v>
      </c>
      <c r="Q39" s="639">
        <v>103101</v>
      </c>
      <c r="R39" s="639" t="s">
        <v>357</v>
      </c>
      <c r="S39" s="639">
        <v>10162</v>
      </c>
      <c r="T39" s="653">
        <v>5159</v>
      </c>
      <c r="U39" s="653" t="s">
        <v>308</v>
      </c>
      <c r="V39" s="653">
        <v>5159</v>
      </c>
      <c r="W39" s="653" t="s">
        <v>308</v>
      </c>
      <c r="X39" s="653">
        <v>279</v>
      </c>
      <c r="Y39" s="666">
        <v>-9883</v>
      </c>
    </row>
    <row r="40" spans="12:25">
      <c r="L40" s="652" t="s">
        <v>212</v>
      </c>
      <c r="M40" s="653" t="s">
        <v>143</v>
      </c>
      <c r="N40" s="639" t="s">
        <v>305</v>
      </c>
      <c r="O40" s="639" t="s">
        <v>351</v>
      </c>
      <c r="P40" s="639" t="s">
        <v>306</v>
      </c>
      <c r="Q40" s="639">
        <v>103204</v>
      </c>
      <c r="R40" s="639" t="s">
        <v>358</v>
      </c>
      <c r="S40" s="639">
        <v>1147</v>
      </c>
      <c r="T40" s="653">
        <v>1430</v>
      </c>
      <c r="U40" s="653" t="s">
        <v>308</v>
      </c>
      <c r="V40" s="653">
        <v>1430</v>
      </c>
      <c r="W40" s="653" t="s">
        <v>308</v>
      </c>
      <c r="X40" s="653">
        <v>987</v>
      </c>
      <c r="Y40" s="666">
        <v>-160</v>
      </c>
    </row>
    <row r="41" spans="12:25">
      <c r="L41" s="652" t="s">
        <v>219</v>
      </c>
      <c r="M41" s="653" t="s">
        <v>143</v>
      </c>
      <c r="N41" s="639" t="s">
        <v>305</v>
      </c>
      <c r="O41" s="639" t="s">
        <v>351</v>
      </c>
      <c r="P41" s="639" t="s">
        <v>306</v>
      </c>
      <c r="Q41" s="639">
        <v>103400</v>
      </c>
      <c r="R41" s="639" t="s">
        <v>359</v>
      </c>
      <c r="S41" s="639">
        <v>425</v>
      </c>
      <c r="T41" s="653">
        <v>449</v>
      </c>
      <c r="U41" s="653" t="s">
        <v>308</v>
      </c>
      <c r="V41" s="653">
        <v>449</v>
      </c>
      <c r="W41" s="653" t="s">
        <v>308</v>
      </c>
      <c r="X41" s="653">
        <v>293</v>
      </c>
      <c r="Y41" s="666">
        <v>-132</v>
      </c>
    </row>
    <row r="42" spans="12:25">
      <c r="L42" s="652" t="s">
        <v>200</v>
      </c>
      <c r="M42" s="653" t="s">
        <v>334</v>
      </c>
      <c r="N42" s="639" t="s">
        <v>305</v>
      </c>
      <c r="O42" s="639" t="s">
        <v>351</v>
      </c>
      <c r="P42" s="639" t="s">
        <v>306</v>
      </c>
      <c r="Q42" s="639">
        <v>103802</v>
      </c>
      <c r="R42" s="639" t="s">
        <v>360</v>
      </c>
      <c r="S42" s="639">
        <v>682</v>
      </c>
      <c r="T42" s="653">
        <v>742</v>
      </c>
      <c r="U42" s="653" t="s">
        <v>308</v>
      </c>
      <c r="V42" s="653">
        <v>742</v>
      </c>
      <c r="W42" s="653" t="s">
        <v>308</v>
      </c>
      <c r="X42" s="653">
        <v>380</v>
      </c>
      <c r="Y42" s="666">
        <v>-302</v>
      </c>
    </row>
    <row r="43" spans="12:25">
      <c r="L43" s="652" t="s">
        <v>238</v>
      </c>
      <c r="M43" s="653" t="s">
        <v>234</v>
      </c>
      <c r="N43" s="639" t="s">
        <v>305</v>
      </c>
      <c r="O43" s="639" t="s">
        <v>351</v>
      </c>
      <c r="P43" s="639" t="s">
        <v>306</v>
      </c>
      <c r="Q43" s="639">
        <v>201001</v>
      </c>
      <c r="R43" s="639" t="s">
        <v>361</v>
      </c>
      <c r="S43" s="639">
        <v>768</v>
      </c>
      <c r="T43" s="653">
        <v>699</v>
      </c>
      <c r="U43" s="653" t="s">
        <v>308</v>
      </c>
      <c r="V43" s="653">
        <v>699</v>
      </c>
      <c r="W43" s="653" t="s">
        <v>308</v>
      </c>
      <c r="X43" s="653">
        <v>1123</v>
      </c>
      <c r="Y43" s="666">
        <v>355</v>
      </c>
    </row>
    <row r="44" spans="12:25">
      <c r="L44" s="652" t="s">
        <v>238</v>
      </c>
      <c r="M44" s="653" t="s">
        <v>234</v>
      </c>
      <c r="N44" s="639" t="s">
        <v>305</v>
      </c>
      <c r="O44" s="639" t="s">
        <v>351</v>
      </c>
      <c r="P44" s="639" t="s">
        <v>306</v>
      </c>
      <c r="Q44" s="639">
        <v>201301</v>
      </c>
      <c r="R44" s="639" t="s">
        <v>362</v>
      </c>
      <c r="S44" s="639">
        <v>10457</v>
      </c>
      <c r="T44" s="653">
        <v>11082</v>
      </c>
      <c r="U44" s="653" t="s">
        <v>308</v>
      </c>
      <c r="V44" s="653">
        <v>11082</v>
      </c>
      <c r="W44" s="653" t="s">
        <v>308</v>
      </c>
      <c r="X44" s="653">
        <v>11290</v>
      </c>
      <c r="Y44" s="666">
        <v>833</v>
      </c>
    </row>
    <row r="45" spans="12:25">
      <c r="L45" s="652" t="s">
        <v>238</v>
      </c>
      <c r="M45" s="653" t="s">
        <v>234</v>
      </c>
      <c r="N45" s="639" t="s">
        <v>305</v>
      </c>
      <c r="O45" s="639" t="s">
        <v>351</v>
      </c>
      <c r="P45" s="639" t="s">
        <v>306</v>
      </c>
      <c r="Q45" s="639">
        <v>201702</v>
      </c>
      <c r="R45" s="639" t="s">
        <v>363</v>
      </c>
      <c r="S45" s="639">
        <v>4248</v>
      </c>
      <c r="T45" s="653">
        <v>4306</v>
      </c>
      <c r="U45" s="653" t="s">
        <v>308</v>
      </c>
      <c r="V45" s="653">
        <v>4306</v>
      </c>
      <c r="W45" s="653" t="s">
        <v>308</v>
      </c>
      <c r="X45" s="653">
        <v>3823</v>
      </c>
      <c r="Y45" s="666">
        <v>-425</v>
      </c>
    </row>
    <row r="46" spans="12:25">
      <c r="L46" s="652" t="s">
        <v>212</v>
      </c>
      <c r="M46" s="653" t="s">
        <v>143</v>
      </c>
      <c r="N46" s="639" t="s">
        <v>305</v>
      </c>
      <c r="O46" s="639" t="s">
        <v>351</v>
      </c>
      <c r="P46" s="639" t="s">
        <v>306</v>
      </c>
      <c r="Q46" s="639">
        <v>203300</v>
      </c>
      <c r="R46" s="639" t="s">
        <v>364</v>
      </c>
      <c r="S46" s="639">
        <v>384</v>
      </c>
      <c r="T46" s="653">
        <v>422</v>
      </c>
      <c r="U46" s="653" t="s">
        <v>308</v>
      </c>
      <c r="V46" s="653">
        <v>422</v>
      </c>
      <c r="W46" s="653" t="s">
        <v>308</v>
      </c>
      <c r="X46" s="653">
        <v>471</v>
      </c>
      <c r="Y46" s="666">
        <v>87</v>
      </c>
    </row>
    <row r="47" spans="12:25">
      <c r="L47" s="652" t="s">
        <v>212</v>
      </c>
      <c r="M47" s="653" t="s">
        <v>143</v>
      </c>
      <c r="N47" s="639" t="s">
        <v>305</v>
      </c>
      <c r="O47" s="639" t="s">
        <v>351</v>
      </c>
      <c r="P47" s="639" t="s">
        <v>306</v>
      </c>
      <c r="Q47" s="639">
        <v>203601</v>
      </c>
      <c r="R47" s="639" t="s">
        <v>365</v>
      </c>
      <c r="S47" s="639">
        <v>1096</v>
      </c>
      <c r="T47" s="653">
        <v>1119</v>
      </c>
      <c r="U47" s="653" t="s">
        <v>308</v>
      </c>
      <c r="V47" s="653">
        <v>1119</v>
      </c>
      <c r="W47" s="653" t="s">
        <v>308</v>
      </c>
      <c r="X47" s="653">
        <v>246</v>
      </c>
      <c r="Y47" s="666">
        <v>-850</v>
      </c>
    </row>
    <row r="48" spans="12:25">
      <c r="L48" s="652" t="s">
        <v>219</v>
      </c>
      <c r="M48" s="653" t="s">
        <v>143</v>
      </c>
      <c r="N48" s="639" t="s">
        <v>305</v>
      </c>
      <c r="O48" s="639" t="s">
        <v>351</v>
      </c>
      <c r="P48" s="639" t="s">
        <v>306</v>
      </c>
      <c r="Q48" s="639">
        <v>203700</v>
      </c>
      <c r="R48" s="639" t="s">
        <v>366</v>
      </c>
      <c r="S48" s="639">
        <v>634</v>
      </c>
      <c r="T48" s="653">
        <v>519</v>
      </c>
      <c r="U48" s="653" t="s">
        <v>308</v>
      </c>
      <c r="V48" s="653">
        <v>519</v>
      </c>
      <c r="W48" s="653" t="s">
        <v>308</v>
      </c>
      <c r="X48" s="653">
        <v>62</v>
      </c>
      <c r="Y48" s="666">
        <v>-572</v>
      </c>
    </row>
    <row r="49" spans="12:25">
      <c r="L49" s="652" t="s">
        <v>212</v>
      </c>
      <c r="M49" s="653" t="s">
        <v>143</v>
      </c>
      <c r="N49" s="639" t="s">
        <v>305</v>
      </c>
      <c r="O49" s="639" t="s">
        <v>351</v>
      </c>
      <c r="P49" s="639" t="s">
        <v>306</v>
      </c>
      <c r="Q49" s="639">
        <v>341001</v>
      </c>
      <c r="R49" s="639" t="s">
        <v>367</v>
      </c>
      <c r="S49" s="639">
        <v>4722</v>
      </c>
      <c r="T49" s="653">
        <v>4947</v>
      </c>
      <c r="U49" s="653" t="s">
        <v>308</v>
      </c>
      <c r="V49" s="653">
        <v>4947</v>
      </c>
      <c r="W49" s="653" t="s">
        <v>308</v>
      </c>
      <c r="X49" s="653">
        <v>2647</v>
      </c>
      <c r="Y49" s="666">
        <v>-2075</v>
      </c>
    </row>
    <row r="50" spans="12:25">
      <c r="L50" s="652" t="s">
        <v>212</v>
      </c>
      <c r="M50" s="653" t="s">
        <v>143</v>
      </c>
      <c r="N50" s="639" t="s">
        <v>305</v>
      </c>
      <c r="O50" s="639" t="s">
        <v>351</v>
      </c>
      <c r="P50" s="639" t="s">
        <v>306</v>
      </c>
      <c r="Q50" s="639">
        <v>411001</v>
      </c>
      <c r="R50" s="639" t="s">
        <v>368</v>
      </c>
      <c r="S50" s="639">
        <v>719</v>
      </c>
      <c r="T50" s="653">
        <v>631</v>
      </c>
      <c r="U50" s="653" t="s">
        <v>308</v>
      </c>
      <c r="V50" s="653">
        <v>631</v>
      </c>
      <c r="W50" s="653" t="s">
        <v>308</v>
      </c>
      <c r="X50" s="653">
        <v>-675</v>
      </c>
      <c r="Y50" s="666">
        <v>-1394</v>
      </c>
    </row>
    <row r="51" spans="12:25">
      <c r="L51" s="652" t="s">
        <v>212</v>
      </c>
      <c r="M51" s="653" t="s">
        <v>143</v>
      </c>
      <c r="N51" s="639" t="s">
        <v>305</v>
      </c>
      <c r="O51" s="639" t="s">
        <v>351</v>
      </c>
      <c r="P51" s="639" t="s">
        <v>369</v>
      </c>
      <c r="Q51" s="639">
        <v>103008</v>
      </c>
      <c r="R51" s="639" t="s">
        <v>370</v>
      </c>
      <c r="S51" s="639">
        <v>612</v>
      </c>
      <c r="T51" s="653">
        <v>528</v>
      </c>
      <c r="U51" s="653" t="s">
        <v>308</v>
      </c>
      <c r="V51" s="653">
        <v>528</v>
      </c>
      <c r="W51" s="653" t="s">
        <v>308</v>
      </c>
      <c r="X51" s="653">
        <v>-423</v>
      </c>
      <c r="Y51" s="666">
        <v>-1035</v>
      </c>
    </row>
    <row r="52" spans="12:25">
      <c r="L52" s="652" t="s">
        <v>212</v>
      </c>
      <c r="M52" s="653" t="s">
        <v>143</v>
      </c>
      <c r="N52" s="639" t="s">
        <v>305</v>
      </c>
      <c r="O52" s="639" t="s">
        <v>351</v>
      </c>
      <c r="P52" s="639" t="s">
        <v>369</v>
      </c>
      <c r="Q52" s="639">
        <v>103009</v>
      </c>
      <c r="R52" s="639" t="s">
        <v>371</v>
      </c>
      <c r="S52" s="639">
        <v>7752</v>
      </c>
      <c r="T52" s="653">
        <v>3515</v>
      </c>
      <c r="U52" s="653" t="s">
        <v>308</v>
      </c>
      <c r="V52" s="653">
        <v>3515</v>
      </c>
      <c r="W52" s="653" t="s">
        <v>308</v>
      </c>
      <c r="X52" s="653">
        <v>-1000</v>
      </c>
      <c r="Y52" s="666">
        <v>-8752</v>
      </c>
    </row>
    <row r="53" spans="12:25">
      <c r="L53" s="652" t="s">
        <v>212</v>
      </c>
      <c r="M53" s="653" t="s">
        <v>143</v>
      </c>
      <c r="N53" s="639" t="s">
        <v>305</v>
      </c>
      <c r="O53" s="639" t="s">
        <v>351</v>
      </c>
      <c r="P53" s="639" t="s">
        <v>369</v>
      </c>
      <c r="Q53" s="639">
        <v>103102</v>
      </c>
      <c r="R53" s="639" t="s">
        <v>372</v>
      </c>
      <c r="S53" s="639">
        <v>2177</v>
      </c>
      <c r="T53" s="653">
        <v>1904</v>
      </c>
      <c r="U53" s="653" t="s">
        <v>308</v>
      </c>
      <c r="V53" s="653">
        <v>1904</v>
      </c>
      <c r="W53" s="653" t="s">
        <v>308</v>
      </c>
      <c r="X53" s="653">
        <v>-16</v>
      </c>
      <c r="Y53" s="666">
        <v>-2193</v>
      </c>
    </row>
    <row r="54" spans="12:25">
      <c r="L54" s="652" t="s">
        <v>212</v>
      </c>
      <c r="M54" s="653" t="s">
        <v>143</v>
      </c>
      <c r="N54" s="639" t="s">
        <v>305</v>
      </c>
      <c r="O54" s="639" t="s">
        <v>351</v>
      </c>
      <c r="P54" s="639" t="s">
        <v>369</v>
      </c>
      <c r="Q54" s="639">
        <v>103602</v>
      </c>
      <c r="R54" s="639" t="s">
        <v>373</v>
      </c>
      <c r="S54" s="639">
        <v>676</v>
      </c>
      <c r="T54" s="653">
        <v>575</v>
      </c>
      <c r="U54" s="653" t="s">
        <v>308</v>
      </c>
      <c r="V54" s="653">
        <v>575</v>
      </c>
      <c r="W54" s="653" t="s">
        <v>308</v>
      </c>
      <c r="X54" s="653">
        <v>-643</v>
      </c>
      <c r="Y54" s="666">
        <v>-1319</v>
      </c>
    </row>
    <row r="55" spans="12:25">
      <c r="L55" s="652" t="s">
        <v>304</v>
      </c>
      <c r="M55" s="653" t="s">
        <v>234</v>
      </c>
      <c r="N55" s="639" t="s">
        <v>305</v>
      </c>
      <c r="O55" s="639" t="s">
        <v>374</v>
      </c>
      <c r="P55" s="639" t="s">
        <v>306</v>
      </c>
      <c r="Q55" s="639">
        <v>301307</v>
      </c>
      <c r="R55" s="639" t="s">
        <v>375</v>
      </c>
      <c r="S55" s="639">
        <v>321</v>
      </c>
      <c r="T55" s="653">
        <v>347</v>
      </c>
      <c r="U55" s="653" t="s">
        <v>308</v>
      </c>
      <c r="V55" s="653">
        <v>347</v>
      </c>
      <c r="W55" s="653" t="s">
        <v>308</v>
      </c>
      <c r="X55" s="653">
        <v>680</v>
      </c>
      <c r="Y55" s="666">
        <v>359</v>
      </c>
    </row>
    <row r="56" spans="12:25">
      <c r="L56" s="652" t="s">
        <v>304</v>
      </c>
      <c r="M56" s="653" t="s">
        <v>234</v>
      </c>
      <c r="N56" s="639" t="s">
        <v>305</v>
      </c>
      <c r="O56" s="639" t="s">
        <v>374</v>
      </c>
      <c r="P56" s="639" t="s">
        <v>306</v>
      </c>
      <c r="Q56" s="639">
        <v>301309</v>
      </c>
      <c r="R56" s="639" t="s">
        <v>376</v>
      </c>
      <c r="S56" s="639">
        <v>287</v>
      </c>
      <c r="T56" s="653">
        <v>271</v>
      </c>
      <c r="U56" s="653" t="s">
        <v>308</v>
      </c>
      <c r="V56" s="653">
        <v>271</v>
      </c>
      <c r="W56" s="653" t="s">
        <v>308</v>
      </c>
      <c r="X56" s="653">
        <v>-266</v>
      </c>
      <c r="Y56" s="666">
        <v>-553</v>
      </c>
    </row>
    <row r="57" spans="12:25">
      <c r="L57" s="652" t="s">
        <v>231</v>
      </c>
      <c r="M57" s="653" t="s">
        <v>143</v>
      </c>
      <c r="N57" s="639" t="s">
        <v>305</v>
      </c>
      <c r="O57" s="639" t="s">
        <v>374</v>
      </c>
      <c r="P57" s="639" t="s">
        <v>306</v>
      </c>
      <c r="Q57" s="639">
        <v>303409</v>
      </c>
      <c r="R57" s="639" t="s">
        <v>377</v>
      </c>
      <c r="S57" s="639">
        <v>862</v>
      </c>
      <c r="T57" s="653">
        <v>362</v>
      </c>
      <c r="U57" s="653" t="s">
        <v>308</v>
      </c>
      <c r="V57" s="653">
        <v>362</v>
      </c>
      <c r="W57" s="653" t="s">
        <v>308</v>
      </c>
      <c r="X57" s="653">
        <v>-1385</v>
      </c>
      <c r="Y57" s="666">
        <v>-2247</v>
      </c>
    </row>
    <row r="58" spans="12:25">
      <c r="L58" s="652" t="s">
        <v>231</v>
      </c>
      <c r="M58" s="653" t="s">
        <v>143</v>
      </c>
      <c r="N58" s="639" t="s">
        <v>305</v>
      </c>
      <c r="O58" s="639" t="s">
        <v>374</v>
      </c>
      <c r="P58" s="639" t="s">
        <v>306</v>
      </c>
      <c r="Q58" s="639">
        <v>303802</v>
      </c>
      <c r="R58" s="639" t="s">
        <v>378</v>
      </c>
      <c r="S58" s="639">
        <v>159</v>
      </c>
      <c r="T58" s="653">
        <v>166</v>
      </c>
      <c r="U58" s="653">
        <v>194</v>
      </c>
      <c r="V58" s="653">
        <v>194</v>
      </c>
      <c r="W58" s="653" t="s">
        <v>308</v>
      </c>
      <c r="X58" s="653">
        <v>391</v>
      </c>
      <c r="Y58" s="666">
        <v>232</v>
      </c>
    </row>
    <row r="59" spans="12:25">
      <c r="L59" s="652" t="s">
        <v>242</v>
      </c>
      <c r="M59" s="653" t="s">
        <v>234</v>
      </c>
      <c r="N59" s="639" t="s">
        <v>305</v>
      </c>
      <c r="O59" s="639" t="s">
        <v>379</v>
      </c>
      <c r="P59" s="639" t="s">
        <v>380</v>
      </c>
      <c r="Q59" s="639">
        <v>211002</v>
      </c>
      <c r="R59" s="639" t="s">
        <v>381</v>
      </c>
      <c r="S59" s="639">
        <v>265</v>
      </c>
      <c r="T59" s="653">
        <v>0</v>
      </c>
      <c r="U59" s="653">
        <v>536</v>
      </c>
      <c r="V59" s="653">
        <v>536</v>
      </c>
      <c r="W59" s="653" t="s">
        <v>308</v>
      </c>
      <c r="X59" s="653">
        <v>-399</v>
      </c>
      <c r="Y59" s="666">
        <v>-664</v>
      </c>
    </row>
    <row r="60" spans="12:25">
      <c r="L60" s="652" t="s">
        <v>242</v>
      </c>
      <c r="M60" s="653" t="s">
        <v>234</v>
      </c>
      <c r="N60" s="639" t="s">
        <v>305</v>
      </c>
      <c r="O60" s="639" t="s">
        <v>379</v>
      </c>
      <c r="P60" s="639" t="s">
        <v>380</v>
      </c>
      <c r="Q60" s="639">
        <v>211502</v>
      </c>
      <c r="R60" s="639" t="s">
        <v>382</v>
      </c>
      <c r="S60" s="639">
        <v>190</v>
      </c>
      <c r="T60" s="653">
        <v>0</v>
      </c>
      <c r="U60" s="653">
        <v>367</v>
      </c>
      <c r="V60" s="653">
        <v>367</v>
      </c>
      <c r="W60" s="653" t="s">
        <v>308</v>
      </c>
      <c r="X60" s="653">
        <v>109</v>
      </c>
      <c r="Y60" s="666">
        <v>-81</v>
      </c>
    </row>
    <row r="61" spans="12:25">
      <c r="L61" s="652" t="s">
        <v>242</v>
      </c>
      <c r="M61" s="653" t="s">
        <v>234</v>
      </c>
      <c r="N61" s="639" t="s">
        <v>305</v>
      </c>
      <c r="O61" s="639" t="s">
        <v>379</v>
      </c>
      <c r="P61" s="639" t="s">
        <v>380</v>
      </c>
      <c r="Q61" s="639">
        <v>211702</v>
      </c>
      <c r="R61" s="639" t="s">
        <v>383</v>
      </c>
      <c r="S61" s="639">
        <v>285</v>
      </c>
      <c r="T61" s="653">
        <v>0</v>
      </c>
      <c r="U61" s="653">
        <v>592</v>
      </c>
      <c r="V61" s="653">
        <v>592</v>
      </c>
      <c r="W61" s="653" t="s">
        <v>308</v>
      </c>
      <c r="X61" s="653">
        <v>-138</v>
      </c>
      <c r="Y61" s="666">
        <v>-423</v>
      </c>
    </row>
    <row r="62" spans="12:25">
      <c r="L62" s="652" t="s">
        <v>212</v>
      </c>
      <c r="M62" s="653" t="s">
        <v>143</v>
      </c>
      <c r="N62" s="639" t="s">
        <v>305</v>
      </c>
      <c r="O62" s="639" t="s">
        <v>379</v>
      </c>
      <c r="P62" s="639" t="s">
        <v>380</v>
      </c>
      <c r="Q62" s="639">
        <v>213002</v>
      </c>
      <c r="R62" s="639" t="s">
        <v>384</v>
      </c>
      <c r="S62" s="639">
        <v>173</v>
      </c>
      <c r="T62" s="653">
        <v>0</v>
      </c>
      <c r="U62" s="653">
        <v>347</v>
      </c>
      <c r="V62" s="653">
        <v>347</v>
      </c>
      <c r="W62" s="653" t="s">
        <v>308</v>
      </c>
      <c r="X62" s="653">
        <v>33</v>
      </c>
      <c r="Y62" s="666">
        <v>-140</v>
      </c>
    </row>
    <row r="63" spans="12:25">
      <c r="L63" s="652" t="s">
        <v>212</v>
      </c>
      <c r="M63" s="653" t="s">
        <v>143</v>
      </c>
      <c r="N63" s="639" t="s">
        <v>305</v>
      </c>
      <c r="O63" s="639" t="s">
        <v>379</v>
      </c>
      <c r="P63" s="639" t="s">
        <v>380</v>
      </c>
      <c r="Q63" s="639">
        <v>213402</v>
      </c>
      <c r="R63" s="639" t="s">
        <v>385</v>
      </c>
      <c r="S63" s="639">
        <v>216</v>
      </c>
      <c r="T63" s="653">
        <v>0</v>
      </c>
      <c r="U63" s="653">
        <v>439</v>
      </c>
      <c r="V63" s="653">
        <v>439</v>
      </c>
      <c r="W63" s="653" t="s">
        <v>308</v>
      </c>
      <c r="X63" s="653">
        <v>68</v>
      </c>
      <c r="Y63" s="666">
        <v>-148</v>
      </c>
    </row>
    <row r="64" spans="12:25">
      <c r="L64" s="652" t="s">
        <v>242</v>
      </c>
      <c r="M64" s="653" t="s">
        <v>234</v>
      </c>
      <c r="N64" s="639" t="s">
        <v>305</v>
      </c>
      <c r="O64" s="639" t="s">
        <v>349</v>
      </c>
      <c r="P64" s="639" t="s">
        <v>386</v>
      </c>
      <c r="Q64" s="639">
        <v>501131</v>
      </c>
      <c r="R64" s="639" t="s">
        <v>387</v>
      </c>
      <c r="S64" s="639">
        <v>248</v>
      </c>
      <c r="T64" s="653">
        <v>571</v>
      </c>
      <c r="U64" s="653" t="s">
        <v>308</v>
      </c>
      <c r="V64" s="653">
        <v>571</v>
      </c>
      <c r="W64" s="653" t="s">
        <v>308</v>
      </c>
      <c r="X64" s="653">
        <v>910</v>
      </c>
      <c r="Y64" s="666">
        <v>662</v>
      </c>
    </row>
    <row r="65" spans="12:25">
      <c r="L65" s="652" t="s">
        <v>247</v>
      </c>
      <c r="M65" s="653" t="s">
        <v>234</v>
      </c>
      <c r="N65" s="639" t="s">
        <v>305</v>
      </c>
      <c r="O65" s="639" t="s">
        <v>349</v>
      </c>
      <c r="P65" s="639" t="s">
        <v>386</v>
      </c>
      <c r="Q65" s="639">
        <v>501731</v>
      </c>
      <c r="R65" s="639" t="s">
        <v>388</v>
      </c>
      <c r="S65" s="639">
        <v>421</v>
      </c>
      <c r="T65" s="653">
        <v>970</v>
      </c>
      <c r="U65" s="653" t="s">
        <v>308</v>
      </c>
      <c r="V65" s="653">
        <v>970</v>
      </c>
      <c r="W65" s="653" t="s">
        <v>308</v>
      </c>
      <c r="X65" s="653">
        <v>1385</v>
      </c>
      <c r="Y65" s="666">
        <v>964</v>
      </c>
    </row>
    <row r="66" spans="12:25">
      <c r="L66" s="652" t="s">
        <v>219</v>
      </c>
      <c r="M66" s="653" t="s">
        <v>334</v>
      </c>
      <c r="N66" s="639" t="s">
        <v>305</v>
      </c>
      <c r="O66" s="639" t="s">
        <v>349</v>
      </c>
      <c r="P66" s="639" t="s">
        <v>386</v>
      </c>
      <c r="Q66" s="639">
        <v>503431</v>
      </c>
      <c r="R66" s="639" t="s">
        <v>389</v>
      </c>
      <c r="S66" s="639">
        <v>254</v>
      </c>
      <c r="T66" s="653">
        <v>495</v>
      </c>
      <c r="U66" s="653" t="s">
        <v>308</v>
      </c>
      <c r="V66" s="653">
        <v>495</v>
      </c>
      <c r="W66" s="653" t="s">
        <v>308</v>
      </c>
      <c r="X66" s="653">
        <v>975</v>
      </c>
      <c r="Y66" s="666">
        <v>721</v>
      </c>
    </row>
    <row r="67" spans="12:25">
      <c r="L67" s="652" t="s">
        <v>219</v>
      </c>
      <c r="M67" s="653" t="s">
        <v>336</v>
      </c>
      <c r="N67" s="639" t="s">
        <v>305</v>
      </c>
      <c r="O67" s="639" t="s">
        <v>349</v>
      </c>
      <c r="P67" s="639" t="s">
        <v>386</v>
      </c>
      <c r="Q67" s="639">
        <v>503531</v>
      </c>
      <c r="R67" s="639" t="s">
        <v>390</v>
      </c>
      <c r="S67" s="639">
        <v>76</v>
      </c>
      <c r="T67" s="653">
        <v>215</v>
      </c>
      <c r="U67" s="653" t="s">
        <v>308</v>
      </c>
      <c r="V67" s="653">
        <v>215</v>
      </c>
      <c r="W67" s="653" t="s">
        <v>308</v>
      </c>
      <c r="X67" s="653">
        <v>387</v>
      </c>
      <c r="Y67" s="666">
        <v>311</v>
      </c>
    </row>
    <row r="68" spans="12:25">
      <c r="L68" s="652" t="s">
        <v>208</v>
      </c>
      <c r="M68" s="653" t="s">
        <v>315</v>
      </c>
      <c r="N68" s="639" t="s">
        <v>305</v>
      </c>
      <c r="O68" s="639" t="s">
        <v>349</v>
      </c>
      <c r="P68" s="639" t="s">
        <v>386</v>
      </c>
      <c r="Q68" s="639">
        <v>506641</v>
      </c>
      <c r="R68" s="639" t="s">
        <v>391</v>
      </c>
      <c r="S68" s="639">
        <v>85</v>
      </c>
      <c r="T68" s="653">
        <v>243</v>
      </c>
      <c r="U68" s="653" t="s">
        <v>308</v>
      </c>
      <c r="V68" s="653">
        <v>243</v>
      </c>
      <c r="W68" s="653" t="s">
        <v>308</v>
      </c>
      <c r="X68" s="653">
        <v>914</v>
      </c>
      <c r="Y68" s="666">
        <v>829</v>
      </c>
    </row>
    <row r="69" spans="12:25">
      <c r="L69" s="652" t="s">
        <v>242</v>
      </c>
      <c r="M69" s="653" t="s">
        <v>234</v>
      </c>
      <c r="N69" s="639" t="s">
        <v>305</v>
      </c>
      <c r="O69" s="639" t="s">
        <v>349</v>
      </c>
      <c r="P69" s="639" t="s">
        <v>392</v>
      </c>
      <c r="Q69" s="639">
        <v>501003</v>
      </c>
      <c r="R69" s="639" t="s">
        <v>393</v>
      </c>
      <c r="S69" s="639">
        <v>1195</v>
      </c>
      <c r="T69" s="653">
        <v>1407</v>
      </c>
      <c r="U69" s="653" t="s">
        <v>308</v>
      </c>
      <c r="V69" s="653">
        <v>1407</v>
      </c>
      <c r="W69" s="653" t="s">
        <v>308</v>
      </c>
      <c r="X69" s="653">
        <v>1172</v>
      </c>
      <c r="Y69" s="666">
        <v>-23</v>
      </c>
    </row>
    <row r="70" spans="12:25">
      <c r="L70" s="652" t="s">
        <v>238</v>
      </c>
      <c r="M70" s="653" t="s">
        <v>234</v>
      </c>
      <c r="N70" s="639" t="s">
        <v>305</v>
      </c>
      <c r="O70" s="639" t="s">
        <v>349</v>
      </c>
      <c r="P70" s="639" t="s">
        <v>392</v>
      </c>
      <c r="Q70" s="639">
        <v>501602</v>
      </c>
      <c r="R70" s="639" t="s">
        <v>394</v>
      </c>
      <c r="S70" s="639">
        <v>1119</v>
      </c>
      <c r="T70" s="653">
        <v>1067</v>
      </c>
      <c r="U70" s="653" t="s">
        <v>308</v>
      </c>
      <c r="V70" s="653">
        <v>1067</v>
      </c>
      <c r="W70" s="653" t="s">
        <v>308</v>
      </c>
      <c r="X70" s="653">
        <v>2613</v>
      </c>
      <c r="Y70" s="666">
        <v>1494</v>
      </c>
    </row>
    <row r="71" spans="12:25">
      <c r="L71" s="652" t="s">
        <v>238</v>
      </c>
      <c r="M71" s="653" t="s">
        <v>234</v>
      </c>
      <c r="N71" s="639" t="s">
        <v>305</v>
      </c>
      <c r="O71" s="639" t="s">
        <v>349</v>
      </c>
      <c r="P71" s="639" t="s">
        <v>392</v>
      </c>
      <c r="Q71" s="639">
        <v>501701</v>
      </c>
      <c r="R71" s="639" t="s">
        <v>395</v>
      </c>
      <c r="S71" s="639">
        <v>2862</v>
      </c>
      <c r="T71" s="653">
        <v>3304</v>
      </c>
      <c r="U71" s="653" t="s">
        <v>308</v>
      </c>
      <c r="V71" s="653">
        <v>3304</v>
      </c>
      <c r="W71" s="653" t="s">
        <v>308</v>
      </c>
      <c r="X71" s="653">
        <v>5222</v>
      </c>
      <c r="Y71" s="666">
        <v>2360</v>
      </c>
    </row>
    <row r="72" spans="12:25">
      <c r="L72" s="652" t="s">
        <v>242</v>
      </c>
      <c r="M72" s="653" t="s">
        <v>234</v>
      </c>
      <c r="N72" s="639" t="s">
        <v>305</v>
      </c>
      <c r="O72" s="639" t="s">
        <v>349</v>
      </c>
      <c r="P72" s="639" t="s">
        <v>392</v>
      </c>
      <c r="Q72" s="639">
        <v>501715</v>
      </c>
      <c r="R72" s="639" t="s">
        <v>396</v>
      </c>
      <c r="S72" s="639">
        <v>1149</v>
      </c>
      <c r="T72" s="653">
        <v>55</v>
      </c>
      <c r="U72" s="653">
        <v>1137</v>
      </c>
      <c r="V72" s="653">
        <v>1137</v>
      </c>
      <c r="W72" s="653" t="s">
        <v>308</v>
      </c>
      <c r="X72" s="653">
        <v>1126</v>
      </c>
      <c r="Y72" s="666">
        <v>-23</v>
      </c>
    </row>
    <row r="73" spans="12:25">
      <c r="L73" s="652" t="s">
        <v>219</v>
      </c>
      <c r="M73" s="653" t="s">
        <v>143</v>
      </c>
      <c r="N73" s="639" t="s">
        <v>305</v>
      </c>
      <c r="O73" s="639" t="s">
        <v>349</v>
      </c>
      <c r="P73" s="639" t="s">
        <v>392</v>
      </c>
      <c r="Q73" s="639">
        <v>503001</v>
      </c>
      <c r="R73" s="639" t="s">
        <v>397</v>
      </c>
      <c r="S73" s="639">
        <v>1721</v>
      </c>
      <c r="T73" s="653">
        <v>1768</v>
      </c>
      <c r="U73" s="653" t="s">
        <v>308</v>
      </c>
      <c r="V73" s="653">
        <v>1768</v>
      </c>
      <c r="W73" s="653" t="s">
        <v>308</v>
      </c>
      <c r="X73" s="653">
        <v>1583</v>
      </c>
      <c r="Y73" s="666">
        <v>-138</v>
      </c>
    </row>
    <row r="74" spans="12:25">
      <c r="L74" s="652" t="s">
        <v>219</v>
      </c>
      <c r="M74" s="653" t="s">
        <v>143</v>
      </c>
      <c r="N74" s="639" t="s">
        <v>305</v>
      </c>
      <c r="O74" s="639" t="s">
        <v>349</v>
      </c>
      <c r="P74" s="639" t="s">
        <v>392</v>
      </c>
      <c r="Q74" s="639">
        <v>503303</v>
      </c>
      <c r="R74" s="639" t="s">
        <v>398</v>
      </c>
      <c r="S74" s="639">
        <v>1534</v>
      </c>
      <c r="T74" s="653">
        <v>1729</v>
      </c>
      <c r="U74" s="653" t="s">
        <v>308</v>
      </c>
      <c r="V74" s="653">
        <v>1729</v>
      </c>
      <c r="W74" s="653" t="s">
        <v>308</v>
      </c>
      <c r="X74" s="653">
        <v>3107</v>
      </c>
      <c r="Y74" s="666">
        <v>1573</v>
      </c>
    </row>
    <row r="75" spans="12:25">
      <c r="L75" s="652" t="s">
        <v>219</v>
      </c>
      <c r="M75" s="653" t="s">
        <v>143</v>
      </c>
      <c r="N75" s="639" t="s">
        <v>305</v>
      </c>
      <c r="O75" s="639" t="s">
        <v>349</v>
      </c>
      <c r="P75" s="639" t="s">
        <v>392</v>
      </c>
      <c r="Q75" s="639">
        <v>503402</v>
      </c>
      <c r="R75" s="639" t="s">
        <v>399</v>
      </c>
      <c r="S75" s="639">
        <v>167</v>
      </c>
      <c r="T75" s="653">
        <v>131</v>
      </c>
      <c r="U75" s="653">
        <v>270</v>
      </c>
      <c r="V75" s="653">
        <v>270</v>
      </c>
      <c r="W75" s="653" t="s">
        <v>308</v>
      </c>
      <c r="X75" s="653">
        <v>772</v>
      </c>
      <c r="Y75" s="666">
        <v>605</v>
      </c>
    </row>
    <row r="76" spans="12:25">
      <c r="L76" s="652" t="s">
        <v>219</v>
      </c>
      <c r="M76" s="653" t="s">
        <v>143</v>
      </c>
      <c r="N76" s="639" t="s">
        <v>305</v>
      </c>
      <c r="O76" s="639" t="s">
        <v>349</v>
      </c>
      <c r="P76" s="639" t="s">
        <v>392</v>
      </c>
      <c r="Q76" s="639">
        <v>503403</v>
      </c>
      <c r="R76" s="639" t="s">
        <v>400</v>
      </c>
      <c r="S76" s="639">
        <v>103</v>
      </c>
      <c r="T76" s="653">
        <v>101</v>
      </c>
      <c r="U76" s="653">
        <v>237</v>
      </c>
      <c r="V76" s="653">
        <v>237</v>
      </c>
      <c r="W76" s="653" t="s">
        <v>308</v>
      </c>
      <c r="X76" s="653">
        <v>151</v>
      </c>
      <c r="Y76" s="666">
        <v>48</v>
      </c>
    </row>
    <row r="77" spans="12:25">
      <c r="L77" s="652" t="s">
        <v>219</v>
      </c>
      <c r="M77" s="653" t="s">
        <v>334</v>
      </c>
      <c r="N77" s="639" t="s">
        <v>305</v>
      </c>
      <c r="O77" s="639" t="s">
        <v>349</v>
      </c>
      <c r="P77" s="639" t="s">
        <v>392</v>
      </c>
      <c r="Q77" s="639">
        <v>503810</v>
      </c>
      <c r="R77" s="639" t="s">
        <v>401</v>
      </c>
      <c r="S77" s="639">
        <v>518</v>
      </c>
      <c r="T77" s="653">
        <v>305</v>
      </c>
      <c r="U77" s="653" t="s">
        <v>308</v>
      </c>
      <c r="V77" s="653">
        <v>305</v>
      </c>
      <c r="W77" s="653" t="s">
        <v>308</v>
      </c>
      <c r="X77" s="653">
        <v>685</v>
      </c>
      <c r="Y77" s="666">
        <v>167</v>
      </c>
    </row>
    <row r="78" spans="12:25">
      <c r="L78" s="652" t="s">
        <v>228</v>
      </c>
      <c r="M78" s="653" t="s">
        <v>143</v>
      </c>
      <c r="N78" s="639" t="s">
        <v>305</v>
      </c>
      <c r="O78" s="639" t="s">
        <v>349</v>
      </c>
      <c r="P78" s="639" t="s">
        <v>392</v>
      </c>
      <c r="Q78" s="639">
        <v>504000</v>
      </c>
      <c r="R78" s="639" t="s">
        <v>402</v>
      </c>
      <c r="S78" s="639">
        <v>90</v>
      </c>
      <c r="T78" s="653">
        <v>132</v>
      </c>
      <c r="U78" s="653">
        <v>239</v>
      </c>
      <c r="V78" s="653">
        <v>239</v>
      </c>
      <c r="W78" s="653" t="s">
        <v>308</v>
      </c>
      <c r="X78" s="653">
        <v>420</v>
      </c>
      <c r="Y78" s="666">
        <v>330</v>
      </c>
    </row>
    <row r="79" spans="12:25">
      <c r="L79" s="652" t="s">
        <v>242</v>
      </c>
      <c r="M79" s="653" t="s">
        <v>143</v>
      </c>
      <c r="N79" s="639" t="s">
        <v>305</v>
      </c>
      <c r="O79" s="639" t="s">
        <v>349</v>
      </c>
      <c r="P79" s="639" t="s">
        <v>403</v>
      </c>
      <c r="Q79" s="639">
        <v>501023</v>
      </c>
      <c r="R79" s="639" t="s">
        <v>404</v>
      </c>
      <c r="S79" s="639">
        <v>229</v>
      </c>
      <c r="T79" s="653">
        <v>0</v>
      </c>
      <c r="U79" s="653">
        <v>433</v>
      </c>
      <c r="V79" s="653">
        <v>433</v>
      </c>
      <c r="W79" s="653" t="s">
        <v>308</v>
      </c>
      <c r="X79" s="653">
        <v>239</v>
      </c>
      <c r="Y79" s="666">
        <v>10</v>
      </c>
    </row>
    <row r="80" spans="12:25">
      <c r="L80" s="652" t="s">
        <v>242</v>
      </c>
      <c r="M80" s="653" t="s">
        <v>234</v>
      </c>
      <c r="N80" s="639" t="s">
        <v>305</v>
      </c>
      <c r="O80" s="639" t="s">
        <v>349</v>
      </c>
      <c r="P80" s="639" t="s">
        <v>403</v>
      </c>
      <c r="Q80" s="639">
        <v>501717</v>
      </c>
      <c r="R80" s="639" t="s">
        <v>405</v>
      </c>
      <c r="S80" s="639">
        <v>286</v>
      </c>
      <c r="T80" s="653">
        <v>0</v>
      </c>
      <c r="U80" s="653">
        <v>624</v>
      </c>
      <c r="V80" s="653">
        <v>624</v>
      </c>
      <c r="W80" s="653" t="s">
        <v>308</v>
      </c>
      <c r="X80" s="653">
        <v>1566</v>
      </c>
      <c r="Y80" s="666">
        <v>1280</v>
      </c>
    </row>
    <row r="81" spans="12:25">
      <c r="L81" s="652" t="s">
        <v>219</v>
      </c>
      <c r="M81" s="653" t="s">
        <v>143</v>
      </c>
      <c r="N81" s="639" t="s">
        <v>305</v>
      </c>
      <c r="O81" s="639" t="s">
        <v>349</v>
      </c>
      <c r="P81" s="639" t="s">
        <v>403</v>
      </c>
      <c r="Q81" s="639">
        <v>503013</v>
      </c>
      <c r="R81" s="639" t="s">
        <v>406</v>
      </c>
      <c r="S81" s="639">
        <v>328</v>
      </c>
      <c r="T81" s="653">
        <v>0</v>
      </c>
      <c r="U81" s="653">
        <v>644</v>
      </c>
      <c r="V81" s="653">
        <v>644</v>
      </c>
      <c r="W81" s="653" t="s">
        <v>308</v>
      </c>
      <c r="X81" s="653">
        <v>127</v>
      </c>
      <c r="Y81" s="666">
        <v>-201</v>
      </c>
    </row>
    <row r="82" spans="12:25">
      <c r="L82" s="652" t="s">
        <v>219</v>
      </c>
      <c r="M82" s="653" t="s">
        <v>143</v>
      </c>
      <c r="N82" s="639" t="s">
        <v>305</v>
      </c>
      <c r="O82" s="639" t="s">
        <v>349</v>
      </c>
      <c r="P82" s="639" t="s">
        <v>403</v>
      </c>
      <c r="Q82" s="639">
        <v>503317</v>
      </c>
      <c r="R82" s="639" t="s">
        <v>407</v>
      </c>
      <c r="S82" s="639">
        <v>93</v>
      </c>
      <c r="T82" s="653">
        <v>0</v>
      </c>
      <c r="U82" s="653">
        <v>195</v>
      </c>
      <c r="V82" s="653">
        <v>195</v>
      </c>
      <c r="W82" s="653" t="s">
        <v>308</v>
      </c>
      <c r="X82" s="653">
        <v>600</v>
      </c>
      <c r="Y82" s="666">
        <v>507</v>
      </c>
    </row>
    <row r="83" spans="12:25">
      <c r="L83" s="652" t="s">
        <v>242</v>
      </c>
      <c r="M83" s="653" t="s">
        <v>234</v>
      </c>
      <c r="N83" s="639" t="s">
        <v>305</v>
      </c>
      <c r="O83" s="639" t="s">
        <v>349</v>
      </c>
      <c r="P83" s="639" t="s">
        <v>408</v>
      </c>
      <c r="Q83" s="639">
        <v>501000</v>
      </c>
      <c r="R83" s="639" t="s">
        <v>409</v>
      </c>
      <c r="S83" s="639">
        <v>534</v>
      </c>
      <c r="T83" s="653">
        <v>615</v>
      </c>
      <c r="U83" s="653" t="s">
        <v>308</v>
      </c>
      <c r="V83" s="653">
        <v>615</v>
      </c>
      <c r="W83" s="653" t="s">
        <v>308</v>
      </c>
      <c r="X83" s="653">
        <v>2477</v>
      </c>
      <c r="Y83" s="666">
        <v>1943</v>
      </c>
    </row>
    <row r="84" spans="12:25">
      <c r="L84" s="652" t="s">
        <v>242</v>
      </c>
      <c r="M84" s="653" t="s">
        <v>234</v>
      </c>
      <c r="N84" s="639" t="s">
        <v>305</v>
      </c>
      <c r="O84" s="639" t="s">
        <v>349</v>
      </c>
      <c r="P84" s="639" t="s">
        <v>408</v>
      </c>
      <c r="Q84" s="639">
        <v>501700</v>
      </c>
      <c r="R84" s="639" t="s">
        <v>410</v>
      </c>
      <c r="S84" s="639">
        <v>1399</v>
      </c>
      <c r="T84" s="653">
        <v>1405</v>
      </c>
      <c r="U84" s="653" t="s">
        <v>308</v>
      </c>
      <c r="V84" s="653">
        <v>1405</v>
      </c>
      <c r="W84" s="653" t="s">
        <v>308</v>
      </c>
      <c r="X84" s="653">
        <v>3243</v>
      </c>
      <c r="Y84" s="666">
        <v>1844</v>
      </c>
    </row>
    <row r="85" spans="12:25">
      <c r="L85" s="652" t="s">
        <v>219</v>
      </c>
      <c r="M85" s="653" t="s">
        <v>143</v>
      </c>
      <c r="N85" s="639" t="s">
        <v>305</v>
      </c>
      <c r="O85" s="639" t="s">
        <v>349</v>
      </c>
      <c r="P85" s="639" t="s">
        <v>408</v>
      </c>
      <c r="Q85" s="639">
        <v>503400</v>
      </c>
      <c r="R85" s="639" t="s">
        <v>411</v>
      </c>
      <c r="S85" s="639">
        <v>1261</v>
      </c>
      <c r="T85" s="653">
        <v>1212</v>
      </c>
      <c r="U85" s="653" t="s">
        <v>308</v>
      </c>
      <c r="V85" s="653">
        <v>1212</v>
      </c>
      <c r="W85" s="653" t="s">
        <v>308</v>
      </c>
      <c r="X85" s="653">
        <v>1781</v>
      </c>
      <c r="Y85" s="666">
        <v>520</v>
      </c>
    </row>
    <row r="86" spans="12:25">
      <c r="L86" s="652" t="s">
        <v>238</v>
      </c>
      <c r="M86" s="653" t="s">
        <v>234</v>
      </c>
      <c r="N86" s="639" t="s">
        <v>305</v>
      </c>
      <c r="O86" s="639" t="s">
        <v>412</v>
      </c>
      <c r="P86" s="639" t="s">
        <v>306</v>
      </c>
      <c r="Q86" s="639">
        <v>163101</v>
      </c>
      <c r="R86" s="639" t="s">
        <v>413</v>
      </c>
      <c r="S86" s="639">
        <v>1877</v>
      </c>
      <c r="T86" s="653">
        <v>1673</v>
      </c>
      <c r="U86" s="653" t="s">
        <v>308</v>
      </c>
      <c r="V86" s="653">
        <v>1673</v>
      </c>
      <c r="W86" s="653" t="s">
        <v>308</v>
      </c>
      <c r="X86" s="653">
        <v>1497</v>
      </c>
      <c r="Y86" s="666">
        <v>-380</v>
      </c>
    </row>
    <row r="87" spans="12:25">
      <c r="L87" s="652" t="s">
        <v>238</v>
      </c>
      <c r="M87" s="653" t="s">
        <v>234</v>
      </c>
      <c r="N87" s="639" t="s">
        <v>305</v>
      </c>
      <c r="O87" s="639" t="s">
        <v>412</v>
      </c>
      <c r="P87" s="639" t="s">
        <v>306</v>
      </c>
      <c r="Q87" s="639">
        <v>213001</v>
      </c>
      <c r="R87" s="639" t="s">
        <v>414</v>
      </c>
      <c r="S87" s="639">
        <v>3567</v>
      </c>
      <c r="T87" s="653">
        <v>3484</v>
      </c>
      <c r="U87" s="653" t="s">
        <v>308</v>
      </c>
      <c r="V87" s="653">
        <v>3484</v>
      </c>
      <c r="W87" s="653" t="s">
        <v>308</v>
      </c>
      <c r="X87" s="653">
        <v>4322</v>
      </c>
      <c r="Y87" s="666">
        <v>755</v>
      </c>
    </row>
    <row r="88" spans="12:25">
      <c r="L88" s="652" t="s">
        <v>242</v>
      </c>
      <c r="M88" s="653" t="s">
        <v>339</v>
      </c>
      <c r="N88" s="639" t="s">
        <v>305</v>
      </c>
      <c r="O88" s="639" t="s">
        <v>412</v>
      </c>
      <c r="P88" s="639" t="s">
        <v>306</v>
      </c>
      <c r="Q88" s="639">
        <v>301000</v>
      </c>
      <c r="R88" s="639" t="s">
        <v>415</v>
      </c>
      <c r="S88" s="639">
        <v>416</v>
      </c>
      <c r="T88" s="653">
        <v>459</v>
      </c>
      <c r="U88" s="653" t="s">
        <v>308</v>
      </c>
      <c r="V88" s="653">
        <v>459</v>
      </c>
      <c r="W88" s="653" t="s">
        <v>308</v>
      </c>
      <c r="X88" s="653">
        <v>2244</v>
      </c>
      <c r="Y88" s="666">
        <v>1828</v>
      </c>
    </row>
    <row r="89" spans="12:25">
      <c r="L89" s="652" t="s">
        <v>235</v>
      </c>
      <c r="M89" s="653" t="s">
        <v>339</v>
      </c>
      <c r="N89" s="639" t="s">
        <v>305</v>
      </c>
      <c r="O89" s="639" t="s">
        <v>412</v>
      </c>
      <c r="P89" s="639" t="s">
        <v>306</v>
      </c>
      <c r="Q89" s="639">
        <v>301103</v>
      </c>
      <c r="R89" s="639" t="s">
        <v>416</v>
      </c>
      <c r="S89" s="639">
        <v>8332</v>
      </c>
      <c r="T89" s="653">
        <v>9284</v>
      </c>
      <c r="U89" s="653" t="s">
        <v>308</v>
      </c>
      <c r="V89" s="653">
        <v>9284</v>
      </c>
      <c r="W89" s="653" t="s">
        <v>308</v>
      </c>
      <c r="X89" s="653">
        <v>7479</v>
      </c>
      <c r="Y89" s="666">
        <v>-853</v>
      </c>
    </row>
    <row r="90" spans="12:25">
      <c r="L90" s="652" t="s">
        <v>235</v>
      </c>
      <c r="M90" s="653" t="s">
        <v>339</v>
      </c>
      <c r="N90" s="639" t="s">
        <v>305</v>
      </c>
      <c r="O90" s="639" t="s">
        <v>412</v>
      </c>
      <c r="P90" s="639" t="s">
        <v>306</v>
      </c>
      <c r="Q90" s="639">
        <v>301502</v>
      </c>
      <c r="R90" s="639" t="s">
        <v>417</v>
      </c>
      <c r="S90" s="639">
        <v>2636</v>
      </c>
      <c r="T90" s="653">
        <v>3020</v>
      </c>
      <c r="U90" s="653" t="s">
        <v>308</v>
      </c>
      <c r="V90" s="653">
        <v>3020</v>
      </c>
      <c r="W90" s="653" t="s">
        <v>308</v>
      </c>
      <c r="X90" s="653">
        <v>4135</v>
      </c>
      <c r="Y90" s="666">
        <v>1499</v>
      </c>
    </row>
    <row r="91" spans="12:25">
      <c r="L91" s="652" t="s">
        <v>235</v>
      </c>
      <c r="M91" s="653" t="s">
        <v>339</v>
      </c>
      <c r="N91" s="639" t="s">
        <v>305</v>
      </c>
      <c r="O91" s="639" t="s">
        <v>412</v>
      </c>
      <c r="P91" s="639" t="s">
        <v>306</v>
      </c>
      <c r="Q91" s="639">
        <v>301600</v>
      </c>
      <c r="R91" s="639" t="s">
        <v>418</v>
      </c>
      <c r="S91" s="639">
        <v>703</v>
      </c>
      <c r="T91" s="653">
        <v>761</v>
      </c>
      <c r="U91" s="653" t="s">
        <v>308</v>
      </c>
      <c r="V91" s="653">
        <v>761</v>
      </c>
      <c r="W91" s="653" t="s">
        <v>308</v>
      </c>
      <c r="X91" s="653">
        <v>1312</v>
      </c>
      <c r="Y91" s="666">
        <v>609</v>
      </c>
    </row>
    <row r="92" spans="12:25">
      <c r="L92" s="652" t="s">
        <v>242</v>
      </c>
      <c r="M92" s="653" t="s">
        <v>339</v>
      </c>
      <c r="N92" s="639" t="s">
        <v>305</v>
      </c>
      <c r="O92" s="639" t="s">
        <v>412</v>
      </c>
      <c r="P92" s="639" t="s">
        <v>306</v>
      </c>
      <c r="Q92" s="639">
        <v>301700</v>
      </c>
      <c r="R92" s="639" t="s">
        <v>419</v>
      </c>
      <c r="S92" s="639">
        <v>538</v>
      </c>
      <c r="T92" s="653">
        <v>614</v>
      </c>
      <c r="U92" s="653" t="s">
        <v>308</v>
      </c>
      <c r="V92" s="653">
        <v>614</v>
      </c>
      <c r="W92" s="653" t="s">
        <v>308</v>
      </c>
      <c r="X92" s="653">
        <v>1388</v>
      </c>
      <c r="Y92" s="666">
        <v>850</v>
      </c>
    </row>
    <row r="93" spans="12:25">
      <c r="L93" s="652" t="s">
        <v>235</v>
      </c>
      <c r="M93" s="653" t="s">
        <v>339</v>
      </c>
      <c r="N93" s="639" t="s">
        <v>305</v>
      </c>
      <c r="O93" s="639" t="s">
        <v>412</v>
      </c>
      <c r="P93" s="639" t="s">
        <v>306</v>
      </c>
      <c r="Q93" s="639">
        <v>301701</v>
      </c>
      <c r="R93" s="639" t="s">
        <v>420</v>
      </c>
      <c r="S93" s="639">
        <v>4822</v>
      </c>
      <c r="T93" s="653">
        <v>5089</v>
      </c>
      <c r="U93" s="653" t="s">
        <v>308</v>
      </c>
      <c r="V93" s="653">
        <v>5089</v>
      </c>
      <c r="W93" s="653" t="s">
        <v>308</v>
      </c>
      <c r="X93" s="653">
        <v>4872</v>
      </c>
      <c r="Y93" s="666">
        <v>50</v>
      </c>
    </row>
    <row r="94" spans="12:25">
      <c r="L94" s="652" t="s">
        <v>304</v>
      </c>
      <c r="M94" s="653" t="s">
        <v>311</v>
      </c>
      <c r="N94" s="639" t="s">
        <v>305</v>
      </c>
      <c r="O94" s="639" t="s">
        <v>412</v>
      </c>
      <c r="P94" s="639" t="s">
        <v>306</v>
      </c>
      <c r="Q94" s="639">
        <v>302000</v>
      </c>
      <c r="R94" s="639" t="s">
        <v>421</v>
      </c>
      <c r="S94" s="639">
        <v>695</v>
      </c>
      <c r="T94" s="653">
        <v>610</v>
      </c>
      <c r="U94" s="653" t="s">
        <v>308</v>
      </c>
      <c r="V94" s="653">
        <v>610</v>
      </c>
      <c r="W94" s="653" t="s">
        <v>308</v>
      </c>
      <c r="X94" s="653">
        <v>471</v>
      </c>
      <c r="Y94" s="666">
        <v>-224</v>
      </c>
    </row>
    <row r="95" spans="12:25">
      <c r="L95" s="652" t="s">
        <v>235</v>
      </c>
      <c r="M95" s="653" t="s">
        <v>311</v>
      </c>
      <c r="N95" s="639" t="s">
        <v>305</v>
      </c>
      <c r="O95" s="639" t="s">
        <v>412</v>
      </c>
      <c r="P95" s="639" t="s">
        <v>306</v>
      </c>
      <c r="Q95" s="639">
        <v>302003</v>
      </c>
      <c r="R95" s="639" t="s">
        <v>422</v>
      </c>
      <c r="S95" s="639">
        <v>2197</v>
      </c>
      <c r="T95" s="653">
        <v>1950</v>
      </c>
      <c r="U95" s="653" t="s">
        <v>308</v>
      </c>
      <c r="V95" s="653">
        <v>1950</v>
      </c>
      <c r="W95" s="653" t="s">
        <v>308</v>
      </c>
      <c r="X95" s="653">
        <v>2085</v>
      </c>
      <c r="Y95" s="666">
        <v>-112</v>
      </c>
    </row>
    <row r="96" spans="12:25">
      <c r="L96" s="652" t="s">
        <v>208</v>
      </c>
      <c r="M96" s="653" t="s">
        <v>315</v>
      </c>
      <c r="N96" s="639" t="s">
        <v>305</v>
      </c>
      <c r="O96" s="639" t="s">
        <v>412</v>
      </c>
      <c r="P96" s="639" t="s">
        <v>306</v>
      </c>
      <c r="Q96" s="639">
        <v>306601</v>
      </c>
      <c r="R96" s="639" t="s">
        <v>423</v>
      </c>
      <c r="S96" s="639">
        <v>171</v>
      </c>
      <c r="T96" s="653">
        <v>255</v>
      </c>
      <c r="U96" s="653" t="s">
        <v>308</v>
      </c>
      <c r="V96" s="653">
        <v>255</v>
      </c>
      <c r="W96" s="653" t="s">
        <v>308</v>
      </c>
      <c r="X96" s="653">
        <v>298</v>
      </c>
      <c r="Y96" s="666">
        <v>127</v>
      </c>
    </row>
    <row r="97" spans="12:25">
      <c r="L97" s="652" t="s">
        <v>212</v>
      </c>
      <c r="M97" s="653" t="s">
        <v>143</v>
      </c>
      <c r="N97" s="639" t="s">
        <v>305</v>
      </c>
      <c r="O97" s="639" t="s">
        <v>190</v>
      </c>
      <c r="P97" s="639" t="s">
        <v>306</v>
      </c>
      <c r="Q97" s="639">
        <v>123008</v>
      </c>
      <c r="R97" s="639" t="s">
        <v>424</v>
      </c>
      <c r="S97" s="639">
        <v>850</v>
      </c>
      <c r="T97" s="653">
        <v>418</v>
      </c>
      <c r="U97" s="653" t="s">
        <v>308</v>
      </c>
      <c r="V97" s="653">
        <v>418</v>
      </c>
      <c r="W97" s="653" t="s">
        <v>308</v>
      </c>
      <c r="X97" s="653">
        <v>259</v>
      </c>
      <c r="Y97" s="666">
        <v>-591</v>
      </c>
    </row>
    <row r="98" spans="12:25">
      <c r="L98" s="652" t="s">
        <v>212</v>
      </c>
      <c r="M98" s="653" t="s">
        <v>143</v>
      </c>
      <c r="N98" s="639" t="s">
        <v>305</v>
      </c>
      <c r="O98" s="639" t="s">
        <v>190</v>
      </c>
      <c r="P98" s="639" t="s">
        <v>306</v>
      </c>
      <c r="Q98" s="639">
        <v>123009</v>
      </c>
      <c r="R98" s="639" t="s">
        <v>425</v>
      </c>
      <c r="S98" s="639">
        <v>1630</v>
      </c>
      <c r="T98" s="653">
        <v>870</v>
      </c>
      <c r="U98" s="653" t="s">
        <v>308</v>
      </c>
      <c r="V98" s="653">
        <v>870</v>
      </c>
      <c r="W98" s="653" t="s">
        <v>308</v>
      </c>
      <c r="X98" s="653">
        <v>1603</v>
      </c>
      <c r="Y98" s="666">
        <v>-27</v>
      </c>
    </row>
    <row r="99" spans="12:25">
      <c r="L99" s="652" t="s">
        <v>212</v>
      </c>
      <c r="M99" s="653" t="s">
        <v>143</v>
      </c>
      <c r="N99" s="639" t="s">
        <v>305</v>
      </c>
      <c r="O99" s="639" t="s">
        <v>190</v>
      </c>
      <c r="P99" s="639" t="s">
        <v>306</v>
      </c>
      <c r="Q99" s="639">
        <v>123013</v>
      </c>
      <c r="R99" s="639" t="s">
        <v>426</v>
      </c>
      <c r="S99" s="639">
        <v>450</v>
      </c>
      <c r="T99" s="653">
        <v>435</v>
      </c>
      <c r="U99" s="653" t="s">
        <v>308</v>
      </c>
      <c r="V99" s="653">
        <v>435</v>
      </c>
      <c r="W99" s="653" t="s">
        <v>308</v>
      </c>
      <c r="X99" s="653">
        <v>629</v>
      </c>
      <c r="Y99" s="666">
        <v>179</v>
      </c>
    </row>
    <row r="100" spans="12:25">
      <c r="L100" s="652" t="s">
        <v>212</v>
      </c>
      <c r="M100" s="653" t="s">
        <v>143</v>
      </c>
      <c r="N100" s="639" t="s">
        <v>305</v>
      </c>
      <c r="O100" s="639" t="s">
        <v>190</v>
      </c>
      <c r="P100" s="639" t="s">
        <v>306</v>
      </c>
      <c r="Q100" s="639">
        <v>123301</v>
      </c>
      <c r="R100" s="639" t="s">
        <v>427</v>
      </c>
      <c r="S100" s="639">
        <v>505</v>
      </c>
      <c r="T100" s="653">
        <v>500</v>
      </c>
      <c r="U100" s="653" t="s">
        <v>308</v>
      </c>
      <c r="V100" s="653">
        <v>500</v>
      </c>
      <c r="W100" s="653" t="s">
        <v>308</v>
      </c>
      <c r="X100" s="653">
        <v>153</v>
      </c>
      <c r="Y100" s="666">
        <v>-352</v>
      </c>
    </row>
    <row r="101" spans="12:25">
      <c r="L101" s="652" t="s">
        <v>212</v>
      </c>
      <c r="M101" s="653" t="s">
        <v>143</v>
      </c>
      <c r="N101" s="639" t="s">
        <v>305</v>
      </c>
      <c r="O101" s="639" t="s">
        <v>190</v>
      </c>
      <c r="P101" s="639" t="s">
        <v>306</v>
      </c>
      <c r="Q101" s="639">
        <v>123603</v>
      </c>
      <c r="R101" s="639" t="s">
        <v>428</v>
      </c>
      <c r="S101" s="639">
        <v>3918</v>
      </c>
      <c r="T101" s="653">
        <v>1910</v>
      </c>
      <c r="U101" s="653" t="s">
        <v>308</v>
      </c>
      <c r="V101" s="653">
        <v>1910</v>
      </c>
      <c r="W101" s="653" t="s">
        <v>308</v>
      </c>
      <c r="X101" s="653">
        <v>813</v>
      </c>
      <c r="Y101" s="666">
        <v>-3105</v>
      </c>
    </row>
    <row r="102" spans="12:25">
      <c r="L102" s="652" t="s">
        <v>219</v>
      </c>
      <c r="M102" s="653" t="s">
        <v>143</v>
      </c>
      <c r="N102" s="639" t="s">
        <v>305</v>
      </c>
      <c r="O102" s="639" t="s">
        <v>190</v>
      </c>
      <c r="P102" s="639" t="s">
        <v>429</v>
      </c>
      <c r="Q102" s="639">
        <v>603032</v>
      </c>
      <c r="R102" s="639" t="s">
        <v>430</v>
      </c>
      <c r="S102" s="639">
        <v>173</v>
      </c>
      <c r="T102" s="653">
        <v>185</v>
      </c>
      <c r="U102" s="653">
        <v>222</v>
      </c>
      <c r="V102" s="653">
        <v>222</v>
      </c>
      <c r="W102" s="653" t="s">
        <v>308</v>
      </c>
      <c r="X102" s="653">
        <v>705</v>
      </c>
      <c r="Y102" s="666">
        <v>532</v>
      </c>
    </row>
    <row r="103" spans="12:25">
      <c r="L103" s="652" t="s">
        <v>219</v>
      </c>
      <c r="M103" s="653" t="s">
        <v>143</v>
      </c>
      <c r="N103" s="639" t="s">
        <v>305</v>
      </c>
      <c r="O103" s="639" t="s">
        <v>190</v>
      </c>
      <c r="P103" s="639" t="s">
        <v>429</v>
      </c>
      <c r="Q103" s="639">
        <v>603332</v>
      </c>
      <c r="R103" s="639" t="s">
        <v>431</v>
      </c>
      <c r="S103" s="639">
        <v>214</v>
      </c>
      <c r="T103" s="653">
        <v>190</v>
      </c>
      <c r="U103" s="653">
        <v>349</v>
      </c>
      <c r="V103" s="653">
        <v>349</v>
      </c>
      <c r="W103" s="653" t="s">
        <v>308</v>
      </c>
      <c r="X103" s="653">
        <v>568</v>
      </c>
      <c r="Y103" s="666">
        <v>354</v>
      </c>
    </row>
    <row r="104" spans="12:25">
      <c r="L104" s="652" t="s">
        <v>219</v>
      </c>
      <c r="M104" s="653" t="s">
        <v>143</v>
      </c>
      <c r="N104" s="639" t="s">
        <v>305</v>
      </c>
      <c r="O104" s="639" t="s">
        <v>190</v>
      </c>
      <c r="P104" s="639" t="s">
        <v>429</v>
      </c>
      <c r="Q104" s="639">
        <v>603432</v>
      </c>
      <c r="R104" s="639" t="s">
        <v>432</v>
      </c>
      <c r="S104" s="639">
        <v>299</v>
      </c>
      <c r="T104" s="653">
        <v>277</v>
      </c>
      <c r="U104" s="653" t="s">
        <v>308</v>
      </c>
      <c r="V104" s="653">
        <v>277</v>
      </c>
      <c r="W104" s="653" t="s">
        <v>308</v>
      </c>
      <c r="X104" s="653">
        <v>647</v>
      </c>
      <c r="Y104" s="666">
        <v>348</v>
      </c>
    </row>
    <row r="105" spans="12:25">
      <c r="L105" s="652" t="s">
        <v>212</v>
      </c>
      <c r="M105" s="653" t="s">
        <v>143</v>
      </c>
      <c r="N105" s="639" t="s">
        <v>305</v>
      </c>
      <c r="O105" s="639" t="s">
        <v>190</v>
      </c>
      <c r="P105" s="639" t="s">
        <v>433</v>
      </c>
      <c r="Q105" s="639">
        <v>123405</v>
      </c>
      <c r="R105" s="639" t="s">
        <v>434</v>
      </c>
      <c r="S105" s="639">
        <v>354</v>
      </c>
      <c r="T105" s="653">
        <v>388</v>
      </c>
      <c r="U105" s="653" t="s">
        <v>308</v>
      </c>
      <c r="V105" s="653">
        <v>388</v>
      </c>
      <c r="W105" s="653" t="s">
        <v>308</v>
      </c>
      <c r="X105" s="653">
        <v>-242</v>
      </c>
      <c r="Y105" s="666">
        <v>-596</v>
      </c>
    </row>
    <row r="106" spans="12:25">
      <c r="L106" s="652" t="s">
        <v>200</v>
      </c>
      <c r="M106" s="653" t="s">
        <v>340</v>
      </c>
      <c r="N106" s="639" t="s">
        <v>305</v>
      </c>
      <c r="O106" s="639" t="s">
        <v>435</v>
      </c>
      <c r="P106" s="639" t="s">
        <v>436</v>
      </c>
      <c r="Q106" s="639">
        <v>136116</v>
      </c>
      <c r="R106" s="639" t="s">
        <v>437</v>
      </c>
      <c r="S106" s="639">
        <v>328</v>
      </c>
      <c r="T106" s="653">
        <v>188</v>
      </c>
      <c r="U106" s="653">
        <v>547</v>
      </c>
      <c r="V106" s="653">
        <v>547</v>
      </c>
      <c r="W106" s="653" t="s">
        <v>308</v>
      </c>
      <c r="X106" s="653">
        <v>210</v>
      </c>
      <c r="Y106" s="666">
        <v>-118</v>
      </c>
    </row>
    <row r="107" spans="12:25">
      <c r="L107" s="652" t="s">
        <v>200</v>
      </c>
      <c r="M107" s="653" t="s">
        <v>342</v>
      </c>
      <c r="N107" s="639" t="s">
        <v>305</v>
      </c>
      <c r="O107" s="639" t="s">
        <v>435</v>
      </c>
      <c r="P107" s="639" t="s">
        <v>436</v>
      </c>
      <c r="Q107" s="639">
        <v>136217</v>
      </c>
      <c r="R107" s="639" t="s">
        <v>438</v>
      </c>
      <c r="S107" s="639">
        <v>345</v>
      </c>
      <c r="T107" s="653">
        <v>213</v>
      </c>
      <c r="U107" s="653" t="s">
        <v>308</v>
      </c>
      <c r="V107" s="653">
        <v>213</v>
      </c>
      <c r="W107" s="653" t="s">
        <v>308</v>
      </c>
      <c r="X107" s="653">
        <v>-351</v>
      </c>
      <c r="Y107" s="666">
        <v>-696</v>
      </c>
    </row>
    <row r="108" spans="12:25">
      <c r="L108" s="652" t="s">
        <v>200</v>
      </c>
      <c r="M108" s="653" t="s">
        <v>344</v>
      </c>
      <c r="N108" s="639" t="s">
        <v>305</v>
      </c>
      <c r="O108" s="639" t="s">
        <v>435</v>
      </c>
      <c r="P108" s="639" t="s">
        <v>436</v>
      </c>
      <c r="Q108" s="639">
        <v>136916</v>
      </c>
      <c r="R108" s="639" t="s">
        <v>439</v>
      </c>
      <c r="S108" s="639">
        <v>252</v>
      </c>
      <c r="T108" s="653">
        <v>168</v>
      </c>
      <c r="U108" s="653">
        <v>372</v>
      </c>
      <c r="V108" s="653">
        <v>372</v>
      </c>
      <c r="W108" s="653" t="s">
        <v>308</v>
      </c>
      <c r="X108" s="653">
        <v>90</v>
      </c>
      <c r="Y108" s="666">
        <v>-162</v>
      </c>
    </row>
    <row r="109" spans="12:25">
      <c r="L109" s="652" t="s">
        <v>200</v>
      </c>
      <c r="M109" s="653" t="s">
        <v>340</v>
      </c>
      <c r="N109" s="639" t="s">
        <v>305</v>
      </c>
      <c r="O109" s="639" t="s">
        <v>435</v>
      </c>
      <c r="P109" s="639" t="s">
        <v>440</v>
      </c>
      <c r="Q109" s="639">
        <v>136109</v>
      </c>
      <c r="R109" s="639" t="s">
        <v>441</v>
      </c>
      <c r="S109" s="639">
        <v>1290</v>
      </c>
      <c r="T109" s="653">
        <v>693</v>
      </c>
      <c r="U109" s="653" t="s">
        <v>308</v>
      </c>
      <c r="V109" s="653">
        <v>693</v>
      </c>
      <c r="W109" s="653" t="s">
        <v>308</v>
      </c>
      <c r="X109" s="653">
        <v>1392</v>
      </c>
      <c r="Y109" s="666">
        <v>102</v>
      </c>
    </row>
    <row r="110" spans="12:25">
      <c r="L110" s="652" t="s">
        <v>200</v>
      </c>
      <c r="M110" s="653" t="s">
        <v>342</v>
      </c>
      <c r="N110" s="639" t="s">
        <v>305</v>
      </c>
      <c r="O110" s="639" t="s">
        <v>435</v>
      </c>
      <c r="P110" s="639" t="s">
        <v>440</v>
      </c>
      <c r="Q110" s="639">
        <v>136209</v>
      </c>
      <c r="R110" s="639" t="s">
        <v>442</v>
      </c>
      <c r="S110" s="639">
        <v>368</v>
      </c>
      <c r="T110" s="653">
        <v>377</v>
      </c>
      <c r="U110" s="653" t="s">
        <v>308</v>
      </c>
      <c r="V110" s="653">
        <v>377</v>
      </c>
      <c r="W110" s="653" t="s">
        <v>308</v>
      </c>
      <c r="X110" s="653">
        <v>702</v>
      </c>
      <c r="Y110" s="666">
        <v>334</v>
      </c>
    </row>
    <row r="111" spans="12:25">
      <c r="L111" s="652" t="s">
        <v>200</v>
      </c>
      <c r="M111" s="653" t="s">
        <v>340</v>
      </c>
      <c r="N111" s="639" t="s">
        <v>305</v>
      </c>
      <c r="O111" s="639" t="s">
        <v>435</v>
      </c>
      <c r="P111" s="639" t="s">
        <v>443</v>
      </c>
      <c r="Q111" s="639">
        <v>136110</v>
      </c>
      <c r="R111" s="639" t="s">
        <v>444</v>
      </c>
      <c r="S111" s="639">
        <v>598</v>
      </c>
      <c r="T111" s="653">
        <v>334</v>
      </c>
      <c r="U111" s="653" t="s">
        <v>308</v>
      </c>
      <c r="V111" s="653">
        <v>334</v>
      </c>
      <c r="W111" s="653" t="s">
        <v>308</v>
      </c>
      <c r="X111" s="653">
        <v>858</v>
      </c>
      <c r="Y111" s="666">
        <v>260</v>
      </c>
    </row>
    <row r="112" spans="12:25">
      <c r="L112" s="652" t="s">
        <v>200</v>
      </c>
      <c r="M112" s="653" t="s">
        <v>342</v>
      </c>
      <c r="N112" s="639" t="s">
        <v>305</v>
      </c>
      <c r="O112" s="639" t="s">
        <v>435</v>
      </c>
      <c r="P112" s="639" t="s">
        <v>443</v>
      </c>
      <c r="Q112" s="639">
        <v>136200</v>
      </c>
      <c r="R112" s="639" t="s">
        <v>445</v>
      </c>
      <c r="S112" s="639">
        <v>289</v>
      </c>
      <c r="T112" s="653">
        <v>334</v>
      </c>
      <c r="U112" s="653" t="s">
        <v>308</v>
      </c>
      <c r="V112" s="653">
        <v>334</v>
      </c>
      <c r="W112" s="653" t="s">
        <v>308</v>
      </c>
      <c r="X112" s="653">
        <v>703</v>
      </c>
      <c r="Y112" s="666">
        <v>414</v>
      </c>
    </row>
    <row r="113" spans="12:25">
      <c r="L113" s="652" t="s">
        <v>200</v>
      </c>
      <c r="M113" s="653" t="s">
        <v>340</v>
      </c>
      <c r="N113" s="639" t="s">
        <v>305</v>
      </c>
      <c r="O113" s="639" t="s">
        <v>435</v>
      </c>
      <c r="P113" s="639" t="s">
        <v>446</v>
      </c>
      <c r="Q113" s="639">
        <v>136108</v>
      </c>
      <c r="R113" s="639" t="s">
        <v>447</v>
      </c>
      <c r="S113" s="639">
        <v>240</v>
      </c>
      <c r="T113" s="653">
        <v>18</v>
      </c>
      <c r="U113" s="653">
        <v>5</v>
      </c>
      <c r="V113" s="653">
        <v>18</v>
      </c>
      <c r="W113" s="653" t="s">
        <v>308</v>
      </c>
      <c r="X113" s="653">
        <v>373</v>
      </c>
      <c r="Y113" s="666">
        <v>133</v>
      </c>
    </row>
    <row r="114" spans="12:25">
      <c r="L114" s="652" t="s">
        <v>200</v>
      </c>
      <c r="M114" s="653" t="s">
        <v>340</v>
      </c>
      <c r="N114" s="639" t="s">
        <v>305</v>
      </c>
      <c r="O114" s="639" t="s">
        <v>435</v>
      </c>
      <c r="P114" s="639" t="s">
        <v>446</v>
      </c>
      <c r="Q114" s="639">
        <v>136113</v>
      </c>
      <c r="R114" s="639" t="s">
        <v>448</v>
      </c>
      <c r="S114" s="639">
        <v>43</v>
      </c>
      <c r="T114" s="653">
        <v>134</v>
      </c>
      <c r="U114" s="653">
        <v>309</v>
      </c>
      <c r="V114" s="653">
        <v>309</v>
      </c>
      <c r="W114" s="653" t="s">
        <v>308</v>
      </c>
      <c r="X114" s="653">
        <v>133</v>
      </c>
      <c r="Y114" s="666">
        <v>90</v>
      </c>
    </row>
    <row r="115" spans="12:25">
      <c r="L115" s="652" t="s">
        <v>200</v>
      </c>
      <c r="M115" s="653" t="s">
        <v>340</v>
      </c>
      <c r="N115" s="639" t="s">
        <v>305</v>
      </c>
      <c r="O115" s="639" t="s">
        <v>435</v>
      </c>
      <c r="P115" s="639" t="s">
        <v>446</v>
      </c>
      <c r="Q115" s="639">
        <v>136118</v>
      </c>
      <c r="R115" s="639" t="s">
        <v>449</v>
      </c>
      <c r="S115" s="639">
        <v>125</v>
      </c>
      <c r="T115" s="653">
        <v>12</v>
      </c>
      <c r="U115" s="653">
        <v>360</v>
      </c>
      <c r="V115" s="653">
        <v>360</v>
      </c>
      <c r="W115" s="653" t="s">
        <v>308</v>
      </c>
      <c r="X115" s="653">
        <v>-306</v>
      </c>
      <c r="Y115" s="666">
        <v>-431</v>
      </c>
    </row>
    <row r="116" spans="12:25">
      <c r="L116" s="652" t="s">
        <v>200</v>
      </c>
      <c r="M116" s="653" t="s">
        <v>340</v>
      </c>
      <c r="N116" s="639" t="s">
        <v>305</v>
      </c>
      <c r="O116" s="639" t="s">
        <v>435</v>
      </c>
      <c r="P116" s="639" t="s">
        <v>446</v>
      </c>
      <c r="Q116" s="639">
        <v>136218</v>
      </c>
      <c r="R116" s="639" t="s">
        <v>450</v>
      </c>
      <c r="S116" s="639">
        <v>136</v>
      </c>
      <c r="T116" s="653">
        <v>11</v>
      </c>
      <c r="U116" s="653">
        <v>393</v>
      </c>
      <c r="V116" s="653">
        <v>393</v>
      </c>
      <c r="W116" s="653" t="s">
        <v>308</v>
      </c>
      <c r="X116" s="653">
        <v>129</v>
      </c>
      <c r="Y116" s="666">
        <v>-7</v>
      </c>
    </row>
    <row r="117" spans="12:25">
      <c r="L117" s="652" t="s">
        <v>238</v>
      </c>
      <c r="M117" s="653" t="s">
        <v>234</v>
      </c>
      <c r="N117" s="639" t="s">
        <v>305</v>
      </c>
      <c r="O117" s="639" t="s">
        <v>451</v>
      </c>
      <c r="P117" s="639" t="s">
        <v>306</v>
      </c>
      <c r="Q117" s="639">
        <v>211300</v>
      </c>
      <c r="R117" s="639" t="s">
        <v>452</v>
      </c>
      <c r="S117" s="639">
        <v>611</v>
      </c>
      <c r="T117" s="653">
        <v>589</v>
      </c>
      <c r="U117" s="653" t="s">
        <v>308</v>
      </c>
      <c r="V117" s="653">
        <v>589</v>
      </c>
      <c r="W117" s="653" t="s">
        <v>308</v>
      </c>
      <c r="X117" s="653">
        <v>575</v>
      </c>
      <c r="Y117" s="666">
        <v>-36</v>
      </c>
    </row>
    <row r="118" spans="12:25">
      <c r="L118" s="652" t="s">
        <v>242</v>
      </c>
      <c r="M118" s="653" t="s">
        <v>234</v>
      </c>
      <c r="N118" s="639" t="s">
        <v>305</v>
      </c>
      <c r="O118" s="639" t="s">
        <v>451</v>
      </c>
      <c r="P118" s="639" t="s">
        <v>306</v>
      </c>
      <c r="Q118" s="639">
        <v>411301</v>
      </c>
      <c r="R118" s="639" t="s">
        <v>453</v>
      </c>
      <c r="S118" s="639">
        <v>561</v>
      </c>
      <c r="T118" s="653">
        <v>599</v>
      </c>
      <c r="U118" s="653" t="s">
        <v>308</v>
      </c>
      <c r="V118" s="653">
        <v>599</v>
      </c>
      <c r="W118" s="653" t="s">
        <v>308</v>
      </c>
      <c r="X118" s="653">
        <v>1030</v>
      </c>
      <c r="Y118" s="666">
        <v>469</v>
      </c>
    </row>
    <row r="119" spans="12:25">
      <c r="L119" s="652" t="s">
        <v>228</v>
      </c>
      <c r="M119" s="653" t="s">
        <v>143</v>
      </c>
      <c r="N119" s="639" t="s">
        <v>305</v>
      </c>
      <c r="O119" s="639" t="s">
        <v>451</v>
      </c>
      <c r="P119" s="639" t="s">
        <v>306</v>
      </c>
      <c r="Q119" s="639">
        <v>413400</v>
      </c>
      <c r="R119" s="639" t="s">
        <v>454</v>
      </c>
      <c r="S119" s="639">
        <v>813</v>
      </c>
      <c r="T119" s="653">
        <v>907</v>
      </c>
      <c r="U119" s="653" t="s">
        <v>308</v>
      </c>
      <c r="V119" s="653">
        <v>907</v>
      </c>
      <c r="W119" s="653" t="s">
        <v>308</v>
      </c>
      <c r="X119" s="653">
        <v>1383</v>
      </c>
      <c r="Y119" s="666">
        <v>570</v>
      </c>
    </row>
    <row r="120" spans="12:25">
      <c r="L120" s="652" t="s">
        <v>212</v>
      </c>
      <c r="M120" s="653" t="s">
        <v>143</v>
      </c>
      <c r="N120" s="639" t="s">
        <v>305</v>
      </c>
      <c r="O120" s="639" t="s">
        <v>451</v>
      </c>
      <c r="P120" s="639" t="s">
        <v>306</v>
      </c>
      <c r="Q120" s="639">
        <v>413401</v>
      </c>
      <c r="R120" s="639" t="s">
        <v>455</v>
      </c>
      <c r="S120" s="639">
        <v>315</v>
      </c>
      <c r="T120" s="653">
        <v>333</v>
      </c>
      <c r="U120" s="653" t="s">
        <v>308</v>
      </c>
      <c r="V120" s="653">
        <v>333</v>
      </c>
      <c r="W120" s="653" t="s">
        <v>308</v>
      </c>
      <c r="X120" s="653">
        <v>791</v>
      </c>
      <c r="Y120" s="666">
        <v>476</v>
      </c>
    </row>
    <row r="121" spans="12:25">
      <c r="L121" s="652" t="s">
        <v>238</v>
      </c>
      <c r="M121" s="653" t="s">
        <v>234</v>
      </c>
      <c r="N121" s="639" t="s">
        <v>305</v>
      </c>
      <c r="O121" s="639" t="s">
        <v>456</v>
      </c>
      <c r="P121" s="639" t="s">
        <v>306</v>
      </c>
      <c r="Q121" s="639">
        <v>701302</v>
      </c>
      <c r="R121" s="639" t="s">
        <v>457</v>
      </c>
      <c r="S121" s="639">
        <v>612</v>
      </c>
      <c r="T121" s="653">
        <v>561</v>
      </c>
      <c r="U121" s="653" t="s">
        <v>308</v>
      </c>
      <c r="V121" s="653">
        <v>561</v>
      </c>
      <c r="W121" s="653" t="s">
        <v>308</v>
      </c>
      <c r="X121" s="653">
        <v>382</v>
      </c>
      <c r="Y121" s="666">
        <v>-230</v>
      </c>
    </row>
    <row r="122" spans="12:25">
      <c r="L122" s="652" t="s">
        <v>238</v>
      </c>
      <c r="M122" s="653" t="s">
        <v>234</v>
      </c>
      <c r="N122" s="639" t="s">
        <v>305</v>
      </c>
      <c r="O122" s="639" t="s">
        <v>456</v>
      </c>
      <c r="P122" s="639" t="s">
        <v>306</v>
      </c>
      <c r="Q122" s="639">
        <v>701702</v>
      </c>
      <c r="R122" s="639" t="s">
        <v>458</v>
      </c>
      <c r="S122" s="639">
        <v>437</v>
      </c>
      <c r="T122" s="653">
        <v>15</v>
      </c>
      <c r="U122" s="653">
        <v>101</v>
      </c>
      <c r="V122" s="653">
        <v>101</v>
      </c>
      <c r="W122" s="653" t="s">
        <v>308</v>
      </c>
      <c r="X122" s="653">
        <v>1580</v>
      </c>
      <c r="Y122" s="666">
        <v>1143</v>
      </c>
    </row>
    <row r="123" spans="12:25">
      <c r="L123" s="652" t="s">
        <v>212</v>
      </c>
      <c r="M123" s="653" t="s">
        <v>143</v>
      </c>
      <c r="N123" s="639" t="s">
        <v>305</v>
      </c>
      <c r="O123" s="639" t="s">
        <v>456</v>
      </c>
      <c r="P123" s="639" t="s">
        <v>306</v>
      </c>
      <c r="Q123" s="639">
        <v>703001</v>
      </c>
      <c r="R123" s="639" t="s">
        <v>459</v>
      </c>
      <c r="S123" s="639">
        <v>1157</v>
      </c>
      <c r="T123" s="653">
        <v>1129</v>
      </c>
      <c r="U123" s="653" t="s">
        <v>308</v>
      </c>
      <c r="V123" s="653">
        <v>1129</v>
      </c>
      <c r="W123" s="653" t="s">
        <v>308</v>
      </c>
      <c r="X123" s="653">
        <v>1153</v>
      </c>
      <c r="Y123" s="666">
        <v>-4</v>
      </c>
    </row>
    <row r="124" spans="12:25">
      <c r="L124" s="652" t="s">
        <v>219</v>
      </c>
      <c r="M124" s="653" t="s">
        <v>143</v>
      </c>
      <c r="N124" s="639" t="s">
        <v>305</v>
      </c>
      <c r="O124" s="639" t="s">
        <v>456</v>
      </c>
      <c r="P124" s="639" t="s">
        <v>306</v>
      </c>
      <c r="Q124" s="639">
        <v>703008</v>
      </c>
      <c r="R124" s="639" t="s">
        <v>459</v>
      </c>
      <c r="S124" s="639">
        <v>1800</v>
      </c>
      <c r="T124" s="653">
        <v>773</v>
      </c>
      <c r="U124" s="653" t="s">
        <v>308</v>
      </c>
      <c r="V124" s="653">
        <v>773</v>
      </c>
      <c r="W124" s="653" t="s">
        <v>308</v>
      </c>
      <c r="X124" s="653">
        <v>1070</v>
      </c>
      <c r="Y124" s="666">
        <v>-730</v>
      </c>
    </row>
    <row r="125" spans="12:25">
      <c r="L125" s="652" t="s">
        <v>212</v>
      </c>
      <c r="M125" s="653" t="s">
        <v>143</v>
      </c>
      <c r="N125" s="639" t="s">
        <v>305</v>
      </c>
      <c r="O125" s="639" t="s">
        <v>456</v>
      </c>
      <c r="P125" s="639" t="s">
        <v>306</v>
      </c>
      <c r="Q125" s="639">
        <v>703602</v>
      </c>
      <c r="R125" s="639" t="s">
        <v>460</v>
      </c>
      <c r="S125" s="639">
        <v>765</v>
      </c>
      <c r="T125" s="653">
        <v>741</v>
      </c>
      <c r="U125" s="653" t="s">
        <v>308</v>
      </c>
      <c r="V125" s="653">
        <v>741</v>
      </c>
      <c r="W125" s="653" t="s">
        <v>308</v>
      </c>
      <c r="X125" s="653">
        <v>516</v>
      </c>
      <c r="Y125" s="666">
        <v>-249</v>
      </c>
    </row>
    <row r="126" spans="12:25">
      <c r="L126" s="652" t="s">
        <v>212</v>
      </c>
      <c r="M126" s="653" t="s">
        <v>143</v>
      </c>
      <c r="N126" s="639" t="s">
        <v>305</v>
      </c>
      <c r="O126" s="639" t="s">
        <v>456</v>
      </c>
      <c r="P126" s="639" t="s">
        <v>306</v>
      </c>
      <c r="Q126" s="639">
        <v>703604</v>
      </c>
      <c r="R126" s="639" t="s">
        <v>461</v>
      </c>
      <c r="S126" s="639">
        <v>238</v>
      </c>
      <c r="T126" s="653">
        <v>266</v>
      </c>
      <c r="U126" s="653" t="s">
        <v>308</v>
      </c>
      <c r="V126" s="653">
        <v>266</v>
      </c>
      <c r="W126" s="653" t="s">
        <v>308</v>
      </c>
      <c r="X126" s="653">
        <v>-394</v>
      </c>
      <c r="Y126" s="666">
        <v>-632</v>
      </c>
    </row>
    <row r="127" spans="12:25">
      <c r="L127" s="652" t="s">
        <v>242</v>
      </c>
      <c r="M127" s="653" t="s">
        <v>234</v>
      </c>
      <c r="N127" s="639" t="s">
        <v>305</v>
      </c>
      <c r="O127" s="639" t="s">
        <v>456</v>
      </c>
      <c r="P127" s="639" t="s">
        <v>349</v>
      </c>
      <c r="Q127" s="639">
        <v>701306</v>
      </c>
      <c r="R127" s="639" t="s">
        <v>462</v>
      </c>
      <c r="S127" s="639">
        <v>293</v>
      </c>
      <c r="T127" s="653">
        <v>109</v>
      </c>
      <c r="U127" s="653">
        <v>556</v>
      </c>
      <c r="V127" s="653">
        <v>556</v>
      </c>
      <c r="W127" s="653" t="s">
        <v>308</v>
      </c>
      <c r="X127" s="653">
        <v>692</v>
      </c>
      <c r="Y127" s="666">
        <v>399</v>
      </c>
    </row>
    <row r="128" spans="12:25">
      <c r="L128" s="652" t="s">
        <v>242</v>
      </c>
      <c r="M128" s="653" t="s">
        <v>234</v>
      </c>
      <c r="N128" s="639" t="s">
        <v>305</v>
      </c>
      <c r="O128" s="639" t="s">
        <v>456</v>
      </c>
      <c r="P128" s="639" t="s">
        <v>349</v>
      </c>
      <c r="Q128" s="639">
        <v>701502</v>
      </c>
      <c r="R128" s="639" t="s">
        <v>463</v>
      </c>
      <c r="S128" s="639">
        <v>530</v>
      </c>
      <c r="T128" s="653">
        <v>407</v>
      </c>
      <c r="U128" s="653" t="s">
        <v>308</v>
      </c>
      <c r="V128" s="653">
        <v>407</v>
      </c>
      <c r="W128" s="653" t="s">
        <v>308</v>
      </c>
      <c r="X128" s="653">
        <v>443</v>
      </c>
      <c r="Y128" s="666">
        <v>-87</v>
      </c>
    </row>
    <row r="129" spans="12:25">
      <c r="L129" s="652" t="s">
        <v>219</v>
      </c>
      <c r="M129" s="653" t="s">
        <v>143</v>
      </c>
      <c r="N129" s="639" t="s">
        <v>305</v>
      </c>
      <c r="O129" s="639" t="s">
        <v>456</v>
      </c>
      <c r="P129" s="639" t="s">
        <v>349</v>
      </c>
      <c r="Q129" s="639">
        <v>703010</v>
      </c>
      <c r="R129" s="639" t="s">
        <v>464</v>
      </c>
      <c r="S129" s="639">
        <v>575</v>
      </c>
      <c r="T129" s="653">
        <v>571</v>
      </c>
      <c r="U129" s="653" t="s">
        <v>308</v>
      </c>
      <c r="V129" s="653">
        <v>571</v>
      </c>
      <c r="W129" s="653" t="s">
        <v>308</v>
      </c>
      <c r="X129" s="653">
        <v>419</v>
      </c>
      <c r="Y129" s="666">
        <v>-156</v>
      </c>
    </row>
    <row r="130" spans="12:25">
      <c r="L130" s="652" t="s">
        <v>238</v>
      </c>
      <c r="M130" s="653" t="s">
        <v>234</v>
      </c>
      <c r="N130" s="639" t="s">
        <v>465</v>
      </c>
      <c r="O130" s="639" t="s">
        <v>374</v>
      </c>
      <c r="P130" s="639" t="s">
        <v>306</v>
      </c>
      <c r="Q130" s="639">
        <v>301706</v>
      </c>
      <c r="R130" s="639" t="s">
        <v>466</v>
      </c>
      <c r="S130" s="639">
        <v>308</v>
      </c>
      <c r="T130" s="653">
        <v>318</v>
      </c>
      <c r="U130" s="653">
        <v>0</v>
      </c>
      <c r="V130" s="653">
        <v>318</v>
      </c>
      <c r="W130" s="653" t="s">
        <v>467</v>
      </c>
      <c r="X130" s="653">
        <v>0</v>
      </c>
      <c r="Y130" s="666">
        <v>-308</v>
      </c>
    </row>
    <row r="131" spans="12:25">
      <c r="L131" s="652" t="s">
        <v>304</v>
      </c>
      <c r="M131" s="653" t="s">
        <v>345</v>
      </c>
      <c r="N131" s="639" t="s">
        <v>465</v>
      </c>
      <c r="O131" s="639" t="s">
        <v>374</v>
      </c>
      <c r="P131" s="639" t="s">
        <v>306</v>
      </c>
      <c r="Q131" s="639">
        <v>302103</v>
      </c>
      <c r="R131" s="639" t="s">
        <v>468</v>
      </c>
      <c r="S131" s="639">
        <v>446</v>
      </c>
      <c r="T131" s="653">
        <v>436</v>
      </c>
      <c r="U131" s="653">
        <v>0</v>
      </c>
      <c r="V131" s="653">
        <v>436</v>
      </c>
      <c r="W131" s="653" t="s">
        <v>467</v>
      </c>
      <c r="X131" s="653">
        <v>0</v>
      </c>
      <c r="Y131" s="666">
        <v>-446</v>
      </c>
    </row>
    <row r="132" spans="12:25">
      <c r="L132" s="652" t="s">
        <v>247</v>
      </c>
      <c r="M132" s="653" t="s">
        <v>234</v>
      </c>
      <c r="N132" s="639" t="s">
        <v>465</v>
      </c>
      <c r="O132" s="639" t="s">
        <v>469</v>
      </c>
      <c r="P132" s="639" t="s">
        <v>470</v>
      </c>
      <c r="Q132" s="639">
        <v>601069</v>
      </c>
      <c r="R132" s="639" t="s">
        <v>471</v>
      </c>
      <c r="S132" s="639">
        <v>336</v>
      </c>
      <c r="T132" s="653">
        <v>336</v>
      </c>
      <c r="U132" s="653">
        <v>0</v>
      </c>
      <c r="V132" s="653">
        <v>336</v>
      </c>
      <c r="W132" s="653" t="s">
        <v>467</v>
      </c>
      <c r="X132" s="653">
        <v>0</v>
      </c>
      <c r="Y132" s="666">
        <v>-336</v>
      </c>
    </row>
    <row r="133" spans="12:25">
      <c r="L133" s="652" t="s">
        <v>247</v>
      </c>
      <c r="M133" s="653" t="s">
        <v>234</v>
      </c>
      <c r="N133" s="639" t="s">
        <v>465</v>
      </c>
      <c r="O133" s="639" t="s">
        <v>469</v>
      </c>
      <c r="P133" s="639" t="s">
        <v>470</v>
      </c>
      <c r="Q133" s="639">
        <v>601769</v>
      </c>
      <c r="R133" s="639" t="s">
        <v>472</v>
      </c>
      <c r="S133" s="639">
        <v>964</v>
      </c>
      <c r="T133" s="653">
        <v>854</v>
      </c>
      <c r="U133" s="653">
        <v>0</v>
      </c>
      <c r="V133" s="653">
        <v>854</v>
      </c>
      <c r="W133" s="653" t="s">
        <v>467</v>
      </c>
      <c r="X133" s="653">
        <v>0</v>
      </c>
      <c r="Y133" s="666">
        <v>-964</v>
      </c>
    </row>
    <row r="134" spans="12:25">
      <c r="L134" s="652" t="s">
        <v>247</v>
      </c>
      <c r="M134" s="653" t="s">
        <v>234</v>
      </c>
      <c r="N134" s="639" t="s">
        <v>465</v>
      </c>
      <c r="O134" s="639" t="s">
        <v>469</v>
      </c>
      <c r="P134" s="639" t="s">
        <v>470</v>
      </c>
      <c r="Q134" s="639">
        <v>601169</v>
      </c>
      <c r="R134" s="639" t="s">
        <v>473</v>
      </c>
      <c r="S134" s="639">
        <v>222</v>
      </c>
      <c r="T134" s="653">
        <v>235</v>
      </c>
      <c r="U134" s="653">
        <v>0</v>
      </c>
      <c r="V134" s="653">
        <v>235</v>
      </c>
      <c r="W134" s="653" t="s">
        <v>467</v>
      </c>
      <c r="X134" s="653">
        <v>0</v>
      </c>
      <c r="Y134" s="666">
        <v>-222</v>
      </c>
    </row>
    <row r="135" spans="12:25">
      <c r="L135" s="652" t="s">
        <v>228</v>
      </c>
      <c r="M135" s="653" t="s">
        <v>143</v>
      </c>
      <c r="N135" s="639" t="s">
        <v>465</v>
      </c>
      <c r="O135" s="639" t="s">
        <v>469</v>
      </c>
      <c r="P135" s="639" t="s">
        <v>470</v>
      </c>
      <c r="Q135" s="639">
        <v>603169</v>
      </c>
      <c r="R135" s="639" t="s">
        <v>474</v>
      </c>
      <c r="S135" s="639">
        <v>408</v>
      </c>
      <c r="T135" s="653">
        <v>403</v>
      </c>
      <c r="U135" s="653">
        <v>0</v>
      </c>
      <c r="V135" s="653">
        <v>403</v>
      </c>
      <c r="W135" s="653" t="s">
        <v>467</v>
      </c>
      <c r="X135" s="653">
        <v>0</v>
      </c>
      <c r="Y135" s="666">
        <v>-408</v>
      </c>
    </row>
    <row r="136" spans="12:25">
      <c r="L136" s="652" t="s">
        <v>228</v>
      </c>
      <c r="M136" s="653" t="s">
        <v>143</v>
      </c>
      <c r="N136" s="639" t="s">
        <v>465</v>
      </c>
      <c r="O136" s="639" t="s">
        <v>469</v>
      </c>
      <c r="P136" s="639" t="s">
        <v>470</v>
      </c>
      <c r="Q136" s="639">
        <v>604069</v>
      </c>
      <c r="R136" s="639" t="s">
        <v>475</v>
      </c>
      <c r="S136" s="639">
        <v>314</v>
      </c>
      <c r="T136" s="653">
        <v>319</v>
      </c>
      <c r="U136" s="653">
        <v>0</v>
      </c>
      <c r="V136" s="653">
        <v>319</v>
      </c>
      <c r="W136" s="653" t="s">
        <v>467</v>
      </c>
      <c r="X136" s="653">
        <v>0</v>
      </c>
      <c r="Y136" s="666">
        <v>-314</v>
      </c>
    </row>
    <row r="137" spans="12:25">
      <c r="L137" s="652" t="s">
        <v>208</v>
      </c>
      <c r="M137" s="653" t="s">
        <v>315</v>
      </c>
      <c r="N137" s="639" t="s">
        <v>465</v>
      </c>
      <c r="O137" s="639" t="s">
        <v>469</v>
      </c>
      <c r="P137" s="639" t="s">
        <v>470</v>
      </c>
      <c r="Q137" s="639">
        <v>606669</v>
      </c>
      <c r="R137" s="639" t="s">
        <v>476</v>
      </c>
      <c r="S137" s="639">
        <v>164</v>
      </c>
      <c r="T137" s="653">
        <v>185</v>
      </c>
      <c r="U137" s="653">
        <v>0</v>
      </c>
      <c r="V137" s="653">
        <v>185</v>
      </c>
      <c r="W137" s="653" t="s">
        <v>467</v>
      </c>
      <c r="X137" s="653">
        <v>0</v>
      </c>
      <c r="Y137" s="666">
        <v>-164</v>
      </c>
    </row>
    <row r="138" spans="12:25">
      <c r="L138" s="652" t="s">
        <v>242</v>
      </c>
      <c r="M138" s="653" t="s">
        <v>234</v>
      </c>
      <c r="N138" s="639" t="s">
        <v>465</v>
      </c>
      <c r="O138" s="639" t="s">
        <v>349</v>
      </c>
      <c r="P138" s="639" t="s">
        <v>477</v>
      </c>
      <c r="Q138" s="639">
        <v>501038</v>
      </c>
      <c r="R138" s="639" t="s">
        <v>478</v>
      </c>
      <c r="S138" s="639">
        <v>484</v>
      </c>
      <c r="T138" s="653">
        <v>457</v>
      </c>
      <c r="U138" s="653">
        <v>0</v>
      </c>
      <c r="V138" s="653">
        <v>457</v>
      </c>
      <c r="W138" s="653" t="s">
        <v>467</v>
      </c>
      <c r="X138" s="653">
        <v>0</v>
      </c>
      <c r="Y138" s="666">
        <v>-484</v>
      </c>
    </row>
    <row r="139" spans="12:25">
      <c r="L139" s="652" t="s">
        <v>242</v>
      </c>
      <c r="M139" s="653" t="s">
        <v>234</v>
      </c>
      <c r="N139" s="639" t="s">
        <v>465</v>
      </c>
      <c r="O139" s="639" t="s">
        <v>349</v>
      </c>
      <c r="P139" s="639" t="s">
        <v>477</v>
      </c>
      <c r="Q139" s="639">
        <v>501738</v>
      </c>
      <c r="R139" s="639" t="s">
        <v>479</v>
      </c>
      <c r="S139" s="639">
        <v>932</v>
      </c>
      <c r="T139" s="653">
        <v>835</v>
      </c>
      <c r="U139" s="653">
        <v>0</v>
      </c>
      <c r="V139" s="653">
        <v>835</v>
      </c>
      <c r="W139" s="653" t="s">
        <v>467</v>
      </c>
      <c r="X139" s="653">
        <v>0</v>
      </c>
      <c r="Y139" s="666">
        <v>-932</v>
      </c>
    </row>
    <row r="140" spans="12:25">
      <c r="L140" s="652" t="s">
        <v>219</v>
      </c>
      <c r="M140" s="653" t="s">
        <v>143</v>
      </c>
      <c r="N140" s="639" t="s">
        <v>465</v>
      </c>
      <c r="O140" s="639" t="s">
        <v>349</v>
      </c>
      <c r="P140" s="639" t="s">
        <v>477</v>
      </c>
      <c r="Q140" s="639">
        <v>504038</v>
      </c>
      <c r="R140" s="639" t="s">
        <v>480</v>
      </c>
      <c r="S140" s="639">
        <v>440</v>
      </c>
      <c r="T140" s="653">
        <v>428</v>
      </c>
      <c r="U140" s="653">
        <v>0</v>
      </c>
      <c r="V140" s="653">
        <v>428</v>
      </c>
      <c r="W140" s="653" t="s">
        <v>467</v>
      </c>
      <c r="X140" s="653">
        <v>0</v>
      </c>
      <c r="Y140" s="666">
        <v>-440</v>
      </c>
    </row>
    <row r="141" spans="12:25">
      <c r="L141" s="652" t="s">
        <v>219</v>
      </c>
      <c r="M141" s="653" t="s">
        <v>143</v>
      </c>
      <c r="N141" s="639" t="s">
        <v>465</v>
      </c>
      <c r="O141" s="639" t="s">
        <v>349</v>
      </c>
      <c r="P141" s="639" t="s">
        <v>477</v>
      </c>
      <c r="Q141" s="639">
        <v>503438</v>
      </c>
      <c r="R141" s="639" t="s">
        <v>481</v>
      </c>
      <c r="S141" s="639">
        <v>284</v>
      </c>
      <c r="T141" s="653">
        <v>300</v>
      </c>
      <c r="U141" s="653">
        <v>0</v>
      </c>
      <c r="V141" s="653">
        <v>300</v>
      </c>
      <c r="W141" s="653" t="s">
        <v>467</v>
      </c>
      <c r="X141" s="653">
        <v>0</v>
      </c>
      <c r="Y141" s="666">
        <v>-284</v>
      </c>
    </row>
    <row r="142" spans="12:25">
      <c r="L142" s="652" t="s">
        <v>242</v>
      </c>
      <c r="M142" s="653" t="s">
        <v>234</v>
      </c>
      <c r="N142" s="639" t="s">
        <v>465</v>
      </c>
      <c r="O142" s="639" t="s">
        <v>456</v>
      </c>
      <c r="P142" s="639" t="s">
        <v>477</v>
      </c>
      <c r="Q142" s="639">
        <v>701538</v>
      </c>
      <c r="R142" s="639" t="s">
        <v>482</v>
      </c>
      <c r="S142" s="639">
        <v>144</v>
      </c>
      <c r="T142" s="653">
        <v>146</v>
      </c>
      <c r="U142" s="653">
        <v>0</v>
      </c>
      <c r="V142" s="653">
        <v>146</v>
      </c>
      <c r="W142" s="653" t="s">
        <v>467</v>
      </c>
      <c r="X142" s="653">
        <v>0</v>
      </c>
      <c r="Y142" s="666">
        <v>-144</v>
      </c>
    </row>
    <row r="143" spans="12:25">
      <c r="L143" s="652" t="s">
        <v>219</v>
      </c>
      <c r="M143" s="653" t="s">
        <v>143</v>
      </c>
      <c r="N143" s="639" t="s">
        <v>465</v>
      </c>
      <c r="O143" s="639" t="s">
        <v>456</v>
      </c>
      <c r="P143" s="639" t="s">
        <v>477</v>
      </c>
      <c r="Q143" s="639">
        <v>703038</v>
      </c>
      <c r="R143" s="639" t="s">
        <v>483</v>
      </c>
      <c r="S143" s="639">
        <v>160</v>
      </c>
      <c r="T143" s="653">
        <v>141</v>
      </c>
      <c r="U143" s="653">
        <v>0</v>
      </c>
      <c r="V143" s="653">
        <v>141</v>
      </c>
      <c r="W143" s="653" t="s">
        <v>467</v>
      </c>
      <c r="X143" s="653">
        <v>0</v>
      </c>
      <c r="Y143" s="666">
        <v>-160</v>
      </c>
    </row>
    <row r="144" spans="12:25">
      <c r="L144" s="652" t="s">
        <v>242</v>
      </c>
      <c r="M144" s="653" t="s">
        <v>234</v>
      </c>
      <c r="N144" s="639" t="s">
        <v>465</v>
      </c>
      <c r="O144" s="639" t="s">
        <v>349</v>
      </c>
      <c r="P144" s="639" t="s">
        <v>484</v>
      </c>
      <c r="Q144" s="639">
        <v>501125</v>
      </c>
      <c r="R144" s="639" t="s">
        <v>485</v>
      </c>
      <c r="S144" s="639">
        <v>220</v>
      </c>
      <c r="T144" s="653">
        <v>246</v>
      </c>
      <c r="U144" s="653">
        <v>0</v>
      </c>
      <c r="V144" s="653">
        <v>246</v>
      </c>
      <c r="W144" s="653" t="s">
        <v>467</v>
      </c>
      <c r="X144" s="653">
        <v>0</v>
      </c>
      <c r="Y144" s="666">
        <v>-220</v>
      </c>
    </row>
    <row r="145" spans="12:25">
      <c r="L145" s="652" t="s">
        <v>219</v>
      </c>
      <c r="M145" s="653" t="s">
        <v>143</v>
      </c>
      <c r="N145" s="639" t="s">
        <v>465</v>
      </c>
      <c r="O145" s="639" t="s">
        <v>349</v>
      </c>
      <c r="P145" s="639" t="s">
        <v>484</v>
      </c>
      <c r="Q145" s="639">
        <v>503025</v>
      </c>
      <c r="R145" s="639" t="s">
        <v>486</v>
      </c>
      <c r="S145" s="639">
        <v>728</v>
      </c>
      <c r="T145" s="653">
        <v>664</v>
      </c>
      <c r="U145" s="653">
        <v>0</v>
      </c>
      <c r="V145" s="653">
        <v>664</v>
      </c>
      <c r="W145" s="653" t="s">
        <v>467</v>
      </c>
      <c r="X145" s="653">
        <v>0</v>
      </c>
      <c r="Y145" s="666">
        <v>-728</v>
      </c>
    </row>
    <row r="146" spans="12:25">
      <c r="L146" s="652" t="s">
        <v>242</v>
      </c>
      <c r="M146" s="653" t="s">
        <v>234</v>
      </c>
      <c r="N146" s="639" t="s">
        <v>465</v>
      </c>
      <c r="O146" s="639" t="s">
        <v>349</v>
      </c>
      <c r="P146" s="639" t="s">
        <v>484</v>
      </c>
      <c r="Q146" s="639">
        <v>501725</v>
      </c>
      <c r="R146" s="639" t="s">
        <v>487</v>
      </c>
      <c r="S146" s="639">
        <v>1036</v>
      </c>
      <c r="T146" s="653">
        <v>913</v>
      </c>
      <c r="U146" s="653">
        <v>0</v>
      </c>
      <c r="V146" s="653">
        <v>913</v>
      </c>
      <c r="W146" s="653" t="s">
        <v>467</v>
      </c>
      <c r="X146" s="653">
        <v>0</v>
      </c>
      <c r="Y146" s="666">
        <v>-1036</v>
      </c>
    </row>
    <row r="147" spans="12:25">
      <c r="L147" s="652" t="s">
        <v>219</v>
      </c>
      <c r="M147" s="653" t="s">
        <v>143</v>
      </c>
      <c r="N147" s="639" t="s">
        <v>465</v>
      </c>
      <c r="O147" s="639" t="s">
        <v>349</v>
      </c>
      <c r="P147" s="639" t="s">
        <v>484</v>
      </c>
      <c r="Q147" s="639">
        <v>503425</v>
      </c>
      <c r="R147" s="639" t="s">
        <v>488</v>
      </c>
      <c r="S147" s="639">
        <v>392</v>
      </c>
      <c r="T147" s="653">
        <v>386</v>
      </c>
      <c r="U147" s="653">
        <v>0</v>
      </c>
      <c r="V147" s="653">
        <v>386</v>
      </c>
      <c r="W147" s="653" t="s">
        <v>467</v>
      </c>
      <c r="X147" s="653">
        <v>0</v>
      </c>
      <c r="Y147" s="666">
        <v>-392</v>
      </c>
    </row>
    <row r="148" spans="12:25">
      <c r="L148" s="652" t="s">
        <v>219</v>
      </c>
      <c r="M148" s="653" t="s">
        <v>336</v>
      </c>
      <c r="N148" s="639" t="s">
        <v>465</v>
      </c>
      <c r="O148" s="639" t="s">
        <v>349</v>
      </c>
      <c r="P148" s="639" t="s">
        <v>484</v>
      </c>
      <c r="Q148" s="639">
        <v>503525</v>
      </c>
      <c r="R148" s="639" t="s">
        <v>489</v>
      </c>
      <c r="S148" s="639">
        <v>160</v>
      </c>
      <c r="T148" s="653">
        <v>170</v>
      </c>
      <c r="U148" s="653">
        <v>0</v>
      </c>
      <c r="V148" s="653">
        <v>170</v>
      </c>
      <c r="W148" s="653" t="s">
        <v>467</v>
      </c>
      <c r="X148" s="653">
        <v>0</v>
      </c>
      <c r="Y148" s="666">
        <v>-160</v>
      </c>
    </row>
    <row r="149" spans="12:25">
      <c r="L149" s="652" t="s">
        <v>242</v>
      </c>
      <c r="M149" s="653" t="s">
        <v>234</v>
      </c>
      <c r="N149" s="639" t="s">
        <v>465</v>
      </c>
      <c r="O149" s="639" t="s">
        <v>456</v>
      </c>
      <c r="P149" s="639" t="s">
        <v>484</v>
      </c>
      <c r="Q149" s="639">
        <v>701725</v>
      </c>
      <c r="R149" s="639" t="s">
        <v>490</v>
      </c>
      <c r="S149" s="639">
        <v>160</v>
      </c>
      <c r="T149" s="653">
        <v>163</v>
      </c>
      <c r="U149" s="653">
        <v>0</v>
      </c>
      <c r="V149" s="653">
        <v>163</v>
      </c>
      <c r="W149" s="653" t="s">
        <v>467</v>
      </c>
      <c r="X149" s="653">
        <v>0</v>
      </c>
      <c r="Y149" s="666">
        <v>-160</v>
      </c>
    </row>
    <row r="150" spans="12:25">
      <c r="L150" s="652" t="s">
        <v>219</v>
      </c>
      <c r="M150" s="653" t="s">
        <v>143</v>
      </c>
      <c r="N150" s="639" t="s">
        <v>465</v>
      </c>
      <c r="O150" s="639" t="s">
        <v>456</v>
      </c>
      <c r="P150" s="639" t="s">
        <v>484</v>
      </c>
      <c r="Q150" s="639">
        <v>703025</v>
      </c>
      <c r="R150" s="639" t="s">
        <v>491</v>
      </c>
      <c r="S150" s="639">
        <v>164</v>
      </c>
      <c r="T150" s="653">
        <v>150</v>
      </c>
      <c r="U150" s="653">
        <v>0</v>
      </c>
      <c r="V150" s="653">
        <v>150</v>
      </c>
      <c r="W150" s="653" t="s">
        <v>467</v>
      </c>
      <c r="X150" s="653">
        <v>0</v>
      </c>
      <c r="Y150" s="666">
        <v>-164</v>
      </c>
    </row>
    <row r="151" spans="12:25">
      <c r="L151" s="652" t="s">
        <v>228</v>
      </c>
      <c r="M151" s="653" t="s">
        <v>143</v>
      </c>
      <c r="N151" s="639" t="s">
        <v>465</v>
      </c>
      <c r="O151" s="639" t="s">
        <v>469</v>
      </c>
      <c r="P151" s="639" t="s">
        <v>492</v>
      </c>
      <c r="Q151" s="639">
        <v>603171</v>
      </c>
      <c r="R151" s="639" t="s">
        <v>493</v>
      </c>
      <c r="S151" s="639">
        <v>348</v>
      </c>
      <c r="T151" s="653">
        <v>353</v>
      </c>
      <c r="U151" s="653">
        <v>0</v>
      </c>
      <c r="V151" s="653">
        <v>353</v>
      </c>
      <c r="W151" s="653" t="s">
        <v>467</v>
      </c>
      <c r="X151" s="653">
        <v>0</v>
      </c>
      <c r="Y151" s="666">
        <v>-348</v>
      </c>
    </row>
    <row r="152" spans="12:25">
      <c r="L152" s="652" t="s">
        <v>247</v>
      </c>
      <c r="M152" s="653" t="s">
        <v>234</v>
      </c>
      <c r="N152" s="639" t="s">
        <v>465</v>
      </c>
      <c r="O152" s="639" t="s">
        <v>469</v>
      </c>
      <c r="P152" s="639" t="s">
        <v>492</v>
      </c>
      <c r="Q152" s="639">
        <v>601737</v>
      </c>
      <c r="R152" s="639" t="s">
        <v>494</v>
      </c>
      <c r="S152" s="639">
        <v>624</v>
      </c>
      <c r="T152" s="653">
        <v>588</v>
      </c>
      <c r="U152" s="653">
        <v>0</v>
      </c>
      <c r="V152" s="653">
        <v>588</v>
      </c>
      <c r="W152" s="653" t="s">
        <v>467</v>
      </c>
      <c r="X152" s="653">
        <v>0</v>
      </c>
      <c r="Y152" s="666">
        <v>-624</v>
      </c>
    </row>
    <row r="153" spans="12:25">
      <c r="L153" s="652" t="s">
        <v>247</v>
      </c>
      <c r="M153" s="653" t="s">
        <v>234</v>
      </c>
      <c r="N153" s="639" t="s">
        <v>465</v>
      </c>
      <c r="O153" s="639" t="s">
        <v>469</v>
      </c>
      <c r="P153" s="639" t="s">
        <v>492</v>
      </c>
      <c r="Q153" s="639">
        <v>601771</v>
      </c>
      <c r="R153" s="639" t="s">
        <v>494</v>
      </c>
      <c r="S153" s="639">
        <v>496</v>
      </c>
      <c r="T153" s="653">
        <v>463</v>
      </c>
      <c r="U153" s="653">
        <v>0</v>
      </c>
      <c r="V153" s="653">
        <v>463</v>
      </c>
      <c r="W153" s="653" t="s">
        <v>467</v>
      </c>
      <c r="X153" s="653">
        <v>0</v>
      </c>
      <c r="Y153" s="666">
        <v>-496</v>
      </c>
    </row>
    <row r="154" spans="12:25">
      <c r="L154" s="652" t="s">
        <v>228</v>
      </c>
      <c r="M154" s="653" t="s">
        <v>143</v>
      </c>
      <c r="N154" s="639" t="s">
        <v>465</v>
      </c>
      <c r="O154" s="639" t="s">
        <v>469</v>
      </c>
      <c r="P154" s="639" t="s">
        <v>492</v>
      </c>
      <c r="Q154" s="639">
        <v>603371</v>
      </c>
      <c r="R154" s="639" t="s">
        <v>495</v>
      </c>
      <c r="S154" s="639">
        <v>232</v>
      </c>
      <c r="T154" s="653">
        <v>245</v>
      </c>
      <c r="U154" s="653">
        <v>0</v>
      </c>
      <c r="V154" s="653">
        <v>245</v>
      </c>
      <c r="W154" s="653" t="s">
        <v>467</v>
      </c>
      <c r="X154" s="653">
        <v>0</v>
      </c>
      <c r="Y154" s="666">
        <v>-232</v>
      </c>
    </row>
    <row r="155" spans="12:25">
      <c r="L155" s="652" t="s">
        <v>247</v>
      </c>
      <c r="M155" s="653" t="s">
        <v>347</v>
      </c>
      <c r="N155" s="639" t="s">
        <v>465</v>
      </c>
      <c r="O155" s="639" t="s">
        <v>469</v>
      </c>
      <c r="P155" s="639" t="s">
        <v>492</v>
      </c>
      <c r="Q155" s="639">
        <v>606771</v>
      </c>
      <c r="R155" s="639" t="s">
        <v>496</v>
      </c>
      <c r="S155" s="639">
        <v>260</v>
      </c>
      <c r="T155" s="653">
        <v>279</v>
      </c>
      <c r="U155" s="653">
        <v>0</v>
      </c>
      <c r="V155" s="653">
        <v>279</v>
      </c>
      <c r="W155" s="653" t="s">
        <v>467</v>
      </c>
      <c r="X155" s="653">
        <v>0</v>
      </c>
      <c r="Y155" s="666">
        <v>-260</v>
      </c>
    </row>
    <row r="156" spans="12:25">
      <c r="L156" s="652" t="s">
        <v>228</v>
      </c>
      <c r="M156" s="653" t="s">
        <v>143</v>
      </c>
      <c r="N156" s="639" t="s">
        <v>465</v>
      </c>
      <c r="O156" s="639" t="s">
        <v>469</v>
      </c>
      <c r="P156" s="639" t="s">
        <v>492</v>
      </c>
      <c r="Q156" s="639">
        <v>603071</v>
      </c>
      <c r="R156" s="639" t="s">
        <v>497</v>
      </c>
      <c r="S156" s="639">
        <v>316</v>
      </c>
      <c r="T156" s="653">
        <v>313</v>
      </c>
      <c r="U156" s="653">
        <v>0</v>
      </c>
      <c r="V156" s="653">
        <v>313</v>
      </c>
      <c r="W156" s="653" t="s">
        <v>467</v>
      </c>
      <c r="X156" s="653">
        <v>0</v>
      </c>
      <c r="Y156" s="666">
        <v>-316</v>
      </c>
    </row>
    <row r="157" spans="12:25">
      <c r="L157" s="652" t="s">
        <v>247</v>
      </c>
      <c r="M157" s="653" t="s">
        <v>234</v>
      </c>
      <c r="N157" s="639" t="s">
        <v>465</v>
      </c>
      <c r="O157" s="639" t="s">
        <v>469</v>
      </c>
      <c r="P157" s="639" t="s">
        <v>492</v>
      </c>
      <c r="Q157" s="639">
        <v>601721</v>
      </c>
      <c r="R157" s="639" t="s">
        <v>498</v>
      </c>
      <c r="S157" s="639">
        <v>528</v>
      </c>
      <c r="T157" s="653">
        <v>485</v>
      </c>
      <c r="U157" s="653">
        <v>0</v>
      </c>
      <c r="V157" s="653">
        <v>485</v>
      </c>
      <c r="W157" s="653" t="s">
        <v>467</v>
      </c>
      <c r="X157" s="653">
        <v>0</v>
      </c>
      <c r="Y157" s="666">
        <v>-528</v>
      </c>
    </row>
    <row r="158" spans="12:25">
      <c r="L158" s="652" t="s">
        <v>208</v>
      </c>
      <c r="M158" s="653" t="s">
        <v>315</v>
      </c>
      <c r="N158" s="639" t="s">
        <v>465</v>
      </c>
      <c r="O158" s="639" t="s">
        <v>469</v>
      </c>
      <c r="P158" s="639" t="s">
        <v>492</v>
      </c>
      <c r="Q158" s="639">
        <v>606671</v>
      </c>
      <c r="R158" s="639" t="s">
        <v>499</v>
      </c>
      <c r="S158" s="639">
        <v>208</v>
      </c>
      <c r="T158" s="653">
        <v>230</v>
      </c>
      <c r="U158" s="653">
        <v>0</v>
      </c>
      <c r="V158" s="653">
        <v>230</v>
      </c>
      <c r="W158" s="653" t="s">
        <v>467</v>
      </c>
      <c r="X158" s="653">
        <v>0</v>
      </c>
      <c r="Y158" s="666">
        <v>-208</v>
      </c>
    </row>
    <row r="159" spans="12:25">
      <c r="L159" s="652" t="s">
        <v>200</v>
      </c>
      <c r="M159" s="653" t="s">
        <v>340</v>
      </c>
      <c r="N159" s="639" t="s">
        <v>465</v>
      </c>
      <c r="O159" s="639" t="s">
        <v>469</v>
      </c>
      <c r="P159" s="639" t="s">
        <v>500</v>
      </c>
      <c r="Q159" s="639">
        <v>606150</v>
      </c>
      <c r="R159" s="639" t="s">
        <v>501</v>
      </c>
      <c r="S159" s="639">
        <v>486</v>
      </c>
      <c r="T159" s="653">
        <v>456</v>
      </c>
      <c r="U159" s="653">
        <v>0</v>
      </c>
      <c r="V159" s="653">
        <v>456</v>
      </c>
      <c r="W159" s="653" t="s">
        <v>467</v>
      </c>
      <c r="X159" s="653">
        <v>0</v>
      </c>
      <c r="Y159" s="666">
        <v>-486</v>
      </c>
    </row>
    <row r="160" spans="12:25">
      <c r="L160" s="652" t="s">
        <v>247</v>
      </c>
      <c r="M160" s="653" t="s">
        <v>234</v>
      </c>
      <c r="N160" s="639" t="s">
        <v>465</v>
      </c>
      <c r="O160" s="639" t="s">
        <v>469</v>
      </c>
      <c r="P160" s="639" t="s">
        <v>500</v>
      </c>
      <c r="Q160" s="639">
        <v>601750</v>
      </c>
      <c r="R160" s="639" t="s">
        <v>502</v>
      </c>
      <c r="S160" s="639">
        <v>884</v>
      </c>
      <c r="T160" s="653">
        <v>790</v>
      </c>
      <c r="U160" s="653">
        <v>0</v>
      </c>
      <c r="V160" s="653">
        <v>790</v>
      </c>
      <c r="W160" s="653" t="s">
        <v>467</v>
      </c>
      <c r="X160" s="653">
        <v>0</v>
      </c>
      <c r="Y160" s="666">
        <v>-884</v>
      </c>
    </row>
    <row r="161" spans="12:25">
      <c r="L161" s="652" t="s">
        <v>247</v>
      </c>
      <c r="M161" s="653" t="s">
        <v>234</v>
      </c>
      <c r="N161" s="639" t="s">
        <v>465</v>
      </c>
      <c r="O161" s="639" t="s">
        <v>469</v>
      </c>
      <c r="P161" s="639" t="s">
        <v>500</v>
      </c>
      <c r="Q161" s="639">
        <v>601050</v>
      </c>
      <c r="R161" s="639" t="s">
        <v>503</v>
      </c>
      <c r="S161" s="639">
        <v>336</v>
      </c>
      <c r="T161" s="653">
        <v>336</v>
      </c>
      <c r="U161" s="653">
        <v>0</v>
      </c>
      <c r="V161" s="653">
        <v>336</v>
      </c>
      <c r="W161" s="653" t="s">
        <v>467</v>
      </c>
      <c r="X161" s="653">
        <v>0</v>
      </c>
      <c r="Y161" s="666">
        <v>-336</v>
      </c>
    </row>
    <row r="162" spans="12:25">
      <c r="L162" s="652" t="s">
        <v>228</v>
      </c>
      <c r="M162" s="653" t="s">
        <v>143</v>
      </c>
      <c r="N162" s="639" t="s">
        <v>465</v>
      </c>
      <c r="O162" s="639" t="s">
        <v>469</v>
      </c>
      <c r="P162" s="639" t="s">
        <v>500</v>
      </c>
      <c r="Q162" s="639">
        <v>604050</v>
      </c>
      <c r="R162" s="639" t="s">
        <v>504</v>
      </c>
      <c r="S162" s="639">
        <v>352</v>
      </c>
      <c r="T162" s="653">
        <v>350</v>
      </c>
      <c r="U162" s="653">
        <v>0</v>
      </c>
      <c r="V162" s="653">
        <v>350</v>
      </c>
      <c r="W162" s="653" t="s">
        <v>467</v>
      </c>
      <c r="X162" s="653">
        <v>0</v>
      </c>
      <c r="Y162" s="666">
        <v>-352</v>
      </c>
    </row>
    <row r="163" spans="12:25">
      <c r="L163" s="652" t="s">
        <v>228</v>
      </c>
      <c r="M163" s="653" t="s">
        <v>336</v>
      </c>
      <c r="N163" s="639" t="s">
        <v>465</v>
      </c>
      <c r="O163" s="639" t="s">
        <v>469</v>
      </c>
      <c r="P163" s="639" t="s">
        <v>500</v>
      </c>
      <c r="Q163" s="639">
        <v>603550</v>
      </c>
      <c r="R163" s="639" t="s">
        <v>505</v>
      </c>
      <c r="S163" s="639">
        <v>364</v>
      </c>
      <c r="T163" s="653">
        <v>364</v>
      </c>
      <c r="U163" s="653">
        <v>0</v>
      </c>
      <c r="V163" s="653">
        <v>364</v>
      </c>
      <c r="W163" s="653" t="s">
        <v>467</v>
      </c>
      <c r="X163" s="653">
        <v>0</v>
      </c>
      <c r="Y163" s="666">
        <v>-364</v>
      </c>
    </row>
    <row r="164" spans="12:25">
      <c r="L164" s="652" t="s">
        <v>242</v>
      </c>
      <c r="M164" s="653" t="s">
        <v>234</v>
      </c>
      <c r="N164" s="639" t="s">
        <v>465</v>
      </c>
      <c r="O164" s="639" t="s">
        <v>349</v>
      </c>
      <c r="P164" s="639" t="s">
        <v>506</v>
      </c>
      <c r="Q164" s="639">
        <v>501040</v>
      </c>
      <c r="R164" s="639" t="s">
        <v>507</v>
      </c>
      <c r="S164" s="639">
        <v>238</v>
      </c>
      <c r="T164" s="653">
        <v>262</v>
      </c>
      <c r="U164" s="653">
        <v>0</v>
      </c>
      <c r="V164" s="653">
        <v>262</v>
      </c>
      <c r="W164" s="653" t="s">
        <v>467</v>
      </c>
      <c r="X164" s="653">
        <v>0</v>
      </c>
      <c r="Y164" s="666">
        <v>-238</v>
      </c>
    </row>
    <row r="165" spans="12:25">
      <c r="L165" s="652" t="s">
        <v>219</v>
      </c>
      <c r="M165" s="653" t="s">
        <v>143</v>
      </c>
      <c r="N165" s="639" t="s">
        <v>465</v>
      </c>
      <c r="O165" s="639" t="s">
        <v>349</v>
      </c>
      <c r="P165" s="639" t="s">
        <v>506</v>
      </c>
      <c r="Q165" s="639">
        <v>503140</v>
      </c>
      <c r="R165" s="639" t="s">
        <v>508</v>
      </c>
      <c r="S165" s="639">
        <v>290</v>
      </c>
      <c r="T165" s="653">
        <v>303</v>
      </c>
      <c r="U165" s="653">
        <v>0</v>
      </c>
      <c r="V165" s="653">
        <v>303</v>
      </c>
      <c r="W165" s="653" t="s">
        <v>467</v>
      </c>
      <c r="X165" s="653">
        <v>0</v>
      </c>
      <c r="Y165" s="666">
        <v>-290</v>
      </c>
    </row>
    <row r="166" spans="12:25">
      <c r="L166" s="652" t="s">
        <v>242</v>
      </c>
      <c r="M166" s="653" t="s">
        <v>234</v>
      </c>
      <c r="N166" s="639" t="s">
        <v>465</v>
      </c>
      <c r="O166" s="639" t="s">
        <v>349</v>
      </c>
      <c r="P166" s="639" t="s">
        <v>506</v>
      </c>
      <c r="Q166" s="639">
        <v>501740</v>
      </c>
      <c r="R166" s="639" t="s">
        <v>509</v>
      </c>
      <c r="S166" s="639">
        <v>880</v>
      </c>
      <c r="T166" s="653">
        <v>784</v>
      </c>
      <c r="U166" s="653">
        <v>0</v>
      </c>
      <c r="V166" s="653">
        <v>784</v>
      </c>
      <c r="W166" s="653" t="s">
        <v>467</v>
      </c>
      <c r="X166" s="653">
        <v>0</v>
      </c>
      <c r="Y166" s="666">
        <v>-880</v>
      </c>
    </row>
    <row r="167" spans="12:25">
      <c r="L167" s="652" t="s">
        <v>219</v>
      </c>
      <c r="M167" s="653" t="s">
        <v>143</v>
      </c>
      <c r="N167" s="639" t="s">
        <v>465</v>
      </c>
      <c r="O167" s="639" t="s">
        <v>349</v>
      </c>
      <c r="P167" s="639" t="s">
        <v>506</v>
      </c>
      <c r="Q167" s="639">
        <v>504040</v>
      </c>
      <c r="R167" s="639" t="s">
        <v>510</v>
      </c>
      <c r="S167" s="639">
        <v>284</v>
      </c>
      <c r="T167" s="653">
        <v>273</v>
      </c>
      <c r="U167" s="653">
        <v>0</v>
      </c>
      <c r="V167" s="653">
        <v>273</v>
      </c>
      <c r="W167" s="653" t="s">
        <v>467</v>
      </c>
      <c r="X167" s="653">
        <v>0</v>
      </c>
      <c r="Y167" s="666">
        <v>-284</v>
      </c>
    </row>
    <row r="168" spans="12:25">
      <c r="L168" s="652" t="s">
        <v>242</v>
      </c>
      <c r="M168" s="653" t="s">
        <v>143</v>
      </c>
      <c r="N168" s="639" t="s">
        <v>465</v>
      </c>
      <c r="O168" s="639" t="s">
        <v>456</v>
      </c>
      <c r="P168" s="639" t="s">
        <v>506</v>
      </c>
      <c r="Q168" s="639">
        <v>703040</v>
      </c>
      <c r="R168" s="639" t="s">
        <v>511</v>
      </c>
      <c r="S168" s="639">
        <v>190</v>
      </c>
      <c r="T168" s="653">
        <v>173</v>
      </c>
      <c r="U168" s="653">
        <v>0</v>
      </c>
      <c r="V168" s="653">
        <v>173</v>
      </c>
      <c r="W168" s="653" t="s">
        <v>467</v>
      </c>
      <c r="X168" s="653">
        <v>0</v>
      </c>
      <c r="Y168" s="666">
        <v>-190</v>
      </c>
    </row>
    <row r="169" spans="12:25">
      <c r="L169" s="652" t="s">
        <v>242</v>
      </c>
      <c r="M169" s="653" t="s">
        <v>234</v>
      </c>
      <c r="N169" s="639" t="s">
        <v>465</v>
      </c>
      <c r="O169" s="639" t="s">
        <v>456</v>
      </c>
      <c r="P169" s="639" t="s">
        <v>506</v>
      </c>
      <c r="Q169" s="639">
        <v>701140</v>
      </c>
      <c r="R169" s="639" t="s">
        <v>512</v>
      </c>
      <c r="S169" s="639">
        <v>102</v>
      </c>
      <c r="T169" s="653">
        <v>95</v>
      </c>
      <c r="U169" s="653">
        <v>0</v>
      </c>
      <c r="V169" s="653">
        <v>95</v>
      </c>
      <c r="W169" s="653" t="s">
        <v>467</v>
      </c>
      <c r="X169" s="653">
        <v>0</v>
      </c>
      <c r="Y169" s="666">
        <v>-102</v>
      </c>
    </row>
    <row r="170" spans="12:25">
      <c r="L170" s="652" t="s">
        <v>228</v>
      </c>
      <c r="M170" s="653" t="s">
        <v>336</v>
      </c>
      <c r="N170" s="639" t="s">
        <v>465</v>
      </c>
      <c r="O170" s="639" t="s">
        <v>469</v>
      </c>
      <c r="P170" s="639" t="s">
        <v>513</v>
      </c>
      <c r="Q170" s="639">
        <v>603572</v>
      </c>
      <c r="R170" s="639" t="s">
        <v>514</v>
      </c>
      <c r="S170" s="639">
        <v>200</v>
      </c>
      <c r="T170" s="653">
        <v>201</v>
      </c>
      <c r="U170" s="653">
        <v>0</v>
      </c>
      <c r="V170" s="653">
        <v>201</v>
      </c>
      <c r="W170" s="653" t="s">
        <v>467</v>
      </c>
      <c r="X170" s="653">
        <v>0</v>
      </c>
      <c r="Y170" s="666">
        <v>-200</v>
      </c>
    </row>
    <row r="171" spans="12:25">
      <c r="L171" s="652" t="s">
        <v>208</v>
      </c>
      <c r="M171" s="653" t="s">
        <v>315</v>
      </c>
      <c r="N171" s="639" t="s">
        <v>465</v>
      </c>
      <c r="O171" s="639" t="s">
        <v>469</v>
      </c>
      <c r="P171" s="639" t="s">
        <v>513</v>
      </c>
      <c r="Q171" s="639">
        <v>606672</v>
      </c>
      <c r="R171" s="639" t="s">
        <v>515</v>
      </c>
      <c r="S171" s="639">
        <v>140</v>
      </c>
      <c r="T171" s="653">
        <v>144</v>
      </c>
      <c r="U171" s="653">
        <v>0</v>
      </c>
      <c r="V171" s="653">
        <v>144</v>
      </c>
      <c r="W171" s="653" t="s">
        <v>467</v>
      </c>
      <c r="X171" s="653">
        <v>0</v>
      </c>
      <c r="Y171" s="666">
        <v>-140</v>
      </c>
    </row>
    <row r="172" spans="12:25">
      <c r="L172" s="652" t="s">
        <v>247</v>
      </c>
      <c r="M172" s="653" t="s">
        <v>234</v>
      </c>
      <c r="N172" s="639" t="s">
        <v>465</v>
      </c>
      <c r="O172" s="639" t="s">
        <v>469</v>
      </c>
      <c r="P172" s="639" t="s">
        <v>513</v>
      </c>
      <c r="Q172" s="639">
        <v>601372</v>
      </c>
      <c r="R172" s="639" t="s">
        <v>516</v>
      </c>
      <c r="S172" s="639">
        <v>182</v>
      </c>
      <c r="T172" s="653">
        <v>182</v>
      </c>
      <c r="U172" s="653">
        <v>0</v>
      </c>
      <c r="V172" s="653">
        <v>182</v>
      </c>
      <c r="W172" s="653" t="s">
        <v>467</v>
      </c>
      <c r="X172" s="653">
        <v>0</v>
      </c>
      <c r="Y172" s="666">
        <v>-182</v>
      </c>
    </row>
    <row r="173" spans="12:25">
      <c r="L173" s="652" t="s">
        <v>228</v>
      </c>
      <c r="M173" s="653" t="s">
        <v>334</v>
      </c>
      <c r="N173" s="639" t="s">
        <v>465</v>
      </c>
      <c r="O173" s="639" t="s">
        <v>469</v>
      </c>
      <c r="P173" s="639" t="s">
        <v>513</v>
      </c>
      <c r="Q173" s="639">
        <v>603872</v>
      </c>
      <c r="R173" s="639" t="s">
        <v>517</v>
      </c>
      <c r="S173" s="639">
        <v>136</v>
      </c>
      <c r="T173" s="653">
        <v>136</v>
      </c>
      <c r="U173" s="653">
        <v>0</v>
      </c>
      <c r="V173" s="653">
        <v>136</v>
      </c>
      <c r="W173" s="653" t="s">
        <v>467</v>
      </c>
      <c r="X173" s="653">
        <v>0</v>
      </c>
      <c r="Y173" s="666">
        <v>-136</v>
      </c>
    </row>
    <row r="174" spans="12:25">
      <c r="L174" s="652" t="s">
        <v>247</v>
      </c>
      <c r="M174" s="653" t="s">
        <v>234</v>
      </c>
      <c r="N174" s="639" t="s">
        <v>465</v>
      </c>
      <c r="O174" s="639" t="s">
        <v>469</v>
      </c>
      <c r="P174" s="639" t="s">
        <v>518</v>
      </c>
      <c r="Q174" s="639">
        <v>601168</v>
      </c>
      <c r="R174" s="639" t="s">
        <v>519</v>
      </c>
      <c r="S174" s="639">
        <v>216</v>
      </c>
      <c r="T174" s="653">
        <v>237</v>
      </c>
      <c r="U174" s="653">
        <v>0</v>
      </c>
      <c r="V174" s="653">
        <v>237</v>
      </c>
      <c r="W174" s="653" t="s">
        <v>467</v>
      </c>
      <c r="X174" s="653">
        <v>0</v>
      </c>
      <c r="Y174" s="666">
        <v>-216</v>
      </c>
    </row>
    <row r="175" spans="12:25">
      <c r="L175" s="652" t="s">
        <v>247</v>
      </c>
      <c r="M175" s="653" t="s">
        <v>234</v>
      </c>
      <c r="N175" s="639" t="s">
        <v>465</v>
      </c>
      <c r="O175" s="639" t="s">
        <v>469</v>
      </c>
      <c r="P175" s="639" t="s">
        <v>518</v>
      </c>
      <c r="Q175" s="639">
        <v>601768</v>
      </c>
      <c r="R175" s="639" t="s">
        <v>520</v>
      </c>
      <c r="S175" s="639">
        <v>944</v>
      </c>
      <c r="T175" s="653">
        <v>838</v>
      </c>
      <c r="U175" s="653">
        <v>0</v>
      </c>
      <c r="V175" s="653">
        <v>838</v>
      </c>
      <c r="W175" s="653" t="s">
        <v>467</v>
      </c>
      <c r="X175" s="653">
        <v>0</v>
      </c>
      <c r="Y175" s="666">
        <v>-944</v>
      </c>
    </row>
    <row r="176" spans="12:25">
      <c r="L176" s="652" t="s">
        <v>228</v>
      </c>
      <c r="M176" s="653" t="s">
        <v>143</v>
      </c>
      <c r="N176" s="639" t="s">
        <v>465</v>
      </c>
      <c r="O176" s="639" t="s">
        <v>469</v>
      </c>
      <c r="P176" s="639" t="s">
        <v>518</v>
      </c>
      <c r="Q176" s="639">
        <v>603168</v>
      </c>
      <c r="R176" s="639" t="s">
        <v>521</v>
      </c>
      <c r="S176" s="639">
        <v>372</v>
      </c>
      <c r="T176" s="653">
        <v>370</v>
      </c>
      <c r="U176" s="653">
        <v>0</v>
      </c>
      <c r="V176" s="653">
        <v>370</v>
      </c>
      <c r="W176" s="653" t="s">
        <v>467</v>
      </c>
      <c r="X176" s="653">
        <v>0</v>
      </c>
      <c r="Y176" s="666">
        <v>-372</v>
      </c>
    </row>
    <row r="177" spans="12:25">
      <c r="L177" s="652" t="s">
        <v>247</v>
      </c>
      <c r="M177" s="653" t="s">
        <v>234</v>
      </c>
      <c r="N177" s="639" t="s">
        <v>465</v>
      </c>
      <c r="O177" s="639" t="s">
        <v>469</v>
      </c>
      <c r="P177" s="639" t="s">
        <v>518</v>
      </c>
      <c r="Q177" s="639">
        <v>601068</v>
      </c>
      <c r="R177" s="639" t="s">
        <v>522</v>
      </c>
      <c r="S177" s="639">
        <v>300</v>
      </c>
      <c r="T177" s="653">
        <v>301</v>
      </c>
      <c r="U177" s="653">
        <v>0</v>
      </c>
      <c r="V177" s="653">
        <v>301</v>
      </c>
      <c r="W177" s="653" t="s">
        <v>467</v>
      </c>
      <c r="X177" s="653">
        <v>0</v>
      </c>
      <c r="Y177" s="666">
        <v>-300</v>
      </c>
    </row>
    <row r="178" spans="12:25">
      <c r="L178" s="652" t="s">
        <v>228</v>
      </c>
      <c r="M178" s="653" t="s">
        <v>143</v>
      </c>
      <c r="N178" s="639" t="s">
        <v>465</v>
      </c>
      <c r="O178" s="639" t="s">
        <v>469</v>
      </c>
      <c r="P178" s="639" t="s">
        <v>518</v>
      </c>
      <c r="Q178" s="639">
        <v>604068</v>
      </c>
      <c r="R178" s="639" t="s">
        <v>523</v>
      </c>
      <c r="S178" s="639">
        <v>384</v>
      </c>
      <c r="T178" s="653">
        <v>372</v>
      </c>
      <c r="U178" s="653">
        <v>0</v>
      </c>
      <c r="V178" s="653">
        <v>372</v>
      </c>
      <c r="W178" s="653" t="s">
        <v>467</v>
      </c>
      <c r="X178" s="653">
        <v>0</v>
      </c>
      <c r="Y178" s="666">
        <v>-384</v>
      </c>
    </row>
    <row r="179" spans="12:25">
      <c r="L179" s="652" t="s">
        <v>228</v>
      </c>
      <c r="M179" s="653" t="s">
        <v>143</v>
      </c>
      <c r="N179" s="639" t="s">
        <v>465</v>
      </c>
      <c r="O179" s="639" t="s">
        <v>469</v>
      </c>
      <c r="P179" s="639" t="s">
        <v>518</v>
      </c>
      <c r="Q179" s="639">
        <v>603468</v>
      </c>
      <c r="R179" s="639" t="s">
        <v>524</v>
      </c>
      <c r="S179" s="639">
        <v>244</v>
      </c>
      <c r="T179" s="653">
        <v>269</v>
      </c>
      <c r="U179" s="653">
        <v>0</v>
      </c>
      <c r="V179" s="653">
        <v>269</v>
      </c>
      <c r="W179" s="653" t="s">
        <v>467</v>
      </c>
      <c r="X179" s="653">
        <v>0</v>
      </c>
      <c r="Y179" s="666">
        <v>-244</v>
      </c>
    </row>
    <row r="180" spans="12:25">
      <c r="L180" s="652" t="s">
        <v>200</v>
      </c>
      <c r="M180" s="653" t="s">
        <v>340</v>
      </c>
      <c r="N180" s="639" t="s">
        <v>465</v>
      </c>
      <c r="O180" s="639" t="s">
        <v>435</v>
      </c>
      <c r="P180" s="639" t="s">
        <v>446</v>
      </c>
      <c r="Q180" s="639">
        <v>136117</v>
      </c>
      <c r="R180" s="639" t="s">
        <v>525</v>
      </c>
      <c r="S180" s="639">
        <v>256</v>
      </c>
      <c r="T180" s="653">
        <v>274</v>
      </c>
      <c r="U180" s="653">
        <v>0</v>
      </c>
      <c r="V180" s="653">
        <v>274</v>
      </c>
      <c r="W180" s="653" t="s">
        <v>467</v>
      </c>
      <c r="X180" s="653">
        <v>9</v>
      </c>
      <c r="Y180" s="666">
        <v>-247</v>
      </c>
    </row>
    <row r="181" spans="12:25">
      <c r="L181" s="652" t="s">
        <v>200</v>
      </c>
      <c r="M181" s="653" t="s">
        <v>342</v>
      </c>
      <c r="N181" s="639" t="s">
        <v>465</v>
      </c>
      <c r="O181" s="639" t="s">
        <v>435</v>
      </c>
      <c r="P181" s="639" t="s">
        <v>446</v>
      </c>
      <c r="Q181" s="639">
        <v>136219</v>
      </c>
      <c r="R181" s="639" t="s">
        <v>526</v>
      </c>
      <c r="S181" s="639">
        <v>176</v>
      </c>
      <c r="T181" s="653">
        <v>201</v>
      </c>
      <c r="U181" s="653">
        <v>0</v>
      </c>
      <c r="V181" s="653">
        <v>201</v>
      </c>
      <c r="W181" s="653" t="s">
        <v>467</v>
      </c>
      <c r="X181" s="653">
        <v>10</v>
      </c>
      <c r="Y181" s="666">
        <v>-166</v>
      </c>
    </row>
    <row r="182" spans="12:25">
      <c r="L182" s="652" t="s">
        <v>228</v>
      </c>
      <c r="M182" s="653" t="s">
        <v>143</v>
      </c>
      <c r="N182" s="639" t="s">
        <v>465</v>
      </c>
      <c r="O182" s="639" t="s">
        <v>469</v>
      </c>
      <c r="P182" s="639" t="s">
        <v>527</v>
      </c>
      <c r="Q182" s="639">
        <v>603470</v>
      </c>
      <c r="R182" s="639" t="s">
        <v>528</v>
      </c>
      <c r="S182" s="639">
        <v>200</v>
      </c>
      <c r="T182" s="653">
        <v>196</v>
      </c>
      <c r="U182" s="653">
        <v>0</v>
      </c>
      <c r="V182" s="653">
        <v>196</v>
      </c>
      <c r="W182" s="653" t="s">
        <v>467</v>
      </c>
      <c r="X182" s="653">
        <v>0</v>
      </c>
      <c r="Y182" s="666">
        <v>-200</v>
      </c>
    </row>
    <row r="183" spans="12:25">
      <c r="L183" s="652" t="s">
        <v>228</v>
      </c>
      <c r="M183" s="653" t="s">
        <v>334</v>
      </c>
      <c r="N183" s="639" t="s">
        <v>465</v>
      </c>
      <c r="O183" s="639" t="s">
        <v>469</v>
      </c>
      <c r="P183" s="639" t="s">
        <v>527</v>
      </c>
      <c r="Q183" s="639">
        <v>603870</v>
      </c>
      <c r="R183" s="639" t="s">
        <v>529</v>
      </c>
      <c r="S183" s="639">
        <v>158</v>
      </c>
      <c r="T183" s="653">
        <v>154</v>
      </c>
      <c r="U183" s="653">
        <v>0</v>
      </c>
      <c r="V183" s="653">
        <v>154</v>
      </c>
      <c r="W183" s="653" t="s">
        <v>467</v>
      </c>
      <c r="X183" s="653">
        <v>0</v>
      </c>
      <c r="Y183" s="666">
        <v>-158</v>
      </c>
    </row>
    <row r="184" spans="12:25">
      <c r="L184" s="652" t="s">
        <v>228</v>
      </c>
      <c r="M184" s="653" t="s">
        <v>143</v>
      </c>
      <c r="N184" s="639" t="s">
        <v>465</v>
      </c>
      <c r="O184" s="639" t="s">
        <v>469</v>
      </c>
      <c r="P184" s="639" t="s">
        <v>527</v>
      </c>
      <c r="Q184" s="639">
        <v>603070</v>
      </c>
      <c r="R184" s="639" t="s">
        <v>530</v>
      </c>
      <c r="S184" s="639">
        <v>242</v>
      </c>
      <c r="T184" s="653">
        <v>227</v>
      </c>
      <c r="U184" s="653">
        <v>0</v>
      </c>
      <c r="V184" s="653">
        <v>227</v>
      </c>
      <c r="W184" s="653" t="s">
        <v>467</v>
      </c>
      <c r="X184" s="653">
        <v>0</v>
      </c>
      <c r="Y184" s="666">
        <v>-242</v>
      </c>
    </row>
    <row r="185" spans="12:25">
      <c r="L185" s="652" t="s">
        <v>247</v>
      </c>
      <c r="M185" s="653" t="s">
        <v>234</v>
      </c>
      <c r="N185" s="639" t="s">
        <v>465</v>
      </c>
      <c r="O185" s="639" t="s">
        <v>469</v>
      </c>
      <c r="P185" s="639" t="s">
        <v>527</v>
      </c>
      <c r="Q185" s="639">
        <v>601770</v>
      </c>
      <c r="R185" s="639" t="s">
        <v>531</v>
      </c>
      <c r="S185" s="639">
        <v>510</v>
      </c>
      <c r="T185" s="653">
        <v>448</v>
      </c>
      <c r="U185" s="653">
        <v>0</v>
      </c>
      <c r="V185" s="653">
        <v>448</v>
      </c>
      <c r="W185" s="653" t="s">
        <v>467</v>
      </c>
      <c r="X185" s="653">
        <v>0</v>
      </c>
      <c r="Y185" s="666">
        <v>-510</v>
      </c>
    </row>
    <row r="186" spans="12:25">
      <c r="L186" s="652" t="s">
        <v>247</v>
      </c>
      <c r="M186" s="653" t="s">
        <v>234</v>
      </c>
      <c r="N186" s="639" t="s">
        <v>465</v>
      </c>
      <c r="O186" s="639" t="s">
        <v>469</v>
      </c>
      <c r="P186" s="639" t="s">
        <v>527</v>
      </c>
      <c r="Q186" s="639">
        <v>601670</v>
      </c>
      <c r="R186" s="639" t="s">
        <v>532</v>
      </c>
      <c r="S186" s="639">
        <v>198</v>
      </c>
      <c r="T186" s="653">
        <v>188</v>
      </c>
      <c r="U186" s="653">
        <v>0</v>
      </c>
      <c r="V186" s="653">
        <v>188</v>
      </c>
      <c r="W186" s="653" t="s">
        <v>467</v>
      </c>
      <c r="X186" s="653">
        <v>0</v>
      </c>
      <c r="Y186" s="666">
        <v>-198</v>
      </c>
    </row>
    <row r="187" spans="12:25">
      <c r="L187" s="658" t="s">
        <v>247</v>
      </c>
      <c r="M187" s="659" t="s">
        <v>234</v>
      </c>
      <c r="N187" s="678" t="s">
        <v>465</v>
      </c>
      <c r="O187" s="678" t="s">
        <v>469</v>
      </c>
      <c r="P187" s="678" t="s">
        <v>527</v>
      </c>
      <c r="Q187" s="678">
        <v>601170</v>
      </c>
      <c r="R187" s="678" t="s">
        <v>533</v>
      </c>
      <c r="S187" s="678">
        <v>204</v>
      </c>
      <c r="T187" s="659">
        <v>193</v>
      </c>
      <c r="U187" s="659">
        <v>0</v>
      </c>
      <c r="V187" s="659">
        <v>193</v>
      </c>
      <c r="W187" s="659" t="s">
        <v>467</v>
      </c>
      <c r="X187" s="659">
        <v>0</v>
      </c>
      <c r="Y187" s="667">
        <v>-204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BB1E-684E-4C21-AD0F-E5321FA9369F}">
  <dimension ref="A1"/>
  <sheetViews>
    <sheetView workbookViewId="0">
      <selection activeCell="B2" sqref="B2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3A8E-EEE9-464D-96B5-3312B7156FC5}">
  <dimension ref="B1:O14"/>
  <sheetViews>
    <sheetView showGridLines="0" workbookViewId="0">
      <selection activeCell="B10" sqref="B10"/>
    </sheetView>
  </sheetViews>
  <sheetFormatPr defaultRowHeight="15"/>
  <cols>
    <col min="3" max="3" width="10" bestFit="1" customWidth="1"/>
    <col min="4" max="4" width="41" bestFit="1" customWidth="1"/>
    <col min="5" max="5" width="13.85546875" bestFit="1" customWidth="1"/>
    <col min="6" max="6" width="10.42578125" bestFit="1" customWidth="1"/>
    <col min="7" max="7" width="12.42578125" bestFit="1" customWidth="1"/>
    <col min="8" max="8" width="10.7109375" bestFit="1" customWidth="1"/>
    <col min="9" max="9" width="13.140625" bestFit="1" customWidth="1"/>
    <col min="10" max="10" width="13" bestFit="1" customWidth="1"/>
  </cols>
  <sheetData>
    <row r="1" spans="2:15" ht="18.75"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</row>
    <row r="2" spans="2:15" ht="18.75">
      <c r="B2" s="617"/>
      <c r="C2" s="618"/>
      <c r="D2" s="618"/>
      <c r="E2" s="618"/>
      <c r="F2" s="619">
        <v>195172</v>
      </c>
      <c r="G2" s="619">
        <v>206500</v>
      </c>
      <c r="H2" s="619">
        <v>209232</v>
      </c>
      <c r="I2" s="619">
        <v>168204</v>
      </c>
      <c r="J2" s="619">
        <v>74492</v>
      </c>
      <c r="K2" s="618"/>
      <c r="L2" s="618"/>
      <c r="M2" s="618"/>
      <c r="N2" s="618"/>
      <c r="O2" s="618"/>
    </row>
    <row r="3" spans="2:15" ht="18.75">
      <c r="B3" s="617"/>
      <c r="C3" s="618"/>
      <c r="D3" s="618"/>
      <c r="E3" s="618"/>
      <c r="F3" s="620" t="s">
        <v>534</v>
      </c>
      <c r="G3" s="620" t="s">
        <v>535</v>
      </c>
      <c r="H3" s="620" t="s">
        <v>536</v>
      </c>
      <c r="I3" s="620" t="s">
        <v>537</v>
      </c>
      <c r="J3" s="620" t="s">
        <v>538</v>
      </c>
      <c r="K3" s="620"/>
      <c r="L3" s="618"/>
      <c r="M3" s="618"/>
      <c r="N3" s="618"/>
      <c r="O3" s="618"/>
    </row>
    <row r="4" spans="2:15" ht="18.75">
      <c r="B4" s="617"/>
      <c r="C4" s="618"/>
      <c r="D4" s="621" t="s">
        <v>539</v>
      </c>
      <c r="E4" s="622" t="s">
        <v>32</v>
      </c>
      <c r="F4" s="623">
        <v>195172</v>
      </c>
      <c r="G4" s="623">
        <v>206500</v>
      </c>
      <c r="H4" s="623">
        <v>209232</v>
      </c>
      <c r="I4" s="623">
        <v>168204</v>
      </c>
      <c r="J4" s="624">
        <v>74492</v>
      </c>
      <c r="K4" s="618"/>
      <c r="L4" s="618"/>
      <c r="M4" s="618"/>
      <c r="N4" s="618"/>
      <c r="O4" s="618"/>
    </row>
    <row r="5" spans="2:15" ht="18.75">
      <c r="B5" s="617"/>
      <c r="C5" s="618"/>
      <c r="D5" s="625" t="s">
        <v>540</v>
      </c>
      <c r="E5" s="626" t="s">
        <v>53</v>
      </c>
      <c r="F5" s="627">
        <v>41960</v>
      </c>
      <c r="G5" s="627">
        <v>47140</v>
      </c>
      <c r="H5" s="627">
        <v>34000</v>
      </c>
      <c r="I5" s="627">
        <v>19100</v>
      </c>
      <c r="J5" s="628">
        <v>2220</v>
      </c>
      <c r="K5" s="618"/>
      <c r="L5" s="618"/>
      <c r="M5" s="618"/>
      <c r="N5" s="618"/>
      <c r="O5" s="618"/>
    </row>
    <row r="6" spans="2:15" ht="18.75">
      <c r="B6" s="617"/>
      <c r="C6" s="618"/>
      <c r="D6" s="629" t="s">
        <v>541</v>
      </c>
      <c r="E6" s="630" t="s">
        <v>53</v>
      </c>
      <c r="F6" s="631">
        <v>153212</v>
      </c>
      <c r="G6" s="631">
        <v>159360</v>
      </c>
      <c r="H6" s="631">
        <v>175232</v>
      </c>
      <c r="I6" s="631">
        <v>149104</v>
      </c>
      <c r="J6" s="632">
        <v>72272</v>
      </c>
      <c r="K6" s="618"/>
      <c r="L6" s="618"/>
      <c r="M6" s="618"/>
      <c r="N6" s="618"/>
      <c r="O6" s="618"/>
    </row>
    <row r="7" spans="2:15" ht="18.75">
      <c r="B7" s="617"/>
      <c r="C7" s="618"/>
      <c r="D7" s="618"/>
      <c r="E7" s="618" t="s">
        <v>53</v>
      </c>
      <c r="F7" s="618"/>
      <c r="G7" s="618"/>
      <c r="H7" s="618"/>
      <c r="I7" s="618"/>
      <c r="J7" s="618"/>
      <c r="K7" s="618"/>
      <c r="L7" s="618"/>
      <c r="M7" s="618"/>
      <c r="N7" s="618"/>
      <c r="O7" s="618"/>
    </row>
    <row r="8" spans="2:15" ht="18.75">
      <c r="B8" s="617"/>
      <c r="C8" s="618">
        <v>162800</v>
      </c>
      <c r="D8" s="621" t="s">
        <v>542</v>
      </c>
      <c r="E8" s="622" t="s">
        <v>53</v>
      </c>
      <c r="F8" s="623">
        <v>172800</v>
      </c>
      <c r="G8" s="623">
        <v>187200</v>
      </c>
      <c r="H8" s="623">
        <v>195000</v>
      </c>
      <c r="I8" s="623">
        <v>156000</v>
      </c>
      <c r="J8" s="624">
        <v>117000</v>
      </c>
      <c r="K8" s="618"/>
      <c r="L8" s="618"/>
      <c r="M8" s="618"/>
      <c r="N8" s="618"/>
      <c r="O8" s="618"/>
    </row>
    <row r="9" spans="2:15" ht="18.75">
      <c r="B9" s="617"/>
      <c r="C9" s="618"/>
      <c r="D9" s="625" t="s">
        <v>543</v>
      </c>
      <c r="E9" s="626" t="s">
        <v>53</v>
      </c>
      <c r="F9" s="627">
        <v>41960</v>
      </c>
      <c r="G9" s="627">
        <v>47140</v>
      </c>
      <c r="H9" s="627">
        <v>34000</v>
      </c>
      <c r="I9" s="627">
        <v>19100</v>
      </c>
      <c r="J9" s="628">
        <v>2200</v>
      </c>
      <c r="K9" s="633" t="s">
        <v>544</v>
      </c>
      <c r="L9" s="618"/>
      <c r="M9" s="618"/>
      <c r="N9" s="618"/>
      <c r="O9" s="618"/>
    </row>
    <row r="10" spans="2:15" ht="18.75">
      <c r="B10" s="617"/>
      <c r="C10" s="618"/>
      <c r="D10" s="629" t="s">
        <v>545</v>
      </c>
      <c r="E10" s="630" t="s">
        <v>53</v>
      </c>
      <c r="F10" s="631">
        <v>51940</v>
      </c>
      <c r="G10" s="631">
        <v>142200</v>
      </c>
      <c r="H10" s="631">
        <v>142540</v>
      </c>
      <c r="I10" s="631">
        <v>121280</v>
      </c>
      <c r="J10" s="632">
        <v>93740</v>
      </c>
      <c r="K10" s="618"/>
      <c r="L10" s="618"/>
      <c r="M10" s="618"/>
      <c r="N10" s="618"/>
      <c r="O10" s="618"/>
    </row>
    <row r="11" spans="2:15" ht="18.75">
      <c r="B11" s="617"/>
      <c r="C11" s="618"/>
      <c r="D11" s="620" t="s">
        <v>546</v>
      </c>
      <c r="E11" s="620" t="s">
        <v>308</v>
      </c>
      <c r="F11" s="634">
        <f>F9+F10</f>
        <v>93900</v>
      </c>
      <c r="G11" s="634">
        <f t="shared" ref="G11:J11" si="0">G9+G10</f>
        <v>189340</v>
      </c>
      <c r="H11" s="634">
        <f t="shared" si="0"/>
        <v>176540</v>
      </c>
      <c r="I11" s="634">
        <f t="shared" si="0"/>
        <v>140380</v>
      </c>
      <c r="J11" s="634">
        <f t="shared" si="0"/>
        <v>95940</v>
      </c>
      <c r="K11" s="618"/>
      <c r="L11" s="618"/>
      <c r="M11" s="618"/>
      <c r="N11" s="618"/>
      <c r="O11" s="618"/>
    </row>
    <row r="12" spans="2:15" ht="18.75">
      <c r="B12" s="617"/>
      <c r="C12" s="618"/>
      <c r="D12" s="620" t="s">
        <v>547</v>
      </c>
      <c r="E12" s="620">
        <v>-76000</v>
      </c>
      <c r="F12" s="634">
        <f>F8-F11</f>
        <v>78900</v>
      </c>
      <c r="G12" s="634">
        <f t="shared" ref="G12:J12" si="1">G8-G11</f>
        <v>-2140</v>
      </c>
      <c r="H12" s="634">
        <f t="shared" si="1"/>
        <v>18460</v>
      </c>
      <c r="I12" s="634">
        <f t="shared" si="1"/>
        <v>15620</v>
      </c>
      <c r="J12" s="634">
        <f t="shared" si="1"/>
        <v>21060</v>
      </c>
      <c r="K12" s="618"/>
      <c r="L12" s="618"/>
      <c r="M12" s="618"/>
      <c r="N12" s="618"/>
      <c r="O12" s="618"/>
    </row>
    <row r="13" spans="2:15" ht="18.75">
      <c r="B13" s="617"/>
      <c r="C13" s="618"/>
      <c r="D13" s="618" t="s">
        <v>548</v>
      </c>
      <c r="E13" s="618"/>
      <c r="F13" s="635">
        <f>E12+F12</f>
        <v>2900</v>
      </c>
      <c r="G13" s="635">
        <f>F13+G12</f>
        <v>760</v>
      </c>
      <c r="H13" s="635">
        <f t="shared" ref="H13:J13" si="2">G13+H12</f>
        <v>19220</v>
      </c>
      <c r="I13" s="635">
        <f t="shared" si="2"/>
        <v>34840</v>
      </c>
      <c r="J13" s="635">
        <f t="shared" si="2"/>
        <v>55900</v>
      </c>
      <c r="K13" s="618"/>
      <c r="L13" s="618"/>
      <c r="M13" s="618"/>
      <c r="N13" s="618"/>
      <c r="O13" s="618"/>
    </row>
    <row r="14" spans="2:15" ht="18.75">
      <c r="B14" s="617"/>
      <c r="C14" s="617"/>
      <c r="D14" s="617"/>
      <c r="E14" s="617"/>
      <c r="F14" s="617"/>
      <c r="G14" s="617"/>
      <c r="H14" s="617"/>
      <c r="I14" s="617"/>
      <c r="J14" s="617"/>
      <c r="K14" s="617"/>
      <c r="L14" s="617"/>
      <c r="M14" s="617"/>
      <c r="N14" s="617"/>
      <c r="O14" s="61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CEE3-E6C1-41C7-A1FB-0C84BD3C8678}">
  <dimension ref="A1:P624"/>
  <sheetViews>
    <sheetView workbookViewId="0">
      <selection activeCell="F6" sqref="F6"/>
    </sheetView>
  </sheetViews>
  <sheetFormatPr defaultRowHeight="15"/>
  <sheetData>
    <row r="1" spans="1:16" ht="77.25">
      <c r="A1" s="636" t="s">
        <v>299</v>
      </c>
      <c r="B1" s="636" t="s">
        <v>300</v>
      </c>
      <c r="C1" s="636" t="s">
        <v>549</v>
      </c>
      <c r="D1" s="636" t="s">
        <v>550</v>
      </c>
      <c r="E1" s="636" t="s">
        <v>297</v>
      </c>
      <c r="F1" s="636" t="s">
        <v>551</v>
      </c>
      <c r="G1" s="636" t="s">
        <v>552</v>
      </c>
      <c r="H1" s="636" t="s">
        <v>302</v>
      </c>
      <c r="I1" s="636" t="s">
        <v>553</v>
      </c>
      <c r="J1" s="636" t="s">
        <v>554</v>
      </c>
      <c r="K1" s="636" t="s">
        <v>555</v>
      </c>
      <c r="L1" s="636" t="s">
        <v>556</v>
      </c>
      <c r="M1" s="636" t="s">
        <v>557</v>
      </c>
      <c r="N1" s="636" t="s">
        <v>558</v>
      </c>
      <c r="O1" s="636" t="s">
        <v>559</v>
      </c>
      <c r="P1" s="637" t="s">
        <v>560</v>
      </c>
    </row>
    <row r="2" spans="1:16">
      <c r="A2" s="638" t="s">
        <v>351</v>
      </c>
      <c r="B2" s="639" t="s">
        <v>306</v>
      </c>
      <c r="C2" s="639" t="s">
        <v>305</v>
      </c>
      <c r="D2" s="639" t="s">
        <v>561</v>
      </c>
      <c r="E2" s="639" t="s">
        <v>562</v>
      </c>
      <c r="F2" s="639">
        <v>25622</v>
      </c>
      <c r="G2" s="639">
        <v>101000</v>
      </c>
      <c r="H2" s="639" t="s">
        <v>352</v>
      </c>
      <c r="I2" s="639" t="s">
        <v>563</v>
      </c>
      <c r="J2" s="639" t="s">
        <v>564</v>
      </c>
      <c r="K2" s="639">
        <v>1.39</v>
      </c>
      <c r="L2" s="639">
        <v>1.1200000000000001</v>
      </c>
      <c r="M2" s="639">
        <v>1.03</v>
      </c>
      <c r="N2" s="639">
        <v>1.1399999999999999</v>
      </c>
      <c r="O2" s="639">
        <v>1.48</v>
      </c>
      <c r="P2" s="616">
        <v>28</v>
      </c>
    </row>
    <row r="3" spans="1:16">
      <c r="A3" s="639" t="s">
        <v>351</v>
      </c>
      <c r="B3" s="639" t="s">
        <v>306</v>
      </c>
      <c r="C3" s="639" t="s">
        <v>305</v>
      </c>
      <c r="D3" s="639" t="s">
        <v>561</v>
      </c>
      <c r="E3" s="639" t="s">
        <v>562</v>
      </c>
      <c r="F3" s="639">
        <v>25630</v>
      </c>
      <c r="G3" s="639">
        <v>101000</v>
      </c>
      <c r="H3" s="639" t="s">
        <v>352</v>
      </c>
      <c r="I3" s="639" t="s">
        <v>565</v>
      </c>
      <c r="J3" s="639" t="s">
        <v>564</v>
      </c>
      <c r="K3" s="639">
        <v>0.92</v>
      </c>
      <c r="L3" s="639">
        <v>1</v>
      </c>
      <c r="M3" s="639">
        <v>1.06</v>
      </c>
      <c r="N3" s="639">
        <v>1.1000000000000001</v>
      </c>
      <c r="O3" s="639">
        <v>1.43</v>
      </c>
      <c r="P3" s="616">
        <v>28</v>
      </c>
    </row>
    <row r="4" spans="1:16">
      <c r="A4" s="639" t="s">
        <v>351</v>
      </c>
      <c r="B4" s="639" t="s">
        <v>306</v>
      </c>
      <c r="C4" s="639" t="s">
        <v>305</v>
      </c>
      <c r="D4" s="639" t="s">
        <v>561</v>
      </c>
      <c r="E4" s="639" t="s">
        <v>562</v>
      </c>
      <c r="F4" s="639">
        <v>27047</v>
      </c>
      <c r="G4" s="639">
        <v>101000</v>
      </c>
      <c r="H4" s="639" t="s">
        <v>352</v>
      </c>
      <c r="I4" s="639" t="s">
        <v>566</v>
      </c>
      <c r="J4" s="639" t="s">
        <v>567</v>
      </c>
      <c r="K4" s="639">
        <v>0.77</v>
      </c>
      <c r="L4" s="639">
        <v>1.05</v>
      </c>
      <c r="M4" s="639">
        <v>1.06</v>
      </c>
      <c r="N4" s="639">
        <v>1.1299999999999999</v>
      </c>
      <c r="O4" s="639">
        <v>1.4</v>
      </c>
      <c r="P4" s="616">
        <v>28</v>
      </c>
    </row>
    <row r="5" spans="1:16">
      <c r="A5" s="639" t="s">
        <v>351</v>
      </c>
      <c r="B5" s="639" t="s">
        <v>306</v>
      </c>
      <c r="C5" s="639" t="s">
        <v>305</v>
      </c>
      <c r="D5" s="639" t="s">
        <v>561</v>
      </c>
      <c r="E5" s="639" t="s">
        <v>562</v>
      </c>
      <c r="F5" s="639">
        <v>25626</v>
      </c>
      <c r="G5" s="639">
        <v>101000</v>
      </c>
      <c r="H5" s="639" t="s">
        <v>352</v>
      </c>
      <c r="I5" s="639" t="s">
        <v>568</v>
      </c>
      <c r="J5" s="639" t="s">
        <v>564</v>
      </c>
      <c r="K5" s="639">
        <v>0.82</v>
      </c>
      <c r="L5" s="639">
        <v>1.1100000000000001</v>
      </c>
      <c r="M5" s="639">
        <v>1.07</v>
      </c>
      <c r="N5" s="639">
        <v>1.02</v>
      </c>
      <c r="O5" s="639">
        <v>1.33</v>
      </c>
      <c r="P5" s="616">
        <v>28</v>
      </c>
    </row>
    <row r="6" spans="1:16">
      <c r="A6" s="639" t="s">
        <v>351</v>
      </c>
      <c r="B6" s="639" t="s">
        <v>306</v>
      </c>
      <c r="C6" s="639" t="s">
        <v>305</v>
      </c>
      <c r="D6" s="639" t="s">
        <v>561</v>
      </c>
      <c r="E6" s="639" t="s">
        <v>562</v>
      </c>
      <c r="F6" s="639">
        <v>25624</v>
      </c>
      <c r="G6" s="639">
        <v>101000</v>
      </c>
      <c r="H6" s="639" t="s">
        <v>352</v>
      </c>
      <c r="I6" s="639" t="s">
        <v>568</v>
      </c>
      <c r="J6" s="639" t="s">
        <v>567</v>
      </c>
      <c r="K6" s="639">
        <v>1.1100000000000001</v>
      </c>
      <c r="L6" s="639">
        <v>1.1299999999999999</v>
      </c>
      <c r="M6" s="639">
        <v>1.0900000000000001</v>
      </c>
      <c r="N6" s="639">
        <v>1.18</v>
      </c>
      <c r="O6" s="639">
        <v>1.29</v>
      </c>
      <c r="P6" s="616">
        <v>28</v>
      </c>
    </row>
    <row r="7" spans="1:16">
      <c r="A7" s="639" t="s">
        <v>351</v>
      </c>
      <c r="B7" s="639" t="s">
        <v>306</v>
      </c>
      <c r="C7" s="639" t="s">
        <v>305</v>
      </c>
      <c r="D7" s="639" t="s">
        <v>561</v>
      </c>
      <c r="E7" s="639" t="s">
        <v>562</v>
      </c>
      <c r="F7" s="639">
        <v>25631</v>
      </c>
      <c r="G7" s="639">
        <v>101000</v>
      </c>
      <c r="H7" s="639" t="s">
        <v>352</v>
      </c>
      <c r="I7" s="639" t="s">
        <v>565</v>
      </c>
      <c r="J7" s="639" t="s">
        <v>569</v>
      </c>
      <c r="K7" s="639">
        <v>2.86</v>
      </c>
      <c r="L7" s="639">
        <v>1.67</v>
      </c>
      <c r="M7" s="639">
        <v>1.1000000000000001</v>
      </c>
      <c r="N7" s="639">
        <v>1.1200000000000001</v>
      </c>
      <c r="O7" s="639">
        <v>1.6</v>
      </c>
      <c r="P7" s="616">
        <v>28</v>
      </c>
    </row>
    <row r="8" spans="1:16">
      <c r="A8" s="639" t="s">
        <v>351</v>
      </c>
      <c r="B8" s="639" t="s">
        <v>306</v>
      </c>
      <c r="C8" s="639" t="s">
        <v>305</v>
      </c>
      <c r="D8" s="639" t="s">
        <v>561</v>
      </c>
      <c r="E8" s="639" t="s">
        <v>562</v>
      </c>
      <c r="F8" s="639">
        <v>28645</v>
      </c>
      <c r="G8" s="639">
        <v>101000</v>
      </c>
      <c r="H8" s="639" t="s">
        <v>352</v>
      </c>
      <c r="I8" s="639" t="s">
        <v>570</v>
      </c>
      <c r="J8" s="639" t="s">
        <v>567</v>
      </c>
      <c r="K8" s="639">
        <v>1.33</v>
      </c>
      <c r="L8" s="639">
        <v>1.02</v>
      </c>
      <c r="M8" s="639">
        <v>1.1100000000000001</v>
      </c>
      <c r="N8" s="639">
        <v>1.1499999999999999</v>
      </c>
      <c r="O8" s="639">
        <v>1.53</v>
      </c>
      <c r="P8" s="616">
        <v>28</v>
      </c>
    </row>
    <row r="9" spans="1:16">
      <c r="A9" s="639" t="s">
        <v>351</v>
      </c>
      <c r="B9" s="639" t="s">
        <v>306</v>
      </c>
      <c r="C9" s="639" t="s">
        <v>305</v>
      </c>
      <c r="D9" s="639" t="s">
        <v>561</v>
      </c>
      <c r="E9" s="639" t="s">
        <v>562</v>
      </c>
      <c r="F9" s="639">
        <v>27050</v>
      </c>
      <c r="G9" s="639">
        <v>101000</v>
      </c>
      <c r="H9" s="639" t="s">
        <v>352</v>
      </c>
      <c r="I9" s="639" t="s">
        <v>566</v>
      </c>
      <c r="J9" s="639" t="s">
        <v>569</v>
      </c>
      <c r="K9" s="639">
        <v>1.08</v>
      </c>
      <c r="L9" s="639">
        <v>1.1299999999999999</v>
      </c>
      <c r="M9" s="639">
        <v>1.1200000000000001</v>
      </c>
      <c r="N9" s="639">
        <v>1.0900000000000001</v>
      </c>
      <c r="O9" s="639">
        <v>1.62</v>
      </c>
      <c r="P9" s="616">
        <v>28</v>
      </c>
    </row>
    <row r="10" spans="1:16">
      <c r="A10" s="639" t="s">
        <v>351</v>
      </c>
      <c r="B10" s="639" t="s">
        <v>306</v>
      </c>
      <c r="C10" s="639" t="s">
        <v>305</v>
      </c>
      <c r="D10" s="639" t="s">
        <v>561</v>
      </c>
      <c r="E10" s="639" t="s">
        <v>562</v>
      </c>
      <c r="F10" s="639">
        <v>25623</v>
      </c>
      <c r="G10" s="639">
        <v>101000</v>
      </c>
      <c r="H10" s="639" t="s">
        <v>352</v>
      </c>
      <c r="I10" s="639" t="s">
        <v>563</v>
      </c>
      <c r="J10" s="639" t="s">
        <v>569</v>
      </c>
      <c r="K10" s="639">
        <v>3.01</v>
      </c>
      <c r="L10" s="639">
        <v>1.82</v>
      </c>
      <c r="M10" s="639">
        <v>1.1299999999999999</v>
      </c>
      <c r="N10" s="639">
        <v>1.19</v>
      </c>
      <c r="O10" s="639">
        <v>1.29</v>
      </c>
      <c r="P10" s="616">
        <v>28</v>
      </c>
    </row>
    <row r="11" spans="1:16">
      <c r="A11" s="639" t="s">
        <v>351</v>
      </c>
      <c r="B11" s="639" t="s">
        <v>306</v>
      </c>
      <c r="C11" s="639" t="s">
        <v>305</v>
      </c>
      <c r="D11" s="639" t="s">
        <v>561</v>
      </c>
      <c r="E11" s="639" t="s">
        <v>562</v>
      </c>
      <c r="F11" s="639">
        <v>25629</v>
      </c>
      <c r="G11" s="639">
        <v>101000</v>
      </c>
      <c r="H11" s="639" t="s">
        <v>352</v>
      </c>
      <c r="I11" s="639" t="s">
        <v>565</v>
      </c>
      <c r="J11" s="639" t="s">
        <v>571</v>
      </c>
      <c r="K11" s="639">
        <v>0.75</v>
      </c>
      <c r="L11" s="639">
        <v>1.08</v>
      </c>
      <c r="M11" s="639">
        <v>1.1399999999999999</v>
      </c>
      <c r="N11" s="639">
        <v>1.0900000000000001</v>
      </c>
      <c r="O11" s="639">
        <v>1.37</v>
      </c>
      <c r="P11" s="616">
        <v>28</v>
      </c>
    </row>
    <row r="12" spans="1:16">
      <c r="A12" s="639" t="s">
        <v>351</v>
      </c>
      <c r="B12" s="639" t="s">
        <v>306</v>
      </c>
      <c r="C12" s="639" t="s">
        <v>305</v>
      </c>
      <c r="D12" s="639" t="s">
        <v>561</v>
      </c>
      <c r="E12" s="639" t="s">
        <v>562</v>
      </c>
      <c r="F12" s="639">
        <v>27049</v>
      </c>
      <c r="G12" s="639">
        <v>101000</v>
      </c>
      <c r="H12" s="639" t="s">
        <v>352</v>
      </c>
      <c r="I12" s="639" t="s">
        <v>566</v>
      </c>
      <c r="J12" s="639" t="s">
        <v>564</v>
      </c>
      <c r="K12" s="639">
        <v>0.89</v>
      </c>
      <c r="L12" s="639">
        <v>1.1000000000000001</v>
      </c>
      <c r="M12" s="639">
        <v>1.1399999999999999</v>
      </c>
      <c r="N12" s="639">
        <v>1.18</v>
      </c>
      <c r="O12" s="639">
        <v>1.57</v>
      </c>
      <c r="P12" s="616">
        <v>28</v>
      </c>
    </row>
    <row r="13" spans="1:16">
      <c r="A13" s="639" t="s">
        <v>351</v>
      </c>
      <c r="B13" s="639" t="s">
        <v>306</v>
      </c>
      <c r="C13" s="639" t="s">
        <v>305</v>
      </c>
      <c r="D13" s="639" t="s">
        <v>561</v>
      </c>
      <c r="E13" s="639" t="s">
        <v>562</v>
      </c>
      <c r="F13" s="639">
        <v>28647</v>
      </c>
      <c r="G13" s="639">
        <v>101000</v>
      </c>
      <c r="H13" s="639" t="s">
        <v>352</v>
      </c>
      <c r="I13" s="639" t="s">
        <v>570</v>
      </c>
      <c r="J13" s="639" t="s">
        <v>564</v>
      </c>
      <c r="K13" s="639">
        <v>1.45</v>
      </c>
      <c r="L13" s="639">
        <v>1.1499999999999999</v>
      </c>
      <c r="M13" s="639">
        <v>1.1399999999999999</v>
      </c>
      <c r="N13" s="639">
        <v>1.1200000000000001</v>
      </c>
      <c r="O13" s="639">
        <v>1.39</v>
      </c>
      <c r="P13" s="616">
        <v>28</v>
      </c>
    </row>
    <row r="14" spans="1:16">
      <c r="A14" s="639" t="s">
        <v>351</v>
      </c>
      <c r="B14" s="639" t="s">
        <v>306</v>
      </c>
      <c r="C14" s="639" t="s">
        <v>305</v>
      </c>
      <c r="D14" s="639" t="s">
        <v>561</v>
      </c>
      <c r="E14" s="639" t="s">
        <v>562</v>
      </c>
      <c r="F14" s="639">
        <v>28646</v>
      </c>
      <c r="G14" s="639">
        <v>101000</v>
      </c>
      <c r="H14" s="639" t="s">
        <v>352</v>
      </c>
      <c r="I14" s="639" t="s">
        <v>570</v>
      </c>
      <c r="J14" s="639" t="s">
        <v>571</v>
      </c>
      <c r="K14" s="639">
        <v>1.0900000000000001</v>
      </c>
      <c r="L14" s="639">
        <v>1.05</v>
      </c>
      <c r="M14" s="639">
        <v>1.1499999999999999</v>
      </c>
      <c r="N14" s="639">
        <v>1.0900000000000001</v>
      </c>
      <c r="O14" s="639">
        <v>1.33</v>
      </c>
      <c r="P14" s="616">
        <v>28</v>
      </c>
    </row>
    <row r="15" spans="1:16">
      <c r="A15" s="639" t="s">
        <v>351</v>
      </c>
      <c r="B15" s="639" t="s">
        <v>306</v>
      </c>
      <c r="C15" s="639" t="s">
        <v>305</v>
      </c>
      <c r="D15" s="639" t="s">
        <v>561</v>
      </c>
      <c r="E15" s="639" t="s">
        <v>562</v>
      </c>
      <c r="F15" s="639">
        <v>25620</v>
      </c>
      <c r="G15" s="639">
        <v>101000</v>
      </c>
      <c r="H15" s="639" t="s">
        <v>352</v>
      </c>
      <c r="I15" s="639" t="s">
        <v>563</v>
      </c>
      <c r="J15" s="639" t="s">
        <v>567</v>
      </c>
      <c r="K15" s="639">
        <v>1.3</v>
      </c>
      <c r="L15" s="639">
        <v>1.0900000000000001</v>
      </c>
      <c r="M15" s="639">
        <v>1.1499999999999999</v>
      </c>
      <c r="N15" s="639">
        <v>1.07</v>
      </c>
      <c r="O15" s="639">
        <v>1.43</v>
      </c>
      <c r="P15" s="616">
        <v>28</v>
      </c>
    </row>
    <row r="16" spans="1:16">
      <c r="A16" s="639" t="s">
        <v>351</v>
      </c>
      <c r="B16" s="639" t="s">
        <v>306</v>
      </c>
      <c r="C16" s="639" t="s">
        <v>305</v>
      </c>
      <c r="D16" s="639" t="s">
        <v>561</v>
      </c>
      <c r="E16" s="639" t="s">
        <v>562</v>
      </c>
      <c r="F16" s="639">
        <v>25621</v>
      </c>
      <c r="G16" s="639">
        <v>101000</v>
      </c>
      <c r="H16" s="639" t="s">
        <v>352</v>
      </c>
      <c r="I16" s="639" t="s">
        <v>563</v>
      </c>
      <c r="J16" s="639" t="s">
        <v>571</v>
      </c>
      <c r="K16" s="639">
        <v>0.86</v>
      </c>
      <c r="L16" s="639">
        <v>1.1200000000000001</v>
      </c>
      <c r="M16" s="639">
        <v>1.1499999999999999</v>
      </c>
      <c r="N16" s="639">
        <v>1.02</v>
      </c>
      <c r="O16" s="639">
        <v>1.44</v>
      </c>
      <c r="P16" s="616">
        <v>28</v>
      </c>
    </row>
    <row r="17" spans="1:16">
      <c r="A17" s="639" t="s">
        <v>351</v>
      </c>
      <c r="B17" s="639" t="s">
        <v>306</v>
      </c>
      <c r="C17" s="639" t="s">
        <v>305</v>
      </c>
      <c r="D17" s="639" t="s">
        <v>561</v>
      </c>
      <c r="E17" s="639" t="s">
        <v>562</v>
      </c>
      <c r="F17" s="639">
        <v>25625</v>
      </c>
      <c r="G17" s="639">
        <v>101000</v>
      </c>
      <c r="H17" s="639" t="s">
        <v>352</v>
      </c>
      <c r="I17" s="639" t="s">
        <v>568</v>
      </c>
      <c r="J17" s="639" t="s">
        <v>571</v>
      </c>
      <c r="K17" s="639">
        <v>0.74</v>
      </c>
      <c r="L17" s="639">
        <v>1.01</v>
      </c>
      <c r="M17" s="639">
        <v>1.17</v>
      </c>
      <c r="N17" s="639">
        <v>1.0900000000000001</v>
      </c>
      <c r="O17" s="639">
        <v>1.43</v>
      </c>
      <c r="P17" s="616">
        <v>28</v>
      </c>
    </row>
    <row r="18" spans="1:16">
      <c r="A18" s="639" t="s">
        <v>351</v>
      </c>
      <c r="B18" s="639" t="s">
        <v>306</v>
      </c>
      <c r="C18" s="639" t="s">
        <v>305</v>
      </c>
      <c r="D18" s="639" t="s">
        <v>561</v>
      </c>
      <c r="E18" s="639" t="s">
        <v>562</v>
      </c>
      <c r="F18" s="639">
        <v>27048</v>
      </c>
      <c r="G18" s="639">
        <v>101000</v>
      </c>
      <c r="H18" s="639" t="s">
        <v>352</v>
      </c>
      <c r="I18" s="639" t="s">
        <v>566</v>
      </c>
      <c r="J18" s="639" t="s">
        <v>571</v>
      </c>
      <c r="K18" s="639">
        <v>1.5</v>
      </c>
      <c r="L18" s="639">
        <v>1.1100000000000001</v>
      </c>
      <c r="M18" s="639">
        <v>1.17</v>
      </c>
      <c r="N18" s="639">
        <v>1.06</v>
      </c>
      <c r="O18" s="639">
        <v>1.44</v>
      </c>
      <c r="P18" s="616">
        <v>28</v>
      </c>
    </row>
    <row r="19" spans="1:16">
      <c r="A19" s="639" t="s">
        <v>351</v>
      </c>
      <c r="B19" s="639" t="s">
        <v>306</v>
      </c>
      <c r="C19" s="639" t="s">
        <v>305</v>
      </c>
      <c r="D19" s="639" t="s">
        <v>561</v>
      </c>
      <c r="E19" s="639" t="s">
        <v>562</v>
      </c>
      <c r="F19" s="639">
        <v>25628</v>
      </c>
      <c r="G19" s="639">
        <v>101000</v>
      </c>
      <c r="H19" s="639" t="s">
        <v>352</v>
      </c>
      <c r="I19" s="639" t="s">
        <v>565</v>
      </c>
      <c r="J19" s="639" t="s">
        <v>567</v>
      </c>
      <c r="K19" s="639">
        <v>0.82</v>
      </c>
      <c r="L19" s="639">
        <v>1.1499999999999999</v>
      </c>
      <c r="M19" s="639">
        <v>1.19</v>
      </c>
      <c r="N19" s="639">
        <v>1.04</v>
      </c>
      <c r="O19" s="639">
        <v>1.43</v>
      </c>
      <c r="P19" s="616">
        <v>28</v>
      </c>
    </row>
    <row r="20" spans="1:16">
      <c r="A20" s="639" t="s">
        <v>351</v>
      </c>
      <c r="B20" s="639" t="s">
        <v>306</v>
      </c>
      <c r="C20" s="639" t="s">
        <v>305</v>
      </c>
      <c r="D20" s="639" t="s">
        <v>561</v>
      </c>
      <c r="E20" s="639" t="s">
        <v>562</v>
      </c>
      <c r="F20" s="639">
        <v>25627</v>
      </c>
      <c r="G20" s="639">
        <v>101000</v>
      </c>
      <c r="H20" s="639" t="s">
        <v>352</v>
      </c>
      <c r="I20" s="639" t="s">
        <v>568</v>
      </c>
      <c r="J20" s="639" t="s">
        <v>569</v>
      </c>
      <c r="K20" s="639">
        <v>1.55</v>
      </c>
      <c r="L20" s="639">
        <v>1.22</v>
      </c>
      <c r="M20" s="639">
        <v>1.19</v>
      </c>
      <c r="N20" s="639">
        <v>1.17</v>
      </c>
      <c r="O20" s="639">
        <v>1.6</v>
      </c>
      <c r="P20" s="616">
        <v>28</v>
      </c>
    </row>
    <row r="21" spans="1:16">
      <c r="A21" s="639" t="s">
        <v>351</v>
      </c>
      <c r="B21" s="639" t="s">
        <v>306</v>
      </c>
      <c r="C21" s="639" t="s">
        <v>305</v>
      </c>
      <c r="D21" s="639" t="s">
        <v>561</v>
      </c>
      <c r="E21" s="639" t="s">
        <v>562</v>
      </c>
      <c r="F21" s="639">
        <v>28648</v>
      </c>
      <c r="G21" s="639">
        <v>101000</v>
      </c>
      <c r="H21" s="639" t="s">
        <v>352</v>
      </c>
      <c r="I21" s="639" t="s">
        <v>570</v>
      </c>
      <c r="J21" s="639" t="s">
        <v>569</v>
      </c>
      <c r="K21" s="639">
        <v>1.57</v>
      </c>
      <c r="L21" s="639">
        <v>1.0900000000000001</v>
      </c>
      <c r="M21" s="639">
        <v>1.25</v>
      </c>
      <c r="N21" s="639">
        <v>1.1200000000000001</v>
      </c>
      <c r="O21" s="639">
        <v>1.4</v>
      </c>
      <c r="P21" s="616">
        <v>28</v>
      </c>
    </row>
    <row r="22" spans="1:16">
      <c r="A22" s="639" t="s">
        <v>351</v>
      </c>
      <c r="B22" s="639" t="s">
        <v>306</v>
      </c>
      <c r="C22" s="639" t="s">
        <v>305</v>
      </c>
      <c r="D22" s="639" t="s">
        <v>561</v>
      </c>
      <c r="E22" s="639" t="s">
        <v>562</v>
      </c>
      <c r="F22" s="639">
        <v>25651</v>
      </c>
      <c r="G22" s="639">
        <v>101500</v>
      </c>
      <c r="H22" s="639" t="s">
        <v>353</v>
      </c>
      <c r="I22" s="639" t="s">
        <v>565</v>
      </c>
      <c r="J22" s="639" t="s">
        <v>569</v>
      </c>
      <c r="K22" s="639">
        <v>2.67</v>
      </c>
      <c r="L22" s="639">
        <v>1.47</v>
      </c>
      <c r="M22" s="639">
        <v>1.01</v>
      </c>
      <c r="N22" s="639">
        <v>1.1599999999999999</v>
      </c>
      <c r="O22" s="639">
        <v>1.48</v>
      </c>
      <c r="P22" s="616">
        <v>15</v>
      </c>
    </row>
    <row r="23" spans="1:16">
      <c r="A23" s="639" t="s">
        <v>351</v>
      </c>
      <c r="B23" s="639" t="s">
        <v>306</v>
      </c>
      <c r="C23" s="639" t="s">
        <v>305</v>
      </c>
      <c r="D23" s="639" t="s">
        <v>561</v>
      </c>
      <c r="E23" s="639" t="s">
        <v>562</v>
      </c>
      <c r="F23" s="639">
        <v>25645</v>
      </c>
      <c r="G23" s="639">
        <v>101500</v>
      </c>
      <c r="H23" s="639" t="s">
        <v>353</v>
      </c>
      <c r="I23" s="639" t="s">
        <v>568</v>
      </c>
      <c r="J23" s="639" t="s">
        <v>571</v>
      </c>
      <c r="K23" s="639">
        <v>2.16</v>
      </c>
      <c r="L23" s="639">
        <v>1.18</v>
      </c>
      <c r="M23" s="639">
        <v>1.02</v>
      </c>
      <c r="N23" s="639">
        <v>1</v>
      </c>
      <c r="O23" s="639">
        <v>1.42</v>
      </c>
      <c r="P23" s="616">
        <v>15</v>
      </c>
    </row>
    <row r="24" spans="1:16">
      <c r="A24" s="639" t="s">
        <v>351</v>
      </c>
      <c r="B24" s="639" t="s">
        <v>306</v>
      </c>
      <c r="C24" s="639" t="s">
        <v>305</v>
      </c>
      <c r="D24" s="639" t="s">
        <v>561</v>
      </c>
      <c r="E24" s="639" t="s">
        <v>562</v>
      </c>
      <c r="F24" s="639">
        <v>25648</v>
      </c>
      <c r="G24" s="639">
        <v>101500</v>
      </c>
      <c r="H24" s="639" t="s">
        <v>353</v>
      </c>
      <c r="I24" s="639" t="s">
        <v>565</v>
      </c>
      <c r="J24" s="639" t="s">
        <v>567</v>
      </c>
      <c r="K24" s="639">
        <v>0.8</v>
      </c>
      <c r="L24" s="639">
        <v>1.1000000000000001</v>
      </c>
      <c r="M24" s="639">
        <v>1.02</v>
      </c>
      <c r="N24" s="639">
        <v>1.03</v>
      </c>
      <c r="O24" s="639">
        <v>1.26</v>
      </c>
      <c r="P24" s="616">
        <v>15</v>
      </c>
    </row>
    <row r="25" spans="1:16">
      <c r="A25" s="639" t="s">
        <v>351</v>
      </c>
      <c r="B25" s="639" t="s">
        <v>306</v>
      </c>
      <c r="C25" s="639" t="s">
        <v>305</v>
      </c>
      <c r="D25" s="639" t="s">
        <v>561</v>
      </c>
      <c r="E25" s="639" t="s">
        <v>562</v>
      </c>
      <c r="F25" s="639">
        <v>25646</v>
      </c>
      <c r="G25" s="639">
        <v>101500</v>
      </c>
      <c r="H25" s="639" t="s">
        <v>353</v>
      </c>
      <c r="I25" s="639" t="s">
        <v>568</v>
      </c>
      <c r="J25" s="639" t="s">
        <v>564</v>
      </c>
      <c r="K25" s="639">
        <v>0.77</v>
      </c>
      <c r="L25" s="639">
        <v>1.1100000000000001</v>
      </c>
      <c r="M25" s="639">
        <v>1.03</v>
      </c>
      <c r="N25" s="639">
        <v>1.06</v>
      </c>
      <c r="O25" s="639">
        <v>1.38</v>
      </c>
      <c r="P25" s="616">
        <v>15</v>
      </c>
    </row>
    <row r="26" spans="1:16">
      <c r="A26" s="639" t="s">
        <v>351</v>
      </c>
      <c r="B26" s="639" t="s">
        <v>306</v>
      </c>
      <c r="C26" s="639" t="s">
        <v>305</v>
      </c>
      <c r="D26" s="639" t="s">
        <v>561</v>
      </c>
      <c r="E26" s="639" t="s">
        <v>562</v>
      </c>
      <c r="F26" s="639">
        <v>27056</v>
      </c>
      <c r="G26" s="639">
        <v>101500</v>
      </c>
      <c r="H26" s="639" t="s">
        <v>353</v>
      </c>
      <c r="I26" s="639" t="s">
        <v>566</v>
      </c>
      <c r="J26" s="639" t="s">
        <v>571</v>
      </c>
      <c r="K26" s="639">
        <v>0.75</v>
      </c>
      <c r="L26" s="639">
        <v>1.0900000000000001</v>
      </c>
      <c r="M26" s="639">
        <v>1.03</v>
      </c>
      <c r="N26" s="639">
        <v>1.0900000000000001</v>
      </c>
      <c r="O26" s="639">
        <v>1.48</v>
      </c>
      <c r="P26" s="616">
        <v>15</v>
      </c>
    </row>
    <row r="27" spans="1:16">
      <c r="A27" s="639" t="s">
        <v>351</v>
      </c>
      <c r="B27" s="639" t="s">
        <v>306</v>
      </c>
      <c r="C27" s="639" t="s">
        <v>305</v>
      </c>
      <c r="D27" s="639" t="s">
        <v>561</v>
      </c>
      <c r="E27" s="639" t="s">
        <v>562</v>
      </c>
      <c r="F27" s="639">
        <v>25650</v>
      </c>
      <c r="G27" s="639">
        <v>101500</v>
      </c>
      <c r="H27" s="639" t="s">
        <v>353</v>
      </c>
      <c r="I27" s="639" t="s">
        <v>565</v>
      </c>
      <c r="J27" s="639" t="s">
        <v>564</v>
      </c>
      <c r="K27" s="639">
        <v>1.28</v>
      </c>
      <c r="L27" s="639">
        <v>1.1100000000000001</v>
      </c>
      <c r="M27" s="639">
        <v>1.04</v>
      </c>
      <c r="N27" s="639">
        <v>1.0900000000000001</v>
      </c>
      <c r="O27" s="639">
        <v>1.44</v>
      </c>
      <c r="P27" s="616">
        <v>15</v>
      </c>
    </row>
    <row r="28" spans="1:16">
      <c r="A28" s="639" t="s">
        <v>351</v>
      </c>
      <c r="B28" s="639" t="s">
        <v>306</v>
      </c>
      <c r="C28" s="639" t="s">
        <v>305</v>
      </c>
      <c r="D28" s="639" t="s">
        <v>561</v>
      </c>
      <c r="E28" s="639" t="s">
        <v>562</v>
      </c>
      <c r="F28" s="639">
        <v>28655</v>
      </c>
      <c r="G28" s="639">
        <v>101500</v>
      </c>
      <c r="H28" s="639" t="s">
        <v>353</v>
      </c>
      <c r="I28" s="639" t="s">
        <v>570</v>
      </c>
      <c r="J28" s="639" t="s">
        <v>564</v>
      </c>
      <c r="K28" s="639">
        <v>1.45</v>
      </c>
      <c r="L28" s="639">
        <v>1.1100000000000001</v>
      </c>
      <c r="M28" s="639">
        <v>1.06</v>
      </c>
      <c r="N28" s="639">
        <v>1</v>
      </c>
      <c r="O28" s="639">
        <v>1.49</v>
      </c>
      <c r="P28" s="616">
        <v>15</v>
      </c>
    </row>
    <row r="29" spans="1:16">
      <c r="A29" s="639" t="s">
        <v>351</v>
      </c>
      <c r="B29" s="639" t="s">
        <v>306</v>
      </c>
      <c r="C29" s="639" t="s">
        <v>305</v>
      </c>
      <c r="D29" s="639" t="s">
        <v>561</v>
      </c>
      <c r="E29" s="639" t="s">
        <v>562</v>
      </c>
      <c r="F29" s="639">
        <v>25643</v>
      </c>
      <c r="G29" s="639">
        <v>101500</v>
      </c>
      <c r="H29" s="639" t="s">
        <v>353</v>
      </c>
      <c r="I29" s="639" t="s">
        <v>563</v>
      </c>
      <c r="J29" s="639" t="s">
        <v>569</v>
      </c>
      <c r="K29" s="639">
        <v>0.95</v>
      </c>
      <c r="L29" s="639">
        <v>1.02</v>
      </c>
      <c r="M29" s="639">
        <v>1.07</v>
      </c>
      <c r="N29" s="639">
        <v>1.1100000000000001</v>
      </c>
      <c r="O29" s="639">
        <v>1.44</v>
      </c>
      <c r="P29" s="616">
        <v>15</v>
      </c>
    </row>
    <row r="30" spans="1:16">
      <c r="A30" s="639" t="s">
        <v>351</v>
      </c>
      <c r="B30" s="639" t="s">
        <v>306</v>
      </c>
      <c r="C30" s="639" t="s">
        <v>305</v>
      </c>
      <c r="D30" s="639" t="s">
        <v>561</v>
      </c>
      <c r="E30" s="639" t="s">
        <v>562</v>
      </c>
      <c r="F30" s="639">
        <v>28654</v>
      </c>
      <c r="G30" s="639">
        <v>101500</v>
      </c>
      <c r="H30" s="639" t="s">
        <v>353</v>
      </c>
      <c r="I30" s="639" t="s">
        <v>570</v>
      </c>
      <c r="J30" s="639" t="s">
        <v>571</v>
      </c>
      <c r="K30" s="639">
        <v>1.1200000000000001</v>
      </c>
      <c r="L30" s="639">
        <v>1.1200000000000001</v>
      </c>
      <c r="M30" s="639">
        <v>1.08</v>
      </c>
      <c r="N30" s="639">
        <v>1.1399999999999999</v>
      </c>
      <c r="O30" s="639">
        <v>1.37</v>
      </c>
      <c r="P30" s="616">
        <v>15</v>
      </c>
    </row>
    <row r="31" spans="1:16">
      <c r="A31" s="639" t="s">
        <v>351</v>
      </c>
      <c r="B31" s="639" t="s">
        <v>306</v>
      </c>
      <c r="C31" s="639" t="s">
        <v>305</v>
      </c>
      <c r="D31" s="639" t="s">
        <v>561</v>
      </c>
      <c r="E31" s="639" t="s">
        <v>562</v>
      </c>
      <c r="F31" s="639">
        <v>27057</v>
      </c>
      <c r="G31" s="639">
        <v>101500</v>
      </c>
      <c r="H31" s="639" t="s">
        <v>353</v>
      </c>
      <c r="I31" s="639" t="s">
        <v>566</v>
      </c>
      <c r="J31" s="639" t="s">
        <v>564</v>
      </c>
      <c r="K31" s="639">
        <v>0.74</v>
      </c>
      <c r="L31" s="639">
        <v>1.07</v>
      </c>
      <c r="M31" s="639">
        <v>1.1000000000000001</v>
      </c>
      <c r="N31" s="639">
        <v>1.05</v>
      </c>
      <c r="O31" s="639">
        <v>1.55</v>
      </c>
      <c r="P31" s="616">
        <v>15</v>
      </c>
    </row>
    <row r="32" spans="1:16">
      <c r="A32" s="639" t="s">
        <v>351</v>
      </c>
      <c r="B32" s="639" t="s">
        <v>306</v>
      </c>
      <c r="C32" s="639" t="s">
        <v>305</v>
      </c>
      <c r="D32" s="639" t="s">
        <v>561</v>
      </c>
      <c r="E32" s="639" t="s">
        <v>562</v>
      </c>
      <c r="F32" s="639">
        <v>25640</v>
      </c>
      <c r="G32" s="639">
        <v>101500</v>
      </c>
      <c r="H32" s="639" t="s">
        <v>353</v>
      </c>
      <c r="I32" s="639" t="s">
        <v>563</v>
      </c>
      <c r="J32" s="639" t="s">
        <v>567</v>
      </c>
      <c r="K32" s="639">
        <v>0.82</v>
      </c>
      <c r="L32" s="639">
        <v>1.1100000000000001</v>
      </c>
      <c r="M32" s="639">
        <v>1.1200000000000001</v>
      </c>
      <c r="N32" s="639">
        <v>1.0900000000000001</v>
      </c>
      <c r="O32" s="639">
        <v>1.38</v>
      </c>
      <c r="P32" s="616">
        <v>15</v>
      </c>
    </row>
    <row r="33" spans="1:16">
      <c r="A33" s="639" t="s">
        <v>351</v>
      </c>
      <c r="B33" s="639" t="s">
        <v>306</v>
      </c>
      <c r="C33" s="639" t="s">
        <v>305</v>
      </c>
      <c r="D33" s="639" t="s">
        <v>561</v>
      </c>
      <c r="E33" s="639" t="s">
        <v>562</v>
      </c>
      <c r="F33" s="639">
        <v>28653</v>
      </c>
      <c r="G33" s="639">
        <v>101500</v>
      </c>
      <c r="H33" s="639" t="s">
        <v>353</v>
      </c>
      <c r="I33" s="639" t="s">
        <v>570</v>
      </c>
      <c r="J33" s="639" t="s">
        <v>567</v>
      </c>
      <c r="K33" s="639">
        <v>1.2</v>
      </c>
      <c r="L33" s="639">
        <v>1.02</v>
      </c>
      <c r="M33" s="639">
        <v>1.1399999999999999</v>
      </c>
      <c r="N33" s="639">
        <v>1.21</v>
      </c>
      <c r="O33" s="639">
        <v>1.2</v>
      </c>
      <c r="P33" s="616">
        <v>15</v>
      </c>
    </row>
    <row r="34" spans="1:16">
      <c r="A34" s="639" t="s">
        <v>351</v>
      </c>
      <c r="B34" s="639" t="s">
        <v>306</v>
      </c>
      <c r="C34" s="639" t="s">
        <v>305</v>
      </c>
      <c r="D34" s="639" t="s">
        <v>561</v>
      </c>
      <c r="E34" s="639" t="s">
        <v>562</v>
      </c>
      <c r="F34" s="639">
        <v>25644</v>
      </c>
      <c r="G34" s="639">
        <v>101500</v>
      </c>
      <c r="H34" s="639" t="s">
        <v>353</v>
      </c>
      <c r="I34" s="639" t="s">
        <v>568</v>
      </c>
      <c r="J34" s="639" t="s">
        <v>567</v>
      </c>
      <c r="K34" s="639">
        <v>0.83</v>
      </c>
      <c r="L34" s="639">
        <v>1.08</v>
      </c>
      <c r="M34" s="639">
        <v>1.1399999999999999</v>
      </c>
      <c r="N34" s="639">
        <v>1.1499999999999999</v>
      </c>
      <c r="O34" s="639">
        <v>1.45</v>
      </c>
      <c r="P34" s="616">
        <v>15</v>
      </c>
    </row>
    <row r="35" spans="1:16">
      <c r="A35" s="639" t="s">
        <v>351</v>
      </c>
      <c r="B35" s="639" t="s">
        <v>306</v>
      </c>
      <c r="C35" s="639" t="s">
        <v>305</v>
      </c>
      <c r="D35" s="639" t="s">
        <v>561</v>
      </c>
      <c r="E35" s="639" t="s">
        <v>562</v>
      </c>
      <c r="F35" s="639">
        <v>25642</v>
      </c>
      <c r="G35" s="639">
        <v>101500</v>
      </c>
      <c r="H35" s="639" t="s">
        <v>353</v>
      </c>
      <c r="I35" s="639" t="s">
        <v>563</v>
      </c>
      <c r="J35" s="639" t="s">
        <v>564</v>
      </c>
      <c r="K35" s="639">
        <v>1.03</v>
      </c>
      <c r="L35" s="639">
        <v>1.02</v>
      </c>
      <c r="M35" s="639">
        <v>1.1499999999999999</v>
      </c>
      <c r="N35" s="639">
        <v>1.1399999999999999</v>
      </c>
      <c r="O35" s="639">
        <v>1.44</v>
      </c>
      <c r="P35" s="616">
        <v>15</v>
      </c>
    </row>
    <row r="36" spans="1:16">
      <c r="A36" s="639" t="s">
        <v>351</v>
      </c>
      <c r="B36" s="639" t="s">
        <v>306</v>
      </c>
      <c r="C36" s="639" t="s">
        <v>305</v>
      </c>
      <c r="D36" s="639" t="s">
        <v>561</v>
      </c>
      <c r="E36" s="639" t="s">
        <v>562</v>
      </c>
      <c r="F36" s="639">
        <v>25649</v>
      </c>
      <c r="G36" s="639">
        <v>101500</v>
      </c>
      <c r="H36" s="639" t="s">
        <v>353</v>
      </c>
      <c r="I36" s="639" t="s">
        <v>565</v>
      </c>
      <c r="J36" s="639" t="s">
        <v>571</v>
      </c>
      <c r="K36" s="639">
        <v>1.19</v>
      </c>
      <c r="L36" s="639">
        <v>1.01</v>
      </c>
      <c r="M36" s="639">
        <v>1.17</v>
      </c>
      <c r="N36" s="639">
        <v>1.1399999999999999</v>
      </c>
      <c r="O36" s="639">
        <v>1.42</v>
      </c>
      <c r="P36" s="616">
        <v>15</v>
      </c>
    </row>
    <row r="37" spans="1:16">
      <c r="A37" s="639" t="s">
        <v>351</v>
      </c>
      <c r="B37" s="639" t="s">
        <v>306</v>
      </c>
      <c r="C37" s="639" t="s">
        <v>305</v>
      </c>
      <c r="D37" s="639" t="s">
        <v>561</v>
      </c>
      <c r="E37" s="639" t="s">
        <v>562</v>
      </c>
      <c r="F37" s="639">
        <v>25641</v>
      </c>
      <c r="G37" s="639">
        <v>101500</v>
      </c>
      <c r="H37" s="639" t="s">
        <v>353</v>
      </c>
      <c r="I37" s="639" t="s">
        <v>563</v>
      </c>
      <c r="J37" s="639" t="s">
        <v>571</v>
      </c>
      <c r="K37" s="639">
        <v>0.76</v>
      </c>
      <c r="L37" s="639">
        <v>1</v>
      </c>
      <c r="M37" s="639">
        <v>1.18</v>
      </c>
      <c r="N37" s="639">
        <v>1.1399999999999999</v>
      </c>
      <c r="O37" s="639">
        <v>1.34</v>
      </c>
      <c r="P37" s="616">
        <v>15</v>
      </c>
    </row>
    <row r="38" spans="1:16">
      <c r="A38" s="639" t="s">
        <v>351</v>
      </c>
      <c r="B38" s="639" t="s">
        <v>306</v>
      </c>
      <c r="C38" s="639" t="s">
        <v>305</v>
      </c>
      <c r="D38" s="639" t="s">
        <v>561</v>
      </c>
      <c r="E38" s="639" t="s">
        <v>562</v>
      </c>
      <c r="F38" s="639">
        <v>25647</v>
      </c>
      <c r="G38" s="639">
        <v>101500</v>
      </c>
      <c r="H38" s="639" t="s">
        <v>353</v>
      </c>
      <c r="I38" s="639" t="s">
        <v>568</v>
      </c>
      <c r="J38" s="639" t="s">
        <v>569</v>
      </c>
      <c r="K38" s="639">
        <v>1.65</v>
      </c>
      <c r="L38" s="639">
        <v>1.1499999999999999</v>
      </c>
      <c r="M38" s="639">
        <v>1.18</v>
      </c>
      <c r="N38" s="639">
        <v>1.0900000000000001</v>
      </c>
      <c r="O38" s="639">
        <v>1.3</v>
      </c>
      <c r="P38" s="616">
        <v>15</v>
      </c>
    </row>
    <row r="39" spans="1:16">
      <c r="A39" s="639" t="s">
        <v>351</v>
      </c>
      <c r="B39" s="639" t="s">
        <v>306</v>
      </c>
      <c r="C39" s="639" t="s">
        <v>305</v>
      </c>
      <c r="D39" s="639" t="s">
        <v>561</v>
      </c>
      <c r="E39" s="639" t="s">
        <v>562</v>
      </c>
      <c r="F39" s="639">
        <v>28656</v>
      </c>
      <c r="G39" s="639">
        <v>101500</v>
      </c>
      <c r="H39" s="639" t="s">
        <v>353</v>
      </c>
      <c r="I39" s="639" t="s">
        <v>570</v>
      </c>
      <c r="J39" s="639" t="s">
        <v>569</v>
      </c>
      <c r="K39" s="639">
        <v>1.27</v>
      </c>
      <c r="L39" s="639">
        <v>1.07</v>
      </c>
      <c r="M39" s="639">
        <v>1.19</v>
      </c>
      <c r="N39" s="639">
        <v>1.1499999999999999</v>
      </c>
      <c r="O39" s="639">
        <v>1.44</v>
      </c>
      <c r="P39" s="616">
        <v>15</v>
      </c>
    </row>
    <row r="40" spans="1:16">
      <c r="A40" s="639" t="s">
        <v>351</v>
      </c>
      <c r="B40" s="639" t="s">
        <v>306</v>
      </c>
      <c r="C40" s="639" t="s">
        <v>305</v>
      </c>
      <c r="D40" s="639" t="s">
        <v>561</v>
      </c>
      <c r="E40" s="639" t="s">
        <v>562</v>
      </c>
      <c r="F40" s="639">
        <v>27055</v>
      </c>
      <c r="G40" s="639">
        <v>101500</v>
      </c>
      <c r="H40" s="639" t="s">
        <v>353</v>
      </c>
      <c r="I40" s="639" t="s">
        <v>566</v>
      </c>
      <c r="J40" s="639" t="s">
        <v>567</v>
      </c>
      <c r="K40" s="639">
        <v>0.78</v>
      </c>
      <c r="L40" s="639">
        <v>1.1499999999999999</v>
      </c>
      <c r="M40" s="639">
        <v>1.22</v>
      </c>
      <c r="N40" s="639">
        <v>1.23</v>
      </c>
      <c r="O40" s="639">
        <v>1.3</v>
      </c>
      <c r="P40" s="616">
        <v>15</v>
      </c>
    </row>
    <row r="41" spans="1:16">
      <c r="A41" s="639" t="s">
        <v>351</v>
      </c>
      <c r="B41" s="639" t="s">
        <v>306</v>
      </c>
      <c r="C41" s="639" t="s">
        <v>305</v>
      </c>
      <c r="D41" s="639" t="s">
        <v>561</v>
      </c>
      <c r="E41" s="639" t="s">
        <v>562</v>
      </c>
      <c r="F41" s="639">
        <v>27058</v>
      </c>
      <c r="G41" s="639">
        <v>101500</v>
      </c>
      <c r="H41" s="639" t="s">
        <v>353</v>
      </c>
      <c r="I41" s="639" t="s">
        <v>566</v>
      </c>
      <c r="J41" s="639" t="s">
        <v>569</v>
      </c>
      <c r="K41" s="639">
        <v>6.71</v>
      </c>
      <c r="L41" s="639">
        <v>5.51</v>
      </c>
      <c r="M41" s="639">
        <v>4.3099999999999996</v>
      </c>
      <c r="N41" s="639">
        <v>3.33</v>
      </c>
      <c r="O41" s="639">
        <v>2.9</v>
      </c>
      <c r="P41" s="616">
        <v>15</v>
      </c>
    </row>
    <row r="42" spans="1:16">
      <c r="A42" s="639" t="s">
        <v>351</v>
      </c>
      <c r="B42" s="639" t="s">
        <v>306</v>
      </c>
      <c r="C42" s="639" t="s">
        <v>305</v>
      </c>
      <c r="D42" s="639" t="s">
        <v>561</v>
      </c>
      <c r="E42" s="639" t="s">
        <v>562</v>
      </c>
      <c r="F42" s="639">
        <v>25661</v>
      </c>
      <c r="G42" s="639">
        <v>101700</v>
      </c>
      <c r="H42" s="639" t="s">
        <v>354</v>
      </c>
      <c r="I42" s="639" t="s">
        <v>563</v>
      </c>
      <c r="J42" s="639" t="s">
        <v>571</v>
      </c>
      <c r="K42" s="639">
        <v>0.77</v>
      </c>
      <c r="L42" s="639">
        <v>1.02</v>
      </c>
      <c r="M42" s="639">
        <v>1.01</v>
      </c>
      <c r="N42" s="639">
        <v>1.0900000000000001</v>
      </c>
      <c r="O42" s="639">
        <v>1.4</v>
      </c>
      <c r="P42" s="616">
        <v>17</v>
      </c>
    </row>
    <row r="43" spans="1:16">
      <c r="A43" s="639" t="s">
        <v>351</v>
      </c>
      <c r="B43" s="639" t="s">
        <v>306</v>
      </c>
      <c r="C43" s="639" t="s">
        <v>305</v>
      </c>
      <c r="D43" s="639" t="s">
        <v>561</v>
      </c>
      <c r="E43" s="639" t="s">
        <v>562</v>
      </c>
      <c r="F43" s="639">
        <v>27051</v>
      </c>
      <c r="G43" s="639">
        <v>101700</v>
      </c>
      <c r="H43" s="639" t="s">
        <v>354</v>
      </c>
      <c r="I43" s="639" t="s">
        <v>566</v>
      </c>
      <c r="J43" s="639" t="s">
        <v>567</v>
      </c>
      <c r="K43" s="639">
        <v>0.8</v>
      </c>
      <c r="L43" s="639">
        <v>1.1000000000000001</v>
      </c>
      <c r="M43" s="639">
        <v>1.02</v>
      </c>
      <c r="N43" s="639">
        <v>1.02</v>
      </c>
      <c r="O43" s="639">
        <v>1.25</v>
      </c>
      <c r="P43" s="616">
        <v>17</v>
      </c>
    </row>
    <row r="44" spans="1:16">
      <c r="A44" s="639" t="s">
        <v>351</v>
      </c>
      <c r="B44" s="639" t="s">
        <v>306</v>
      </c>
      <c r="C44" s="639" t="s">
        <v>305</v>
      </c>
      <c r="D44" s="639" t="s">
        <v>561</v>
      </c>
      <c r="E44" s="639" t="s">
        <v>562</v>
      </c>
      <c r="F44" s="639">
        <v>25670</v>
      </c>
      <c r="G44" s="639">
        <v>101700</v>
      </c>
      <c r="H44" s="639" t="s">
        <v>354</v>
      </c>
      <c r="I44" s="639" t="s">
        <v>568</v>
      </c>
      <c r="J44" s="639" t="s">
        <v>564</v>
      </c>
      <c r="K44" s="639">
        <v>2.25</v>
      </c>
      <c r="L44" s="639">
        <v>1.06</v>
      </c>
      <c r="M44" s="639">
        <v>1.03</v>
      </c>
      <c r="N44" s="639">
        <v>1.1399999999999999</v>
      </c>
      <c r="O44" s="639">
        <v>1.4</v>
      </c>
      <c r="P44" s="616">
        <v>17</v>
      </c>
    </row>
    <row r="45" spans="1:16">
      <c r="A45" s="639" t="s">
        <v>351</v>
      </c>
      <c r="B45" s="639" t="s">
        <v>306</v>
      </c>
      <c r="C45" s="639" t="s">
        <v>305</v>
      </c>
      <c r="D45" s="639" t="s">
        <v>561</v>
      </c>
      <c r="E45" s="639" t="s">
        <v>562</v>
      </c>
      <c r="F45" s="639">
        <v>25669</v>
      </c>
      <c r="G45" s="639">
        <v>101700</v>
      </c>
      <c r="H45" s="639" t="s">
        <v>354</v>
      </c>
      <c r="I45" s="639" t="s">
        <v>568</v>
      </c>
      <c r="J45" s="639" t="s">
        <v>571</v>
      </c>
      <c r="K45" s="639">
        <v>1.42</v>
      </c>
      <c r="L45" s="639">
        <v>1.18</v>
      </c>
      <c r="M45" s="639">
        <v>1.03</v>
      </c>
      <c r="N45" s="639">
        <v>1.01</v>
      </c>
      <c r="O45" s="639">
        <v>1.43</v>
      </c>
      <c r="P45" s="616">
        <v>17</v>
      </c>
    </row>
    <row r="46" spans="1:16">
      <c r="A46" s="639" t="s">
        <v>351</v>
      </c>
      <c r="B46" s="639" t="s">
        <v>306</v>
      </c>
      <c r="C46" s="639" t="s">
        <v>305</v>
      </c>
      <c r="D46" s="639" t="s">
        <v>561</v>
      </c>
      <c r="E46" s="639" t="s">
        <v>562</v>
      </c>
      <c r="F46" s="639">
        <v>25667</v>
      </c>
      <c r="G46" s="639">
        <v>101700</v>
      </c>
      <c r="H46" s="639" t="s">
        <v>354</v>
      </c>
      <c r="I46" s="639" t="s">
        <v>565</v>
      </c>
      <c r="J46" s="639" t="s">
        <v>569</v>
      </c>
      <c r="K46" s="639">
        <v>1.57</v>
      </c>
      <c r="L46" s="639">
        <v>1.03</v>
      </c>
      <c r="M46" s="639">
        <v>1.03</v>
      </c>
      <c r="N46" s="639">
        <v>1</v>
      </c>
      <c r="O46" s="639">
        <v>1.5</v>
      </c>
      <c r="P46" s="616">
        <v>17</v>
      </c>
    </row>
    <row r="47" spans="1:16">
      <c r="A47" s="639" t="s">
        <v>351</v>
      </c>
      <c r="B47" s="639" t="s">
        <v>306</v>
      </c>
      <c r="C47" s="639" t="s">
        <v>305</v>
      </c>
      <c r="D47" s="639" t="s">
        <v>561</v>
      </c>
      <c r="E47" s="639" t="s">
        <v>562</v>
      </c>
      <c r="F47" s="639">
        <v>28651</v>
      </c>
      <c r="G47" s="639">
        <v>101700</v>
      </c>
      <c r="H47" s="639" t="s">
        <v>354</v>
      </c>
      <c r="I47" s="639" t="s">
        <v>570</v>
      </c>
      <c r="J47" s="639" t="s">
        <v>564</v>
      </c>
      <c r="K47" s="639">
        <v>0.8</v>
      </c>
      <c r="L47" s="639">
        <v>1.01</v>
      </c>
      <c r="M47" s="639">
        <v>1.04</v>
      </c>
      <c r="N47" s="639">
        <v>1.1399999999999999</v>
      </c>
      <c r="O47" s="639">
        <v>1.39</v>
      </c>
      <c r="P47" s="616">
        <v>17</v>
      </c>
    </row>
    <row r="48" spans="1:16">
      <c r="A48" s="639" t="s">
        <v>351</v>
      </c>
      <c r="B48" s="639" t="s">
        <v>306</v>
      </c>
      <c r="C48" s="639" t="s">
        <v>305</v>
      </c>
      <c r="D48" s="639" t="s">
        <v>561</v>
      </c>
      <c r="E48" s="639" t="s">
        <v>562</v>
      </c>
      <c r="F48" s="639">
        <v>25668</v>
      </c>
      <c r="G48" s="639">
        <v>101700</v>
      </c>
      <c r="H48" s="639" t="s">
        <v>354</v>
      </c>
      <c r="I48" s="639" t="s">
        <v>568</v>
      </c>
      <c r="J48" s="639" t="s">
        <v>567</v>
      </c>
      <c r="K48" s="639">
        <v>1.58</v>
      </c>
      <c r="L48" s="639">
        <v>1.01</v>
      </c>
      <c r="M48" s="639">
        <v>1.05</v>
      </c>
      <c r="N48" s="639">
        <v>1.1499999999999999</v>
      </c>
      <c r="O48" s="639">
        <v>1.32</v>
      </c>
      <c r="P48" s="616">
        <v>17</v>
      </c>
    </row>
    <row r="49" spans="1:16">
      <c r="A49" s="639" t="s">
        <v>351</v>
      </c>
      <c r="B49" s="639" t="s">
        <v>306</v>
      </c>
      <c r="C49" s="639" t="s">
        <v>305</v>
      </c>
      <c r="D49" s="639" t="s">
        <v>561</v>
      </c>
      <c r="E49" s="639" t="s">
        <v>562</v>
      </c>
      <c r="F49" s="639">
        <v>25660</v>
      </c>
      <c r="G49" s="639">
        <v>101700</v>
      </c>
      <c r="H49" s="639" t="s">
        <v>354</v>
      </c>
      <c r="I49" s="639" t="s">
        <v>563</v>
      </c>
      <c r="J49" s="639" t="s">
        <v>567</v>
      </c>
      <c r="K49" s="639">
        <v>0.89</v>
      </c>
      <c r="L49" s="639">
        <v>1.1599999999999999</v>
      </c>
      <c r="M49" s="639">
        <v>1.06</v>
      </c>
      <c r="N49" s="639">
        <v>1.05</v>
      </c>
      <c r="O49" s="639">
        <v>1.42</v>
      </c>
      <c r="P49" s="616">
        <v>17</v>
      </c>
    </row>
    <row r="50" spans="1:16">
      <c r="A50" s="639" t="s">
        <v>351</v>
      </c>
      <c r="B50" s="639" t="s">
        <v>306</v>
      </c>
      <c r="C50" s="639" t="s">
        <v>305</v>
      </c>
      <c r="D50" s="639" t="s">
        <v>561</v>
      </c>
      <c r="E50" s="639" t="s">
        <v>562</v>
      </c>
      <c r="F50" s="639">
        <v>25663</v>
      </c>
      <c r="G50" s="639">
        <v>101700</v>
      </c>
      <c r="H50" s="639" t="s">
        <v>354</v>
      </c>
      <c r="I50" s="639" t="s">
        <v>563</v>
      </c>
      <c r="J50" s="639" t="s">
        <v>569</v>
      </c>
      <c r="K50" s="639">
        <v>2.81</v>
      </c>
      <c r="L50" s="639">
        <v>1.62</v>
      </c>
      <c r="M50" s="639">
        <v>1.0900000000000001</v>
      </c>
      <c r="N50" s="639">
        <v>1.1399999999999999</v>
      </c>
      <c r="O50" s="639">
        <v>1.38</v>
      </c>
      <c r="P50" s="616">
        <v>17</v>
      </c>
    </row>
    <row r="51" spans="1:16">
      <c r="A51" s="639" t="s">
        <v>351</v>
      </c>
      <c r="B51" s="639" t="s">
        <v>306</v>
      </c>
      <c r="C51" s="639" t="s">
        <v>305</v>
      </c>
      <c r="D51" s="639" t="s">
        <v>561</v>
      </c>
      <c r="E51" s="639" t="s">
        <v>562</v>
      </c>
      <c r="F51" s="639">
        <v>28652</v>
      </c>
      <c r="G51" s="639">
        <v>101700</v>
      </c>
      <c r="H51" s="639" t="s">
        <v>354</v>
      </c>
      <c r="I51" s="639" t="s">
        <v>570</v>
      </c>
      <c r="J51" s="639" t="s">
        <v>569</v>
      </c>
      <c r="K51" s="639">
        <v>2.69</v>
      </c>
      <c r="L51" s="639">
        <v>1.5</v>
      </c>
      <c r="M51" s="639">
        <v>1.0900000000000001</v>
      </c>
      <c r="N51" s="639">
        <v>1.18</v>
      </c>
      <c r="O51" s="639">
        <v>1.29</v>
      </c>
      <c r="P51" s="616">
        <v>17</v>
      </c>
    </row>
    <row r="52" spans="1:16">
      <c r="A52" s="639" t="s">
        <v>351</v>
      </c>
      <c r="B52" s="639" t="s">
        <v>306</v>
      </c>
      <c r="C52" s="639" t="s">
        <v>305</v>
      </c>
      <c r="D52" s="639" t="s">
        <v>561</v>
      </c>
      <c r="E52" s="639" t="s">
        <v>562</v>
      </c>
      <c r="F52" s="639">
        <v>25664</v>
      </c>
      <c r="G52" s="639">
        <v>101700</v>
      </c>
      <c r="H52" s="639" t="s">
        <v>354</v>
      </c>
      <c r="I52" s="639" t="s">
        <v>565</v>
      </c>
      <c r="J52" s="639" t="s">
        <v>567</v>
      </c>
      <c r="K52" s="639">
        <v>1.2</v>
      </c>
      <c r="L52" s="639">
        <v>1.02</v>
      </c>
      <c r="M52" s="639">
        <v>1.0900000000000001</v>
      </c>
      <c r="N52" s="639">
        <v>1.1399999999999999</v>
      </c>
      <c r="O52" s="639">
        <v>1.42</v>
      </c>
      <c r="P52" s="616">
        <v>17</v>
      </c>
    </row>
    <row r="53" spans="1:16">
      <c r="A53" s="639" t="s">
        <v>351</v>
      </c>
      <c r="B53" s="639" t="s">
        <v>306</v>
      </c>
      <c r="C53" s="639" t="s">
        <v>305</v>
      </c>
      <c r="D53" s="639" t="s">
        <v>561</v>
      </c>
      <c r="E53" s="639" t="s">
        <v>562</v>
      </c>
      <c r="F53" s="639">
        <v>28649</v>
      </c>
      <c r="G53" s="639">
        <v>101700</v>
      </c>
      <c r="H53" s="639" t="s">
        <v>354</v>
      </c>
      <c r="I53" s="639" t="s">
        <v>570</v>
      </c>
      <c r="J53" s="639" t="s">
        <v>567</v>
      </c>
      <c r="K53" s="639">
        <v>0.83</v>
      </c>
      <c r="L53" s="639">
        <v>1.1100000000000001</v>
      </c>
      <c r="M53" s="639">
        <v>1.1000000000000001</v>
      </c>
      <c r="N53" s="639">
        <v>1.08</v>
      </c>
      <c r="O53" s="639">
        <v>1.36</v>
      </c>
      <c r="P53" s="616">
        <v>17</v>
      </c>
    </row>
    <row r="54" spans="1:16">
      <c r="A54" s="639" t="s">
        <v>351</v>
      </c>
      <c r="B54" s="639" t="s">
        <v>306</v>
      </c>
      <c r="C54" s="639" t="s">
        <v>305</v>
      </c>
      <c r="D54" s="639" t="s">
        <v>561</v>
      </c>
      <c r="E54" s="639" t="s">
        <v>562</v>
      </c>
      <c r="F54" s="639">
        <v>27053</v>
      </c>
      <c r="G54" s="639">
        <v>101700</v>
      </c>
      <c r="H54" s="639" t="s">
        <v>354</v>
      </c>
      <c r="I54" s="639" t="s">
        <v>566</v>
      </c>
      <c r="J54" s="639" t="s">
        <v>564</v>
      </c>
      <c r="K54" s="639">
        <v>2.21</v>
      </c>
      <c r="L54" s="639">
        <v>1.02</v>
      </c>
      <c r="M54" s="639">
        <v>1.1200000000000001</v>
      </c>
      <c r="N54" s="639">
        <v>1.1399999999999999</v>
      </c>
      <c r="O54" s="639">
        <v>1.33</v>
      </c>
      <c r="P54" s="616">
        <v>17</v>
      </c>
    </row>
    <row r="55" spans="1:16">
      <c r="A55" s="639" t="s">
        <v>351</v>
      </c>
      <c r="B55" s="639" t="s">
        <v>306</v>
      </c>
      <c r="C55" s="639" t="s">
        <v>305</v>
      </c>
      <c r="D55" s="639" t="s">
        <v>561</v>
      </c>
      <c r="E55" s="639" t="s">
        <v>562</v>
      </c>
      <c r="F55" s="639">
        <v>25671</v>
      </c>
      <c r="G55" s="639">
        <v>101700</v>
      </c>
      <c r="H55" s="639" t="s">
        <v>354</v>
      </c>
      <c r="I55" s="639" t="s">
        <v>568</v>
      </c>
      <c r="J55" s="639" t="s">
        <v>569</v>
      </c>
      <c r="K55" s="639">
        <v>0.87</v>
      </c>
      <c r="L55" s="639">
        <v>1.19</v>
      </c>
      <c r="M55" s="639">
        <v>1.1200000000000001</v>
      </c>
      <c r="N55" s="639">
        <v>1.1499999999999999</v>
      </c>
      <c r="O55" s="639">
        <v>1.25</v>
      </c>
      <c r="P55" s="616">
        <v>17</v>
      </c>
    </row>
    <row r="56" spans="1:16">
      <c r="A56" s="639" t="s">
        <v>351</v>
      </c>
      <c r="B56" s="639" t="s">
        <v>306</v>
      </c>
      <c r="C56" s="639" t="s">
        <v>305</v>
      </c>
      <c r="D56" s="639" t="s">
        <v>561</v>
      </c>
      <c r="E56" s="639" t="s">
        <v>562</v>
      </c>
      <c r="F56" s="639">
        <v>25665</v>
      </c>
      <c r="G56" s="639">
        <v>101700</v>
      </c>
      <c r="H56" s="639" t="s">
        <v>354</v>
      </c>
      <c r="I56" s="639" t="s">
        <v>565</v>
      </c>
      <c r="J56" s="639" t="s">
        <v>571</v>
      </c>
      <c r="K56" s="639">
        <v>1.38</v>
      </c>
      <c r="L56" s="639">
        <v>1.05</v>
      </c>
      <c r="M56" s="639">
        <v>1.1299999999999999</v>
      </c>
      <c r="N56" s="639">
        <v>1.03</v>
      </c>
      <c r="O56" s="639">
        <v>1.46</v>
      </c>
      <c r="P56" s="616">
        <v>17</v>
      </c>
    </row>
    <row r="57" spans="1:16">
      <c r="A57" s="639" t="s">
        <v>351</v>
      </c>
      <c r="B57" s="639" t="s">
        <v>306</v>
      </c>
      <c r="C57" s="639" t="s">
        <v>305</v>
      </c>
      <c r="D57" s="639" t="s">
        <v>561</v>
      </c>
      <c r="E57" s="639" t="s">
        <v>562</v>
      </c>
      <c r="F57" s="639">
        <v>28650</v>
      </c>
      <c r="G57" s="639">
        <v>101700</v>
      </c>
      <c r="H57" s="639" t="s">
        <v>354</v>
      </c>
      <c r="I57" s="639" t="s">
        <v>570</v>
      </c>
      <c r="J57" s="639" t="s">
        <v>571</v>
      </c>
      <c r="K57" s="639">
        <v>1.33</v>
      </c>
      <c r="L57" s="639">
        <v>1.18</v>
      </c>
      <c r="M57" s="639">
        <v>1.1299999999999999</v>
      </c>
      <c r="N57" s="639">
        <v>1.0900000000000001</v>
      </c>
      <c r="O57" s="639">
        <v>1.38</v>
      </c>
      <c r="P57" s="616">
        <v>17</v>
      </c>
    </row>
    <row r="58" spans="1:16">
      <c r="A58" s="639" t="s">
        <v>351</v>
      </c>
      <c r="B58" s="639" t="s">
        <v>306</v>
      </c>
      <c r="C58" s="639" t="s">
        <v>305</v>
      </c>
      <c r="D58" s="639" t="s">
        <v>561</v>
      </c>
      <c r="E58" s="639" t="s">
        <v>562</v>
      </c>
      <c r="F58" s="639">
        <v>27054</v>
      </c>
      <c r="G58" s="639">
        <v>101700</v>
      </c>
      <c r="H58" s="639" t="s">
        <v>354</v>
      </c>
      <c r="I58" s="639" t="s">
        <v>566</v>
      </c>
      <c r="J58" s="639" t="s">
        <v>569</v>
      </c>
      <c r="K58" s="639">
        <v>1.1399999999999999</v>
      </c>
      <c r="L58" s="639">
        <v>1.31</v>
      </c>
      <c r="M58" s="639">
        <v>1.1499999999999999</v>
      </c>
      <c r="N58" s="639">
        <v>1.17</v>
      </c>
      <c r="O58" s="639">
        <v>1.42</v>
      </c>
      <c r="P58" s="616">
        <v>17</v>
      </c>
    </row>
    <row r="59" spans="1:16">
      <c r="A59" s="639" t="s">
        <v>351</v>
      </c>
      <c r="B59" s="639" t="s">
        <v>306</v>
      </c>
      <c r="C59" s="639" t="s">
        <v>305</v>
      </c>
      <c r="D59" s="639" t="s">
        <v>561</v>
      </c>
      <c r="E59" s="639" t="s">
        <v>562</v>
      </c>
      <c r="F59" s="639">
        <v>25662</v>
      </c>
      <c r="G59" s="639">
        <v>101700</v>
      </c>
      <c r="H59" s="639" t="s">
        <v>354</v>
      </c>
      <c r="I59" s="639" t="s">
        <v>563</v>
      </c>
      <c r="J59" s="639" t="s">
        <v>564</v>
      </c>
      <c r="K59" s="639">
        <v>0.91</v>
      </c>
      <c r="L59" s="639">
        <v>1.06</v>
      </c>
      <c r="M59" s="639">
        <v>1.17</v>
      </c>
      <c r="N59" s="639">
        <v>1.1399999999999999</v>
      </c>
      <c r="O59" s="639">
        <v>1.38</v>
      </c>
      <c r="P59" s="616">
        <v>17</v>
      </c>
    </row>
    <row r="60" spans="1:16">
      <c r="A60" s="639" t="s">
        <v>351</v>
      </c>
      <c r="B60" s="639" t="s">
        <v>306</v>
      </c>
      <c r="C60" s="639" t="s">
        <v>305</v>
      </c>
      <c r="D60" s="639" t="s">
        <v>561</v>
      </c>
      <c r="E60" s="639" t="s">
        <v>562</v>
      </c>
      <c r="F60" s="639">
        <v>25666</v>
      </c>
      <c r="G60" s="639">
        <v>101700</v>
      </c>
      <c r="H60" s="639" t="s">
        <v>354</v>
      </c>
      <c r="I60" s="639" t="s">
        <v>565</v>
      </c>
      <c r="J60" s="639" t="s">
        <v>564</v>
      </c>
      <c r="K60" s="639">
        <v>1.1200000000000001</v>
      </c>
      <c r="L60" s="639">
        <v>1.06</v>
      </c>
      <c r="M60" s="639">
        <v>1.18</v>
      </c>
      <c r="N60" s="639">
        <v>1.1399999999999999</v>
      </c>
      <c r="O60" s="639">
        <v>1.46</v>
      </c>
      <c r="P60" s="616">
        <v>17</v>
      </c>
    </row>
    <row r="61" spans="1:16">
      <c r="A61" s="639" t="s">
        <v>351</v>
      </c>
      <c r="B61" s="639" t="s">
        <v>306</v>
      </c>
      <c r="C61" s="639" t="s">
        <v>305</v>
      </c>
      <c r="D61" s="639" t="s">
        <v>561</v>
      </c>
      <c r="E61" s="639" t="s">
        <v>562</v>
      </c>
      <c r="F61" s="639">
        <v>27052</v>
      </c>
      <c r="G61" s="639">
        <v>101700</v>
      </c>
      <c r="H61" s="639" t="s">
        <v>354</v>
      </c>
      <c r="I61" s="639" t="s">
        <v>566</v>
      </c>
      <c r="J61" s="639" t="s">
        <v>571</v>
      </c>
      <c r="K61" s="639">
        <v>0.87</v>
      </c>
      <c r="L61" s="639">
        <v>1.1299999999999999</v>
      </c>
      <c r="M61" s="639">
        <v>1.18</v>
      </c>
      <c r="N61" s="639">
        <v>1.05</v>
      </c>
      <c r="O61" s="639">
        <v>1.49</v>
      </c>
      <c r="P61" s="616">
        <v>17</v>
      </c>
    </row>
    <row r="62" spans="1:16">
      <c r="A62" s="639" t="s">
        <v>351</v>
      </c>
      <c r="B62" s="639" t="s">
        <v>306</v>
      </c>
      <c r="C62" s="639" t="s">
        <v>305</v>
      </c>
      <c r="D62" s="639" t="s">
        <v>561</v>
      </c>
      <c r="E62" s="639" t="s">
        <v>562</v>
      </c>
      <c r="F62" s="639">
        <v>31351</v>
      </c>
      <c r="G62" s="639">
        <v>103006</v>
      </c>
      <c r="H62" s="639" t="s">
        <v>356</v>
      </c>
      <c r="I62" s="639" t="s">
        <v>568</v>
      </c>
      <c r="J62" s="639" t="s">
        <v>572</v>
      </c>
      <c r="K62" s="639">
        <v>1.1499999999999999</v>
      </c>
      <c r="L62" s="639">
        <v>1.18</v>
      </c>
      <c r="M62" s="639">
        <v>1.01</v>
      </c>
      <c r="N62" s="639">
        <v>1.05</v>
      </c>
      <c r="O62" s="639">
        <v>1.38</v>
      </c>
      <c r="P62" s="616">
        <v>25</v>
      </c>
    </row>
    <row r="63" spans="1:16">
      <c r="A63" s="639" t="s">
        <v>351</v>
      </c>
      <c r="B63" s="639" t="s">
        <v>306</v>
      </c>
      <c r="C63" s="639" t="s">
        <v>305</v>
      </c>
      <c r="D63" s="639" t="s">
        <v>561</v>
      </c>
      <c r="E63" s="639" t="s">
        <v>562</v>
      </c>
      <c r="F63" s="639">
        <v>31353</v>
      </c>
      <c r="G63" s="639">
        <v>103006</v>
      </c>
      <c r="H63" s="639" t="s">
        <v>356</v>
      </c>
      <c r="I63" s="639" t="s">
        <v>563</v>
      </c>
      <c r="J63" s="639" t="s">
        <v>572</v>
      </c>
      <c r="K63" s="639">
        <v>1.1499999999999999</v>
      </c>
      <c r="L63" s="639">
        <v>1.0900000000000001</v>
      </c>
      <c r="M63" s="639">
        <v>1.02</v>
      </c>
      <c r="N63" s="639">
        <v>1.17</v>
      </c>
      <c r="O63" s="639">
        <v>1.49</v>
      </c>
      <c r="P63" s="616">
        <v>25</v>
      </c>
    </row>
    <row r="64" spans="1:16">
      <c r="A64" s="639" t="s">
        <v>351</v>
      </c>
      <c r="B64" s="639" t="s">
        <v>306</v>
      </c>
      <c r="C64" s="639" t="s">
        <v>305</v>
      </c>
      <c r="D64" s="639" t="s">
        <v>561</v>
      </c>
      <c r="E64" s="639" t="s">
        <v>562</v>
      </c>
      <c r="F64" s="639">
        <v>4028</v>
      </c>
      <c r="G64" s="639">
        <v>103006</v>
      </c>
      <c r="H64" s="639" t="s">
        <v>356</v>
      </c>
      <c r="I64" s="639" t="s">
        <v>568</v>
      </c>
      <c r="J64" s="639" t="s">
        <v>573</v>
      </c>
      <c r="K64" s="639">
        <v>3.22</v>
      </c>
      <c r="L64" s="639">
        <v>2.02</v>
      </c>
      <c r="M64" s="639">
        <v>1.04</v>
      </c>
      <c r="N64" s="639">
        <v>1.0900000000000001</v>
      </c>
      <c r="O64" s="639">
        <v>1.36</v>
      </c>
      <c r="P64" s="616">
        <v>25</v>
      </c>
    </row>
    <row r="65" spans="1:16">
      <c r="A65" s="639" t="s">
        <v>351</v>
      </c>
      <c r="B65" s="639" t="s">
        <v>306</v>
      </c>
      <c r="C65" s="639" t="s">
        <v>305</v>
      </c>
      <c r="D65" s="639" t="s">
        <v>561</v>
      </c>
      <c r="E65" s="639" t="s">
        <v>562</v>
      </c>
      <c r="F65" s="639">
        <v>4027</v>
      </c>
      <c r="G65" s="639">
        <v>103006</v>
      </c>
      <c r="H65" s="639" t="s">
        <v>356</v>
      </c>
      <c r="I65" s="639" t="s">
        <v>568</v>
      </c>
      <c r="J65" s="639" t="s">
        <v>574</v>
      </c>
      <c r="K65" s="639">
        <v>1.45</v>
      </c>
      <c r="L65" s="639">
        <v>1.1499999999999999</v>
      </c>
      <c r="M65" s="639">
        <v>1.05</v>
      </c>
      <c r="N65" s="639">
        <v>1.0900000000000001</v>
      </c>
      <c r="O65" s="639">
        <v>1.45</v>
      </c>
      <c r="P65" s="616">
        <v>25</v>
      </c>
    </row>
    <row r="66" spans="1:16">
      <c r="A66" s="639" t="s">
        <v>351</v>
      </c>
      <c r="B66" s="639" t="s">
        <v>306</v>
      </c>
      <c r="C66" s="639" t="s">
        <v>305</v>
      </c>
      <c r="D66" s="639" t="s">
        <v>561</v>
      </c>
      <c r="E66" s="639" t="s">
        <v>562</v>
      </c>
      <c r="F66" s="639">
        <v>4026</v>
      </c>
      <c r="G66" s="639">
        <v>103006</v>
      </c>
      <c r="H66" s="639" t="s">
        <v>356</v>
      </c>
      <c r="I66" s="639" t="s">
        <v>568</v>
      </c>
      <c r="J66" s="639" t="s">
        <v>575</v>
      </c>
      <c r="K66" s="639">
        <v>1.61</v>
      </c>
      <c r="L66" s="639">
        <v>1.1100000000000001</v>
      </c>
      <c r="M66" s="639">
        <v>1.06</v>
      </c>
      <c r="N66" s="639">
        <v>1.1399999999999999</v>
      </c>
      <c r="O66" s="639">
        <v>1.38</v>
      </c>
      <c r="P66" s="616">
        <v>25</v>
      </c>
    </row>
    <row r="67" spans="1:16">
      <c r="A67" s="639" t="s">
        <v>351</v>
      </c>
      <c r="B67" s="639" t="s">
        <v>306</v>
      </c>
      <c r="C67" s="639" t="s">
        <v>305</v>
      </c>
      <c r="D67" s="639" t="s">
        <v>561</v>
      </c>
      <c r="E67" s="639" t="s">
        <v>562</v>
      </c>
      <c r="F67" s="639">
        <v>30109</v>
      </c>
      <c r="G67" s="639">
        <v>103006</v>
      </c>
      <c r="H67" s="639" t="s">
        <v>356</v>
      </c>
      <c r="I67" s="639" t="s">
        <v>570</v>
      </c>
      <c r="J67" s="639" t="s">
        <v>572</v>
      </c>
      <c r="K67" s="639">
        <v>1.21</v>
      </c>
      <c r="L67" s="639">
        <v>1.1499999999999999</v>
      </c>
      <c r="M67" s="639">
        <v>1.08</v>
      </c>
      <c r="N67" s="639">
        <v>1.1499999999999999</v>
      </c>
      <c r="O67" s="639">
        <v>1.55</v>
      </c>
      <c r="P67" s="616">
        <v>25</v>
      </c>
    </row>
    <row r="68" spans="1:16">
      <c r="A68" s="639" t="s">
        <v>351</v>
      </c>
      <c r="B68" s="639" t="s">
        <v>306</v>
      </c>
      <c r="C68" s="639" t="s">
        <v>305</v>
      </c>
      <c r="D68" s="639" t="s">
        <v>561</v>
      </c>
      <c r="E68" s="639" t="s">
        <v>562</v>
      </c>
      <c r="F68" s="639">
        <v>4023</v>
      </c>
      <c r="G68" s="639">
        <v>103006</v>
      </c>
      <c r="H68" s="639" t="s">
        <v>356</v>
      </c>
      <c r="I68" s="639" t="s">
        <v>563</v>
      </c>
      <c r="J68" s="639" t="s">
        <v>575</v>
      </c>
      <c r="K68" s="639">
        <v>1.64</v>
      </c>
      <c r="L68" s="639">
        <v>1</v>
      </c>
      <c r="M68" s="639">
        <v>1.08</v>
      </c>
      <c r="N68" s="639">
        <v>1.04</v>
      </c>
      <c r="O68" s="639">
        <v>1.44</v>
      </c>
      <c r="P68" s="616">
        <v>25</v>
      </c>
    </row>
    <row r="69" spans="1:16">
      <c r="A69" s="639" t="s">
        <v>351</v>
      </c>
      <c r="B69" s="639" t="s">
        <v>306</v>
      </c>
      <c r="C69" s="639" t="s">
        <v>305</v>
      </c>
      <c r="D69" s="639" t="s">
        <v>561</v>
      </c>
      <c r="E69" s="639" t="s">
        <v>562</v>
      </c>
      <c r="F69" s="639">
        <v>30105</v>
      </c>
      <c r="G69" s="639">
        <v>103006</v>
      </c>
      <c r="H69" s="639" t="s">
        <v>356</v>
      </c>
      <c r="I69" s="639" t="s">
        <v>570</v>
      </c>
      <c r="J69" s="639" t="s">
        <v>573</v>
      </c>
      <c r="K69" s="639">
        <v>1.24</v>
      </c>
      <c r="L69" s="639">
        <v>1.1100000000000001</v>
      </c>
      <c r="M69" s="639">
        <v>1.0900000000000001</v>
      </c>
      <c r="N69" s="639">
        <v>1.06</v>
      </c>
      <c r="O69" s="639">
        <v>1.37</v>
      </c>
      <c r="P69" s="616">
        <v>25</v>
      </c>
    </row>
    <row r="70" spans="1:16">
      <c r="A70" s="639" t="s">
        <v>351</v>
      </c>
      <c r="B70" s="639" t="s">
        <v>306</v>
      </c>
      <c r="C70" s="639" t="s">
        <v>305</v>
      </c>
      <c r="D70" s="639" t="s">
        <v>561</v>
      </c>
      <c r="E70" s="639" t="s">
        <v>562</v>
      </c>
      <c r="F70" s="639">
        <v>30097</v>
      </c>
      <c r="G70" s="639">
        <v>103006</v>
      </c>
      <c r="H70" s="639" t="s">
        <v>356</v>
      </c>
      <c r="I70" s="639" t="s">
        <v>570</v>
      </c>
      <c r="J70" s="639" t="s">
        <v>575</v>
      </c>
      <c r="K70" s="639">
        <v>1.38</v>
      </c>
      <c r="L70" s="639">
        <v>1.0900000000000001</v>
      </c>
      <c r="M70" s="639">
        <v>1.0900000000000001</v>
      </c>
      <c r="N70" s="639">
        <v>1.06</v>
      </c>
      <c r="O70" s="639">
        <v>1.33</v>
      </c>
      <c r="P70" s="616">
        <v>25</v>
      </c>
    </row>
    <row r="71" spans="1:16">
      <c r="A71" s="639" t="s">
        <v>351</v>
      </c>
      <c r="B71" s="639" t="s">
        <v>306</v>
      </c>
      <c r="C71" s="639" t="s">
        <v>305</v>
      </c>
      <c r="D71" s="639" t="s">
        <v>561</v>
      </c>
      <c r="E71" s="639" t="s">
        <v>562</v>
      </c>
      <c r="F71" s="639">
        <v>30101</v>
      </c>
      <c r="G71" s="639">
        <v>103006</v>
      </c>
      <c r="H71" s="639" t="s">
        <v>356</v>
      </c>
      <c r="I71" s="639" t="s">
        <v>570</v>
      </c>
      <c r="J71" s="639" t="s">
        <v>574</v>
      </c>
      <c r="K71" s="639">
        <v>1.81</v>
      </c>
      <c r="L71" s="639">
        <v>1.1499999999999999</v>
      </c>
      <c r="M71" s="639">
        <v>1.1399999999999999</v>
      </c>
      <c r="N71" s="639">
        <v>1.0900000000000001</v>
      </c>
      <c r="O71" s="639">
        <v>1.39</v>
      </c>
      <c r="P71" s="616">
        <v>25</v>
      </c>
    </row>
    <row r="72" spans="1:16">
      <c r="A72" s="639" t="s">
        <v>351</v>
      </c>
      <c r="B72" s="639" t="s">
        <v>306</v>
      </c>
      <c r="C72" s="639" t="s">
        <v>305</v>
      </c>
      <c r="D72" s="639" t="s">
        <v>561</v>
      </c>
      <c r="E72" s="639" t="s">
        <v>562</v>
      </c>
      <c r="F72" s="639">
        <v>4024</v>
      </c>
      <c r="G72" s="639">
        <v>103006</v>
      </c>
      <c r="H72" s="639" t="s">
        <v>356</v>
      </c>
      <c r="I72" s="639" t="s">
        <v>563</v>
      </c>
      <c r="J72" s="639" t="s">
        <v>574</v>
      </c>
      <c r="K72" s="639">
        <v>1.17</v>
      </c>
      <c r="L72" s="639">
        <v>1.01</v>
      </c>
      <c r="M72" s="639">
        <v>1.1499999999999999</v>
      </c>
      <c r="N72" s="639">
        <v>1.06</v>
      </c>
      <c r="O72" s="639">
        <v>1.32</v>
      </c>
      <c r="P72" s="616">
        <v>25</v>
      </c>
    </row>
    <row r="73" spans="1:16">
      <c r="A73" s="639" t="s">
        <v>351</v>
      </c>
      <c r="B73" s="639" t="s">
        <v>306</v>
      </c>
      <c r="C73" s="639" t="s">
        <v>305</v>
      </c>
      <c r="D73" s="639" t="s">
        <v>561</v>
      </c>
      <c r="E73" s="639" t="s">
        <v>562</v>
      </c>
      <c r="F73" s="639">
        <v>4025</v>
      </c>
      <c r="G73" s="639">
        <v>103006</v>
      </c>
      <c r="H73" s="639" t="s">
        <v>356</v>
      </c>
      <c r="I73" s="639" t="s">
        <v>563</v>
      </c>
      <c r="J73" s="639" t="s">
        <v>573</v>
      </c>
      <c r="K73" s="639">
        <v>1.57</v>
      </c>
      <c r="L73" s="639">
        <v>1.1200000000000001</v>
      </c>
      <c r="M73" s="639">
        <v>1.18</v>
      </c>
      <c r="N73" s="639">
        <v>1.08</v>
      </c>
      <c r="O73" s="639">
        <v>1.37</v>
      </c>
      <c r="P73" s="616">
        <v>25</v>
      </c>
    </row>
    <row r="74" spans="1:16">
      <c r="A74" s="639" t="s">
        <v>351</v>
      </c>
      <c r="B74" s="639" t="s">
        <v>369</v>
      </c>
      <c r="C74" s="639" t="s">
        <v>305</v>
      </c>
      <c r="D74" s="639" t="s">
        <v>561</v>
      </c>
      <c r="E74" s="639" t="s">
        <v>562</v>
      </c>
      <c r="F74" s="639">
        <v>18058</v>
      </c>
      <c r="G74" s="639">
        <v>103009</v>
      </c>
      <c r="H74" s="639" t="s">
        <v>371</v>
      </c>
      <c r="I74" s="639" t="s">
        <v>563</v>
      </c>
      <c r="J74" s="639">
        <v>40</v>
      </c>
      <c r="K74" s="639">
        <v>2.4</v>
      </c>
      <c r="L74" s="639">
        <v>1.21</v>
      </c>
      <c r="M74" s="639">
        <v>1.01</v>
      </c>
      <c r="N74" s="639">
        <v>1.05</v>
      </c>
      <c r="O74" s="639">
        <v>1.42</v>
      </c>
      <c r="P74" s="616">
        <v>7</v>
      </c>
    </row>
    <row r="75" spans="1:16">
      <c r="A75" s="639" t="s">
        <v>351</v>
      </c>
      <c r="B75" s="639" t="s">
        <v>369</v>
      </c>
      <c r="C75" s="639" t="s">
        <v>305</v>
      </c>
      <c r="D75" s="639" t="s">
        <v>561</v>
      </c>
      <c r="E75" s="639" t="s">
        <v>562</v>
      </c>
      <c r="F75" s="639">
        <v>18063</v>
      </c>
      <c r="G75" s="639">
        <v>103009</v>
      </c>
      <c r="H75" s="639" t="s">
        <v>371</v>
      </c>
      <c r="I75" s="639" t="s">
        <v>568</v>
      </c>
      <c r="J75" s="639">
        <v>42</v>
      </c>
      <c r="K75" s="639">
        <v>1.33</v>
      </c>
      <c r="L75" s="639">
        <v>1.02</v>
      </c>
      <c r="M75" s="639">
        <v>1.01</v>
      </c>
      <c r="N75" s="639">
        <v>1.0900000000000001</v>
      </c>
      <c r="O75" s="639">
        <v>1.38</v>
      </c>
      <c r="P75" s="616">
        <v>7</v>
      </c>
    </row>
    <row r="76" spans="1:16">
      <c r="A76" s="639" t="s">
        <v>351</v>
      </c>
      <c r="B76" s="639" t="s">
        <v>369</v>
      </c>
      <c r="C76" s="639" t="s">
        <v>305</v>
      </c>
      <c r="D76" s="639" t="s">
        <v>561</v>
      </c>
      <c r="E76" s="639" t="s">
        <v>562</v>
      </c>
      <c r="F76" s="639">
        <v>28634</v>
      </c>
      <c r="G76" s="639">
        <v>103009</v>
      </c>
      <c r="H76" s="639" t="s">
        <v>371</v>
      </c>
      <c r="I76" s="639" t="s">
        <v>570</v>
      </c>
      <c r="J76" s="639">
        <v>42</v>
      </c>
      <c r="K76" s="639">
        <v>0.77</v>
      </c>
      <c r="L76" s="639">
        <v>1.1499999999999999</v>
      </c>
      <c r="M76" s="639">
        <v>1.02</v>
      </c>
      <c r="N76" s="639">
        <v>1.01</v>
      </c>
      <c r="O76" s="639">
        <v>1.43</v>
      </c>
      <c r="P76" s="616">
        <v>7</v>
      </c>
    </row>
    <row r="77" spans="1:16">
      <c r="A77" s="639" t="s">
        <v>351</v>
      </c>
      <c r="B77" s="639" t="s">
        <v>369</v>
      </c>
      <c r="C77" s="639" t="s">
        <v>305</v>
      </c>
      <c r="D77" s="639" t="s">
        <v>561</v>
      </c>
      <c r="E77" s="639" t="s">
        <v>562</v>
      </c>
      <c r="F77" s="639">
        <v>18059</v>
      </c>
      <c r="G77" s="639">
        <v>103009</v>
      </c>
      <c r="H77" s="639" t="s">
        <v>371</v>
      </c>
      <c r="I77" s="639" t="s">
        <v>563</v>
      </c>
      <c r="J77" s="639">
        <v>42</v>
      </c>
      <c r="K77" s="639">
        <v>0.77</v>
      </c>
      <c r="L77" s="639">
        <v>1.1100000000000001</v>
      </c>
      <c r="M77" s="639">
        <v>1.03</v>
      </c>
      <c r="N77" s="639">
        <v>1.05</v>
      </c>
      <c r="O77" s="639">
        <v>1.42</v>
      </c>
      <c r="P77" s="616">
        <v>7</v>
      </c>
    </row>
    <row r="78" spans="1:16">
      <c r="A78" s="639" t="s">
        <v>351</v>
      </c>
      <c r="B78" s="639" t="s">
        <v>369</v>
      </c>
      <c r="C78" s="639" t="s">
        <v>305</v>
      </c>
      <c r="D78" s="639" t="s">
        <v>561</v>
      </c>
      <c r="E78" s="639" t="s">
        <v>562</v>
      </c>
      <c r="F78" s="639">
        <v>18172</v>
      </c>
      <c r="G78" s="639">
        <v>103009</v>
      </c>
      <c r="H78" s="639" t="s">
        <v>371</v>
      </c>
      <c r="I78" s="639" t="s">
        <v>566</v>
      </c>
      <c r="J78" s="639">
        <v>44</v>
      </c>
      <c r="K78" s="639">
        <v>0.82</v>
      </c>
      <c r="L78" s="639">
        <v>1.1200000000000001</v>
      </c>
      <c r="M78" s="639">
        <v>1.04</v>
      </c>
      <c r="N78" s="639">
        <v>1.1399999999999999</v>
      </c>
      <c r="O78" s="639">
        <v>1.39</v>
      </c>
      <c r="P78" s="616">
        <v>7</v>
      </c>
    </row>
    <row r="79" spans="1:16">
      <c r="A79" s="639" t="s">
        <v>351</v>
      </c>
      <c r="B79" s="639" t="s">
        <v>369</v>
      </c>
      <c r="C79" s="639" t="s">
        <v>305</v>
      </c>
      <c r="D79" s="639" t="s">
        <v>561</v>
      </c>
      <c r="E79" s="639" t="s">
        <v>562</v>
      </c>
      <c r="F79" s="639">
        <v>18066</v>
      </c>
      <c r="G79" s="639">
        <v>103009</v>
      </c>
      <c r="H79" s="639" t="s">
        <v>371</v>
      </c>
      <c r="I79" s="639" t="s">
        <v>565</v>
      </c>
      <c r="J79" s="639">
        <v>40</v>
      </c>
      <c r="K79" s="639">
        <v>1.54</v>
      </c>
      <c r="L79" s="639">
        <v>1.0900000000000001</v>
      </c>
      <c r="M79" s="639">
        <v>1.04</v>
      </c>
      <c r="N79" s="639">
        <v>1.1499999999999999</v>
      </c>
      <c r="O79" s="639">
        <v>1.53</v>
      </c>
      <c r="P79" s="616">
        <v>7</v>
      </c>
    </row>
    <row r="80" spans="1:16">
      <c r="A80" s="639" t="s">
        <v>351</v>
      </c>
      <c r="B80" s="639" t="s">
        <v>369</v>
      </c>
      <c r="C80" s="639" t="s">
        <v>305</v>
      </c>
      <c r="D80" s="639" t="s">
        <v>561</v>
      </c>
      <c r="E80" s="639" t="s">
        <v>562</v>
      </c>
      <c r="F80" s="639">
        <v>18171</v>
      </c>
      <c r="G80" s="639">
        <v>103009</v>
      </c>
      <c r="H80" s="639" t="s">
        <v>371</v>
      </c>
      <c r="I80" s="639" t="s">
        <v>566</v>
      </c>
      <c r="J80" s="639">
        <v>42</v>
      </c>
      <c r="K80" s="639">
        <v>0.81</v>
      </c>
      <c r="L80" s="639">
        <v>1.08</v>
      </c>
      <c r="M80" s="639">
        <v>1.04</v>
      </c>
      <c r="N80" s="639">
        <v>1.08</v>
      </c>
      <c r="O80" s="639">
        <v>1.32</v>
      </c>
      <c r="P80" s="616">
        <v>7</v>
      </c>
    </row>
    <row r="81" spans="1:16">
      <c r="A81" s="639" t="s">
        <v>351</v>
      </c>
      <c r="B81" s="639" t="s">
        <v>369</v>
      </c>
      <c r="C81" s="639" t="s">
        <v>305</v>
      </c>
      <c r="D81" s="639" t="s">
        <v>561</v>
      </c>
      <c r="E81" s="639" t="s">
        <v>562</v>
      </c>
      <c r="F81" s="639">
        <v>18170</v>
      </c>
      <c r="G81" s="639">
        <v>103009</v>
      </c>
      <c r="H81" s="639" t="s">
        <v>371</v>
      </c>
      <c r="I81" s="639" t="s">
        <v>566</v>
      </c>
      <c r="J81" s="639">
        <v>40</v>
      </c>
      <c r="K81" s="639">
        <v>2.2000000000000002</v>
      </c>
      <c r="L81" s="639">
        <v>1.02</v>
      </c>
      <c r="M81" s="639">
        <v>1.08</v>
      </c>
      <c r="N81" s="639">
        <v>1</v>
      </c>
      <c r="O81" s="639">
        <v>1.29</v>
      </c>
      <c r="P81" s="616">
        <v>7</v>
      </c>
    </row>
    <row r="82" spans="1:16">
      <c r="A82" s="639" t="s">
        <v>351</v>
      </c>
      <c r="B82" s="639" t="s">
        <v>369</v>
      </c>
      <c r="C82" s="639" t="s">
        <v>305</v>
      </c>
      <c r="D82" s="639" t="s">
        <v>561</v>
      </c>
      <c r="E82" s="639" t="s">
        <v>562</v>
      </c>
      <c r="F82" s="639">
        <v>18173</v>
      </c>
      <c r="G82" s="639">
        <v>103009</v>
      </c>
      <c r="H82" s="639" t="s">
        <v>371</v>
      </c>
      <c r="I82" s="639" t="s">
        <v>566</v>
      </c>
      <c r="J82" s="639">
        <v>46</v>
      </c>
      <c r="K82" s="639">
        <v>0.81</v>
      </c>
      <c r="L82" s="639">
        <v>1.07</v>
      </c>
      <c r="M82" s="639">
        <v>1.1000000000000001</v>
      </c>
      <c r="N82" s="639">
        <v>1.1399999999999999</v>
      </c>
      <c r="O82" s="639">
        <v>1.35</v>
      </c>
      <c r="P82" s="616">
        <v>7</v>
      </c>
    </row>
    <row r="83" spans="1:16">
      <c r="A83" s="639" t="s">
        <v>351</v>
      </c>
      <c r="B83" s="639" t="s">
        <v>369</v>
      </c>
      <c r="C83" s="639" t="s">
        <v>305</v>
      </c>
      <c r="D83" s="639" t="s">
        <v>561</v>
      </c>
      <c r="E83" s="639" t="s">
        <v>562</v>
      </c>
      <c r="F83" s="639">
        <v>18065</v>
      </c>
      <c r="G83" s="639">
        <v>103009</v>
      </c>
      <c r="H83" s="639" t="s">
        <v>371</v>
      </c>
      <c r="I83" s="639" t="s">
        <v>568</v>
      </c>
      <c r="J83" s="639">
        <v>46</v>
      </c>
      <c r="K83" s="639">
        <v>1.22</v>
      </c>
      <c r="L83" s="639">
        <v>1.02</v>
      </c>
      <c r="M83" s="639">
        <v>1.1299999999999999</v>
      </c>
      <c r="N83" s="639">
        <v>1</v>
      </c>
      <c r="O83" s="639">
        <v>1.38</v>
      </c>
      <c r="P83" s="616">
        <v>7</v>
      </c>
    </row>
    <row r="84" spans="1:16">
      <c r="A84" s="639" t="s">
        <v>351</v>
      </c>
      <c r="B84" s="639" t="s">
        <v>369</v>
      </c>
      <c r="C84" s="639" t="s">
        <v>305</v>
      </c>
      <c r="D84" s="639" t="s">
        <v>561</v>
      </c>
      <c r="E84" s="639" t="s">
        <v>562</v>
      </c>
      <c r="F84" s="639">
        <v>18069</v>
      </c>
      <c r="G84" s="639">
        <v>103009</v>
      </c>
      <c r="H84" s="639" t="s">
        <v>371</v>
      </c>
      <c r="I84" s="639" t="s">
        <v>565</v>
      </c>
      <c r="J84" s="639">
        <v>46</v>
      </c>
      <c r="K84" s="639">
        <v>0.95</v>
      </c>
      <c r="L84" s="639">
        <v>1.1299999999999999</v>
      </c>
      <c r="M84" s="639">
        <v>1.1299999999999999</v>
      </c>
      <c r="N84" s="639">
        <v>1.1399999999999999</v>
      </c>
      <c r="O84" s="639">
        <v>1.35</v>
      </c>
      <c r="P84" s="616">
        <v>7</v>
      </c>
    </row>
    <row r="85" spans="1:16">
      <c r="A85" s="639" t="s">
        <v>351</v>
      </c>
      <c r="B85" s="639" t="s">
        <v>369</v>
      </c>
      <c r="C85" s="639" t="s">
        <v>305</v>
      </c>
      <c r="D85" s="639" t="s">
        <v>561</v>
      </c>
      <c r="E85" s="639" t="s">
        <v>562</v>
      </c>
      <c r="F85" s="639">
        <v>28633</v>
      </c>
      <c r="G85" s="639">
        <v>103009</v>
      </c>
      <c r="H85" s="639" t="s">
        <v>371</v>
      </c>
      <c r="I85" s="639" t="s">
        <v>570</v>
      </c>
      <c r="J85" s="639">
        <v>40</v>
      </c>
      <c r="K85" s="639">
        <v>1.38</v>
      </c>
      <c r="L85" s="639">
        <v>1.01</v>
      </c>
      <c r="M85" s="639">
        <v>1.1399999999999999</v>
      </c>
      <c r="N85" s="639">
        <v>1.03</v>
      </c>
      <c r="O85" s="639">
        <v>1.42</v>
      </c>
      <c r="P85" s="616">
        <v>7</v>
      </c>
    </row>
    <row r="86" spans="1:16">
      <c r="A86" s="639" t="s">
        <v>351</v>
      </c>
      <c r="B86" s="639" t="s">
        <v>369</v>
      </c>
      <c r="C86" s="639" t="s">
        <v>305</v>
      </c>
      <c r="D86" s="639" t="s">
        <v>561</v>
      </c>
      <c r="E86" s="639" t="s">
        <v>562</v>
      </c>
      <c r="F86" s="639">
        <v>18068</v>
      </c>
      <c r="G86" s="639">
        <v>103009</v>
      </c>
      <c r="H86" s="639" t="s">
        <v>371</v>
      </c>
      <c r="I86" s="639" t="s">
        <v>565</v>
      </c>
      <c r="J86" s="639">
        <v>44</v>
      </c>
      <c r="K86" s="639">
        <v>0.75</v>
      </c>
      <c r="L86" s="639">
        <v>1</v>
      </c>
      <c r="M86" s="639">
        <v>1.1499999999999999</v>
      </c>
      <c r="N86" s="639">
        <v>1.0900000000000001</v>
      </c>
      <c r="O86" s="639">
        <v>1.38</v>
      </c>
      <c r="P86" s="616">
        <v>7</v>
      </c>
    </row>
    <row r="87" spans="1:16">
      <c r="A87" s="639" t="s">
        <v>351</v>
      </c>
      <c r="B87" s="639" t="s">
        <v>369</v>
      </c>
      <c r="C87" s="639" t="s">
        <v>305</v>
      </c>
      <c r="D87" s="639" t="s">
        <v>561</v>
      </c>
      <c r="E87" s="639" t="s">
        <v>562</v>
      </c>
      <c r="F87" s="639">
        <v>18064</v>
      </c>
      <c r="G87" s="639">
        <v>103009</v>
      </c>
      <c r="H87" s="639" t="s">
        <v>371</v>
      </c>
      <c r="I87" s="639" t="s">
        <v>568</v>
      </c>
      <c r="J87" s="639">
        <v>44</v>
      </c>
      <c r="K87" s="639">
        <v>1</v>
      </c>
      <c r="L87" s="639">
        <v>1.01</v>
      </c>
      <c r="M87" s="639">
        <v>1.1499999999999999</v>
      </c>
      <c r="N87" s="639">
        <v>1.01</v>
      </c>
      <c r="O87" s="639">
        <v>1.4</v>
      </c>
      <c r="P87" s="616">
        <v>7</v>
      </c>
    </row>
    <row r="88" spans="1:16">
      <c r="A88" s="639" t="s">
        <v>351</v>
      </c>
      <c r="B88" s="639" t="s">
        <v>369</v>
      </c>
      <c r="C88" s="639" t="s">
        <v>305</v>
      </c>
      <c r="D88" s="639" t="s">
        <v>561</v>
      </c>
      <c r="E88" s="639" t="s">
        <v>562</v>
      </c>
      <c r="F88" s="639">
        <v>18060</v>
      </c>
      <c r="G88" s="639">
        <v>103009</v>
      </c>
      <c r="H88" s="639" t="s">
        <v>371</v>
      </c>
      <c r="I88" s="639" t="s">
        <v>563</v>
      </c>
      <c r="J88" s="639">
        <v>44</v>
      </c>
      <c r="K88" s="639">
        <v>0.95</v>
      </c>
      <c r="L88" s="639">
        <v>1.03</v>
      </c>
      <c r="M88" s="639">
        <v>1.1499999999999999</v>
      </c>
      <c r="N88" s="639">
        <v>1.01</v>
      </c>
      <c r="O88" s="639">
        <v>1.42</v>
      </c>
      <c r="P88" s="616">
        <v>7</v>
      </c>
    </row>
    <row r="89" spans="1:16">
      <c r="A89" s="639" t="s">
        <v>351</v>
      </c>
      <c r="B89" s="639" t="s">
        <v>369</v>
      </c>
      <c r="C89" s="639" t="s">
        <v>305</v>
      </c>
      <c r="D89" s="639" t="s">
        <v>561</v>
      </c>
      <c r="E89" s="639" t="s">
        <v>562</v>
      </c>
      <c r="F89" s="639">
        <v>28635</v>
      </c>
      <c r="G89" s="639">
        <v>103009</v>
      </c>
      <c r="H89" s="639" t="s">
        <v>371</v>
      </c>
      <c r="I89" s="639" t="s">
        <v>570</v>
      </c>
      <c r="J89" s="639">
        <v>44</v>
      </c>
      <c r="K89" s="639">
        <v>0.77</v>
      </c>
      <c r="L89" s="639">
        <v>1.04</v>
      </c>
      <c r="M89" s="639">
        <v>1.1499999999999999</v>
      </c>
      <c r="N89" s="639">
        <v>1.03</v>
      </c>
      <c r="O89" s="639">
        <v>1.41</v>
      </c>
      <c r="P89" s="616">
        <v>7</v>
      </c>
    </row>
    <row r="90" spans="1:16">
      <c r="A90" s="639" t="s">
        <v>351</v>
      </c>
      <c r="B90" s="639" t="s">
        <v>369</v>
      </c>
      <c r="C90" s="639" t="s">
        <v>305</v>
      </c>
      <c r="D90" s="639" t="s">
        <v>561</v>
      </c>
      <c r="E90" s="639" t="s">
        <v>562</v>
      </c>
      <c r="F90" s="639">
        <v>18062</v>
      </c>
      <c r="G90" s="639">
        <v>103009</v>
      </c>
      <c r="H90" s="639" t="s">
        <v>371</v>
      </c>
      <c r="I90" s="639" t="s">
        <v>568</v>
      </c>
      <c r="J90" s="639">
        <v>40</v>
      </c>
      <c r="K90" s="639">
        <v>0.91</v>
      </c>
      <c r="L90" s="639">
        <v>1.18</v>
      </c>
      <c r="M90" s="639">
        <v>1.1499999999999999</v>
      </c>
      <c r="N90" s="639">
        <v>1.03</v>
      </c>
      <c r="O90" s="639">
        <v>1.34</v>
      </c>
      <c r="P90" s="616">
        <v>7</v>
      </c>
    </row>
    <row r="91" spans="1:16">
      <c r="A91" s="639" t="s">
        <v>351</v>
      </c>
      <c r="B91" s="639" t="s">
        <v>369</v>
      </c>
      <c r="C91" s="639" t="s">
        <v>305</v>
      </c>
      <c r="D91" s="639" t="s">
        <v>561</v>
      </c>
      <c r="E91" s="639" t="s">
        <v>562</v>
      </c>
      <c r="F91" s="639">
        <v>18067</v>
      </c>
      <c r="G91" s="639">
        <v>103009</v>
      </c>
      <c r="H91" s="639" t="s">
        <v>371</v>
      </c>
      <c r="I91" s="639" t="s">
        <v>565</v>
      </c>
      <c r="J91" s="639">
        <v>42</v>
      </c>
      <c r="K91" s="639">
        <v>1.07</v>
      </c>
      <c r="L91" s="639">
        <v>1.03</v>
      </c>
      <c r="M91" s="639">
        <v>1.17</v>
      </c>
      <c r="N91" s="639">
        <v>1.03</v>
      </c>
      <c r="O91" s="639">
        <v>1.4</v>
      </c>
      <c r="P91" s="616">
        <v>7</v>
      </c>
    </row>
    <row r="92" spans="1:16">
      <c r="A92" s="639" t="s">
        <v>351</v>
      </c>
      <c r="B92" s="639" t="s">
        <v>369</v>
      </c>
      <c r="C92" s="639" t="s">
        <v>305</v>
      </c>
      <c r="D92" s="639" t="s">
        <v>561</v>
      </c>
      <c r="E92" s="639" t="s">
        <v>562</v>
      </c>
      <c r="F92" s="639">
        <v>18061</v>
      </c>
      <c r="G92" s="639">
        <v>103009</v>
      </c>
      <c r="H92" s="639" t="s">
        <v>371</v>
      </c>
      <c r="I92" s="639" t="s">
        <v>563</v>
      </c>
      <c r="J92" s="639">
        <v>46</v>
      </c>
      <c r="K92" s="639">
        <v>0.83</v>
      </c>
      <c r="L92" s="639">
        <v>1.04</v>
      </c>
      <c r="M92" s="639">
        <v>1.17</v>
      </c>
      <c r="N92" s="639">
        <v>1.02</v>
      </c>
      <c r="O92" s="639">
        <v>1.43</v>
      </c>
      <c r="P92" s="616">
        <v>7</v>
      </c>
    </row>
    <row r="93" spans="1:16">
      <c r="A93" s="639" t="s">
        <v>351</v>
      </c>
      <c r="B93" s="639" t="s">
        <v>369</v>
      </c>
      <c r="C93" s="639" t="s">
        <v>305</v>
      </c>
      <c r="D93" s="639" t="s">
        <v>561</v>
      </c>
      <c r="E93" s="639" t="s">
        <v>562</v>
      </c>
      <c r="F93" s="639">
        <v>28636</v>
      </c>
      <c r="G93" s="639">
        <v>103009</v>
      </c>
      <c r="H93" s="639" t="s">
        <v>371</v>
      </c>
      <c r="I93" s="639" t="s">
        <v>570</v>
      </c>
      <c r="J93" s="639">
        <v>46</v>
      </c>
      <c r="K93" s="639">
        <v>0.76</v>
      </c>
      <c r="L93" s="639">
        <v>1.1100000000000001</v>
      </c>
      <c r="M93" s="639">
        <v>1.18</v>
      </c>
      <c r="N93" s="639">
        <v>1.1399999999999999</v>
      </c>
      <c r="O93" s="639">
        <v>1.36</v>
      </c>
      <c r="P93" s="616">
        <v>7</v>
      </c>
    </row>
    <row r="94" spans="1:16">
      <c r="A94" s="639" t="s">
        <v>351</v>
      </c>
      <c r="B94" s="639" t="s">
        <v>306</v>
      </c>
      <c r="C94" s="639" t="s">
        <v>305</v>
      </c>
      <c r="D94" s="639" t="s">
        <v>561</v>
      </c>
      <c r="E94" s="639" t="s">
        <v>562</v>
      </c>
      <c r="F94" s="639">
        <v>4125</v>
      </c>
      <c r="G94" s="639">
        <v>103101</v>
      </c>
      <c r="H94" s="639" t="s">
        <v>357</v>
      </c>
      <c r="I94" s="639" t="s">
        <v>563</v>
      </c>
      <c r="J94" s="639">
        <v>42</v>
      </c>
      <c r="K94" s="639">
        <v>0.78</v>
      </c>
      <c r="L94" s="639">
        <v>1.1100000000000001</v>
      </c>
      <c r="M94" s="639">
        <v>1.01</v>
      </c>
      <c r="N94" s="639">
        <v>1.0900000000000001</v>
      </c>
      <c r="O94" s="639">
        <v>1.42</v>
      </c>
      <c r="P94" s="616">
        <v>4</v>
      </c>
    </row>
    <row r="95" spans="1:16">
      <c r="A95" s="639" t="s">
        <v>351</v>
      </c>
      <c r="B95" s="639" t="s">
        <v>306</v>
      </c>
      <c r="C95" s="639" t="s">
        <v>305</v>
      </c>
      <c r="D95" s="639" t="s">
        <v>561</v>
      </c>
      <c r="E95" s="639" t="s">
        <v>562</v>
      </c>
      <c r="F95" s="639">
        <v>4126</v>
      </c>
      <c r="G95" s="639">
        <v>103101</v>
      </c>
      <c r="H95" s="639" t="s">
        <v>357</v>
      </c>
      <c r="I95" s="639" t="s">
        <v>563</v>
      </c>
      <c r="J95" s="639">
        <v>44</v>
      </c>
      <c r="K95" s="639">
        <v>1.26</v>
      </c>
      <c r="L95" s="639">
        <v>1.1100000000000001</v>
      </c>
      <c r="M95" s="639">
        <v>1.02</v>
      </c>
      <c r="N95" s="639">
        <v>1.03</v>
      </c>
      <c r="O95" s="639">
        <v>1.42</v>
      </c>
      <c r="P95" s="616">
        <v>4</v>
      </c>
    </row>
    <row r="96" spans="1:16">
      <c r="A96" s="639" t="s">
        <v>351</v>
      </c>
      <c r="B96" s="639" t="s">
        <v>306</v>
      </c>
      <c r="C96" s="639" t="s">
        <v>305</v>
      </c>
      <c r="D96" s="639" t="s">
        <v>561</v>
      </c>
      <c r="E96" s="639" t="s">
        <v>562</v>
      </c>
      <c r="F96" s="639">
        <v>4107</v>
      </c>
      <c r="G96" s="639">
        <v>103101</v>
      </c>
      <c r="H96" s="639" t="s">
        <v>357</v>
      </c>
      <c r="I96" s="639" t="s">
        <v>566</v>
      </c>
      <c r="J96" s="639">
        <v>42</v>
      </c>
      <c r="K96" s="639">
        <v>1.74</v>
      </c>
      <c r="L96" s="639">
        <v>1.01</v>
      </c>
      <c r="M96" s="639">
        <v>1.02</v>
      </c>
      <c r="N96" s="639">
        <v>1.1399999999999999</v>
      </c>
      <c r="O96" s="639">
        <v>1.4</v>
      </c>
      <c r="P96" s="616">
        <v>4</v>
      </c>
    </row>
    <row r="97" spans="1:16">
      <c r="A97" s="639" t="s">
        <v>351</v>
      </c>
      <c r="B97" s="639" t="s">
        <v>306</v>
      </c>
      <c r="C97" s="639" t="s">
        <v>305</v>
      </c>
      <c r="D97" s="639" t="s">
        <v>561</v>
      </c>
      <c r="E97" s="639" t="s">
        <v>562</v>
      </c>
      <c r="F97" s="639">
        <v>4109</v>
      </c>
      <c r="G97" s="639">
        <v>103101</v>
      </c>
      <c r="H97" s="639" t="s">
        <v>357</v>
      </c>
      <c r="I97" s="639" t="s">
        <v>566</v>
      </c>
      <c r="J97" s="639">
        <v>46</v>
      </c>
      <c r="K97" s="639">
        <v>2.2799999999999998</v>
      </c>
      <c r="L97" s="639">
        <v>1.08</v>
      </c>
      <c r="M97" s="639">
        <v>1.04</v>
      </c>
      <c r="N97" s="639">
        <v>1.08</v>
      </c>
      <c r="O97" s="639">
        <v>1.32</v>
      </c>
      <c r="P97" s="616">
        <v>4</v>
      </c>
    </row>
    <row r="98" spans="1:16">
      <c r="A98" s="639" t="s">
        <v>351</v>
      </c>
      <c r="B98" s="639" t="s">
        <v>306</v>
      </c>
      <c r="C98" s="639" t="s">
        <v>305</v>
      </c>
      <c r="D98" s="639" t="s">
        <v>561</v>
      </c>
      <c r="E98" s="639" t="s">
        <v>562</v>
      </c>
      <c r="F98" s="639">
        <v>4127</v>
      </c>
      <c r="G98" s="639">
        <v>103101</v>
      </c>
      <c r="H98" s="639" t="s">
        <v>357</v>
      </c>
      <c r="I98" s="639" t="s">
        <v>563</v>
      </c>
      <c r="J98" s="639">
        <v>46</v>
      </c>
      <c r="K98" s="639">
        <v>1.1499999999999999</v>
      </c>
      <c r="L98" s="639">
        <v>1.01</v>
      </c>
      <c r="M98" s="639">
        <v>1.04</v>
      </c>
      <c r="N98" s="639">
        <v>1.02</v>
      </c>
      <c r="O98" s="639">
        <v>1.36</v>
      </c>
      <c r="P98" s="616">
        <v>4</v>
      </c>
    </row>
    <row r="99" spans="1:16">
      <c r="A99" s="639" t="s">
        <v>351</v>
      </c>
      <c r="B99" s="639" t="s">
        <v>306</v>
      </c>
      <c r="C99" s="639" t="s">
        <v>305</v>
      </c>
      <c r="D99" s="639" t="s">
        <v>561</v>
      </c>
      <c r="E99" s="639" t="s">
        <v>562</v>
      </c>
      <c r="F99" s="639">
        <v>4138</v>
      </c>
      <c r="G99" s="639">
        <v>103101</v>
      </c>
      <c r="H99" s="639" t="s">
        <v>357</v>
      </c>
      <c r="I99" s="639" t="s">
        <v>565</v>
      </c>
      <c r="J99" s="639">
        <v>40</v>
      </c>
      <c r="K99" s="639">
        <v>0.77</v>
      </c>
      <c r="L99" s="639">
        <v>1.03</v>
      </c>
      <c r="M99" s="639">
        <v>1.06</v>
      </c>
      <c r="N99" s="639">
        <v>1.1399999999999999</v>
      </c>
      <c r="O99" s="639">
        <v>1.39</v>
      </c>
      <c r="P99" s="616">
        <v>4</v>
      </c>
    </row>
    <row r="100" spans="1:16">
      <c r="A100" s="639" t="s">
        <v>351</v>
      </c>
      <c r="B100" s="639" t="s">
        <v>306</v>
      </c>
      <c r="C100" s="639" t="s">
        <v>305</v>
      </c>
      <c r="D100" s="639" t="s">
        <v>561</v>
      </c>
      <c r="E100" s="639" t="s">
        <v>562</v>
      </c>
      <c r="F100" s="639">
        <v>28632</v>
      </c>
      <c r="G100" s="639">
        <v>103101</v>
      </c>
      <c r="H100" s="639" t="s">
        <v>357</v>
      </c>
      <c r="I100" s="639" t="s">
        <v>570</v>
      </c>
      <c r="J100" s="639">
        <v>46</v>
      </c>
      <c r="K100" s="639">
        <v>0.82</v>
      </c>
      <c r="L100" s="639">
        <v>1.06</v>
      </c>
      <c r="M100" s="639">
        <v>1.1299999999999999</v>
      </c>
      <c r="N100" s="639">
        <v>1.01</v>
      </c>
      <c r="O100" s="639">
        <v>1.44</v>
      </c>
      <c r="P100" s="616">
        <v>4</v>
      </c>
    </row>
    <row r="101" spans="1:16">
      <c r="A101" s="639" t="s">
        <v>351</v>
      </c>
      <c r="B101" s="639" t="s">
        <v>306</v>
      </c>
      <c r="C101" s="639" t="s">
        <v>305</v>
      </c>
      <c r="D101" s="639" t="s">
        <v>561</v>
      </c>
      <c r="E101" s="639" t="s">
        <v>562</v>
      </c>
      <c r="F101" s="639">
        <v>4139</v>
      </c>
      <c r="G101" s="639">
        <v>103101</v>
      </c>
      <c r="H101" s="639" t="s">
        <v>357</v>
      </c>
      <c r="I101" s="639" t="s">
        <v>565</v>
      </c>
      <c r="J101" s="639">
        <v>42</v>
      </c>
      <c r="K101" s="639">
        <v>0.76</v>
      </c>
      <c r="L101" s="639">
        <v>1.1100000000000001</v>
      </c>
      <c r="M101" s="639">
        <v>1.1299999999999999</v>
      </c>
      <c r="N101" s="639">
        <v>1.02</v>
      </c>
      <c r="O101" s="639">
        <v>1.39</v>
      </c>
      <c r="P101" s="616">
        <v>4</v>
      </c>
    </row>
    <row r="102" spans="1:16">
      <c r="A102" s="639" t="s">
        <v>351</v>
      </c>
      <c r="B102" s="639" t="s">
        <v>306</v>
      </c>
      <c r="C102" s="639" t="s">
        <v>305</v>
      </c>
      <c r="D102" s="639" t="s">
        <v>561</v>
      </c>
      <c r="E102" s="639" t="s">
        <v>562</v>
      </c>
      <c r="F102" s="639">
        <v>4130</v>
      </c>
      <c r="G102" s="639">
        <v>103101</v>
      </c>
      <c r="H102" s="639" t="s">
        <v>357</v>
      </c>
      <c r="I102" s="639" t="s">
        <v>568</v>
      </c>
      <c r="J102" s="639">
        <v>44</v>
      </c>
      <c r="K102" s="639">
        <v>1.1399999999999999</v>
      </c>
      <c r="L102" s="639">
        <v>1.1100000000000001</v>
      </c>
      <c r="M102" s="639">
        <v>1.1299999999999999</v>
      </c>
      <c r="N102" s="639">
        <v>1.0900000000000001</v>
      </c>
      <c r="O102" s="639">
        <v>1.41</v>
      </c>
      <c r="P102" s="616">
        <v>4</v>
      </c>
    </row>
    <row r="103" spans="1:16">
      <c r="A103" s="639" t="s">
        <v>351</v>
      </c>
      <c r="B103" s="639" t="s">
        <v>306</v>
      </c>
      <c r="C103" s="639" t="s">
        <v>305</v>
      </c>
      <c r="D103" s="639" t="s">
        <v>561</v>
      </c>
      <c r="E103" s="639" t="s">
        <v>562</v>
      </c>
      <c r="F103" s="639">
        <v>28631</v>
      </c>
      <c r="G103" s="639">
        <v>103101</v>
      </c>
      <c r="H103" s="639" t="s">
        <v>357</v>
      </c>
      <c r="I103" s="639" t="s">
        <v>570</v>
      </c>
      <c r="J103" s="639">
        <v>44</v>
      </c>
      <c r="K103" s="639">
        <v>0.76</v>
      </c>
      <c r="L103" s="639">
        <v>1</v>
      </c>
      <c r="M103" s="639">
        <v>1.1499999999999999</v>
      </c>
      <c r="N103" s="639">
        <v>1.0900000000000001</v>
      </c>
      <c r="O103" s="639">
        <v>1.43</v>
      </c>
      <c r="P103" s="616">
        <v>4</v>
      </c>
    </row>
    <row r="104" spans="1:16">
      <c r="A104" s="639" t="s">
        <v>351</v>
      </c>
      <c r="B104" s="639" t="s">
        <v>306</v>
      </c>
      <c r="C104" s="639" t="s">
        <v>305</v>
      </c>
      <c r="D104" s="639" t="s">
        <v>561</v>
      </c>
      <c r="E104" s="639" t="s">
        <v>562</v>
      </c>
      <c r="F104" s="639">
        <v>4131</v>
      </c>
      <c r="G104" s="639">
        <v>103101</v>
      </c>
      <c r="H104" s="639" t="s">
        <v>357</v>
      </c>
      <c r="I104" s="639" t="s">
        <v>568</v>
      </c>
      <c r="J104" s="639">
        <v>46</v>
      </c>
      <c r="K104" s="639">
        <v>1.41</v>
      </c>
      <c r="L104" s="639">
        <v>1</v>
      </c>
      <c r="M104" s="639">
        <v>1.1499999999999999</v>
      </c>
      <c r="N104" s="639">
        <v>1.03</v>
      </c>
      <c r="O104" s="639">
        <v>1.38</v>
      </c>
      <c r="P104" s="616">
        <v>4</v>
      </c>
    </row>
    <row r="105" spans="1:16">
      <c r="A105" s="639" t="s">
        <v>351</v>
      </c>
      <c r="B105" s="639" t="s">
        <v>306</v>
      </c>
      <c r="C105" s="639" t="s">
        <v>305</v>
      </c>
      <c r="D105" s="639" t="s">
        <v>561</v>
      </c>
      <c r="E105" s="639" t="s">
        <v>562</v>
      </c>
      <c r="F105" s="639">
        <v>4140</v>
      </c>
      <c r="G105" s="639">
        <v>103101</v>
      </c>
      <c r="H105" s="639" t="s">
        <v>357</v>
      </c>
      <c r="I105" s="639" t="s">
        <v>565</v>
      </c>
      <c r="J105" s="639">
        <v>44</v>
      </c>
      <c r="K105" s="639">
        <v>0.74</v>
      </c>
      <c r="L105" s="639">
        <v>1</v>
      </c>
      <c r="M105" s="639">
        <v>1.1499999999999999</v>
      </c>
      <c r="N105" s="639">
        <v>1.01</v>
      </c>
      <c r="O105" s="639">
        <v>1.43</v>
      </c>
      <c r="P105" s="616">
        <v>4</v>
      </c>
    </row>
    <row r="106" spans="1:16">
      <c r="A106" s="639" t="s">
        <v>351</v>
      </c>
      <c r="B106" s="639" t="s">
        <v>306</v>
      </c>
      <c r="C106" s="639" t="s">
        <v>305</v>
      </c>
      <c r="D106" s="639" t="s">
        <v>561</v>
      </c>
      <c r="E106" s="639" t="s">
        <v>562</v>
      </c>
      <c r="F106" s="639">
        <v>4129</v>
      </c>
      <c r="G106" s="639">
        <v>103101</v>
      </c>
      <c r="H106" s="639" t="s">
        <v>357</v>
      </c>
      <c r="I106" s="639" t="s">
        <v>568</v>
      </c>
      <c r="J106" s="639">
        <v>42</v>
      </c>
      <c r="K106" s="639">
        <v>1.31</v>
      </c>
      <c r="L106" s="639">
        <v>1.1100000000000001</v>
      </c>
      <c r="M106" s="639">
        <v>1.1499999999999999</v>
      </c>
      <c r="N106" s="639">
        <v>1.01</v>
      </c>
      <c r="O106" s="639">
        <v>1.39</v>
      </c>
      <c r="P106" s="616">
        <v>4</v>
      </c>
    </row>
    <row r="107" spans="1:16">
      <c r="A107" s="639" t="s">
        <v>351</v>
      </c>
      <c r="B107" s="639" t="s">
        <v>306</v>
      </c>
      <c r="C107" s="639" t="s">
        <v>305</v>
      </c>
      <c r="D107" s="639" t="s">
        <v>561</v>
      </c>
      <c r="E107" s="639" t="s">
        <v>562</v>
      </c>
      <c r="F107" s="639">
        <v>4108</v>
      </c>
      <c r="G107" s="639">
        <v>103101</v>
      </c>
      <c r="H107" s="639" t="s">
        <v>357</v>
      </c>
      <c r="I107" s="639" t="s">
        <v>566</v>
      </c>
      <c r="J107" s="639">
        <v>44</v>
      </c>
      <c r="K107" s="639">
        <v>0.78</v>
      </c>
      <c r="L107" s="639">
        <v>1</v>
      </c>
      <c r="M107" s="639">
        <v>1.17</v>
      </c>
      <c r="N107" s="639">
        <v>1.1399999999999999</v>
      </c>
      <c r="O107" s="639">
        <v>1.42</v>
      </c>
      <c r="P107" s="616">
        <v>4</v>
      </c>
    </row>
    <row r="108" spans="1:16">
      <c r="A108" s="639" t="s">
        <v>351</v>
      </c>
      <c r="B108" s="639" t="s">
        <v>306</v>
      </c>
      <c r="C108" s="639" t="s">
        <v>305</v>
      </c>
      <c r="D108" s="639" t="s">
        <v>561</v>
      </c>
      <c r="E108" s="639" t="s">
        <v>562</v>
      </c>
      <c r="F108" s="639">
        <v>28630</v>
      </c>
      <c r="G108" s="639">
        <v>103101</v>
      </c>
      <c r="H108" s="639" t="s">
        <v>357</v>
      </c>
      <c r="I108" s="639" t="s">
        <v>570</v>
      </c>
      <c r="J108" s="639">
        <v>42</v>
      </c>
      <c r="K108" s="639">
        <v>0.76</v>
      </c>
      <c r="L108" s="639">
        <v>1.03</v>
      </c>
      <c r="M108" s="639">
        <v>1.17</v>
      </c>
      <c r="N108" s="639">
        <v>1.1399999999999999</v>
      </c>
      <c r="O108" s="639">
        <v>1.41</v>
      </c>
      <c r="P108" s="616">
        <v>4</v>
      </c>
    </row>
    <row r="109" spans="1:16">
      <c r="A109" s="639" t="s">
        <v>351</v>
      </c>
      <c r="B109" s="639" t="s">
        <v>306</v>
      </c>
      <c r="C109" s="639" t="s">
        <v>305</v>
      </c>
      <c r="D109" s="639" t="s">
        <v>561</v>
      </c>
      <c r="E109" s="639" t="s">
        <v>562</v>
      </c>
      <c r="F109" s="639">
        <v>4124</v>
      </c>
      <c r="G109" s="639">
        <v>103101</v>
      </c>
      <c r="H109" s="639" t="s">
        <v>357</v>
      </c>
      <c r="I109" s="639" t="s">
        <v>563</v>
      </c>
      <c r="J109" s="639">
        <v>40</v>
      </c>
      <c r="K109" s="639">
        <v>1.02</v>
      </c>
      <c r="L109" s="639">
        <v>1.05</v>
      </c>
      <c r="M109" s="639">
        <v>1.17</v>
      </c>
      <c r="N109" s="639">
        <v>1.02</v>
      </c>
      <c r="O109" s="639">
        <v>1.41</v>
      </c>
      <c r="P109" s="616">
        <v>4</v>
      </c>
    </row>
    <row r="110" spans="1:16">
      <c r="A110" s="639" t="s">
        <v>351</v>
      </c>
      <c r="B110" s="639" t="s">
        <v>306</v>
      </c>
      <c r="C110" s="639" t="s">
        <v>305</v>
      </c>
      <c r="D110" s="639" t="s">
        <v>561</v>
      </c>
      <c r="E110" s="639" t="s">
        <v>562</v>
      </c>
      <c r="F110" s="639">
        <v>28629</v>
      </c>
      <c r="G110" s="639">
        <v>103101</v>
      </c>
      <c r="H110" s="639" t="s">
        <v>357</v>
      </c>
      <c r="I110" s="639" t="s">
        <v>570</v>
      </c>
      <c r="J110" s="639">
        <v>40</v>
      </c>
      <c r="K110" s="639">
        <v>0.86</v>
      </c>
      <c r="L110" s="639">
        <v>1.1299999999999999</v>
      </c>
      <c r="M110" s="639">
        <v>1.17</v>
      </c>
      <c r="N110" s="639">
        <v>1.0900000000000001</v>
      </c>
      <c r="O110" s="639">
        <v>1.41</v>
      </c>
      <c r="P110" s="616">
        <v>4</v>
      </c>
    </row>
    <row r="111" spans="1:16">
      <c r="A111" s="639" t="s">
        <v>351</v>
      </c>
      <c r="B111" s="639" t="s">
        <v>306</v>
      </c>
      <c r="C111" s="639" t="s">
        <v>305</v>
      </c>
      <c r="D111" s="639" t="s">
        <v>561</v>
      </c>
      <c r="E111" s="639" t="s">
        <v>562</v>
      </c>
      <c r="F111" s="639">
        <v>4106</v>
      </c>
      <c r="G111" s="639">
        <v>103101</v>
      </c>
      <c r="H111" s="639" t="s">
        <v>357</v>
      </c>
      <c r="I111" s="639" t="s">
        <v>566</v>
      </c>
      <c r="J111" s="639">
        <v>40</v>
      </c>
      <c r="K111" s="639">
        <v>1.1100000000000001</v>
      </c>
      <c r="L111" s="639">
        <v>1.05</v>
      </c>
      <c r="M111" s="639">
        <v>1.18</v>
      </c>
      <c r="N111" s="639">
        <v>1.1399999999999999</v>
      </c>
      <c r="O111" s="639">
        <v>1.45</v>
      </c>
      <c r="P111" s="616">
        <v>4</v>
      </c>
    </row>
    <row r="112" spans="1:16">
      <c r="A112" s="639" t="s">
        <v>351</v>
      </c>
      <c r="B112" s="639" t="s">
        <v>306</v>
      </c>
      <c r="C112" s="639" t="s">
        <v>305</v>
      </c>
      <c r="D112" s="639" t="s">
        <v>561</v>
      </c>
      <c r="E112" s="639" t="s">
        <v>562</v>
      </c>
      <c r="F112" s="639">
        <v>4128</v>
      </c>
      <c r="G112" s="639">
        <v>103101</v>
      </c>
      <c r="H112" s="639" t="s">
        <v>357</v>
      </c>
      <c r="I112" s="639" t="s">
        <v>568</v>
      </c>
      <c r="J112" s="639">
        <v>40</v>
      </c>
      <c r="K112" s="639">
        <v>0.75</v>
      </c>
      <c r="L112" s="639">
        <v>1.1599999999999999</v>
      </c>
      <c r="M112" s="639">
        <v>1.18</v>
      </c>
      <c r="N112" s="639">
        <v>1.0900000000000001</v>
      </c>
      <c r="O112" s="639">
        <v>1.37</v>
      </c>
      <c r="P112" s="616">
        <v>4</v>
      </c>
    </row>
    <row r="113" spans="1:16">
      <c r="A113" s="639" t="s">
        <v>351</v>
      </c>
      <c r="B113" s="639" t="s">
        <v>306</v>
      </c>
      <c r="C113" s="639" t="s">
        <v>305</v>
      </c>
      <c r="D113" s="639" t="s">
        <v>561</v>
      </c>
      <c r="E113" s="639" t="s">
        <v>562</v>
      </c>
      <c r="F113" s="639">
        <v>4141</v>
      </c>
      <c r="G113" s="639">
        <v>103101</v>
      </c>
      <c r="H113" s="639" t="s">
        <v>357</v>
      </c>
      <c r="I113" s="639" t="s">
        <v>565</v>
      </c>
      <c r="J113" s="639">
        <v>46</v>
      </c>
      <c r="K113" s="639">
        <v>0.81</v>
      </c>
      <c r="L113" s="639">
        <v>1.1599999999999999</v>
      </c>
      <c r="M113" s="639">
        <v>1.18</v>
      </c>
      <c r="N113" s="639">
        <v>1.1399999999999999</v>
      </c>
      <c r="O113" s="639">
        <v>1.47</v>
      </c>
      <c r="P113" s="616">
        <v>4</v>
      </c>
    </row>
    <row r="114" spans="1:16">
      <c r="A114" s="639" t="s">
        <v>351</v>
      </c>
      <c r="B114" s="639" t="s">
        <v>369</v>
      </c>
      <c r="C114" s="639" t="s">
        <v>305</v>
      </c>
      <c r="D114" s="639" t="s">
        <v>561</v>
      </c>
      <c r="E114" s="639" t="s">
        <v>562</v>
      </c>
      <c r="F114" s="639">
        <v>18079</v>
      </c>
      <c r="G114" s="639">
        <v>103102</v>
      </c>
      <c r="H114" s="639" t="s">
        <v>372</v>
      </c>
      <c r="I114" s="639" t="s">
        <v>563</v>
      </c>
      <c r="J114" s="639">
        <v>42</v>
      </c>
      <c r="K114" s="639">
        <v>0.85</v>
      </c>
      <c r="L114" s="639">
        <v>1.02</v>
      </c>
      <c r="M114" s="639">
        <v>1.02</v>
      </c>
      <c r="N114" s="639">
        <v>1.1399999999999999</v>
      </c>
      <c r="O114" s="639">
        <v>1.43</v>
      </c>
      <c r="P114" s="616">
        <v>10</v>
      </c>
    </row>
    <row r="115" spans="1:16">
      <c r="A115" s="639" t="s">
        <v>351</v>
      </c>
      <c r="B115" s="639" t="s">
        <v>369</v>
      </c>
      <c r="C115" s="639" t="s">
        <v>305</v>
      </c>
      <c r="D115" s="639" t="s">
        <v>561</v>
      </c>
      <c r="E115" s="639" t="s">
        <v>562</v>
      </c>
      <c r="F115" s="639">
        <v>18084</v>
      </c>
      <c r="G115" s="639">
        <v>103102</v>
      </c>
      <c r="H115" s="639" t="s">
        <v>372</v>
      </c>
      <c r="I115" s="639" t="s">
        <v>565</v>
      </c>
      <c r="J115" s="639">
        <v>40</v>
      </c>
      <c r="K115" s="639">
        <v>0.83</v>
      </c>
      <c r="L115" s="639">
        <v>1.03</v>
      </c>
      <c r="M115" s="639">
        <v>1.03</v>
      </c>
      <c r="N115" s="639">
        <v>1.18</v>
      </c>
      <c r="O115" s="639">
        <v>1.36</v>
      </c>
      <c r="P115" s="616">
        <v>10</v>
      </c>
    </row>
    <row r="116" spans="1:16">
      <c r="A116" s="639" t="s">
        <v>351</v>
      </c>
      <c r="B116" s="639" t="s">
        <v>369</v>
      </c>
      <c r="C116" s="639" t="s">
        <v>305</v>
      </c>
      <c r="D116" s="639" t="s">
        <v>561</v>
      </c>
      <c r="E116" s="639" t="s">
        <v>562</v>
      </c>
      <c r="F116" s="639">
        <v>18082</v>
      </c>
      <c r="G116" s="639">
        <v>103102</v>
      </c>
      <c r="H116" s="639" t="s">
        <v>372</v>
      </c>
      <c r="I116" s="639" t="s">
        <v>568</v>
      </c>
      <c r="J116" s="639">
        <v>42</v>
      </c>
      <c r="K116" s="639">
        <v>1.32</v>
      </c>
      <c r="L116" s="639">
        <v>1.1599999999999999</v>
      </c>
      <c r="M116" s="639">
        <v>1.03</v>
      </c>
      <c r="N116" s="639">
        <v>1.03</v>
      </c>
      <c r="O116" s="639">
        <v>1.4</v>
      </c>
      <c r="P116" s="616">
        <v>10</v>
      </c>
    </row>
    <row r="117" spans="1:16">
      <c r="A117" s="639" t="s">
        <v>351</v>
      </c>
      <c r="B117" s="639" t="s">
        <v>369</v>
      </c>
      <c r="C117" s="639" t="s">
        <v>305</v>
      </c>
      <c r="D117" s="639" t="s">
        <v>561</v>
      </c>
      <c r="E117" s="639" t="s">
        <v>562</v>
      </c>
      <c r="F117" s="639">
        <v>18080</v>
      </c>
      <c r="G117" s="639">
        <v>103102</v>
      </c>
      <c r="H117" s="639" t="s">
        <v>372</v>
      </c>
      <c r="I117" s="639" t="s">
        <v>563</v>
      </c>
      <c r="J117" s="639">
        <v>44</v>
      </c>
      <c r="K117" s="639">
        <v>0.76</v>
      </c>
      <c r="L117" s="639">
        <v>1.01</v>
      </c>
      <c r="M117" s="639">
        <v>1.03</v>
      </c>
      <c r="N117" s="639">
        <v>1.0900000000000001</v>
      </c>
      <c r="O117" s="639">
        <v>1.37</v>
      </c>
      <c r="P117" s="616">
        <v>10</v>
      </c>
    </row>
    <row r="118" spans="1:16">
      <c r="A118" s="639" t="s">
        <v>351</v>
      </c>
      <c r="B118" s="639" t="s">
        <v>369</v>
      </c>
      <c r="C118" s="639" t="s">
        <v>305</v>
      </c>
      <c r="D118" s="639" t="s">
        <v>561</v>
      </c>
      <c r="E118" s="639" t="s">
        <v>562</v>
      </c>
      <c r="F118" s="639">
        <v>19658</v>
      </c>
      <c r="G118" s="639">
        <v>103102</v>
      </c>
      <c r="H118" s="639" t="s">
        <v>372</v>
      </c>
      <c r="I118" s="639" t="s">
        <v>563</v>
      </c>
      <c r="J118" s="639">
        <v>46</v>
      </c>
      <c r="K118" s="639">
        <v>1</v>
      </c>
      <c r="L118" s="639">
        <v>1.05</v>
      </c>
      <c r="M118" s="639">
        <v>1.08</v>
      </c>
      <c r="N118" s="639">
        <v>1.04</v>
      </c>
      <c r="O118" s="639">
        <v>1.39</v>
      </c>
      <c r="P118" s="616">
        <v>10</v>
      </c>
    </row>
    <row r="119" spans="1:16">
      <c r="A119" s="639" t="s">
        <v>351</v>
      </c>
      <c r="B119" s="639" t="s">
        <v>369</v>
      </c>
      <c r="C119" s="639" t="s">
        <v>305</v>
      </c>
      <c r="D119" s="639" t="s">
        <v>561</v>
      </c>
      <c r="E119" s="639" t="s">
        <v>562</v>
      </c>
      <c r="F119" s="639">
        <v>18078</v>
      </c>
      <c r="G119" s="639">
        <v>103102</v>
      </c>
      <c r="H119" s="639" t="s">
        <v>372</v>
      </c>
      <c r="I119" s="639" t="s">
        <v>563</v>
      </c>
      <c r="J119" s="639">
        <v>40</v>
      </c>
      <c r="K119" s="639">
        <v>1.1599999999999999</v>
      </c>
      <c r="L119" s="639">
        <v>1.07</v>
      </c>
      <c r="M119" s="639">
        <v>1.1299999999999999</v>
      </c>
      <c r="N119" s="639">
        <v>1.1399999999999999</v>
      </c>
      <c r="O119" s="639">
        <v>1.44</v>
      </c>
      <c r="P119" s="616">
        <v>10</v>
      </c>
    </row>
    <row r="120" spans="1:16">
      <c r="A120" s="639" t="s">
        <v>351</v>
      </c>
      <c r="B120" s="639" t="s">
        <v>369</v>
      </c>
      <c r="C120" s="639" t="s">
        <v>305</v>
      </c>
      <c r="D120" s="639" t="s">
        <v>561</v>
      </c>
      <c r="E120" s="639" t="s">
        <v>562</v>
      </c>
      <c r="F120" s="639">
        <v>19657</v>
      </c>
      <c r="G120" s="639">
        <v>103102</v>
      </c>
      <c r="H120" s="639" t="s">
        <v>372</v>
      </c>
      <c r="I120" s="639" t="s">
        <v>565</v>
      </c>
      <c r="J120" s="639">
        <v>46</v>
      </c>
      <c r="K120" s="639">
        <v>1.3</v>
      </c>
      <c r="L120" s="639">
        <v>1.01</v>
      </c>
      <c r="M120" s="639">
        <v>1.1499999999999999</v>
      </c>
      <c r="N120" s="639">
        <v>1.08</v>
      </c>
      <c r="O120" s="639">
        <v>1.4</v>
      </c>
      <c r="P120" s="616">
        <v>10</v>
      </c>
    </row>
    <row r="121" spans="1:16">
      <c r="A121" s="639" t="s">
        <v>351</v>
      </c>
      <c r="B121" s="639" t="s">
        <v>369</v>
      </c>
      <c r="C121" s="639" t="s">
        <v>305</v>
      </c>
      <c r="D121" s="639" t="s">
        <v>561</v>
      </c>
      <c r="E121" s="639" t="s">
        <v>562</v>
      </c>
      <c r="F121" s="639">
        <v>18083</v>
      </c>
      <c r="G121" s="639">
        <v>103102</v>
      </c>
      <c r="H121" s="639" t="s">
        <v>372</v>
      </c>
      <c r="I121" s="639" t="s">
        <v>568</v>
      </c>
      <c r="J121" s="639">
        <v>44</v>
      </c>
      <c r="K121" s="639">
        <v>1.38</v>
      </c>
      <c r="L121" s="639">
        <v>1.1299999999999999</v>
      </c>
      <c r="M121" s="639">
        <v>1.1499999999999999</v>
      </c>
      <c r="N121" s="639">
        <v>1.0900000000000001</v>
      </c>
      <c r="O121" s="639">
        <v>1.41</v>
      </c>
      <c r="P121" s="616">
        <v>10</v>
      </c>
    </row>
    <row r="122" spans="1:16">
      <c r="A122" s="639" t="s">
        <v>351</v>
      </c>
      <c r="B122" s="639" t="s">
        <v>369</v>
      </c>
      <c r="C122" s="639" t="s">
        <v>305</v>
      </c>
      <c r="D122" s="639" t="s">
        <v>561</v>
      </c>
      <c r="E122" s="639" t="s">
        <v>562</v>
      </c>
      <c r="F122" s="639">
        <v>18086</v>
      </c>
      <c r="G122" s="639">
        <v>103102</v>
      </c>
      <c r="H122" s="639" t="s">
        <v>372</v>
      </c>
      <c r="I122" s="639" t="s">
        <v>565</v>
      </c>
      <c r="J122" s="639">
        <v>44</v>
      </c>
      <c r="K122" s="639">
        <v>0.76</v>
      </c>
      <c r="L122" s="639">
        <v>1.18</v>
      </c>
      <c r="M122" s="639">
        <v>1.1499999999999999</v>
      </c>
      <c r="N122" s="639">
        <v>1.01</v>
      </c>
      <c r="O122" s="639">
        <v>1.38</v>
      </c>
      <c r="P122" s="616">
        <v>10</v>
      </c>
    </row>
    <row r="123" spans="1:16">
      <c r="A123" s="639" t="s">
        <v>351</v>
      </c>
      <c r="B123" s="639" t="s">
        <v>369</v>
      </c>
      <c r="C123" s="639" t="s">
        <v>305</v>
      </c>
      <c r="D123" s="639" t="s">
        <v>561</v>
      </c>
      <c r="E123" s="639" t="s">
        <v>562</v>
      </c>
      <c r="F123" s="639">
        <v>19655</v>
      </c>
      <c r="G123" s="639">
        <v>103102</v>
      </c>
      <c r="H123" s="639" t="s">
        <v>372</v>
      </c>
      <c r="I123" s="639" t="s">
        <v>568</v>
      </c>
      <c r="J123" s="639">
        <v>46</v>
      </c>
      <c r="K123" s="639">
        <v>0.96</v>
      </c>
      <c r="L123" s="639">
        <v>1.1299999999999999</v>
      </c>
      <c r="M123" s="639">
        <v>1.17</v>
      </c>
      <c r="N123" s="639">
        <v>1.01</v>
      </c>
      <c r="O123" s="639">
        <v>1.42</v>
      </c>
      <c r="P123" s="616">
        <v>10</v>
      </c>
    </row>
    <row r="124" spans="1:16">
      <c r="A124" s="639" t="s">
        <v>351</v>
      </c>
      <c r="B124" s="639" t="s">
        <v>369</v>
      </c>
      <c r="C124" s="639" t="s">
        <v>305</v>
      </c>
      <c r="D124" s="639" t="s">
        <v>561</v>
      </c>
      <c r="E124" s="639" t="s">
        <v>562</v>
      </c>
      <c r="F124" s="639">
        <v>18081</v>
      </c>
      <c r="G124" s="639">
        <v>103102</v>
      </c>
      <c r="H124" s="639" t="s">
        <v>372</v>
      </c>
      <c r="I124" s="639" t="s">
        <v>568</v>
      </c>
      <c r="J124" s="639">
        <v>40</v>
      </c>
      <c r="K124" s="639">
        <v>1.39</v>
      </c>
      <c r="L124" s="639">
        <v>1.18</v>
      </c>
      <c r="M124" s="639">
        <v>1.17</v>
      </c>
      <c r="N124" s="639">
        <v>1.0900000000000001</v>
      </c>
      <c r="O124" s="639">
        <v>1.43</v>
      </c>
      <c r="P124" s="616">
        <v>10</v>
      </c>
    </row>
    <row r="125" spans="1:16">
      <c r="A125" s="639" t="s">
        <v>351</v>
      </c>
      <c r="B125" s="639" t="s">
        <v>369</v>
      </c>
      <c r="C125" s="639" t="s">
        <v>305</v>
      </c>
      <c r="D125" s="639" t="s">
        <v>561</v>
      </c>
      <c r="E125" s="639" t="s">
        <v>562</v>
      </c>
      <c r="F125" s="639">
        <v>18085</v>
      </c>
      <c r="G125" s="639">
        <v>103102</v>
      </c>
      <c r="H125" s="639" t="s">
        <v>372</v>
      </c>
      <c r="I125" s="639" t="s">
        <v>565</v>
      </c>
      <c r="J125" s="639">
        <v>42</v>
      </c>
      <c r="K125" s="639">
        <v>0.97</v>
      </c>
      <c r="L125" s="639">
        <v>1.02</v>
      </c>
      <c r="M125" s="639">
        <v>1.18</v>
      </c>
      <c r="N125" s="639">
        <v>1.0900000000000001</v>
      </c>
      <c r="O125" s="639">
        <v>1.44</v>
      </c>
      <c r="P125" s="616">
        <v>10</v>
      </c>
    </row>
    <row r="126" spans="1:16">
      <c r="A126" s="639" t="s">
        <v>351</v>
      </c>
      <c r="B126" s="639" t="s">
        <v>306</v>
      </c>
      <c r="C126" s="639" t="s">
        <v>305</v>
      </c>
      <c r="D126" s="639" t="s">
        <v>561</v>
      </c>
      <c r="E126" s="639" t="s">
        <v>562</v>
      </c>
      <c r="F126" s="639">
        <v>30067</v>
      </c>
      <c r="G126" s="639">
        <v>103204</v>
      </c>
      <c r="H126" s="639" t="s">
        <v>358</v>
      </c>
      <c r="I126" s="639" t="s">
        <v>563</v>
      </c>
      <c r="J126" s="639">
        <v>46</v>
      </c>
      <c r="K126" s="639">
        <v>1.38</v>
      </c>
      <c r="L126" s="639">
        <v>1</v>
      </c>
      <c r="M126" s="639">
        <v>1.01</v>
      </c>
      <c r="N126" s="639">
        <v>1.1399999999999999</v>
      </c>
      <c r="O126" s="639">
        <v>1.44</v>
      </c>
      <c r="P126" s="616">
        <v>32</v>
      </c>
    </row>
    <row r="127" spans="1:16">
      <c r="A127" s="639" t="s">
        <v>351</v>
      </c>
      <c r="B127" s="639" t="s">
        <v>306</v>
      </c>
      <c r="C127" s="639" t="s">
        <v>305</v>
      </c>
      <c r="D127" s="639" t="s">
        <v>561</v>
      </c>
      <c r="E127" s="639" t="s">
        <v>562</v>
      </c>
      <c r="F127" s="639">
        <v>30065</v>
      </c>
      <c r="G127" s="639">
        <v>103204</v>
      </c>
      <c r="H127" s="639" t="s">
        <v>358</v>
      </c>
      <c r="I127" s="639" t="s">
        <v>563</v>
      </c>
      <c r="J127" s="639">
        <v>42</v>
      </c>
      <c r="K127" s="639">
        <v>1.34</v>
      </c>
      <c r="L127" s="639">
        <v>1</v>
      </c>
      <c r="M127" s="639">
        <v>1.02</v>
      </c>
      <c r="N127" s="639">
        <v>1.02</v>
      </c>
      <c r="O127" s="639">
        <v>1.45</v>
      </c>
      <c r="P127" s="616">
        <v>32</v>
      </c>
    </row>
    <row r="128" spans="1:16">
      <c r="A128" s="639" t="s">
        <v>351</v>
      </c>
      <c r="B128" s="639" t="s">
        <v>306</v>
      </c>
      <c r="C128" s="639" t="s">
        <v>305</v>
      </c>
      <c r="D128" s="639" t="s">
        <v>561</v>
      </c>
      <c r="E128" s="639" t="s">
        <v>562</v>
      </c>
      <c r="F128" s="639">
        <v>30062</v>
      </c>
      <c r="G128" s="639">
        <v>103204</v>
      </c>
      <c r="H128" s="639" t="s">
        <v>358</v>
      </c>
      <c r="I128" s="639" t="s">
        <v>568</v>
      </c>
      <c r="J128" s="639">
        <v>44</v>
      </c>
      <c r="K128" s="639">
        <v>0.76</v>
      </c>
      <c r="L128" s="639">
        <v>1.01</v>
      </c>
      <c r="M128" s="639">
        <v>1.1299999999999999</v>
      </c>
      <c r="N128" s="639">
        <v>1.1399999999999999</v>
      </c>
      <c r="O128" s="639">
        <v>1.42</v>
      </c>
      <c r="P128" s="616">
        <v>32</v>
      </c>
    </row>
    <row r="129" spans="1:16">
      <c r="A129" s="639" t="s">
        <v>351</v>
      </c>
      <c r="B129" s="639" t="s">
        <v>306</v>
      </c>
      <c r="C129" s="639" t="s">
        <v>305</v>
      </c>
      <c r="D129" s="639" t="s">
        <v>561</v>
      </c>
      <c r="E129" s="639" t="s">
        <v>562</v>
      </c>
      <c r="F129" s="639">
        <v>30061</v>
      </c>
      <c r="G129" s="639">
        <v>103204</v>
      </c>
      <c r="H129" s="639" t="s">
        <v>358</v>
      </c>
      <c r="I129" s="639" t="s">
        <v>568</v>
      </c>
      <c r="J129" s="639">
        <v>42</v>
      </c>
      <c r="K129" s="639">
        <v>0.82</v>
      </c>
      <c r="L129" s="639">
        <v>1.1100000000000001</v>
      </c>
      <c r="M129" s="639">
        <v>1.1299999999999999</v>
      </c>
      <c r="N129" s="639">
        <v>1.0900000000000001</v>
      </c>
      <c r="O129" s="639">
        <v>1.38</v>
      </c>
      <c r="P129" s="616">
        <v>32</v>
      </c>
    </row>
    <row r="130" spans="1:16">
      <c r="A130" s="639" t="s">
        <v>351</v>
      </c>
      <c r="B130" s="639" t="s">
        <v>306</v>
      </c>
      <c r="C130" s="639" t="s">
        <v>305</v>
      </c>
      <c r="D130" s="639" t="s">
        <v>561</v>
      </c>
      <c r="E130" s="639" t="s">
        <v>562</v>
      </c>
      <c r="F130" s="639">
        <v>30063</v>
      </c>
      <c r="G130" s="639">
        <v>103204</v>
      </c>
      <c r="H130" s="639" t="s">
        <v>358</v>
      </c>
      <c r="I130" s="639" t="s">
        <v>568</v>
      </c>
      <c r="J130" s="639">
        <v>46</v>
      </c>
      <c r="K130" s="639">
        <v>0.8</v>
      </c>
      <c r="L130" s="639">
        <v>1</v>
      </c>
      <c r="M130" s="639">
        <v>1.1499999999999999</v>
      </c>
      <c r="N130" s="639">
        <v>1.1399999999999999</v>
      </c>
      <c r="O130" s="639">
        <v>1.4</v>
      </c>
      <c r="P130" s="616">
        <v>32</v>
      </c>
    </row>
    <row r="131" spans="1:16">
      <c r="A131" s="639" t="s">
        <v>351</v>
      </c>
      <c r="B131" s="639" t="s">
        <v>306</v>
      </c>
      <c r="C131" s="639" t="s">
        <v>305</v>
      </c>
      <c r="D131" s="639" t="s">
        <v>561</v>
      </c>
      <c r="E131" s="639" t="s">
        <v>562</v>
      </c>
      <c r="F131" s="639">
        <v>30064</v>
      </c>
      <c r="G131" s="639">
        <v>103204</v>
      </c>
      <c r="H131" s="639" t="s">
        <v>358</v>
      </c>
      <c r="I131" s="639" t="s">
        <v>568</v>
      </c>
      <c r="J131" s="639">
        <v>48</v>
      </c>
      <c r="K131" s="639">
        <v>0.75</v>
      </c>
      <c r="L131" s="639">
        <v>1.01</v>
      </c>
      <c r="M131" s="639">
        <v>1.1499999999999999</v>
      </c>
      <c r="N131" s="639">
        <v>1.02</v>
      </c>
      <c r="O131" s="639">
        <v>1.39</v>
      </c>
      <c r="P131" s="616">
        <v>32</v>
      </c>
    </row>
    <row r="132" spans="1:16">
      <c r="A132" s="639" t="s">
        <v>351</v>
      </c>
      <c r="B132" s="639" t="s">
        <v>306</v>
      </c>
      <c r="C132" s="639" t="s">
        <v>305</v>
      </c>
      <c r="D132" s="639" t="s">
        <v>561</v>
      </c>
      <c r="E132" s="639" t="s">
        <v>562</v>
      </c>
      <c r="F132" s="639">
        <v>30066</v>
      </c>
      <c r="G132" s="639">
        <v>103204</v>
      </c>
      <c r="H132" s="639" t="s">
        <v>358</v>
      </c>
      <c r="I132" s="639" t="s">
        <v>563</v>
      </c>
      <c r="J132" s="639">
        <v>44</v>
      </c>
      <c r="K132" s="639">
        <v>1.39</v>
      </c>
      <c r="L132" s="639">
        <v>1.02</v>
      </c>
      <c r="M132" s="639">
        <v>1.1499999999999999</v>
      </c>
      <c r="N132" s="639">
        <v>1.03</v>
      </c>
      <c r="O132" s="639">
        <v>1.43</v>
      </c>
      <c r="P132" s="616">
        <v>32</v>
      </c>
    </row>
    <row r="133" spans="1:16">
      <c r="A133" s="639" t="s">
        <v>351</v>
      </c>
      <c r="B133" s="639" t="s">
        <v>306</v>
      </c>
      <c r="C133" s="639" t="s">
        <v>305</v>
      </c>
      <c r="D133" s="639" t="s">
        <v>561</v>
      </c>
      <c r="E133" s="639" t="s">
        <v>562</v>
      </c>
      <c r="F133" s="639">
        <v>30068</v>
      </c>
      <c r="G133" s="639">
        <v>103204</v>
      </c>
      <c r="H133" s="639" t="s">
        <v>358</v>
      </c>
      <c r="I133" s="639" t="s">
        <v>563</v>
      </c>
      <c r="J133" s="639">
        <v>48</v>
      </c>
      <c r="K133" s="639">
        <v>0.87</v>
      </c>
      <c r="L133" s="639">
        <v>1.05</v>
      </c>
      <c r="M133" s="639">
        <v>1.1499999999999999</v>
      </c>
      <c r="N133" s="639">
        <v>1</v>
      </c>
      <c r="O133" s="639">
        <v>1.39</v>
      </c>
      <c r="P133" s="616">
        <v>32</v>
      </c>
    </row>
    <row r="134" spans="1:16">
      <c r="A134" s="639" t="s">
        <v>351</v>
      </c>
      <c r="B134" s="639" t="s">
        <v>306</v>
      </c>
      <c r="C134" s="639" t="s">
        <v>305</v>
      </c>
      <c r="D134" s="639" t="s">
        <v>576</v>
      </c>
      <c r="E134" s="639" t="s">
        <v>562</v>
      </c>
      <c r="F134" s="639">
        <v>31073</v>
      </c>
      <c r="G134" s="639">
        <v>103802</v>
      </c>
      <c r="H134" s="639" t="s">
        <v>360</v>
      </c>
      <c r="I134" s="639" t="s">
        <v>566</v>
      </c>
      <c r="J134" s="639" t="s">
        <v>567</v>
      </c>
      <c r="K134" s="639">
        <v>0.83</v>
      </c>
      <c r="L134" s="639">
        <v>1.1499999999999999</v>
      </c>
      <c r="M134" s="639">
        <v>1.08</v>
      </c>
      <c r="N134" s="639">
        <v>1.06</v>
      </c>
      <c r="O134" s="639">
        <v>1.2</v>
      </c>
      <c r="P134" s="616">
        <v>39</v>
      </c>
    </row>
    <row r="135" spans="1:16">
      <c r="A135" s="639" t="s">
        <v>351</v>
      </c>
      <c r="B135" s="639" t="s">
        <v>306</v>
      </c>
      <c r="C135" s="639" t="s">
        <v>305</v>
      </c>
      <c r="D135" s="639" t="s">
        <v>561</v>
      </c>
      <c r="E135" s="639" t="s">
        <v>562</v>
      </c>
      <c r="F135" s="639">
        <v>30289</v>
      </c>
      <c r="G135" s="639">
        <v>103802</v>
      </c>
      <c r="H135" s="639" t="s">
        <v>360</v>
      </c>
      <c r="I135" s="639" t="s">
        <v>563</v>
      </c>
      <c r="J135" s="639" t="s">
        <v>567</v>
      </c>
      <c r="K135" s="639">
        <v>2.12</v>
      </c>
      <c r="L135" s="639">
        <v>1.22</v>
      </c>
      <c r="M135" s="639">
        <v>1.08</v>
      </c>
      <c r="N135" s="639">
        <v>1.07</v>
      </c>
      <c r="O135" s="639">
        <v>1.51</v>
      </c>
      <c r="P135" s="616">
        <v>39</v>
      </c>
    </row>
    <row r="136" spans="1:16">
      <c r="A136" s="639" t="s">
        <v>351</v>
      </c>
      <c r="B136" s="639" t="s">
        <v>306</v>
      </c>
      <c r="C136" s="639" t="s">
        <v>305</v>
      </c>
      <c r="D136" s="639" t="s">
        <v>576</v>
      </c>
      <c r="E136" s="639" t="s">
        <v>562</v>
      </c>
      <c r="F136" s="639">
        <v>31109</v>
      </c>
      <c r="G136" s="639">
        <v>103802</v>
      </c>
      <c r="H136" s="639" t="s">
        <v>360</v>
      </c>
      <c r="I136" s="639" t="s">
        <v>570</v>
      </c>
      <c r="J136" s="639" t="s">
        <v>567</v>
      </c>
      <c r="K136" s="639">
        <v>0.81</v>
      </c>
      <c r="L136" s="639">
        <v>1.17</v>
      </c>
      <c r="M136" s="639">
        <v>1.1100000000000001</v>
      </c>
      <c r="N136" s="639">
        <v>1.29</v>
      </c>
      <c r="O136" s="639">
        <v>1.43</v>
      </c>
      <c r="P136" s="616">
        <v>39</v>
      </c>
    </row>
    <row r="137" spans="1:16">
      <c r="A137" s="639" t="s">
        <v>351</v>
      </c>
      <c r="B137" s="639" t="s">
        <v>306</v>
      </c>
      <c r="C137" s="639" t="s">
        <v>305</v>
      </c>
      <c r="D137" s="639" t="s">
        <v>576</v>
      </c>
      <c r="E137" s="639" t="s">
        <v>562</v>
      </c>
      <c r="F137" s="639">
        <v>31074</v>
      </c>
      <c r="G137" s="639">
        <v>103802</v>
      </c>
      <c r="H137" s="639" t="s">
        <v>360</v>
      </c>
      <c r="I137" s="639" t="s">
        <v>566</v>
      </c>
      <c r="J137" s="639" t="s">
        <v>571</v>
      </c>
      <c r="K137" s="639">
        <v>1.79</v>
      </c>
      <c r="L137" s="639">
        <v>1.04</v>
      </c>
      <c r="M137" s="639">
        <v>1.1299999999999999</v>
      </c>
      <c r="N137" s="639">
        <v>1.02</v>
      </c>
      <c r="O137" s="639">
        <v>1.45</v>
      </c>
      <c r="P137" s="616">
        <v>39</v>
      </c>
    </row>
    <row r="138" spans="1:16">
      <c r="A138" s="639" t="s">
        <v>351</v>
      </c>
      <c r="B138" s="639" t="s">
        <v>306</v>
      </c>
      <c r="C138" s="639" t="s">
        <v>305</v>
      </c>
      <c r="D138" s="639" t="s">
        <v>561</v>
      </c>
      <c r="E138" s="639" t="s">
        <v>562</v>
      </c>
      <c r="F138" s="639">
        <v>30286</v>
      </c>
      <c r="G138" s="639">
        <v>103802</v>
      </c>
      <c r="H138" s="639" t="s">
        <v>360</v>
      </c>
      <c r="I138" s="639" t="s">
        <v>568</v>
      </c>
      <c r="J138" s="639" t="s">
        <v>567</v>
      </c>
      <c r="K138" s="639">
        <v>1.3</v>
      </c>
      <c r="L138" s="639">
        <v>1.0900000000000001</v>
      </c>
      <c r="M138" s="639">
        <v>1.1299999999999999</v>
      </c>
      <c r="N138" s="639">
        <v>1.05</v>
      </c>
      <c r="O138" s="639">
        <v>1.4</v>
      </c>
      <c r="P138" s="616">
        <v>39</v>
      </c>
    </row>
    <row r="139" spans="1:16">
      <c r="A139" s="639" t="s">
        <v>351</v>
      </c>
      <c r="B139" s="639" t="s">
        <v>306</v>
      </c>
      <c r="C139" s="639" t="s">
        <v>305</v>
      </c>
      <c r="D139" s="639" t="s">
        <v>561</v>
      </c>
      <c r="E139" s="639" t="s">
        <v>562</v>
      </c>
      <c r="F139" s="639">
        <v>30287</v>
      </c>
      <c r="G139" s="639">
        <v>103802</v>
      </c>
      <c r="H139" s="639" t="s">
        <v>360</v>
      </c>
      <c r="I139" s="639" t="s">
        <v>568</v>
      </c>
      <c r="J139" s="639" t="s">
        <v>571</v>
      </c>
      <c r="K139" s="639">
        <v>1.85</v>
      </c>
      <c r="L139" s="639">
        <v>1.03</v>
      </c>
      <c r="M139" s="639">
        <v>1.1399999999999999</v>
      </c>
      <c r="N139" s="639">
        <v>1.06</v>
      </c>
      <c r="O139" s="639">
        <v>1.37</v>
      </c>
      <c r="P139" s="616">
        <v>39</v>
      </c>
    </row>
    <row r="140" spans="1:16">
      <c r="A140" s="639" t="s">
        <v>351</v>
      </c>
      <c r="B140" s="639" t="s">
        <v>306</v>
      </c>
      <c r="C140" s="639" t="s">
        <v>305</v>
      </c>
      <c r="D140" s="639" t="s">
        <v>561</v>
      </c>
      <c r="E140" s="639" t="s">
        <v>562</v>
      </c>
      <c r="F140" s="639">
        <v>30290</v>
      </c>
      <c r="G140" s="639">
        <v>103802</v>
      </c>
      <c r="H140" s="639" t="s">
        <v>360</v>
      </c>
      <c r="I140" s="639" t="s">
        <v>563</v>
      </c>
      <c r="J140" s="639" t="s">
        <v>571</v>
      </c>
      <c r="K140" s="639">
        <v>0.75</v>
      </c>
      <c r="L140" s="639">
        <v>1.06</v>
      </c>
      <c r="M140" s="639">
        <v>1.1399999999999999</v>
      </c>
      <c r="N140" s="639">
        <v>1.04</v>
      </c>
      <c r="O140" s="639">
        <v>1.47</v>
      </c>
      <c r="P140" s="616">
        <v>39</v>
      </c>
    </row>
    <row r="141" spans="1:16">
      <c r="A141" s="639" t="s">
        <v>351</v>
      </c>
      <c r="B141" s="639" t="s">
        <v>306</v>
      </c>
      <c r="C141" s="639" t="s">
        <v>305</v>
      </c>
      <c r="D141" s="639" t="s">
        <v>561</v>
      </c>
      <c r="E141" s="639" t="s">
        <v>562</v>
      </c>
      <c r="F141" s="639">
        <v>30291</v>
      </c>
      <c r="G141" s="639">
        <v>103802</v>
      </c>
      <c r="H141" s="639" t="s">
        <v>360</v>
      </c>
      <c r="I141" s="639" t="s">
        <v>563</v>
      </c>
      <c r="J141" s="639" t="s">
        <v>564</v>
      </c>
      <c r="K141" s="639">
        <v>0.86</v>
      </c>
      <c r="L141" s="639">
        <v>1.1499999999999999</v>
      </c>
      <c r="M141" s="639">
        <v>1.1399999999999999</v>
      </c>
      <c r="N141" s="639">
        <v>1.18</v>
      </c>
      <c r="O141" s="639">
        <v>1.46</v>
      </c>
      <c r="P141" s="616">
        <v>39</v>
      </c>
    </row>
    <row r="142" spans="1:16">
      <c r="A142" s="639" t="s">
        <v>351</v>
      </c>
      <c r="B142" s="639" t="s">
        <v>306</v>
      </c>
      <c r="C142" s="639" t="s">
        <v>305</v>
      </c>
      <c r="D142" s="639" t="s">
        <v>576</v>
      </c>
      <c r="E142" s="639" t="s">
        <v>562</v>
      </c>
      <c r="F142" s="639">
        <v>31076</v>
      </c>
      <c r="G142" s="639">
        <v>103802</v>
      </c>
      <c r="H142" s="639" t="s">
        <v>360</v>
      </c>
      <c r="I142" s="639" t="s">
        <v>566</v>
      </c>
      <c r="J142" s="639" t="s">
        <v>569</v>
      </c>
      <c r="K142" s="639">
        <v>0.75</v>
      </c>
      <c r="L142" s="639">
        <v>0.94</v>
      </c>
      <c r="M142" s="639">
        <v>1.1499999999999999</v>
      </c>
      <c r="N142" s="639">
        <v>1.1200000000000001</v>
      </c>
      <c r="O142" s="639">
        <v>1.07</v>
      </c>
      <c r="P142" s="616">
        <v>39</v>
      </c>
    </row>
    <row r="143" spans="1:16">
      <c r="A143" s="639" t="s">
        <v>351</v>
      </c>
      <c r="B143" s="639" t="s">
        <v>306</v>
      </c>
      <c r="C143" s="639" t="s">
        <v>305</v>
      </c>
      <c r="D143" s="639" t="s">
        <v>576</v>
      </c>
      <c r="E143" s="639" t="s">
        <v>562</v>
      </c>
      <c r="F143" s="639">
        <v>31111</v>
      </c>
      <c r="G143" s="639">
        <v>103802</v>
      </c>
      <c r="H143" s="639" t="s">
        <v>360</v>
      </c>
      <c r="I143" s="639" t="s">
        <v>570</v>
      </c>
      <c r="J143" s="639" t="s">
        <v>564</v>
      </c>
      <c r="K143" s="639">
        <v>2.2400000000000002</v>
      </c>
      <c r="L143" s="639">
        <v>1.05</v>
      </c>
      <c r="M143" s="639">
        <v>1.1599999999999999</v>
      </c>
      <c r="N143" s="639">
        <v>1.1200000000000001</v>
      </c>
      <c r="O143" s="639">
        <v>1.31</v>
      </c>
      <c r="P143" s="616">
        <v>39</v>
      </c>
    </row>
    <row r="144" spans="1:16">
      <c r="A144" s="639" t="s">
        <v>351</v>
      </c>
      <c r="B144" s="639" t="s">
        <v>306</v>
      </c>
      <c r="C144" s="639" t="s">
        <v>305</v>
      </c>
      <c r="D144" s="639" t="s">
        <v>576</v>
      </c>
      <c r="E144" s="639" t="s">
        <v>562</v>
      </c>
      <c r="F144" s="639">
        <v>31075</v>
      </c>
      <c r="G144" s="639">
        <v>103802</v>
      </c>
      <c r="H144" s="639" t="s">
        <v>360</v>
      </c>
      <c r="I144" s="639" t="s">
        <v>566</v>
      </c>
      <c r="J144" s="639" t="s">
        <v>564</v>
      </c>
      <c r="K144" s="639">
        <v>2.12</v>
      </c>
      <c r="L144" s="639">
        <v>1.4</v>
      </c>
      <c r="M144" s="639">
        <v>1.17</v>
      </c>
      <c r="N144" s="639">
        <v>1.1399999999999999</v>
      </c>
      <c r="O144" s="639">
        <v>1.19</v>
      </c>
      <c r="P144" s="616">
        <v>39</v>
      </c>
    </row>
    <row r="145" spans="1:16">
      <c r="A145" s="639" t="s">
        <v>351</v>
      </c>
      <c r="B145" s="639" t="s">
        <v>306</v>
      </c>
      <c r="C145" s="639" t="s">
        <v>305</v>
      </c>
      <c r="D145" s="639" t="s">
        <v>561</v>
      </c>
      <c r="E145" s="639" t="s">
        <v>562</v>
      </c>
      <c r="F145" s="639">
        <v>30288</v>
      </c>
      <c r="G145" s="639">
        <v>103802</v>
      </c>
      <c r="H145" s="639" t="s">
        <v>360</v>
      </c>
      <c r="I145" s="639" t="s">
        <v>568</v>
      </c>
      <c r="J145" s="639" t="s">
        <v>564</v>
      </c>
      <c r="K145" s="639">
        <v>0.83</v>
      </c>
      <c r="L145" s="639">
        <v>1.0900000000000001</v>
      </c>
      <c r="M145" s="639">
        <v>1.17</v>
      </c>
      <c r="N145" s="639">
        <v>1.03</v>
      </c>
      <c r="O145" s="639">
        <v>1.44</v>
      </c>
      <c r="P145" s="616">
        <v>39</v>
      </c>
    </row>
    <row r="146" spans="1:16">
      <c r="A146" s="639" t="s">
        <v>351</v>
      </c>
      <c r="B146" s="639" t="s">
        <v>306</v>
      </c>
      <c r="C146" s="639" t="s">
        <v>305</v>
      </c>
      <c r="D146" s="639" t="s">
        <v>576</v>
      </c>
      <c r="E146" s="639" t="s">
        <v>562</v>
      </c>
      <c r="F146" s="639">
        <v>31110</v>
      </c>
      <c r="G146" s="639">
        <v>103802</v>
      </c>
      <c r="H146" s="639" t="s">
        <v>360</v>
      </c>
      <c r="I146" s="639" t="s">
        <v>570</v>
      </c>
      <c r="J146" s="639" t="s">
        <v>571</v>
      </c>
      <c r="K146" s="639">
        <v>1.87</v>
      </c>
      <c r="L146" s="639">
        <v>1.1299999999999999</v>
      </c>
      <c r="M146" s="639">
        <v>1.21</v>
      </c>
      <c r="N146" s="639">
        <v>1.1100000000000001</v>
      </c>
      <c r="O146" s="639">
        <v>1.53</v>
      </c>
      <c r="P146" s="616">
        <v>39</v>
      </c>
    </row>
    <row r="147" spans="1:16">
      <c r="A147" s="639" t="s">
        <v>351</v>
      </c>
      <c r="B147" s="639" t="s">
        <v>306</v>
      </c>
      <c r="C147" s="639" t="s">
        <v>305</v>
      </c>
      <c r="D147" s="639" t="s">
        <v>576</v>
      </c>
      <c r="E147" s="639" t="s">
        <v>562</v>
      </c>
      <c r="F147" s="639">
        <v>31112</v>
      </c>
      <c r="G147" s="639">
        <v>103802</v>
      </c>
      <c r="H147" s="639" t="s">
        <v>360</v>
      </c>
      <c r="I147" s="639" t="s">
        <v>570</v>
      </c>
      <c r="J147" s="639" t="s">
        <v>569</v>
      </c>
      <c r="K147" s="639">
        <v>0.76</v>
      </c>
      <c r="L147" s="639">
        <v>1.04</v>
      </c>
      <c r="M147" s="639">
        <v>1.3</v>
      </c>
      <c r="N147" s="639">
        <v>1.07</v>
      </c>
      <c r="O147" s="639">
        <v>1.37</v>
      </c>
      <c r="P147" s="616">
        <v>39</v>
      </c>
    </row>
    <row r="148" spans="1:16">
      <c r="A148" s="639" t="s">
        <v>351</v>
      </c>
      <c r="B148" s="639" t="s">
        <v>306</v>
      </c>
      <c r="C148" s="639" t="s">
        <v>305</v>
      </c>
      <c r="D148" s="639" t="s">
        <v>561</v>
      </c>
      <c r="E148" s="639" t="s">
        <v>562</v>
      </c>
      <c r="F148" s="639">
        <v>31070</v>
      </c>
      <c r="G148" s="639">
        <v>103802</v>
      </c>
      <c r="H148" s="639" t="s">
        <v>360</v>
      </c>
      <c r="I148" s="639" t="s">
        <v>568</v>
      </c>
      <c r="J148" s="639" t="s">
        <v>569</v>
      </c>
      <c r="K148" s="639">
        <v>5.1100000000000003</v>
      </c>
      <c r="L148" s="639">
        <v>3.93</v>
      </c>
      <c r="M148" s="639">
        <v>2.7</v>
      </c>
      <c r="N148" s="639">
        <v>1.74</v>
      </c>
      <c r="O148" s="639">
        <v>2.04</v>
      </c>
      <c r="P148" s="616">
        <v>39</v>
      </c>
    </row>
    <row r="149" spans="1:16">
      <c r="A149" s="639" t="s">
        <v>351</v>
      </c>
      <c r="B149" s="639" t="s">
        <v>306</v>
      </c>
      <c r="C149" s="639" t="s">
        <v>305</v>
      </c>
      <c r="D149" s="639" t="s">
        <v>561</v>
      </c>
      <c r="E149" s="639" t="s">
        <v>562</v>
      </c>
      <c r="F149" s="639">
        <v>31072</v>
      </c>
      <c r="G149" s="639">
        <v>103802</v>
      </c>
      <c r="H149" s="639" t="s">
        <v>360</v>
      </c>
      <c r="I149" s="639" t="s">
        <v>563</v>
      </c>
      <c r="J149" s="639" t="s">
        <v>569</v>
      </c>
      <c r="K149" s="639">
        <v>11.33</v>
      </c>
      <c r="L149" s="639">
        <v>10.15</v>
      </c>
      <c r="M149" s="639">
        <v>8.93</v>
      </c>
      <c r="N149" s="639">
        <v>7.96</v>
      </c>
      <c r="O149" s="639">
        <v>7.52</v>
      </c>
      <c r="P149" s="616">
        <v>39</v>
      </c>
    </row>
    <row r="150" spans="1:16">
      <c r="A150" s="639" t="s">
        <v>327</v>
      </c>
      <c r="B150" s="639" t="s">
        <v>306</v>
      </c>
      <c r="C150" s="639" t="s">
        <v>305</v>
      </c>
      <c r="D150" s="639" t="s">
        <v>561</v>
      </c>
      <c r="E150" s="639" t="s">
        <v>562</v>
      </c>
      <c r="F150" s="639">
        <v>19285</v>
      </c>
      <c r="G150" s="639">
        <v>123007</v>
      </c>
      <c r="H150" s="639" t="s">
        <v>331</v>
      </c>
      <c r="I150" s="639" t="s">
        <v>577</v>
      </c>
      <c r="J150" s="639">
        <v>48</v>
      </c>
      <c r="K150" s="639">
        <v>1.72</v>
      </c>
      <c r="L150" s="639">
        <v>1.1499999999999999</v>
      </c>
      <c r="M150" s="639">
        <v>1.04</v>
      </c>
      <c r="N150" s="639">
        <v>1.1399999999999999</v>
      </c>
      <c r="O150" s="639">
        <v>1.03</v>
      </c>
      <c r="P150" s="616">
        <v>40</v>
      </c>
    </row>
    <row r="151" spans="1:16">
      <c r="A151" s="639" t="s">
        <v>327</v>
      </c>
      <c r="B151" s="639" t="s">
        <v>306</v>
      </c>
      <c r="C151" s="639" t="s">
        <v>305</v>
      </c>
      <c r="D151" s="639" t="s">
        <v>561</v>
      </c>
      <c r="E151" s="639" t="s">
        <v>562</v>
      </c>
      <c r="F151" s="639">
        <v>19284</v>
      </c>
      <c r="G151" s="639">
        <v>123007</v>
      </c>
      <c r="H151" s="639" t="s">
        <v>331</v>
      </c>
      <c r="I151" s="639" t="s">
        <v>577</v>
      </c>
      <c r="J151" s="639">
        <v>46</v>
      </c>
      <c r="K151" s="639">
        <v>1.1599999999999999</v>
      </c>
      <c r="L151" s="639">
        <v>1.1499999999999999</v>
      </c>
      <c r="M151" s="639">
        <v>1.05</v>
      </c>
      <c r="N151" s="639">
        <v>1.07</v>
      </c>
      <c r="O151" s="639">
        <v>1.03</v>
      </c>
      <c r="P151" s="616">
        <v>40</v>
      </c>
    </row>
    <row r="152" spans="1:16">
      <c r="A152" s="639" t="s">
        <v>327</v>
      </c>
      <c r="B152" s="639" t="s">
        <v>306</v>
      </c>
      <c r="C152" s="639" t="s">
        <v>305</v>
      </c>
      <c r="D152" s="639" t="s">
        <v>561</v>
      </c>
      <c r="E152" s="639" t="s">
        <v>562</v>
      </c>
      <c r="F152" s="639">
        <v>19279</v>
      </c>
      <c r="G152" s="639">
        <v>123007</v>
      </c>
      <c r="H152" s="639" t="s">
        <v>331</v>
      </c>
      <c r="I152" s="639" t="s">
        <v>563</v>
      </c>
      <c r="J152" s="639">
        <v>44</v>
      </c>
      <c r="K152" s="639">
        <v>0.87</v>
      </c>
      <c r="L152" s="639">
        <v>1.2</v>
      </c>
      <c r="M152" s="639">
        <v>1.08</v>
      </c>
      <c r="N152" s="639">
        <v>1.1200000000000001</v>
      </c>
      <c r="O152" s="639">
        <v>1.06</v>
      </c>
      <c r="P152" s="616">
        <v>40</v>
      </c>
    </row>
    <row r="153" spans="1:16">
      <c r="A153" s="639" t="s">
        <v>327</v>
      </c>
      <c r="B153" s="639" t="s">
        <v>306</v>
      </c>
      <c r="C153" s="639" t="s">
        <v>305</v>
      </c>
      <c r="D153" s="639" t="s">
        <v>561</v>
      </c>
      <c r="E153" s="639" t="s">
        <v>562</v>
      </c>
      <c r="F153" s="639">
        <v>19282</v>
      </c>
      <c r="G153" s="639">
        <v>123007</v>
      </c>
      <c r="H153" s="639" t="s">
        <v>331</v>
      </c>
      <c r="I153" s="639" t="s">
        <v>577</v>
      </c>
      <c r="J153" s="639">
        <v>42</v>
      </c>
      <c r="K153" s="639">
        <v>1.52</v>
      </c>
      <c r="L153" s="639">
        <v>1</v>
      </c>
      <c r="M153" s="639">
        <v>1.1299999999999999</v>
      </c>
      <c r="N153" s="639">
        <v>1.17</v>
      </c>
      <c r="O153" s="639">
        <v>1.07</v>
      </c>
      <c r="P153" s="616">
        <v>40</v>
      </c>
    </row>
    <row r="154" spans="1:16">
      <c r="A154" s="639" t="s">
        <v>327</v>
      </c>
      <c r="B154" s="639" t="s">
        <v>306</v>
      </c>
      <c r="C154" s="639" t="s">
        <v>305</v>
      </c>
      <c r="D154" s="639" t="s">
        <v>561</v>
      </c>
      <c r="E154" s="639" t="s">
        <v>562</v>
      </c>
      <c r="F154" s="639">
        <v>19280</v>
      </c>
      <c r="G154" s="639">
        <v>123007</v>
      </c>
      <c r="H154" s="639" t="s">
        <v>331</v>
      </c>
      <c r="I154" s="639" t="s">
        <v>563</v>
      </c>
      <c r="J154" s="639">
        <v>46</v>
      </c>
      <c r="K154" s="639">
        <v>1.57</v>
      </c>
      <c r="L154" s="639">
        <v>1.03</v>
      </c>
      <c r="M154" s="639">
        <v>1.1399999999999999</v>
      </c>
      <c r="N154" s="639">
        <v>1.1499999999999999</v>
      </c>
      <c r="O154" s="639">
        <v>1.06</v>
      </c>
      <c r="P154" s="616">
        <v>40</v>
      </c>
    </row>
    <row r="155" spans="1:16">
      <c r="A155" s="639" t="s">
        <v>327</v>
      </c>
      <c r="B155" s="639" t="s">
        <v>306</v>
      </c>
      <c r="C155" s="639" t="s">
        <v>305</v>
      </c>
      <c r="D155" s="639" t="s">
        <v>561</v>
      </c>
      <c r="E155" s="639" t="s">
        <v>562</v>
      </c>
      <c r="F155" s="639">
        <v>19283</v>
      </c>
      <c r="G155" s="639">
        <v>123007</v>
      </c>
      <c r="H155" s="639" t="s">
        <v>331</v>
      </c>
      <c r="I155" s="639" t="s">
        <v>577</v>
      </c>
      <c r="J155" s="639">
        <v>44</v>
      </c>
      <c r="K155" s="639">
        <v>1.51</v>
      </c>
      <c r="L155" s="639">
        <v>1.1200000000000001</v>
      </c>
      <c r="M155" s="639">
        <v>1.1399999999999999</v>
      </c>
      <c r="N155" s="639">
        <v>1.1499999999999999</v>
      </c>
      <c r="O155" s="639">
        <v>1.01</v>
      </c>
      <c r="P155" s="616">
        <v>40</v>
      </c>
    </row>
    <row r="156" spans="1:16">
      <c r="A156" s="639" t="s">
        <v>327</v>
      </c>
      <c r="B156" s="639" t="s">
        <v>306</v>
      </c>
      <c r="C156" s="639" t="s">
        <v>305</v>
      </c>
      <c r="D156" s="639" t="s">
        <v>561</v>
      </c>
      <c r="E156" s="639" t="s">
        <v>578</v>
      </c>
      <c r="F156" s="639">
        <v>19271</v>
      </c>
      <c r="G156" s="639">
        <v>123007</v>
      </c>
      <c r="H156" s="639" t="s">
        <v>331</v>
      </c>
      <c r="I156" s="639" t="s">
        <v>579</v>
      </c>
      <c r="J156" s="639">
        <v>44</v>
      </c>
      <c r="K156" s="639">
        <v>0.76</v>
      </c>
      <c r="L156" s="639">
        <v>1.1299999999999999</v>
      </c>
      <c r="M156" s="639">
        <v>1.18</v>
      </c>
      <c r="N156" s="639">
        <v>1.05</v>
      </c>
      <c r="O156" s="639">
        <v>1.1599999999999999</v>
      </c>
      <c r="P156" s="616">
        <v>40</v>
      </c>
    </row>
    <row r="157" spans="1:16">
      <c r="A157" s="639" t="s">
        <v>327</v>
      </c>
      <c r="B157" s="639" t="s">
        <v>306</v>
      </c>
      <c r="C157" s="639" t="s">
        <v>305</v>
      </c>
      <c r="D157" s="639" t="s">
        <v>561</v>
      </c>
      <c r="E157" s="639" t="s">
        <v>562</v>
      </c>
      <c r="F157" s="639">
        <v>19281</v>
      </c>
      <c r="G157" s="639">
        <v>123007</v>
      </c>
      <c r="H157" s="639" t="s">
        <v>331</v>
      </c>
      <c r="I157" s="639" t="s">
        <v>563</v>
      </c>
      <c r="J157" s="639">
        <v>48</v>
      </c>
      <c r="K157" s="639">
        <v>1.17</v>
      </c>
      <c r="L157" s="639">
        <v>0.99</v>
      </c>
      <c r="M157" s="639">
        <v>1.19</v>
      </c>
      <c r="N157" s="639">
        <v>1.28</v>
      </c>
      <c r="O157" s="639">
        <v>1.55</v>
      </c>
      <c r="P157" s="616">
        <v>40</v>
      </c>
    </row>
    <row r="158" spans="1:16">
      <c r="A158" s="639" t="s">
        <v>327</v>
      </c>
      <c r="B158" s="639" t="s">
        <v>306</v>
      </c>
      <c r="C158" s="639" t="s">
        <v>305</v>
      </c>
      <c r="D158" s="639" t="s">
        <v>561</v>
      </c>
      <c r="E158" s="639" t="s">
        <v>578</v>
      </c>
      <c r="F158" s="639">
        <v>19272</v>
      </c>
      <c r="G158" s="639">
        <v>123007</v>
      </c>
      <c r="H158" s="639" t="s">
        <v>331</v>
      </c>
      <c r="I158" s="639" t="s">
        <v>579</v>
      </c>
      <c r="J158" s="639">
        <v>46</v>
      </c>
      <c r="K158" s="639">
        <v>1.18</v>
      </c>
      <c r="L158" s="639">
        <v>1.03</v>
      </c>
      <c r="M158" s="639">
        <v>1.19</v>
      </c>
      <c r="N158" s="639">
        <v>1.1499999999999999</v>
      </c>
      <c r="O158" s="639">
        <v>1.03</v>
      </c>
      <c r="P158" s="616">
        <v>40</v>
      </c>
    </row>
    <row r="159" spans="1:16">
      <c r="A159" s="639" t="s">
        <v>327</v>
      </c>
      <c r="B159" s="639" t="s">
        <v>306</v>
      </c>
      <c r="C159" s="639" t="s">
        <v>305</v>
      </c>
      <c r="D159" s="639" t="s">
        <v>561</v>
      </c>
      <c r="E159" s="639" t="s">
        <v>578</v>
      </c>
      <c r="F159" s="639">
        <v>19270</v>
      </c>
      <c r="G159" s="639">
        <v>123007</v>
      </c>
      <c r="H159" s="639" t="s">
        <v>331</v>
      </c>
      <c r="I159" s="639" t="s">
        <v>579</v>
      </c>
      <c r="J159" s="639">
        <v>42</v>
      </c>
      <c r="K159" s="639">
        <v>1.76</v>
      </c>
      <c r="L159" s="639">
        <v>1.18</v>
      </c>
      <c r="M159" s="639">
        <v>1.21</v>
      </c>
      <c r="N159" s="639">
        <v>1.1499999999999999</v>
      </c>
      <c r="O159" s="639">
        <v>1.06</v>
      </c>
      <c r="P159" s="616">
        <v>40</v>
      </c>
    </row>
    <row r="160" spans="1:16">
      <c r="A160" s="639" t="s">
        <v>327</v>
      </c>
      <c r="B160" s="639" t="s">
        <v>306</v>
      </c>
      <c r="C160" s="639" t="s">
        <v>305</v>
      </c>
      <c r="D160" s="639" t="s">
        <v>561</v>
      </c>
      <c r="E160" s="639" t="s">
        <v>562</v>
      </c>
      <c r="F160" s="639">
        <v>19278</v>
      </c>
      <c r="G160" s="639">
        <v>123007</v>
      </c>
      <c r="H160" s="639" t="s">
        <v>331</v>
      </c>
      <c r="I160" s="639" t="s">
        <v>563</v>
      </c>
      <c r="J160" s="639">
        <v>42</v>
      </c>
      <c r="K160" s="639">
        <v>0.77</v>
      </c>
      <c r="L160" s="639">
        <v>1.01</v>
      </c>
      <c r="M160" s="639">
        <v>1.22</v>
      </c>
      <c r="N160" s="639">
        <v>1.1200000000000001</v>
      </c>
      <c r="O160" s="639">
        <v>1.06</v>
      </c>
      <c r="P160" s="616">
        <v>40</v>
      </c>
    </row>
    <row r="161" spans="1:16">
      <c r="A161" s="639" t="s">
        <v>327</v>
      </c>
      <c r="B161" s="639" t="s">
        <v>306</v>
      </c>
      <c r="C161" s="639" t="s">
        <v>305</v>
      </c>
      <c r="D161" s="639" t="s">
        <v>561</v>
      </c>
      <c r="E161" s="639" t="s">
        <v>578</v>
      </c>
      <c r="F161" s="639">
        <v>19273</v>
      </c>
      <c r="G161" s="639">
        <v>123007</v>
      </c>
      <c r="H161" s="639" t="s">
        <v>331</v>
      </c>
      <c r="I161" s="639" t="s">
        <v>579</v>
      </c>
      <c r="J161" s="639">
        <v>48</v>
      </c>
      <c r="K161" s="639">
        <v>1.21</v>
      </c>
      <c r="L161" s="639">
        <v>1.05</v>
      </c>
      <c r="M161" s="639">
        <v>1.33</v>
      </c>
      <c r="N161" s="639">
        <v>1.21</v>
      </c>
      <c r="O161" s="639">
        <v>1.63</v>
      </c>
      <c r="P161" s="616">
        <v>40</v>
      </c>
    </row>
    <row r="162" spans="1:16">
      <c r="A162" s="639" t="s">
        <v>190</v>
      </c>
      <c r="B162" s="639" t="s">
        <v>306</v>
      </c>
      <c r="C162" s="639" t="s">
        <v>305</v>
      </c>
      <c r="D162" s="639" t="s">
        <v>561</v>
      </c>
      <c r="E162" s="639" t="s">
        <v>562</v>
      </c>
      <c r="F162" s="639">
        <v>19339</v>
      </c>
      <c r="G162" s="639">
        <v>123008</v>
      </c>
      <c r="H162" s="639" t="s">
        <v>424</v>
      </c>
      <c r="I162" s="639" t="s">
        <v>579</v>
      </c>
      <c r="J162" s="639" t="s">
        <v>580</v>
      </c>
      <c r="K162" s="639">
        <v>2.4500000000000002</v>
      </c>
      <c r="L162" s="639">
        <v>1.27</v>
      </c>
      <c r="M162" s="639">
        <v>1.04</v>
      </c>
      <c r="N162" s="639">
        <v>2.73</v>
      </c>
      <c r="O162" s="639">
        <v>2.27</v>
      </c>
      <c r="P162" s="616">
        <v>35</v>
      </c>
    </row>
    <row r="163" spans="1:16">
      <c r="A163" s="639" t="s">
        <v>190</v>
      </c>
      <c r="B163" s="639" t="s">
        <v>306</v>
      </c>
      <c r="C163" s="639" t="s">
        <v>305</v>
      </c>
      <c r="D163" s="639" t="s">
        <v>561</v>
      </c>
      <c r="E163" s="639" t="s">
        <v>562</v>
      </c>
      <c r="F163" s="639">
        <v>19356</v>
      </c>
      <c r="G163" s="639">
        <v>123008</v>
      </c>
      <c r="H163" s="639" t="s">
        <v>424</v>
      </c>
      <c r="I163" s="639" t="s">
        <v>563</v>
      </c>
      <c r="J163" s="639" t="s">
        <v>581</v>
      </c>
      <c r="K163" s="639">
        <v>2.46</v>
      </c>
      <c r="L163" s="639">
        <v>1.31</v>
      </c>
      <c r="M163" s="639">
        <v>1.04</v>
      </c>
      <c r="N163" s="639">
        <v>2.31</v>
      </c>
      <c r="O163" s="639">
        <v>1.92</v>
      </c>
      <c r="P163" s="616">
        <v>35</v>
      </c>
    </row>
    <row r="164" spans="1:16">
      <c r="A164" s="639" t="s">
        <v>190</v>
      </c>
      <c r="B164" s="639" t="s">
        <v>306</v>
      </c>
      <c r="C164" s="639" t="s">
        <v>305</v>
      </c>
      <c r="D164" s="639" t="s">
        <v>561</v>
      </c>
      <c r="E164" s="639" t="s">
        <v>562</v>
      </c>
      <c r="F164" s="639">
        <v>19344</v>
      </c>
      <c r="G164" s="639">
        <v>123008</v>
      </c>
      <c r="H164" s="639" t="s">
        <v>424</v>
      </c>
      <c r="I164" s="639" t="s">
        <v>579</v>
      </c>
      <c r="J164" s="639" t="s">
        <v>582</v>
      </c>
      <c r="K164" s="639">
        <v>1.04</v>
      </c>
      <c r="L164" s="639">
        <v>1.5</v>
      </c>
      <c r="M164" s="639">
        <v>1.04</v>
      </c>
      <c r="N164" s="639">
        <v>1</v>
      </c>
      <c r="O164" s="639">
        <v>2.25</v>
      </c>
      <c r="P164" s="616">
        <v>35</v>
      </c>
    </row>
    <row r="165" spans="1:16">
      <c r="A165" s="639" t="s">
        <v>190</v>
      </c>
      <c r="B165" s="639" t="s">
        <v>306</v>
      </c>
      <c r="C165" s="639" t="s">
        <v>305</v>
      </c>
      <c r="D165" s="639" t="s">
        <v>561</v>
      </c>
      <c r="E165" s="639" t="s">
        <v>562</v>
      </c>
      <c r="F165" s="639">
        <v>19359</v>
      </c>
      <c r="G165" s="639">
        <v>123008</v>
      </c>
      <c r="H165" s="639" t="s">
        <v>424</v>
      </c>
      <c r="I165" s="639" t="s">
        <v>563</v>
      </c>
      <c r="J165" s="639" t="s">
        <v>573</v>
      </c>
      <c r="K165" s="639">
        <v>1.55</v>
      </c>
      <c r="L165" s="639">
        <v>0.97</v>
      </c>
      <c r="M165" s="639">
        <v>1.05</v>
      </c>
      <c r="N165" s="639">
        <v>1.91</v>
      </c>
      <c r="O165" s="639">
        <v>1.5</v>
      </c>
      <c r="P165" s="616">
        <v>35</v>
      </c>
    </row>
    <row r="166" spans="1:16">
      <c r="A166" s="639" t="s">
        <v>190</v>
      </c>
      <c r="B166" s="639" t="s">
        <v>306</v>
      </c>
      <c r="C166" s="639" t="s">
        <v>305</v>
      </c>
      <c r="D166" s="639" t="s">
        <v>561</v>
      </c>
      <c r="E166" s="639" t="s">
        <v>562</v>
      </c>
      <c r="F166" s="639">
        <v>19343</v>
      </c>
      <c r="G166" s="639">
        <v>123008</v>
      </c>
      <c r="H166" s="639" t="s">
        <v>424</v>
      </c>
      <c r="I166" s="639" t="s">
        <v>579</v>
      </c>
      <c r="J166" s="639" t="s">
        <v>583</v>
      </c>
      <c r="K166" s="639">
        <v>1.67</v>
      </c>
      <c r="L166" s="639">
        <v>0.95</v>
      </c>
      <c r="M166" s="639">
        <v>1.05</v>
      </c>
      <c r="N166" s="639">
        <v>2.89</v>
      </c>
      <c r="O166" s="639">
        <v>2.44</v>
      </c>
      <c r="P166" s="616">
        <v>35</v>
      </c>
    </row>
    <row r="167" spans="1:16">
      <c r="A167" s="639" t="s">
        <v>190</v>
      </c>
      <c r="B167" s="639" t="s">
        <v>306</v>
      </c>
      <c r="C167" s="639" t="s">
        <v>305</v>
      </c>
      <c r="D167" s="639" t="s">
        <v>561</v>
      </c>
      <c r="E167" s="639" t="s">
        <v>562</v>
      </c>
      <c r="F167" s="639">
        <v>19348</v>
      </c>
      <c r="G167" s="639">
        <v>123008</v>
      </c>
      <c r="H167" s="639" t="s">
        <v>424</v>
      </c>
      <c r="I167" s="639" t="s">
        <v>563</v>
      </c>
      <c r="J167" s="639" t="s">
        <v>584</v>
      </c>
      <c r="K167" s="639">
        <v>1.5</v>
      </c>
      <c r="L167" s="639">
        <v>0.97</v>
      </c>
      <c r="M167" s="639">
        <v>1.05</v>
      </c>
      <c r="N167" s="639">
        <v>3.38</v>
      </c>
      <c r="O167" s="639">
        <v>3</v>
      </c>
      <c r="P167" s="616">
        <v>35</v>
      </c>
    </row>
    <row r="168" spans="1:16">
      <c r="A168" s="639" t="s">
        <v>190</v>
      </c>
      <c r="B168" s="639" t="s">
        <v>306</v>
      </c>
      <c r="C168" s="639" t="s">
        <v>305</v>
      </c>
      <c r="D168" s="639" t="s">
        <v>561</v>
      </c>
      <c r="E168" s="639" t="s">
        <v>562</v>
      </c>
      <c r="F168" s="639">
        <v>19352</v>
      </c>
      <c r="G168" s="639">
        <v>123008</v>
      </c>
      <c r="H168" s="639" t="s">
        <v>424</v>
      </c>
      <c r="I168" s="639" t="s">
        <v>563</v>
      </c>
      <c r="J168" s="639" t="s">
        <v>585</v>
      </c>
      <c r="K168" s="639">
        <v>2.2000000000000002</v>
      </c>
      <c r="L168" s="639">
        <v>1.1000000000000001</v>
      </c>
      <c r="M168" s="639">
        <v>1.05</v>
      </c>
      <c r="N168" s="639">
        <v>3.1</v>
      </c>
      <c r="O168" s="639">
        <v>2.7</v>
      </c>
      <c r="P168" s="616">
        <v>35</v>
      </c>
    </row>
    <row r="169" spans="1:16">
      <c r="A169" s="639" t="s">
        <v>190</v>
      </c>
      <c r="B169" s="639" t="s">
        <v>306</v>
      </c>
      <c r="C169" s="639" t="s">
        <v>305</v>
      </c>
      <c r="D169" s="639" t="s">
        <v>561</v>
      </c>
      <c r="E169" s="639" t="s">
        <v>562</v>
      </c>
      <c r="F169" s="639">
        <v>19340</v>
      </c>
      <c r="G169" s="639">
        <v>123008</v>
      </c>
      <c r="H169" s="639" t="s">
        <v>424</v>
      </c>
      <c r="I169" s="639" t="s">
        <v>579</v>
      </c>
      <c r="J169" s="639" t="s">
        <v>586</v>
      </c>
      <c r="K169" s="639">
        <v>1.78</v>
      </c>
      <c r="L169" s="639">
        <v>0.95</v>
      </c>
      <c r="M169" s="639">
        <v>1.0900000000000001</v>
      </c>
      <c r="N169" s="639">
        <v>1.1499999999999999</v>
      </c>
      <c r="O169" s="639">
        <v>1.72</v>
      </c>
      <c r="P169" s="616">
        <v>35</v>
      </c>
    </row>
    <row r="170" spans="1:16">
      <c r="A170" s="639" t="s">
        <v>190</v>
      </c>
      <c r="B170" s="639" t="s">
        <v>306</v>
      </c>
      <c r="C170" s="639" t="s">
        <v>305</v>
      </c>
      <c r="D170" s="639" t="s">
        <v>561</v>
      </c>
      <c r="E170" s="639" t="s">
        <v>562</v>
      </c>
      <c r="F170" s="639">
        <v>19353</v>
      </c>
      <c r="G170" s="639">
        <v>123008</v>
      </c>
      <c r="H170" s="639" t="s">
        <v>424</v>
      </c>
      <c r="I170" s="639" t="s">
        <v>563</v>
      </c>
      <c r="J170" s="639" t="s">
        <v>580</v>
      </c>
      <c r="K170" s="639">
        <v>2.8</v>
      </c>
      <c r="L170" s="639">
        <v>1.7</v>
      </c>
      <c r="M170" s="639">
        <v>1.0900000000000001</v>
      </c>
      <c r="N170" s="639">
        <v>1.02</v>
      </c>
      <c r="O170" s="639">
        <v>3.3</v>
      </c>
      <c r="P170" s="616">
        <v>35</v>
      </c>
    </row>
    <row r="171" spans="1:16">
      <c r="A171" s="639" t="s">
        <v>190</v>
      </c>
      <c r="B171" s="639" t="s">
        <v>306</v>
      </c>
      <c r="C171" s="639" t="s">
        <v>305</v>
      </c>
      <c r="D171" s="639" t="s">
        <v>561</v>
      </c>
      <c r="E171" s="639" t="s">
        <v>562</v>
      </c>
      <c r="F171" s="639">
        <v>19361</v>
      </c>
      <c r="G171" s="639">
        <v>123008</v>
      </c>
      <c r="H171" s="639" t="s">
        <v>424</v>
      </c>
      <c r="I171" s="639" t="s">
        <v>563</v>
      </c>
      <c r="J171" s="639" t="s">
        <v>572</v>
      </c>
      <c r="K171" s="639">
        <v>0.79</v>
      </c>
      <c r="L171" s="639">
        <v>2.06</v>
      </c>
      <c r="M171" s="639">
        <v>1.1399999999999999</v>
      </c>
      <c r="N171" s="639">
        <v>1.02</v>
      </c>
      <c r="O171" s="639">
        <v>2.06</v>
      </c>
      <c r="P171" s="616">
        <v>35</v>
      </c>
    </row>
    <row r="172" spans="1:16">
      <c r="A172" s="639" t="s">
        <v>190</v>
      </c>
      <c r="B172" s="639" t="s">
        <v>306</v>
      </c>
      <c r="C172" s="639" t="s">
        <v>305</v>
      </c>
      <c r="D172" s="639" t="s">
        <v>561</v>
      </c>
      <c r="E172" s="639" t="s">
        <v>562</v>
      </c>
      <c r="F172" s="639">
        <v>19337</v>
      </c>
      <c r="G172" s="639">
        <v>123008</v>
      </c>
      <c r="H172" s="639" t="s">
        <v>424</v>
      </c>
      <c r="I172" s="639" t="s">
        <v>579</v>
      </c>
      <c r="J172" s="639" t="s">
        <v>575</v>
      </c>
      <c r="K172" s="639">
        <v>0.82</v>
      </c>
      <c r="L172" s="639">
        <v>0.94</v>
      </c>
      <c r="M172" s="639">
        <v>1.1499999999999999</v>
      </c>
      <c r="N172" s="639">
        <v>1.06</v>
      </c>
      <c r="O172" s="639">
        <v>1.85</v>
      </c>
      <c r="P172" s="616">
        <v>35</v>
      </c>
    </row>
    <row r="173" spans="1:16">
      <c r="A173" s="639" t="s">
        <v>190</v>
      </c>
      <c r="B173" s="639" t="s">
        <v>306</v>
      </c>
      <c r="C173" s="639" t="s">
        <v>305</v>
      </c>
      <c r="D173" s="639" t="s">
        <v>561</v>
      </c>
      <c r="E173" s="639" t="s">
        <v>562</v>
      </c>
      <c r="F173" s="639">
        <v>19347</v>
      </c>
      <c r="G173" s="639">
        <v>123008</v>
      </c>
      <c r="H173" s="639" t="s">
        <v>424</v>
      </c>
      <c r="I173" s="639" t="s">
        <v>579</v>
      </c>
      <c r="J173" s="639" t="s">
        <v>572</v>
      </c>
      <c r="K173" s="639">
        <v>1.3</v>
      </c>
      <c r="L173" s="639">
        <v>1.87</v>
      </c>
      <c r="M173" s="639">
        <v>1.1499999999999999</v>
      </c>
      <c r="N173" s="639">
        <v>1.48</v>
      </c>
      <c r="O173" s="639">
        <v>1.04</v>
      </c>
      <c r="P173" s="616">
        <v>35</v>
      </c>
    </row>
    <row r="174" spans="1:16">
      <c r="A174" s="639" t="s">
        <v>190</v>
      </c>
      <c r="B174" s="639" t="s">
        <v>306</v>
      </c>
      <c r="C174" s="639" t="s">
        <v>305</v>
      </c>
      <c r="D174" s="639" t="s">
        <v>561</v>
      </c>
      <c r="E174" s="639" t="s">
        <v>562</v>
      </c>
      <c r="F174" s="639">
        <v>19350</v>
      </c>
      <c r="G174" s="639">
        <v>123008</v>
      </c>
      <c r="H174" s="639" t="s">
        <v>424</v>
      </c>
      <c r="I174" s="639" t="s">
        <v>563</v>
      </c>
      <c r="J174" s="639" t="s">
        <v>587</v>
      </c>
      <c r="K174" s="639">
        <v>3.4</v>
      </c>
      <c r="L174" s="639">
        <v>2.2999999999999998</v>
      </c>
      <c r="M174" s="639">
        <v>1.2</v>
      </c>
      <c r="N174" s="639">
        <v>1.03</v>
      </c>
      <c r="O174" s="639">
        <v>1.05</v>
      </c>
      <c r="P174" s="616">
        <v>35</v>
      </c>
    </row>
    <row r="175" spans="1:16">
      <c r="A175" s="639" t="s">
        <v>190</v>
      </c>
      <c r="B175" s="639" t="s">
        <v>306</v>
      </c>
      <c r="C175" s="639" t="s">
        <v>305</v>
      </c>
      <c r="D175" s="639" t="s">
        <v>561</v>
      </c>
      <c r="E175" s="639" t="s">
        <v>562</v>
      </c>
      <c r="F175" s="639">
        <v>19338</v>
      </c>
      <c r="G175" s="639">
        <v>123008</v>
      </c>
      <c r="H175" s="639" t="s">
        <v>424</v>
      </c>
      <c r="I175" s="639" t="s">
        <v>579</v>
      </c>
      <c r="J175" s="639" t="s">
        <v>585</v>
      </c>
      <c r="K175" s="639">
        <v>1.39</v>
      </c>
      <c r="L175" s="639">
        <v>0.98</v>
      </c>
      <c r="M175" s="639">
        <v>1.22</v>
      </c>
      <c r="N175" s="639">
        <v>1.03</v>
      </c>
      <c r="O175" s="639">
        <v>2.06</v>
      </c>
      <c r="P175" s="616">
        <v>35</v>
      </c>
    </row>
    <row r="176" spans="1:16">
      <c r="A176" s="639" t="s">
        <v>190</v>
      </c>
      <c r="B176" s="639" t="s">
        <v>306</v>
      </c>
      <c r="C176" s="639" t="s">
        <v>305</v>
      </c>
      <c r="D176" s="639" t="s">
        <v>561</v>
      </c>
      <c r="E176" s="639" t="s">
        <v>562</v>
      </c>
      <c r="F176" s="639">
        <v>19355</v>
      </c>
      <c r="G176" s="639">
        <v>123008</v>
      </c>
      <c r="H176" s="639" t="s">
        <v>424</v>
      </c>
      <c r="I176" s="639" t="s">
        <v>563</v>
      </c>
      <c r="J176" s="639" t="s">
        <v>574</v>
      </c>
      <c r="K176" s="639">
        <v>1.58</v>
      </c>
      <c r="L176" s="639">
        <v>0.97</v>
      </c>
      <c r="M176" s="639">
        <v>1.26</v>
      </c>
      <c r="N176" s="639">
        <v>1.03</v>
      </c>
      <c r="O176" s="639">
        <v>2</v>
      </c>
      <c r="P176" s="616">
        <v>35</v>
      </c>
    </row>
    <row r="177" spans="1:16">
      <c r="A177" s="639" t="s">
        <v>190</v>
      </c>
      <c r="B177" s="639" t="s">
        <v>306</v>
      </c>
      <c r="C177" s="639" t="s">
        <v>305</v>
      </c>
      <c r="D177" s="639" t="s">
        <v>561</v>
      </c>
      <c r="E177" s="639" t="s">
        <v>562</v>
      </c>
      <c r="F177" s="639">
        <v>19354</v>
      </c>
      <c r="G177" s="639">
        <v>123008</v>
      </c>
      <c r="H177" s="639" t="s">
        <v>424</v>
      </c>
      <c r="I177" s="639" t="s">
        <v>563</v>
      </c>
      <c r="J177" s="639" t="s">
        <v>586</v>
      </c>
      <c r="K177" s="639">
        <v>0.93</v>
      </c>
      <c r="L177" s="639">
        <v>0.95</v>
      </c>
      <c r="M177" s="639">
        <v>1.33</v>
      </c>
      <c r="N177" s="639">
        <v>1.03</v>
      </c>
      <c r="O177" s="639">
        <v>2.67</v>
      </c>
      <c r="P177" s="616">
        <v>35</v>
      </c>
    </row>
    <row r="178" spans="1:16">
      <c r="A178" s="639" t="s">
        <v>190</v>
      </c>
      <c r="B178" s="639" t="s">
        <v>306</v>
      </c>
      <c r="C178" s="639" t="s">
        <v>305</v>
      </c>
      <c r="D178" s="639" t="s">
        <v>561</v>
      </c>
      <c r="E178" s="639" t="s">
        <v>562</v>
      </c>
      <c r="F178" s="639">
        <v>19345</v>
      </c>
      <c r="G178" s="639">
        <v>123008</v>
      </c>
      <c r="H178" s="639" t="s">
        <v>424</v>
      </c>
      <c r="I178" s="639" t="s">
        <v>579</v>
      </c>
      <c r="J178" s="639" t="s">
        <v>573</v>
      </c>
      <c r="K178" s="639">
        <v>1.33</v>
      </c>
      <c r="L178" s="639">
        <v>1.36</v>
      </c>
      <c r="M178" s="639">
        <v>1.36</v>
      </c>
      <c r="N178" s="639">
        <v>1.61</v>
      </c>
      <c r="O178" s="639">
        <v>1.18</v>
      </c>
      <c r="P178" s="616">
        <v>35</v>
      </c>
    </row>
    <row r="179" spans="1:16">
      <c r="A179" s="639" t="s">
        <v>190</v>
      </c>
      <c r="B179" s="639" t="s">
        <v>306</v>
      </c>
      <c r="C179" s="639" t="s">
        <v>305</v>
      </c>
      <c r="D179" s="639" t="s">
        <v>561</v>
      </c>
      <c r="E179" s="639" t="s">
        <v>562</v>
      </c>
      <c r="F179" s="639">
        <v>19336</v>
      </c>
      <c r="G179" s="639">
        <v>123008</v>
      </c>
      <c r="H179" s="639" t="s">
        <v>424</v>
      </c>
      <c r="I179" s="639" t="s">
        <v>579</v>
      </c>
      <c r="J179" s="639" t="s">
        <v>587</v>
      </c>
      <c r="K179" s="639">
        <v>2.04</v>
      </c>
      <c r="L179" s="639">
        <v>1.05</v>
      </c>
      <c r="M179" s="639">
        <v>1.39</v>
      </c>
      <c r="N179" s="639">
        <v>1.07</v>
      </c>
      <c r="O179" s="639">
        <v>1.74</v>
      </c>
      <c r="P179" s="616">
        <v>35</v>
      </c>
    </row>
    <row r="180" spans="1:16">
      <c r="A180" s="639" t="s">
        <v>190</v>
      </c>
      <c r="B180" s="639" t="s">
        <v>306</v>
      </c>
      <c r="C180" s="639" t="s">
        <v>305</v>
      </c>
      <c r="D180" s="639" t="s">
        <v>561</v>
      </c>
      <c r="E180" s="639" t="s">
        <v>562</v>
      </c>
      <c r="F180" s="639">
        <v>19341</v>
      </c>
      <c r="G180" s="639">
        <v>123008</v>
      </c>
      <c r="H180" s="639" t="s">
        <v>424</v>
      </c>
      <c r="I180" s="639" t="s">
        <v>579</v>
      </c>
      <c r="J180" s="639" t="s">
        <v>574</v>
      </c>
      <c r="K180" s="639">
        <v>1.93</v>
      </c>
      <c r="L180" s="639">
        <v>0.94</v>
      </c>
      <c r="M180" s="639">
        <v>1.43</v>
      </c>
      <c r="N180" s="639">
        <v>1.4</v>
      </c>
      <c r="O180" s="639">
        <v>1.02</v>
      </c>
      <c r="P180" s="616">
        <v>35</v>
      </c>
    </row>
    <row r="181" spans="1:16">
      <c r="A181" s="639" t="s">
        <v>190</v>
      </c>
      <c r="B181" s="639" t="s">
        <v>306</v>
      </c>
      <c r="C181" s="639" t="s">
        <v>305</v>
      </c>
      <c r="D181" s="639" t="s">
        <v>561</v>
      </c>
      <c r="E181" s="639" t="s">
        <v>562</v>
      </c>
      <c r="F181" s="639">
        <v>19346</v>
      </c>
      <c r="G181" s="639">
        <v>123008</v>
      </c>
      <c r="H181" s="639" t="s">
        <v>424</v>
      </c>
      <c r="I181" s="639" t="s">
        <v>579</v>
      </c>
      <c r="J181" s="639" t="s">
        <v>588</v>
      </c>
      <c r="K181" s="639">
        <v>3.7</v>
      </c>
      <c r="L181" s="639">
        <v>2.6</v>
      </c>
      <c r="M181" s="639">
        <v>1.5</v>
      </c>
      <c r="N181" s="639">
        <v>1.08</v>
      </c>
      <c r="O181" s="639">
        <v>1.05</v>
      </c>
      <c r="P181" s="616">
        <v>35</v>
      </c>
    </row>
    <row r="182" spans="1:16">
      <c r="A182" s="639" t="s">
        <v>190</v>
      </c>
      <c r="B182" s="639" t="s">
        <v>306</v>
      </c>
      <c r="C182" s="639" t="s">
        <v>305</v>
      </c>
      <c r="D182" s="639" t="s">
        <v>561</v>
      </c>
      <c r="E182" s="639" t="s">
        <v>562</v>
      </c>
      <c r="F182" s="639">
        <v>19342</v>
      </c>
      <c r="G182" s="639">
        <v>123008</v>
      </c>
      <c r="H182" s="639" t="s">
        <v>424</v>
      </c>
      <c r="I182" s="639" t="s">
        <v>579</v>
      </c>
      <c r="J182" s="639" t="s">
        <v>581</v>
      </c>
      <c r="K182" s="639">
        <v>1.89</v>
      </c>
      <c r="L182" s="639">
        <v>0.99</v>
      </c>
      <c r="M182" s="639">
        <v>1.78</v>
      </c>
      <c r="N182" s="639">
        <v>1.1200000000000001</v>
      </c>
      <c r="O182" s="639">
        <v>1.05</v>
      </c>
      <c r="P182" s="616">
        <v>35</v>
      </c>
    </row>
    <row r="183" spans="1:16">
      <c r="A183" s="639" t="s">
        <v>190</v>
      </c>
      <c r="B183" s="639" t="s">
        <v>306</v>
      </c>
      <c r="C183" s="639" t="s">
        <v>305</v>
      </c>
      <c r="D183" s="639" t="s">
        <v>561</v>
      </c>
      <c r="E183" s="639" t="s">
        <v>562</v>
      </c>
      <c r="F183" s="639">
        <v>19351</v>
      </c>
      <c r="G183" s="639">
        <v>123008</v>
      </c>
      <c r="H183" s="639" t="s">
        <v>424</v>
      </c>
      <c r="I183" s="639" t="s">
        <v>563</v>
      </c>
      <c r="J183" s="639" t="s">
        <v>575</v>
      </c>
      <c r="K183" s="639">
        <v>1.43</v>
      </c>
      <c r="L183" s="639">
        <v>0.98</v>
      </c>
      <c r="M183" s="639">
        <v>1.93</v>
      </c>
      <c r="N183" s="639">
        <v>1</v>
      </c>
      <c r="O183" s="639">
        <v>1.05</v>
      </c>
      <c r="P183" s="616">
        <v>35</v>
      </c>
    </row>
    <row r="184" spans="1:16">
      <c r="A184" s="639" t="s">
        <v>190</v>
      </c>
      <c r="B184" s="639" t="s">
        <v>306</v>
      </c>
      <c r="C184" s="639" t="s">
        <v>305</v>
      </c>
      <c r="D184" s="639" t="s">
        <v>561</v>
      </c>
      <c r="E184" s="639" t="s">
        <v>562</v>
      </c>
      <c r="F184" s="639">
        <v>19357</v>
      </c>
      <c r="G184" s="639">
        <v>123008</v>
      </c>
      <c r="H184" s="639" t="s">
        <v>424</v>
      </c>
      <c r="I184" s="639" t="s">
        <v>563</v>
      </c>
      <c r="J184" s="639" t="s">
        <v>583</v>
      </c>
      <c r="K184" s="639">
        <v>4.4000000000000004</v>
      </c>
      <c r="L184" s="639">
        <v>3.4</v>
      </c>
      <c r="M184" s="639">
        <v>2.2000000000000002</v>
      </c>
      <c r="N184" s="639">
        <v>1.4</v>
      </c>
      <c r="O184" s="639">
        <v>1.02</v>
      </c>
      <c r="P184" s="616">
        <v>35</v>
      </c>
    </row>
    <row r="185" spans="1:16">
      <c r="A185" s="639" t="s">
        <v>190</v>
      </c>
      <c r="B185" s="639" t="s">
        <v>306</v>
      </c>
      <c r="C185" s="639" t="s">
        <v>305</v>
      </c>
      <c r="D185" s="639" t="s">
        <v>561</v>
      </c>
      <c r="E185" s="639" t="s">
        <v>562</v>
      </c>
      <c r="F185" s="639">
        <v>19358</v>
      </c>
      <c r="G185" s="639">
        <v>123008</v>
      </c>
      <c r="H185" s="639" t="s">
        <v>424</v>
      </c>
      <c r="I185" s="639" t="s">
        <v>563</v>
      </c>
      <c r="J185" s="639" t="s">
        <v>582</v>
      </c>
      <c r="K185" s="639">
        <v>1.33</v>
      </c>
      <c r="L185" s="639">
        <v>0.98</v>
      </c>
      <c r="M185" s="639">
        <v>2.33</v>
      </c>
      <c r="N185" s="639">
        <v>1.42</v>
      </c>
      <c r="O185" s="639">
        <v>1</v>
      </c>
      <c r="P185" s="616">
        <v>35</v>
      </c>
    </row>
    <row r="186" spans="1:16">
      <c r="A186" s="639" t="s">
        <v>190</v>
      </c>
      <c r="B186" s="639" t="s">
        <v>306</v>
      </c>
      <c r="C186" s="639" t="s">
        <v>305</v>
      </c>
      <c r="D186" s="639" t="s">
        <v>561</v>
      </c>
      <c r="E186" s="639" t="s">
        <v>562</v>
      </c>
      <c r="F186" s="639">
        <v>19334</v>
      </c>
      <c r="G186" s="639">
        <v>123008</v>
      </c>
      <c r="H186" s="639" t="s">
        <v>424</v>
      </c>
      <c r="I186" s="639" t="s">
        <v>579</v>
      </c>
      <c r="J186" s="639" t="s">
        <v>584</v>
      </c>
      <c r="K186" s="639">
        <v>1.0900000000000001</v>
      </c>
      <c r="L186" s="639">
        <v>0.95</v>
      </c>
      <c r="M186" s="639">
        <v>2.36</v>
      </c>
      <c r="N186" s="639">
        <v>1.36</v>
      </c>
      <c r="O186" s="639">
        <v>1.06</v>
      </c>
      <c r="P186" s="616">
        <v>35</v>
      </c>
    </row>
    <row r="187" spans="1:16">
      <c r="A187" s="639" t="s">
        <v>190</v>
      </c>
      <c r="B187" s="639" t="s">
        <v>306</v>
      </c>
      <c r="C187" s="639" t="s">
        <v>305</v>
      </c>
      <c r="D187" s="639" t="s">
        <v>561</v>
      </c>
      <c r="E187" s="639" t="s">
        <v>562</v>
      </c>
      <c r="F187" s="639">
        <v>19360</v>
      </c>
      <c r="G187" s="639">
        <v>123008</v>
      </c>
      <c r="H187" s="639" t="s">
        <v>424</v>
      </c>
      <c r="I187" s="639" t="s">
        <v>563</v>
      </c>
      <c r="J187" s="639" t="s">
        <v>588</v>
      </c>
      <c r="K187" s="639">
        <v>1.1100000000000001</v>
      </c>
      <c r="L187" s="639">
        <v>0.95</v>
      </c>
      <c r="M187" s="639">
        <v>3.33</v>
      </c>
      <c r="N187" s="639">
        <v>2.44</v>
      </c>
      <c r="O187" s="639">
        <v>2</v>
      </c>
      <c r="P187" s="616">
        <v>35</v>
      </c>
    </row>
    <row r="188" spans="1:16">
      <c r="A188" s="639" t="s">
        <v>190</v>
      </c>
      <c r="B188" s="639" t="s">
        <v>306</v>
      </c>
      <c r="C188" s="639" t="s">
        <v>305</v>
      </c>
      <c r="D188" s="639" t="s">
        <v>561</v>
      </c>
      <c r="E188" s="639" t="s">
        <v>562</v>
      </c>
      <c r="F188" s="639">
        <v>19416</v>
      </c>
      <c r="G188" s="639">
        <v>123009</v>
      </c>
      <c r="H188" s="639" t="s">
        <v>425</v>
      </c>
      <c r="I188" s="639" t="s">
        <v>577</v>
      </c>
      <c r="J188" s="639" t="s">
        <v>582</v>
      </c>
      <c r="K188" s="639">
        <v>0.84</v>
      </c>
      <c r="L188" s="639">
        <v>1.1200000000000001</v>
      </c>
      <c r="M188" s="639">
        <v>1.02</v>
      </c>
      <c r="N188" s="639">
        <v>1.08</v>
      </c>
      <c r="O188" s="639">
        <v>1.55</v>
      </c>
      <c r="P188" s="616">
        <v>11</v>
      </c>
    </row>
    <row r="189" spans="1:16">
      <c r="A189" s="639" t="s">
        <v>190</v>
      </c>
      <c r="B189" s="639" t="s">
        <v>306</v>
      </c>
      <c r="C189" s="639" t="s">
        <v>305</v>
      </c>
      <c r="D189" s="639" t="s">
        <v>561</v>
      </c>
      <c r="E189" s="639" t="s">
        <v>562</v>
      </c>
      <c r="F189" s="639">
        <v>19404</v>
      </c>
      <c r="G189" s="639">
        <v>123009</v>
      </c>
      <c r="H189" s="639" t="s">
        <v>425</v>
      </c>
      <c r="I189" s="639" t="s">
        <v>563</v>
      </c>
      <c r="J189" s="639" t="s">
        <v>588</v>
      </c>
      <c r="K189" s="639">
        <v>2.4300000000000002</v>
      </c>
      <c r="L189" s="639">
        <v>1.21</v>
      </c>
      <c r="M189" s="639">
        <v>1.04</v>
      </c>
      <c r="N189" s="639">
        <v>1.86</v>
      </c>
      <c r="O189" s="639">
        <v>1.43</v>
      </c>
      <c r="P189" s="616">
        <v>11</v>
      </c>
    </row>
    <row r="190" spans="1:16">
      <c r="A190" s="639" t="s">
        <v>190</v>
      </c>
      <c r="B190" s="639" t="s">
        <v>306</v>
      </c>
      <c r="C190" s="639" t="s">
        <v>305</v>
      </c>
      <c r="D190" s="639" t="s">
        <v>561</v>
      </c>
      <c r="E190" s="639" t="s">
        <v>562</v>
      </c>
      <c r="F190" s="639">
        <v>19411</v>
      </c>
      <c r="G190" s="639">
        <v>123009</v>
      </c>
      <c r="H190" s="639" t="s">
        <v>425</v>
      </c>
      <c r="I190" s="639" t="s">
        <v>577</v>
      </c>
      <c r="J190" s="639" t="s">
        <v>580</v>
      </c>
      <c r="K190" s="639">
        <v>1.39</v>
      </c>
      <c r="L190" s="639">
        <v>1.64</v>
      </c>
      <c r="M190" s="639">
        <v>1.04</v>
      </c>
      <c r="N190" s="639">
        <v>1.18</v>
      </c>
      <c r="O190" s="639">
        <v>1.93</v>
      </c>
      <c r="P190" s="616">
        <v>11</v>
      </c>
    </row>
    <row r="191" spans="1:16">
      <c r="A191" s="639" t="s">
        <v>190</v>
      </c>
      <c r="B191" s="639" t="s">
        <v>306</v>
      </c>
      <c r="C191" s="639" t="s">
        <v>305</v>
      </c>
      <c r="D191" s="639" t="s">
        <v>561</v>
      </c>
      <c r="E191" s="639" t="s">
        <v>562</v>
      </c>
      <c r="F191" s="639">
        <v>19417</v>
      </c>
      <c r="G191" s="639">
        <v>123009</v>
      </c>
      <c r="H191" s="639" t="s">
        <v>425</v>
      </c>
      <c r="I191" s="639" t="s">
        <v>577</v>
      </c>
      <c r="J191" s="639" t="s">
        <v>573</v>
      </c>
      <c r="K191" s="639">
        <v>0.74</v>
      </c>
      <c r="L191" s="639">
        <v>1.03</v>
      </c>
      <c r="M191" s="639">
        <v>1.05</v>
      </c>
      <c r="N191" s="639">
        <v>1.05</v>
      </c>
      <c r="O191" s="639">
        <v>1.58</v>
      </c>
      <c r="P191" s="616">
        <v>11</v>
      </c>
    </row>
    <row r="192" spans="1:16">
      <c r="A192" s="639" t="s">
        <v>190</v>
      </c>
      <c r="B192" s="639" t="s">
        <v>306</v>
      </c>
      <c r="C192" s="639" t="s">
        <v>305</v>
      </c>
      <c r="D192" s="639" t="s">
        <v>561</v>
      </c>
      <c r="E192" s="639" t="s">
        <v>562</v>
      </c>
      <c r="F192" s="639">
        <v>19401</v>
      </c>
      <c r="G192" s="639">
        <v>123009</v>
      </c>
      <c r="H192" s="639" t="s">
        <v>425</v>
      </c>
      <c r="I192" s="639" t="s">
        <v>563</v>
      </c>
      <c r="J192" s="639" t="s">
        <v>583</v>
      </c>
      <c r="K192" s="639">
        <v>1.88</v>
      </c>
      <c r="L192" s="639">
        <v>0.94</v>
      </c>
      <c r="M192" s="639">
        <v>1.05</v>
      </c>
      <c r="N192" s="639">
        <v>3.5</v>
      </c>
      <c r="O192" s="639">
        <v>3.13</v>
      </c>
      <c r="P192" s="616">
        <v>11</v>
      </c>
    </row>
    <row r="193" spans="1:16">
      <c r="A193" s="639" t="s">
        <v>190</v>
      </c>
      <c r="B193" s="639" t="s">
        <v>306</v>
      </c>
      <c r="C193" s="639" t="s">
        <v>305</v>
      </c>
      <c r="D193" s="639" t="s">
        <v>561</v>
      </c>
      <c r="E193" s="639" t="s">
        <v>562</v>
      </c>
      <c r="F193" s="639">
        <v>19402</v>
      </c>
      <c r="G193" s="639">
        <v>123009</v>
      </c>
      <c r="H193" s="639" t="s">
        <v>425</v>
      </c>
      <c r="I193" s="639" t="s">
        <v>563</v>
      </c>
      <c r="J193" s="639" t="s">
        <v>582</v>
      </c>
      <c r="K193" s="639">
        <v>1.92</v>
      </c>
      <c r="L193" s="639">
        <v>0.94</v>
      </c>
      <c r="M193" s="639">
        <v>1.0900000000000001</v>
      </c>
      <c r="N193" s="639">
        <v>1.08</v>
      </c>
      <c r="O193" s="639">
        <v>1.26</v>
      </c>
      <c r="P193" s="616">
        <v>11</v>
      </c>
    </row>
    <row r="194" spans="1:16">
      <c r="A194" s="639" t="s">
        <v>190</v>
      </c>
      <c r="B194" s="639" t="s">
        <v>306</v>
      </c>
      <c r="C194" s="639" t="s">
        <v>305</v>
      </c>
      <c r="D194" s="639" t="s">
        <v>561</v>
      </c>
      <c r="E194" s="639" t="s">
        <v>562</v>
      </c>
      <c r="F194" s="639">
        <v>19398</v>
      </c>
      <c r="G194" s="639">
        <v>123009</v>
      </c>
      <c r="H194" s="639" t="s">
        <v>425</v>
      </c>
      <c r="I194" s="639" t="s">
        <v>563</v>
      </c>
      <c r="J194" s="639" t="s">
        <v>586</v>
      </c>
      <c r="K194" s="639">
        <v>1.83</v>
      </c>
      <c r="L194" s="639">
        <v>0.95</v>
      </c>
      <c r="M194" s="639">
        <v>1.0900000000000001</v>
      </c>
      <c r="N194" s="639">
        <v>1.1200000000000001</v>
      </c>
      <c r="O194" s="639">
        <v>1.44</v>
      </c>
      <c r="P194" s="616">
        <v>11</v>
      </c>
    </row>
    <row r="195" spans="1:16">
      <c r="A195" s="639" t="s">
        <v>190</v>
      </c>
      <c r="B195" s="639" t="s">
        <v>306</v>
      </c>
      <c r="C195" s="639" t="s">
        <v>305</v>
      </c>
      <c r="D195" s="639" t="s">
        <v>561</v>
      </c>
      <c r="E195" s="639" t="s">
        <v>562</v>
      </c>
      <c r="F195" s="639">
        <v>19414</v>
      </c>
      <c r="G195" s="639">
        <v>123009</v>
      </c>
      <c r="H195" s="639" t="s">
        <v>425</v>
      </c>
      <c r="I195" s="639" t="s">
        <v>577</v>
      </c>
      <c r="J195" s="639" t="s">
        <v>581</v>
      </c>
      <c r="K195" s="639">
        <v>1.35</v>
      </c>
      <c r="L195" s="639">
        <v>1</v>
      </c>
      <c r="M195" s="639">
        <v>1.0900000000000001</v>
      </c>
      <c r="N195" s="639">
        <v>1.33</v>
      </c>
      <c r="O195" s="639">
        <v>1.73</v>
      </c>
      <c r="P195" s="616">
        <v>11</v>
      </c>
    </row>
    <row r="196" spans="1:16">
      <c r="A196" s="639" t="s">
        <v>190</v>
      </c>
      <c r="B196" s="639" t="s">
        <v>306</v>
      </c>
      <c r="C196" s="639" t="s">
        <v>305</v>
      </c>
      <c r="D196" s="639" t="s">
        <v>561</v>
      </c>
      <c r="E196" s="639" t="s">
        <v>562</v>
      </c>
      <c r="F196" s="639">
        <v>19418</v>
      </c>
      <c r="G196" s="639">
        <v>123009</v>
      </c>
      <c r="H196" s="639" t="s">
        <v>425</v>
      </c>
      <c r="I196" s="639" t="s">
        <v>577</v>
      </c>
      <c r="J196" s="639" t="s">
        <v>588</v>
      </c>
      <c r="K196" s="639">
        <v>3.03</v>
      </c>
      <c r="L196" s="639">
        <v>1.88</v>
      </c>
      <c r="M196" s="639">
        <v>1.0900000000000001</v>
      </c>
      <c r="N196" s="639">
        <v>1</v>
      </c>
      <c r="O196" s="639">
        <v>1.84</v>
      </c>
      <c r="P196" s="616">
        <v>11</v>
      </c>
    </row>
    <row r="197" spans="1:16">
      <c r="A197" s="639" t="s">
        <v>190</v>
      </c>
      <c r="B197" s="639" t="s">
        <v>306</v>
      </c>
      <c r="C197" s="639" t="s">
        <v>305</v>
      </c>
      <c r="D197" s="639" t="s">
        <v>561</v>
      </c>
      <c r="E197" s="639" t="s">
        <v>562</v>
      </c>
      <c r="F197" s="639">
        <v>19400</v>
      </c>
      <c r="G197" s="639">
        <v>123009</v>
      </c>
      <c r="H197" s="639" t="s">
        <v>425</v>
      </c>
      <c r="I197" s="639" t="s">
        <v>563</v>
      </c>
      <c r="J197" s="639" t="s">
        <v>581</v>
      </c>
      <c r="K197" s="639">
        <v>1.58</v>
      </c>
      <c r="L197" s="639">
        <v>0.97</v>
      </c>
      <c r="M197" s="639">
        <v>1.1200000000000001</v>
      </c>
      <c r="N197" s="639">
        <v>1.58</v>
      </c>
      <c r="O197" s="639">
        <v>1.17</v>
      </c>
      <c r="P197" s="616">
        <v>11</v>
      </c>
    </row>
    <row r="198" spans="1:16">
      <c r="A198" s="639" t="s">
        <v>190</v>
      </c>
      <c r="B198" s="639" t="s">
        <v>306</v>
      </c>
      <c r="C198" s="639" t="s">
        <v>305</v>
      </c>
      <c r="D198" s="639" t="s">
        <v>561</v>
      </c>
      <c r="E198" s="639" t="s">
        <v>562</v>
      </c>
      <c r="F198" s="639">
        <v>19413</v>
      </c>
      <c r="G198" s="639">
        <v>123009</v>
      </c>
      <c r="H198" s="639" t="s">
        <v>425</v>
      </c>
      <c r="I198" s="639" t="s">
        <v>577</v>
      </c>
      <c r="J198" s="639" t="s">
        <v>574</v>
      </c>
      <c r="K198" s="639">
        <v>0.74</v>
      </c>
      <c r="L198" s="639">
        <v>1.1000000000000001</v>
      </c>
      <c r="M198" s="639">
        <v>1.1399999999999999</v>
      </c>
      <c r="N198" s="639">
        <v>1.0900000000000001</v>
      </c>
      <c r="O198" s="639">
        <v>1.25</v>
      </c>
      <c r="P198" s="616">
        <v>11</v>
      </c>
    </row>
    <row r="199" spans="1:16">
      <c r="A199" s="639" t="s">
        <v>190</v>
      </c>
      <c r="B199" s="639" t="s">
        <v>306</v>
      </c>
      <c r="C199" s="639" t="s">
        <v>305</v>
      </c>
      <c r="D199" s="639" t="s">
        <v>561</v>
      </c>
      <c r="E199" s="639" t="s">
        <v>562</v>
      </c>
      <c r="F199" s="639">
        <v>19419</v>
      </c>
      <c r="G199" s="639">
        <v>123009</v>
      </c>
      <c r="H199" s="639" t="s">
        <v>425</v>
      </c>
      <c r="I199" s="639" t="s">
        <v>577</v>
      </c>
      <c r="J199" s="639" t="s">
        <v>572</v>
      </c>
      <c r="K199" s="639">
        <v>2.4</v>
      </c>
      <c r="L199" s="639">
        <v>1.21</v>
      </c>
      <c r="M199" s="639">
        <v>1.1399999999999999</v>
      </c>
      <c r="N199" s="639">
        <v>1.1499999999999999</v>
      </c>
      <c r="O199" s="639">
        <v>1.4</v>
      </c>
      <c r="P199" s="616">
        <v>11</v>
      </c>
    </row>
    <row r="200" spans="1:16">
      <c r="A200" s="639" t="s">
        <v>190</v>
      </c>
      <c r="B200" s="639" t="s">
        <v>306</v>
      </c>
      <c r="C200" s="639" t="s">
        <v>305</v>
      </c>
      <c r="D200" s="639" t="s">
        <v>561</v>
      </c>
      <c r="E200" s="639" t="s">
        <v>562</v>
      </c>
      <c r="F200" s="639">
        <v>19410</v>
      </c>
      <c r="G200" s="639">
        <v>123009</v>
      </c>
      <c r="H200" s="639" t="s">
        <v>425</v>
      </c>
      <c r="I200" s="639" t="s">
        <v>577</v>
      </c>
      <c r="J200" s="639" t="s">
        <v>585</v>
      </c>
      <c r="K200" s="639">
        <v>1.81</v>
      </c>
      <c r="L200" s="639">
        <v>1.37</v>
      </c>
      <c r="M200" s="639">
        <v>1.1399999999999999</v>
      </c>
      <c r="N200" s="639">
        <v>1.08</v>
      </c>
      <c r="O200" s="639">
        <v>1.74</v>
      </c>
      <c r="P200" s="616">
        <v>11</v>
      </c>
    </row>
    <row r="201" spans="1:16">
      <c r="A201" s="639" t="s">
        <v>190</v>
      </c>
      <c r="B201" s="639" t="s">
        <v>306</v>
      </c>
      <c r="C201" s="639" t="s">
        <v>305</v>
      </c>
      <c r="D201" s="639" t="s">
        <v>561</v>
      </c>
      <c r="E201" s="639" t="s">
        <v>562</v>
      </c>
      <c r="F201" s="639">
        <v>19408</v>
      </c>
      <c r="G201" s="639">
        <v>123009</v>
      </c>
      <c r="H201" s="639" t="s">
        <v>425</v>
      </c>
      <c r="I201" s="639" t="s">
        <v>577</v>
      </c>
      <c r="J201" s="639" t="s">
        <v>587</v>
      </c>
      <c r="K201" s="639">
        <v>1.81</v>
      </c>
      <c r="L201" s="639">
        <v>1.38</v>
      </c>
      <c r="M201" s="639">
        <v>1.1399999999999999</v>
      </c>
      <c r="N201" s="639">
        <v>1.1200000000000001</v>
      </c>
      <c r="O201" s="639">
        <v>1.1000000000000001</v>
      </c>
      <c r="P201" s="616">
        <v>11</v>
      </c>
    </row>
    <row r="202" spans="1:16">
      <c r="A202" s="639" t="s">
        <v>190</v>
      </c>
      <c r="B202" s="639" t="s">
        <v>306</v>
      </c>
      <c r="C202" s="639" t="s">
        <v>305</v>
      </c>
      <c r="D202" s="639" t="s">
        <v>561</v>
      </c>
      <c r="E202" s="639" t="s">
        <v>562</v>
      </c>
      <c r="F202" s="639">
        <v>19396</v>
      </c>
      <c r="G202" s="639">
        <v>123009</v>
      </c>
      <c r="H202" s="639" t="s">
        <v>425</v>
      </c>
      <c r="I202" s="639" t="s">
        <v>563</v>
      </c>
      <c r="J202" s="639" t="s">
        <v>585</v>
      </c>
      <c r="K202" s="639">
        <v>3.1</v>
      </c>
      <c r="L202" s="639">
        <v>1.9</v>
      </c>
      <c r="M202" s="639">
        <v>1.1499999999999999</v>
      </c>
      <c r="N202" s="639">
        <v>1.67</v>
      </c>
      <c r="O202" s="639">
        <v>1.24</v>
      </c>
      <c r="P202" s="616">
        <v>11</v>
      </c>
    </row>
    <row r="203" spans="1:16">
      <c r="A203" s="639" t="s">
        <v>190</v>
      </c>
      <c r="B203" s="639" t="s">
        <v>306</v>
      </c>
      <c r="C203" s="639" t="s">
        <v>305</v>
      </c>
      <c r="D203" s="639" t="s">
        <v>561</v>
      </c>
      <c r="E203" s="639" t="s">
        <v>562</v>
      </c>
      <c r="F203" s="639">
        <v>19409</v>
      </c>
      <c r="G203" s="639">
        <v>123009</v>
      </c>
      <c r="H203" s="639" t="s">
        <v>425</v>
      </c>
      <c r="I203" s="639" t="s">
        <v>577</v>
      </c>
      <c r="J203" s="639" t="s">
        <v>575</v>
      </c>
      <c r="K203" s="639">
        <v>0.95</v>
      </c>
      <c r="L203" s="639">
        <v>1.07</v>
      </c>
      <c r="M203" s="639">
        <v>1.18</v>
      </c>
      <c r="N203" s="639">
        <v>1.0900000000000001</v>
      </c>
      <c r="O203" s="639">
        <v>1.54</v>
      </c>
      <c r="P203" s="616">
        <v>11</v>
      </c>
    </row>
    <row r="204" spans="1:16">
      <c r="A204" s="639" t="s">
        <v>190</v>
      </c>
      <c r="B204" s="639" t="s">
        <v>306</v>
      </c>
      <c r="C204" s="639" t="s">
        <v>305</v>
      </c>
      <c r="D204" s="639" t="s">
        <v>561</v>
      </c>
      <c r="E204" s="639" t="s">
        <v>562</v>
      </c>
      <c r="F204" s="639">
        <v>19399</v>
      </c>
      <c r="G204" s="639">
        <v>123009</v>
      </c>
      <c r="H204" s="639" t="s">
        <v>425</v>
      </c>
      <c r="I204" s="639" t="s">
        <v>563</v>
      </c>
      <c r="J204" s="639" t="s">
        <v>574</v>
      </c>
      <c r="K204" s="639">
        <v>1.94</v>
      </c>
      <c r="L204" s="639">
        <v>0.94</v>
      </c>
      <c r="M204" s="639">
        <v>1.18</v>
      </c>
      <c r="N204" s="639">
        <v>1.02</v>
      </c>
      <c r="O204" s="639">
        <v>1.41</v>
      </c>
      <c r="P204" s="616">
        <v>11</v>
      </c>
    </row>
    <row r="205" spans="1:16">
      <c r="A205" s="639" t="s">
        <v>190</v>
      </c>
      <c r="B205" s="639" t="s">
        <v>306</v>
      </c>
      <c r="C205" s="639" t="s">
        <v>305</v>
      </c>
      <c r="D205" s="639" t="s">
        <v>561</v>
      </c>
      <c r="E205" s="639" t="s">
        <v>562</v>
      </c>
      <c r="F205" s="639">
        <v>19406</v>
      </c>
      <c r="G205" s="639">
        <v>123009</v>
      </c>
      <c r="H205" s="639" t="s">
        <v>425</v>
      </c>
      <c r="I205" s="639" t="s">
        <v>577</v>
      </c>
      <c r="J205" s="639" t="s">
        <v>584</v>
      </c>
      <c r="K205" s="639">
        <v>2.2400000000000002</v>
      </c>
      <c r="L205" s="639">
        <v>1.03</v>
      </c>
      <c r="M205" s="639">
        <v>1.21</v>
      </c>
      <c r="N205" s="639">
        <v>1.62</v>
      </c>
      <c r="O205" s="639">
        <v>1.21</v>
      </c>
      <c r="P205" s="616">
        <v>11</v>
      </c>
    </row>
    <row r="206" spans="1:16">
      <c r="A206" s="639" t="s">
        <v>190</v>
      </c>
      <c r="B206" s="639" t="s">
        <v>306</v>
      </c>
      <c r="C206" s="639" t="s">
        <v>305</v>
      </c>
      <c r="D206" s="639" t="s">
        <v>561</v>
      </c>
      <c r="E206" s="639" t="s">
        <v>562</v>
      </c>
      <c r="F206" s="639">
        <v>19412</v>
      </c>
      <c r="G206" s="639">
        <v>123009</v>
      </c>
      <c r="H206" s="639" t="s">
        <v>425</v>
      </c>
      <c r="I206" s="639" t="s">
        <v>577</v>
      </c>
      <c r="J206" s="639" t="s">
        <v>586</v>
      </c>
      <c r="K206" s="639">
        <v>1.37</v>
      </c>
      <c r="L206" s="639">
        <v>0.99</v>
      </c>
      <c r="M206" s="639">
        <v>1.21</v>
      </c>
      <c r="N206" s="639">
        <v>1.1200000000000001</v>
      </c>
      <c r="O206" s="639">
        <v>1.49</v>
      </c>
      <c r="P206" s="616">
        <v>11</v>
      </c>
    </row>
    <row r="207" spans="1:16">
      <c r="A207" s="639" t="s">
        <v>190</v>
      </c>
      <c r="B207" s="639" t="s">
        <v>306</v>
      </c>
      <c r="C207" s="639" t="s">
        <v>305</v>
      </c>
      <c r="D207" s="639" t="s">
        <v>561</v>
      </c>
      <c r="E207" s="639" t="s">
        <v>562</v>
      </c>
      <c r="F207" s="639">
        <v>19405</v>
      </c>
      <c r="G207" s="639">
        <v>123009</v>
      </c>
      <c r="H207" s="639" t="s">
        <v>425</v>
      </c>
      <c r="I207" s="639" t="s">
        <v>563</v>
      </c>
      <c r="J207" s="639" t="s">
        <v>572</v>
      </c>
      <c r="K207" s="639">
        <v>2.36</v>
      </c>
      <c r="L207" s="639">
        <v>1.18</v>
      </c>
      <c r="M207" s="639">
        <v>1.39</v>
      </c>
      <c r="N207" s="639">
        <v>1.03</v>
      </c>
      <c r="O207" s="639">
        <v>1.43</v>
      </c>
      <c r="P207" s="616">
        <v>11</v>
      </c>
    </row>
    <row r="208" spans="1:16">
      <c r="A208" s="639" t="s">
        <v>190</v>
      </c>
      <c r="B208" s="639" t="s">
        <v>306</v>
      </c>
      <c r="C208" s="639" t="s">
        <v>305</v>
      </c>
      <c r="D208" s="639" t="s">
        <v>561</v>
      </c>
      <c r="E208" s="639" t="s">
        <v>562</v>
      </c>
      <c r="F208" s="639">
        <v>19403</v>
      </c>
      <c r="G208" s="639">
        <v>123009</v>
      </c>
      <c r="H208" s="639" t="s">
        <v>425</v>
      </c>
      <c r="I208" s="639" t="s">
        <v>563</v>
      </c>
      <c r="J208" s="639" t="s">
        <v>573</v>
      </c>
      <c r="K208" s="639">
        <v>1.98</v>
      </c>
      <c r="L208" s="639">
        <v>1.01</v>
      </c>
      <c r="M208" s="639">
        <v>1.44</v>
      </c>
      <c r="N208" s="639">
        <v>1.4</v>
      </c>
      <c r="O208" s="639">
        <v>1.02</v>
      </c>
      <c r="P208" s="616">
        <v>11</v>
      </c>
    </row>
    <row r="209" spans="1:16">
      <c r="A209" s="639" t="s">
        <v>190</v>
      </c>
      <c r="B209" s="639" t="s">
        <v>306</v>
      </c>
      <c r="C209" s="639" t="s">
        <v>305</v>
      </c>
      <c r="D209" s="639" t="s">
        <v>561</v>
      </c>
      <c r="E209" s="639" t="s">
        <v>562</v>
      </c>
      <c r="F209" s="639">
        <v>19415</v>
      </c>
      <c r="G209" s="639">
        <v>123009</v>
      </c>
      <c r="H209" s="639" t="s">
        <v>425</v>
      </c>
      <c r="I209" s="639" t="s">
        <v>577</v>
      </c>
      <c r="J209" s="639" t="s">
        <v>583</v>
      </c>
      <c r="K209" s="639">
        <v>3.79</v>
      </c>
      <c r="L209" s="639">
        <v>2.63</v>
      </c>
      <c r="M209" s="639">
        <v>1.47</v>
      </c>
      <c r="N209" s="639">
        <v>1.08</v>
      </c>
      <c r="O209" s="639">
        <v>2.21</v>
      </c>
      <c r="P209" s="616">
        <v>11</v>
      </c>
    </row>
    <row r="210" spans="1:16">
      <c r="A210" s="639" t="s">
        <v>190</v>
      </c>
      <c r="B210" s="639" t="s">
        <v>306</v>
      </c>
      <c r="C210" s="639" t="s">
        <v>305</v>
      </c>
      <c r="D210" s="639" t="s">
        <v>561</v>
      </c>
      <c r="E210" s="639" t="s">
        <v>562</v>
      </c>
      <c r="F210" s="639">
        <v>19395</v>
      </c>
      <c r="G210" s="639">
        <v>123009</v>
      </c>
      <c r="H210" s="639" t="s">
        <v>425</v>
      </c>
      <c r="I210" s="639" t="s">
        <v>563</v>
      </c>
      <c r="J210" s="639" t="s">
        <v>575</v>
      </c>
      <c r="K210" s="639">
        <v>0.88</v>
      </c>
      <c r="L210" s="639">
        <v>0.99</v>
      </c>
      <c r="M210" s="639">
        <v>1.5</v>
      </c>
      <c r="N210" s="639">
        <v>1.08</v>
      </c>
      <c r="O210" s="639">
        <v>1.1299999999999999</v>
      </c>
      <c r="P210" s="616">
        <v>11</v>
      </c>
    </row>
    <row r="211" spans="1:16">
      <c r="A211" s="639" t="s">
        <v>190</v>
      </c>
      <c r="B211" s="639" t="s">
        <v>306</v>
      </c>
      <c r="C211" s="639" t="s">
        <v>305</v>
      </c>
      <c r="D211" s="639" t="s">
        <v>561</v>
      </c>
      <c r="E211" s="639" t="s">
        <v>562</v>
      </c>
      <c r="F211" s="639">
        <v>19394</v>
      </c>
      <c r="G211" s="639">
        <v>123009</v>
      </c>
      <c r="H211" s="639" t="s">
        <v>425</v>
      </c>
      <c r="I211" s="639" t="s">
        <v>563</v>
      </c>
      <c r="J211" s="639" t="s">
        <v>587</v>
      </c>
      <c r="K211" s="639">
        <v>2.0499999999999998</v>
      </c>
      <c r="L211" s="639">
        <v>1.02</v>
      </c>
      <c r="M211" s="639">
        <v>1.57</v>
      </c>
      <c r="N211" s="639">
        <v>1.08</v>
      </c>
      <c r="O211" s="639">
        <v>2.1</v>
      </c>
      <c r="P211" s="616">
        <v>11</v>
      </c>
    </row>
    <row r="212" spans="1:16">
      <c r="A212" s="639" t="s">
        <v>190</v>
      </c>
      <c r="B212" s="639" t="s">
        <v>306</v>
      </c>
      <c r="C212" s="639" t="s">
        <v>305</v>
      </c>
      <c r="D212" s="639" t="s">
        <v>561</v>
      </c>
      <c r="E212" s="639" t="s">
        <v>562</v>
      </c>
      <c r="F212" s="639">
        <v>19397</v>
      </c>
      <c r="G212" s="639">
        <v>123009</v>
      </c>
      <c r="H212" s="639" t="s">
        <v>425</v>
      </c>
      <c r="I212" s="639" t="s">
        <v>563</v>
      </c>
      <c r="J212" s="639" t="s">
        <v>580</v>
      </c>
      <c r="K212" s="639">
        <v>1.2</v>
      </c>
      <c r="L212" s="639">
        <v>0.98</v>
      </c>
      <c r="M212" s="639">
        <v>3</v>
      </c>
      <c r="N212" s="639">
        <v>2.1</v>
      </c>
      <c r="O212" s="639">
        <v>1.7</v>
      </c>
      <c r="P212" s="616">
        <v>11</v>
      </c>
    </row>
    <row r="213" spans="1:16">
      <c r="A213" s="639" t="s">
        <v>190</v>
      </c>
      <c r="B213" s="639" t="s">
        <v>306</v>
      </c>
      <c r="C213" s="639" t="s">
        <v>305</v>
      </c>
      <c r="D213" s="639" t="s">
        <v>561</v>
      </c>
      <c r="E213" s="639" t="s">
        <v>562</v>
      </c>
      <c r="F213" s="639">
        <v>19392</v>
      </c>
      <c r="G213" s="639">
        <v>123009</v>
      </c>
      <c r="H213" s="639" t="s">
        <v>425</v>
      </c>
      <c r="I213" s="639" t="s">
        <v>563</v>
      </c>
      <c r="J213" s="639" t="s">
        <v>584</v>
      </c>
      <c r="K213" s="639">
        <v>5.78</v>
      </c>
      <c r="L213" s="639">
        <v>4.67</v>
      </c>
      <c r="M213" s="639">
        <v>3.56</v>
      </c>
      <c r="N213" s="639">
        <v>2.67</v>
      </c>
      <c r="O213" s="639">
        <v>2.2200000000000002</v>
      </c>
      <c r="P213" s="616">
        <v>11</v>
      </c>
    </row>
    <row r="214" spans="1:16">
      <c r="A214" s="639" t="s">
        <v>327</v>
      </c>
      <c r="B214" s="639" t="s">
        <v>306</v>
      </c>
      <c r="C214" s="639" t="s">
        <v>305</v>
      </c>
      <c r="D214" s="639" t="s">
        <v>561</v>
      </c>
      <c r="E214" s="639" t="s">
        <v>562</v>
      </c>
      <c r="F214" s="639">
        <v>21369</v>
      </c>
      <c r="G214" s="639">
        <v>123101</v>
      </c>
      <c r="H214" s="639" t="s">
        <v>332</v>
      </c>
      <c r="I214" s="639" t="s">
        <v>577</v>
      </c>
      <c r="J214" s="639">
        <v>42</v>
      </c>
      <c r="K214" s="639">
        <v>0.74</v>
      </c>
      <c r="L214" s="639">
        <v>1.02</v>
      </c>
      <c r="M214" s="639">
        <v>1.08</v>
      </c>
      <c r="N214" s="639">
        <v>1.01</v>
      </c>
      <c r="O214" s="639">
        <v>1.39</v>
      </c>
      <c r="P214" s="616">
        <v>26</v>
      </c>
    </row>
    <row r="215" spans="1:16">
      <c r="A215" s="639" t="s">
        <v>327</v>
      </c>
      <c r="B215" s="639" t="s">
        <v>306</v>
      </c>
      <c r="C215" s="639" t="s">
        <v>305</v>
      </c>
      <c r="D215" s="639" t="s">
        <v>561</v>
      </c>
      <c r="E215" s="639" t="s">
        <v>562</v>
      </c>
      <c r="F215" s="639">
        <v>21366</v>
      </c>
      <c r="G215" s="639">
        <v>123101</v>
      </c>
      <c r="H215" s="639" t="s">
        <v>332</v>
      </c>
      <c r="I215" s="639" t="s">
        <v>563</v>
      </c>
      <c r="J215" s="639">
        <v>42</v>
      </c>
      <c r="K215" s="639">
        <v>0.85</v>
      </c>
      <c r="L215" s="639">
        <v>1.1200000000000001</v>
      </c>
      <c r="M215" s="639">
        <v>1.08</v>
      </c>
      <c r="N215" s="639">
        <v>1.1399999999999999</v>
      </c>
      <c r="O215" s="639">
        <v>1.43</v>
      </c>
      <c r="P215" s="616">
        <v>26</v>
      </c>
    </row>
    <row r="216" spans="1:16">
      <c r="A216" s="639" t="s">
        <v>327</v>
      </c>
      <c r="B216" s="639" t="s">
        <v>306</v>
      </c>
      <c r="C216" s="639" t="s">
        <v>305</v>
      </c>
      <c r="D216" s="639" t="s">
        <v>561</v>
      </c>
      <c r="E216" s="639" t="s">
        <v>562</v>
      </c>
      <c r="F216" s="639">
        <v>21372</v>
      </c>
      <c r="G216" s="639">
        <v>123101</v>
      </c>
      <c r="H216" s="639" t="s">
        <v>332</v>
      </c>
      <c r="I216" s="639" t="s">
        <v>579</v>
      </c>
      <c r="J216" s="639">
        <v>42</v>
      </c>
      <c r="K216" s="639">
        <v>0.96</v>
      </c>
      <c r="L216" s="639">
        <v>1.0900000000000001</v>
      </c>
      <c r="M216" s="639">
        <v>1.1200000000000001</v>
      </c>
      <c r="N216" s="639">
        <v>1.1499999999999999</v>
      </c>
      <c r="O216" s="639">
        <v>1.45</v>
      </c>
      <c r="P216" s="616">
        <v>26</v>
      </c>
    </row>
    <row r="217" spans="1:16">
      <c r="A217" s="639" t="s">
        <v>327</v>
      </c>
      <c r="B217" s="639" t="s">
        <v>306</v>
      </c>
      <c r="C217" s="639" t="s">
        <v>305</v>
      </c>
      <c r="D217" s="639" t="s">
        <v>561</v>
      </c>
      <c r="E217" s="639" t="s">
        <v>562</v>
      </c>
      <c r="F217" s="639">
        <v>21371</v>
      </c>
      <c r="G217" s="639">
        <v>123101</v>
      </c>
      <c r="H217" s="639" t="s">
        <v>332</v>
      </c>
      <c r="I217" s="639" t="s">
        <v>579</v>
      </c>
      <c r="J217" s="639">
        <v>40</v>
      </c>
      <c r="K217" s="639">
        <v>0.97</v>
      </c>
      <c r="L217" s="639">
        <v>1.1100000000000001</v>
      </c>
      <c r="M217" s="639">
        <v>1.1299999999999999</v>
      </c>
      <c r="N217" s="639">
        <v>1.23</v>
      </c>
      <c r="O217" s="639">
        <v>1.41</v>
      </c>
      <c r="P217" s="616">
        <v>26</v>
      </c>
    </row>
    <row r="218" spans="1:16">
      <c r="A218" s="639" t="s">
        <v>327</v>
      </c>
      <c r="B218" s="639" t="s">
        <v>306</v>
      </c>
      <c r="C218" s="639" t="s">
        <v>305</v>
      </c>
      <c r="D218" s="639" t="s">
        <v>561</v>
      </c>
      <c r="E218" s="639" t="s">
        <v>562</v>
      </c>
      <c r="F218" s="639">
        <v>21368</v>
      </c>
      <c r="G218" s="639">
        <v>123101</v>
      </c>
      <c r="H218" s="639" t="s">
        <v>332</v>
      </c>
      <c r="I218" s="639" t="s">
        <v>577</v>
      </c>
      <c r="J218" s="639">
        <v>40</v>
      </c>
      <c r="K218" s="639">
        <v>0.99</v>
      </c>
      <c r="L218" s="639">
        <v>1.19</v>
      </c>
      <c r="M218" s="639">
        <v>1.1399999999999999</v>
      </c>
      <c r="N218" s="639">
        <v>1.1499999999999999</v>
      </c>
      <c r="O218" s="639">
        <v>1.36</v>
      </c>
      <c r="P218" s="616">
        <v>26</v>
      </c>
    </row>
    <row r="219" spans="1:16">
      <c r="A219" s="639" t="s">
        <v>327</v>
      </c>
      <c r="B219" s="639" t="s">
        <v>306</v>
      </c>
      <c r="C219" s="639" t="s">
        <v>305</v>
      </c>
      <c r="D219" s="639" t="s">
        <v>561</v>
      </c>
      <c r="E219" s="639" t="s">
        <v>562</v>
      </c>
      <c r="F219" s="639">
        <v>21370</v>
      </c>
      <c r="G219" s="639">
        <v>123101</v>
      </c>
      <c r="H219" s="639" t="s">
        <v>332</v>
      </c>
      <c r="I219" s="639" t="s">
        <v>577</v>
      </c>
      <c r="J219" s="639">
        <v>44</v>
      </c>
      <c r="K219" s="639">
        <v>0.85</v>
      </c>
      <c r="L219" s="639">
        <v>1.03</v>
      </c>
      <c r="M219" s="639">
        <v>1.1599999999999999</v>
      </c>
      <c r="N219" s="639">
        <v>1.1499999999999999</v>
      </c>
      <c r="O219" s="639">
        <v>1.49</v>
      </c>
      <c r="P219" s="616">
        <v>26</v>
      </c>
    </row>
    <row r="220" spans="1:16">
      <c r="A220" s="639" t="s">
        <v>327</v>
      </c>
      <c r="B220" s="639" t="s">
        <v>306</v>
      </c>
      <c r="C220" s="639" t="s">
        <v>305</v>
      </c>
      <c r="D220" s="639" t="s">
        <v>561</v>
      </c>
      <c r="E220" s="639" t="s">
        <v>562</v>
      </c>
      <c r="F220" s="639">
        <v>21365</v>
      </c>
      <c r="G220" s="639">
        <v>123101</v>
      </c>
      <c r="H220" s="639" t="s">
        <v>332</v>
      </c>
      <c r="I220" s="639" t="s">
        <v>563</v>
      </c>
      <c r="J220" s="639">
        <v>40</v>
      </c>
      <c r="K220" s="639">
        <v>0.78</v>
      </c>
      <c r="L220" s="639">
        <v>1.1200000000000001</v>
      </c>
      <c r="M220" s="639">
        <v>1.17</v>
      </c>
      <c r="N220" s="639">
        <v>1.1599999999999999</v>
      </c>
      <c r="O220" s="639">
        <v>1.2</v>
      </c>
      <c r="P220" s="616">
        <v>26</v>
      </c>
    </row>
    <row r="221" spans="1:16">
      <c r="A221" s="639" t="s">
        <v>327</v>
      </c>
      <c r="B221" s="639" t="s">
        <v>306</v>
      </c>
      <c r="C221" s="639" t="s">
        <v>305</v>
      </c>
      <c r="D221" s="639" t="s">
        <v>561</v>
      </c>
      <c r="E221" s="639" t="s">
        <v>562</v>
      </c>
      <c r="F221" s="639">
        <v>21367</v>
      </c>
      <c r="G221" s="639">
        <v>123101</v>
      </c>
      <c r="H221" s="639" t="s">
        <v>332</v>
      </c>
      <c r="I221" s="639" t="s">
        <v>563</v>
      </c>
      <c r="J221" s="639">
        <v>44</v>
      </c>
      <c r="K221" s="639">
        <v>0.92</v>
      </c>
      <c r="L221" s="639">
        <v>1.1499999999999999</v>
      </c>
      <c r="M221" s="639">
        <v>1.17</v>
      </c>
      <c r="N221" s="639">
        <v>1.1200000000000001</v>
      </c>
      <c r="O221" s="639">
        <v>1.6</v>
      </c>
      <c r="P221" s="616">
        <v>26</v>
      </c>
    </row>
    <row r="222" spans="1:16">
      <c r="A222" s="639" t="s">
        <v>327</v>
      </c>
      <c r="B222" s="639" t="s">
        <v>306</v>
      </c>
      <c r="C222" s="639" t="s">
        <v>305</v>
      </c>
      <c r="D222" s="639" t="s">
        <v>561</v>
      </c>
      <c r="E222" s="639" t="s">
        <v>562</v>
      </c>
      <c r="F222" s="639">
        <v>21373</v>
      </c>
      <c r="G222" s="639">
        <v>123101</v>
      </c>
      <c r="H222" s="639" t="s">
        <v>332</v>
      </c>
      <c r="I222" s="639" t="s">
        <v>579</v>
      </c>
      <c r="J222" s="639">
        <v>44</v>
      </c>
      <c r="K222" s="639">
        <v>1.41</v>
      </c>
      <c r="L222" s="639">
        <v>0.94</v>
      </c>
      <c r="M222" s="639">
        <v>1.18</v>
      </c>
      <c r="N222" s="639">
        <v>1.08</v>
      </c>
      <c r="O222" s="639">
        <v>1.39</v>
      </c>
      <c r="P222" s="616">
        <v>26</v>
      </c>
    </row>
    <row r="223" spans="1:16">
      <c r="A223" s="639" t="s">
        <v>327</v>
      </c>
      <c r="B223" s="639" t="s">
        <v>433</v>
      </c>
      <c r="C223" s="639" t="s">
        <v>305</v>
      </c>
      <c r="D223" s="639" t="s">
        <v>561</v>
      </c>
      <c r="E223" s="639" t="s">
        <v>562</v>
      </c>
      <c r="F223" s="639">
        <v>30138</v>
      </c>
      <c r="G223" s="639">
        <v>123405</v>
      </c>
      <c r="H223" s="639" t="s">
        <v>434</v>
      </c>
      <c r="I223" s="639" t="s">
        <v>579</v>
      </c>
      <c r="J223" s="639" t="s">
        <v>589</v>
      </c>
      <c r="K223" s="639">
        <v>2.19</v>
      </c>
      <c r="L223" s="639">
        <v>1</v>
      </c>
      <c r="M223" s="639">
        <v>1.06</v>
      </c>
      <c r="N223" s="639">
        <v>1.38</v>
      </c>
      <c r="O223" s="639">
        <v>2.19</v>
      </c>
      <c r="P223" s="616">
        <v>37</v>
      </c>
    </row>
    <row r="224" spans="1:16">
      <c r="A224" s="639" t="s">
        <v>327</v>
      </c>
      <c r="B224" s="639" t="s">
        <v>433</v>
      </c>
      <c r="C224" s="639" t="s">
        <v>305</v>
      </c>
      <c r="D224" s="639" t="s">
        <v>561</v>
      </c>
      <c r="E224" s="639" t="s">
        <v>562</v>
      </c>
      <c r="F224" s="639">
        <v>30148</v>
      </c>
      <c r="G224" s="639">
        <v>123405</v>
      </c>
      <c r="H224" s="639" t="s">
        <v>434</v>
      </c>
      <c r="I224" s="639" t="s">
        <v>579</v>
      </c>
      <c r="J224" s="639" t="s">
        <v>582</v>
      </c>
      <c r="K224" s="639">
        <v>1.45</v>
      </c>
      <c r="L224" s="639">
        <v>1.01</v>
      </c>
      <c r="M224" s="639">
        <v>1.08</v>
      </c>
      <c r="N224" s="639">
        <v>1.1299999999999999</v>
      </c>
      <c r="O224" s="639">
        <v>1.2</v>
      </c>
      <c r="P224" s="616">
        <v>37</v>
      </c>
    </row>
    <row r="225" spans="1:16">
      <c r="A225" s="639" t="s">
        <v>327</v>
      </c>
      <c r="B225" s="639" t="s">
        <v>433</v>
      </c>
      <c r="C225" s="639" t="s">
        <v>305</v>
      </c>
      <c r="D225" s="639" t="s">
        <v>561</v>
      </c>
      <c r="E225" s="639" t="s">
        <v>562</v>
      </c>
      <c r="F225" s="639">
        <v>30146</v>
      </c>
      <c r="G225" s="639">
        <v>123405</v>
      </c>
      <c r="H225" s="639" t="s">
        <v>434</v>
      </c>
      <c r="I225" s="639" t="s">
        <v>579</v>
      </c>
      <c r="J225" s="639" t="s">
        <v>574</v>
      </c>
      <c r="K225" s="639">
        <v>0.78</v>
      </c>
      <c r="L225" s="639">
        <v>1.18</v>
      </c>
      <c r="M225" s="639">
        <v>1.08</v>
      </c>
      <c r="N225" s="639">
        <v>1.06</v>
      </c>
      <c r="O225" s="639">
        <v>1.38</v>
      </c>
      <c r="P225" s="616">
        <v>37</v>
      </c>
    </row>
    <row r="226" spans="1:16">
      <c r="A226" s="639" t="s">
        <v>327</v>
      </c>
      <c r="B226" s="639" t="s">
        <v>433</v>
      </c>
      <c r="C226" s="639" t="s">
        <v>305</v>
      </c>
      <c r="D226" s="639" t="s">
        <v>561</v>
      </c>
      <c r="E226" s="639" t="s">
        <v>562</v>
      </c>
      <c r="F226" s="639">
        <v>30141</v>
      </c>
      <c r="G226" s="639">
        <v>123405</v>
      </c>
      <c r="H226" s="639" t="s">
        <v>434</v>
      </c>
      <c r="I226" s="639" t="s">
        <v>579</v>
      </c>
      <c r="J226" s="639" t="s">
        <v>587</v>
      </c>
      <c r="K226" s="639">
        <v>0.82</v>
      </c>
      <c r="L226" s="639">
        <v>1.0900000000000001</v>
      </c>
      <c r="M226" s="639">
        <v>1.0900000000000001</v>
      </c>
      <c r="N226" s="639">
        <v>1.07</v>
      </c>
      <c r="O226" s="639">
        <v>1.58</v>
      </c>
      <c r="P226" s="616">
        <v>37</v>
      </c>
    </row>
    <row r="227" spans="1:16">
      <c r="A227" s="639" t="s">
        <v>327</v>
      </c>
      <c r="B227" s="639" t="s">
        <v>433</v>
      </c>
      <c r="C227" s="639" t="s">
        <v>305</v>
      </c>
      <c r="D227" s="639" t="s">
        <v>561</v>
      </c>
      <c r="E227" s="639" t="s">
        <v>562</v>
      </c>
      <c r="F227" s="639">
        <v>30142</v>
      </c>
      <c r="G227" s="639">
        <v>123405</v>
      </c>
      <c r="H227" s="639" t="s">
        <v>434</v>
      </c>
      <c r="I227" s="639" t="s">
        <v>579</v>
      </c>
      <c r="J227" s="639" t="s">
        <v>575</v>
      </c>
      <c r="K227" s="639">
        <v>0.75</v>
      </c>
      <c r="L227" s="639">
        <v>1.01</v>
      </c>
      <c r="M227" s="639">
        <v>1.1299999999999999</v>
      </c>
      <c r="N227" s="639">
        <v>1.18</v>
      </c>
      <c r="O227" s="639">
        <v>1.26</v>
      </c>
      <c r="P227" s="616">
        <v>37</v>
      </c>
    </row>
    <row r="228" spans="1:16">
      <c r="A228" s="639" t="s">
        <v>327</v>
      </c>
      <c r="B228" s="639" t="s">
        <v>433</v>
      </c>
      <c r="C228" s="639" t="s">
        <v>305</v>
      </c>
      <c r="D228" s="639" t="s">
        <v>561</v>
      </c>
      <c r="E228" s="639" t="s">
        <v>562</v>
      </c>
      <c r="F228" s="639">
        <v>30145</v>
      </c>
      <c r="G228" s="639">
        <v>123405</v>
      </c>
      <c r="H228" s="639" t="s">
        <v>434</v>
      </c>
      <c r="I228" s="639" t="s">
        <v>579</v>
      </c>
      <c r="J228" s="639" t="s">
        <v>586</v>
      </c>
      <c r="K228" s="639">
        <v>0.85</v>
      </c>
      <c r="L228" s="639">
        <v>1.02</v>
      </c>
      <c r="M228" s="639">
        <v>1.1299999999999999</v>
      </c>
      <c r="N228" s="639">
        <v>1.02</v>
      </c>
      <c r="O228" s="639">
        <v>1.25</v>
      </c>
      <c r="P228" s="616">
        <v>37</v>
      </c>
    </row>
    <row r="229" spans="1:16">
      <c r="A229" s="639" t="s">
        <v>327</v>
      </c>
      <c r="B229" s="639" t="s">
        <v>433</v>
      </c>
      <c r="C229" s="639" t="s">
        <v>305</v>
      </c>
      <c r="D229" s="639" t="s">
        <v>561</v>
      </c>
      <c r="E229" s="639" t="s">
        <v>562</v>
      </c>
      <c r="F229" s="639">
        <v>30154</v>
      </c>
      <c r="G229" s="639">
        <v>123405</v>
      </c>
      <c r="H229" s="639" t="s">
        <v>434</v>
      </c>
      <c r="I229" s="639" t="s">
        <v>563</v>
      </c>
      <c r="J229" s="639" t="s">
        <v>575</v>
      </c>
      <c r="K229" s="639">
        <v>1.77</v>
      </c>
      <c r="L229" s="639">
        <v>1.35</v>
      </c>
      <c r="M229" s="639">
        <v>1.1399999999999999</v>
      </c>
      <c r="N229" s="639">
        <v>1.08</v>
      </c>
      <c r="O229" s="639">
        <v>1.08</v>
      </c>
      <c r="P229" s="616">
        <v>37</v>
      </c>
    </row>
    <row r="230" spans="1:16">
      <c r="A230" s="639" t="s">
        <v>327</v>
      </c>
      <c r="B230" s="639" t="s">
        <v>433</v>
      </c>
      <c r="C230" s="639" t="s">
        <v>305</v>
      </c>
      <c r="D230" s="639" t="s">
        <v>561</v>
      </c>
      <c r="E230" s="639" t="s">
        <v>562</v>
      </c>
      <c r="F230" s="639">
        <v>30161</v>
      </c>
      <c r="G230" s="639">
        <v>123405</v>
      </c>
      <c r="H230" s="639" t="s">
        <v>434</v>
      </c>
      <c r="I230" s="639" t="s">
        <v>563</v>
      </c>
      <c r="J230" s="639" t="s">
        <v>573</v>
      </c>
      <c r="K230" s="639">
        <v>1.34</v>
      </c>
      <c r="L230" s="639">
        <v>1.03</v>
      </c>
      <c r="M230" s="639">
        <v>1.1499999999999999</v>
      </c>
      <c r="N230" s="639">
        <v>1.08</v>
      </c>
      <c r="O230" s="639">
        <v>1.69</v>
      </c>
      <c r="P230" s="616">
        <v>37</v>
      </c>
    </row>
    <row r="231" spans="1:16">
      <c r="A231" s="639" t="s">
        <v>327</v>
      </c>
      <c r="B231" s="639" t="s">
        <v>433</v>
      </c>
      <c r="C231" s="639" t="s">
        <v>305</v>
      </c>
      <c r="D231" s="639" t="s">
        <v>561</v>
      </c>
      <c r="E231" s="639" t="s">
        <v>562</v>
      </c>
      <c r="F231" s="639">
        <v>30158</v>
      </c>
      <c r="G231" s="639">
        <v>123405</v>
      </c>
      <c r="H231" s="639" t="s">
        <v>434</v>
      </c>
      <c r="I231" s="639" t="s">
        <v>563</v>
      </c>
      <c r="J231" s="639" t="s">
        <v>574</v>
      </c>
      <c r="K231" s="639">
        <v>0.75</v>
      </c>
      <c r="L231" s="639">
        <v>1.25</v>
      </c>
      <c r="M231" s="639">
        <v>1.17</v>
      </c>
      <c r="N231" s="639">
        <v>1.1200000000000001</v>
      </c>
      <c r="O231" s="639">
        <v>1.47</v>
      </c>
      <c r="P231" s="616">
        <v>37</v>
      </c>
    </row>
    <row r="232" spans="1:16">
      <c r="A232" s="639" t="s">
        <v>327</v>
      </c>
      <c r="B232" s="639" t="s">
        <v>433</v>
      </c>
      <c r="C232" s="639" t="s">
        <v>305</v>
      </c>
      <c r="D232" s="639" t="s">
        <v>561</v>
      </c>
      <c r="E232" s="639" t="s">
        <v>562</v>
      </c>
      <c r="F232" s="639">
        <v>30149</v>
      </c>
      <c r="G232" s="639">
        <v>123405</v>
      </c>
      <c r="H232" s="639" t="s">
        <v>434</v>
      </c>
      <c r="I232" s="639" t="s">
        <v>579</v>
      </c>
      <c r="J232" s="639" t="s">
        <v>573</v>
      </c>
      <c r="K232" s="639">
        <v>0.81</v>
      </c>
      <c r="L232" s="639">
        <v>1.28</v>
      </c>
      <c r="M232" s="639">
        <v>1.19</v>
      </c>
      <c r="N232" s="639">
        <v>1.1200000000000001</v>
      </c>
      <c r="O232" s="639">
        <v>1.47</v>
      </c>
      <c r="P232" s="616">
        <v>37</v>
      </c>
    </row>
    <row r="233" spans="1:16">
      <c r="A233" s="639" t="s">
        <v>327</v>
      </c>
      <c r="B233" s="639" t="s">
        <v>433</v>
      </c>
      <c r="C233" s="639" t="s">
        <v>305</v>
      </c>
      <c r="D233" s="639" t="s">
        <v>561</v>
      </c>
      <c r="E233" s="639" t="s">
        <v>562</v>
      </c>
      <c r="F233" s="639">
        <v>30153</v>
      </c>
      <c r="G233" s="639">
        <v>123405</v>
      </c>
      <c r="H233" s="639" t="s">
        <v>434</v>
      </c>
      <c r="I233" s="639" t="s">
        <v>563</v>
      </c>
      <c r="J233" s="639" t="s">
        <v>587</v>
      </c>
      <c r="K233" s="639">
        <v>1.1299999999999999</v>
      </c>
      <c r="L233" s="639">
        <v>1.01</v>
      </c>
      <c r="M233" s="639">
        <v>1.25</v>
      </c>
      <c r="N233" s="639">
        <v>1.1299999999999999</v>
      </c>
      <c r="O233" s="639">
        <v>1.54</v>
      </c>
      <c r="P233" s="616">
        <v>37</v>
      </c>
    </row>
    <row r="234" spans="1:16">
      <c r="A234" s="639" t="s">
        <v>327</v>
      </c>
      <c r="B234" s="639" t="s">
        <v>433</v>
      </c>
      <c r="C234" s="639" t="s">
        <v>305</v>
      </c>
      <c r="D234" s="639" t="s">
        <v>561</v>
      </c>
      <c r="E234" s="639" t="s">
        <v>562</v>
      </c>
      <c r="F234" s="639">
        <v>30160</v>
      </c>
      <c r="G234" s="639">
        <v>123405</v>
      </c>
      <c r="H234" s="639" t="s">
        <v>434</v>
      </c>
      <c r="I234" s="639" t="s">
        <v>563</v>
      </c>
      <c r="J234" s="639" t="s">
        <v>582</v>
      </c>
      <c r="K234" s="639">
        <v>1.96</v>
      </c>
      <c r="L234" s="639">
        <v>1.63</v>
      </c>
      <c r="M234" s="639">
        <v>1.25</v>
      </c>
      <c r="N234" s="639">
        <v>1.1299999999999999</v>
      </c>
      <c r="O234" s="639">
        <v>1.54</v>
      </c>
      <c r="P234" s="616">
        <v>37</v>
      </c>
    </row>
    <row r="235" spans="1:16">
      <c r="A235" s="639" t="s">
        <v>327</v>
      </c>
      <c r="B235" s="639" t="s">
        <v>433</v>
      </c>
      <c r="C235" s="639" t="s">
        <v>305</v>
      </c>
      <c r="D235" s="639" t="s">
        <v>561</v>
      </c>
      <c r="E235" s="639" t="s">
        <v>562</v>
      </c>
      <c r="F235" s="639">
        <v>30139</v>
      </c>
      <c r="G235" s="639">
        <v>123405</v>
      </c>
      <c r="H235" s="639" t="s">
        <v>434</v>
      </c>
      <c r="I235" s="639" t="s">
        <v>579</v>
      </c>
      <c r="J235" s="639" t="s">
        <v>584</v>
      </c>
      <c r="K235" s="639">
        <v>2.2000000000000002</v>
      </c>
      <c r="L235" s="639">
        <v>1.07</v>
      </c>
      <c r="M235" s="639">
        <v>1.27</v>
      </c>
      <c r="N235" s="639">
        <v>1.67</v>
      </c>
      <c r="O235" s="639">
        <v>2.6</v>
      </c>
      <c r="P235" s="616">
        <v>37</v>
      </c>
    </row>
    <row r="236" spans="1:16">
      <c r="A236" s="639" t="s">
        <v>327</v>
      </c>
      <c r="B236" s="639" t="s">
        <v>433</v>
      </c>
      <c r="C236" s="639" t="s">
        <v>305</v>
      </c>
      <c r="D236" s="639" t="s">
        <v>561</v>
      </c>
      <c r="E236" s="639" t="s">
        <v>562</v>
      </c>
      <c r="F236" s="639">
        <v>30157</v>
      </c>
      <c r="G236" s="639">
        <v>123405</v>
      </c>
      <c r="H236" s="639" t="s">
        <v>434</v>
      </c>
      <c r="I236" s="639" t="s">
        <v>563</v>
      </c>
      <c r="J236" s="639" t="s">
        <v>586</v>
      </c>
      <c r="K236" s="639">
        <v>0.77</v>
      </c>
      <c r="L236" s="639">
        <v>1.1399999999999999</v>
      </c>
      <c r="M236" s="639">
        <v>1.31</v>
      </c>
      <c r="N236" s="639">
        <v>1.03</v>
      </c>
      <c r="O236" s="639">
        <v>1.31</v>
      </c>
      <c r="P236" s="616">
        <v>37</v>
      </c>
    </row>
    <row r="237" spans="1:16">
      <c r="A237" s="639" t="s">
        <v>327</v>
      </c>
      <c r="B237" s="639" t="s">
        <v>433</v>
      </c>
      <c r="C237" s="639" t="s">
        <v>305</v>
      </c>
      <c r="D237" s="639" t="s">
        <v>561</v>
      </c>
      <c r="E237" s="639" t="s">
        <v>562</v>
      </c>
      <c r="F237" s="639">
        <v>30151</v>
      </c>
      <c r="G237" s="639">
        <v>123405</v>
      </c>
      <c r="H237" s="639" t="s">
        <v>434</v>
      </c>
      <c r="I237" s="639" t="s">
        <v>563</v>
      </c>
      <c r="J237" s="639" t="s">
        <v>584</v>
      </c>
      <c r="K237" s="639">
        <v>0.82</v>
      </c>
      <c r="L237" s="639">
        <v>1.18</v>
      </c>
      <c r="M237" s="639">
        <v>1.82</v>
      </c>
      <c r="N237" s="639">
        <v>2.73</v>
      </c>
      <c r="O237" s="639">
        <v>2.27</v>
      </c>
      <c r="P237" s="616">
        <v>37</v>
      </c>
    </row>
    <row r="238" spans="1:16">
      <c r="A238" s="639" t="s">
        <v>327</v>
      </c>
      <c r="B238" s="639" t="s">
        <v>433</v>
      </c>
      <c r="C238" s="639" t="s">
        <v>305</v>
      </c>
      <c r="D238" s="639" t="s">
        <v>561</v>
      </c>
      <c r="E238" s="639" t="s">
        <v>562</v>
      </c>
      <c r="F238" s="639">
        <v>30150</v>
      </c>
      <c r="G238" s="639">
        <v>123405</v>
      </c>
      <c r="H238" s="639" t="s">
        <v>434</v>
      </c>
      <c r="I238" s="639" t="s">
        <v>563</v>
      </c>
      <c r="J238" s="639" t="s">
        <v>589</v>
      </c>
      <c r="K238" s="639">
        <v>6</v>
      </c>
      <c r="L238" s="639">
        <v>4.78</v>
      </c>
      <c r="M238" s="639">
        <v>3.56</v>
      </c>
      <c r="N238" s="639">
        <v>2.56</v>
      </c>
      <c r="O238" s="639">
        <v>2.11</v>
      </c>
      <c r="P238" s="616">
        <v>37</v>
      </c>
    </row>
    <row r="239" spans="1:16">
      <c r="A239" s="639" t="s">
        <v>190</v>
      </c>
      <c r="B239" s="639" t="s">
        <v>306</v>
      </c>
      <c r="C239" s="639" t="s">
        <v>305</v>
      </c>
      <c r="D239" s="639" t="s">
        <v>561</v>
      </c>
      <c r="E239" s="639" t="s">
        <v>562</v>
      </c>
      <c r="F239" s="639">
        <v>19387</v>
      </c>
      <c r="G239" s="639">
        <v>123603</v>
      </c>
      <c r="H239" s="639" t="s">
        <v>428</v>
      </c>
      <c r="I239" s="639" t="s">
        <v>577</v>
      </c>
      <c r="J239" s="639" t="s">
        <v>586</v>
      </c>
      <c r="K239" s="639">
        <v>0.77</v>
      </c>
      <c r="L239" s="639">
        <v>1.1100000000000001</v>
      </c>
      <c r="M239" s="639">
        <v>1.03</v>
      </c>
      <c r="N239" s="639">
        <v>1.1100000000000001</v>
      </c>
      <c r="O239" s="639">
        <v>1.31</v>
      </c>
      <c r="P239" s="616">
        <v>2</v>
      </c>
    </row>
    <row r="240" spans="1:16">
      <c r="A240" s="639" t="s">
        <v>190</v>
      </c>
      <c r="B240" s="639" t="s">
        <v>306</v>
      </c>
      <c r="C240" s="639" t="s">
        <v>305</v>
      </c>
      <c r="D240" s="639" t="s">
        <v>561</v>
      </c>
      <c r="E240" s="639" t="s">
        <v>562</v>
      </c>
      <c r="F240" s="639">
        <v>19371</v>
      </c>
      <c r="G240" s="639">
        <v>123603</v>
      </c>
      <c r="H240" s="639" t="s">
        <v>428</v>
      </c>
      <c r="I240" s="639" t="s">
        <v>563</v>
      </c>
      <c r="J240" s="639" t="s">
        <v>590</v>
      </c>
      <c r="K240" s="639">
        <v>2.5499999999999998</v>
      </c>
      <c r="L240" s="639">
        <v>1.45</v>
      </c>
      <c r="M240" s="639">
        <v>1.04</v>
      </c>
      <c r="N240" s="639">
        <v>1.1499999999999999</v>
      </c>
      <c r="O240" s="639">
        <v>2.73</v>
      </c>
      <c r="P240" s="616">
        <v>2</v>
      </c>
    </row>
    <row r="241" spans="1:16">
      <c r="A241" s="639" t="s">
        <v>190</v>
      </c>
      <c r="B241" s="639" t="s">
        <v>306</v>
      </c>
      <c r="C241" s="639" t="s">
        <v>305</v>
      </c>
      <c r="D241" s="639" t="s">
        <v>561</v>
      </c>
      <c r="E241" s="639" t="s">
        <v>562</v>
      </c>
      <c r="F241" s="639">
        <v>19379</v>
      </c>
      <c r="G241" s="639">
        <v>123603</v>
      </c>
      <c r="H241" s="639" t="s">
        <v>428</v>
      </c>
      <c r="I241" s="639" t="s">
        <v>577</v>
      </c>
      <c r="J241" s="639" t="s">
        <v>591</v>
      </c>
      <c r="K241" s="639">
        <v>2.84</v>
      </c>
      <c r="L241" s="639">
        <v>1.66</v>
      </c>
      <c r="M241" s="639">
        <v>1.04</v>
      </c>
      <c r="N241" s="639">
        <v>1.08</v>
      </c>
      <c r="O241" s="639">
        <v>1.53</v>
      </c>
      <c r="P241" s="616">
        <v>2</v>
      </c>
    </row>
    <row r="242" spans="1:16">
      <c r="A242" s="639" t="s">
        <v>190</v>
      </c>
      <c r="B242" s="639" t="s">
        <v>306</v>
      </c>
      <c r="C242" s="639" t="s">
        <v>305</v>
      </c>
      <c r="D242" s="639" t="s">
        <v>561</v>
      </c>
      <c r="E242" s="639" t="s">
        <v>562</v>
      </c>
      <c r="F242" s="639">
        <v>19377</v>
      </c>
      <c r="G242" s="639">
        <v>123603</v>
      </c>
      <c r="H242" s="639" t="s">
        <v>428</v>
      </c>
      <c r="I242" s="639" t="s">
        <v>577</v>
      </c>
      <c r="J242" s="639" t="s">
        <v>589</v>
      </c>
      <c r="K242" s="639">
        <v>1.1200000000000001</v>
      </c>
      <c r="L242" s="639">
        <v>1.0900000000000001</v>
      </c>
      <c r="M242" s="639">
        <v>1.04</v>
      </c>
      <c r="N242" s="639">
        <v>1.25</v>
      </c>
      <c r="O242" s="639">
        <v>1.41</v>
      </c>
      <c r="P242" s="616">
        <v>2</v>
      </c>
    </row>
    <row r="243" spans="1:16">
      <c r="A243" s="639" t="s">
        <v>190</v>
      </c>
      <c r="B243" s="639" t="s">
        <v>306</v>
      </c>
      <c r="C243" s="639" t="s">
        <v>305</v>
      </c>
      <c r="D243" s="639" t="s">
        <v>561</v>
      </c>
      <c r="E243" s="639" t="s">
        <v>562</v>
      </c>
      <c r="F243" s="639">
        <v>19388</v>
      </c>
      <c r="G243" s="639">
        <v>123603</v>
      </c>
      <c r="H243" s="639" t="s">
        <v>428</v>
      </c>
      <c r="I243" s="639" t="s">
        <v>577</v>
      </c>
      <c r="J243" s="639" t="s">
        <v>574</v>
      </c>
      <c r="K243" s="639">
        <v>1.39</v>
      </c>
      <c r="L243" s="639">
        <v>1.06</v>
      </c>
      <c r="M243" s="639">
        <v>1.05</v>
      </c>
      <c r="N243" s="639">
        <v>1.18</v>
      </c>
      <c r="O243" s="639">
        <v>1.36</v>
      </c>
      <c r="P243" s="616">
        <v>2</v>
      </c>
    </row>
    <row r="244" spans="1:16">
      <c r="A244" s="639" t="s">
        <v>190</v>
      </c>
      <c r="B244" s="639" t="s">
        <v>306</v>
      </c>
      <c r="C244" s="639" t="s">
        <v>305</v>
      </c>
      <c r="D244" s="639" t="s">
        <v>561</v>
      </c>
      <c r="E244" s="639" t="s">
        <v>562</v>
      </c>
      <c r="F244" s="639">
        <v>19391</v>
      </c>
      <c r="G244" s="639">
        <v>123603</v>
      </c>
      <c r="H244" s="639" t="s">
        <v>428</v>
      </c>
      <c r="I244" s="639" t="s">
        <v>577</v>
      </c>
      <c r="J244" s="639" t="s">
        <v>573</v>
      </c>
      <c r="K244" s="639">
        <v>1.48</v>
      </c>
      <c r="L244" s="639">
        <v>1.08</v>
      </c>
      <c r="M244" s="639">
        <v>1.05</v>
      </c>
      <c r="N244" s="639">
        <v>1.07</v>
      </c>
      <c r="O244" s="639">
        <v>1.43</v>
      </c>
      <c r="P244" s="616">
        <v>2</v>
      </c>
    </row>
    <row r="245" spans="1:16">
      <c r="A245" s="639" t="s">
        <v>190</v>
      </c>
      <c r="B245" s="639" t="s">
        <v>306</v>
      </c>
      <c r="C245" s="639" t="s">
        <v>305</v>
      </c>
      <c r="D245" s="639" t="s">
        <v>561</v>
      </c>
      <c r="E245" s="639" t="s">
        <v>562</v>
      </c>
      <c r="F245" s="639">
        <v>31359</v>
      </c>
      <c r="G245" s="639">
        <v>123603</v>
      </c>
      <c r="H245" s="639" t="s">
        <v>428</v>
      </c>
      <c r="I245" s="639" t="s">
        <v>563</v>
      </c>
      <c r="J245" s="639" t="s">
        <v>592</v>
      </c>
      <c r="K245" s="639">
        <v>2</v>
      </c>
      <c r="L245" s="639">
        <v>1.03</v>
      </c>
      <c r="M245" s="639">
        <v>1.07</v>
      </c>
      <c r="N245" s="639">
        <v>1.54</v>
      </c>
      <c r="O245" s="639">
        <v>1.1100000000000001</v>
      </c>
      <c r="P245" s="616">
        <v>2</v>
      </c>
    </row>
    <row r="246" spans="1:16">
      <c r="A246" s="639" t="s">
        <v>190</v>
      </c>
      <c r="B246" s="639" t="s">
        <v>306</v>
      </c>
      <c r="C246" s="639" t="s">
        <v>305</v>
      </c>
      <c r="D246" s="639" t="s">
        <v>561</v>
      </c>
      <c r="E246" s="639" t="s">
        <v>562</v>
      </c>
      <c r="F246" s="639">
        <v>19390</v>
      </c>
      <c r="G246" s="639">
        <v>123603</v>
      </c>
      <c r="H246" s="639" t="s">
        <v>428</v>
      </c>
      <c r="I246" s="639" t="s">
        <v>577</v>
      </c>
      <c r="J246" s="639" t="s">
        <v>582</v>
      </c>
      <c r="K246" s="639">
        <v>1.53</v>
      </c>
      <c r="L246" s="639">
        <v>1.0900000000000001</v>
      </c>
      <c r="M246" s="639">
        <v>1.08</v>
      </c>
      <c r="N246" s="639">
        <v>1.1399999999999999</v>
      </c>
      <c r="O246" s="639">
        <v>1.52</v>
      </c>
      <c r="P246" s="616">
        <v>2</v>
      </c>
    </row>
    <row r="247" spans="1:16">
      <c r="A247" s="639" t="s">
        <v>190</v>
      </c>
      <c r="B247" s="639" t="s">
        <v>306</v>
      </c>
      <c r="C247" s="639" t="s">
        <v>305</v>
      </c>
      <c r="D247" s="639" t="s">
        <v>561</v>
      </c>
      <c r="E247" s="639" t="s">
        <v>562</v>
      </c>
      <c r="F247" s="639">
        <v>19367</v>
      </c>
      <c r="G247" s="639">
        <v>123603</v>
      </c>
      <c r="H247" s="639" t="s">
        <v>428</v>
      </c>
      <c r="I247" s="639" t="s">
        <v>563</v>
      </c>
      <c r="J247" s="639" t="s">
        <v>587</v>
      </c>
      <c r="K247" s="639">
        <v>0.79</v>
      </c>
      <c r="L247" s="639">
        <v>1.06</v>
      </c>
      <c r="M247" s="639">
        <v>1.0900000000000001</v>
      </c>
      <c r="N247" s="639">
        <v>1.22</v>
      </c>
      <c r="O247" s="639">
        <v>1.57</v>
      </c>
      <c r="P247" s="616">
        <v>2</v>
      </c>
    </row>
    <row r="248" spans="1:16">
      <c r="A248" s="639" t="s">
        <v>190</v>
      </c>
      <c r="B248" s="639" t="s">
        <v>306</v>
      </c>
      <c r="C248" s="639" t="s">
        <v>305</v>
      </c>
      <c r="D248" s="639" t="s">
        <v>561</v>
      </c>
      <c r="E248" s="639" t="s">
        <v>562</v>
      </c>
      <c r="F248" s="639">
        <v>19373</v>
      </c>
      <c r="G248" s="639">
        <v>123603</v>
      </c>
      <c r="H248" s="639" t="s">
        <v>428</v>
      </c>
      <c r="I248" s="639" t="s">
        <v>563</v>
      </c>
      <c r="J248" s="639" t="s">
        <v>574</v>
      </c>
      <c r="K248" s="639">
        <v>1.33</v>
      </c>
      <c r="L248" s="639">
        <v>1.22</v>
      </c>
      <c r="M248" s="639">
        <v>1.1000000000000001</v>
      </c>
      <c r="N248" s="639">
        <v>1.22</v>
      </c>
      <c r="O248" s="639">
        <v>1.33</v>
      </c>
      <c r="P248" s="616">
        <v>2</v>
      </c>
    </row>
    <row r="249" spans="1:16">
      <c r="A249" s="639" t="s">
        <v>190</v>
      </c>
      <c r="B249" s="639" t="s">
        <v>306</v>
      </c>
      <c r="C249" s="639" t="s">
        <v>305</v>
      </c>
      <c r="D249" s="639" t="s">
        <v>561</v>
      </c>
      <c r="E249" s="639" t="s">
        <v>562</v>
      </c>
      <c r="F249" s="639">
        <v>19389</v>
      </c>
      <c r="G249" s="639">
        <v>123603</v>
      </c>
      <c r="H249" s="639" t="s">
        <v>428</v>
      </c>
      <c r="I249" s="639" t="s">
        <v>577</v>
      </c>
      <c r="J249" s="639" t="s">
        <v>581</v>
      </c>
      <c r="K249" s="639">
        <v>0.8</v>
      </c>
      <c r="L249" s="639">
        <v>1.1499999999999999</v>
      </c>
      <c r="M249" s="639">
        <v>1.1000000000000001</v>
      </c>
      <c r="N249" s="639">
        <v>1.1399999999999999</v>
      </c>
      <c r="O249" s="639">
        <v>1.39</v>
      </c>
      <c r="P249" s="616">
        <v>2</v>
      </c>
    </row>
    <row r="250" spans="1:16">
      <c r="A250" s="639" t="s">
        <v>190</v>
      </c>
      <c r="B250" s="639" t="s">
        <v>306</v>
      </c>
      <c r="C250" s="639" t="s">
        <v>305</v>
      </c>
      <c r="D250" s="639" t="s">
        <v>561</v>
      </c>
      <c r="E250" s="639" t="s">
        <v>562</v>
      </c>
      <c r="F250" s="639">
        <v>19382</v>
      </c>
      <c r="G250" s="639">
        <v>123603</v>
      </c>
      <c r="H250" s="639" t="s">
        <v>428</v>
      </c>
      <c r="I250" s="639" t="s">
        <v>577</v>
      </c>
      <c r="J250" s="639" t="s">
        <v>587</v>
      </c>
      <c r="K250" s="639">
        <v>0.74</v>
      </c>
      <c r="L250" s="639">
        <v>1.06</v>
      </c>
      <c r="M250" s="639">
        <v>1.1200000000000001</v>
      </c>
      <c r="N250" s="639">
        <v>1.18</v>
      </c>
      <c r="O250" s="639">
        <v>1.53</v>
      </c>
      <c r="P250" s="616">
        <v>2</v>
      </c>
    </row>
    <row r="251" spans="1:16">
      <c r="A251" s="639" t="s">
        <v>190</v>
      </c>
      <c r="B251" s="639" t="s">
        <v>306</v>
      </c>
      <c r="C251" s="639" t="s">
        <v>305</v>
      </c>
      <c r="D251" s="639" t="s">
        <v>561</v>
      </c>
      <c r="E251" s="639" t="s">
        <v>562</v>
      </c>
      <c r="F251" s="639">
        <v>19383</v>
      </c>
      <c r="G251" s="639">
        <v>123603</v>
      </c>
      <c r="H251" s="639" t="s">
        <v>428</v>
      </c>
      <c r="I251" s="639" t="s">
        <v>577</v>
      </c>
      <c r="J251" s="639" t="s">
        <v>575</v>
      </c>
      <c r="K251" s="639">
        <v>1.36</v>
      </c>
      <c r="L251" s="639">
        <v>1.0900000000000001</v>
      </c>
      <c r="M251" s="639">
        <v>1.1200000000000001</v>
      </c>
      <c r="N251" s="639">
        <v>1.1200000000000001</v>
      </c>
      <c r="O251" s="639">
        <v>1.41</v>
      </c>
      <c r="P251" s="616">
        <v>2</v>
      </c>
    </row>
    <row r="252" spans="1:16">
      <c r="A252" s="639" t="s">
        <v>190</v>
      </c>
      <c r="B252" s="639" t="s">
        <v>306</v>
      </c>
      <c r="C252" s="639" t="s">
        <v>305</v>
      </c>
      <c r="D252" s="639" t="s">
        <v>561</v>
      </c>
      <c r="E252" s="639" t="s">
        <v>562</v>
      </c>
      <c r="F252" s="639">
        <v>19374</v>
      </c>
      <c r="G252" s="639">
        <v>123603</v>
      </c>
      <c r="H252" s="639" t="s">
        <v>428</v>
      </c>
      <c r="I252" s="639" t="s">
        <v>563</v>
      </c>
      <c r="J252" s="639" t="s">
        <v>581</v>
      </c>
      <c r="K252" s="639">
        <v>0.74</v>
      </c>
      <c r="L252" s="639">
        <v>1.34</v>
      </c>
      <c r="M252" s="639">
        <v>1.1200000000000001</v>
      </c>
      <c r="N252" s="639">
        <v>1.1499999999999999</v>
      </c>
      <c r="O252" s="639">
        <v>1.71</v>
      </c>
      <c r="P252" s="616">
        <v>2</v>
      </c>
    </row>
    <row r="253" spans="1:16">
      <c r="A253" s="639" t="s">
        <v>190</v>
      </c>
      <c r="B253" s="639" t="s">
        <v>306</v>
      </c>
      <c r="C253" s="639" t="s">
        <v>305</v>
      </c>
      <c r="D253" s="639" t="s">
        <v>561</v>
      </c>
      <c r="E253" s="639" t="s">
        <v>562</v>
      </c>
      <c r="F253" s="639">
        <v>19385</v>
      </c>
      <c r="G253" s="639">
        <v>123603</v>
      </c>
      <c r="H253" s="639" t="s">
        <v>428</v>
      </c>
      <c r="I253" s="639" t="s">
        <v>577</v>
      </c>
      <c r="J253" s="639" t="s">
        <v>580</v>
      </c>
      <c r="K253" s="639">
        <v>1.5</v>
      </c>
      <c r="L253" s="639">
        <v>1.1200000000000001</v>
      </c>
      <c r="M253" s="639">
        <v>1.1299999999999999</v>
      </c>
      <c r="N253" s="639">
        <v>1.27</v>
      </c>
      <c r="O253" s="639">
        <v>1.47</v>
      </c>
      <c r="P253" s="616">
        <v>2</v>
      </c>
    </row>
    <row r="254" spans="1:16">
      <c r="A254" s="639" t="s">
        <v>190</v>
      </c>
      <c r="B254" s="639" t="s">
        <v>306</v>
      </c>
      <c r="C254" s="639" t="s">
        <v>305</v>
      </c>
      <c r="D254" s="639" t="s">
        <v>561</v>
      </c>
      <c r="E254" s="639" t="s">
        <v>562</v>
      </c>
      <c r="F254" s="639">
        <v>19381</v>
      </c>
      <c r="G254" s="639">
        <v>123603</v>
      </c>
      <c r="H254" s="639" t="s">
        <v>428</v>
      </c>
      <c r="I254" s="639" t="s">
        <v>577</v>
      </c>
      <c r="J254" s="639" t="s">
        <v>593</v>
      </c>
      <c r="K254" s="639">
        <v>2.19</v>
      </c>
      <c r="L254" s="639">
        <v>1</v>
      </c>
      <c r="M254" s="639">
        <v>1.1399999999999999</v>
      </c>
      <c r="N254" s="639">
        <v>1.06</v>
      </c>
      <c r="O254" s="639">
        <v>1.75</v>
      </c>
      <c r="P254" s="616">
        <v>2</v>
      </c>
    </row>
    <row r="255" spans="1:16">
      <c r="A255" s="639" t="s">
        <v>190</v>
      </c>
      <c r="B255" s="639" t="s">
        <v>306</v>
      </c>
      <c r="C255" s="639" t="s">
        <v>305</v>
      </c>
      <c r="D255" s="639" t="s">
        <v>561</v>
      </c>
      <c r="E255" s="639" t="s">
        <v>562</v>
      </c>
      <c r="F255" s="639">
        <v>19368</v>
      </c>
      <c r="G255" s="639">
        <v>123603</v>
      </c>
      <c r="H255" s="639" t="s">
        <v>428</v>
      </c>
      <c r="I255" s="639" t="s">
        <v>563</v>
      </c>
      <c r="J255" s="639" t="s">
        <v>575</v>
      </c>
      <c r="K255" s="639">
        <v>1.7</v>
      </c>
      <c r="L255" s="639">
        <v>1.32</v>
      </c>
      <c r="M255" s="639">
        <v>1.1399999999999999</v>
      </c>
      <c r="N255" s="639">
        <v>1.1200000000000001</v>
      </c>
      <c r="O255" s="639">
        <v>1.1399999999999999</v>
      </c>
      <c r="P255" s="616">
        <v>2</v>
      </c>
    </row>
    <row r="256" spans="1:16">
      <c r="A256" s="639" t="s">
        <v>190</v>
      </c>
      <c r="B256" s="639" t="s">
        <v>306</v>
      </c>
      <c r="C256" s="639" t="s">
        <v>305</v>
      </c>
      <c r="D256" s="639" t="s">
        <v>561</v>
      </c>
      <c r="E256" s="639" t="s">
        <v>562</v>
      </c>
      <c r="F256" s="639">
        <v>19384</v>
      </c>
      <c r="G256" s="639">
        <v>123603</v>
      </c>
      <c r="H256" s="639" t="s">
        <v>428</v>
      </c>
      <c r="I256" s="639" t="s">
        <v>577</v>
      </c>
      <c r="J256" s="639" t="s">
        <v>585</v>
      </c>
      <c r="K256" s="639">
        <v>0.87</v>
      </c>
      <c r="L256" s="639">
        <v>1.01</v>
      </c>
      <c r="M256" s="639">
        <v>1.1399999999999999</v>
      </c>
      <c r="N256" s="639">
        <v>1.07</v>
      </c>
      <c r="O256" s="639">
        <v>1.52</v>
      </c>
      <c r="P256" s="616">
        <v>2</v>
      </c>
    </row>
    <row r="257" spans="1:16">
      <c r="A257" s="639" t="s">
        <v>190</v>
      </c>
      <c r="B257" s="639" t="s">
        <v>306</v>
      </c>
      <c r="C257" s="639" t="s">
        <v>305</v>
      </c>
      <c r="D257" s="639" t="s">
        <v>561</v>
      </c>
      <c r="E257" s="639" t="s">
        <v>562</v>
      </c>
      <c r="F257" s="639">
        <v>19378</v>
      </c>
      <c r="G257" s="639">
        <v>123603</v>
      </c>
      <c r="H257" s="639" t="s">
        <v>428</v>
      </c>
      <c r="I257" s="639" t="s">
        <v>577</v>
      </c>
      <c r="J257" s="639" t="s">
        <v>584</v>
      </c>
      <c r="K257" s="639">
        <v>2.6</v>
      </c>
      <c r="L257" s="639">
        <v>1.4</v>
      </c>
      <c r="M257" s="639">
        <v>1.1499999999999999</v>
      </c>
      <c r="N257" s="639">
        <v>1.01</v>
      </c>
      <c r="O257" s="639">
        <v>1.18</v>
      </c>
      <c r="P257" s="616">
        <v>2</v>
      </c>
    </row>
    <row r="258" spans="1:16">
      <c r="A258" s="639" t="s">
        <v>190</v>
      </c>
      <c r="B258" s="639" t="s">
        <v>306</v>
      </c>
      <c r="C258" s="639" t="s">
        <v>305</v>
      </c>
      <c r="D258" s="639" t="s">
        <v>561</v>
      </c>
      <c r="E258" s="639" t="s">
        <v>562</v>
      </c>
      <c r="F258" s="639">
        <v>19386</v>
      </c>
      <c r="G258" s="639">
        <v>123603</v>
      </c>
      <c r="H258" s="639" t="s">
        <v>428</v>
      </c>
      <c r="I258" s="639" t="s">
        <v>577</v>
      </c>
      <c r="J258" s="639" t="s">
        <v>590</v>
      </c>
      <c r="K258" s="639">
        <v>1.45</v>
      </c>
      <c r="L258" s="639">
        <v>1.32</v>
      </c>
      <c r="M258" s="639">
        <v>1.1599999999999999</v>
      </c>
      <c r="N258" s="639">
        <v>1.24</v>
      </c>
      <c r="O258" s="639">
        <v>1.87</v>
      </c>
      <c r="P258" s="616">
        <v>2</v>
      </c>
    </row>
    <row r="259" spans="1:16">
      <c r="A259" s="639" t="s">
        <v>190</v>
      </c>
      <c r="B259" s="639" t="s">
        <v>306</v>
      </c>
      <c r="C259" s="639" t="s">
        <v>305</v>
      </c>
      <c r="D259" s="639" t="s">
        <v>561</v>
      </c>
      <c r="E259" s="639" t="s">
        <v>562</v>
      </c>
      <c r="F259" s="639">
        <v>19369</v>
      </c>
      <c r="G259" s="639">
        <v>123603</v>
      </c>
      <c r="H259" s="639" t="s">
        <v>428</v>
      </c>
      <c r="I259" s="639" t="s">
        <v>563</v>
      </c>
      <c r="J259" s="639" t="s">
        <v>585</v>
      </c>
      <c r="K259" s="639">
        <v>0.78</v>
      </c>
      <c r="L259" s="639">
        <v>0.94</v>
      </c>
      <c r="M259" s="639">
        <v>1.1599999999999999</v>
      </c>
      <c r="N259" s="639">
        <v>1.8</v>
      </c>
      <c r="O259" s="639">
        <v>1.36</v>
      </c>
      <c r="P259" s="616">
        <v>2</v>
      </c>
    </row>
    <row r="260" spans="1:16">
      <c r="A260" s="639" t="s">
        <v>190</v>
      </c>
      <c r="B260" s="639" t="s">
        <v>306</v>
      </c>
      <c r="C260" s="639" t="s">
        <v>305</v>
      </c>
      <c r="D260" s="639" t="s">
        <v>561</v>
      </c>
      <c r="E260" s="639" t="s">
        <v>562</v>
      </c>
      <c r="F260" s="639">
        <v>19375</v>
      </c>
      <c r="G260" s="639">
        <v>123603</v>
      </c>
      <c r="H260" s="639" t="s">
        <v>428</v>
      </c>
      <c r="I260" s="639" t="s">
        <v>563</v>
      </c>
      <c r="J260" s="639" t="s">
        <v>582</v>
      </c>
      <c r="K260" s="639">
        <v>1.76</v>
      </c>
      <c r="L260" s="639">
        <v>1.31</v>
      </c>
      <c r="M260" s="639">
        <v>1.1599999999999999</v>
      </c>
      <c r="N260" s="639">
        <v>1.33</v>
      </c>
      <c r="O260" s="639">
        <v>1.62</v>
      </c>
      <c r="P260" s="616">
        <v>2</v>
      </c>
    </row>
    <row r="261" spans="1:16">
      <c r="A261" s="639" t="s">
        <v>190</v>
      </c>
      <c r="B261" s="639" t="s">
        <v>306</v>
      </c>
      <c r="C261" s="639" t="s">
        <v>305</v>
      </c>
      <c r="D261" s="639" t="s">
        <v>561</v>
      </c>
      <c r="E261" s="639" t="s">
        <v>562</v>
      </c>
      <c r="F261" s="639">
        <v>19372</v>
      </c>
      <c r="G261" s="639">
        <v>123603</v>
      </c>
      <c r="H261" s="639" t="s">
        <v>428</v>
      </c>
      <c r="I261" s="639" t="s">
        <v>563</v>
      </c>
      <c r="J261" s="639" t="s">
        <v>586</v>
      </c>
      <c r="K261" s="639">
        <v>2.63</v>
      </c>
      <c r="L261" s="639">
        <v>1.44</v>
      </c>
      <c r="M261" s="639">
        <v>1.1599999999999999</v>
      </c>
      <c r="N261" s="639">
        <v>1.03</v>
      </c>
      <c r="O261" s="639">
        <v>1.19</v>
      </c>
      <c r="P261" s="616">
        <v>2</v>
      </c>
    </row>
    <row r="262" spans="1:16">
      <c r="A262" s="639" t="s">
        <v>190</v>
      </c>
      <c r="B262" s="639" t="s">
        <v>306</v>
      </c>
      <c r="C262" s="639" t="s">
        <v>305</v>
      </c>
      <c r="D262" s="639" t="s">
        <v>561</v>
      </c>
      <c r="E262" s="639" t="s">
        <v>562</v>
      </c>
      <c r="F262" s="639">
        <v>31360</v>
      </c>
      <c r="G262" s="639">
        <v>123603</v>
      </c>
      <c r="H262" s="639" t="s">
        <v>428</v>
      </c>
      <c r="I262" s="639" t="s">
        <v>563</v>
      </c>
      <c r="J262" s="639" t="s">
        <v>572</v>
      </c>
      <c r="K262" s="639">
        <v>2.46</v>
      </c>
      <c r="L262" s="639">
        <v>1.27</v>
      </c>
      <c r="M262" s="639">
        <v>1.1599999999999999</v>
      </c>
      <c r="N262" s="639">
        <v>1.27</v>
      </c>
      <c r="O262" s="639">
        <v>1.92</v>
      </c>
      <c r="P262" s="616">
        <v>2</v>
      </c>
    </row>
    <row r="263" spans="1:16">
      <c r="A263" s="639" t="s">
        <v>190</v>
      </c>
      <c r="B263" s="639" t="s">
        <v>306</v>
      </c>
      <c r="C263" s="639" t="s">
        <v>305</v>
      </c>
      <c r="D263" s="639" t="s">
        <v>561</v>
      </c>
      <c r="E263" s="639" t="s">
        <v>562</v>
      </c>
      <c r="F263" s="639">
        <v>19376</v>
      </c>
      <c r="G263" s="639">
        <v>123603</v>
      </c>
      <c r="H263" s="639" t="s">
        <v>428</v>
      </c>
      <c r="I263" s="639" t="s">
        <v>563</v>
      </c>
      <c r="J263" s="639" t="s">
        <v>573</v>
      </c>
      <c r="K263" s="639">
        <v>1.6</v>
      </c>
      <c r="L263" s="639">
        <v>1.1499999999999999</v>
      </c>
      <c r="M263" s="639">
        <v>1.19</v>
      </c>
      <c r="N263" s="639">
        <v>1.0900000000000001</v>
      </c>
      <c r="O263" s="639">
        <v>1.64</v>
      </c>
      <c r="P263" s="616">
        <v>2</v>
      </c>
    </row>
    <row r="264" spans="1:16">
      <c r="A264" s="639" t="s">
        <v>190</v>
      </c>
      <c r="B264" s="639" t="s">
        <v>306</v>
      </c>
      <c r="C264" s="639" t="s">
        <v>305</v>
      </c>
      <c r="D264" s="639" t="s">
        <v>561</v>
      </c>
      <c r="E264" s="639" t="s">
        <v>562</v>
      </c>
      <c r="F264" s="639">
        <v>19362</v>
      </c>
      <c r="G264" s="639">
        <v>123603</v>
      </c>
      <c r="H264" s="639" t="s">
        <v>428</v>
      </c>
      <c r="I264" s="639" t="s">
        <v>563</v>
      </c>
      <c r="J264" s="639" t="s">
        <v>589</v>
      </c>
      <c r="K264" s="639">
        <v>0.81</v>
      </c>
      <c r="L264" s="639">
        <v>1</v>
      </c>
      <c r="M264" s="639">
        <v>1.4</v>
      </c>
      <c r="N264" s="639">
        <v>1.17</v>
      </c>
      <c r="O264" s="639">
        <v>1.6</v>
      </c>
      <c r="P264" s="616">
        <v>2</v>
      </c>
    </row>
    <row r="265" spans="1:16">
      <c r="A265" s="639" t="s">
        <v>190</v>
      </c>
      <c r="B265" s="639" t="s">
        <v>306</v>
      </c>
      <c r="C265" s="639" t="s">
        <v>305</v>
      </c>
      <c r="D265" s="639" t="s">
        <v>561</v>
      </c>
      <c r="E265" s="639" t="s">
        <v>562</v>
      </c>
      <c r="F265" s="639">
        <v>19370</v>
      </c>
      <c r="G265" s="639">
        <v>123603</v>
      </c>
      <c r="H265" s="639" t="s">
        <v>428</v>
      </c>
      <c r="I265" s="639" t="s">
        <v>563</v>
      </c>
      <c r="J265" s="639" t="s">
        <v>580</v>
      </c>
      <c r="K265" s="639">
        <v>1.89</v>
      </c>
      <c r="L265" s="639">
        <v>0.99</v>
      </c>
      <c r="M265" s="639">
        <v>1.68</v>
      </c>
      <c r="N265" s="639">
        <v>1.08</v>
      </c>
      <c r="O265" s="639">
        <v>2.42</v>
      </c>
      <c r="P265" s="616">
        <v>2</v>
      </c>
    </row>
    <row r="266" spans="1:16">
      <c r="A266" s="639" t="s">
        <v>190</v>
      </c>
      <c r="B266" s="639" t="s">
        <v>306</v>
      </c>
      <c r="C266" s="639" t="s">
        <v>305</v>
      </c>
      <c r="D266" s="639" t="s">
        <v>561</v>
      </c>
      <c r="E266" s="639" t="s">
        <v>562</v>
      </c>
      <c r="F266" s="639">
        <v>19363</v>
      </c>
      <c r="G266" s="639">
        <v>123603</v>
      </c>
      <c r="H266" s="639" t="s">
        <v>428</v>
      </c>
      <c r="I266" s="639" t="s">
        <v>563</v>
      </c>
      <c r="J266" s="639" t="s">
        <v>584</v>
      </c>
      <c r="K266" s="639">
        <v>1.29</v>
      </c>
      <c r="L266" s="639">
        <v>1.5</v>
      </c>
      <c r="M266" s="639">
        <v>1.71</v>
      </c>
      <c r="N266" s="639">
        <v>1.1200000000000001</v>
      </c>
      <c r="O266" s="639">
        <v>1.75</v>
      </c>
      <c r="P266" s="616">
        <v>2</v>
      </c>
    </row>
    <row r="267" spans="1:16">
      <c r="A267" s="639" t="s">
        <v>190</v>
      </c>
      <c r="B267" s="639" t="s">
        <v>306</v>
      </c>
      <c r="C267" s="639" t="s">
        <v>305</v>
      </c>
      <c r="D267" s="639" t="s">
        <v>561</v>
      </c>
      <c r="E267" s="639" t="s">
        <v>562</v>
      </c>
      <c r="F267" s="639">
        <v>19364</v>
      </c>
      <c r="G267" s="639">
        <v>123603</v>
      </c>
      <c r="H267" s="639" t="s">
        <v>428</v>
      </c>
      <c r="I267" s="639" t="s">
        <v>563</v>
      </c>
      <c r="J267" s="639" t="s">
        <v>591</v>
      </c>
      <c r="K267" s="639">
        <v>0.8</v>
      </c>
      <c r="L267" s="639">
        <v>0.95</v>
      </c>
      <c r="M267" s="639">
        <v>2.4</v>
      </c>
      <c r="N267" s="639">
        <v>1.5</v>
      </c>
      <c r="O267" s="639">
        <v>1.1000000000000001</v>
      </c>
      <c r="P267" s="616">
        <v>2</v>
      </c>
    </row>
    <row r="268" spans="1:16">
      <c r="A268" s="639" t="s">
        <v>190</v>
      </c>
      <c r="B268" s="639" t="s">
        <v>306</v>
      </c>
      <c r="C268" s="639" t="s">
        <v>305</v>
      </c>
      <c r="D268" s="639" t="s">
        <v>561</v>
      </c>
      <c r="E268" s="639" t="s">
        <v>562</v>
      </c>
      <c r="F268" s="639">
        <v>19366</v>
      </c>
      <c r="G268" s="639">
        <v>123603</v>
      </c>
      <c r="H268" s="639" t="s">
        <v>428</v>
      </c>
      <c r="I268" s="639" t="s">
        <v>563</v>
      </c>
      <c r="J268" s="639" t="s">
        <v>593</v>
      </c>
      <c r="K268" s="639">
        <v>1.64</v>
      </c>
      <c r="L268" s="639">
        <v>0.97</v>
      </c>
      <c r="M268" s="639">
        <v>2.91</v>
      </c>
      <c r="N268" s="639">
        <v>2</v>
      </c>
      <c r="O268" s="639">
        <v>1.55</v>
      </c>
      <c r="P268" s="616">
        <v>2</v>
      </c>
    </row>
    <row r="269" spans="1:16">
      <c r="A269" s="639" t="s">
        <v>190</v>
      </c>
      <c r="B269" s="639" t="s">
        <v>306</v>
      </c>
      <c r="C269" s="639" t="s">
        <v>305</v>
      </c>
      <c r="D269" s="639" t="s">
        <v>561</v>
      </c>
      <c r="E269" s="639" t="s">
        <v>562</v>
      </c>
      <c r="F269" s="639">
        <v>31362</v>
      </c>
      <c r="G269" s="639">
        <v>123603</v>
      </c>
      <c r="H269" s="639" t="s">
        <v>428</v>
      </c>
      <c r="I269" s="639" t="s">
        <v>577</v>
      </c>
      <c r="J269" s="639" t="s">
        <v>572</v>
      </c>
      <c r="K269" s="639">
        <v>6.43</v>
      </c>
      <c r="L269" s="639">
        <v>5.24</v>
      </c>
      <c r="M269" s="639">
        <v>4.05</v>
      </c>
      <c r="N269" s="639">
        <v>3.08</v>
      </c>
      <c r="O269" s="639">
        <v>2.65</v>
      </c>
      <c r="P269" s="616">
        <v>2</v>
      </c>
    </row>
    <row r="270" spans="1:16">
      <c r="A270" s="639" t="s">
        <v>190</v>
      </c>
      <c r="B270" s="639" t="s">
        <v>306</v>
      </c>
      <c r="C270" s="639" t="s">
        <v>305</v>
      </c>
      <c r="D270" s="639" t="s">
        <v>561</v>
      </c>
      <c r="E270" s="639" t="s">
        <v>562</v>
      </c>
      <c r="F270" s="639">
        <v>31361</v>
      </c>
      <c r="G270" s="639">
        <v>123603</v>
      </c>
      <c r="H270" s="639" t="s">
        <v>428</v>
      </c>
      <c r="I270" s="639" t="s">
        <v>577</v>
      </c>
      <c r="J270" s="639" t="s">
        <v>592</v>
      </c>
      <c r="K270" s="639">
        <v>15.75</v>
      </c>
      <c r="L270" s="639">
        <v>14.57</v>
      </c>
      <c r="M270" s="639">
        <v>13.39</v>
      </c>
      <c r="N270" s="639">
        <v>12.43</v>
      </c>
      <c r="O270" s="639">
        <v>12</v>
      </c>
      <c r="P270" s="616">
        <v>2</v>
      </c>
    </row>
    <row r="271" spans="1:16">
      <c r="A271" s="639" t="s">
        <v>435</v>
      </c>
      <c r="B271" s="639" t="s">
        <v>440</v>
      </c>
      <c r="C271" s="639" t="s">
        <v>305</v>
      </c>
      <c r="D271" s="639" t="s">
        <v>561</v>
      </c>
      <c r="E271" s="639" t="s">
        <v>562</v>
      </c>
      <c r="F271" s="639">
        <v>25762</v>
      </c>
      <c r="G271" s="639">
        <v>136109</v>
      </c>
      <c r="H271" s="639" t="s">
        <v>441</v>
      </c>
      <c r="I271" s="639" t="s">
        <v>563</v>
      </c>
      <c r="J271" s="639" t="s">
        <v>571</v>
      </c>
      <c r="K271" s="639">
        <v>0.93</v>
      </c>
      <c r="L271" s="639">
        <v>1.0900000000000001</v>
      </c>
      <c r="M271" s="639">
        <v>1.01</v>
      </c>
      <c r="N271" s="639">
        <v>1.1399999999999999</v>
      </c>
      <c r="O271" s="639">
        <v>1.42</v>
      </c>
      <c r="P271" s="616">
        <v>18</v>
      </c>
    </row>
    <row r="272" spans="1:16">
      <c r="A272" s="639" t="s">
        <v>435</v>
      </c>
      <c r="B272" s="639" t="s">
        <v>440</v>
      </c>
      <c r="C272" s="639" t="s">
        <v>305</v>
      </c>
      <c r="D272" s="639" t="s">
        <v>561</v>
      </c>
      <c r="E272" s="639" t="s">
        <v>562</v>
      </c>
      <c r="F272" s="639">
        <v>25756</v>
      </c>
      <c r="G272" s="639">
        <v>136109</v>
      </c>
      <c r="H272" s="639" t="s">
        <v>441</v>
      </c>
      <c r="I272" s="639" t="s">
        <v>594</v>
      </c>
      <c r="J272" s="639" t="s">
        <v>569</v>
      </c>
      <c r="K272" s="639">
        <v>1.71</v>
      </c>
      <c r="L272" s="639">
        <v>1.05</v>
      </c>
      <c r="M272" s="639">
        <v>1.02</v>
      </c>
      <c r="N272" s="639">
        <v>1.07</v>
      </c>
      <c r="O272" s="639">
        <v>1.32</v>
      </c>
      <c r="P272" s="616">
        <v>18</v>
      </c>
    </row>
    <row r="273" spans="1:16">
      <c r="A273" s="639" t="s">
        <v>435</v>
      </c>
      <c r="B273" s="639" t="s">
        <v>440</v>
      </c>
      <c r="C273" s="639" t="s">
        <v>305</v>
      </c>
      <c r="D273" s="639" t="s">
        <v>561</v>
      </c>
      <c r="E273" s="639" t="s">
        <v>562</v>
      </c>
      <c r="F273" s="639">
        <v>25753</v>
      </c>
      <c r="G273" s="639">
        <v>136109</v>
      </c>
      <c r="H273" s="639" t="s">
        <v>441</v>
      </c>
      <c r="I273" s="639" t="s">
        <v>594</v>
      </c>
      <c r="J273" s="639" t="s">
        <v>567</v>
      </c>
      <c r="K273" s="639">
        <v>1.62</v>
      </c>
      <c r="L273" s="639">
        <v>1.1000000000000001</v>
      </c>
      <c r="M273" s="639">
        <v>1.08</v>
      </c>
      <c r="N273" s="639">
        <v>1.1399999999999999</v>
      </c>
      <c r="O273" s="639">
        <v>1.5</v>
      </c>
      <c r="P273" s="616">
        <v>18</v>
      </c>
    </row>
    <row r="274" spans="1:16">
      <c r="A274" s="639" t="s">
        <v>435</v>
      </c>
      <c r="B274" s="639" t="s">
        <v>440</v>
      </c>
      <c r="C274" s="639" t="s">
        <v>305</v>
      </c>
      <c r="D274" s="639" t="s">
        <v>561</v>
      </c>
      <c r="E274" s="639" t="s">
        <v>562</v>
      </c>
      <c r="F274" s="639">
        <v>25757</v>
      </c>
      <c r="G274" s="639">
        <v>136109</v>
      </c>
      <c r="H274" s="639" t="s">
        <v>441</v>
      </c>
      <c r="I274" s="639" t="s">
        <v>565</v>
      </c>
      <c r="J274" s="639" t="s">
        <v>567</v>
      </c>
      <c r="K274" s="639">
        <v>2.94</v>
      </c>
      <c r="L274" s="639">
        <v>1.75</v>
      </c>
      <c r="M274" s="639">
        <v>1.08</v>
      </c>
      <c r="N274" s="639">
        <v>1.22</v>
      </c>
      <c r="O274" s="639">
        <v>1.36</v>
      </c>
      <c r="P274" s="616">
        <v>18</v>
      </c>
    </row>
    <row r="275" spans="1:16">
      <c r="A275" s="639" t="s">
        <v>435</v>
      </c>
      <c r="B275" s="639" t="s">
        <v>440</v>
      </c>
      <c r="C275" s="639" t="s">
        <v>305</v>
      </c>
      <c r="D275" s="639" t="s">
        <v>561</v>
      </c>
      <c r="E275" s="639" t="s">
        <v>562</v>
      </c>
      <c r="F275" s="639">
        <v>25763</v>
      </c>
      <c r="G275" s="639">
        <v>136109</v>
      </c>
      <c r="H275" s="639" t="s">
        <v>441</v>
      </c>
      <c r="I275" s="639" t="s">
        <v>563</v>
      </c>
      <c r="J275" s="639" t="s">
        <v>564</v>
      </c>
      <c r="K275" s="639">
        <v>0.8</v>
      </c>
      <c r="L275" s="639">
        <v>1.0900000000000001</v>
      </c>
      <c r="M275" s="639">
        <v>1.1000000000000001</v>
      </c>
      <c r="N275" s="639">
        <v>1.1100000000000001</v>
      </c>
      <c r="O275" s="639">
        <v>1.42</v>
      </c>
      <c r="P275" s="616">
        <v>18</v>
      </c>
    </row>
    <row r="276" spans="1:16">
      <c r="A276" s="639" t="s">
        <v>435</v>
      </c>
      <c r="B276" s="639" t="s">
        <v>440</v>
      </c>
      <c r="C276" s="639" t="s">
        <v>305</v>
      </c>
      <c r="D276" s="639" t="s">
        <v>561</v>
      </c>
      <c r="E276" s="639" t="s">
        <v>562</v>
      </c>
      <c r="F276" s="639">
        <v>25764</v>
      </c>
      <c r="G276" s="639">
        <v>136109</v>
      </c>
      <c r="H276" s="639" t="s">
        <v>441</v>
      </c>
      <c r="I276" s="639" t="s">
        <v>563</v>
      </c>
      <c r="J276" s="639" t="s">
        <v>569</v>
      </c>
      <c r="K276" s="639">
        <v>0.98</v>
      </c>
      <c r="L276" s="639">
        <v>1.05</v>
      </c>
      <c r="M276" s="639">
        <v>1.1100000000000001</v>
      </c>
      <c r="N276" s="639">
        <v>1.1499999999999999</v>
      </c>
      <c r="O276" s="639">
        <v>1.5</v>
      </c>
      <c r="P276" s="616">
        <v>18</v>
      </c>
    </row>
    <row r="277" spans="1:16">
      <c r="A277" s="639" t="s">
        <v>435</v>
      </c>
      <c r="B277" s="639" t="s">
        <v>440</v>
      </c>
      <c r="C277" s="639" t="s">
        <v>305</v>
      </c>
      <c r="D277" s="639" t="s">
        <v>561</v>
      </c>
      <c r="E277" s="639" t="s">
        <v>562</v>
      </c>
      <c r="F277" s="639">
        <v>25758</v>
      </c>
      <c r="G277" s="639">
        <v>136109</v>
      </c>
      <c r="H277" s="639" t="s">
        <v>441</v>
      </c>
      <c r="I277" s="639" t="s">
        <v>565</v>
      </c>
      <c r="J277" s="639" t="s">
        <v>571</v>
      </c>
      <c r="K277" s="639">
        <v>0.81</v>
      </c>
      <c r="L277" s="639">
        <v>1.0900000000000001</v>
      </c>
      <c r="M277" s="639">
        <v>1.1200000000000001</v>
      </c>
      <c r="N277" s="639">
        <v>1.1000000000000001</v>
      </c>
      <c r="O277" s="639">
        <v>1.27</v>
      </c>
      <c r="P277" s="616">
        <v>18</v>
      </c>
    </row>
    <row r="278" spans="1:16">
      <c r="A278" s="639" t="s">
        <v>435</v>
      </c>
      <c r="B278" s="639" t="s">
        <v>440</v>
      </c>
      <c r="C278" s="639" t="s">
        <v>305</v>
      </c>
      <c r="D278" s="639" t="s">
        <v>561</v>
      </c>
      <c r="E278" s="639" t="s">
        <v>562</v>
      </c>
      <c r="F278" s="639">
        <v>26319</v>
      </c>
      <c r="G278" s="639">
        <v>136109</v>
      </c>
      <c r="H278" s="639" t="s">
        <v>441</v>
      </c>
      <c r="I278" s="639" t="s">
        <v>565</v>
      </c>
      <c r="J278" s="639" t="s">
        <v>595</v>
      </c>
      <c r="K278" s="639">
        <v>1.06</v>
      </c>
      <c r="L278" s="639">
        <v>1</v>
      </c>
      <c r="M278" s="639">
        <v>1.1399999999999999</v>
      </c>
      <c r="N278" s="639">
        <v>1.1100000000000001</v>
      </c>
      <c r="O278" s="639">
        <v>1.78</v>
      </c>
      <c r="P278" s="616">
        <v>18</v>
      </c>
    </row>
    <row r="279" spans="1:16">
      <c r="A279" s="639" t="s">
        <v>435</v>
      </c>
      <c r="B279" s="639" t="s">
        <v>440</v>
      </c>
      <c r="C279" s="639" t="s">
        <v>305</v>
      </c>
      <c r="D279" s="639" t="s">
        <v>561</v>
      </c>
      <c r="E279" s="639" t="s">
        <v>562</v>
      </c>
      <c r="F279" s="639">
        <v>25759</v>
      </c>
      <c r="G279" s="639">
        <v>136109</v>
      </c>
      <c r="H279" s="639" t="s">
        <v>441</v>
      </c>
      <c r="I279" s="639" t="s">
        <v>565</v>
      </c>
      <c r="J279" s="639" t="s">
        <v>564</v>
      </c>
      <c r="K279" s="639">
        <v>0.83</v>
      </c>
      <c r="L279" s="639">
        <v>1.1399999999999999</v>
      </c>
      <c r="M279" s="639">
        <v>1.1399999999999999</v>
      </c>
      <c r="N279" s="639">
        <v>1.1399999999999999</v>
      </c>
      <c r="O279" s="639">
        <v>1.32</v>
      </c>
      <c r="P279" s="616">
        <v>18</v>
      </c>
    </row>
    <row r="280" spans="1:16">
      <c r="A280" s="639" t="s">
        <v>435</v>
      </c>
      <c r="B280" s="639" t="s">
        <v>440</v>
      </c>
      <c r="C280" s="639" t="s">
        <v>305</v>
      </c>
      <c r="D280" s="639" t="s">
        <v>561</v>
      </c>
      <c r="E280" s="639" t="s">
        <v>562</v>
      </c>
      <c r="F280" s="639">
        <v>25761</v>
      </c>
      <c r="G280" s="639">
        <v>136109</v>
      </c>
      <c r="H280" s="639" t="s">
        <v>441</v>
      </c>
      <c r="I280" s="639" t="s">
        <v>563</v>
      </c>
      <c r="J280" s="639" t="s">
        <v>567</v>
      </c>
      <c r="K280" s="639">
        <v>0.81</v>
      </c>
      <c r="L280" s="639">
        <v>1.1599999999999999</v>
      </c>
      <c r="M280" s="639">
        <v>1.1499999999999999</v>
      </c>
      <c r="N280" s="639">
        <v>1.07</v>
      </c>
      <c r="O280" s="639">
        <v>1.33</v>
      </c>
      <c r="P280" s="616">
        <v>18</v>
      </c>
    </row>
    <row r="281" spans="1:16">
      <c r="A281" s="639" t="s">
        <v>435</v>
      </c>
      <c r="B281" s="639" t="s">
        <v>440</v>
      </c>
      <c r="C281" s="639" t="s">
        <v>305</v>
      </c>
      <c r="D281" s="639" t="s">
        <v>561</v>
      </c>
      <c r="E281" s="639" t="s">
        <v>562</v>
      </c>
      <c r="F281" s="639">
        <v>26320</v>
      </c>
      <c r="G281" s="639">
        <v>136109</v>
      </c>
      <c r="H281" s="639" t="s">
        <v>441</v>
      </c>
      <c r="I281" s="639" t="s">
        <v>563</v>
      </c>
      <c r="J281" s="639" t="s">
        <v>595</v>
      </c>
      <c r="K281" s="639">
        <v>1.03</v>
      </c>
      <c r="L281" s="639">
        <v>1.1000000000000001</v>
      </c>
      <c r="M281" s="639">
        <v>1.1599999999999999</v>
      </c>
      <c r="N281" s="639">
        <v>1.1499999999999999</v>
      </c>
      <c r="O281" s="639">
        <v>1.57</v>
      </c>
      <c r="P281" s="616">
        <v>18</v>
      </c>
    </row>
    <row r="282" spans="1:16">
      <c r="A282" s="639" t="s">
        <v>435</v>
      </c>
      <c r="B282" s="639" t="s">
        <v>440</v>
      </c>
      <c r="C282" s="639" t="s">
        <v>305</v>
      </c>
      <c r="D282" s="639" t="s">
        <v>561</v>
      </c>
      <c r="E282" s="639" t="s">
        <v>562</v>
      </c>
      <c r="F282" s="639">
        <v>25754</v>
      </c>
      <c r="G282" s="639">
        <v>136109</v>
      </c>
      <c r="H282" s="639" t="s">
        <v>441</v>
      </c>
      <c r="I282" s="639" t="s">
        <v>594</v>
      </c>
      <c r="J282" s="639" t="s">
        <v>571</v>
      </c>
      <c r="K282" s="639">
        <v>1.24</v>
      </c>
      <c r="L282" s="639">
        <v>1.02</v>
      </c>
      <c r="M282" s="639">
        <v>1.18</v>
      </c>
      <c r="N282" s="639">
        <v>1.1399999999999999</v>
      </c>
      <c r="O282" s="639">
        <v>1.5</v>
      </c>
      <c r="P282" s="616">
        <v>18</v>
      </c>
    </row>
    <row r="283" spans="1:16">
      <c r="A283" s="639" t="s">
        <v>435</v>
      </c>
      <c r="B283" s="639" t="s">
        <v>440</v>
      </c>
      <c r="C283" s="639" t="s">
        <v>305</v>
      </c>
      <c r="D283" s="639" t="s">
        <v>561</v>
      </c>
      <c r="E283" s="639" t="s">
        <v>562</v>
      </c>
      <c r="F283" s="639">
        <v>25755</v>
      </c>
      <c r="G283" s="639">
        <v>136109</v>
      </c>
      <c r="H283" s="639" t="s">
        <v>441</v>
      </c>
      <c r="I283" s="639" t="s">
        <v>594</v>
      </c>
      <c r="J283" s="639" t="s">
        <v>564</v>
      </c>
      <c r="K283" s="639">
        <v>0.74</v>
      </c>
      <c r="L283" s="639">
        <v>1.05</v>
      </c>
      <c r="M283" s="639">
        <v>1.18</v>
      </c>
      <c r="N283" s="639">
        <v>1.1399999999999999</v>
      </c>
      <c r="O283" s="639">
        <v>1.49</v>
      </c>
      <c r="P283" s="616">
        <v>18</v>
      </c>
    </row>
    <row r="284" spans="1:16">
      <c r="A284" s="639" t="s">
        <v>435</v>
      </c>
      <c r="B284" s="639" t="s">
        <v>440</v>
      </c>
      <c r="C284" s="639" t="s">
        <v>305</v>
      </c>
      <c r="D284" s="639" t="s">
        <v>561</v>
      </c>
      <c r="E284" s="639" t="s">
        <v>562</v>
      </c>
      <c r="F284" s="639">
        <v>26318</v>
      </c>
      <c r="G284" s="639">
        <v>136109</v>
      </c>
      <c r="H284" s="639" t="s">
        <v>441</v>
      </c>
      <c r="I284" s="639" t="s">
        <v>594</v>
      </c>
      <c r="J284" s="639" t="s">
        <v>595</v>
      </c>
      <c r="K284" s="639">
        <v>1.5</v>
      </c>
      <c r="L284" s="639">
        <v>1.03</v>
      </c>
      <c r="M284" s="639">
        <v>1.24</v>
      </c>
      <c r="N284" s="639">
        <v>1.1200000000000001</v>
      </c>
      <c r="O284" s="639">
        <v>1.45</v>
      </c>
      <c r="P284" s="616">
        <v>18</v>
      </c>
    </row>
    <row r="285" spans="1:16">
      <c r="A285" s="639" t="s">
        <v>435</v>
      </c>
      <c r="B285" s="639" t="s">
        <v>440</v>
      </c>
      <c r="C285" s="639" t="s">
        <v>305</v>
      </c>
      <c r="D285" s="639" t="s">
        <v>561</v>
      </c>
      <c r="E285" s="639" t="s">
        <v>562</v>
      </c>
      <c r="F285" s="639">
        <v>25760</v>
      </c>
      <c r="G285" s="639">
        <v>136109</v>
      </c>
      <c r="H285" s="639" t="s">
        <v>441</v>
      </c>
      <c r="I285" s="639" t="s">
        <v>565</v>
      </c>
      <c r="J285" s="639" t="s">
        <v>569</v>
      </c>
      <c r="K285" s="639">
        <v>2.93</v>
      </c>
      <c r="L285" s="639">
        <v>1.75</v>
      </c>
      <c r="M285" s="639">
        <v>1.25</v>
      </c>
      <c r="N285" s="639">
        <v>1</v>
      </c>
      <c r="O285" s="639">
        <v>1.29</v>
      </c>
      <c r="P285" s="616">
        <v>18</v>
      </c>
    </row>
    <row r="286" spans="1:16">
      <c r="A286" s="639" t="s">
        <v>435</v>
      </c>
      <c r="B286" s="639" t="s">
        <v>443</v>
      </c>
      <c r="C286" s="639" t="s">
        <v>305</v>
      </c>
      <c r="D286" s="639" t="s">
        <v>561</v>
      </c>
      <c r="E286" s="639" t="s">
        <v>562</v>
      </c>
      <c r="F286" s="639">
        <v>25730</v>
      </c>
      <c r="G286" s="639">
        <v>136110</v>
      </c>
      <c r="H286" s="639" t="s">
        <v>444</v>
      </c>
      <c r="I286" s="639" t="s">
        <v>596</v>
      </c>
      <c r="J286" s="639" t="s">
        <v>571</v>
      </c>
      <c r="K286" s="639">
        <v>1.05</v>
      </c>
      <c r="L286" s="639">
        <v>1.03</v>
      </c>
      <c r="M286" s="639">
        <v>1.05</v>
      </c>
      <c r="N286" s="639">
        <v>1.02</v>
      </c>
      <c r="O286" s="639">
        <v>1.55</v>
      </c>
      <c r="P286" s="616">
        <v>29</v>
      </c>
    </row>
    <row r="287" spans="1:16">
      <c r="A287" s="639" t="s">
        <v>435</v>
      </c>
      <c r="B287" s="639" t="s">
        <v>443</v>
      </c>
      <c r="C287" s="639" t="s">
        <v>305</v>
      </c>
      <c r="D287" s="639" t="s">
        <v>561</v>
      </c>
      <c r="E287" s="639" t="s">
        <v>562</v>
      </c>
      <c r="F287" s="639">
        <v>25723</v>
      </c>
      <c r="G287" s="639">
        <v>136110</v>
      </c>
      <c r="H287" s="639" t="s">
        <v>444</v>
      </c>
      <c r="I287" s="639" t="s">
        <v>597</v>
      </c>
      <c r="J287" s="639" t="s">
        <v>564</v>
      </c>
      <c r="K287" s="639">
        <v>1.21</v>
      </c>
      <c r="L287" s="639">
        <v>1.05</v>
      </c>
      <c r="M287" s="639">
        <v>1.08</v>
      </c>
      <c r="N287" s="639">
        <v>1.0900000000000001</v>
      </c>
      <c r="O287" s="639">
        <v>1.59</v>
      </c>
      <c r="P287" s="616">
        <v>29</v>
      </c>
    </row>
    <row r="288" spans="1:16">
      <c r="A288" s="639" t="s">
        <v>435</v>
      </c>
      <c r="B288" s="639" t="s">
        <v>443</v>
      </c>
      <c r="C288" s="639" t="s">
        <v>305</v>
      </c>
      <c r="D288" s="639" t="s">
        <v>561</v>
      </c>
      <c r="E288" s="639" t="s">
        <v>562</v>
      </c>
      <c r="F288" s="639">
        <v>25732</v>
      </c>
      <c r="G288" s="639">
        <v>136110</v>
      </c>
      <c r="H288" s="639" t="s">
        <v>444</v>
      </c>
      <c r="I288" s="639" t="s">
        <v>596</v>
      </c>
      <c r="J288" s="639" t="s">
        <v>569</v>
      </c>
      <c r="K288" s="639">
        <v>1.5</v>
      </c>
      <c r="L288" s="639">
        <v>1.1200000000000001</v>
      </c>
      <c r="M288" s="639">
        <v>1.0900000000000001</v>
      </c>
      <c r="N288" s="639">
        <v>1.27</v>
      </c>
      <c r="O288" s="639">
        <v>1.62</v>
      </c>
      <c r="P288" s="616">
        <v>29</v>
      </c>
    </row>
    <row r="289" spans="1:16">
      <c r="A289" s="639" t="s">
        <v>435</v>
      </c>
      <c r="B289" s="639" t="s">
        <v>443</v>
      </c>
      <c r="C289" s="639" t="s">
        <v>305</v>
      </c>
      <c r="D289" s="639" t="s">
        <v>561</v>
      </c>
      <c r="E289" s="639" t="s">
        <v>562</v>
      </c>
      <c r="F289" s="639">
        <v>25726</v>
      </c>
      <c r="G289" s="639">
        <v>136110</v>
      </c>
      <c r="H289" s="639" t="s">
        <v>444</v>
      </c>
      <c r="I289" s="639" t="s">
        <v>563</v>
      </c>
      <c r="J289" s="639" t="s">
        <v>571</v>
      </c>
      <c r="K289" s="639">
        <v>1.47</v>
      </c>
      <c r="L289" s="639">
        <v>1.08</v>
      </c>
      <c r="M289" s="639">
        <v>1.1399999999999999</v>
      </c>
      <c r="N289" s="639">
        <v>1.22</v>
      </c>
      <c r="O289" s="639">
        <v>1.41</v>
      </c>
      <c r="P289" s="616">
        <v>29</v>
      </c>
    </row>
    <row r="290" spans="1:16">
      <c r="A290" s="639" t="s">
        <v>435</v>
      </c>
      <c r="B290" s="639" t="s">
        <v>443</v>
      </c>
      <c r="C290" s="639" t="s">
        <v>305</v>
      </c>
      <c r="D290" s="639" t="s">
        <v>561</v>
      </c>
      <c r="E290" s="639" t="s">
        <v>562</v>
      </c>
      <c r="F290" s="639">
        <v>25722</v>
      </c>
      <c r="G290" s="639">
        <v>136110</v>
      </c>
      <c r="H290" s="639" t="s">
        <v>444</v>
      </c>
      <c r="I290" s="639" t="s">
        <v>597</v>
      </c>
      <c r="J290" s="639" t="s">
        <v>571</v>
      </c>
      <c r="K290" s="639">
        <v>0.74</v>
      </c>
      <c r="L290" s="639">
        <v>1.1399999999999999</v>
      </c>
      <c r="M290" s="639">
        <v>1.1399999999999999</v>
      </c>
      <c r="N290" s="639">
        <v>1.0900000000000001</v>
      </c>
      <c r="O290" s="639">
        <v>1.36</v>
      </c>
      <c r="P290" s="616">
        <v>29</v>
      </c>
    </row>
    <row r="291" spans="1:16">
      <c r="A291" s="639" t="s">
        <v>435</v>
      </c>
      <c r="B291" s="639" t="s">
        <v>443</v>
      </c>
      <c r="C291" s="639" t="s">
        <v>305</v>
      </c>
      <c r="D291" s="639" t="s">
        <v>561</v>
      </c>
      <c r="E291" s="639" t="s">
        <v>562</v>
      </c>
      <c r="F291" s="639">
        <v>25724</v>
      </c>
      <c r="G291" s="639">
        <v>136110</v>
      </c>
      <c r="H291" s="639" t="s">
        <v>444</v>
      </c>
      <c r="I291" s="639" t="s">
        <v>597</v>
      </c>
      <c r="J291" s="639" t="s">
        <v>569</v>
      </c>
      <c r="K291" s="639">
        <v>0.75</v>
      </c>
      <c r="L291" s="639">
        <v>1.25</v>
      </c>
      <c r="M291" s="639">
        <v>1.1399999999999999</v>
      </c>
      <c r="N291" s="639">
        <v>1.1200000000000001</v>
      </c>
      <c r="O291" s="639">
        <v>1.21</v>
      </c>
      <c r="P291" s="616">
        <v>29</v>
      </c>
    </row>
    <row r="292" spans="1:16">
      <c r="A292" s="639" t="s">
        <v>435</v>
      </c>
      <c r="B292" s="639" t="s">
        <v>443</v>
      </c>
      <c r="C292" s="639" t="s">
        <v>305</v>
      </c>
      <c r="D292" s="639" t="s">
        <v>561</v>
      </c>
      <c r="E292" s="639" t="s">
        <v>562</v>
      </c>
      <c r="F292" s="639">
        <v>25725</v>
      </c>
      <c r="G292" s="639">
        <v>136110</v>
      </c>
      <c r="H292" s="639" t="s">
        <v>444</v>
      </c>
      <c r="I292" s="639" t="s">
        <v>563</v>
      </c>
      <c r="J292" s="639" t="s">
        <v>567</v>
      </c>
      <c r="K292" s="639">
        <v>1.52</v>
      </c>
      <c r="L292" s="639">
        <v>1.33</v>
      </c>
      <c r="M292" s="639">
        <v>1.1399999999999999</v>
      </c>
      <c r="N292" s="639">
        <v>1.1399999999999999</v>
      </c>
      <c r="O292" s="639">
        <v>1.67</v>
      </c>
      <c r="P292" s="616">
        <v>29</v>
      </c>
    </row>
    <row r="293" spans="1:16">
      <c r="A293" s="639" t="s">
        <v>435</v>
      </c>
      <c r="B293" s="639" t="s">
        <v>443</v>
      </c>
      <c r="C293" s="639" t="s">
        <v>305</v>
      </c>
      <c r="D293" s="639" t="s">
        <v>561</v>
      </c>
      <c r="E293" s="639" t="s">
        <v>562</v>
      </c>
      <c r="F293" s="639">
        <v>25728</v>
      </c>
      <c r="G293" s="639">
        <v>136110</v>
      </c>
      <c r="H293" s="639" t="s">
        <v>444</v>
      </c>
      <c r="I293" s="639" t="s">
        <v>563</v>
      </c>
      <c r="J293" s="639" t="s">
        <v>569</v>
      </c>
      <c r="K293" s="639">
        <v>1.57</v>
      </c>
      <c r="L293" s="639">
        <v>1.38</v>
      </c>
      <c r="M293" s="639">
        <v>1.1399999999999999</v>
      </c>
      <c r="N293" s="639">
        <v>1.1399999999999999</v>
      </c>
      <c r="O293" s="639">
        <v>1.67</v>
      </c>
      <c r="P293" s="616">
        <v>29</v>
      </c>
    </row>
    <row r="294" spans="1:16">
      <c r="A294" s="639" t="s">
        <v>435</v>
      </c>
      <c r="B294" s="639" t="s">
        <v>443</v>
      </c>
      <c r="C294" s="639" t="s">
        <v>305</v>
      </c>
      <c r="D294" s="639" t="s">
        <v>561</v>
      </c>
      <c r="E294" s="639" t="s">
        <v>562</v>
      </c>
      <c r="F294" s="639">
        <v>25731</v>
      </c>
      <c r="G294" s="639">
        <v>136110</v>
      </c>
      <c r="H294" s="639" t="s">
        <v>444</v>
      </c>
      <c r="I294" s="639" t="s">
        <v>596</v>
      </c>
      <c r="J294" s="639" t="s">
        <v>564</v>
      </c>
      <c r="K294" s="639">
        <v>0.82</v>
      </c>
      <c r="L294" s="639">
        <v>0.99</v>
      </c>
      <c r="M294" s="639">
        <v>1.1499999999999999</v>
      </c>
      <c r="N294" s="639">
        <v>1.0900000000000001</v>
      </c>
      <c r="O294" s="639">
        <v>1.1499999999999999</v>
      </c>
      <c r="P294" s="616">
        <v>29</v>
      </c>
    </row>
    <row r="295" spans="1:16">
      <c r="A295" s="639" t="s">
        <v>435</v>
      </c>
      <c r="B295" s="639" t="s">
        <v>443</v>
      </c>
      <c r="C295" s="639" t="s">
        <v>305</v>
      </c>
      <c r="D295" s="639" t="s">
        <v>561</v>
      </c>
      <c r="E295" s="639" t="s">
        <v>562</v>
      </c>
      <c r="F295" s="639">
        <v>25729</v>
      </c>
      <c r="G295" s="639">
        <v>136110</v>
      </c>
      <c r="H295" s="639" t="s">
        <v>444</v>
      </c>
      <c r="I295" s="639" t="s">
        <v>596</v>
      </c>
      <c r="J295" s="639" t="s">
        <v>567</v>
      </c>
      <c r="K295" s="639">
        <v>2.2200000000000002</v>
      </c>
      <c r="L295" s="639">
        <v>1.04</v>
      </c>
      <c r="M295" s="639">
        <v>1.1499999999999999</v>
      </c>
      <c r="N295" s="639">
        <v>1.08</v>
      </c>
      <c r="O295" s="639">
        <v>1.04</v>
      </c>
      <c r="P295" s="616">
        <v>29</v>
      </c>
    </row>
    <row r="296" spans="1:16">
      <c r="A296" s="639" t="s">
        <v>435</v>
      </c>
      <c r="B296" s="639" t="s">
        <v>443</v>
      </c>
      <c r="C296" s="639" t="s">
        <v>305</v>
      </c>
      <c r="D296" s="639" t="s">
        <v>561</v>
      </c>
      <c r="E296" s="639" t="s">
        <v>562</v>
      </c>
      <c r="F296" s="639">
        <v>25727</v>
      </c>
      <c r="G296" s="639">
        <v>136110</v>
      </c>
      <c r="H296" s="639" t="s">
        <v>444</v>
      </c>
      <c r="I296" s="639" t="s">
        <v>563</v>
      </c>
      <c r="J296" s="639" t="s">
        <v>564</v>
      </c>
      <c r="K296" s="639">
        <v>1.54</v>
      </c>
      <c r="L296" s="639">
        <v>1.07</v>
      </c>
      <c r="M296" s="639">
        <v>1.32</v>
      </c>
      <c r="N296" s="639">
        <v>1.07</v>
      </c>
      <c r="O296" s="639">
        <v>1.36</v>
      </c>
      <c r="P296" s="616">
        <v>29</v>
      </c>
    </row>
    <row r="297" spans="1:16">
      <c r="A297" s="639" t="s">
        <v>435</v>
      </c>
      <c r="B297" s="639" t="s">
        <v>443</v>
      </c>
      <c r="C297" s="639" t="s">
        <v>305</v>
      </c>
      <c r="D297" s="639" t="s">
        <v>561</v>
      </c>
      <c r="E297" s="639" t="s">
        <v>562</v>
      </c>
      <c r="F297" s="639">
        <v>25721</v>
      </c>
      <c r="G297" s="639">
        <v>136110</v>
      </c>
      <c r="H297" s="639" t="s">
        <v>444</v>
      </c>
      <c r="I297" s="639" t="s">
        <v>597</v>
      </c>
      <c r="J297" s="639" t="s">
        <v>567</v>
      </c>
      <c r="K297" s="639">
        <v>0.76</v>
      </c>
      <c r="L297" s="639">
        <v>1.05</v>
      </c>
      <c r="M297" s="639">
        <v>1.33</v>
      </c>
      <c r="N297" s="639">
        <v>1.21</v>
      </c>
      <c r="O297" s="639">
        <v>1.63</v>
      </c>
      <c r="P297" s="616">
        <v>29</v>
      </c>
    </row>
    <row r="298" spans="1:16">
      <c r="A298" s="639" t="s">
        <v>412</v>
      </c>
      <c r="B298" s="639" t="s">
        <v>306</v>
      </c>
      <c r="C298" s="639" t="s">
        <v>305</v>
      </c>
      <c r="D298" s="639" t="s">
        <v>561</v>
      </c>
      <c r="E298" s="639" t="s">
        <v>562</v>
      </c>
      <c r="F298" s="639">
        <v>31069</v>
      </c>
      <c r="G298" s="639">
        <v>163101</v>
      </c>
      <c r="H298" s="639" t="s">
        <v>413</v>
      </c>
      <c r="I298" s="639" t="s">
        <v>563</v>
      </c>
      <c r="J298" s="639" t="s">
        <v>569</v>
      </c>
      <c r="K298" s="639">
        <v>0.82</v>
      </c>
      <c r="L298" s="639">
        <v>1.07</v>
      </c>
      <c r="M298" s="639">
        <v>1.01</v>
      </c>
      <c r="N298" s="639">
        <v>1.19</v>
      </c>
      <c r="O298" s="639">
        <v>1.33</v>
      </c>
      <c r="P298" s="616">
        <v>13</v>
      </c>
    </row>
    <row r="299" spans="1:16">
      <c r="A299" s="639" t="s">
        <v>412</v>
      </c>
      <c r="B299" s="639" t="s">
        <v>306</v>
      </c>
      <c r="C299" s="639" t="s">
        <v>305</v>
      </c>
      <c r="D299" s="639" t="s">
        <v>561</v>
      </c>
      <c r="E299" s="639" t="s">
        <v>562</v>
      </c>
      <c r="F299" s="639">
        <v>31068</v>
      </c>
      <c r="G299" s="639">
        <v>163101</v>
      </c>
      <c r="H299" s="639" t="s">
        <v>413</v>
      </c>
      <c r="I299" s="639" t="s">
        <v>568</v>
      </c>
      <c r="J299" s="639" t="s">
        <v>569</v>
      </c>
      <c r="K299" s="639">
        <v>1.04</v>
      </c>
      <c r="L299" s="639">
        <v>1.05</v>
      </c>
      <c r="M299" s="639">
        <v>1.05</v>
      </c>
      <c r="N299" s="639">
        <v>1.0900000000000001</v>
      </c>
      <c r="O299" s="639">
        <v>1.47</v>
      </c>
      <c r="P299" s="616">
        <v>13</v>
      </c>
    </row>
    <row r="300" spans="1:16">
      <c r="A300" s="639" t="s">
        <v>412</v>
      </c>
      <c r="B300" s="639" t="s">
        <v>306</v>
      </c>
      <c r="C300" s="639" t="s">
        <v>305</v>
      </c>
      <c r="D300" s="639" t="s">
        <v>561</v>
      </c>
      <c r="E300" s="639" t="s">
        <v>562</v>
      </c>
      <c r="F300" s="639">
        <v>5856</v>
      </c>
      <c r="G300" s="639">
        <v>163101</v>
      </c>
      <c r="H300" s="639" t="s">
        <v>413</v>
      </c>
      <c r="I300" s="639" t="s">
        <v>563</v>
      </c>
      <c r="J300" s="639" t="s">
        <v>564</v>
      </c>
      <c r="K300" s="639">
        <v>0.74</v>
      </c>
      <c r="L300" s="639">
        <v>1.05</v>
      </c>
      <c r="M300" s="639">
        <v>1.1499999999999999</v>
      </c>
      <c r="N300" s="639">
        <v>1.07</v>
      </c>
      <c r="O300" s="639">
        <v>1.53</v>
      </c>
      <c r="P300" s="616">
        <v>13</v>
      </c>
    </row>
    <row r="301" spans="1:16">
      <c r="A301" s="639" t="s">
        <v>412</v>
      </c>
      <c r="B301" s="639" t="s">
        <v>306</v>
      </c>
      <c r="C301" s="639" t="s">
        <v>305</v>
      </c>
      <c r="D301" s="639" t="s">
        <v>561</v>
      </c>
      <c r="E301" s="639" t="s">
        <v>562</v>
      </c>
      <c r="F301" s="639">
        <v>5853</v>
      </c>
      <c r="G301" s="639">
        <v>163101</v>
      </c>
      <c r="H301" s="639" t="s">
        <v>413</v>
      </c>
      <c r="I301" s="639" t="s">
        <v>568</v>
      </c>
      <c r="J301" s="639" t="s">
        <v>564</v>
      </c>
      <c r="K301" s="639">
        <v>0.74</v>
      </c>
      <c r="L301" s="639">
        <v>1.02</v>
      </c>
      <c r="M301" s="639">
        <v>1.1499999999999999</v>
      </c>
      <c r="N301" s="639">
        <v>1.04</v>
      </c>
      <c r="O301" s="639">
        <v>1.44</v>
      </c>
      <c r="P301" s="616">
        <v>13</v>
      </c>
    </row>
    <row r="302" spans="1:16">
      <c r="A302" s="639" t="s">
        <v>412</v>
      </c>
      <c r="B302" s="639" t="s">
        <v>306</v>
      </c>
      <c r="C302" s="639" t="s">
        <v>305</v>
      </c>
      <c r="D302" s="639" t="s">
        <v>561</v>
      </c>
      <c r="E302" s="639" t="s">
        <v>562</v>
      </c>
      <c r="F302" s="639">
        <v>5851</v>
      </c>
      <c r="G302" s="639">
        <v>163101</v>
      </c>
      <c r="H302" s="639" t="s">
        <v>413</v>
      </c>
      <c r="I302" s="639" t="s">
        <v>568</v>
      </c>
      <c r="J302" s="639" t="s">
        <v>567</v>
      </c>
      <c r="K302" s="639">
        <v>0.86</v>
      </c>
      <c r="L302" s="639">
        <v>1.04</v>
      </c>
      <c r="M302" s="639">
        <v>1.17</v>
      </c>
      <c r="N302" s="639">
        <v>1.1399999999999999</v>
      </c>
      <c r="O302" s="639">
        <v>1.43</v>
      </c>
      <c r="P302" s="616">
        <v>13</v>
      </c>
    </row>
    <row r="303" spans="1:16">
      <c r="A303" s="639" t="s">
        <v>412</v>
      </c>
      <c r="B303" s="639" t="s">
        <v>306</v>
      </c>
      <c r="C303" s="639" t="s">
        <v>305</v>
      </c>
      <c r="D303" s="639" t="s">
        <v>561</v>
      </c>
      <c r="E303" s="639" t="s">
        <v>562</v>
      </c>
      <c r="F303" s="639">
        <v>5854</v>
      </c>
      <c r="G303" s="639">
        <v>163101</v>
      </c>
      <c r="H303" s="639" t="s">
        <v>413</v>
      </c>
      <c r="I303" s="639" t="s">
        <v>563</v>
      </c>
      <c r="J303" s="639" t="s">
        <v>567</v>
      </c>
      <c r="K303" s="639">
        <v>0.79</v>
      </c>
      <c r="L303" s="639">
        <v>1.1100000000000001</v>
      </c>
      <c r="M303" s="639">
        <v>1.17</v>
      </c>
      <c r="N303" s="639">
        <v>1.1299999999999999</v>
      </c>
      <c r="O303" s="639">
        <v>1.63</v>
      </c>
      <c r="P303" s="616">
        <v>13</v>
      </c>
    </row>
    <row r="304" spans="1:16">
      <c r="A304" s="639" t="s">
        <v>412</v>
      </c>
      <c r="B304" s="639" t="s">
        <v>306</v>
      </c>
      <c r="C304" s="639" t="s">
        <v>305</v>
      </c>
      <c r="D304" s="639" t="s">
        <v>561</v>
      </c>
      <c r="E304" s="639" t="s">
        <v>562</v>
      </c>
      <c r="F304" s="639">
        <v>5852</v>
      </c>
      <c r="G304" s="639">
        <v>163101</v>
      </c>
      <c r="H304" s="639" t="s">
        <v>413</v>
      </c>
      <c r="I304" s="639" t="s">
        <v>568</v>
      </c>
      <c r="J304" s="639" t="s">
        <v>571</v>
      </c>
      <c r="K304" s="639">
        <v>0.95</v>
      </c>
      <c r="L304" s="639">
        <v>1.01</v>
      </c>
      <c r="M304" s="639">
        <v>1.18</v>
      </c>
      <c r="N304" s="639">
        <v>1.1399999999999999</v>
      </c>
      <c r="O304" s="639">
        <v>1.42</v>
      </c>
      <c r="P304" s="616">
        <v>13</v>
      </c>
    </row>
    <row r="305" spans="1:16">
      <c r="A305" s="639" t="s">
        <v>412</v>
      </c>
      <c r="B305" s="639" t="s">
        <v>306</v>
      </c>
      <c r="C305" s="639" t="s">
        <v>305</v>
      </c>
      <c r="D305" s="639" t="s">
        <v>561</v>
      </c>
      <c r="E305" s="639" t="s">
        <v>562</v>
      </c>
      <c r="F305" s="639">
        <v>5855</v>
      </c>
      <c r="G305" s="639">
        <v>163101</v>
      </c>
      <c r="H305" s="639" t="s">
        <v>413</v>
      </c>
      <c r="I305" s="639" t="s">
        <v>563</v>
      </c>
      <c r="J305" s="639" t="s">
        <v>571</v>
      </c>
      <c r="K305" s="639">
        <v>1.0900000000000001</v>
      </c>
      <c r="L305" s="639">
        <v>1.04</v>
      </c>
      <c r="M305" s="639">
        <v>1.18</v>
      </c>
      <c r="N305" s="639">
        <v>1.1399999999999999</v>
      </c>
      <c r="O305" s="639">
        <v>1.29</v>
      </c>
      <c r="P305" s="616">
        <v>13</v>
      </c>
    </row>
    <row r="306" spans="1:16">
      <c r="A306" s="639" t="s">
        <v>351</v>
      </c>
      <c r="B306" s="639" t="s">
        <v>306</v>
      </c>
      <c r="C306" s="639" t="s">
        <v>305</v>
      </c>
      <c r="D306" s="639" t="s">
        <v>561</v>
      </c>
      <c r="E306" s="639" t="s">
        <v>562</v>
      </c>
      <c r="F306" s="639">
        <v>6475</v>
      </c>
      <c r="G306" s="639">
        <v>201301</v>
      </c>
      <c r="H306" s="639" t="s">
        <v>362</v>
      </c>
      <c r="I306" s="639" t="s">
        <v>563</v>
      </c>
      <c r="J306" s="639" t="s">
        <v>571</v>
      </c>
      <c r="K306" s="639">
        <v>0.81</v>
      </c>
      <c r="L306" s="639">
        <v>1</v>
      </c>
      <c r="M306" s="639">
        <v>1.01</v>
      </c>
      <c r="N306" s="639">
        <v>1.1399999999999999</v>
      </c>
      <c r="O306" s="639">
        <v>1.42</v>
      </c>
      <c r="P306" s="616">
        <v>1</v>
      </c>
    </row>
    <row r="307" spans="1:16">
      <c r="A307" s="639" t="s">
        <v>351</v>
      </c>
      <c r="B307" s="639" t="s">
        <v>306</v>
      </c>
      <c r="C307" s="639" t="s">
        <v>305</v>
      </c>
      <c r="D307" s="639" t="s">
        <v>561</v>
      </c>
      <c r="E307" s="639" t="s">
        <v>562</v>
      </c>
      <c r="F307" s="639">
        <v>6500</v>
      </c>
      <c r="G307" s="639">
        <v>201301</v>
      </c>
      <c r="H307" s="639" t="s">
        <v>362</v>
      </c>
      <c r="I307" s="639" t="s">
        <v>565</v>
      </c>
      <c r="J307" s="639" t="s">
        <v>571</v>
      </c>
      <c r="K307" s="639">
        <v>0.75</v>
      </c>
      <c r="L307" s="639">
        <v>1.01</v>
      </c>
      <c r="M307" s="639">
        <v>1.01</v>
      </c>
      <c r="N307" s="639">
        <v>1.1399999999999999</v>
      </c>
      <c r="O307" s="639">
        <v>1.4</v>
      </c>
      <c r="P307" s="616">
        <v>1</v>
      </c>
    </row>
    <row r="308" spans="1:16">
      <c r="A308" s="639" t="s">
        <v>351</v>
      </c>
      <c r="B308" s="639" t="s">
        <v>306</v>
      </c>
      <c r="C308" s="639" t="s">
        <v>305</v>
      </c>
      <c r="D308" s="639" t="s">
        <v>561</v>
      </c>
      <c r="E308" s="639" t="s">
        <v>562</v>
      </c>
      <c r="F308" s="639">
        <v>28642</v>
      </c>
      <c r="G308" s="639">
        <v>201301</v>
      </c>
      <c r="H308" s="639" t="s">
        <v>362</v>
      </c>
      <c r="I308" s="639" t="s">
        <v>570</v>
      </c>
      <c r="J308" s="639" t="s">
        <v>571</v>
      </c>
      <c r="K308" s="639">
        <v>0.81</v>
      </c>
      <c r="L308" s="639">
        <v>1.03</v>
      </c>
      <c r="M308" s="639">
        <v>1.01</v>
      </c>
      <c r="N308" s="639">
        <v>1.01</v>
      </c>
      <c r="O308" s="639">
        <v>1.37</v>
      </c>
      <c r="P308" s="616">
        <v>1</v>
      </c>
    </row>
    <row r="309" spans="1:16">
      <c r="A309" s="639" t="s">
        <v>351</v>
      </c>
      <c r="B309" s="639" t="s">
        <v>306</v>
      </c>
      <c r="C309" s="639" t="s">
        <v>305</v>
      </c>
      <c r="D309" s="639" t="s">
        <v>561</v>
      </c>
      <c r="E309" s="639" t="s">
        <v>562</v>
      </c>
      <c r="F309" s="639">
        <v>6501</v>
      </c>
      <c r="G309" s="639">
        <v>201301</v>
      </c>
      <c r="H309" s="639" t="s">
        <v>362</v>
      </c>
      <c r="I309" s="639" t="s">
        <v>565</v>
      </c>
      <c r="J309" s="639" t="s">
        <v>564</v>
      </c>
      <c r="K309" s="639">
        <v>0.81</v>
      </c>
      <c r="L309" s="639">
        <v>1.02</v>
      </c>
      <c r="M309" s="639">
        <v>1.01</v>
      </c>
      <c r="N309" s="639">
        <v>1.0900000000000001</v>
      </c>
      <c r="O309" s="639">
        <v>1.39</v>
      </c>
      <c r="P309" s="616">
        <v>1</v>
      </c>
    </row>
    <row r="310" spans="1:16">
      <c r="A310" s="639" t="s">
        <v>351</v>
      </c>
      <c r="B310" s="639" t="s">
        <v>306</v>
      </c>
      <c r="C310" s="639" t="s">
        <v>305</v>
      </c>
      <c r="D310" s="639" t="s">
        <v>561</v>
      </c>
      <c r="E310" s="639" t="s">
        <v>562</v>
      </c>
      <c r="F310" s="639">
        <v>6477</v>
      </c>
      <c r="G310" s="639">
        <v>201301</v>
      </c>
      <c r="H310" s="639" t="s">
        <v>362</v>
      </c>
      <c r="I310" s="639" t="s">
        <v>563</v>
      </c>
      <c r="J310" s="639" t="s">
        <v>569</v>
      </c>
      <c r="K310" s="639">
        <v>0.87</v>
      </c>
      <c r="L310" s="639">
        <v>1.1100000000000001</v>
      </c>
      <c r="M310" s="639">
        <v>1.01</v>
      </c>
      <c r="N310" s="639">
        <v>1.0900000000000001</v>
      </c>
      <c r="O310" s="639">
        <v>1.41</v>
      </c>
      <c r="P310" s="616">
        <v>1</v>
      </c>
    </row>
    <row r="311" spans="1:16">
      <c r="A311" s="639" t="s">
        <v>351</v>
      </c>
      <c r="B311" s="639" t="s">
        <v>306</v>
      </c>
      <c r="C311" s="639" t="s">
        <v>305</v>
      </c>
      <c r="D311" s="639" t="s">
        <v>561</v>
      </c>
      <c r="E311" s="639" t="s">
        <v>562</v>
      </c>
      <c r="F311" s="639">
        <v>28643</v>
      </c>
      <c r="G311" s="639">
        <v>201301</v>
      </c>
      <c r="H311" s="639" t="s">
        <v>362</v>
      </c>
      <c r="I311" s="639" t="s">
        <v>570</v>
      </c>
      <c r="J311" s="639" t="s">
        <v>564</v>
      </c>
      <c r="K311" s="639">
        <v>0.81</v>
      </c>
      <c r="L311" s="639">
        <v>1</v>
      </c>
      <c r="M311" s="639">
        <v>1.02</v>
      </c>
      <c r="N311" s="639">
        <v>1.01</v>
      </c>
      <c r="O311" s="639">
        <v>1.38</v>
      </c>
      <c r="P311" s="616">
        <v>1</v>
      </c>
    </row>
    <row r="312" spans="1:16">
      <c r="A312" s="639" t="s">
        <v>351</v>
      </c>
      <c r="B312" s="639" t="s">
        <v>306</v>
      </c>
      <c r="C312" s="639" t="s">
        <v>305</v>
      </c>
      <c r="D312" s="639" t="s">
        <v>561</v>
      </c>
      <c r="E312" s="639" t="s">
        <v>562</v>
      </c>
      <c r="F312" s="639">
        <v>6483</v>
      </c>
      <c r="G312" s="639">
        <v>201301</v>
      </c>
      <c r="H312" s="639" t="s">
        <v>362</v>
      </c>
      <c r="I312" s="639" t="s">
        <v>566</v>
      </c>
      <c r="J312" s="639" t="s">
        <v>571</v>
      </c>
      <c r="K312" s="639">
        <v>0.81</v>
      </c>
      <c r="L312" s="639">
        <v>1.02</v>
      </c>
      <c r="M312" s="639">
        <v>1.02</v>
      </c>
      <c r="N312" s="639">
        <v>1.1399999999999999</v>
      </c>
      <c r="O312" s="639">
        <v>1.44</v>
      </c>
      <c r="P312" s="616">
        <v>1</v>
      </c>
    </row>
    <row r="313" spans="1:16">
      <c r="A313" s="639" t="s">
        <v>351</v>
      </c>
      <c r="B313" s="639" t="s">
        <v>306</v>
      </c>
      <c r="C313" s="639" t="s">
        <v>305</v>
      </c>
      <c r="D313" s="639" t="s">
        <v>561</v>
      </c>
      <c r="E313" s="639" t="s">
        <v>562</v>
      </c>
      <c r="F313" s="639">
        <v>6502</v>
      </c>
      <c r="G313" s="639">
        <v>201301</v>
      </c>
      <c r="H313" s="639" t="s">
        <v>362</v>
      </c>
      <c r="I313" s="639" t="s">
        <v>565</v>
      </c>
      <c r="J313" s="639" t="s">
        <v>569</v>
      </c>
      <c r="K313" s="639">
        <v>0.79</v>
      </c>
      <c r="L313" s="639">
        <v>1</v>
      </c>
      <c r="M313" s="639">
        <v>1.03</v>
      </c>
      <c r="N313" s="639">
        <v>1.1399999999999999</v>
      </c>
      <c r="O313" s="639">
        <v>1.36</v>
      </c>
      <c r="P313" s="616">
        <v>1</v>
      </c>
    </row>
    <row r="314" spans="1:16">
      <c r="A314" s="639" t="s">
        <v>351</v>
      </c>
      <c r="B314" s="639" t="s">
        <v>306</v>
      </c>
      <c r="C314" s="639" t="s">
        <v>305</v>
      </c>
      <c r="D314" s="639" t="s">
        <v>561</v>
      </c>
      <c r="E314" s="639" t="s">
        <v>562</v>
      </c>
      <c r="F314" s="639">
        <v>6482</v>
      </c>
      <c r="G314" s="639">
        <v>201301</v>
      </c>
      <c r="H314" s="639" t="s">
        <v>362</v>
      </c>
      <c r="I314" s="639" t="s">
        <v>566</v>
      </c>
      <c r="J314" s="639" t="s">
        <v>567</v>
      </c>
      <c r="K314" s="639">
        <v>1.05</v>
      </c>
      <c r="L314" s="639">
        <v>1.06</v>
      </c>
      <c r="M314" s="639">
        <v>1.05</v>
      </c>
      <c r="N314" s="639">
        <v>1.1399999999999999</v>
      </c>
      <c r="O314" s="639">
        <v>1.46</v>
      </c>
      <c r="P314" s="616">
        <v>1</v>
      </c>
    </row>
    <row r="315" spans="1:16">
      <c r="A315" s="639" t="s">
        <v>351</v>
      </c>
      <c r="B315" s="639" t="s">
        <v>306</v>
      </c>
      <c r="C315" s="639" t="s">
        <v>305</v>
      </c>
      <c r="D315" s="639" t="s">
        <v>561</v>
      </c>
      <c r="E315" s="639" t="s">
        <v>562</v>
      </c>
      <c r="F315" s="639">
        <v>6474</v>
      </c>
      <c r="G315" s="639">
        <v>201301</v>
      </c>
      <c r="H315" s="639" t="s">
        <v>362</v>
      </c>
      <c r="I315" s="639" t="s">
        <v>563</v>
      </c>
      <c r="J315" s="639" t="s">
        <v>567</v>
      </c>
      <c r="K315" s="639">
        <v>0.82</v>
      </c>
      <c r="L315" s="639">
        <v>1.04</v>
      </c>
      <c r="M315" s="639">
        <v>1.1299999999999999</v>
      </c>
      <c r="N315" s="639">
        <v>1.04</v>
      </c>
      <c r="O315" s="639">
        <v>1.38</v>
      </c>
      <c r="P315" s="616">
        <v>1</v>
      </c>
    </row>
    <row r="316" spans="1:16">
      <c r="A316" s="639" t="s">
        <v>351</v>
      </c>
      <c r="B316" s="639" t="s">
        <v>306</v>
      </c>
      <c r="C316" s="639" t="s">
        <v>305</v>
      </c>
      <c r="D316" s="639" t="s">
        <v>561</v>
      </c>
      <c r="E316" s="639" t="s">
        <v>562</v>
      </c>
      <c r="F316" s="639">
        <v>28644</v>
      </c>
      <c r="G316" s="639">
        <v>201301</v>
      </c>
      <c r="H316" s="639" t="s">
        <v>362</v>
      </c>
      <c r="I316" s="639" t="s">
        <v>570</v>
      </c>
      <c r="J316" s="639" t="s">
        <v>569</v>
      </c>
      <c r="K316" s="639">
        <v>1.1299999999999999</v>
      </c>
      <c r="L316" s="639">
        <v>1.1100000000000001</v>
      </c>
      <c r="M316" s="639">
        <v>1.1299999999999999</v>
      </c>
      <c r="N316" s="639">
        <v>1.1399999999999999</v>
      </c>
      <c r="O316" s="639">
        <v>1.37</v>
      </c>
      <c r="P316" s="616">
        <v>1</v>
      </c>
    </row>
    <row r="317" spans="1:16">
      <c r="A317" s="639" t="s">
        <v>351</v>
      </c>
      <c r="B317" s="639" t="s">
        <v>306</v>
      </c>
      <c r="C317" s="639" t="s">
        <v>305</v>
      </c>
      <c r="D317" s="639" t="s">
        <v>561</v>
      </c>
      <c r="E317" s="639" t="s">
        <v>562</v>
      </c>
      <c r="F317" s="639">
        <v>28641</v>
      </c>
      <c r="G317" s="639">
        <v>201301</v>
      </c>
      <c r="H317" s="639" t="s">
        <v>362</v>
      </c>
      <c r="I317" s="639" t="s">
        <v>570</v>
      </c>
      <c r="J317" s="639" t="s">
        <v>567</v>
      </c>
      <c r="K317" s="639">
        <v>0.82</v>
      </c>
      <c r="L317" s="639">
        <v>1.08</v>
      </c>
      <c r="M317" s="639">
        <v>1.1399999999999999</v>
      </c>
      <c r="N317" s="639">
        <v>1</v>
      </c>
      <c r="O317" s="639">
        <v>1.45</v>
      </c>
      <c r="P317" s="616">
        <v>1</v>
      </c>
    </row>
    <row r="318" spans="1:16">
      <c r="A318" s="639" t="s">
        <v>351</v>
      </c>
      <c r="B318" s="639" t="s">
        <v>306</v>
      </c>
      <c r="C318" s="639" t="s">
        <v>305</v>
      </c>
      <c r="D318" s="639" t="s">
        <v>561</v>
      </c>
      <c r="E318" s="639" t="s">
        <v>562</v>
      </c>
      <c r="F318" s="639">
        <v>6476</v>
      </c>
      <c r="G318" s="639">
        <v>201301</v>
      </c>
      <c r="H318" s="639" t="s">
        <v>362</v>
      </c>
      <c r="I318" s="639" t="s">
        <v>563</v>
      </c>
      <c r="J318" s="639" t="s">
        <v>564</v>
      </c>
      <c r="K318" s="639">
        <v>0.86</v>
      </c>
      <c r="L318" s="639">
        <v>1</v>
      </c>
      <c r="M318" s="639">
        <v>1.1499999999999999</v>
      </c>
      <c r="N318" s="639">
        <v>1.0900000000000001</v>
      </c>
      <c r="O318" s="639">
        <v>1.4</v>
      </c>
      <c r="P318" s="616">
        <v>1</v>
      </c>
    </row>
    <row r="319" spans="1:16">
      <c r="A319" s="639" t="s">
        <v>351</v>
      </c>
      <c r="B319" s="639" t="s">
        <v>306</v>
      </c>
      <c r="C319" s="639" t="s">
        <v>305</v>
      </c>
      <c r="D319" s="639" t="s">
        <v>561</v>
      </c>
      <c r="E319" s="639" t="s">
        <v>562</v>
      </c>
      <c r="F319" s="639">
        <v>6443</v>
      </c>
      <c r="G319" s="639">
        <v>201301</v>
      </c>
      <c r="H319" s="639" t="s">
        <v>362</v>
      </c>
      <c r="I319" s="639" t="s">
        <v>568</v>
      </c>
      <c r="J319" s="639" t="s">
        <v>571</v>
      </c>
      <c r="K319" s="639">
        <v>0.82</v>
      </c>
      <c r="L319" s="639">
        <v>1.01</v>
      </c>
      <c r="M319" s="639">
        <v>1.1499999999999999</v>
      </c>
      <c r="N319" s="639">
        <v>1.0900000000000001</v>
      </c>
      <c r="O319" s="639">
        <v>1.4</v>
      </c>
      <c r="P319" s="616">
        <v>1</v>
      </c>
    </row>
    <row r="320" spans="1:16">
      <c r="A320" s="639" t="s">
        <v>351</v>
      </c>
      <c r="B320" s="639" t="s">
        <v>306</v>
      </c>
      <c r="C320" s="639" t="s">
        <v>305</v>
      </c>
      <c r="D320" s="639" t="s">
        <v>561</v>
      </c>
      <c r="E320" s="639" t="s">
        <v>562</v>
      </c>
      <c r="F320" s="639">
        <v>6444</v>
      </c>
      <c r="G320" s="639">
        <v>201301</v>
      </c>
      <c r="H320" s="639" t="s">
        <v>362</v>
      </c>
      <c r="I320" s="639" t="s">
        <v>568</v>
      </c>
      <c r="J320" s="639" t="s">
        <v>564</v>
      </c>
      <c r="K320" s="639">
        <v>0.77</v>
      </c>
      <c r="L320" s="639">
        <v>1.01</v>
      </c>
      <c r="M320" s="639">
        <v>1.1499999999999999</v>
      </c>
      <c r="N320" s="639">
        <v>1</v>
      </c>
      <c r="O320" s="639">
        <v>1.41</v>
      </c>
      <c r="P320" s="616">
        <v>1</v>
      </c>
    </row>
    <row r="321" spans="1:16">
      <c r="A321" s="639" t="s">
        <v>351</v>
      </c>
      <c r="B321" s="639" t="s">
        <v>306</v>
      </c>
      <c r="C321" s="639" t="s">
        <v>305</v>
      </c>
      <c r="D321" s="639" t="s">
        <v>561</v>
      </c>
      <c r="E321" s="639" t="s">
        <v>562</v>
      </c>
      <c r="F321" s="639">
        <v>6445</v>
      </c>
      <c r="G321" s="639">
        <v>201301</v>
      </c>
      <c r="H321" s="639" t="s">
        <v>362</v>
      </c>
      <c r="I321" s="639" t="s">
        <v>568</v>
      </c>
      <c r="J321" s="639" t="s">
        <v>569</v>
      </c>
      <c r="K321" s="639">
        <v>0.87</v>
      </c>
      <c r="L321" s="639">
        <v>1.01</v>
      </c>
      <c r="M321" s="639">
        <v>1.1499999999999999</v>
      </c>
      <c r="N321" s="639">
        <v>1.1399999999999999</v>
      </c>
      <c r="O321" s="639">
        <v>1.4</v>
      </c>
      <c r="P321" s="616">
        <v>1</v>
      </c>
    </row>
    <row r="322" spans="1:16">
      <c r="A322" s="639" t="s">
        <v>351</v>
      </c>
      <c r="B322" s="639" t="s">
        <v>306</v>
      </c>
      <c r="C322" s="639" t="s">
        <v>305</v>
      </c>
      <c r="D322" s="639" t="s">
        <v>561</v>
      </c>
      <c r="E322" s="639" t="s">
        <v>562</v>
      </c>
      <c r="F322" s="639">
        <v>6485</v>
      </c>
      <c r="G322" s="639">
        <v>201301</v>
      </c>
      <c r="H322" s="639" t="s">
        <v>362</v>
      </c>
      <c r="I322" s="639" t="s">
        <v>566</v>
      </c>
      <c r="J322" s="639" t="s">
        <v>569</v>
      </c>
      <c r="K322" s="639">
        <v>0.75</v>
      </c>
      <c r="L322" s="639">
        <v>1.03</v>
      </c>
      <c r="M322" s="639">
        <v>1.1499999999999999</v>
      </c>
      <c r="N322" s="639">
        <v>1.04</v>
      </c>
      <c r="O322" s="639">
        <v>1.46</v>
      </c>
      <c r="P322" s="616">
        <v>1</v>
      </c>
    </row>
    <row r="323" spans="1:16">
      <c r="A323" s="639" t="s">
        <v>351</v>
      </c>
      <c r="B323" s="639" t="s">
        <v>306</v>
      </c>
      <c r="C323" s="639" t="s">
        <v>305</v>
      </c>
      <c r="D323" s="639" t="s">
        <v>561</v>
      </c>
      <c r="E323" s="639" t="s">
        <v>562</v>
      </c>
      <c r="F323" s="639">
        <v>6499</v>
      </c>
      <c r="G323" s="639">
        <v>201301</v>
      </c>
      <c r="H323" s="639" t="s">
        <v>362</v>
      </c>
      <c r="I323" s="639" t="s">
        <v>565</v>
      </c>
      <c r="J323" s="639" t="s">
        <v>567</v>
      </c>
      <c r="K323" s="639">
        <v>0.96</v>
      </c>
      <c r="L323" s="639">
        <v>1.05</v>
      </c>
      <c r="M323" s="639">
        <v>1.17</v>
      </c>
      <c r="N323" s="639">
        <v>1.1399999999999999</v>
      </c>
      <c r="O323" s="639">
        <v>1.32</v>
      </c>
      <c r="P323" s="616">
        <v>1</v>
      </c>
    </row>
    <row r="324" spans="1:16">
      <c r="A324" s="639" t="s">
        <v>351</v>
      </c>
      <c r="B324" s="639" t="s">
        <v>306</v>
      </c>
      <c r="C324" s="639" t="s">
        <v>305</v>
      </c>
      <c r="D324" s="639" t="s">
        <v>561</v>
      </c>
      <c r="E324" s="639" t="s">
        <v>562</v>
      </c>
      <c r="F324" s="639">
        <v>6442</v>
      </c>
      <c r="G324" s="639">
        <v>201301</v>
      </c>
      <c r="H324" s="639" t="s">
        <v>362</v>
      </c>
      <c r="I324" s="639" t="s">
        <v>568</v>
      </c>
      <c r="J324" s="639" t="s">
        <v>567</v>
      </c>
      <c r="K324" s="639">
        <v>0.74</v>
      </c>
      <c r="L324" s="639">
        <v>1.1299999999999999</v>
      </c>
      <c r="M324" s="639">
        <v>1.18</v>
      </c>
      <c r="N324" s="639">
        <v>1.02</v>
      </c>
      <c r="O324" s="639">
        <v>1.4</v>
      </c>
      <c r="P324" s="616">
        <v>1</v>
      </c>
    </row>
    <row r="325" spans="1:16">
      <c r="A325" s="639" t="s">
        <v>351</v>
      </c>
      <c r="B325" s="639" t="s">
        <v>306</v>
      </c>
      <c r="C325" s="639" t="s">
        <v>305</v>
      </c>
      <c r="D325" s="639" t="s">
        <v>561</v>
      </c>
      <c r="E325" s="639" t="s">
        <v>562</v>
      </c>
      <c r="F325" s="639">
        <v>6484</v>
      </c>
      <c r="G325" s="639">
        <v>201301</v>
      </c>
      <c r="H325" s="639" t="s">
        <v>362</v>
      </c>
      <c r="I325" s="639" t="s">
        <v>566</v>
      </c>
      <c r="J325" s="639" t="s">
        <v>564</v>
      </c>
      <c r="K325" s="639">
        <v>0.74</v>
      </c>
      <c r="L325" s="639">
        <v>1.1599999999999999</v>
      </c>
      <c r="M325" s="639">
        <v>1.18</v>
      </c>
      <c r="N325" s="639">
        <v>1</v>
      </c>
      <c r="O325" s="639">
        <v>1.37</v>
      </c>
      <c r="P325" s="616">
        <v>1</v>
      </c>
    </row>
    <row r="326" spans="1:16">
      <c r="A326" s="639" t="s">
        <v>351</v>
      </c>
      <c r="B326" s="639" t="s">
        <v>306</v>
      </c>
      <c r="C326" s="639" t="s">
        <v>305</v>
      </c>
      <c r="D326" s="639" t="s">
        <v>561</v>
      </c>
      <c r="E326" s="639" t="s">
        <v>562</v>
      </c>
      <c r="F326" s="639">
        <v>18280</v>
      </c>
      <c r="G326" s="639">
        <v>201702</v>
      </c>
      <c r="H326" s="639" t="s">
        <v>363</v>
      </c>
      <c r="I326" s="639" t="s">
        <v>563</v>
      </c>
      <c r="J326" s="639" t="s">
        <v>569</v>
      </c>
      <c r="K326" s="639">
        <v>1.17</v>
      </c>
      <c r="L326" s="639">
        <v>1.08</v>
      </c>
      <c r="M326" s="639">
        <v>1.01</v>
      </c>
      <c r="N326" s="639">
        <v>1.0900000000000001</v>
      </c>
      <c r="O326" s="639">
        <v>1.48</v>
      </c>
      <c r="P326" s="616">
        <v>8</v>
      </c>
    </row>
    <row r="327" spans="1:16">
      <c r="A327" s="639" t="s">
        <v>351</v>
      </c>
      <c r="B327" s="639" t="s">
        <v>306</v>
      </c>
      <c r="C327" s="639" t="s">
        <v>305</v>
      </c>
      <c r="D327" s="639" t="s">
        <v>561</v>
      </c>
      <c r="E327" s="639" t="s">
        <v>562</v>
      </c>
      <c r="F327" s="639">
        <v>17686</v>
      </c>
      <c r="G327" s="639">
        <v>201702</v>
      </c>
      <c r="H327" s="639" t="s">
        <v>363</v>
      </c>
      <c r="I327" s="639" t="s">
        <v>563</v>
      </c>
      <c r="J327" s="639" t="s">
        <v>564</v>
      </c>
      <c r="K327" s="639">
        <v>0.95</v>
      </c>
      <c r="L327" s="639">
        <v>1.1100000000000001</v>
      </c>
      <c r="M327" s="639">
        <v>1.01</v>
      </c>
      <c r="N327" s="639">
        <v>1.05</v>
      </c>
      <c r="O327" s="639">
        <v>1.4</v>
      </c>
      <c r="P327" s="616">
        <v>8</v>
      </c>
    </row>
    <row r="328" spans="1:16">
      <c r="A328" s="639" t="s">
        <v>351</v>
      </c>
      <c r="B328" s="639" t="s">
        <v>306</v>
      </c>
      <c r="C328" s="639" t="s">
        <v>305</v>
      </c>
      <c r="D328" s="639" t="s">
        <v>561</v>
      </c>
      <c r="E328" s="639" t="s">
        <v>562</v>
      </c>
      <c r="F328" s="639">
        <v>17691</v>
      </c>
      <c r="G328" s="639">
        <v>201702</v>
      </c>
      <c r="H328" s="639" t="s">
        <v>363</v>
      </c>
      <c r="I328" s="639" t="s">
        <v>568</v>
      </c>
      <c r="J328" s="639" t="s">
        <v>571</v>
      </c>
      <c r="K328" s="639">
        <v>0.78</v>
      </c>
      <c r="L328" s="639">
        <v>1.1100000000000001</v>
      </c>
      <c r="M328" s="639">
        <v>1.01</v>
      </c>
      <c r="N328" s="639">
        <v>1.1399999999999999</v>
      </c>
      <c r="O328" s="639">
        <v>1.35</v>
      </c>
      <c r="P328" s="616">
        <v>8</v>
      </c>
    </row>
    <row r="329" spans="1:16">
      <c r="A329" s="639" t="s">
        <v>351</v>
      </c>
      <c r="B329" s="639" t="s">
        <v>306</v>
      </c>
      <c r="C329" s="639" t="s">
        <v>305</v>
      </c>
      <c r="D329" s="639" t="s">
        <v>561</v>
      </c>
      <c r="E329" s="639" t="s">
        <v>562</v>
      </c>
      <c r="F329" s="639">
        <v>17690</v>
      </c>
      <c r="G329" s="639">
        <v>201702</v>
      </c>
      <c r="H329" s="639" t="s">
        <v>363</v>
      </c>
      <c r="I329" s="639" t="s">
        <v>568</v>
      </c>
      <c r="J329" s="639" t="s">
        <v>567</v>
      </c>
      <c r="K329" s="639">
        <v>3.21</v>
      </c>
      <c r="L329" s="639">
        <v>2.0099999999999998</v>
      </c>
      <c r="M329" s="639">
        <v>1.03</v>
      </c>
      <c r="N329" s="639">
        <v>1.0900000000000001</v>
      </c>
      <c r="O329" s="639">
        <v>1.47</v>
      </c>
      <c r="P329" s="616">
        <v>8</v>
      </c>
    </row>
    <row r="330" spans="1:16">
      <c r="A330" s="639" t="s">
        <v>351</v>
      </c>
      <c r="B330" s="639" t="s">
        <v>306</v>
      </c>
      <c r="C330" s="639" t="s">
        <v>305</v>
      </c>
      <c r="D330" s="639" t="s">
        <v>561</v>
      </c>
      <c r="E330" s="639" t="s">
        <v>562</v>
      </c>
      <c r="F330" s="639">
        <v>28638</v>
      </c>
      <c r="G330" s="639">
        <v>201702</v>
      </c>
      <c r="H330" s="639" t="s">
        <v>363</v>
      </c>
      <c r="I330" s="639" t="s">
        <v>570</v>
      </c>
      <c r="J330" s="639" t="s">
        <v>571</v>
      </c>
      <c r="K330" s="639">
        <v>1.04</v>
      </c>
      <c r="L330" s="639">
        <v>1.05</v>
      </c>
      <c r="M330" s="639">
        <v>1.03</v>
      </c>
      <c r="N330" s="639">
        <v>1.1399999999999999</v>
      </c>
      <c r="O330" s="639">
        <v>1.43</v>
      </c>
      <c r="P330" s="616">
        <v>8</v>
      </c>
    </row>
    <row r="331" spans="1:16">
      <c r="A331" s="639" t="s">
        <v>351</v>
      </c>
      <c r="B331" s="639" t="s">
        <v>306</v>
      </c>
      <c r="C331" s="639" t="s">
        <v>305</v>
      </c>
      <c r="D331" s="639" t="s">
        <v>561</v>
      </c>
      <c r="E331" s="639" t="s">
        <v>562</v>
      </c>
      <c r="F331" s="639">
        <v>18278</v>
      </c>
      <c r="G331" s="639">
        <v>201702</v>
      </c>
      <c r="H331" s="639" t="s">
        <v>363</v>
      </c>
      <c r="I331" s="639" t="s">
        <v>568</v>
      </c>
      <c r="J331" s="639" t="s">
        <v>569</v>
      </c>
      <c r="K331" s="639">
        <v>2.57</v>
      </c>
      <c r="L331" s="639">
        <v>1.37</v>
      </c>
      <c r="M331" s="639">
        <v>1.04</v>
      </c>
      <c r="N331" s="639">
        <v>1.1399999999999999</v>
      </c>
      <c r="O331" s="639">
        <v>1.38</v>
      </c>
      <c r="P331" s="616">
        <v>8</v>
      </c>
    </row>
    <row r="332" spans="1:16">
      <c r="A332" s="639" t="s">
        <v>351</v>
      </c>
      <c r="B332" s="639" t="s">
        <v>306</v>
      </c>
      <c r="C332" s="639" t="s">
        <v>305</v>
      </c>
      <c r="D332" s="639" t="s">
        <v>561</v>
      </c>
      <c r="E332" s="639" t="s">
        <v>562</v>
      </c>
      <c r="F332" s="639">
        <v>17692</v>
      </c>
      <c r="G332" s="639">
        <v>201702</v>
      </c>
      <c r="H332" s="639" t="s">
        <v>363</v>
      </c>
      <c r="I332" s="639" t="s">
        <v>568</v>
      </c>
      <c r="J332" s="639" t="s">
        <v>564</v>
      </c>
      <c r="K332" s="639">
        <v>1.52</v>
      </c>
      <c r="L332" s="639">
        <v>1.05</v>
      </c>
      <c r="M332" s="639">
        <v>1.04</v>
      </c>
      <c r="N332" s="639">
        <v>1.04</v>
      </c>
      <c r="O332" s="639">
        <v>1.45</v>
      </c>
      <c r="P332" s="616">
        <v>8</v>
      </c>
    </row>
    <row r="333" spans="1:16">
      <c r="A333" s="639" t="s">
        <v>351</v>
      </c>
      <c r="B333" s="639" t="s">
        <v>306</v>
      </c>
      <c r="C333" s="639" t="s">
        <v>305</v>
      </c>
      <c r="D333" s="639" t="s">
        <v>561</v>
      </c>
      <c r="E333" s="639" t="s">
        <v>562</v>
      </c>
      <c r="F333" s="639">
        <v>17685</v>
      </c>
      <c r="G333" s="639">
        <v>201702</v>
      </c>
      <c r="H333" s="639" t="s">
        <v>363</v>
      </c>
      <c r="I333" s="639" t="s">
        <v>563</v>
      </c>
      <c r="J333" s="639" t="s">
        <v>571</v>
      </c>
      <c r="K333" s="639">
        <v>0.77</v>
      </c>
      <c r="L333" s="639">
        <v>1.01</v>
      </c>
      <c r="M333" s="639">
        <v>1.04</v>
      </c>
      <c r="N333" s="639">
        <v>1.01</v>
      </c>
      <c r="O333" s="639">
        <v>1.41</v>
      </c>
      <c r="P333" s="616">
        <v>8</v>
      </c>
    </row>
    <row r="334" spans="1:16">
      <c r="A334" s="639" t="s">
        <v>351</v>
      </c>
      <c r="B334" s="639" t="s">
        <v>306</v>
      </c>
      <c r="C334" s="639" t="s">
        <v>305</v>
      </c>
      <c r="D334" s="639" t="s">
        <v>561</v>
      </c>
      <c r="E334" s="639" t="s">
        <v>562</v>
      </c>
      <c r="F334" s="639">
        <v>17688</v>
      </c>
      <c r="G334" s="639">
        <v>201702</v>
      </c>
      <c r="H334" s="639" t="s">
        <v>363</v>
      </c>
      <c r="I334" s="639" t="s">
        <v>565</v>
      </c>
      <c r="J334" s="639" t="s">
        <v>571</v>
      </c>
      <c r="K334" s="639">
        <v>0.87</v>
      </c>
      <c r="L334" s="639">
        <v>1</v>
      </c>
      <c r="M334" s="639">
        <v>1.05</v>
      </c>
      <c r="N334" s="639">
        <v>1.02</v>
      </c>
      <c r="O334" s="639">
        <v>1.37</v>
      </c>
      <c r="P334" s="616">
        <v>8</v>
      </c>
    </row>
    <row r="335" spans="1:16">
      <c r="A335" s="639" t="s">
        <v>351</v>
      </c>
      <c r="B335" s="639" t="s">
        <v>306</v>
      </c>
      <c r="C335" s="639" t="s">
        <v>305</v>
      </c>
      <c r="D335" s="639" t="s">
        <v>561</v>
      </c>
      <c r="E335" s="639" t="s">
        <v>562</v>
      </c>
      <c r="F335" s="639">
        <v>17684</v>
      </c>
      <c r="G335" s="639">
        <v>201702</v>
      </c>
      <c r="H335" s="639" t="s">
        <v>363</v>
      </c>
      <c r="I335" s="639" t="s">
        <v>563</v>
      </c>
      <c r="J335" s="639" t="s">
        <v>567</v>
      </c>
      <c r="K335" s="639">
        <v>1.69</v>
      </c>
      <c r="L335" s="639">
        <v>1.1499999999999999</v>
      </c>
      <c r="M335" s="639">
        <v>1.08</v>
      </c>
      <c r="N335" s="639">
        <v>1.0900000000000001</v>
      </c>
      <c r="O335" s="639">
        <v>1.35</v>
      </c>
      <c r="P335" s="616">
        <v>8</v>
      </c>
    </row>
    <row r="336" spans="1:16">
      <c r="A336" s="639" t="s">
        <v>351</v>
      </c>
      <c r="B336" s="639" t="s">
        <v>306</v>
      </c>
      <c r="C336" s="639" t="s">
        <v>305</v>
      </c>
      <c r="D336" s="639" t="s">
        <v>561</v>
      </c>
      <c r="E336" s="639" t="s">
        <v>562</v>
      </c>
      <c r="F336" s="639">
        <v>17682</v>
      </c>
      <c r="G336" s="639">
        <v>201702</v>
      </c>
      <c r="H336" s="639" t="s">
        <v>363</v>
      </c>
      <c r="I336" s="639" t="s">
        <v>566</v>
      </c>
      <c r="J336" s="639" t="s">
        <v>571</v>
      </c>
      <c r="K336" s="639">
        <v>1.5</v>
      </c>
      <c r="L336" s="639">
        <v>1.0900000000000001</v>
      </c>
      <c r="M336" s="639">
        <v>1.1100000000000001</v>
      </c>
      <c r="N336" s="639">
        <v>1.0900000000000001</v>
      </c>
      <c r="O336" s="639">
        <v>1.42</v>
      </c>
      <c r="P336" s="616">
        <v>8</v>
      </c>
    </row>
    <row r="337" spans="1:16">
      <c r="A337" s="639" t="s">
        <v>351</v>
      </c>
      <c r="B337" s="639" t="s">
        <v>306</v>
      </c>
      <c r="C337" s="639" t="s">
        <v>305</v>
      </c>
      <c r="D337" s="639" t="s">
        <v>561</v>
      </c>
      <c r="E337" s="639" t="s">
        <v>562</v>
      </c>
      <c r="F337" s="639">
        <v>28640</v>
      </c>
      <c r="G337" s="639">
        <v>201702</v>
      </c>
      <c r="H337" s="639" t="s">
        <v>363</v>
      </c>
      <c r="I337" s="639" t="s">
        <v>570</v>
      </c>
      <c r="J337" s="639" t="s">
        <v>569</v>
      </c>
      <c r="K337" s="639">
        <v>1.34</v>
      </c>
      <c r="L337" s="639">
        <v>1.1499999999999999</v>
      </c>
      <c r="M337" s="639">
        <v>1.1200000000000001</v>
      </c>
      <c r="N337" s="639">
        <v>1.1399999999999999</v>
      </c>
      <c r="O337" s="639">
        <v>1.36</v>
      </c>
      <c r="P337" s="616">
        <v>8</v>
      </c>
    </row>
    <row r="338" spans="1:16">
      <c r="A338" s="639" t="s">
        <v>351</v>
      </c>
      <c r="B338" s="639" t="s">
        <v>306</v>
      </c>
      <c r="C338" s="639" t="s">
        <v>305</v>
      </c>
      <c r="D338" s="639" t="s">
        <v>561</v>
      </c>
      <c r="E338" s="639" t="s">
        <v>562</v>
      </c>
      <c r="F338" s="639">
        <v>17687</v>
      </c>
      <c r="G338" s="639">
        <v>201702</v>
      </c>
      <c r="H338" s="639" t="s">
        <v>363</v>
      </c>
      <c r="I338" s="639" t="s">
        <v>565</v>
      </c>
      <c r="J338" s="639" t="s">
        <v>567</v>
      </c>
      <c r="K338" s="639">
        <v>1.77</v>
      </c>
      <c r="L338" s="639">
        <v>1.1499999999999999</v>
      </c>
      <c r="M338" s="639">
        <v>1.1200000000000001</v>
      </c>
      <c r="N338" s="639">
        <v>1.02</v>
      </c>
      <c r="O338" s="639">
        <v>1.34</v>
      </c>
      <c r="P338" s="616">
        <v>8</v>
      </c>
    </row>
    <row r="339" spans="1:16">
      <c r="A339" s="639" t="s">
        <v>351</v>
      </c>
      <c r="B339" s="639" t="s">
        <v>306</v>
      </c>
      <c r="C339" s="639" t="s">
        <v>305</v>
      </c>
      <c r="D339" s="639" t="s">
        <v>561</v>
      </c>
      <c r="E339" s="639" t="s">
        <v>562</v>
      </c>
      <c r="F339" s="639">
        <v>18277</v>
      </c>
      <c r="G339" s="639">
        <v>201702</v>
      </c>
      <c r="H339" s="639" t="s">
        <v>363</v>
      </c>
      <c r="I339" s="639" t="s">
        <v>566</v>
      </c>
      <c r="J339" s="639" t="s">
        <v>569</v>
      </c>
      <c r="K339" s="639">
        <v>2.44</v>
      </c>
      <c r="L339" s="639">
        <v>1.25</v>
      </c>
      <c r="M339" s="639">
        <v>1.1399999999999999</v>
      </c>
      <c r="N339" s="639">
        <v>1.27</v>
      </c>
      <c r="O339" s="639">
        <v>1.4</v>
      </c>
      <c r="P339" s="616">
        <v>8</v>
      </c>
    </row>
    <row r="340" spans="1:16">
      <c r="A340" s="639" t="s">
        <v>351</v>
      </c>
      <c r="B340" s="639" t="s">
        <v>306</v>
      </c>
      <c r="C340" s="639" t="s">
        <v>305</v>
      </c>
      <c r="D340" s="639" t="s">
        <v>561</v>
      </c>
      <c r="E340" s="639" t="s">
        <v>562</v>
      </c>
      <c r="F340" s="639">
        <v>18279</v>
      </c>
      <c r="G340" s="639">
        <v>201702</v>
      </c>
      <c r="H340" s="639" t="s">
        <v>363</v>
      </c>
      <c r="I340" s="639" t="s">
        <v>565</v>
      </c>
      <c r="J340" s="639" t="s">
        <v>569</v>
      </c>
      <c r="K340" s="639">
        <v>1.1000000000000001</v>
      </c>
      <c r="L340" s="639">
        <v>1.02</v>
      </c>
      <c r="M340" s="639">
        <v>1.1399999999999999</v>
      </c>
      <c r="N340" s="639">
        <v>1.18</v>
      </c>
      <c r="O340" s="639">
        <v>1.46</v>
      </c>
      <c r="P340" s="616">
        <v>8</v>
      </c>
    </row>
    <row r="341" spans="1:16">
      <c r="A341" s="639" t="s">
        <v>351</v>
      </c>
      <c r="B341" s="639" t="s">
        <v>306</v>
      </c>
      <c r="C341" s="639" t="s">
        <v>305</v>
      </c>
      <c r="D341" s="639" t="s">
        <v>561</v>
      </c>
      <c r="E341" s="639" t="s">
        <v>562</v>
      </c>
      <c r="F341" s="639">
        <v>17689</v>
      </c>
      <c r="G341" s="639">
        <v>201702</v>
      </c>
      <c r="H341" s="639" t="s">
        <v>363</v>
      </c>
      <c r="I341" s="639" t="s">
        <v>565</v>
      </c>
      <c r="J341" s="639" t="s">
        <v>564</v>
      </c>
      <c r="K341" s="639">
        <v>1.52</v>
      </c>
      <c r="L341" s="639">
        <v>1.05</v>
      </c>
      <c r="M341" s="639">
        <v>1.1399999999999999</v>
      </c>
      <c r="N341" s="639">
        <v>1.03</v>
      </c>
      <c r="O341" s="639">
        <v>1.33</v>
      </c>
      <c r="P341" s="616">
        <v>8</v>
      </c>
    </row>
    <row r="342" spans="1:16">
      <c r="A342" s="639" t="s">
        <v>351</v>
      </c>
      <c r="B342" s="639" t="s">
        <v>306</v>
      </c>
      <c r="C342" s="639" t="s">
        <v>305</v>
      </c>
      <c r="D342" s="639" t="s">
        <v>561</v>
      </c>
      <c r="E342" s="639" t="s">
        <v>562</v>
      </c>
      <c r="F342" s="639">
        <v>28637</v>
      </c>
      <c r="G342" s="639">
        <v>201702</v>
      </c>
      <c r="H342" s="639" t="s">
        <v>363</v>
      </c>
      <c r="I342" s="639" t="s">
        <v>570</v>
      </c>
      <c r="J342" s="639" t="s">
        <v>567</v>
      </c>
      <c r="K342" s="639">
        <v>0.82</v>
      </c>
      <c r="L342" s="639">
        <v>1.1299999999999999</v>
      </c>
      <c r="M342" s="639">
        <v>1.1399999999999999</v>
      </c>
      <c r="N342" s="639">
        <v>1.1399999999999999</v>
      </c>
      <c r="O342" s="639">
        <v>1.55</v>
      </c>
      <c r="P342" s="616">
        <v>8</v>
      </c>
    </row>
    <row r="343" spans="1:16">
      <c r="A343" s="639" t="s">
        <v>351</v>
      </c>
      <c r="B343" s="639" t="s">
        <v>306</v>
      </c>
      <c r="C343" s="639" t="s">
        <v>305</v>
      </c>
      <c r="D343" s="639" t="s">
        <v>561</v>
      </c>
      <c r="E343" s="639" t="s">
        <v>562</v>
      </c>
      <c r="F343" s="639">
        <v>28639</v>
      </c>
      <c r="G343" s="639">
        <v>201702</v>
      </c>
      <c r="H343" s="639" t="s">
        <v>363</v>
      </c>
      <c r="I343" s="639" t="s">
        <v>570</v>
      </c>
      <c r="J343" s="639" t="s">
        <v>564</v>
      </c>
      <c r="K343" s="639">
        <v>0.83</v>
      </c>
      <c r="L343" s="639">
        <v>1.04</v>
      </c>
      <c r="M343" s="639">
        <v>1.17</v>
      </c>
      <c r="N343" s="639">
        <v>1.1399999999999999</v>
      </c>
      <c r="O343" s="639">
        <v>1.47</v>
      </c>
      <c r="P343" s="616">
        <v>8</v>
      </c>
    </row>
    <row r="344" spans="1:16">
      <c r="A344" s="639" t="s">
        <v>351</v>
      </c>
      <c r="B344" s="639" t="s">
        <v>306</v>
      </c>
      <c r="C344" s="639" t="s">
        <v>305</v>
      </c>
      <c r="D344" s="639" t="s">
        <v>561</v>
      </c>
      <c r="E344" s="639" t="s">
        <v>562</v>
      </c>
      <c r="F344" s="639">
        <v>17681</v>
      </c>
      <c r="G344" s="639">
        <v>201702</v>
      </c>
      <c r="H344" s="639" t="s">
        <v>363</v>
      </c>
      <c r="I344" s="639" t="s">
        <v>566</v>
      </c>
      <c r="J344" s="639" t="s">
        <v>567</v>
      </c>
      <c r="K344" s="639">
        <v>1.79</v>
      </c>
      <c r="L344" s="639">
        <v>1.19</v>
      </c>
      <c r="M344" s="639">
        <v>1.18</v>
      </c>
      <c r="N344" s="639">
        <v>1.1200000000000001</v>
      </c>
      <c r="O344" s="639">
        <v>1.57</v>
      </c>
      <c r="P344" s="616">
        <v>8</v>
      </c>
    </row>
    <row r="345" spans="1:16">
      <c r="A345" s="639" t="s">
        <v>351</v>
      </c>
      <c r="B345" s="639" t="s">
        <v>306</v>
      </c>
      <c r="C345" s="639" t="s">
        <v>305</v>
      </c>
      <c r="D345" s="639" t="s">
        <v>561</v>
      </c>
      <c r="E345" s="639" t="s">
        <v>562</v>
      </c>
      <c r="F345" s="639">
        <v>17683</v>
      </c>
      <c r="G345" s="639">
        <v>201702</v>
      </c>
      <c r="H345" s="639" t="s">
        <v>363</v>
      </c>
      <c r="I345" s="639" t="s">
        <v>566</v>
      </c>
      <c r="J345" s="639" t="s">
        <v>564</v>
      </c>
      <c r="K345" s="639">
        <v>0.76</v>
      </c>
      <c r="L345" s="639">
        <v>1.1000000000000001</v>
      </c>
      <c r="M345" s="639">
        <v>1.19</v>
      </c>
      <c r="N345" s="639">
        <v>1.1499999999999999</v>
      </c>
      <c r="O345" s="639">
        <v>1.41</v>
      </c>
      <c r="P345" s="616">
        <v>8</v>
      </c>
    </row>
    <row r="346" spans="1:16">
      <c r="A346" s="639" t="s">
        <v>351</v>
      </c>
      <c r="B346" s="639" t="s">
        <v>306</v>
      </c>
      <c r="C346" s="639" t="s">
        <v>305</v>
      </c>
      <c r="D346" s="639" t="s">
        <v>561</v>
      </c>
      <c r="E346" s="639" t="s">
        <v>562</v>
      </c>
      <c r="F346" s="639">
        <v>6747</v>
      </c>
      <c r="G346" s="639">
        <v>203601</v>
      </c>
      <c r="H346" s="639" t="s">
        <v>365</v>
      </c>
      <c r="I346" s="639" t="s">
        <v>563</v>
      </c>
      <c r="J346" s="639">
        <v>40</v>
      </c>
      <c r="K346" s="639">
        <v>3.41</v>
      </c>
      <c r="L346" s="639">
        <v>2.2200000000000002</v>
      </c>
      <c r="M346" s="639">
        <v>1.02</v>
      </c>
      <c r="N346" s="639">
        <v>1.1499999999999999</v>
      </c>
      <c r="O346" s="639">
        <v>1.27</v>
      </c>
      <c r="P346" s="616">
        <v>27</v>
      </c>
    </row>
    <row r="347" spans="1:16">
      <c r="A347" s="639" t="s">
        <v>351</v>
      </c>
      <c r="B347" s="639" t="s">
        <v>306</v>
      </c>
      <c r="C347" s="639" t="s">
        <v>305</v>
      </c>
      <c r="D347" s="639" t="s">
        <v>561</v>
      </c>
      <c r="E347" s="639" t="s">
        <v>562</v>
      </c>
      <c r="F347" s="639">
        <v>6734</v>
      </c>
      <c r="G347" s="639">
        <v>203601</v>
      </c>
      <c r="H347" s="639" t="s">
        <v>365</v>
      </c>
      <c r="I347" s="639" t="s">
        <v>563</v>
      </c>
      <c r="J347" s="639">
        <v>42</v>
      </c>
      <c r="K347" s="639">
        <v>1.44</v>
      </c>
      <c r="L347" s="639">
        <v>1.1299999999999999</v>
      </c>
      <c r="M347" s="639">
        <v>1.03</v>
      </c>
      <c r="N347" s="639">
        <v>1.1399999999999999</v>
      </c>
      <c r="O347" s="639">
        <v>1.42</v>
      </c>
      <c r="P347" s="616">
        <v>27</v>
      </c>
    </row>
    <row r="348" spans="1:16">
      <c r="A348" s="639" t="s">
        <v>351</v>
      </c>
      <c r="B348" s="639" t="s">
        <v>306</v>
      </c>
      <c r="C348" s="639" t="s">
        <v>305</v>
      </c>
      <c r="D348" s="639" t="s">
        <v>561</v>
      </c>
      <c r="E348" s="639" t="s">
        <v>562</v>
      </c>
      <c r="F348" s="639">
        <v>6735</v>
      </c>
      <c r="G348" s="639">
        <v>203601</v>
      </c>
      <c r="H348" s="639" t="s">
        <v>365</v>
      </c>
      <c r="I348" s="639" t="s">
        <v>563</v>
      </c>
      <c r="J348" s="639">
        <v>44</v>
      </c>
      <c r="K348" s="639">
        <v>1.6</v>
      </c>
      <c r="L348" s="639">
        <v>1.0900000000000001</v>
      </c>
      <c r="M348" s="639">
        <v>1.07</v>
      </c>
      <c r="N348" s="639">
        <v>1.1399999999999999</v>
      </c>
      <c r="O348" s="639">
        <v>1.37</v>
      </c>
      <c r="P348" s="616">
        <v>27</v>
      </c>
    </row>
    <row r="349" spans="1:16">
      <c r="A349" s="639" t="s">
        <v>351</v>
      </c>
      <c r="B349" s="639" t="s">
        <v>306</v>
      </c>
      <c r="C349" s="639" t="s">
        <v>305</v>
      </c>
      <c r="D349" s="639" t="s">
        <v>561</v>
      </c>
      <c r="E349" s="639" t="s">
        <v>562</v>
      </c>
      <c r="F349" s="639">
        <v>6746</v>
      </c>
      <c r="G349" s="639">
        <v>203601</v>
      </c>
      <c r="H349" s="639" t="s">
        <v>365</v>
      </c>
      <c r="I349" s="639" t="s">
        <v>568</v>
      </c>
      <c r="J349" s="639">
        <v>46</v>
      </c>
      <c r="K349" s="639">
        <v>0.81</v>
      </c>
      <c r="L349" s="639">
        <v>1.01</v>
      </c>
      <c r="M349" s="639">
        <v>1.1299999999999999</v>
      </c>
      <c r="N349" s="639">
        <v>1.02</v>
      </c>
      <c r="O349" s="639">
        <v>1.42</v>
      </c>
      <c r="P349" s="616">
        <v>27</v>
      </c>
    </row>
    <row r="350" spans="1:16">
      <c r="A350" s="639" t="s">
        <v>351</v>
      </c>
      <c r="B350" s="639" t="s">
        <v>306</v>
      </c>
      <c r="C350" s="639" t="s">
        <v>305</v>
      </c>
      <c r="D350" s="639" t="s">
        <v>561</v>
      </c>
      <c r="E350" s="639" t="s">
        <v>562</v>
      </c>
      <c r="F350" s="639">
        <v>6745</v>
      </c>
      <c r="G350" s="639">
        <v>203601</v>
      </c>
      <c r="H350" s="639" t="s">
        <v>365</v>
      </c>
      <c r="I350" s="639" t="s">
        <v>568</v>
      </c>
      <c r="J350" s="639">
        <v>44</v>
      </c>
      <c r="K350" s="639">
        <v>0.76</v>
      </c>
      <c r="L350" s="639">
        <v>1.03</v>
      </c>
      <c r="M350" s="639">
        <v>1.1299999999999999</v>
      </c>
      <c r="N350" s="639">
        <v>1.0900000000000001</v>
      </c>
      <c r="O350" s="639">
        <v>1.42</v>
      </c>
      <c r="P350" s="616">
        <v>27</v>
      </c>
    </row>
    <row r="351" spans="1:16">
      <c r="A351" s="639" t="s">
        <v>351</v>
      </c>
      <c r="B351" s="639" t="s">
        <v>306</v>
      </c>
      <c r="C351" s="639" t="s">
        <v>305</v>
      </c>
      <c r="D351" s="639" t="s">
        <v>561</v>
      </c>
      <c r="E351" s="639" t="s">
        <v>562</v>
      </c>
      <c r="F351" s="639">
        <v>6744</v>
      </c>
      <c r="G351" s="639">
        <v>203601</v>
      </c>
      <c r="H351" s="639" t="s">
        <v>365</v>
      </c>
      <c r="I351" s="639" t="s">
        <v>568</v>
      </c>
      <c r="J351" s="639">
        <v>42</v>
      </c>
      <c r="K351" s="639">
        <v>0.76</v>
      </c>
      <c r="L351" s="639">
        <v>1.1599999999999999</v>
      </c>
      <c r="M351" s="639">
        <v>1.1299999999999999</v>
      </c>
      <c r="N351" s="639">
        <v>1.0900000000000001</v>
      </c>
      <c r="O351" s="639">
        <v>1.37</v>
      </c>
      <c r="P351" s="616">
        <v>27</v>
      </c>
    </row>
    <row r="352" spans="1:16">
      <c r="A352" s="639" t="s">
        <v>351</v>
      </c>
      <c r="B352" s="639" t="s">
        <v>306</v>
      </c>
      <c r="C352" s="639" t="s">
        <v>305</v>
      </c>
      <c r="D352" s="639" t="s">
        <v>561</v>
      </c>
      <c r="E352" s="639" t="s">
        <v>562</v>
      </c>
      <c r="F352" s="639">
        <v>6736</v>
      </c>
      <c r="G352" s="639">
        <v>203601</v>
      </c>
      <c r="H352" s="639" t="s">
        <v>365</v>
      </c>
      <c r="I352" s="639" t="s">
        <v>563</v>
      </c>
      <c r="J352" s="639">
        <v>46</v>
      </c>
      <c r="K352" s="639">
        <v>1.1599999999999999</v>
      </c>
      <c r="L352" s="639">
        <v>1.1200000000000001</v>
      </c>
      <c r="M352" s="639">
        <v>1.1399999999999999</v>
      </c>
      <c r="N352" s="639">
        <v>1.1499999999999999</v>
      </c>
      <c r="O352" s="639">
        <v>1.43</v>
      </c>
      <c r="P352" s="616">
        <v>27</v>
      </c>
    </row>
    <row r="353" spans="1:16">
      <c r="A353" s="639" t="s">
        <v>351</v>
      </c>
      <c r="B353" s="639" t="s">
        <v>306</v>
      </c>
      <c r="C353" s="639" t="s">
        <v>305</v>
      </c>
      <c r="D353" s="639" t="s">
        <v>561</v>
      </c>
      <c r="E353" s="639" t="s">
        <v>562</v>
      </c>
      <c r="F353" s="639">
        <v>6743</v>
      </c>
      <c r="G353" s="639">
        <v>203601</v>
      </c>
      <c r="H353" s="639" t="s">
        <v>365</v>
      </c>
      <c r="I353" s="639" t="s">
        <v>568</v>
      </c>
      <c r="J353" s="639">
        <v>40</v>
      </c>
      <c r="K353" s="639">
        <v>1.75</v>
      </c>
      <c r="L353" s="639">
        <v>1.05</v>
      </c>
      <c r="M353" s="639">
        <v>1.1499999999999999</v>
      </c>
      <c r="N353" s="639">
        <v>1.01</v>
      </c>
      <c r="O353" s="639">
        <v>1.4</v>
      </c>
      <c r="P353" s="616">
        <v>27</v>
      </c>
    </row>
    <row r="354" spans="1:16">
      <c r="A354" s="639" t="s">
        <v>412</v>
      </c>
      <c r="B354" s="639" t="s">
        <v>306</v>
      </c>
      <c r="C354" s="639" t="s">
        <v>305</v>
      </c>
      <c r="D354" s="639" t="s">
        <v>561</v>
      </c>
      <c r="E354" s="639" t="s">
        <v>562</v>
      </c>
      <c r="F354" s="639">
        <v>6870</v>
      </c>
      <c r="G354" s="639">
        <v>213001</v>
      </c>
      <c r="H354" s="639" t="s">
        <v>414</v>
      </c>
      <c r="I354" s="639" t="s">
        <v>568</v>
      </c>
      <c r="J354" s="639" t="s">
        <v>571</v>
      </c>
      <c r="K354" s="639">
        <v>0.95</v>
      </c>
      <c r="L354" s="639">
        <v>1.01</v>
      </c>
      <c r="M354" s="639">
        <v>1.01</v>
      </c>
      <c r="N354" s="639">
        <v>1.01</v>
      </c>
      <c r="O354" s="639">
        <v>1.39</v>
      </c>
      <c r="P354" s="616">
        <v>6</v>
      </c>
    </row>
    <row r="355" spans="1:16">
      <c r="A355" s="639" t="s">
        <v>412</v>
      </c>
      <c r="B355" s="639" t="s">
        <v>306</v>
      </c>
      <c r="C355" s="639" t="s">
        <v>305</v>
      </c>
      <c r="D355" s="639" t="s">
        <v>561</v>
      </c>
      <c r="E355" s="639" t="s">
        <v>562</v>
      </c>
      <c r="F355" s="639">
        <v>6872</v>
      </c>
      <c r="G355" s="639">
        <v>213001</v>
      </c>
      <c r="H355" s="639" t="s">
        <v>414</v>
      </c>
      <c r="I355" s="639" t="s">
        <v>568</v>
      </c>
      <c r="J355" s="639" t="s">
        <v>569</v>
      </c>
      <c r="K355" s="639">
        <v>0.97</v>
      </c>
      <c r="L355" s="639">
        <v>1</v>
      </c>
      <c r="M355" s="639">
        <v>1.01</v>
      </c>
      <c r="N355" s="639">
        <v>1.01</v>
      </c>
      <c r="O355" s="639">
        <v>1.4</v>
      </c>
      <c r="P355" s="616">
        <v>6</v>
      </c>
    </row>
    <row r="356" spans="1:16">
      <c r="A356" s="639" t="s">
        <v>412</v>
      </c>
      <c r="B356" s="639" t="s">
        <v>306</v>
      </c>
      <c r="C356" s="639" t="s">
        <v>305</v>
      </c>
      <c r="D356" s="639" t="s">
        <v>561</v>
      </c>
      <c r="E356" s="639" t="s">
        <v>562</v>
      </c>
      <c r="F356" s="639">
        <v>6874</v>
      </c>
      <c r="G356" s="639">
        <v>213001</v>
      </c>
      <c r="H356" s="639" t="s">
        <v>414</v>
      </c>
      <c r="I356" s="639" t="s">
        <v>563</v>
      </c>
      <c r="J356" s="639" t="s">
        <v>571</v>
      </c>
      <c r="K356" s="639">
        <v>0.76</v>
      </c>
      <c r="L356" s="639">
        <v>1.08</v>
      </c>
      <c r="M356" s="639">
        <v>1.05</v>
      </c>
      <c r="N356" s="639">
        <v>1.04</v>
      </c>
      <c r="O356" s="639">
        <v>1.39</v>
      </c>
      <c r="P356" s="616">
        <v>6</v>
      </c>
    </row>
    <row r="357" spans="1:16">
      <c r="A357" s="639" t="s">
        <v>412</v>
      </c>
      <c r="B357" s="639" t="s">
        <v>306</v>
      </c>
      <c r="C357" s="639" t="s">
        <v>305</v>
      </c>
      <c r="D357" s="639" t="s">
        <v>561</v>
      </c>
      <c r="E357" s="639" t="s">
        <v>562</v>
      </c>
      <c r="F357" s="639">
        <v>6875</v>
      </c>
      <c r="G357" s="639">
        <v>213001</v>
      </c>
      <c r="H357" s="639" t="s">
        <v>414</v>
      </c>
      <c r="I357" s="639" t="s">
        <v>563</v>
      </c>
      <c r="J357" s="639" t="s">
        <v>564</v>
      </c>
      <c r="K357" s="639">
        <v>0.81</v>
      </c>
      <c r="L357" s="639">
        <v>1.04</v>
      </c>
      <c r="M357" s="639">
        <v>1.07</v>
      </c>
      <c r="N357" s="639">
        <v>1.0900000000000001</v>
      </c>
      <c r="O357" s="639">
        <v>1.44</v>
      </c>
      <c r="P357" s="616">
        <v>6</v>
      </c>
    </row>
    <row r="358" spans="1:16">
      <c r="A358" s="639" t="s">
        <v>412</v>
      </c>
      <c r="B358" s="639" t="s">
        <v>306</v>
      </c>
      <c r="C358" s="639" t="s">
        <v>305</v>
      </c>
      <c r="D358" s="639" t="s">
        <v>561</v>
      </c>
      <c r="E358" s="639" t="s">
        <v>562</v>
      </c>
      <c r="F358" s="639">
        <v>6876</v>
      </c>
      <c r="G358" s="639">
        <v>213001</v>
      </c>
      <c r="H358" s="639" t="s">
        <v>414</v>
      </c>
      <c r="I358" s="639" t="s">
        <v>563</v>
      </c>
      <c r="J358" s="639" t="s">
        <v>569</v>
      </c>
      <c r="K358" s="639">
        <v>0.95</v>
      </c>
      <c r="L358" s="639">
        <v>1.02</v>
      </c>
      <c r="M358" s="639">
        <v>1.08</v>
      </c>
      <c r="N358" s="639">
        <v>1.1399999999999999</v>
      </c>
      <c r="O358" s="639">
        <v>1.37</v>
      </c>
      <c r="P358" s="616">
        <v>6</v>
      </c>
    </row>
    <row r="359" spans="1:16">
      <c r="A359" s="639" t="s">
        <v>412</v>
      </c>
      <c r="B359" s="639" t="s">
        <v>306</v>
      </c>
      <c r="C359" s="639" t="s">
        <v>305</v>
      </c>
      <c r="D359" s="639" t="s">
        <v>561</v>
      </c>
      <c r="E359" s="639" t="s">
        <v>562</v>
      </c>
      <c r="F359" s="639">
        <v>6873</v>
      </c>
      <c r="G359" s="639">
        <v>213001</v>
      </c>
      <c r="H359" s="639" t="s">
        <v>414</v>
      </c>
      <c r="I359" s="639" t="s">
        <v>563</v>
      </c>
      <c r="J359" s="639" t="s">
        <v>567</v>
      </c>
      <c r="K359" s="639">
        <v>2.12</v>
      </c>
      <c r="L359" s="639">
        <v>1.1200000000000001</v>
      </c>
      <c r="M359" s="639">
        <v>1.1200000000000001</v>
      </c>
      <c r="N359" s="639">
        <v>1.07</v>
      </c>
      <c r="O359" s="639">
        <v>1.42</v>
      </c>
      <c r="P359" s="616">
        <v>6</v>
      </c>
    </row>
    <row r="360" spans="1:16">
      <c r="A360" s="639" t="s">
        <v>412</v>
      </c>
      <c r="B360" s="639" t="s">
        <v>306</v>
      </c>
      <c r="C360" s="639" t="s">
        <v>305</v>
      </c>
      <c r="D360" s="639" t="s">
        <v>561</v>
      </c>
      <c r="E360" s="639" t="s">
        <v>562</v>
      </c>
      <c r="F360" s="639">
        <v>6871</v>
      </c>
      <c r="G360" s="639">
        <v>213001</v>
      </c>
      <c r="H360" s="639" t="s">
        <v>414</v>
      </c>
      <c r="I360" s="639" t="s">
        <v>568</v>
      </c>
      <c r="J360" s="639" t="s">
        <v>564</v>
      </c>
      <c r="K360" s="639">
        <v>0.98</v>
      </c>
      <c r="L360" s="639">
        <v>1.01</v>
      </c>
      <c r="M360" s="639">
        <v>1.1299999999999999</v>
      </c>
      <c r="N360" s="639">
        <v>1.0900000000000001</v>
      </c>
      <c r="O360" s="639">
        <v>1.4</v>
      </c>
      <c r="P360" s="616">
        <v>6</v>
      </c>
    </row>
    <row r="361" spans="1:16">
      <c r="A361" s="639" t="s">
        <v>412</v>
      </c>
      <c r="B361" s="639" t="s">
        <v>306</v>
      </c>
      <c r="C361" s="639" t="s">
        <v>305</v>
      </c>
      <c r="D361" s="639" t="s">
        <v>561</v>
      </c>
      <c r="E361" s="639" t="s">
        <v>562</v>
      </c>
      <c r="F361" s="639">
        <v>6869</v>
      </c>
      <c r="G361" s="639">
        <v>213001</v>
      </c>
      <c r="H361" s="639" t="s">
        <v>414</v>
      </c>
      <c r="I361" s="639" t="s">
        <v>568</v>
      </c>
      <c r="J361" s="639" t="s">
        <v>567</v>
      </c>
      <c r="K361" s="639">
        <v>0.82</v>
      </c>
      <c r="L361" s="639">
        <v>1</v>
      </c>
      <c r="M361" s="639">
        <v>1.18</v>
      </c>
      <c r="N361" s="639">
        <v>1.01</v>
      </c>
      <c r="O361" s="639">
        <v>1.42</v>
      </c>
      <c r="P361" s="616">
        <v>6</v>
      </c>
    </row>
    <row r="362" spans="1:16">
      <c r="A362" s="639" t="s">
        <v>412</v>
      </c>
      <c r="B362" s="639" t="s">
        <v>306</v>
      </c>
      <c r="C362" s="639" t="s">
        <v>305</v>
      </c>
      <c r="D362" s="639" t="s">
        <v>561</v>
      </c>
      <c r="E362" s="639" t="s">
        <v>562</v>
      </c>
      <c r="F362" s="639">
        <v>16458</v>
      </c>
      <c r="G362" s="639">
        <v>301103</v>
      </c>
      <c r="H362" s="639" t="s">
        <v>416</v>
      </c>
      <c r="I362" s="639" t="s">
        <v>563</v>
      </c>
      <c r="J362" s="639" t="s">
        <v>571</v>
      </c>
      <c r="K362" s="639">
        <v>0.84</v>
      </c>
      <c r="L362" s="639">
        <v>1.1100000000000001</v>
      </c>
      <c r="M362" s="639">
        <v>1.01</v>
      </c>
      <c r="N362" s="639">
        <v>1.01</v>
      </c>
      <c r="O362" s="639">
        <v>1.38</v>
      </c>
      <c r="P362" s="616">
        <v>5</v>
      </c>
    </row>
    <row r="363" spans="1:16">
      <c r="A363" s="639" t="s">
        <v>412</v>
      </c>
      <c r="B363" s="639" t="s">
        <v>306</v>
      </c>
      <c r="C363" s="639" t="s">
        <v>305</v>
      </c>
      <c r="D363" s="639" t="s">
        <v>561</v>
      </c>
      <c r="E363" s="639" t="s">
        <v>562</v>
      </c>
      <c r="F363" s="639">
        <v>16462</v>
      </c>
      <c r="G363" s="639">
        <v>301103</v>
      </c>
      <c r="H363" s="639" t="s">
        <v>416</v>
      </c>
      <c r="I363" s="639" t="s">
        <v>568</v>
      </c>
      <c r="J363" s="639" t="s">
        <v>571</v>
      </c>
      <c r="K363" s="639">
        <v>1.17</v>
      </c>
      <c r="L363" s="639">
        <v>1.01</v>
      </c>
      <c r="M363" s="639">
        <v>1.02</v>
      </c>
      <c r="N363" s="639">
        <v>1</v>
      </c>
      <c r="O363" s="639">
        <v>1.38</v>
      </c>
      <c r="P363" s="616">
        <v>5</v>
      </c>
    </row>
    <row r="364" spans="1:16">
      <c r="A364" s="639" t="s">
        <v>412</v>
      </c>
      <c r="B364" s="639" t="s">
        <v>306</v>
      </c>
      <c r="C364" s="639" t="s">
        <v>305</v>
      </c>
      <c r="D364" s="639" t="s">
        <v>561</v>
      </c>
      <c r="E364" s="639" t="s">
        <v>562</v>
      </c>
      <c r="F364" s="639">
        <v>16879</v>
      </c>
      <c r="G364" s="639">
        <v>301103</v>
      </c>
      <c r="H364" s="639" t="s">
        <v>416</v>
      </c>
      <c r="I364" s="639" t="s">
        <v>565</v>
      </c>
      <c r="J364" s="639" t="s">
        <v>567</v>
      </c>
      <c r="K364" s="639">
        <v>0.78</v>
      </c>
      <c r="L364" s="639">
        <v>1.06</v>
      </c>
      <c r="M364" s="639">
        <v>1.03</v>
      </c>
      <c r="N364" s="639">
        <v>1.1399999999999999</v>
      </c>
      <c r="O364" s="639">
        <v>1.39</v>
      </c>
      <c r="P364" s="616">
        <v>5</v>
      </c>
    </row>
    <row r="365" spans="1:16">
      <c r="A365" s="639" t="s">
        <v>412</v>
      </c>
      <c r="B365" s="639" t="s">
        <v>306</v>
      </c>
      <c r="C365" s="639" t="s">
        <v>305</v>
      </c>
      <c r="D365" s="639" t="s">
        <v>561</v>
      </c>
      <c r="E365" s="639" t="s">
        <v>562</v>
      </c>
      <c r="F365" s="639">
        <v>28975</v>
      </c>
      <c r="G365" s="639">
        <v>301103</v>
      </c>
      <c r="H365" s="639" t="s">
        <v>416</v>
      </c>
      <c r="I365" s="639" t="s">
        <v>598</v>
      </c>
      <c r="J365" s="639" t="s">
        <v>571</v>
      </c>
      <c r="K365" s="639">
        <v>0.81</v>
      </c>
      <c r="L365" s="639">
        <v>1.1200000000000001</v>
      </c>
      <c r="M365" s="639">
        <v>1.03</v>
      </c>
      <c r="N365" s="639">
        <v>1.05</v>
      </c>
      <c r="O365" s="639">
        <v>1.44</v>
      </c>
      <c r="P365" s="616">
        <v>5</v>
      </c>
    </row>
    <row r="366" spans="1:16">
      <c r="A366" s="639" t="s">
        <v>412</v>
      </c>
      <c r="B366" s="639" t="s">
        <v>306</v>
      </c>
      <c r="C366" s="639" t="s">
        <v>305</v>
      </c>
      <c r="D366" s="639" t="s">
        <v>561</v>
      </c>
      <c r="E366" s="639" t="s">
        <v>562</v>
      </c>
      <c r="F366" s="639">
        <v>16461</v>
      </c>
      <c r="G366" s="639">
        <v>301103</v>
      </c>
      <c r="H366" s="639" t="s">
        <v>416</v>
      </c>
      <c r="I366" s="639" t="s">
        <v>568</v>
      </c>
      <c r="J366" s="639" t="s">
        <v>567</v>
      </c>
      <c r="K366" s="639">
        <v>0.97</v>
      </c>
      <c r="L366" s="639">
        <v>1.01</v>
      </c>
      <c r="M366" s="639">
        <v>1.04</v>
      </c>
      <c r="N366" s="639">
        <v>1.04</v>
      </c>
      <c r="O366" s="639">
        <v>1.41</v>
      </c>
      <c r="P366" s="616">
        <v>5</v>
      </c>
    </row>
    <row r="367" spans="1:16">
      <c r="A367" s="639" t="s">
        <v>412</v>
      </c>
      <c r="B367" s="639" t="s">
        <v>306</v>
      </c>
      <c r="C367" s="639" t="s">
        <v>305</v>
      </c>
      <c r="D367" s="639" t="s">
        <v>561</v>
      </c>
      <c r="E367" s="639" t="s">
        <v>562</v>
      </c>
      <c r="F367" s="639">
        <v>16881</v>
      </c>
      <c r="G367" s="639">
        <v>301103</v>
      </c>
      <c r="H367" s="639" t="s">
        <v>416</v>
      </c>
      <c r="I367" s="639" t="s">
        <v>565</v>
      </c>
      <c r="J367" s="639" t="s">
        <v>564</v>
      </c>
      <c r="K367" s="639">
        <v>0.99</v>
      </c>
      <c r="L367" s="639">
        <v>1.1299999999999999</v>
      </c>
      <c r="M367" s="639">
        <v>1.04</v>
      </c>
      <c r="N367" s="639">
        <v>1.03</v>
      </c>
      <c r="O367" s="639">
        <v>1.35</v>
      </c>
      <c r="P367" s="616">
        <v>5</v>
      </c>
    </row>
    <row r="368" spans="1:16">
      <c r="A368" s="639" t="s">
        <v>412</v>
      </c>
      <c r="B368" s="639" t="s">
        <v>306</v>
      </c>
      <c r="C368" s="639" t="s">
        <v>305</v>
      </c>
      <c r="D368" s="639" t="s">
        <v>561</v>
      </c>
      <c r="E368" s="639" t="s">
        <v>562</v>
      </c>
      <c r="F368" s="639">
        <v>16464</v>
      </c>
      <c r="G368" s="639">
        <v>301103</v>
      </c>
      <c r="H368" s="639" t="s">
        <v>416</v>
      </c>
      <c r="I368" s="639" t="s">
        <v>568</v>
      </c>
      <c r="J368" s="639" t="s">
        <v>569</v>
      </c>
      <c r="K368" s="639">
        <v>0.76</v>
      </c>
      <c r="L368" s="639">
        <v>1.01</v>
      </c>
      <c r="M368" s="639">
        <v>1.06</v>
      </c>
      <c r="N368" s="639">
        <v>1.0900000000000001</v>
      </c>
      <c r="O368" s="639">
        <v>1.46</v>
      </c>
      <c r="P368" s="616">
        <v>5</v>
      </c>
    </row>
    <row r="369" spans="1:16">
      <c r="A369" s="639" t="s">
        <v>412</v>
      </c>
      <c r="B369" s="639" t="s">
        <v>306</v>
      </c>
      <c r="C369" s="639" t="s">
        <v>305</v>
      </c>
      <c r="D369" s="639" t="s">
        <v>561</v>
      </c>
      <c r="E369" s="639" t="s">
        <v>562</v>
      </c>
      <c r="F369" s="639">
        <v>28970</v>
      </c>
      <c r="G369" s="639">
        <v>301103</v>
      </c>
      <c r="H369" s="639" t="s">
        <v>416</v>
      </c>
      <c r="I369" s="639" t="s">
        <v>594</v>
      </c>
      <c r="J369" s="639" t="s">
        <v>567</v>
      </c>
      <c r="K369" s="639">
        <v>1.53</v>
      </c>
      <c r="L369" s="639">
        <v>1.1200000000000001</v>
      </c>
      <c r="M369" s="639">
        <v>1.07</v>
      </c>
      <c r="N369" s="639">
        <v>1.1499999999999999</v>
      </c>
      <c r="O369" s="639">
        <v>1.23</v>
      </c>
      <c r="P369" s="616">
        <v>5</v>
      </c>
    </row>
    <row r="370" spans="1:16">
      <c r="A370" s="639" t="s">
        <v>412</v>
      </c>
      <c r="B370" s="639" t="s">
        <v>306</v>
      </c>
      <c r="C370" s="639" t="s">
        <v>305</v>
      </c>
      <c r="D370" s="639" t="s">
        <v>561</v>
      </c>
      <c r="E370" s="639" t="s">
        <v>562</v>
      </c>
      <c r="F370" s="639">
        <v>28974</v>
      </c>
      <c r="G370" s="639">
        <v>301103</v>
      </c>
      <c r="H370" s="639" t="s">
        <v>416</v>
      </c>
      <c r="I370" s="639" t="s">
        <v>598</v>
      </c>
      <c r="J370" s="639" t="s">
        <v>567</v>
      </c>
      <c r="K370" s="639">
        <v>0.79</v>
      </c>
      <c r="L370" s="639">
        <v>1.03</v>
      </c>
      <c r="M370" s="639">
        <v>1.08</v>
      </c>
      <c r="N370" s="639">
        <v>1.05</v>
      </c>
      <c r="O370" s="639">
        <v>1.25</v>
      </c>
      <c r="P370" s="616">
        <v>5</v>
      </c>
    </row>
    <row r="371" spans="1:16">
      <c r="A371" s="639" t="s">
        <v>412</v>
      </c>
      <c r="B371" s="639" t="s">
        <v>306</v>
      </c>
      <c r="C371" s="639" t="s">
        <v>305</v>
      </c>
      <c r="D371" s="639" t="s">
        <v>561</v>
      </c>
      <c r="E371" s="639" t="s">
        <v>562</v>
      </c>
      <c r="F371" s="639">
        <v>28976</v>
      </c>
      <c r="G371" s="639">
        <v>301103</v>
      </c>
      <c r="H371" s="639" t="s">
        <v>416</v>
      </c>
      <c r="I371" s="639" t="s">
        <v>598</v>
      </c>
      <c r="J371" s="639" t="s">
        <v>564</v>
      </c>
      <c r="K371" s="639">
        <v>0.85</v>
      </c>
      <c r="L371" s="639">
        <v>1.1100000000000001</v>
      </c>
      <c r="M371" s="639">
        <v>1.08</v>
      </c>
      <c r="N371" s="639">
        <v>1.04</v>
      </c>
      <c r="O371" s="639">
        <v>1.51</v>
      </c>
      <c r="P371" s="616">
        <v>5</v>
      </c>
    </row>
    <row r="372" spans="1:16">
      <c r="A372" s="639" t="s">
        <v>412</v>
      </c>
      <c r="B372" s="639" t="s">
        <v>306</v>
      </c>
      <c r="C372" s="639" t="s">
        <v>305</v>
      </c>
      <c r="D372" s="639" t="s">
        <v>561</v>
      </c>
      <c r="E372" s="639" t="s">
        <v>562</v>
      </c>
      <c r="F372" s="639">
        <v>16460</v>
      </c>
      <c r="G372" s="639">
        <v>301103</v>
      </c>
      <c r="H372" s="639" t="s">
        <v>416</v>
      </c>
      <c r="I372" s="639" t="s">
        <v>563</v>
      </c>
      <c r="J372" s="639" t="s">
        <v>569</v>
      </c>
      <c r="K372" s="639">
        <v>0.98</v>
      </c>
      <c r="L372" s="639">
        <v>1.1200000000000001</v>
      </c>
      <c r="M372" s="639">
        <v>1.1100000000000001</v>
      </c>
      <c r="N372" s="639">
        <v>1.06</v>
      </c>
      <c r="O372" s="639">
        <v>1.32</v>
      </c>
      <c r="P372" s="616">
        <v>5</v>
      </c>
    </row>
    <row r="373" spans="1:16">
      <c r="A373" s="639" t="s">
        <v>412</v>
      </c>
      <c r="B373" s="639" t="s">
        <v>306</v>
      </c>
      <c r="C373" s="639" t="s">
        <v>305</v>
      </c>
      <c r="D373" s="639" t="s">
        <v>561</v>
      </c>
      <c r="E373" s="639" t="s">
        <v>562</v>
      </c>
      <c r="F373" s="639">
        <v>16459</v>
      </c>
      <c r="G373" s="639">
        <v>301103</v>
      </c>
      <c r="H373" s="639" t="s">
        <v>416</v>
      </c>
      <c r="I373" s="639" t="s">
        <v>563</v>
      </c>
      <c r="J373" s="639" t="s">
        <v>564</v>
      </c>
      <c r="K373" s="639">
        <v>0.95</v>
      </c>
      <c r="L373" s="639">
        <v>1.02</v>
      </c>
      <c r="M373" s="639">
        <v>1.1299999999999999</v>
      </c>
      <c r="N373" s="639">
        <v>1.02</v>
      </c>
      <c r="O373" s="639">
        <v>1.4</v>
      </c>
      <c r="P373" s="616">
        <v>5</v>
      </c>
    </row>
    <row r="374" spans="1:16">
      <c r="A374" s="639" t="s">
        <v>412</v>
      </c>
      <c r="B374" s="639" t="s">
        <v>306</v>
      </c>
      <c r="C374" s="639" t="s">
        <v>305</v>
      </c>
      <c r="D374" s="639" t="s">
        <v>561</v>
      </c>
      <c r="E374" s="639" t="s">
        <v>562</v>
      </c>
      <c r="F374" s="639">
        <v>16882</v>
      </c>
      <c r="G374" s="639">
        <v>301103</v>
      </c>
      <c r="H374" s="639" t="s">
        <v>416</v>
      </c>
      <c r="I374" s="639" t="s">
        <v>565</v>
      </c>
      <c r="J374" s="639" t="s">
        <v>569</v>
      </c>
      <c r="K374" s="639">
        <v>1.4</v>
      </c>
      <c r="L374" s="639">
        <v>1.04</v>
      </c>
      <c r="M374" s="639">
        <v>1.1399999999999999</v>
      </c>
      <c r="N374" s="639">
        <v>1.0900000000000001</v>
      </c>
      <c r="O374" s="639">
        <v>1.5</v>
      </c>
      <c r="P374" s="616">
        <v>5</v>
      </c>
    </row>
    <row r="375" spans="1:16">
      <c r="A375" s="639" t="s">
        <v>412</v>
      </c>
      <c r="B375" s="639" t="s">
        <v>306</v>
      </c>
      <c r="C375" s="639" t="s">
        <v>305</v>
      </c>
      <c r="D375" s="639" t="s">
        <v>561</v>
      </c>
      <c r="E375" s="639" t="s">
        <v>562</v>
      </c>
      <c r="F375" s="639">
        <v>28971</v>
      </c>
      <c r="G375" s="639">
        <v>301103</v>
      </c>
      <c r="H375" s="639" t="s">
        <v>416</v>
      </c>
      <c r="I375" s="639" t="s">
        <v>594</v>
      </c>
      <c r="J375" s="639" t="s">
        <v>571</v>
      </c>
      <c r="K375" s="639">
        <v>0.82</v>
      </c>
      <c r="L375" s="639">
        <v>1.07</v>
      </c>
      <c r="M375" s="639">
        <v>1.1399999999999999</v>
      </c>
      <c r="N375" s="639">
        <v>1.03</v>
      </c>
      <c r="O375" s="639">
        <v>1.46</v>
      </c>
      <c r="P375" s="616">
        <v>5</v>
      </c>
    </row>
    <row r="376" spans="1:16">
      <c r="A376" s="639" t="s">
        <v>412</v>
      </c>
      <c r="B376" s="639" t="s">
        <v>306</v>
      </c>
      <c r="C376" s="639" t="s">
        <v>305</v>
      </c>
      <c r="D376" s="639" t="s">
        <v>561</v>
      </c>
      <c r="E376" s="639" t="s">
        <v>562</v>
      </c>
      <c r="F376" s="639">
        <v>16456</v>
      </c>
      <c r="G376" s="639">
        <v>301103</v>
      </c>
      <c r="H376" s="639" t="s">
        <v>416</v>
      </c>
      <c r="I376" s="639" t="s">
        <v>566</v>
      </c>
      <c r="J376" s="639" t="s">
        <v>569</v>
      </c>
      <c r="K376" s="639">
        <v>0.78</v>
      </c>
      <c r="L376" s="639">
        <v>0.94</v>
      </c>
      <c r="M376" s="639">
        <v>1.1399999999999999</v>
      </c>
      <c r="N376" s="639">
        <v>1.23</v>
      </c>
      <c r="O376" s="639">
        <v>1.33</v>
      </c>
      <c r="P376" s="616">
        <v>5</v>
      </c>
    </row>
    <row r="377" spans="1:16">
      <c r="A377" s="639" t="s">
        <v>412</v>
      </c>
      <c r="B377" s="639" t="s">
        <v>306</v>
      </c>
      <c r="C377" s="639" t="s">
        <v>305</v>
      </c>
      <c r="D377" s="639" t="s">
        <v>561</v>
      </c>
      <c r="E377" s="639" t="s">
        <v>562</v>
      </c>
      <c r="F377" s="639">
        <v>16880</v>
      </c>
      <c r="G377" s="639">
        <v>301103</v>
      </c>
      <c r="H377" s="639" t="s">
        <v>416</v>
      </c>
      <c r="I377" s="639" t="s">
        <v>565</v>
      </c>
      <c r="J377" s="639" t="s">
        <v>571</v>
      </c>
      <c r="K377" s="639">
        <v>0.88</v>
      </c>
      <c r="L377" s="639">
        <v>1.02</v>
      </c>
      <c r="M377" s="639">
        <v>1.1499999999999999</v>
      </c>
      <c r="N377" s="639">
        <v>1.0900000000000001</v>
      </c>
      <c r="O377" s="639">
        <v>1.38</v>
      </c>
      <c r="P377" s="616">
        <v>5</v>
      </c>
    </row>
    <row r="378" spans="1:16">
      <c r="A378" s="639" t="s">
        <v>412</v>
      </c>
      <c r="B378" s="639" t="s">
        <v>306</v>
      </c>
      <c r="C378" s="639" t="s">
        <v>305</v>
      </c>
      <c r="D378" s="639" t="s">
        <v>561</v>
      </c>
      <c r="E378" s="639" t="s">
        <v>562</v>
      </c>
      <c r="F378" s="639">
        <v>16455</v>
      </c>
      <c r="G378" s="639">
        <v>301103</v>
      </c>
      <c r="H378" s="639" t="s">
        <v>416</v>
      </c>
      <c r="I378" s="639" t="s">
        <v>566</v>
      </c>
      <c r="J378" s="639" t="s">
        <v>564</v>
      </c>
      <c r="K378" s="639">
        <v>0.75</v>
      </c>
      <c r="L378" s="639">
        <v>1.1299999999999999</v>
      </c>
      <c r="M378" s="639">
        <v>1.1499999999999999</v>
      </c>
      <c r="N378" s="639">
        <v>1.1000000000000001</v>
      </c>
      <c r="O378" s="639">
        <v>1.48</v>
      </c>
      <c r="P378" s="616">
        <v>5</v>
      </c>
    </row>
    <row r="379" spans="1:16">
      <c r="A379" s="639" t="s">
        <v>412</v>
      </c>
      <c r="B379" s="639" t="s">
        <v>306</v>
      </c>
      <c r="C379" s="639" t="s">
        <v>305</v>
      </c>
      <c r="D379" s="639" t="s">
        <v>561</v>
      </c>
      <c r="E379" s="639" t="s">
        <v>562</v>
      </c>
      <c r="F379" s="639">
        <v>16453</v>
      </c>
      <c r="G379" s="639">
        <v>301103</v>
      </c>
      <c r="H379" s="639" t="s">
        <v>416</v>
      </c>
      <c r="I379" s="639" t="s">
        <v>566</v>
      </c>
      <c r="J379" s="639" t="s">
        <v>567</v>
      </c>
      <c r="K379" s="639">
        <v>1.52</v>
      </c>
      <c r="L379" s="639">
        <v>1</v>
      </c>
      <c r="M379" s="639">
        <v>1.1499999999999999</v>
      </c>
      <c r="N379" s="639">
        <v>1.1499999999999999</v>
      </c>
      <c r="O379" s="639">
        <v>1.45</v>
      </c>
      <c r="P379" s="616">
        <v>5</v>
      </c>
    </row>
    <row r="380" spans="1:16">
      <c r="A380" s="639" t="s">
        <v>412</v>
      </c>
      <c r="B380" s="639" t="s">
        <v>306</v>
      </c>
      <c r="C380" s="639" t="s">
        <v>305</v>
      </c>
      <c r="D380" s="639" t="s">
        <v>561</v>
      </c>
      <c r="E380" s="639" t="s">
        <v>562</v>
      </c>
      <c r="F380" s="639">
        <v>28977</v>
      </c>
      <c r="G380" s="639">
        <v>301103</v>
      </c>
      <c r="H380" s="639" t="s">
        <v>416</v>
      </c>
      <c r="I380" s="639" t="s">
        <v>598</v>
      </c>
      <c r="J380" s="639" t="s">
        <v>569</v>
      </c>
      <c r="K380" s="639">
        <v>0.82</v>
      </c>
      <c r="L380" s="639">
        <v>1.03</v>
      </c>
      <c r="M380" s="639">
        <v>1.1599999999999999</v>
      </c>
      <c r="N380" s="639">
        <v>1.1499999999999999</v>
      </c>
      <c r="O380" s="639">
        <v>1.46</v>
      </c>
      <c r="P380" s="616">
        <v>5</v>
      </c>
    </row>
    <row r="381" spans="1:16">
      <c r="A381" s="639" t="s">
        <v>412</v>
      </c>
      <c r="B381" s="639" t="s">
        <v>306</v>
      </c>
      <c r="C381" s="639" t="s">
        <v>305</v>
      </c>
      <c r="D381" s="639" t="s">
        <v>561</v>
      </c>
      <c r="E381" s="639" t="s">
        <v>562</v>
      </c>
      <c r="F381" s="639">
        <v>28972</v>
      </c>
      <c r="G381" s="639">
        <v>301103</v>
      </c>
      <c r="H381" s="639" t="s">
        <v>416</v>
      </c>
      <c r="I381" s="639" t="s">
        <v>594</v>
      </c>
      <c r="J381" s="639" t="s">
        <v>564</v>
      </c>
      <c r="K381" s="639">
        <v>1.1299999999999999</v>
      </c>
      <c r="L381" s="639">
        <v>1.05</v>
      </c>
      <c r="M381" s="639">
        <v>1.17</v>
      </c>
      <c r="N381" s="639">
        <v>1.0900000000000001</v>
      </c>
      <c r="O381" s="639">
        <v>1.5</v>
      </c>
      <c r="P381" s="616">
        <v>5</v>
      </c>
    </row>
    <row r="382" spans="1:16">
      <c r="A382" s="639" t="s">
        <v>412</v>
      </c>
      <c r="B382" s="639" t="s">
        <v>306</v>
      </c>
      <c r="C382" s="639" t="s">
        <v>305</v>
      </c>
      <c r="D382" s="639" t="s">
        <v>561</v>
      </c>
      <c r="E382" s="639" t="s">
        <v>562</v>
      </c>
      <c r="F382" s="639">
        <v>16463</v>
      </c>
      <c r="G382" s="639">
        <v>301103</v>
      </c>
      <c r="H382" s="639" t="s">
        <v>416</v>
      </c>
      <c r="I382" s="639" t="s">
        <v>568</v>
      </c>
      <c r="J382" s="639" t="s">
        <v>564</v>
      </c>
      <c r="K382" s="639">
        <v>0.79</v>
      </c>
      <c r="L382" s="639">
        <v>1.1599999999999999</v>
      </c>
      <c r="M382" s="639">
        <v>1.17</v>
      </c>
      <c r="N382" s="639">
        <v>1</v>
      </c>
      <c r="O382" s="639">
        <v>1.37</v>
      </c>
      <c r="P382" s="616">
        <v>5</v>
      </c>
    </row>
    <row r="383" spans="1:16">
      <c r="A383" s="639" t="s">
        <v>412</v>
      </c>
      <c r="B383" s="639" t="s">
        <v>306</v>
      </c>
      <c r="C383" s="639" t="s">
        <v>305</v>
      </c>
      <c r="D383" s="639" t="s">
        <v>561</v>
      </c>
      <c r="E383" s="639" t="s">
        <v>562</v>
      </c>
      <c r="F383" s="639">
        <v>16457</v>
      </c>
      <c r="G383" s="639">
        <v>301103</v>
      </c>
      <c r="H383" s="639" t="s">
        <v>416</v>
      </c>
      <c r="I383" s="639" t="s">
        <v>563</v>
      </c>
      <c r="J383" s="639" t="s">
        <v>567</v>
      </c>
      <c r="K383" s="639">
        <v>0.92</v>
      </c>
      <c r="L383" s="639">
        <v>1.02</v>
      </c>
      <c r="M383" s="639">
        <v>1.18</v>
      </c>
      <c r="N383" s="639">
        <v>1.04</v>
      </c>
      <c r="O383" s="639">
        <v>1.39</v>
      </c>
      <c r="P383" s="616">
        <v>5</v>
      </c>
    </row>
    <row r="384" spans="1:16">
      <c r="A384" s="639" t="s">
        <v>412</v>
      </c>
      <c r="B384" s="639" t="s">
        <v>306</v>
      </c>
      <c r="C384" s="639" t="s">
        <v>305</v>
      </c>
      <c r="D384" s="639" t="s">
        <v>561</v>
      </c>
      <c r="E384" s="639" t="s">
        <v>562</v>
      </c>
      <c r="F384" s="639">
        <v>16454</v>
      </c>
      <c r="G384" s="639">
        <v>301103</v>
      </c>
      <c r="H384" s="639" t="s">
        <v>416</v>
      </c>
      <c r="I384" s="639" t="s">
        <v>566</v>
      </c>
      <c r="J384" s="639" t="s">
        <v>571</v>
      </c>
      <c r="K384" s="639">
        <v>1.1299999999999999</v>
      </c>
      <c r="L384" s="639">
        <v>1.1599999999999999</v>
      </c>
      <c r="M384" s="639">
        <v>1.18</v>
      </c>
      <c r="N384" s="639">
        <v>1.05</v>
      </c>
      <c r="O384" s="639">
        <v>1.48</v>
      </c>
      <c r="P384" s="616">
        <v>5</v>
      </c>
    </row>
    <row r="385" spans="1:16">
      <c r="A385" s="639" t="s">
        <v>412</v>
      </c>
      <c r="B385" s="639" t="s">
        <v>306</v>
      </c>
      <c r="C385" s="639" t="s">
        <v>305</v>
      </c>
      <c r="D385" s="639" t="s">
        <v>561</v>
      </c>
      <c r="E385" s="639" t="s">
        <v>562</v>
      </c>
      <c r="F385" s="639">
        <v>28973</v>
      </c>
      <c r="G385" s="639">
        <v>301103</v>
      </c>
      <c r="H385" s="639" t="s">
        <v>416</v>
      </c>
      <c r="I385" s="639" t="s">
        <v>594</v>
      </c>
      <c r="J385" s="639" t="s">
        <v>569</v>
      </c>
      <c r="K385" s="639">
        <v>1.41</v>
      </c>
      <c r="L385" s="639">
        <v>1.01</v>
      </c>
      <c r="M385" s="639">
        <v>1.29</v>
      </c>
      <c r="N385" s="639">
        <v>1.1499999999999999</v>
      </c>
      <c r="O385" s="639">
        <v>1.6</v>
      </c>
      <c r="P385" s="616">
        <v>5</v>
      </c>
    </row>
    <row r="386" spans="1:16">
      <c r="A386" s="639" t="s">
        <v>412</v>
      </c>
      <c r="B386" s="639" t="s">
        <v>306</v>
      </c>
      <c r="C386" s="639" t="s">
        <v>305</v>
      </c>
      <c r="D386" s="639" t="s">
        <v>561</v>
      </c>
      <c r="E386" s="639" t="s">
        <v>562</v>
      </c>
      <c r="F386" s="639">
        <v>16758</v>
      </c>
      <c r="G386" s="639">
        <v>301502</v>
      </c>
      <c r="H386" s="639" t="s">
        <v>417</v>
      </c>
      <c r="I386" s="639" t="s">
        <v>568</v>
      </c>
      <c r="J386" s="639" t="s">
        <v>564</v>
      </c>
      <c r="K386" s="639">
        <v>1.42</v>
      </c>
      <c r="L386" s="639">
        <v>1.1100000000000001</v>
      </c>
      <c r="M386" s="639">
        <v>1.02</v>
      </c>
      <c r="N386" s="639">
        <v>1.1399999999999999</v>
      </c>
      <c r="O386" s="639">
        <v>1.46</v>
      </c>
      <c r="P386" s="616">
        <v>22</v>
      </c>
    </row>
    <row r="387" spans="1:16">
      <c r="A387" s="639" t="s">
        <v>412</v>
      </c>
      <c r="B387" s="639" t="s">
        <v>306</v>
      </c>
      <c r="C387" s="639" t="s">
        <v>305</v>
      </c>
      <c r="D387" s="639" t="s">
        <v>561</v>
      </c>
      <c r="E387" s="639" t="s">
        <v>562</v>
      </c>
      <c r="F387" s="639">
        <v>16865</v>
      </c>
      <c r="G387" s="639">
        <v>301502</v>
      </c>
      <c r="H387" s="639" t="s">
        <v>417</v>
      </c>
      <c r="I387" s="639" t="s">
        <v>565</v>
      </c>
      <c r="J387" s="639" t="s">
        <v>564</v>
      </c>
      <c r="K387" s="639">
        <v>0.86</v>
      </c>
      <c r="L387" s="639">
        <v>1.06</v>
      </c>
      <c r="M387" s="639">
        <v>1.02</v>
      </c>
      <c r="N387" s="639">
        <v>1.0900000000000001</v>
      </c>
      <c r="O387" s="639">
        <v>1.47</v>
      </c>
      <c r="P387" s="616">
        <v>22</v>
      </c>
    </row>
    <row r="388" spans="1:16">
      <c r="A388" s="639" t="s">
        <v>412</v>
      </c>
      <c r="B388" s="639" t="s">
        <v>306</v>
      </c>
      <c r="C388" s="639" t="s">
        <v>305</v>
      </c>
      <c r="D388" s="639" t="s">
        <v>561</v>
      </c>
      <c r="E388" s="639" t="s">
        <v>562</v>
      </c>
      <c r="F388" s="639">
        <v>16757</v>
      </c>
      <c r="G388" s="639">
        <v>301502</v>
      </c>
      <c r="H388" s="639" t="s">
        <v>417</v>
      </c>
      <c r="I388" s="639" t="s">
        <v>568</v>
      </c>
      <c r="J388" s="639" t="s">
        <v>571</v>
      </c>
      <c r="K388" s="639">
        <v>1.59</v>
      </c>
      <c r="L388" s="639">
        <v>1.05</v>
      </c>
      <c r="M388" s="639">
        <v>1.02</v>
      </c>
      <c r="N388" s="639">
        <v>1.0900000000000001</v>
      </c>
      <c r="O388" s="639">
        <v>1.46</v>
      </c>
      <c r="P388" s="616">
        <v>22</v>
      </c>
    </row>
    <row r="389" spans="1:16">
      <c r="A389" s="639" t="s">
        <v>412</v>
      </c>
      <c r="B389" s="639" t="s">
        <v>306</v>
      </c>
      <c r="C389" s="639" t="s">
        <v>305</v>
      </c>
      <c r="D389" s="639" t="s">
        <v>561</v>
      </c>
      <c r="E389" s="639" t="s">
        <v>562</v>
      </c>
      <c r="F389" s="639">
        <v>16756</v>
      </c>
      <c r="G389" s="639">
        <v>301502</v>
      </c>
      <c r="H389" s="639" t="s">
        <v>417</v>
      </c>
      <c r="I389" s="639" t="s">
        <v>568</v>
      </c>
      <c r="J389" s="639" t="s">
        <v>567</v>
      </c>
      <c r="K389" s="639">
        <v>2.09</v>
      </c>
      <c r="L389" s="639">
        <v>1.0900000000000001</v>
      </c>
      <c r="M389" s="639">
        <v>1.02</v>
      </c>
      <c r="N389" s="639">
        <v>1.05</v>
      </c>
      <c r="O389" s="639">
        <v>1.29</v>
      </c>
      <c r="P389" s="616">
        <v>22</v>
      </c>
    </row>
    <row r="390" spans="1:16">
      <c r="A390" s="639" t="s">
        <v>412</v>
      </c>
      <c r="B390" s="639" t="s">
        <v>306</v>
      </c>
      <c r="C390" s="639" t="s">
        <v>305</v>
      </c>
      <c r="D390" s="639" t="s">
        <v>561</v>
      </c>
      <c r="E390" s="639" t="s">
        <v>562</v>
      </c>
      <c r="F390" s="639">
        <v>16864</v>
      </c>
      <c r="G390" s="639">
        <v>301502</v>
      </c>
      <c r="H390" s="639" t="s">
        <v>417</v>
      </c>
      <c r="I390" s="639" t="s">
        <v>565</v>
      </c>
      <c r="J390" s="639" t="s">
        <v>571</v>
      </c>
      <c r="K390" s="639">
        <v>0.78</v>
      </c>
      <c r="L390" s="639">
        <v>1.18</v>
      </c>
      <c r="M390" s="639">
        <v>1.04</v>
      </c>
      <c r="N390" s="639">
        <v>1.18</v>
      </c>
      <c r="O390" s="639">
        <v>1.35</v>
      </c>
      <c r="P390" s="616">
        <v>22</v>
      </c>
    </row>
    <row r="391" spans="1:16">
      <c r="A391" s="639" t="s">
        <v>412</v>
      </c>
      <c r="B391" s="639" t="s">
        <v>306</v>
      </c>
      <c r="C391" s="639" t="s">
        <v>305</v>
      </c>
      <c r="D391" s="639" t="s">
        <v>561</v>
      </c>
      <c r="E391" s="639" t="s">
        <v>562</v>
      </c>
      <c r="F391" s="639">
        <v>16863</v>
      </c>
      <c r="G391" s="639">
        <v>301502</v>
      </c>
      <c r="H391" s="639" t="s">
        <v>417</v>
      </c>
      <c r="I391" s="639" t="s">
        <v>565</v>
      </c>
      <c r="J391" s="639" t="s">
        <v>567</v>
      </c>
      <c r="K391" s="639">
        <v>1.25</v>
      </c>
      <c r="L391" s="639">
        <v>1.1599999999999999</v>
      </c>
      <c r="M391" s="639">
        <v>1.05</v>
      </c>
      <c r="N391" s="639">
        <v>1.17</v>
      </c>
      <c r="O391" s="639">
        <v>1.29</v>
      </c>
      <c r="P391" s="616">
        <v>22</v>
      </c>
    </row>
    <row r="392" spans="1:16">
      <c r="A392" s="639" t="s">
        <v>412</v>
      </c>
      <c r="B392" s="639" t="s">
        <v>306</v>
      </c>
      <c r="C392" s="639" t="s">
        <v>305</v>
      </c>
      <c r="D392" s="639" t="s">
        <v>561</v>
      </c>
      <c r="E392" s="639" t="s">
        <v>562</v>
      </c>
      <c r="F392" s="639">
        <v>28985</v>
      </c>
      <c r="G392" s="639">
        <v>301502</v>
      </c>
      <c r="H392" s="639" t="s">
        <v>417</v>
      </c>
      <c r="I392" s="639" t="s">
        <v>598</v>
      </c>
      <c r="J392" s="639" t="s">
        <v>569</v>
      </c>
      <c r="K392" s="639">
        <v>1.4</v>
      </c>
      <c r="L392" s="639">
        <v>1.24</v>
      </c>
      <c r="M392" s="639">
        <v>1.07</v>
      </c>
      <c r="N392" s="639">
        <v>1.1399999999999999</v>
      </c>
      <c r="O392" s="639">
        <v>1.74</v>
      </c>
      <c r="P392" s="616">
        <v>22</v>
      </c>
    </row>
    <row r="393" spans="1:16">
      <c r="A393" s="639" t="s">
        <v>412</v>
      </c>
      <c r="B393" s="639" t="s">
        <v>306</v>
      </c>
      <c r="C393" s="639" t="s">
        <v>305</v>
      </c>
      <c r="D393" s="639" t="s">
        <v>561</v>
      </c>
      <c r="E393" s="639" t="s">
        <v>562</v>
      </c>
      <c r="F393" s="639">
        <v>28979</v>
      </c>
      <c r="G393" s="639">
        <v>301502</v>
      </c>
      <c r="H393" s="639" t="s">
        <v>417</v>
      </c>
      <c r="I393" s="639" t="s">
        <v>594</v>
      </c>
      <c r="J393" s="639" t="s">
        <v>571</v>
      </c>
      <c r="K393" s="639">
        <v>0.87</v>
      </c>
      <c r="L393" s="639">
        <v>1.1399999999999999</v>
      </c>
      <c r="M393" s="639">
        <v>1.08</v>
      </c>
      <c r="N393" s="639">
        <v>1.25</v>
      </c>
      <c r="O393" s="639">
        <v>1.39</v>
      </c>
      <c r="P393" s="616">
        <v>22</v>
      </c>
    </row>
    <row r="394" spans="1:16">
      <c r="A394" s="639" t="s">
        <v>412</v>
      </c>
      <c r="B394" s="639" t="s">
        <v>306</v>
      </c>
      <c r="C394" s="639" t="s">
        <v>305</v>
      </c>
      <c r="D394" s="639" t="s">
        <v>561</v>
      </c>
      <c r="E394" s="639" t="s">
        <v>562</v>
      </c>
      <c r="F394" s="639">
        <v>16751</v>
      </c>
      <c r="G394" s="639">
        <v>301502</v>
      </c>
      <c r="H394" s="639" t="s">
        <v>417</v>
      </c>
      <c r="I394" s="639" t="s">
        <v>563</v>
      </c>
      <c r="J394" s="639" t="s">
        <v>569</v>
      </c>
      <c r="K394" s="639">
        <v>1.25</v>
      </c>
      <c r="L394" s="639">
        <v>1.05</v>
      </c>
      <c r="M394" s="639">
        <v>1.08</v>
      </c>
      <c r="N394" s="639">
        <v>1.17</v>
      </c>
      <c r="O394" s="639">
        <v>1.56</v>
      </c>
      <c r="P394" s="616">
        <v>22</v>
      </c>
    </row>
    <row r="395" spans="1:16">
      <c r="A395" s="639" t="s">
        <v>412</v>
      </c>
      <c r="B395" s="639" t="s">
        <v>306</v>
      </c>
      <c r="C395" s="639" t="s">
        <v>305</v>
      </c>
      <c r="D395" s="639" t="s">
        <v>561</v>
      </c>
      <c r="E395" s="639" t="s">
        <v>562</v>
      </c>
      <c r="F395" s="639">
        <v>16866</v>
      </c>
      <c r="G395" s="639">
        <v>301502</v>
      </c>
      <c r="H395" s="639" t="s">
        <v>417</v>
      </c>
      <c r="I395" s="639" t="s">
        <v>565</v>
      </c>
      <c r="J395" s="639" t="s">
        <v>569</v>
      </c>
      <c r="K395" s="639">
        <v>2.75</v>
      </c>
      <c r="L395" s="639">
        <v>1.56</v>
      </c>
      <c r="M395" s="639">
        <v>1.08</v>
      </c>
      <c r="N395" s="639">
        <v>1.03</v>
      </c>
      <c r="O395" s="639">
        <v>1.1499999999999999</v>
      </c>
      <c r="P395" s="616">
        <v>22</v>
      </c>
    </row>
    <row r="396" spans="1:16">
      <c r="A396" s="639" t="s">
        <v>412</v>
      </c>
      <c r="B396" s="639" t="s">
        <v>306</v>
      </c>
      <c r="C396" s="639" t="s">
        <v>305</v>
      </c>
      <c r="D396" s="639" t="s">
        <v>561</v>
      </c>
      <c r="E396" s="639" t="s">
        <v>562</v>
      </c>
      <c r="F396" s="639">
        <v>16748</v>
      </c>
      <c r="G396" s="639">
        <v>301502</v>
      </c>
      <c r="H396" s="639" t="s">
        <v>417</v>
      </c>
      <c r="I396" s="639" t="s">
        <v>563</v>
      </c>
      <c r="J396" s="639" t="s">
        <v>567</v>
      </c>
      <c r="K396" s="639">
        <v>0.75</v>
      </c>
      <c r="L396" s="639">
        <v>1.05</v>
      </c>
      <c r="M396" s="639">
        <v>1.1200000000000001</v>
      </c>
      <c r="N396" s="639">
        <v>1.1399999999999999</v>
      </c>
      <c r="O396" s="639">
        <v>1.54</v>
      </c>
      <c r="P396" s="616">
        <v>22</v>
      </c>
    </row>
    <row r="397" spans="1:16">
      <c r="A397" s="639" t="s">
        <v>412</v>
      </c>
      <c r="B397" s="639" t="s">
        <v>306</v>
      </c>
      <c r="C397" s="639" t="s">
        <v>305</v>
      </c>
      <c r="D397" s="639" t="s">
        <v>561</v>
      </c>
      <c r="E397" s="639" t="s">
        <v>562</v>
      </c>
      <c r="F397" s="639">
        <v>28984</v>
      </c>
      <c r="G397" s="639">
        <v>301502</v>
      </c>
      <c r="H397" s="639" t="s">
        <v>417</v>
      </c>
      <c r="I397" s="639" t="s">
        <v>598</v>
      </c>
      <c r="J397" s="639" t="s">
        <v>564</v>
      </c>
      <c r="K397" s="639">
        <v>0.77</v>
      </c>
      <c r="L397" s="639">
        <v>1.1599999999999999</v>
      </c>
      <c r="M397" s="639">
        <v>1.1200000000000001</v>
      </c>
      <c r="N397" s="639">
        <v>1.02</v>
      </c>
      <c r="O397" s="639">
        <v>1.1399999999999999</v>
      </c>
      <c r="P397" s="616">
        <v>22</v>
      </c>
    </row>
    <row r="398" spans="1:16">
      <c r="A398" s="639" t="s">
        <v>412</v>
      </c>
      <c r="B398" s="639" t="s">
        <v>306</v>
      </c>
      <c r="C398" s="639" t="s">
        <v>305</v>
      </c>
      <c r="D398" s="639" t="s">
        <v>561</v>
      </c>
      <c r="E398" s="639" t="s">
        <v>562</v>
      </c>
      <c r="F398" s="639">
        <v>16749</v>
      </c>
      <c r="G398" s="639">
        <v>301502</v>
      </c>
      <c r="H398" s="639" t="s">
        <v>417</v>
      </c>
      <c r="I398" s="639" t="s">
        <v>563</v>
      </c>
      <c r="J398" s="639" t="s">
        <v>571</v>
      </c>
      <c r="K398" s="639">
        <v>1.37</v>
      </c>
      <c r="L398" s="639">
        <v>1.1100000000000001</v>
      </c>
      <c r="M398" s="639">
        <v>1.1299999999999999</v>
      </c>
      <c r="N398" s="639">
        <v>1.03</v>
      </c>
      <c r="O398" s="639">
        <v>1.41</v>
      </c>
      <c r="P398" s="616">
        <v>22</v>
      </c>
    </row>
    <row r="399" spans="1:16">
      <c r="A399" s="639" t="s">
        <v>412</v>
      </c>
      <c r="B399" s="639" t="s">
        <v>306</v>
      </c>
      <c r="C399" s="639" t="s">
        <v>305</v>
      </c>
      <c r="D399" s="639" t="s">
        <v>561</v>
      </c>
      <c r="E399" s="639" t="s">
        <v>562</v>
      </c>
      <c r="F399" s="639">
        <v>16750</v>
      </c>
      <c r="G399" s="639">
        <v>301502</v>
      </c>
      <c r="H399" s="639" t="s">
        <v>417</v>
      </c>
      <c r="I399" s="639" t="s">
        <v>563</v>
      </c>
      <c r="J399" s="639" t="s">
        <v>564</v>
      </c>
      <c r="K399" s="639">
        <v>0.78</v>
      </c>
      <c r="L399" s="639">
        <v>1.1499999999999999</v>
      </c>
      <c r="M399" s="639">
        <v>1.1499999999999999</v>
      </c>
      <c r="N399" s="639">
        <v>1.07</v>
      </c>
      <c r="O399" s="639">
        <v>1.48</v>
      </c>
      <c r="P399" s="616">
        <v>22</v>
      </c>
    </row>
    <row r="400" spans="1:16">
      <c r="A400" s="639" t="s">
        <v>412</v>
      </c>
      <c r="B400" s="639" t="s">
        <v>306</v>
      </c>
      <c r="C400" s="639" t="s">
        <v>305</v>
      </c>
      <c r="D400" s="639" t="s">
        <v>561</v>
      </c>
      <c r="E400" s="639" t="s">
        <v>562</v>
      </c>
      <c r="F400" s="639">
        <v>16759</v>
      </c>
      <c r="G400" s="639">
        <v>301502</v>
      </c>
      <c r="H400" s="639" t="s">
        <v>417</v>
      </c>
      <c r="I400" s="639" t="s">
        <v>568</v>
      </c>
      <c r="J400" s="639" t="s">
        <v>569</v>
      </c>
      <c r="K400" s="639">
        <v>1.33</v>
      </c>
      <c r="L400" s="639">
        <v>1.17</v>
      </c>
      <c r="M400" s="639">
        <v>1.1499999999999999</v>
      </c>
      <c r="N400" s="639">
        <v>1.06</v>
      </c>
      <c r="O400" s="639">
        <v>1.32</v>
      </c>
      <c r="P400" s="616">
        <v>22</v>
      </c>
    </row>
    <row r="401" spans="1:16">
      <c r="A401" s="639" t="s">
        <v>412</v>
      </c>
      <c r="B401" s="639" t="s">
        <v>306</v>
      </c>
      <c r="C401" s="639" t="s">
        <v>305</v>
      </c>
      <c r="D401" s="639" t="s">
        <v>561</v>
      </c>
      <c r="E401" s="639" t="s">
        <v>562</v>
      </c>
      <c r="F401" s="639">
        <v>28980</v>
      </c>
      <c r="G401" s="639">
        <v>301502</v>
      </c>
      <c r="H401" s="639" t="s">
        <v>417</v>
      </c>
      <c r="I401" s="639" t="s">
        <v>594</v>
      </c>
      <c r="J401" s="639" t="s">
        <v>564</v>
      </c>
      <c r="K401" s="639">
        <v>0.82</v>
      </c>
      <c r="L401" s="639">
        <v>1.21</v>
      </c>
      <c r="M401" s="639">
        <v>1.17</v>
      </c>
      <c r="N401" s="639">
        <v>1.1200000000000001</v>
      </c>
      <c r="O401" s="639">
        <v>1.53</v>
      </c>
      <c r="P401" s="616">
        <v>22</v>
      </c>
    </row>
    <row r="402" spans="1:16">
      <c r="A402" s="639" t="s">
        <v>412</v>
      </c>
      <c r="B402" s="639" t="s">
        <v>306</v>
      </c>
      <c r="C402" s="639" t="s">
        <v>305</v>
      </c>
      <c r="D402" s="639" t="s">
        <v>561</v>
      </c>
      <c r="E402" s="639" t="s">
        <v>562</v>
      </c>
      <c r="F402" s="639">
        <v>28982</v>
      </c>
      <c r="G402" s="639">
        <v>301502</v>
      </c>
      <c r="H402" s="639" t="s">
        <v>417</v>
      </c>
      <c r="I402" s="639" t="s">
        <v>598</v>
      </c>
      <c r="J402" s="639" t="s">
        <v>567</v>
      </c>
      <c r="K402" s="639">
        <v>3.28</v>
      </c>
      <c r="L402" s="639">
        <v>2.0699999999999998</v>
      </c>
      <c r="M402" s="639">
        <v>1.19</v>
      </c>
      <c r="N402" s="639">
        <v>1.0900000000000001</v>
      </c>
      <c r="O402" s="639">
        <v>1.67</v>
      </c>
      <c r="P402" s="616">
        <v>22</v>
      </c>
    </row>
    <row r="403" spans="1:16">
      <c r="A403" s="639" t="s">
        <v>412</v>
      </c>
      <c r="B403" s="639" t="s">
        <v>306</v>
      </c>
      <c r="C403" s="639" t="s">
        <v>305</v>
      </c>
      <c r="D403" s="639" t="s">
        <v>561</v>
      </c>
      <c r="E403" s="639" t="s">
        <v>562</v>
      </c>
      <c r="F403" s="639">
        <v>28983</v>
      </c>
      <c r="G403" s="639">
        <v>301502</v>
      </c>
      <c r="H403" s="639" t="s">
        <v>417</v>
      </c>
      <c r="I403" s="639" t="s">
        <v>598</v>
      </c>
      <c r="J403" s="639" t="s">
        <v>571</v>
      </c>
      <c r="K403" s="639">
        <v>0.86</v>
      </c>
      <c r="L403" s="639">
        <v>1.03</v>
      </c>
      <c r="M403" s="639">
        <v>1.19</v>
      </c>
      <c r="N403" s="639">
        <v>1.1200000000000001</v>
      </c>
      <c r="O403" s="639">
        <v>1.37</v>
      </c>
      <c r="P403" s="616">
        <v>22</v>
      </c>
    </row>
    <row r="404" spans="1:16">
      <c r="A404" s="639" t="s">
        <v>412</v>
      </c>
      <c r="B404" s="639" t="s">
        <v>306</v>
      </c>
      <c r="C404" s="639" t="s">
        <v>305</v>
      </c>
      <c r="D404" s="639" t="s">
        <v>561</v>
      </c>
      <c r="E404" s="639" t="s">
        <v>562</v>
      </c>
      <c r="F404" s="639">
        <v>28978</v>
      </c>
      <c r="G404" s="639">
        <v>301502</v>
      </c>
      <c r="H404" s="639" t="s">
        <v>417</v>
      </c>
      <c r="I404" s="639" t="s">
        <v>594</v>
      </c>
      <c r="J404" s="639" t="s">
        <v>567</v>
      </c>
      <c r="K404" s="639">
        <v>1.38</v>
      </c>
      <c r="L404" s="639">
        <v>1.44</v>
      </c>
      <c r="M404" s="639">
        <v>1.48</v>
      </c>
      <c r="N404" s="639">
        <v>1.08</v>
      </c>
      <c r="O404" s="639">
        <v>1.31</v>
      </c>
      <c r="P404" s="616">
        <v>22</v>
      </c>
    </row>
    <row r="405" spans="1:16">
      <c r="A405" s="639" t="s">
        <v>412</v>
      </c>
      <c r="B405" s="639" t="s">
        <v>306</v>
      </c>
      <c r="C405" s="639" t="s">
        <v>305</v>
      </c>
      <c r="D405" s="639" t="s">
        <v>561</v>
      </c>
      <c r="E405" s="639" t="s">
        <v>562</v>
      </c>
      <c r="F405" s="639">
        <v>28981</v>
      </c>
      <c r="G405" s="639">
        <v>301502</v>
      </c>
      <c r="H405" s="639" t="s">
        <v>417</v>
      </c>
      <c r="I405" s="639" t="s">
        <v>594</v>
      </c>
      <c r="J405" s="639" t="s">
        <v>569</v>
      </c>
      <c r="K405" s="639">
        <v>4.9000000000000004</v>
      </c>
      <c r="L405" s="639">
        <v>3.7</v>
      </c>
      <c r="M405" s="639">
        <v>2.5</v>
      </c>
      <c r="N405" s="639">
        <v>1.52</v>
      </c>
      <c r="O405" s="639">
        <v>1.08</v>
      </c>
      <c r="P405" s="616">
        <v>22</v>
      </c>
    </row>
    <row r="406" spans="1:16">
      <c r="A406" s="639" t="s">
        <v>412</v>
      </c>
      <c r="B406" s="639" t="s">
        <v>306</v>
      </c>
      <c r="C406" s="639" t="s">
        <v>305</v>
      </c>
      <c r="D406" s="639" t="s">
        <v>561</v>
      </c>
      <c r="E406" s="639" t="s">
        <v>562</v>
      </c>
      <c r="F406" s="639">
        <v>28987</v>
      </c>
      <c r="G406" s="639">
        <v>301701</v>
      </c>
      <c r="H406" s="639" t="s">
        <v>420</v>
      </c>
      <c r="I406" s="639" t="s">
        <v>594</v>
      </c>
      <c r="J406" s="639" t="s">
        <v>571</v>
      </c>
      <c r="K406" s="639">
        <v>1.1599999999999999</v>
      </c>
      <c r="L406" s="639">
        <v>1.1299999999999999</v>
      </c>
      <c r="M406" s="639">
        <v>1.02</v>
      </c>
      <c r="N406" s="639">
        <v>1.05</v>
      </c>
      <c r="O406" s="639">
        <v>1.37</v>
      </c>
      <c r="P406" s="616">
        <v>16</v>
      </c>
    </row>
    <row r="407" spans="1:16">
      <c r="A407" s="639" t="s">
        <v>412</v>
      </c>
      <c r="B407" s="639" t="s">
        <v>306</v>
      </c>
      <c r="C407" s="639" t="s">
        <v>305</v>
      </c>
      <c r="D407" s="639" t="s">
        <v>561</v>
      </c>
      <c r="E407" s="639" t="s">
        <v>562</v>
      </c>
      <c r="F407" s="639">
        <v>16442</v>
      </c>
      <c r="G407" s="639">
        <v>301701</v>
      </c>
      <c r="H407" s="639" t="s">
        <v>420</v>
      </c>
      <c r="I407" s="639" t="s">
        <v>568</v>
      </c>
      <c r="J407" s="639" t="s">
        <v>571</v>
      </c>
      <c r="K407" s="639">
        <v>0.82</v>
      </c>
      <c r="L407" s="639">
        <v>1.01</v>
      </c>
      <c r="M407" s="639">
        <v>1.03</v>
      </c>
      <c r="N407" s="639">
        <v>1</v>
      </c>
      <c r="O407" s="639">
        <v>1.43</v>
      </c>
      <c r="P407" s="616">
        <v>16</v>
      </c>
    </row>
    <row r="408" spans="1:16">
      <c r="A408" s="639" t="s">
        <v>412</v>
      </c>
      <c r="B408" s="639" t="s">
        <v>306</v>
      </c>
      <c r="C408" s="639" t="s">
        <v>305</v>
      </c>
      <c r="D408" s="639" t="s">
        <v>561</v>
      </c>
      <c r="E408" s="639" t="s">
        <v>562</v>
      </c>
      <c r="F408" s="639">
        <v>28990</v>
      </c>
      <c r="G408" s="639">
        <v>301701</v>
      </c>
      <c r="H408" s="639" t="s">
        <v>420</v>
      </c>
      <c r="I408" s="639" t="s">
        <v>598</v>
      </c>
      <c r="J408" s="639" t="s">
        <v>567</v>
      </c>
      <c r="K408" s="639">
        <v>0.82</v>
      </c>
      <c r="L408" s="639">
        <v>1</v>
      </c>
      <c r="M408" s="639">
        <v>1.04</v>
      </c>
      <c r="N408" s="639">
        <v>1.01</v>
      </c>
      <c r="O408" s="639">
        <v>1.52</v>
      </c>
      <c r="P408" s="616">
        <v>16</v>
      </c>
    </row>
    <row r="409" spans="1:16">
      <c r="A409" s="639" t="s">
        <v>412</v>
      </c>
      <c r="B409" s="639" t="s">
        <v>306</v>
      </c>
      <c r="C409" s="639" t="s">
        <v>305</v>
      </c>
      <c r="D409" s="639" t="s">
        <v>561</v>
      </c>
      <c r="E409" s="639" t="s">
        <v>562</v>
      </c>
      <c r="F409" s="639">
        <v>16856</v>
      </c>
      <c r="G409" s="639">
        <v>301701</v>
      </c>
      <c r="H409" s="639" t="s">
        <v>420</v>
      </c>
      <c r="I409" s="639" t="s">
        <v>565</v>
      </c>
      <c r="J409" s="639" t="s">
        <v>571</v>
      </c>
      <c r="K409" s="639">
        <v>0.84</v>
      </c>
      <c r="L409" s="639">
        <v>1.1499999999999999</v>
      </c>
      <c r="M409" s="639">
        <v>1.05</v>
      </c>
      <c r="N409" s="639">
        <v>1.05</v>
      </c>
      <c r="O409" s="639">
        <v>1.38</v>
      </c>
      <c r="P409" s="616">
        <v>16</v>
      </c>
    </row>
    <row r="410" spans="1:16">
      <c r="A410" s="639" t="s">
        <v>412</v>
      </c>
      <c r="B410" s="639" t="s">
        <v>306</v>
      </c>
      <c r="C410" s="639" t="s">
        <v>305</v>
      </c>
      <c r="D410" s="639" t="s">
        <v>561</v>
      </c>
      <c r="E410" s="639" t="s">
        <v>562</v>
      </c>
      <c r="F410" s="639">
        <v>16855</v>
      </c>
      <c r="G410" s="639">
        <v>301701</v>
      </c>
      <c r="H410" s="639" t="s">
        <v>420</v>
      </c>
      <c r="I410" s="639" t="s">
        <v>565</v>
      </c>
      <c r="J410" s="639" t="s">
        <v>567</v>
      </c>
      <c r="K410" s="639">
        <v>0.8</v>
      </c>
      <c r="L410" s="639">
        <v>1.1200000000000001</v>
      </c>
      <c r="M410" s="639">
        <v>1.05</v>
      </c>
      <c r="N410" s="639">
        <v>1.03</v>
      </c>
      <c r="O410" s="639">
        <v>1.36</v>
      </c>
      <c r="P410" s="616">
        <v>16</v>
      </c>
    </row>
    <row r="411" spans="1:16">
      <c r="A411" s="639" t="s">
        <v>412</v>
      </c>
      <c r="B411" s="639" t="s">
        <v>306</v>
      </c>
      <c r="C411" s="639" t="s">
        <v>305</v>
      </c>
      <c r="D411" s="639" t="s">
        <v>561</v>
      </c>
      <c r="E411" s="639" t="s">
        <v>562</v>
      </c>
      <c r="F411" s="639">
        <v>16437</v>
      </c>
      <c r="G411" s="639">
        <v>301701</v>
      </c>
      <c r="H411" s="639" t="s">
        <v>420</v>
      </c>
      <c r="I411" s="639" t="s">
        <v>563</v>
      </c>
      <c r="J411" s="639" t="s">
        <v>567</v>
      </c>
      <c r="K411" s="639">
        <v>0.93</v>
      </c>
      <c r="L411" s="639">
        <v>1.01</v>
      </c>
      <c r="M411" s="639">
        <v>1.07</v>
      </c>
      <c r="N411" s="639">
        <v>1.05</v>
      </c>
      <c r="O411" s="639">
        <v>1.41</v>
      </c>
      <c r="P411" s="616">
        <v>16</v>
      </c>
    </row>
    <row r="412" spans="1:16">
      <c r="A412" s="639" t="s">
        <v>412</v>
      </c>
      <c r="B412" s="639" t="s">
        <v>306</v>
      </c>
      <c r="C412" s="639" t="s">
        <v>305</v>
      </c>
      <c r="D412" s="639" t="s">
        <v>561</v>
      </c>
      <c r="E412" s="639" t="s">
        <v>562</v>
      </c>
      <c r="F412" s="639">
        <v>16439</v>
      </c>
      <c r="G412" s="639">
        <v>301701</v>
      </c>
      <c r="H412" s="639" t="s">
        <v>420</v>
      </c>
      <c r="I412" s="639" t="s">
        <v>563</v>
      </c>
      <c r="J412" s="639" t="s">
        <v>564</v>
      </c>
      <c r="K412" s="639">
        <v>1.07</v>
      </c>
      <c r="L412" s="639">
        <v>1.01</v>
      </c>
      <c r="M412" s="639">
        <v>1.07</v>
      </c>
      <c r="N412" s="639">
        <v>1.1399999999999999</v>
      </c>
      <c r="O412" s="639">
        <v>1.36</v>
      </c>
      <c r="P412" s="616">
        <v>16</v>
      </c>
    </row>
    <row r="413" spans="1:16">
      <c r="A413" s="639" t="s">
        <v>412</v>
      </c>
      <c r="B413" s="639" t="s">
        <v>306</v>
      </c>
      <c r="C413" s="639" t="s">
        <v>305</v>
      </c>
      <c r="D413" s="639" t="s">
        <v>561</v>
      </c>
      <c r="E413" s="639" t="s">
        <v>562</v>
      </c>
      <c r="F413" s="639">
        <v>28986</v>
      </c>
      <c r="G413" s="639">
        <v>301701</v>
      </c>
      <c r="H413" s="639" t="s">
        <v>420</v>
      </c>
      <c r="I413" s="639" t="s">
        <v>594</v>
      </c>
      <c r="J413" s="639" t="s">
        <v>567</v>
      </c>
      <c r="K413" s="639">
        <v>1.46</v>
      </c>
      <c r="L413" s="639">
        <v>1.08</v>
      </c>
      <c r="M413" s="639">
        <v>1.0900000000000001</v>
      </c>
      <c r="N413" s="639">
        <v>1.18</v>
      </c>
      <c r="O413" s="639">
        <v>1.31</v>
      </c>
      <c r="P413" s="616">
        <v>16</v>
      </c>
    </row>
    <row r="414" spans="1:16">
      <c r="A414" s="639" t="s">
        <v>412</v>
      </c>
      <c r="B414" s="639" t="s">
        <v>306</v>
      </c>
      <c r="C414" s="639" t="s">
        <v>305</v>
      </c>
      <c r="D414" s="639" t="s">
        <v>561</v>
      </c>
      <c r="E414" s="639" t="s">
        <v>562</v>
      </c>
      <c r="F414" s="639">
        <v>28988</v>
      </c>
      <c r="G414" s="639">
        <v>301701</v>
      </c>
      <c r="H414" s="639" t="s">
        <v>420</v>
      </c>
      <c r="I414" s="639" t="s">
        <v>594</v>
      </c>
      <c r="J414" s="639" t="s">
        <v>564</v>
      </c>
      <c r="K414" s="639">
        <v>0.87</v>
      </c>
      <c r="L414" s="639">
        <v>1.05</v>
      </c>
      <c r="M414" s="639">
        <v>1.1499999999999999</v>
      </c>
      <c r="N414" s="639">
        <v>1.1499999999999999</v>
      </c>
      <c r="O414" s="639">
        <v>1.38</v>
      </c>
      <c r="P414" s="616">
        <v>16</v>
      </c>
    </row>
    <row r="415" spans="1:16">
      <c r="A415" s="639" t="s">
        <v>412</v>
      </c>
      <c r="B415" s="639" t="s">
        <v>306</v>
      </c>
      <c r="C415" s="639" t="s">
        <v>305</v>
      </c>
      <c r="D415" s="639" t="s">
        <v>561</v>
      </c>
      <c r="E415" s="639" t="s">
        <v>562</v>
      </c>
      <c r="F415" s="639">
        <v>16443</v>
      </c>
      <c r="G415" s="639">
        <v>301701</v>
      </c>
      <c r="H415" s="639" t="s">
        <v>420</v>
      </c>
      <c r="I415" s="639" t="s">
        <v>568</v>
      </c>
      <c r="J415" s="639" t="s">
        <v>564</v>
      </c>
      <c r="K415" s="639">
        <v>0.76</v>
      </c>
      <c r="L415" s="639">
        <v>1.03</v>
      </c>
      <c r="M415" s="639">
        <v>1.17</v>
      </c>
      <c r="N415" s="639">
        <v>1.03</v>
      </c>
      <c r="O415" s="639">
        <v>1.41</v>
      </c>
      <c r="P415" s="616">
        <v>16</v>
      </c>
    </row>
    <row r="416" spans="1:16">
      <c r="A416" s="639" t="s">
        <v>412</v>
      </c>
      <c r="B416" s="639" t="s">
        <v>306</v>
      </c>
      <c r="C416" s="639" t="s">
        <v>305</v>
      </c>
      <c r="D416" s="639" t="s">
        <v>561</v>
      </c>
      <c r="E416" s="639" t="s">
        <v>562</v>
      </c>
      <c r="F416" s="639">
        <v>16441</v>
      </c>
      <c r="G416" s="639">
        <v>301701</v>
      </c>
      <c r="H416" s="639" t="s">
        <v>420</v>
      </c>
      <c r="I416" s="639" t="s">
        <v>568</v>
      </c>
      <c r="J416" s="639" t="s">
        <v>567</v>
      </c>
      <c r="K416" s="639">
        <v>1.46</v>
      </c>
      <c r="L416" s="639">
        <v>1.03</v>
      </c>
      <c r="M416" s="639">
        <v>1.17</v>
      </c>
      <c r="N416" s="639">
        <v>1.01</v>
      </c>
      <c r="O416" s="639">
        <v>1.35</v>
      </c>
      <c r="P416" s="616">
        <v>16</v>
      </c>
    </row>
    <row r="417" spans="1:16">
      <c r="A417" s="639" t="s">
        <v>412</v>
      </c>
      <c r="B417" s="639" t="s">
        <v>306</v>
      </c>
      <c r="C417" s="639" t="s">
        <v>305</v>
      </c>
      <c r="D417" s="639" t="s">
        <v>561</v>
      </c>
      <c r="E417" s="639" t="s">
        <v>562</v>
      </c>
      <c r="F417" s="639">
        <v>28991</v>
      </c>
      <c r="G417" s="639">
        <v>301701</v>
      </c>
      <c r="H417" s="639" t="s">
        <v>420</v>
      </c>
      <c r="I417" s="639" t="s">
        <v>598</v>
      </c>
      <c r="J417" s="639" t="s">
        <v>571</v>
      </c>
      <c r="K417" s="639">
        <v>0.82</v>
      </c>
      <c r="L417" s="639">
        <v>1.03</v>
      </c>
      <c r="M417" s="639">
        <v>1.17</v>
      </c>
      <c r="N417" s="639">
        <v>1.1399999999999999</v>
      </c>
      <c r="O417" s="639">
        <v>1.49</v>
      </c>
      <c r="P417" s="616">
        <v>16</v>
      </c>
    </row>
    <row r="418" spans="1:16">
      <c r="A418" s="639" t="s">
        <v>412</v>
      </c>
      <c r="B418" s="639" t="s">
        <v>306</v>
      </c>
      <c r="C418" s="639" t="s">
        <v>305</v>
      </c>
      <c r="D418" s="639" t="s">
        <v>561</v>
      </c>
      <c r="E418" s="639" t="s">
        <v>562</v>
      </c>
      <c r="F418" s="639">
        <v>16438</v>
      </c>
      <c r="G418" s="639">
        <v>301701</v>
      </c>
      <c r="H418" s="639" t="s">
        <v>420</v>
      </c>
      <c r="I418" s="639" t="s">
        <v>563</v>
      </c>
      <c r="J418" s="639" t="s">
        <v>571</v>
      </c>
      <c r="K418" s="639">
        <v>0.89</v>
      </c>
      <c r="L418" s="639">
        <v>1.03</v>
      </c>
      <c r="M418" s="639">
        <v>1.17</v>
      </c>
      <c r="N418" s="639">
        <v>1.0900000000000001</v>
      </c>
      <c r="O418" s="639">
        <v>1.42</v>
      </c>
      <c r="P418" s="616">
        <v>16</v>
      </c>
    </row>
    <row r="419" spans="1:16">
      <c r="A419" s="639" t="s">
        <v>412</v>
      </c>
      <c r="B419" s="639" t="s">
        <v>306</v>
      </c>
      <c r="C419" s="639" t="s">
        <v>305</v>
      </c>
      <c r="D419" s="639" t="s">
        <v>561</v>
      </c>
      <c r="E419" s="639" t="s">
        <v>562</v>
      </c>
      <c r="F419" s="639">
        <v>16857</v>
      </c>
      <c r="G419" s="639">
        <v>301701</v>
      </c>
      <c r="H419" s="639" t="s">
        <v>420</v>
      </c>
      <c r="I419" s="639" t="s">
        <v>565</v>
      </c>
      <c r="J419" s="639" t="s">
        <v>564</v>
      </c>
      <c r="K419" s="639">
        <v>0.79</v>
      </c>
      <c r="L419" s="639">
        <v>1.1100000000000001</v>
      </c>
      <c r="M419" s="639">
        <v>1.17</v>
      </c>
      <c r="N419" s="639">
        <v>1.0900000000000001</v>
      </c>
      <c r="O419" s="639">
        <v>1.39</v>
      </c>
      <c r="P419" s="616">
        <v>16</v>
      </c>
    </row>
    <row r="420" spans="1:16">
      <c r="A420" s="639" t="s">
        <v>412</v>
      </c>
      <c r="B420" s="639" t="s">
        <v>306</v>
      </c>
      <c r="C420" s="639" t="s">
        <v>305</v>
      </c>
      <c r="D420" s="639" t="s">
        <v>561</v>
      </c>
      <c r="E420" s="639" t="s">
        <v>562</v>
      </c>
      <c r="F420" s="639">
        <v>28992</v>
      </c>
      <c r="G420" s="639">
        <v>301701</v>
      </c>
      <c r="H420" s="639" t="s">
        <v>420</v>
      </c>
      <c r="I420" s="639" t="s">
        <v>598</v>
      </c>
      <c r="J420" s="639" t="s">
        <v>564</v>
      </c>
      <c r="K420" s="639">
        <v>1.27</v>
      </c>
      <c r="L420" s="639">
        <v>1.1299999999999999</v>
      </c>
      <c r="M420" s="639">
        <v>1.17</v>
      </c>
      <c r="N420" s="639">
        <v>1.05</v>
      </c>
      <c r="O420" s="639">
        <v>1.41</v>
      </c>
      <c r="P420" s="616">
        <v>16</v>
      </c>
    </row>
    <row r="421" spans="1:16">
      <c r="A421" s="639" t="s">
        <v>412</v>
      </c>
      <c r="B421" s="639" t="s">
        <v>306</v>
      </c>
      <c r="C421" s="639" t="s">
        <v>305</v>
      </c>
      <c r="D421" s="639" t="s">
        <v>561</v>
      </c>
      <c r="E421" s="639" t="s">
        <v>562</v>
      </c>
      <c r="F421" s="639">
        <v>16715</v>
      </c>
      <c r="G421" s="639">
        <v>302003</v>
      </c>
      <c r="H421" s="639" t="s">
        <v>422</v>
      </c>
      <c r="I421" s="639" t="s">
        <v>568</v>
      </c>
      <c r="J421" s="639" t="s">
        <v>564</v>
      </c>
      <c r="K421" s="639">
        <v>0.78</v>
      </c>
      <c r="L421" s="639">
        <v>1.01</v>
      </c>
      <c r="M421" s="639">
        <v>1.05</v>
      </c>
      <c r="N421" s="639">
        <v>1.04</v>
      </c>
      <c r="O421" s="639">
        <v>1.38</v>
      </c>
      <c r="P421" s="616">
        <v>23</v>
      </c>
    </row>
    <row r="422" spans="1:16">
      <c r="A422" s="639" t="s">
        <v>412</v>
      </c>
      <c r="B422" s="639" t="s">
        <v>306</v>
      </c>
      <c r="C422" s="639" t="s">
        <v>305</v>
      </c>
      <c r="D422" s="639" t="s">
        <v>561</v>
      </c>
      <c r="E422" s="639" t="s">
        <v>562</v>
      </c>
      <c r="F422" s="639">
        <v>7109</v>
      </c>
      <c r="G422" s="639">
        <v>302003</v>
      </c>
      <c r="H422" s="639" t="s">
        <v>422</v>
      </c>
      <c r="I422" s="639" t="s">
        <v>563</v>
      </c>
      <c r="J422" s="639" t="s">
        <v>571</v>
      </c>
      <c r="K422" s="639">
        <v>0.77</v>
      </c>
      <c r="L422" s="639">
        <v>1.08</v>
      </c>
      <c r="M422" s="639">
        <v>1.07</v>
      </c>
      <c r="N422" s="639">
        <v>1.0900000000000001</v>
      </c>
      <c r="O422" s="639">
        <v>1.46</v>
      </c>
      <c r="P422" s="616">
        <v>23</v>
      </c>
    </row>
    <row r="423" spans="1:16">
      <c r="A423" s="639" t="s">
        <v>412</v>
      </c>
      <c r="B423" s="639" t="s">
        <v>306</v>
      </c>
      <c r="C423" s="639" t="s">
        <v>305</v>
      </c>
      <c r="D423" s="639" t="s">
        <v>561</v>
      </c>
      <c r="E423" s="639" t="s">
        <v>562</v>
      </c>
      <c r="F423" s="639">
        <v>7111</v>
      </c>
      <c r="G423" s="639">
        <v>302003</v>
      </c>
      <c r="H423" s="639" t="s">
        <v>422</v>
      </c>
      <c r="I423" s="639" t="s">
        <v>563</v>
      </c>
      <c r="J423" s="639" t="s">
        <v>569</v>
      </c>
      <c r="K423" s="639">
        <v>1.5</v>
      </c>
      <c r="L423" s="639">
        <v>1.19</v>
      </c>
      <c r="M423" s="639">
        <v>1.1200000000000001</v>
      </c>
      <c r="N423" s="639">
        <v>1.22</v>
      </c>
      <c r="O423" s="639">
        <v>1.23</v>
      </c>
      <c r="P423" s="616">
        <v>23</v>
      </c>
    </row>
    <row r="424" spans="1:16">
      <c r="A424" s="639" t="s">
        <v>412</v>
      </c>
      <c r="B424" s="639" t="s">
        <v>306</v>
      </c>
      <c r="C424" s="639" t="s">
        <v>305</v>
      </c>
      <c r="D424" s="639" t="s">
        <v>561</v>
      </c>
      <c r="E424" s="639" t="s">
        <v>562</v>
      </c>
      <c r="F424" s="639">
        <v>16713</v>
      </c>
      <c r="G424" s="639">
        <v>302003</v>
      </c>
      <c r="H424" s="639" t="s">
        <v>422</v>
      </c>
      <c r="I424" s="639" t="s">
        <v>568</v>
      </c>
      <c r="J424" s="639" t="s">
        <v>567</v>
      </c>
      <c r="K424" s="639">
        <v>0.91</v>
      </c>
      <c r="L424" s="639">
        <v>1.1200000000000001</v>
      </c>
      <c r="M424" s="639">
        <v>1.1399999999999999</v>
      </c>
      <c r="N424" s="639">
        <v>1.1399999999999999</v>
      </c>
      <c r="O424" s="639">
        <v>1.42</v>
      </c>
      <c r="P424" s="616">
        <v>23</v>
      </c>
    </row>
    <row r="425" spans="1:16">
      <c r="A425" s="639" t="s">
        <v>412</v>
      </c>
      <c r="B425" s="639" t="s">
        <v>306</v>
      </c>
      <c r="C425" s="639" t="s">
        <v>305</v>
      </c>
      <c r="D425" s="639" t="s">
        <v>561</v>
      </c>
      <c r="E425" s="639" t="s">
        <v>562</v>
      </c>
      <c r="F425" s="639">
        <v>16714</v>
      </c>
      <c r="G425" s="639">
        <v>302003</v>
      </c>
      <c r="H425" s="639" t="s">
        <v>422</v>
      </c>
      <c r="I425" s="639" t="s">
        <v>568</v>
      </c>
      <c r="J425" s="639" t="s">
        <v>571</v>
      </c>
      <c r="K425" s="639">
        <v>0.88</v>
      </c>
      <c r="L425" s="639">
        <v>1.04</v>
      </c>
      <c r="M425" s="639">
        <v>1.1499999999999999</v>
      </c>
      <c r="N425" s="639">
        <v>1.02</v>
      </c>
      <c r="O425" s="639">
        <v>1.4</v>
      </c>
      <c r="P425" s="616">
        <v>23</v>
      </c>
    </row>
    <row r="426" spans="1:16">
      <c r="A426" s="639" t="s">
        <v>412</v>
      </c>
      <c r="B426" s="639" t="s">
        <v>306</v>
      </c>
      <c r="C426" s="639" t="s">
        <v>305</v>
      </c>
      <c r="D426" s="639" t="s">
        <v>561</v>
      </c>
      <c r="E426" s="639" t="s">
        <v>562</v>
      </c>
      <c r="F426" s="639">
        <v>7108</v>
      </c>
      <c r="G426" s="639">
        <v>302003</v>
      </c>
      <c r="H426" s="639" t="s">
        <v>422</v>
      </c>
      <c r="I426" s="639" t="s">
        <v>563</v>
      </c>
      <c r="J426" s="639" t="s">
        <v>567</v>
      </c>
      <c r="K426" s="639">
        <v>1.61</v>
      </c>
      <c r="L426" s="639">
        <v>1.1200000000000001</v>
      </c>
      <c r="M426" s="639">
        <v>1.1499999999999999</v>
      </c>
      <c r="N426" s="639">
        <v>1.1200000000000001</v>
      </c>
      <c r="O426" s="639">
        <v>1.44</v>
      </c>
      <c r="P426" s="616">
        <v>23</v>
      </c>
    </row>
    <row r="427" spans="1:16">
      <c r="A427" s="639" t="s">
        <v>412</v>
      </c>
      <c r="B427" s="639" t="s">
        <v>306</v>
      </c>
      <c r="C427" s="639" t="s">
        <v>305</v>
      </c>
      <c r="D427" s="639" t="s">
        <v>561</v>
      </c>
      <c r="E427" s="639" t="s">
        <v>562</v>
      </c>
      <c r="F427" s="639">
        <v>7110</v>
      </c>
      <c r="G427" s="639">
        <v>302003</v>
      </c>
      <c r="H427" s="639" t="s">
        <v>422</v>
      </c>
      <c r="I427" s="639" t="s">
        <v>563</v>
      </c>
      <c r="J427" s="639" t="s">
        <v>564</v>
      </c>
      <c r="K427" s="639">
        <v>1.95</v>
      </c>
      <c r="L427" s="639">
        <v>1.08</v>
      </c>
      <c r="M427" s="639">
        <v>1.1599999999999999</v>
      </c>
      <c r="N427" s="639">
        <v>1.1499999999999999</v>
      </c>
      <c r="O427" s="639">
        <v>1.36</v>
      </c>
      <c r="P427" s="616">
        <v>23</v>
      </c>
    </row>
    <row r="428" spans="1:16">
      <c r="A428" s="639" t="s">
        <v>412</v>
      </c>
      <c r="B428" s="639" t="s">
        <v>306</v>
      </c>
      <c r="C428" s="639" t="s">
        <v>305</v>
      </c>
      <c r="D428" s="639" t="s">
        <v>561</v>
      </c>
      <c r="E428" s="639" t="s">
        <v>562</v>
      </c>
      <c r="F428" s="639">
        <v>31383</v>
      </c>
      <c r="G428" s="639">
        <v>302003</v>
      </c>
      <c r="H428" s="639" t="s">
        <v>422</v>
      </c>
      <c r="I428" s="639" t="s">
        <v>563</v>
      </c>
      <c r="J428" s="639" t="s">
        <v>599</v>
      </c>
      <c r="K428" s="639">
        <v>0.81</v>
      </c>
      <c r="L428" s="639">
        <v>1.0900000000000001</v>
      </c>
      <c r="M428" s="639">
        <v>1.17</v>
      </c>
      <c r="N428" s="639">
        <v>1.25</v>
      </c>
      <c r="O428" s="639">
        <v>1.46</v>
      </c>
      <c r="P428" s="616">
        <v>23</v>
      </c>
    </row>
    <row r="429" spans="1:16">
      <c r="A429" s="639" t="s">
        <v>412</v>
      </c>
      <c r="B429" s="639" t="s">
        <v>306</v>
      </c>
      <c r="C429" s="639" t="s">
        <v>305</v>
      </c>
      <c r="D429" s="639" t="s">
        <v>561</v>
      </c>
      <c r="E429" s="639" t="s">
        <v>562</v>
      </c>
      <c r="F429" s="639">
        <v>16716</v>
      </c>
      <c r="G429" s="639">
        <v>302003</v>
      </c>
      <c r="H429" s="639" t="s">
        <v>422</v>
      </c>
      <c r="I429" s="639" t="s">
        <v>568</v>
      </c>
      <c r="J429" s="639" t="s">
        <v>569</v>
      </c>
      <c r="K429" s="639">
        <v>0.81</v>
      </c>
      <c r="L429" s="639">
        <v>1.1100000000000001</v>
      </c>
      <c r="M429" s="639">
        <v>1.17</v>
      </c>
      <c r="N429" s="639">
        <v>1.0900000000000001</v>
      </c>
      <c r="O429" s="639">
        <v>1.43</v>
      </c>
      <c r="P429" s="616">
        <v>23</v>
      </c>
    </row>
    <row r="430" spans="1:16">
      <c r="A430" s="639" t="s">
        <v>412</v>
      </c>
      <c r="B430" s="639" t="s">
        <v>306</v>
      </c>
      <c r="C430" s="639" t="s">
        <v>305</v>
      </c>
      <c r="D430" s="639" t="s">
        <v>561</v>
      </c>
      <c r="E430" s="639" t="s">
        <v>562</v>
      </c>
      <c r="F430" s="639">
        <v>31382</v>
      </c>
      <c r="G430" s="639">
        <v>302003</v>
      </c>
      <c r="H430" s="639" t="s">
        <v>422</v>
      </c>
      <c r="I430" s="639" t="s">
        <v>563</v>
      </c>
      <c r="J430" s="639" t="s">
        <v>595</v>
      </c>
      <c r="K430" s="639">
        <v>0.77</v>
      </c>
      <c r="L430" s="639">
        <v>1.19</v>
      </c>
      <c r="M430" s="639">
        <v>1.25</v>
      </c>
      <c r="N430" s="639">
        <v>1.18</v>
      </c>
      <c r="O430" s="639">
        <v>1.1299999999999999</v>
      </c>
      <c r="P430" s="616">
        <v>23</v>
      </c>
    </row>
    <row r="431" spans="1:16">
      <c r="A431" s="639" t="s">
        <v>412</v>
      </c>
      <c r="B431" s="639" t="s">
        <v>306</v>
      </c>
      <c r="C431" s="639" t="s">
        <v>305</v>
      </c>
      <c r="D431" s="639" t="s">
        <v>561</v>
      </c>
      <c r="E431" s="639" t="s">
        <v>562</v>
      </c>
      <c r="F431" s="639">
        <v>31381</v>
      </c>
      <c r="G431" s="639">
        <v>302003</v>
      </c>
      <c r="H431" s="639" t="s">
        <v>422</v>
      </c>
      <c r="I431" s="639" t="s">
        <v>568</v>
      </c>
      <c r="J431" s="639" t="s">
        <v>599</v>
      </c>
      <c r="K431" s="639">
        <v>3.71</v>
      </c>
      <c r="L431" s="639">
        <v>2.52</v>
      </c>
      <c r="M431" s="639">
        <v>1.3</v>
      </c>
      <c r="N431" s="639">
        <v>1.1399999999999999</v>
      </c>
      <c r="O431" s="639">
        <v>1.35</v>
      </c>
      <c r="P431" s="616">
        <v>23</v>
      </c>
    </row>
    <row r="432" spans="1:16">
      <c r="A432" s="639" t="s">
        <v>412</v>
      </c>
      <c r="B432" s="639" t="s">
        <v>306</v>
      </c>
      <c r="C432" s="639" t="s">
        <v>305</v>
      </c>
      <c r="D432" s="639" t="s">
        <v>561</v>
      </c>
      <c r="E432" s="639" t="s">
        <v>562</v>
      </c>
      <c r="F432" s="639">
        <v>31380</v>
      </c>
      <c r="G432" s="639">
        <v>302003</v>
      </c>
      <c r="H432" s="639" t="s">
        <v>422</v>
      </c>
      <c r="I432" s="639" t="s">
        <v>568</v>
      </c>
      <c r="J432" s="639" t="s">
        <v>595</v>
      </c>
      <c r="K432" s="639">
        <v>4.1500000000000004</v>
      </c>
      <c r="L432" s="639">
        <v>2.95</v>
      </c>
      <c r="M432" s="639">
        <v>1.73</v>
      </c>
      <c r="N432" s="639">
        <v>1.1399999999999999</v>
      </c>
      <c r="O432" s="639">
        <v>1.36</v>
      </c>
      <c r="P432" s="616">
        <v>23</v>
      </c>
    </row>
    <row r="433" spans="1:16">
      <c r="A433" s="639" t="s">
        <v>412</v>
      </c>
      <c r="B433" s="639" t="s">
        <v>374</v>
      </c>
      <c r="C433" s="639" t="s">
        <v>305</v>
      </c>
      <c r="D433" s="639" t="s">
        <v>561</v>
      </c>
      <c r="E433" s="639" t="s">
        <v>562</v>
      </c>
      <c r="F433" s="639">
        <v>29861</v>
      </c>
      <c r="G433" s="639">
        <v>303409</v>
      </c>
      <c r="H433" s="639" t="s">
        <v>377</v>
      </c>
      <c r="I433" s="639" t="s">
        <v>563</v>
      </c>
      <c r="J433" s="639" t="s">
        <v>564</v>
      </c>
      <c r="K433" s="639">
        <v>0.9</v>
      </c>
      <c r="L433" s="639">
        <v>1.1299999999999999</v>
      </c>
      <c r="M433" s="639">
        <v>1.04</v>
      </c>
      <c r="N433" s="639">
        <v>1.0900000000000001</v>
      </c>
      <c r="O433" s="639">
        <v>1.42</v>
      </c>
      <c r="P433" s="616">
        <v>33</v>
      </c>
    </row>
    <row r="434" spans="1:16">
      <c r="A434" s="639" t="s">
        <v>412</v>
      </c>
      <c r="B434" s="639" t="s">
        <v>374</v>
      </c>
      <c r="C434" s="639" t="s">
        <v>305</v>
      </c>
      <c r="D434" s="639" t="s">
        <v>561</v>
      </c>
      <c r="E434" s="639" t="s">
        <v>562</v>
      </c>
      <c r="F434" s="639">
        <v>29857</v>
      </c>
      <c r="G434" s="639">
        <v>303409</v>
      </c>
      <c r="H434" s="639" t="s">
        <v>377</v>
      </c>
      <c r="I434" s="639" t="s">
        <v>565</v>
      </c>
      <c r="J434" s="639" t="s">
        <v>564</v>
      </c>
      <c r="K434" s="639">
        <v>1.1299999999999999</v>
      </c>
      <c r="L434" s="639">
        <v>1.1200000000000001</v>
      </c>
      <c r="M434" s="639">
        <v>1.06</v>
      </c>
      <c r="N434" s="639">
        <v>1.18</v>
      </c>
      <c r="O434" s="639">
        <v>1.33</v>
      </c>
      <c r="P434" s="616">
        <v>33</v>
      </c>
    </row>
    <row r="435" spans="1:16">
      <c r="A435" s="639" t="s">
        <v>412</v>
      </c>
      <c r="B435" s="639" t="s">
        <v>374</v>
      </c>
      <c r="C435" s="639" t="s">
        <v>305</v>
      </c>
      <c r="D435" s="639" t="s">
        <v>561</v>
      </c>
      <c r="E435" s="639" t="s">
        <v>562</v>
      </c>
      <c r="F435" s="639">
        <v>31371</v>
      </c>
      <c r="G435" s="639">
        <v>303409</v>
      </c>
      <c r="H435" s="639" t="s">
        <v>377</v>
      </c>
      <c r="I435" s="639" t="s">
        <v>565</v>
      </c>
      <c r="J435" s="639" t="s">
        <v>595</v>
      </c>
      <c r="K435" s="639">
        <v>1.31</v>
      </c>
      <c r="L435" s="639">
        <v>1.1299999999999999</v>
      </c>
      <c r="M435" s="639">
        <v>1.08</v>
      </c>
      <c r="N435" s="639">
        <v>1.07</v>
      </c>
      <c r="O435" s="639">
        <v>1.5</v>
      </c>
      <c r="P435" s="616">
        <v>33</v>
      </c>
    </row>
    <row r="436" spans="1:16">
      <c r="A436" s="639" t="s">
        <v>412</v>
      </c>
      <c r="B436" s="639" t="s">
        <v>374</v>
      </c>
      <c r="C436" s="639" t="s">
        <v>305</v>
      </c>
      <c r="D436" s="639" t="s">
        <v>561</v>
      </c>
      <c r="E436" s="639" t="s">
        <v>562</v>
      </c>
      <c r="F436" s="639">
        <v>29856</v>
      </c>
      <c r="G436" s="639">
        <v>303409</v>
      </c>
      <c r="H436" s="639" t="s">
        <v>377</v>
      </c>
      <c r="I436" s="639" t="s">
        <v>565</v>
      </c>
      <c r="J436" s="639" t="s">
        <v>571</v>
      </c>
      <c r="K436" s="639">
        <v>1.17</v>
      </c>
      <c r="L436" s="639">
        <v>1.04</v>
      </c>
      <c r="M436" s="639">
        <v>1.0900000000000001</v>
      </c>
      <c r="N436" s="639">
        <v>1.01</v>
      </c>
      <c r="O436" s="639">
        <v>1.47</v>
      </c>
      <c r="P436" s="616">
        <v>33</v>
      </c>
    </row>
    <row r="437" spans="1:16">
      <c r="A437" s="639" t="s">
        <v>412</v>
      </c>
      <c r="B437" s="639" t="s">
        <v>374</v>
      </c>
      <c r="C437" s="639" t="s">
        <v>305</v>
      </c>
      <c r="D437" s="639" t="s">
        <v>561</v>
      </c>
      <c r="E437" s="639" t="s">
        <v>562</v>
      </c>
      <c r="F437" s="639">
        <v>29859</v>
      </c>
      <c r="G437" s="639">
        <v>303409</v>
      </c>
      <c r="H437" s="639" t="s">
        <v>377</v>
      </c>
      <c r="I437" s="639" t="s">
        <v>563</v>
      </c>
      <c r="J437" s="639" t="s">
        <v>567</v>
      </c>
      <c r="K437" s="639">
        <v>1.26</v>
      </c>
      <c r="L437" s="639">
        <v>1.2</v>
      </c>
      <c r="M437" s="639">
        <v>1.1100000000000001</v>
      </c>
      <c r="N437" s="639">
        <v>1.29</v>
      </c>
      <c r="O437" s="639">
        <v>1.43</v>
      </c>
      <c r="P437" s="616">
        <v>33</v>
      </c>
    </row>
    <row r="438" spans="1:16">
      <c r="A438" s="639" t="s">
        <v>412</v>
      </c>
      <c r="B438" s="639" t="s">
        <v>374</v>
      </c>
      <c r="C438" s="639" t="s">
        <v>305</v>
      </c>
      <c r="D438" s="639" t="s">
        <v>561</v>
      </c>
      <c r="E438" s="639" t="s">
        <v>562</v>
      </c>
      <c r="F438" s="639">
        <v>29855</v>
      </c>
      <c r="G438" s="639">
        <v>303409</v>
      </c>
      <c r="H438" s="639" t="s">
        <v>377</v>
      </c>
      <c r="I438" s="639" t="s">
        <v>565</v>
      </c>
      <c r="J438" s="639" t="s">
        <v>567</v>
      </c>
      <c r="K438" s="639">
        <v>1.38</v>
      </c>
      <c r="L438" s="639">
        <v>1</v>
      </c>
      <c r="M438" s="639">
        <v>1.1499999999999999</v>
      </c>
      <c r="N438" s="639">
        <v>1.1200000000000001</v>
      </c>
      <c r="O438" s="639">
        <v>1.22</v>
      </c>
      <c r="P438" s="616">
        <v>33</v>
      </c>
    </row>
    <row r="439" spans="1:16">
      <c r="A439" s="639" t="s">
        <v>412</v>
      </c>
      <c r="B439" s="639" t="s">
        <v>374</v>
      </c>
      <c r="C439" s="639" t="s">
        <v>305</v>
      </c>
      <c r="D439" s="639" t="s">
        <v>561</v>
      </c>
      <c r="E439" s="639" t="s">
        <v>562</v>
      </c>
      <c r="F439" s="639">
        <v>29860</v>
      </c>
      <c r="G439" s="639">
        <v>303409</v>
      </c>
      <c r="H439" s="639" t="s">
        <v>377</v>
      </c>
      <c r="I439" s="639" t="s">
        <v>563</v>
      </c>
      <c r="J439" s="639" t="s">
        <v>571</v>
      </c>
      <c r="K439" s="639">
        <v>0.87</v>
      </c>
      <c r="L439" s="639">
        <v>1.07</v>
      </c>
      <c r="M439" s="639">
        <v>1.17</v>
      </c>
      <c r="N439" s="639">
        <v>1.08</v>
      </c>
      <c r="O439" s="639">
        <v>1.48</v>
      </c>
      <c r="P439" s="616">
        <v>33</v>
      </c>
    </row>
    <row r="440" spans="1:16">
      <c r="A440" s="639" t="s">
        <v>412</v>
      </c>
      <c r="B440" s="639" t="s">
        <v>374</v>
      </c>
      <c r="C440" s="639" t="s">
        <v>305</v>
      </c>
      <c r="D440" s="639" t="s">
        <v>561</v>
      </c>
      <c r="E440" s="639" t="s">
        <v>562</v>
      </c>
      <c r="F440" s="639">
        <v>29858</v>
      </c>
      <c r="G440" s="639">
        <v>303409</v>
      </c>
      <c r="H440" s="639" t="s">
        <v>377</v>
      </c>
      <c r="I440" s="639" t="s">
        <v>565</v>
      </c>
      <c r="J440" s="639" t="s">
        <v>569</v>
      </c>
      <c r="K440" s="639">
        <v>1.1599999999999999</v>
      </c>
      <c r="L440" s="639">
        <v>1.1299999999999999</v>
      </c>
      <c r="M440" s="639">
        <v>1.17</v>
      </c>
      <c r="N440" s="639">
        <v>1.0900000000000001</v>
      </c>
      <c r="O440" s="639">
        <v>1.36</v>
      </c>
      <c r="P440" s="616">
        <v>33</v>
      </c>
    </row>
    <row r="441" spans="1:16">
      <c r="A441" s="639" t="s">
        <v>412</v>
      </c>
      <c r="B441" s="639" t="s">
        <v>374</v>
      </c>
      <c r="C441" s="639" t="s">
        <v>305</v>
      </c>
      <c r="D441" s="639" t="s">
        <v>561</v>
      </c>
      <c r="E441" s="639" t="s">
        <v>562</v>
      </c>
      <c r="F441" s="639">
        <v>31372</v>
      </c>
      <c r="G441" s="639">
        <v>303409</v>
      </c>
      <c r="H441" s="639" t="s">
        <v>377</v>
      </c>
      <c r="I441" s="639" t="s">
        <v>563</v>
      </c>
      <c r="J441" s="639" t="s">
        <v>595</v>
      </c>
      <c r="K441" s="639">
        <v>0.75</v>
      </c>
      <c r="L441" s="639">
        <v>1.04</v>
      </c>
      <c r="M441" s="639">
        <v>1.18</v>
      </c>
      <c r="N441" s="639">
        <v>1.1100000000000001</v>
      </c>
      <c r="O441" s="639">
        <v>1.58</v>
      </c>
      <c r="P441" s="616">
        <v>33</v>
      </c>
    </row>
    <row r="442" spans="1:16">
      <c r="A442" s="639" t="s">
        <v>412</v>
      </c>
      <c r="B442" s="639" t="s">
        <v>374</v>
      </c>
      <c r="C442" s="639" t="s">
        <v>305</v>
      </c>
      <c r="D442" s="639" t="s">
        <v>561</v>
      </c>
      <c r="E442" s="639" t="s">
        <v>562</v>
      </c>
      <c r="F442" s="639">
        <v>29862</v>
      </c>
      <c r="G442" s="639">
        <v>303409</v>
      </c>
      <c r="H442" s="639" t="s">
        <v>377</v>
      </c>
      <c r="I442" s="639" t="s">
        <v>563</v>
      </c>
      <c r="J442" s="639" t="s">
        <v>569</v>
      </c>
      <c r="K442" s="639">
        <v>0.75</v>
      </c>
      <c r="L442" s="639">
        <v>1.1299999999999999</v>
      </c>
      <c r="M442" s="639">
        <v>1.19</v>
      </c>
      <c r="N442" s="639">
        <v>1.1399999999999999</v>
      </c>
      <c r="O442" s="639">
        <v>1.34</v>
      </c>
      <c r="P442" s="616">
        <v>33</v>
      </c>
    </row>
    <row r="443" spans="1:16">
      <c r="A443" s="639" t="s">
        <v>412</v>
      </c>
      <c r="B443" s="639" t="s">
        <v>306</v>
      </c>
      <c r="C443" s="639" t="s">
        <v>305</v>
      </c>
      <c r="D443" s="639" t="s">
        <v>561</v>
      </c>
      <c r="E443" s="639" t="s">
        <v>562</v>
      </c>
      <c r="F443" s="639">
        <v>16913</v>
      </c>
      <c r="G443" s="639">
        <v>303600</v>
      </c>
      <c r="H443" s="639" t="s">
        <v>335</v>
      </c>
      <c r="I443" s="639" t="s">
        <v>568</v>
      </c>
      <c r="J443" s="639">
        <v>42</v>
      </c>
      <c r="K443" s="639">
        <v>0.82</v>
      </c>
      <c r="L443" s="639">
        <v>1.02</v>
      </c>
      <c r="M443" s="639">
        <v>1.01</v>
      </c>
      <c r="N443" s="639">
        <v>1.03</v>
      </c>
      <c r="O443" s="639">
        <v>1.4</v>
      </c>
      <c r="P443" s="616">
        <v>34</v>
      </c>
    </row>
    <row r="444" spans="1:16">
      <c r="A444" s="639" t="s">
        <v>412</v>
      </c>
      <c r="B444" s="639" t="s">
        <v>306</v>
      </c>
      <c r="C444" s="639" t="s">
        <v>305</v>
      </c>
      <c r="D444" s="639" t="s">
        <v>561</v>
      </c>
      <c r="E444" s="639" t="s">
        <v>562</v>
      </c>
      <c r="F444" s="639">
        <v>18284</v>
      </c>
      <c r="G444" s="639">
        <v>303600</v>
      </c>
      <c r="H444" s="639" t="s">
        <v>335</v>
      </c>
      <c r="I444" s="639" t="s">
        <v>563</v>
      </c>
      <c r="J444" s="639">
        <v>46</v>
      </c>
      <c r="K444" s="639">
        <v>1.61</v>
      </c>
      <c r="L444" s="639">
        <v>1.0900000000000001</v>
      </c>
      <c r="M444" s="639">
        <v>1.05</v>
      </c>
      <c r="N444" s="639">
        <v>1.0900000000000001</v>
      </c>
      <c r="O444" s="639">
        <v>1.45</v>
      </c>
      <c r="P444" s="616">
        <v>34</v>
      </c>
    </row>
    <row r="445" spans="1:16">
      <c r="A445" s="639" t="s">
        <v>412</v>
      </c>
      <c r="B445" s="639" t="s">
        <v>306</v>
      </c>
      <c r="C445" s="639" t="s">
        <v>305</v>
      </c>
      <c r="D445" s="639" t="s">
        <v>561</v>
      </c>
      <c r="E445" s="639" t="s">
        <v>562</v>
      </c>
      <c r="F445" s="639">
        <v>16915</v>
      </c>
      <c r="G445" s="639">
        <v>303600</v>
      </c>
      <c r="H445" s="639" t="s">
        <v>335</v>
      </c>
      <c r="I445" s="639" t="s">
        <v>568</v>
      </c>
      <c r="J445" s="639">
        <v>46</v>
      </c>
      <c r="K445" s="639">
        <v>1.68</v>
      </c>
      <c r="L445" s="639">
        <v>1.03</v>
      </c>
      <c r="M445" s="639">
        <v>1.08</v>
      </c>
      <c r="N445" s="639">
        <v>1.1399999999999999</v>
      </c>
      <c r="O445" s="639">
        <v>1.32</v>
      </c>
      <c r="P445" s="616">
        <v>34</v>
      </c>
    </row>
    <row r="446" spans="1:16">
      <c r="A446" s="639" t="s">
        <v>412</v>
      </c>
      <c r="B446" s="639" t="s">
        <v>306</v>
      </c>
      <c r="C446" s="639" t="s">
        <v>305</v>
      </c>
      <c r="D446" s="639" t="s">
        <v>561</v>
      </c>
      <c r="E446" s="639" t="s">
        <v>562</v>
      </c>
      <c r="F446" s="639">
        <v>18283</v>
      </c>
      <c r="G446" s="639">
        <v>303600</v>
      </c>
      <c r="H446" s="639" t="s">
        <v>335</v>
      </c>
      <c r="I446" s="639" t="s">
        <v>563</v>
      </c>
      <c r="J446" s="639">
        <v>44</v>
      </c>
      <c r="K446" s="639">
        <v>0.86</v>
      </c>
      <c r="L446" s="639">
        <v>1.1599999999999999</v>
      </c>
      <c r="M446" s="639">
        <v>1.08</v>
      </c>
      <c r="N446" s="639">
        <v>1.1499999999999999</v>
      </c>
      <c r="O446" s="639">
        <v>1.38</v>
      </c>
      <c r="P446" s="616">
        <v>34</v>
      </c>
    </row>
    <row r="447" spans="1:16">
      <c r="A447" s="639" t="s">
        <v>412</v>
      </c>
      <c r="B447" s="639" t="s">
        <v>306</v>
      </c>
      <c r="C447" s="639" t="s">
        <v>305</v>
      </c>
      <c r="D447" s="639" t="s">
        <v>561</v>
      </c>
      <c r="E447" s="639" t="s">
        <v>562</v>
      </c>
      <c r="F447" s="639">
        <v>16914</v>
      </c>
      <c r="G447" s="639">
        <v>303600</v>
      </c>
      <c r="H447" s="639" t="s">
        <v>335</v>
      </c>
      <c r="I447" s="639" t="s">
        <v>568</v>
      </c>
      <c r="J447" s="639">
        <v>44</v>
      </c>
      <c r="K447" s="639">
        <v>0.91</v>
      </c>
      <c r="L447" s="639">
        <v>1.08</v>
      </c>
      <c r="M447" s="639">
        <v>1.0900000000000001</v>
      </c>
      <c r="N447" s="639">
        <v>1.1499999999999999</v>
      </c>
      <c r="O447" s="639">
        <v>1.48</v>
      </c>
      <c r="P447" s="616">
        <v>34</v>
      </c>
    </row>
    <row r="448" spans="1:16">
      <c r="A448" s="639" t="s">
        <v>412</v>
      </c>
      <c r="B448" s="639" t="s">
        <v>306</v>
      </c>
      <c r="C448" s="639" t="s">
        <v>305</v>
      </c>
      <c r="D448" s="639" t="s">
        <v>561</v>
      </c>
      <c r="E448" s="639" t="s">
        <v>562</v>
      </c>
      <c r="F448" s="639">
        <v>18282</v>
      </c>
      <c r="G448" s="639">
        <v>303600</v>
      </c>
      <c r="H448" s="639" t="s">
        <v>335</v>
      </c>
      <c r="I448" s="639" t="s">
        <v>563</v>
      </c>
      <c r="J448" s="639">
        <v>42</v>
      </c>
      <c r="K448" s="639">
        <v>0.96</v>
      </c>
      <c r="L448" s="639">
        <v>1.02</v>
      </c>
      <c r="M448" s="639">
        <v>1.0900000000000001</v>
      </c>
      <c r="N448" s="639">
        <v>1.1200000000000001</v>
      </c>
      <c r="O448" s="639">
        <v>1.48</v>
      </c>
      <c r="P448" s="616">
        <v>34</v>
      </c>
    </row>
    <row r="449" spans="1:16">
      <c r="A449" s="639" t="s">
        <v>412</v>
      </c>
      <c r="B449" s="639" t="s">
        <v>306</v>
      </c>
      <c r="C449" s="639" t="s">
        <v>305</v>
      </c>
      <c r="D449" s="639" t="s">
        <v>561</v>
      </c>
      <c r="E449" s="639" t="s">
        <v>562</v>
      </c>
      <c r="F449" s="639">
        <v>16919</v>
      </c>
      <c r="G449" s="639">
        <v>303600</v>
      </c>
      <c r="H449" s="639" t="s">
        <v>335</v>
      </c>
      <c r="I449" s="639" t="s">
        <v>565</v>
      </c>
      <c r="J449" s="639">
        <v>46</v>
      </c>
      <c r="K449" s="639">
        <v>1.18</v>
      </c>
      <c r="L449" s="639">
        <v>1.1499999999999999</v>
      </c>
      <c r="M449" s="639">
        <v>1.1200000000000001</v>
      </c>
      <c r="N449" s="639">
        <v>1.08</v>
      </c>
      <c r="O449" s="639">
        <v>1.47</v>
      </c>
      <c r="P449" s="616">
        <v>34</v>
      </c>
    </row>
    <row r="450" spans="1:16">
      <c r="A450" s="639" t="s">
        <v>412</v>
      </c>
      <c r="B450" s="639" t="s">
        <v>306</v>
      </c>
      <c r="C450" s="639" t="s">
        <v>305</v>
      </c>
      <c r="D450" s="639" t="s">
        <v>561</v>
      </c>
      <c r="E450" s="639" t="s">
        <v>562</v>
      </c>
      <c r="F450" s="639">
        <v>16917</v>
      </c>
      <c r="G450" s="639">
        <v>303600</v>
      </c>
      <c r="H450" s="639" t="s">
        <v>335</v>
      </c>
      <c r="I450" s="639" t="s">
        <v>565</v>
      </c>
      <c r="J450" s="639">
        <v>42</v>
      </c>
      <c r="K450" s="639">
        <v>2.2200000000000002</v>
      </c>
      <c r="L450" s="639">
        <v>1.02</v>
      </c>
      <c r="M450" s="639">
        <v>1.1399999999999999</v>
      </c>
      <c r="N450" s="639">
        <v>1.04</v>
      </c>
      <c r="O450" s="639">
        <v>1.33</v>
      </c>
      <c r="P450" s="616">
        <v>34</v>
      </c>
    </row>
    <row r="451" spans="1:16">
      <c r="A451" s="639" t="s">
        <v>412</v>
      </c>
      <c r="B451" s="639" t="s">
        <v>306</v>
      </c>
      <c r="C451" s="639" t="s">
        <v>305</v>
      </c>
      <c r="D451" s="639" t="s">
        <v>561</v>
      </c>
      <c r="E451" s="639" t="s">
        <v>562</v>
      </c>
      <c r="F451" s="639">
        <v>16918</v>
      </c>
      <c r="G451" s="639">
        <v>303600</v>
      </c>
      <c r="H451" s="639" t="s">
        <v>335</v>
      </c>
      <c r="I451" s="639" t="s">
        <v>565</v>
      </c>
      <c r="J451" s="639">
        <v>44</v>
      </c>
      <c r="K451" s="639">
        <v>1.24</v>
      </c>
      <c r="L451" s="639">
        <v>1.0900000000000001</v>
      </c>
      <c r="M451" s="639">
        <v>1.1399999999999999</v>
      </c>
      <c r="N451" s="639">
        <v>1.0900000000000001</v>
      </c>
      <c r="O451" s="639">
        <v>1.24</v>
      </c>
      <c r="P451" s="616">
        <v>34</v>
      </c>
    </row>
    <row r="452" spans="1:16">
      <c r="A452" s="639" t="s">
        <v>412</v>
      </c>
      <c r="B452" s="639" t="s">
        <v>306</v>
      </c>
      <c r="C452" s="639" t="s">
        <v>305</v>
      </c>
      <c r="D452" s="639" t="s">
        <v>561</v>
      </c>
      <c r="E452" s="639" t="s">
        <v>562</v>
      </c>
      <c r="F452" s="639">
        <v>18281</v>
      </c>
      <c r="G452" s="639">
        <v>303600</v>
      </c>
      <c r="H452" s="639" t="s">
        <v>335</v>
      </c>
      <c r="I452" s="639" t="s">
        <v>563</v>
      </c>
      <c r="J452" s="639">
        <v>40</v>
      </c>
      <c r="K452" s="639">
        <v>1.5</v>
      </c>
      <c r="L452" s="639">
        <v>1.1299999999999999</v>
      </c>
      <c r="M452" s="639">
        <v>1.1499999999999999</v>
      </c>
      <c r="N452" s="639">
        <v>1.08</v>
      </c>
      <c r="O452" s="639">
        <v>1.04</v>
      </c>
      <c r="P452" s="616">
        <v>34</v>
      </c>
    </row>
    <row r="453" spans="1:16">
      <c r="A453" s="639" t="s">
        <v>412</v>
      </c>
      <c r="B453" s="639" t="s">
        <v>306</v>
      </c>
      <c r="C453" s="639" t="s">
        <v>305</v>
      </c>
      <c r="D453" s="639" t="s">
        <v>561</v>
      </c>
      <c r="E453" s="639" t="s">
        <v>562</v>
      </c>
      <c r="F453" s="639">
        <v>16912</v>
      </c>
      <c r="G453" s="639">
        <v>303600</v>
      </c>
      <c r="H453" s="639" t="s">
        <v>335</v>
      </c>
      <c r="I453" s="639" t="s">
        <v>568</v>
      </c>
      <c r="J453" s="639">
        <v>40</v>
      </c>
      <c r="K453" s="639">
        <v>2.41</v>
      </c>
      <c r="L453" s="639">
        <v>1.22</v>
      </c>
      <c r="M453" s="639">
        <v>1.19</v>
      </c>
      <c r="N453" s="639">
        <v>1.1200000000000001</v>
      </c>
      <c r="O453" s="639">
        <v>1.51</v>
      </c>
      <c r="P453" s="616">
        <v>34</v>
      </c>
    </row>
    <row r="454" spans="1:16">
      <c r="A454" s="639" t="s">
        <v>412</v>
      </c>
      <c r="B454" s="639" t="s">
        <v>306</v>
      </c>
      <c r="C454" s="639" t="s">
        <v>305</v>
      </c>
      <c r="D454" s="639" t="s">
        <v>561</v>
      </c>
      <c r="E454" s="639" t="s">
        <v>562</v>
      </c>
      <c r="F454" s="639">
        <v>16916</v>
      </c>
      <c r="G454" s="639">
        <v>303600</v>
      </c>
      <c r="H454" s="639" t="s">
        <v>335</v>
      </c>
      <c r="I454" s="639" t="s">
        <v>565</v>
      </c>
      <c r="J454" s="639">
        <v>40</v>
      </c>
      <c r="K454" s="639">
        <v>2.97</v>
      </c>
      <c r="L454" s="639">
        <v>1.79</v>
      </c>
      <c r="M454" s="639">
        <v>1.28</v>
      </c>
      <c r="N454" s="639">
        <v>1</v>
      </c>
      <c r="O454" s="639">
        <v>1.28</v>
      </c>
      <c r="P454" s="616">
        <v>34</v>
      </c>
    </row>
    <row r="455" spans="1:16">
      <c r="A455" s="639" t="s">
        <v>351</v>
      </c>
      <c r="B455" s="639" t="s">
        <v>306</v>
      </c>
      <c r="C455" s="639" t="s">
        <v>305</v>
      </c>
      <c r="D455" s="639" t="s">
        <v>561</v>
      </c>
      <c r="E455" s="639" t="s">
        <v>562</v>
      </c>
      <c r="F455" s="639">
        <v>8054</v>
      </c>
      <c r="G455" s="639">
        <v>341001</v>
      </c>
      <c r="H455" s="639" t="s">
        <v>367</v>
      </c>
      <c r="I455" s="639" t="s">
        <v>568</v>
      </c>
      <c r="J455" s="639">
        <v>42</v>
      </c>
      <c r="K455" s="639">
        <v>0.85</v>
      </c>
      <c r="L455" s="639">
        <v>1.01</v>
      </c>
      <c r="M455" s="639">
        <v>1.01</v>
      </c>
      <c r="N455" s="639">
        <v>1</v>
      </c>
      <c r="O455" s="639">
        <v>1.39</v>
      </c>
      <c r="P455" s="616">
        <v>3</v>
      </c>
    </row>
    <row r="456" spans="1:16">
      <c r="A456" s="639" t="s">
        <v>351</v>
      </c>
      <c r="B456" s="639" t="s">
        <v>306</v>
      </c>
      <c r="C456" s="639" t="s">
        <v>305</v>
      </c>
      <c r="D456" s="639" t="s">
        <v>561</v>
      </c>
      <c r="E456" s="639" t="s">
        <v>562</v>
      </c>
      <c r="F456" s="639">
        <v>8059</v>
      </c>
      <c r="G456" s="639">
        <v>341001</v>
      </c>
      <c r="H456" s="639" t="s">
        <v>367</v>
      </c>
      <c r="I456" s="639" t="s">
        <v>563</v>
      </c>
      <c r="J456" s="639">
        <v>44</v>
      </c>
      <c r="K456" s="639">
        <v>1.35</v>
      </c>
      <c r="L456" s="639">
        <v>1.01</v>
      </c>
      <c r="M456" s="639">
        <v>1.01</v>
      </c>
      <c r="N456" s="639">
        <v>1.0900000000000001</v>
      </c>
      <c r="O456" s="639">
        <v>1.41</v>
      </c>
      <c r="P456" s="616">
        <v>3</v>
      </c>
    </row>
    <row r="457" spans="1:16">
      <c r="A457" s="639" t="s">
        <v>351</v>
      </c>
      <c r="B457" s="639" t="s">
        <v>306</v>
      </c>
      <c r="C457" s="639" t="s">
        <v>305</v>
      </c>
      <c r="D457" s="639" t="s">
        <v>561</v>
      </c>
      <c r="E457" s="639" t="s">
        <v>562</v>
      </c>
      <c r="F457" s="639">
        <v>8028</v>
      </c>
      <c r="G457" s="639">
        <v>341001</v>
      </c>
      <c r="H457" s="639" t="s">
        <v>367</v>
      </c>
      <c r="I457" s="639" t="s">
        <v>566</v>
      </c>
      <c r="J457" s="639">
        <v>40</v>
      </c>
      <c r="K457" s="639">
        <v>3.07</v>
      </c>
      <c r="L457" s="639">
        <v>1.88</v>
      </c>
      <c r="M457" s="639">
        <v>1.02</v>
      </c>
      <c r="N457" s="639">
        <v>1.05</v>
      </c>
      <c r="O457" s="639">
        <v>1.28</v>
      </c>
      <c r="P457" s="616">
        <v>3</v>
      </c>
    </row>
    <row r="458" spans="1:16">
      <c r="A458" s="639" t="s">
        <v>351</v>
      </c>
      <c r="B458" s="639" t="s">
        <v>306</v>
      </c>
      <c r="C458" s="639" t="s">
        <v>305</v>
      </c>
      <c r="D458" s="639" t="s">
        <v>561</v>
      </c>
      <c r="E458" s="639" t="s">
        <v>562</v>
      </c>
      <c r="F458" s="639">
        <v>8058</v>
      </c>
      <c r="G458" s="639">
        <v>341001</v>
      </c>
      <c r="H458" s="639" t="s">
        <v>367</v>
      </c>
      <c r="I458" s="639" t="s">
        <v>563</v>
      </c>
      <c r="J458" s="639">
        <v>42</v>
      </c>
      <c r="K458" s="639">
        <v>1.41</v>
      </c>
      <c r="L458" s="639">
        <v>1</v>
      </c>
      <c r="M458" s="639">
        <v>1.02</v>
      </c>
      <c r="N458" s="639">
        <v>1.03</v>
      </c>
      <c r="O458" s="639">
        <v>1.38</v>
      </c>
      <c r="P458" s="616">
        <v>3</v>
      </c>
    </row>
    <row r="459" spans="1:16">
      <c r="A459" s="639" t="s">
        <v>351</v>
      </c>
      <c r="B459" s="639" t="s">
        <v>306</v>
      </c>
      <c r="C459" s="639" t="s">
        <v>305</v>
      </c>
      <c r="D459" s="639" t="s">
        <v>561</v>
      </c>
      <c r="E459" s="639" t="s">
        <v>562</v>
      </c>
      <c r="F459" s="639">
        <v>8065</v>
      </c>
      <c r="G459" s="639">
        <v>341001</v>
      </c>
      <c r="H459" s="639" t="s">
        <v>367</v>
      </c>
      <c r="I459" s="639" t="s">
        <v>565</v>
      </c>
      <c r="J459" s="639">
        <v>42</v>
      </c>
      <c r="K459" s="639">
        <v>1.2</v>
      </c>
      <c r="L459" s="639">
        <v>1.1100000000000001</v>
      </c>
      <c r="M459" s="639">
        <v>1.02</v>
      </c>
      <c r="N459" s="639">
        <v>1.03</v>
      </c>
      <c r="O459" s="639">
        <v>1.38</v>
      </c>
      <c r="P459" s="616">
        <v>3</v>
      </c>
    </row>
    <row r="460" spans="1:16">
      <c r="A460" s="639" t="s">
        <v>351</v>
      </c>
      <c r="B460" s="639" t="s">
        <v>306</v>
      </c>
      <c r="C460" s="639" t="s">
        <v>305</v>
      </c>
      <c r="D460" s="639" t="s">
        <v>561</v>
      </c>
      <c r="E460" s="639" t="s">
        <v>562</v>
      </c>
      <c r="F460" s="639">
        <v>28626</v>
      </c>
      <c r="G460" s="639">
        <v>341001</v>
      </c>
      <c r="H460" s="639" t="s">
        <v>367</v>
      </c>
      <c r="I460" s="639" t="s">
        <v>570</v>
      </c>
      <c r="J460" s="639">
        <v>42</v>
      </c>
      <c r="K460" s="639">
        <v>0.87</v>
      </c>
      <c r="L460" s="639">
        <v>1</v>
      </c>
      <c r="M460" s="639">
        <v>1.02</v>
      </c>
      <c r="N460" s="639">
        <v>1</v>
      </c>
      <c r="O460" s="639">
        <v>1.42</v>
      </c>
      <c r="P460" s="616">
        <v>3</v>
      </c>
    </row>
    <row r="461" spans="1:16">
      <c r="A461" s="639" t="s">
        <v>351</v>
      </c>
      <c r="B461" s="639" t="s">
        <v>306</v>
      </c>
      <c r="C461" s="639" t="s">
        <v>305</v>
      </c>
      <c r="D461" s="639" t="s">
        <v>561</v>
      </c>
      <c r="E461" s="639" t="s">
        <v>562</v>
      </c>
      <c r="F461" s="639">
        <v>8053</v>
      </c>
      <c r="G461" s="639">
        <v>341001</v>
      </c>
      <c r="H461" s="639" t="s">
        <v>367</v>
      </c>
      <c r="I461" s="639" t="s">
        <v>568</v>
      </c>
      <c r="J461" s="639">
        <v>40</v>
      </c>
      <c r="K461" s="639">
        <v>0.83</v>
      </c>
      <c r="L461" s="639">
        <v>1.03</v>
      </c>
      <c r="M461" s="639">
        <v>1.03</v>
      </c>
      <c r="N461" s="639">
        <v>1.1399999999999999</v>
      </c>
      <c r="O461" s="639">
        <v>1.43</v>
      </c>
      <c r="P461" s="616">
        <v>3</v>
      </c>
    </row>
    <row r="462" spans="1:16">
      <c r="A462" s="639" t="s">
        <v>351</v>
      </c>
      <c r="B462" s="639" t="s">
        <v>306</v>
      </c>
      <c r="C462" s="639" t="s">
        <v>305</v>
      </c>
      <c r="D462" s="639" t="s">
        <v>561</v>
      </c>
      <c r="E462" s="639" t="s">
        <v>562</v>
      </c>
      <c r="F462" s="639">
        <v>8048</v>
      </c>
      <c r="G462" s="639">
        <v>341001</v>
      </c>
      <c r="H462" s="639" t="s">
        <v>367</v>
      </c>
      <c r="I462" s="639" t="s">
        <v>566</v>
      </c>
      <c r="J462" s="639">
        <v>46</v>
      </c>
      <c r="K462" s="639">
        <v>0.97</v>
      </c>
      <c r="L462" s="639">
        <v>1.01</v>
      </c>
      <c r="M462" s="639">
        <v>1.03</v>
      </c>
      <c r="N462" s="639">
        <v>1.1399999999999999</v>
      </c>
      <c r="O462" s="639">
        <v>1.33</v>
      </c>
      <c r="P462" s="616">
        <v>3</v>
      </c>
    </row>
    <row r="463" spans="1:16">
      <c r="A463" s="639" t="s">
        <v>351</v>
      </c>
      <c r="B463" s="639" t="s">
        <v>306</v>
      </c>
      <c r="C463" s="639" t="s">
        <v>305</v>
      </c>
      <c r="D463" s="639" t="s">
        <v>561</v>
      </c>
      <c r="E463" s="639" t="s">
        <v>562</v>
      </c>
      <c r="F463" s="639">
        <v>8047</v>
      </c>
      <c r="G463" s="639">
        <v>341001</v>
      </c>
      <c r="H463" s="639" t="s">
        <v>367</v>
      </c>
      <c r="I463" s="639" t="s">
        <v>566</v>
      </c>
      <c r="J463" s="639">
        <v>44</v>
      </c>
      <c r="K463" s="639">
        <v>0.9</v>
      </c>
      <c r="L463" s="639">
        <v>1.1599999999999999</v>
      </c>
      <c r="M463" s="639">
        <v>1.04</v>
      </c>
      <c r="N463" s="639">
        <v>1.04</v>
      </c>
      <c r="O463" s="639">
        <v>1.4</v>
      </c>
      <c r="P463" s="616">
        <v>3</v>
      </c>
    </row>
    <row r="464" spans="1:16">
      <c r="A464" s="639" t="s">
        <v>351</v>
      </c>
      <c r="B464" s="639" t="s">
        <v>306</v>
      </c>
      <c r="C464" s="639" t="s">
        <v>305</v>
      </c>
      <c r="D464" s="639" t="s">
        <v>561</v>
      </c>
      <c r="E464" s="639" t="s">
        <v>562</v>
      </c>
      <c r="F464" s="639">
        <v>8064</v>
      </c>
      <c r="G464" s="639">
        <v>341001</v>
      </c>
      <c r="H464" s="639" t="s">
        <v>367</v>
      </c>
      <c r="I464" s="639" t="s">
        <v>565</v>
      </c>
      <c r="J464" s="639">
        <v>40</v>
      </c>
      <c r="K464" s="639">
        <v>0.9</v>
      </c>
      <c r="L464" s="639">
        <v>1.1000000000000001</v>
      </c>
      <c r="M464" s="639">
        <v>1.08</v>
      </c>
      <c r="N464" s="639">
        <v>1.1000000000000001</v>
      </c>
      <c r="O464" s="639">
        <v>1.47</v>
      </c>
      <c r="P464" s="616">
        <v>3</v>
      </c>
    </row>
    <row r="465" spans="1:16">
      <c r="A465" s="639" t="s">
        <v>351</v>
      </c>
      <c r="B465" s="639" t="s">
        <v>306</v>
      </c>
      <c r="C465" s="639" t="s">
        <v>305</v>
      </c>
      <c r="D465" s="639" t="s">
        <v>561</v>
      </c>
      <c r="E465" s="639" t="s">
        <v>562</v>
      </c>
      <c r="F465" s="639">
        <v>28625</v>
      </c>
      <c r="G465" s="639">
        <v>341001</v>
      </c>
      <c r="H465" s="639" t="s">
        <v>367</v>
      </c>
      <c r="I465" s="639" t="s">
        <v>570</v>
      </c>
      <c r="J465" s="639">
        <v>40</v>
      </c>
      <c r="K465" s="639">
        <v>1.1599999999999999</v>
      </c>
      <c r="L465" s="639">
        <v>1</v>
      </c>
      <c r="M465" s="639">
        <v>1.0900000000000001</v>
      </c>
      <c r="N465" s="639">
        <v>1.1499999999999999</v>
      </c>
      <c r="O465" s="639">
        <v>1.51</v>
      </c>
      <c r="P465" s="616">
        <v>3</v>
      </c>
    </row>
    <row r="466" spans="1:16">
      <c r="A466" s="639" t="s">
        <v>351</v>
      </c>
      <c r="B466" s="639" t="s">
        <v>306</v>
      </c>
      <c r="C466" s="639" t="s">
        <v>305</v>
      </c>
      <c r="D466" s="639" t="s">
        <v>561</v>
      </c>
      <c r="E466" s="639" t="s">
        <v>562</v>
      </c>
      <c r="F466" s="639">
        <v>8056</v>
      </c>
      <c r="G466" s="639">
        <v>341001</v>
      </c>
      <c r="H466" s="639" t="s">
        <v>367</v>
      </c>
      <c r="I466" s="639" t="s">
        <v>568</v>
      </c>
      <c r="J466" s="639">
        <v>46</v>
      </c>
      <c r="K466" s="639">
        <v>0.78</v>
      </c>
      <c r="L466" s="639">
        <v>1</v>
      </c>
      <c r="M466" s="639">
        <v>1.1299999999999999</v>
      </c>
      <c r="N466" s="639">
        <v>1.02</v>
      </c>
      <c r="O466" s="639">
        <v>1.38</v>
      </c>
      <c r="P466" s="616">
        <v>3</v>
      </c>
    </row>
    <row r="467" spans="1:16">
      <c r="A467" s="639" t="s">
        <v>351</v>
      </c>
      <c r="B467" s="639" t="s">
        <v>306</v>
      </c>
      <c r="C467" s="639" t="s">
        <v>305</v>
      </c>
      <c r="D467" s="639" t="s">
        <v>561</v>
      </c>
      <c r="E467" s="639" t="s">
        <v>562</v>
      </c>
      <c r="F467" s="639">
        <v>28628</v>
      </c>
      <c r="G467" s="639">
        <v>341001</v>
      </c>
      <c r="H467" s="639" t="s">
        <v>367</v>
      </c>
      <c r="I467" s="639" t="s">
        <v>570</v>
      </c>
      <c r="J467" s="639">
        <v>46</v>
      </c>
      <c r="K467" s="639">
        <v>1.2</v>
      </c>
      <c r="L467" s="639">
        <v>1.05</v>
      </c>
      <c r="M467" s="639">
        <v>1.1299999999999999</v>
      </c>
      <c r="N467" s="639">
        <v>1.05</v>
      </c>
      <c r="O467" s="639">
        <v>1.43</v>
      </c>
      <c r="P467" s="616">
        <v>3</v>
      </c>
    </row>
    <row r="468" spans="1:16">
      <c r="A468" s="639" t="s">
        <v>351</v>
      </c>
      <c r="B468" s="639" t="s">
        <v>306</v>
      </c>
      <c r="C468" s="639" t="s">
        <v>305</v>
      </c>
      <c r="D468" s="639" t="s">
        <v>561</v>
      </c>
      <c r="E468" s="639" t="s">
        <v>562</v>
      </c>
      <c r="F468" s="639">
        <v>8066</v>
      </c>
      <c r="G468" s="639">
        <v>341001</v>
      </c>
      <c r="H468" s="639" t="s">
        <v>367</v>
      </c>
      <c r="I468" s="639" t="s">
        <v>565</v>
      </c>
      <c r="J468" s="639">
        <v>44</v>
      </c>
      <c r="K468" s="639">
        <v>1.31</v>
      </c>
      <c r="L468" s="639">
        <v>1.1599999999999999</v>
      </c>
      <c r="M468" s="639">
        <v>1.1299999999999999</v>
      </c>
      <c r="N468" s="639">
        <v>1.0900000000000001</v>
      </c>
      <c r="O468" s="639">
        <v>1.37</v>
      </c>
      <c r="P468" s="616">
        <v>3</v>
      </c>
    </row>
    <row r="469" spans="1:16">
      <c r="A469" s="639" t="s">
        <v>351</v>
      </c>
      <c r="B469" s="639" t="s">
        <v>306</v>
      </c>
      <c r="C469" s="639" t="s">
        <v>305</v>
      </c>
      <c r="D469" s="639" t="s">
        <v>561</v>
      </c>
      <c r="E469" s="639" t="s">
        <v>562</v>
      </c>
      <c r="F469" s="639">
        <v>8055</v>
      </c>
      <c r="G469" s="639">
        <v>341001</v>
      </c>
      <c r="H469" s="639" t="s">
        <v>367</v>
      </c>
      <c r="I469" s="639" t="s">
        <v>568</v>
      </c>
      <c r="J469" s="639">
        <v>44</v>
      </c>
      <c r="K469" s="639">
        <v>1.35</v>
      </c>
      <c r="L469" s="639">
        <v>1.01</v>
      </c>
      <c r="M469" s="639">
        <v>1.1499999999999999</v>
      </c>
      <c r="N469" s="639">
        <v>1</v>
      </c>
      <c r="O469" s="639">
        <v>1.4</v>
      </c>
      <c r="P469" s="616">
        <v>3</v>
      </c>
    </row>
    <row r="470" spans="1:16">
      <c r="A470" s="639" t="s">
        <v>351</v>
      </c>
      <c r="B470" s="639" t="s">
        <v>306</v>
      </c>
      <c r="C470" s="639" t="s">
        <v>305</v>
      </c>
      <c r="D470" s="639" t="s">
        <v>561</v>
      </c>
      <c r="E470" s="639" t="s">
        <v>562</v>
      </c>
      <c r="F470" s="639">
        <v>28627</v>
      </c>
      <c r="G470" s="639">
        <v>341001</v>
      </c>
      <c r="H470" s="639" t="s">
        <v>367</v>
      </c>
      <c r="I470" s="639" t="s">
        <v>570</v>
      </c>
      <c r="J470" s="639">
        <v>44</v>
      </c>
      <c r="K470" s="639">
        <v>0.93</v>
      </c>
      <c r="L470" s="639">
        <v>1.02</v>
      </c>
      <c r="M470" s="639">
        <v>1.1499999999999999</v>
      </c>
      <c r="N470" s="639">
        <v>1.0900000000000001</v>
      </c>
      <c r="O470" s="639">
        <v>1.36</v>
      </c>
      <c r="P470" s="616">
        <v>3</v>
      </c>
    </row>
    <row r="471" spans="1:16">
      <c r="A471" s="639" t="s">
        <v>351</v>
      </c>
      <c r="B471" s="639" t="s">
        <v>306</v>
      </c>
      <c r="C471" s="639" t="s">
        <v>305</v>
      </c>
      <c r="D471" s="639" t="s">
        <v>561</v>
      </c>
      <c r="E471" s="639" t="s">
        <v>562</v>
      </c>
      <c r="F471" s="639">
        <v>8060</v>
      </c>
      <c r="G471" s="639">
        <v>341001</v>
      </c>
      <c r="H471" s="639" t="s">
        <v>367</v>
      </c>
      <c r="I471" s="639" t="s">
        <v>563</v>
      </c>
      <c r="J471" s="639">
        <v>46</v>
      </c>
      <c r="K471" s="639">
        <v>0.75</v>
      </c>
      <c r="L471" s="639">
        <v>1.03</v>
      </c>
      <c r="M471" s="639">
        <v>1.1499999999999999</v>
      </c>
      <c r="N471" s="639">
        <v>1.0900000000000001</v>
      </c>
      <c r="O471" s="639">
        <v>1.41</v>
      </c>
      <c r="P471" s="616">
        <v>3</v>
      </c>
    </row>
    <row r="472" spans="1:16">
      <c r="A472" s="639" t="s">
        <v>351</v>
      </c>
      <c r="B472" s="639" t="s">
        <v>306</v>
      </c>
      <c r="C472" s="639" t="s">
        <v>305</v>
      </c>
      <c r="D472" s="639" t="s">
        <v>561</v>
      </c>
      <c r="E472" s="639" t="s">
        <v>562</v>
      </c>
      <c r="F472" s="639">
        <v>8029</v>
      </c>
      <c r="G472" s="639">
        <v>341001</v>
      </c>
      <c r="H472" s="639" t="s">
        <v>367</v>
      </c>
      <c r="I472" s="639" t="s">
        <v>566</v>
      </c>
      <c r="J472" s="639">
        <v>42</v>
      </c>
      <c r="K472" s="639">
        <v>1.86</v>
      </c>
      <c r="L472" s="639">
        <v>1.04</v>
      </c>
      <c r="M472" s="639">
        <v>1.17</v>
      </c>
      <c r="N472" s="639">
        <v>1.0900000000000001</v>
      </c>
      <c r="O472" s="639">
        <v>1.43</v>
      </c>
      <c r="P472" s="616">
        <v>3</v>
      </c>
    </row>
    <row r="473" spans="1:16">
      <c r="A473" s="639" t="s">
        <v>351</v>
      </c>
      <c r="B473" s="639" t="s">
        <v>306</v>
      </c>
      <c r="C473" s="639" t="s">
        <v>305</v>
      </c>
      <c r="D473" s="639" t="s">
        <v>561</v>
      </c>
      <c r="E473" s="639" t="s">
        <v>562</v>
      </c>
      <c r="F473" s="639">
        <v>8067</v>
      </c>
      <c r="G473" s="639">
        <v>341001</v>
      </c>
      <c r="H473" s="639" t="s">
        <v>367</v>
      </c>
      <c r="I473" s="639" t="s">
        <v>565</v>
      </c>
      <c r="J473" s="639">
        <v>46</v>
      </c>
      <c r="K473" s="639">
        <v>0.78</v>
      </c>
      <c r="L473" s="639">
        <v>1.18</v>
      </c>
      <c r="M473" s="639">
        <v>1.17</v>
      </c>
      <c r="N473" s="639">
        <v>1.03</v>
      </c>
      <c r="O473" s="639">
        <v>1.37</v>
      </c>
      <c r="P473" s="616">
        <v>3</v>
      </c>
    </row>
    <row r="474" spans="1:16">
      <c r="A474" s="639" t="s">
        <v>351</v>
      </c>
      <c r="B474" s="639" t="s">
        <v>306</v>
      </c>
      <c r="C474" s="639" t="s">
        <v>305</v>
      </c>
      <c r="D474" s="639" t="s">
        <v>561</v>
      </c>
      <c r="E474" s="639" t="s">
        <v>562</v>
      </c>
      <c r="F474" s="639">
        <v>8057</v>
      </c>
      <c r="G474" s="639">
        <v>341001</v>
      </c>
      <c r="H474" s="639" t="s">
        <v>367</v>
      </c>
      <c r="I474" s="639" t="s">
        <v>563</v>
      </c>
      <c r="J474" s="639">
        <v>40</v>
      </c>
      <c r="K474" s="639">
        <v>1.27</v>
      </c>
      <c r="L474" s="639">
        <v>1.1499999999999999</v>
      </c>
      <c r="M474" s="639">
        <v>1.18</v>
      </c>
      <c r="N474" s="639">
        <v>1.05</v>
      </c>
      <c r="O474" s="639">
        <v>1.32</v>
      </c>
      <c r="P474" s="616">
        <v>3</v>
      </c>
    </row>
    <row r="475" spans="1:16">
      <c r="A475" s="639" t="s">
        <v>145</v>
      </c>
      <c r="B475" s="639" t="s">
        <v>306</v>
      </c>
      <c r="C475" s="639" t="s">
        <v>305</v>
      </c>
      <c r="D475" s="639" t="s">
        <v>561</v>
      </c>
      <c r="E475" s="639" t="s">
        <v>562</v>
      </c>
      <c r="F475" s="639">
        <v>17628</v>
      </c>
      <c r="G475" s="639">
        <v>402102</v>
      </c>
      <c r="H475" s="639" t="s">
        <v>313</v>
      </c>
      <c r="I475" s="639" t="s">
        <v>568</v>
      </c>
      <c r="J475" s="639" t="s">
        <v>569</v>
      </c>
      <c r="K475" s="639">
        <v>0.76</v>
      </c>
      <c r="L475" s="639">
        <v>1.25</v>
      </c>
      <c r="M475" s="639">
        <v>1.1000000000000001</v>
      </c>
      <c r="N475" s="639">
        <v>1.19</v>
      </c>
      <c r="O475" s="639">
        <v>1.28</v>
      </c>
      <c r="P475" s="616">
        <v>31</v>
      </c>
    </row>
    <row r="476" spans="1:16">
      <c r="A476" s="639" t="s">
        <v>145</v>
      </c>
      <c r="B476" s="639" t="s">
        <v>306</v>
      </c>
      <c r="C476" s="639" t="s">
        <v>305</v>
      </c>
      <c r="D476" s="639" t="s">
        <v>561</v>
      </c>
      <c r="E476" s="639" t="s">
        <v>562</v>
      </c>
      <c r="F476" s="639">
        <v>17627</v>
      </c>
      <c r="G476" s="639">
        <v>402102</v>
      </c>
      <c r="H476" s="639" t="s">
        <v>313</v>
      </c>
      <c r="I476" s="639" t="s">
        <v>568</v>
      </c>
      <c r="J476" s="639" t="s">
        <v>564</v>
      </c>
      <c r="K476" s="639">
        <v>3.73</v>
      </c>
      <c r="L476" s="639">
        <v>2.5299999999999998</v>
      </c>
      <c r="M476" s="639">
        <v>1.31</v>
      </c>
      <c r="N476" s="639">
        <v>1.19</v>
      </c>
      <c r="O476" s="639">
        <v>1.19</v>
      </c>
      <c r="P476" s="616">
        <v>31</v>
      </c>
    </row>
    <row r="477" spans="1:16">
      <c r="A477" s="639" t="s">
        <v>145</v>
      </c>
      <c r="B477" s="639" t="s">
        <v>306</v>
      </c>
      <c r="C477" s="639" t="s">
        <v>305</v>
      </c>
      <c r="D477" s="639" t="s">
        <v>561</v>
      </c>
      <c r="E477" s="639" t="s">
        <v>562</v>
      </c>
      <c r="F477" s="639">
        <v>31375</v>
      </c>
      <c r="G477" s="639">
        <v>402102</v>
      </c>
      <c r="H477" s="639" t="s">
        <v>313</v>
      </c>
      <c r="I477" s="639" t="s">
        <v>568</v>
      </c>
      <c r="J477" s="639" t="s">
        <v>595</v>
      </c>
      <c r="K477" s="639">
        <v>4.0599999999999996</v>
      </c>
      <c r="L477" s="639">
        <v>2.86</v>
      </c>
      <c r="M477" s="639">
        <v>1.65</v>
      </c>
      <c r="N477" s="639">
        <v>1.08</v>
      </c>
      <c r="O477" s="639">
        <v>1.76</v>
      </c>
      <c r="P477" s="616">
        <v>31</v>
      </c>
    </row>
    <row r="478" spans="1:16">
      <c r="A478" s="639" t="s">
        <v>145</v>
      </c>
      <c r="B478" s="639" t="s">
        <v>306</v>
      </c>
      <c r="C478" s="639" t="s">
        <v>305</v>
      </c>
      <c r="D478" s="639" t="s">
        <v>561</v>
      </c>
      <c r="E478" s="639" t="s">
        <v>562</v>
      </c>
      <c r="F478" s="639">
        <v>17626</v>
      </c>
      <c r="G478" s="639">
        <v>402102</v>
      </c>
      <c r="H478" s="639" t="s">
        <v>313</v>
      </c>
      <c r="I478" s="639" t="s">
        <v>568</v>
      </c>
      <c r="J478" s="639" t="s">
        <v>571</v>
      </c>
      <c r="K478" s="639">
        <v>4.26</v>
      </c>
      <c r="L478" s="639">
        <v>3.06</v>
      </c>
      <c r="M478" s="639">
        <v>1.85</v>
      </c>
      <c r="N478" s="639">
        <v>1.1499999999999999</v>
      </c>
      <c r="O478" s="639">
        <v>1.25</v>
      </c>
      <c r="P478" s="616">
        <v>31</v>
      </c>
    </row>
    <row r="479" spans="1:16">
      <c r="A479" s="639" t="s">
        <v>145</v>
      </c>
      <c r="B479" s="639" t="s">
        <v>306</v>
      </c>
      <c r="C479" s="639" t="s">
        <v>305</v>
      </c>
      <c r="D479" s="639" t="s">
        <v>561</v>
      </c>
      <c r="E479" s="639" t="s">
        <v>562</v>
      </c>
      <c r="F479" s="639">
        <v>9074</v>
      </c>
      <c r="G479" s="639">
        <v>406600</v>
      </c>
      <c r="H479" s="639" t="s">
        <v>316</v>
      </c>
      <c r="I479" s="639" t="s">
        <v>563</v>
      </c>
      <c r="J479" s="639">
        <v>48</v>
      </c>
      <c r="K479" s="639">
        <v>1.1000000000000001</v>
      </c>
      <c r="L479" s="639">
        <v>1.02</v>
      </c>
      <c r="M479" s="639">
        <v>1.0900000000000001</v>
      </c>
      <c r="N479" s="639">
        <v>1.08</v>
      </c>
      <c r="O479" s="639">
        <v>1.1399999999999999</v>
      </c>
      <c r="P479" s="616">
        <v>38</v>
      </c>
    </row>
    <row r="480" spans="1:16">
      <c r="A480" s="639" t="s">
        <v>145</v>
      </c>
      <c r="B480" s="639" t="s">
        <v>306</v>
      </c>
      <c r="C480" s="639" t="s">
        <v>305</v>
      </c>
      <c r="D480" s="639" t="s">
        <v>561</v>
      </c>
      <c r="E480" s="639" t="s">
        <v>562</v>
      </c>
      <c r="F480" s="639">
        <v>9067</v>
      </c>
      <c r="G480" s="639">
        <v>406600</v>
      </c>
      <c r="H480" s="639" t="s">
        <v>316</v>
      </c>
      <c r="I480" s="639" t="s">
        <v>568</v>
      </c>
      <c r="J480" s="639">
        <v>44</v>
      </c>
      <c r="K480" s="639">
        <v>0.99</v>
      </c>
      <c r="L480" s="639">
        <v>1.06</v>
      </c>
      <c r="M480" s="639">
        <v>1.1299999999999999</v>
      </c>
      <c r="N480" s="639">
        <v>1.18</v>
      </c>
      <c r="O480" s="639">
        <v>1.51</v>
      </c>
      <c r="P480" s="616">
        <v>38</v>
      </c>
    </row>
    <row r="481" spans="1:16">
      <c r="A481" s="639" t="s">
        <v>145</v>
      </c>
      <c r="B481" s="639" t="s">
        <v>306</v>
      </c>
      <c r="C481" s="639" t="s">
        <v>305</v>
      </c>
      <c r="D481" s="639" t="s">
        <v>561</v>
      </c>
      <c r="E481" s="639" t="s">
        <v>562</v>
      </c>
      <c r="F481" s="639">
        <v>9068</v>
      </c>
      <c r="G481" s="639">
        <v>406600</v>
      </c>
      <c r="H481" s="639" t="s">
        <v>316</v>
      </c>
      <c r="I481" s="639" t="s">
        <v>568</v>
      </c>
      <c r="J481" s="639">
        <v>46</v>
      </c>
      <c r="K481" s="639">
        <v>0.81</v>
      </c>
      <c r="L481" s="639">
        <v>1.05</v>
      </c>
      <c r="M481" s="639">
        <v>1.1299999999999999</v>
      </c>
      <c r="N481" s="639">
        <v>1.04</v>
      </c>
      <c r="O481" s="639">
        <v>1.5</v>
      </c>
      <c r="P481" s="616">
        <v>38</v>
      </c>
    </row>
    <row r="482" spans="1:16">
      <c r="A482" s="639" t="s">
        <v>145</v>
      </c>
      <c r="B482" s="639" t="s">
        <v>306</v>
      </c>
      <c r="C482" s="639" t="s">
        <v>305</v>
      </c>
      <c r="D482" s="639" t="s">
        <v>561</v>
      </c>
      <c r="E482" s="639" t="s">
        <v>562</v>
      </c>
      <c r="F482" s="639">
        <v>9066</v>
      </c>
      <c r="G482" s="639">
        <v>406600</v>
      </c>
      <c r="H482" s="639" t="s">
        <v>316</v>
      </c>
      <c r="I482" s="639" t="s">
        <v>568</v>
      </c>
      <c r="J482" s="639">
        <v>42</v>
      </c>
      <c r="K482" s="639">
        <v>0.77</v>
      </c>
      <c r="L482" s="639">
        <v>1.19</v>
      </c>
      <c r="M482" s="639">
        <v>1.1399999999999999</v>
      </c>
      <c r="N482" s="639">
        <v>1.1499999999999999</v>
      </c>
      <c r="O482" s="639">
        <v>1.43</v>
      </c>
      <c r="P482" s="616">
        <v>38</v>
      </c>
    </row>
    <row r="483" spans="1:16">
      <c r="A483" s="639" t="s">
        <v>145</v>
      </c>
      <c r="B483" s="639" t="s">
        <v>306</v>
      </c>
      <c r="C483" s="639" t="s">
        <v>305</v>
      </c>
      <c r="D483" s="639" t="s">
        <v>561</v>
      </c>
      <c r="E483" s="639" t="s">
        <v>562</v>
      </c>
      <c r="F483" s="639">
        <v>9070</v>
      </c>
      <c r="G483" s="639">
        <v>406600</v>
      </c>
      <c r="H483" s="639" t="s">
        <v>316</v>
      </c>
      <c r="I483" s="639" t="s">
        <v>568</v>
      </c>
      <c r="J483" s="639">
        <v>50</v>
      </c>
      <c r="K483" s="639">
        <v>1.74</v>
      </c>
      <c r="L483" s="639">
        <v>1.1499999999999999</v>
      </c>
      <c r="M483" s="639">
        <v>1.1499999999999999</v>
      </c>
      <c r="N483" s="639">
        <v>1.1200000000000001</v>
      </c>
      <c r="O483" s="639">
        <v>1.56</v>
      </c>
      <c r="P483" s="616">
        <v>38</v>
      </c>
    </row>
    <row r="484" spans="1:16">
      <c r="A484" s="639" t="s">
        <v>145</v>
      </c>
      <c r="B484" s="639" t="s">
        <v>306</v>
      </c>
      <c r="C484" s="639" t="s">
        <v>305</v>
      </c>
      <c r="D484" s="639" t="s">
        <v>561</v>
      </c>
      <c r="E484" s="639" t="s">
        <v>562</v>
      </c>
      <c r="F484" s="639">
        <v>9072</v>
      </c>
      <c r="G484" s="639">
        <v>406600</v>
      </c>
      <c r="H484" s="639" t="s">
        <v>316</v>
      </c>
      <c r="I484" s="639" t="s">
        <v>563</v>
      </c>
      <c r="J484" s="639">
        <v>44</v>
      </c>
      <c r="K484" s="639">
        <v>1.97</v>
      </c>
      <c r="L484" s="639">
        <v>1.38</v>
      </c>
      <c r="M484" s="639">
        <v>1.1499999999999999</v>
      </c>
      <c r="N484" s="639">
        <v>1.03</v>
      </c>
      <c r="O484" s="639">
        <v>1.21</v>
      </c>
      <c r="P484" s="616">
        <v>38</v>
      </c>
    </row>
    <row r="485" spans="1:16">
      <c r="A485" s="639" t="s">
        <v>145</v>
      </c>
      <c r="B485" s="639" t="s">
        <v>306</v>
      </c>
      <c r="C485" s="639" t="s">
        <v>305</v>
      </c>
      <c r="D485" s="639" t="s">
        <v>561</v>
      </c>
      <c r="E485" s="639" t="s">
        <v>562</v>
      </c>
      <c r="F485" s="639">
        <v>9069</v>
      </c>
      <c r="G485" s="639">
        <v>406600</v>
      </c>
      <c r="H485" s="639" t="s">
        <v>316</v>
      </c>
      <c r="I485" s="639" t="s">
        <v>568</v>
      </c>
      <c r="J485" s="639">
        <v>48</v>
      </c>
      <c r="K485" s="639">
        <v>0.91</v>
      </c>
      <c r="L485" s="639">
        <v>1.03</v>
      </c>
      <c r="M485" s="639">
        <v>1.1499999999999999</v>
      </c>
      <c r="N485" s="639">
        <v>1.18</v>
      </c>
      <c r="O485" s="639">
        <v>1.25</v>
      </c>
      <c r="P485" s="616">
        <v>38</v>
      </c>
    </row>
    <row r="486" spans="1:16">
      <c r="A486" s="639" t="s">
        <v>145</v>
      </c>
      <c r="B486" s="639" t="s">
        <v>306</v>
      </c>
      <c r="C486" s="639" t="s">
        <v>305</v>
      </c>
      <c r="D486" s="639" t="s">
        <v>561</v>
      </c>
      <c r="E486" s="639" t="s">
        <v>562</v>
      </c>
      <c r="F486" s="639">
        <v>9073</v>
      </c>
      <c r="G486" s="639">
        <v>406600</v>
      </c>
      <c r="H486" s="639" t="s">
        <v>316</v>
      </c>
      <c r="I486" s="639" t="s">
        <v>563</v>
      </c>
      <c r="J486" s="639">
        <v>46</v>
      </c>
      <c r="K486" s="639">
        <v>0.79</v>
      </c>
      <c r="L486" s="639">
        <v>1.03</v>
      </c>
      <c r="M486" s="639">
        <v>1.19</v>
      </c>
      <c r="N486" s="639">
        <v>1.0900000000000001</v>
      </c>
      <c r="O486" s="639">
        <v>1.27</v>
      </c>
      <c r="P486" s="616">
        <v>38</v>
      </c>
    </row>
    <row r="487" spans="1:16">
      <c r="A487" s="639" t="s">
        <v>145</v>
      </c>
      <c r="B487" s="639" t="s">
        <v>306</v>
      </c>
      <c r="C487" s="639" t="s">
        <v>305</v>
      </c>
      <c r="D487" s="639" t="s">
        <v>561</v>
      </c>
      <c r="E487" s="639" t="s">
        <v>562</v>
      </c>
      <c r="F487" s="639">
        <v>9075</v>
      </c>
      <c r="G487" s="639">
        <v>406600</v>
      </c>
      <c r="H487" s="639" t="s">
        <v>316</v>
      </c>
      <c r="I487" s="639" t="s">
        <v>563</v>
      </c>
      <c r="J487" s="639">
        <v>50</v>
      </c>
      <c r="K487" s="639">
        <v>0.76</v>
      </c>
      <c r="L487" s="639">
        <v>0.95</v>
      </c>
      <c r="M487" s="639">
        <v>1.29</v>
      </c>
      <c r="N487" s="639">
        <v>1.29</v>
      </c>
      <c r="O487" s="639">
        <v>1.81</v>
      </c>
      <c r="P487" s="616">
        <v>38</v>
      </c>
    </row>
    <row r="488" spans="1:16">
      <c r="A488" s="639" t="s">
        <v>145</v>
      </c>
      <c r="B488" s="639" t="s">
        <v>306</v>
      </c>
      <c r="C488" s="639" t="s">
        <v>305</v>
      </c>
      <c r="D488" s="639" t="s">
        <v>561</v>
      </c>
      <c r="E488" s="639" t="s">
        <v>562</v>
      </c>
      <c r="F488" s="639">
        <v>9071</v>
      </c>
      <c r="G488" s="639">
        <v>406600</v>
      </c>
      <c r="H488" s="639" t="s">
        <v>316</v>
      </c>
      <c r="I488" s="639" t="s">
        <v>563</v>
      </c>
      <c r="J488" s="639">
        <v>42</v>
      </c>
      <c r="K488" s="639">
        <v>2.73</v>
      </c>
      <c r="L488" s="639">
        <v>1.6</v>
      </c>
      <c r="M488" s="639">
        <v>1.73</v>
      </c>
      <c r="N488" s="639">
        <v>2.13</v>
      </c>
      <c r="O488" s="639">
        <v>1.73</v>
      </c>
      <c r="P488" s="616">
        <v>38</v>
      </c>
    </row>
    <row r="489" spans="1:16">
      <c r="A489" s="639" t="s">
        <v>451</v>
      </c>
      <c r="B489" s="639" t="s">
        <v>306</v>
      </c>
      <c r="C489" s="639" t="s">
        <v>305</v>
      </c>
      <c r="D489" s="639" t="s">
        <v>561</v>
      </c>
      <c r="E489" s="639" t="s">
        <v>562</v>
      </c>
      <c r="F489" s="639">
        <v>9188</v>
      </c>
      <c r="G489" s="639">
        <v>413400</v>
      </c>
      <c r="H489" s="639" t="s">
        <v>454</v>
      </c>
      <c r="I489" s="639" t="s">
        <v>563</v>
      </c>
      <c r="J489" s="639">
        <v>44</v>
      </c>
      <c r="K489" s="639">
        <v>1.19</v>
      </c>
      <c r="L489" s="639">
        <v>1.1499999999999999</v>
      </c>
      <c r="M489" s="639">
        <v>1.02</v>
      </c>
      <c r="N489" s="639">
        <v>1</v>
      </c>
      <c r="O489" s="639">
        <v>1.37</v>
      </c>
      <c r="P489" s="616">
        <v>24</v>
      </c>
    </row>
    <row r="490" spans="1:16">
      <c r="A490" s="639" t="s">
        <v>451</v>
      </c>
      <c r="B490" s="639" t="s">
        <v>306</v>
      </c>
      <c r="C490" s="639" t="s">
        <v>305</v>
      </c>
      <c r="D490" s="639" t="s">
        <v>561</v>
      </c>
      <c r="E490" s="639" t="s">
        <v>562</v>
      </c>
      <c r="F490" s="639">
        <v>9205</v>
      </c>
      <c r="G490" s="639">
        <v>413400</v>
      </c>
      <c r="H490" s="639" t="s">
        <v>454</v>
      </c>
      <c r="I490" s="639" t="s">
        <v>565</v>
      </c>
      <c r="J490" s="639">
        <v>46</v>
      </c>
      <c r="K490" s="639">
        <v>0.96</v>
      </c>
      <c r="L490" s="639">
        <v>1.1000000000000001</v>
      </c>
      <c r="M490" s="639">
        <v>1.03</v>
      </c>
      <c r="N490" s="639">
        <v>1.01</v>
      </c>
      <c r="O490" s="639">
        <v>1.34</v>
      </c>
      <c r="P490" s="616">
        <v>24</v>
      </c>
    </row>
    <row r="491" spans="1:16">
      <c r="A491" s="639" t="s">
        <v>451</v>
      </c>
      <c r="B491" s="639" t="s">
        <v>306</v>
      </c>
      <c r="C491" s="639" t="s">
        <v>305</v>
      </c>
      <c r="D491" s="639" t="s">
        <v>561</v>
      </c>
      <c r="E491" s="639" t="s">
        <v>562</v>
      </c>
      <c r="F491" s="639">
        <v>9187</v>
      </c>
      <c r="G491" s="639">
        <v>413400</v>
      </c>
      <c r="H491" s="639" t="s">
        <v>454</v>
      </c>
      <c r="I491" s="639" t="s">
        <v>563</v>
      </c>
      <c r="J491" s="639">
        <v>42</v>
      </c>
      <c r="K491" s="639">
        <v>1.44</v>
      </c>
      <c r="L491" s="639">
        <v>1.1200000000000001</v>
      </c>
      <c r="M491" s="639">
        <v>1.08</v>
      </c>
      <c r="N491" s="639">
        <v>1.1399999999999999</v>
      </c>
      <c r="O491" s="639">
        <v>1.39</v>
      </c>
      <c r="P491" s="616">
        <v>24</v>
      </c>
    </row>
    <row r="492" spans="1:16">
      <c r="A492" s="639" t="s">
        <v>451</v>
      </c>
      <c r="B492" s="639" t="s">
        <v>306</v>
      </c>
      <c r="C492" s="639" t="s">
        <v>305</v>
      </c>
      <c r="D492" s="639" t="s">
        <v>561</v>
      </c>
      <c r="E492" s="639" t="s">
        <v>562</v>
      </c>
      <c r="F492" s="639">
        <v>9203</v>
      </c>
      <c r="G492" s="639">
        <v>413400</v>
      </c>
      <c r="H492" s="639" t="s">
        <v>454</v>
      </c>
      <c r="I492" s="639" t="s">
        <v>565</v>
      </c>
      <c r="J492" s="639">
        <v>42</v>
      </c>
      <c r="K492" s="639">
        <v>0.81</v>
      </c>
      <c r="L492" s="639">
        <v>1.18</v>
      </c>
      <c r="M492" s="639">
        <v>1.1000000000000001</v>
      </c>
      <c r="N492" s="639">
        <v>1.1399999999999999</v>
      </c>
      <c r="O492" s="639">
        <v>1.37</v>
      </c>
      <c r="P492" s="616">
        <v>24</v>
      </c>
    </row>
    <row r="493" spans="1:16">
      <c r="A493" s="639" t="s">
        <v>451</v>
      </c>
      <c r="B493" s="639" t="s">
        <v>306</v>
      </c>
      <c r="C493" s="639" t="s">
        <v>305</v>
      </c>
      <c r="D493" s="639" t="s">
        <v>561</v>
      </c>
      <c r="E493" s="639" t="s">
        <v>562</v>
      </c>
      <c r="F493" s="639">
        <v>9197</v>
      </c>
      <c r="G493" s="639">
        <v>413400</v>
      </c>
      <c r="H493" s="639" t="s">
        <v>454</v>
      </c>
      <c r="I493" s="639" t="s">
        <v>568</v>
      </c>
      <c r="J493" s="639">
        <v>46</v>
      </c>
      <c r="K493" s="639">
        <v>2.2400000000000002</v>
      </c>
      <c r="L493" s="639">
        <v>1.05</v>
      </c>
      <c r="M493" s="639">
        <v>1.1299999999999999</v>
      </c>
      <c r="N493" s="639">
        <v>1.18</v>
      </c>
      <c r="O493" s="639">
        <v>1.43</v>
      </c>
      <c r="P493" s="616">
        <v>24</v>
      </c>
    </row>
    <row r="494" spans="1:16">
      <c r="A494" s="639" t="s">
        <v>451</v>
      </c>
      <c r="B494" s="639" t="s">
        <v>306</v>
      </c>
      <c r="C494" s="639" t="s">
        <v>305</v>
      </c>
      <c r="D494" s="639" t="s">
        <v>561</v>
      </c>
      <c r="E494" s="639" t="s">
        <v>562</v>
      </c>
      <c r="F494" s="639">
        <v>9204</v>
      </c>
      <c r="G494" s="639">
        <v>413400</v>
      </c>
      <c r="H494" s="639" t="s">
        <v>454</v>
      </c>
      <c r="I494" s="639" t="s">
        <v>565</v>
      </c>
      <c r="J494" s="639">
        <v>44</v>
      </c>
      <c r="K494" s="639">
        <v>0.79</v>
      </c>
      <c r="L494" s="639">
        <v>1.06</v>
      </c>
      <c r="M494" s="639">
        <v>1.1299999999999999</v>
      </c>
      <c r="N494" s="639">
        <v>1.1399999999999999</v>
      </c>
      <c r="O494" s="639">
        <v>1.37</v>
      </c>
      <c r="P494" s="616">
        <v>24</v>
      </c>
    </row>
    <row r="495" spans="1:16">
      <c r="A495" s="639" t="s">
        <v>451</v>
      </c>
      <c r="B495" s="639" t="s">
        <v>306</v>
      </c>
      <c r="C495" s="639" t="s">
        <v>305</v>
      </c>
      <c r="D495" s="639" t="s">
        <v>561</v>
      </c>
      <c r="E495" s="639" t="s">
        <v>562</v>
      </c>
      <c r="F495" s="639">
        <v>9206</v>
      </c>
      <c r="G495" s="639">
        <v>413400</v>
      </c>
      <c r="H495" s="639" t="s">
        <v>454</v>
      </c>
      <c r="I495" s="639" t="s">
        <v>565</v>
      </c>
      <c r="J495" s="639">
        <v>48</v>
      </c>
      <c r="K495" s="639">
        <v>1.6</v>
      </c>
      <c r="L495" s="639">
        <v>1.1499999999999999</v>
      </c>
      <c r="M495" s="639">
        <v>1.1399999999999999</v>
      </c>
      <c r="N495" s="639">
        <v>1</v>
      </c>
      <c r="O495" s="639">
        <v>1.4</v>
      </c>
      <c r="P495" s="616">
        <v>24</v>
      </c>
    </row>
    <row r="496" spans="1:16">
      <c r="A496" s="639" t="s">
        <v>451</v>
      </c>
      <c r="B496" s="639" t="s">
        <v>306</v>
      </c>
      <c r="C496" s="639" t="s">
        <v>305</v>
      </c>
      <c r="D496" s="639" t="s">
        <v>561</v>
      </c>
      <c r="E496" s="639" t="s">
        <v>562</v>
      </c>
      <c r="F496" s="639">
        <v>9189</v>
      </c>
      <c r="G496" s="639">
        <v>413400</v>
      </c>
      <c r="H496" s="639" t="s">
        <v>454</v>
      </c>
      <c r="I496" s="639" t="s">
        <v>563</v>
      </c>
      <c r="J496" s="639">
        <v>46</v>
      </c>
      <c r="K496" s="639">
        <v>0.79</v>
      </c>
      <c r="L496" s="639">
        <v>1.1599999999999999</v>
      </c>
      <c r="M496" s="639">
        <v>1.1399999999999999</v>
      </c>
      <c r="N496" s="639">
        <v>1.1399999999999999</v>
      </c>
      <c r="O496" s="639">
        <v>1.34</v>
      </c>
      <c r="P496" s="616">
        <v>24</v>
      </c>
    </row>
    <row r="497" spans="1:16">
      <c r="A497" s="639" t="s">
        <v>451</v>
      </c>
      <c r="B497" s="639" t="s">
        <v>306</v>
      </c>
      <c r="C497" s="639" t="s">
        <v>305</v>
      </c>
      <c r="D497" s="639" t="s">
        <v>561</v>
      </c>
      <c r="E497" s="639" t="s">
        <v>562</v>
      </c>
      <c r="F497" s="639">
        <v>9198</v>
      </c>
      <c r="G497" s="639">
        <v>413400</v>
      </c>
      <c r="H497" s="639" t="s">
        <v>454</v>
      </c>
      <c r="I497" s="639" t="s">
        <v>568</v>
      </c>
      <c r="J497" s="639">
        <v>48</v>
      </c>
      <c r="K497" s="639">
        <v>2.88</v>
      </c>
      <c r="L497" s="639">
        <v>1.69</v>
      </c>
      <c r="M497" s="639">
        <v>1.17</v>
      </c>
      <c r="N497" s="639">
        <v>1.1499999999999999</v>
      </c>
      <c r="O497" s="639">
        <v>1.47</v>
      </c>
      <c r="P497" s="616">
        <v>24</v>
      </c>
    </row>
    <row r="498" spans="1:16">
      <c r="A498" s="639" t="s">
        <v>451</v>
      </c>
      <c r="B498" s="639" t="s">
        <v>306</v>
      </c>
      <c r="C498" s="639" t="s">
        <v>305</v>
      </c>
      <c r="D498" s="639" t="s">
        <v>561</v>
      </c>
      <c r="E498" s="639" t="s">
        <v>562</v>
      </c>
      <c r="F498" s="639">
        <v>9196</v>
      </c>
      <c r="G498" s="639">
        <v>413400</v>
      </c>
      <c r="H498" s="639" t="s">
        <v>454</v>
      </c>
      <c r="I498" s="639" t="s">
        <v>568</v>
      </c>
      <c r="J498" s="639">
        <v>44</v>
      </c>
      <c r="K498" s="639">
        <v>2.2799999999999998</v>
      </c>
      <c r="L498" s="639">
        <v>1.0900000000000001</v>
      </c>
      <c r="M498" s="639">
        <v>1.17</v>
      </c>
      <c r="N498" s="639">
        <v>1.04</v>
      </c>
      <c r="O498" s="639">
        <v>1.47</v>
      </c>
      <c r="P498" s="616">
        <v>24</v>
      </c>
    </row>
    <row r="499" spans="1:16">
      <c r="A499" s="639" t="s">
        <v>451</v>
      </c>
      <c r="B499" s="639" t="s">
        <v>306</v>
      </c>
      <c r="C499" s="639" t="s">
        <v>305</v>
      </c>
      <c r="D499" s="639" t="s">
        <v>561</v>
      </c>
      <c r="E499" s="639" t="s">
        <v>562</v>
      </c>
      <c r="F499" s="639">
        <v>9190</v>
      </c>
      <c r="G499" s="639">
        <v>413400</v>
      </c>
      <c r="H499" s="639" t="s">
        <v>454</v>
      </c>
      <c r="I499" s="639" t="s">
        <v>563</v>
      </c>
      <c r="J499" s="639">
        <v>48</v>
      </c>
      <c r="K499" s="639">
        <v>1.01</v>
      </c>
      <c r="L499" s="639">
        <v>1.1200000000000001</v>
      </c>
      <c r="M499" s="639">
        <v>1.17</v>
      </c>
      <c r="N499" s="639">
        <v>1.01</v>
      </c>
      <c r="O499" s="639">
        <v>1.36</v>
      </c>
      <c r="P499" s="616">
        <v>24</v>
      </c>
    </row>
    <row r="500" spans="1:16">
      <c r="A500" s="639" t="s">
        <v>451</v>
      </c>
      <c r="B500" s="639" t="s">
        <v>306</v>
      </c>
      <c r="C500" s="639" t="s">
        <v>305</v>
      </c>
      <c r="D500" s="639" t="s">
        <v>561</v>
      </c>
      <c r="E500" s="639" t="s">
        <v>562</v>
      </c>
      <c r="F500" s="639">
        <v>9195</v>
      </c>
      <c r="G500" s="639">
        <v>413400</v>
      </c>
      <c r="H500" s="639" t="s">
        <v>454</v>
      </c>
      <c r="I500" s="639" t="s">
        <v>568</v>
      </c>
      <c r="J500" s="639">
        <v>42</v>
      </c>
      <c r="K500" s="639">
        <v>3.26</v>
      </c>
      <c r="L500" s="639">
        <v>2.0699999999999998</v>
      </c>
      <c r="M500" s="639">
        <v>1.33</v>
      </c>
      <c r="N500" s="639">
        <v>1.1200000000000001</v>
      </c>
      <c r="O500" s="639">
        <v>1.35</v>
      </c>
      <c r="P500" s="616">
        <v>24</v>
      </c>
    </row>
    <row r="501" spans="1:16">
      <c r="A501" s="639" t="s">
        <v>349</v>
      </c>
      <c r="B501" s="639" t="s">
        <v>392</v>
      </c>
      <c r="C501" s="639" t="s">
        <v>305</v>
      </c>
      <c r="D501" s="639" t="s">
        <v>561</v>
      </c>
      <c r="E501" s="639" t="s">
        <v>562</v>
      </c>
      <c r="F501" s="639">
        <v>23092</v>
      </c>
      <c r="G501" s="639">
        <v>501701</v>
      </c>
      <c r="H501" s="639" t="s">
        <v>395</v>
      </c>
      <c r="I501" s="639" t="s">
        <v>563</v>
      </c>
      <c r="J501" s="639" t="s">
        <v>569</v>
      </c>
      <c r="K501" s="639">
        <v>2.13</v>
      </c>
      <c r="L501" s="639">
        <v>1.1200000000000001</v>
      </c>
      <c r="M501" s="639">
        <v>1.03</v>
      </c>
      <c r="N501" s="639">
        <v>1.18</v>
      </c>
      <c r="O501" s="639">
        <v>1.37</v>
      </c>
      <c r="P501" s="616">
        <v>21</v>
      </c>
    </row>
    <row r="502" spans="1:16">
      <c r="A502" s="639" t="s">
        <v>349</v>
      </c>
      <c r="B502" s="639" t="s">
        <v>392</v>
      </c>
      <c r="C502" s="639" t="s">
        <v>305</v>
      </c>
      <c r="D502" s="639" t="s">
        <v>561</v>
      </c>
      <c r="E502" s="639" t="s">
        <v>562</v>
      </c>
      <c r="F502" s="639">
        <v>9899</v>
      </c>
      <c r="G502" s="639">
        <v>501701</v>
      </c>
      <c r="H502" s="639" t="s">
        <v>395</v>
      </c>
      <c r="I502" s="639" t="s">
        <v>565</v>
      </c>
      <c r="J502" s="639" t="s">
        <v>571</v>
      </c>
      <c r="K502" s="639">
        <v>2.81</v>
      </c>
      <c r="L502" s="639">
        <v>1.62</v>
      </c>
      <c r="M502" s="639">
        <v>1.04</v>
      </c>
      <c r="N502" s="639">
        <v>1.1499999999999999</v>
      </c>
      <c r="O502" s="639">
        <v>1.33</v>
      </c>
      <c r="P502" s="616">
        <v>21</v>
      </c>
    </row>
    <row r="503" spans="1:16">
      <c r="A503" s="639" t="s">
        <v>349</v>
      </c>
      <c r="B503" s="639" t="s">
        <v>392</v>
      </c>
      <c r="C503" s="639" t="s">
        <v>305</v>
      </c>
      <c r="D503" s="639" t="s">
        <v>561</v>
      </c>
      <c r="E503" s="639" t="s">
        <v>562</v>
      </c>
      <c r="F503" s="639">
        <v>9894</v>
      </c>
      <c r="G503" s="639">
        <v>501701</v>
      </c>
      <c r="H503" s="639" t="s">
        <v>395</v>
      </c>
      <c r="I503" s="639" t="s">
        <v>563</v>
      </c>
      <c r="J503" s="639" t="s">
        <v>564</v>
      </c>
      <c r="K503" s="639">
        <v>3.17</v>
      </c>
      <c r="L503" s="639">
        <v>1.97</v>
      </c>
      <c r="M503" s="639">
        <v>1.04</v>
      </c>
      <c r="N503" s="639">
        <v>1.1399999999999999</v>
      </c>
      <c r="O503" s="639">
        <v>1.36</v>
      </c>
      <c r="P503" s="616">
        <v>21</v>
      </c>
    </row>
    <row r="504" spans="1:16">
      <c r="A504" s="639" t="s">
        <v>349</v>
      </c>
      <c r="B504" s="639" t="s">
        <v>392</v>
      </c>
      <c r="C504" s="639" t="s">
        <v>305</v>
      </c>
      <c r="D504" s="639" t="s">
        <v>561</v>
      </c>
      <c r="E504" s="639" t="s">
        <v>562</v>
      </c>
      <c r="F504" s="639">
        <v>17835</v>
      </c>
      <c r="G504" s="639">
        <v>501701</v>
      </c>
      <c r="H504" s="639" t="s">
        <v>395</v>
      </c>
      <c r="I504" s="639" t="s">
        <v>596</v>
      </c>
      <c r="J504" s="639" t="s">
        <v>564</v>
      </c>
      <c r="K504" s="639">
        <v>2.73</v>
      </c>
      <c r="L504" s="639">
        <v>1.53</v>
      </c>
      <c r="M504" s="639">
        <v>1.07</v>
      </c>
      <c r="N504" s="639">
        <v>1.02</v>
      </c>
      <c r="O504" s="639">
        <v>1.34</v>
      </c>
      <c r="P504" s="616">
        <v>21</v>
      </c>
    </row>
    <row r="505" spans="1:16">
      <c r="A505" s="639" t="s">
        <v>349</v>
      </c>
      <c r="B505" s="639" t="s">
        <v>392</v>
      </c>
      <c r="C505" s="639" t="s">
        <v>305</v>
      </c>
      <c r="D505" s="639" t="s">
        <v>561</v>
      </c>
      <c r="E505" s="639" t="s">
        <v>562</v>
      </c>
      <c r="F505" s="639">
        <v>17833</v>
      </c>
      <c r="G505" s="639">
        <v>501701</v>
      </c>
      <c r="H505" s="639" t="s">
        <v>395</v>
      </c>
      <c r="I505" s="639" t="s">
        <v>596</v>
      </c>
      <c r="J505" s="639" t="s">
        <v>567</v>
      </c>
      <c r="K505" s="639">
        <v>2.68</v>
      </c>
      <c r="L505" s="639">
        <v>1.48</v>
      </c>
      <c r="M505" s="639">
        <v>1.08</v>
      </c>
      <c r="N505" s="639">
        <v>1.1499999999999999</v>
      </c>
      <c r="O505" s="639">
        <v>1.29</v>
      </c>
      <c r="P505" s="616">
        <v>21</v>
      </c>
    </row>
    <row r="506" spans="1:16">
      <c r="A506" s="639" t="s">
        <v>349</v>
      </c>
      <c r="B506" s="639" t="s">
        <v>392</v>
      </c>
      <c r="C506" s="639" t="s">
        <v>305</v>
      </c>
      <c r="D506" s="639" t="s">
        <v>561</v>
      </c>
      <c r="E506" s="639" t="s">
        <v>562</v>
      </c>
      <c r="F506" s="639">
        <v>23093</v>
      </c>
      <c r="G506" s="639">
        <v>501701</v>
      </c>
      <c r="H506" s="639" t="s">
        <v>395</v>
      </c>
      <c r="I506" s="639" t="s">
        <v>596</v>
      </c>
      <c r="J506" s="639" t="s">
        <v>569</v>
      </c>
      <c r="K506" s="639">
        <v>2.4</v>
      </c>
      <c r="L506" s="639">
        <v>1.2</v>
      </c>
      <c r="M506" s="639">
        <v>1.1000000000000001</v>
      </c>
      <c r="N506" s="639">
        <v>1.1399999999999999</v>
      </c>
      <c r="O506" s="639">
        <v>1.36</v>
      </c>
      <c r="P506" s="616">
        <v>21</v>
      </c>
    </row>
    <row r="507" spans="1:16">
      <c r="A507" s="639" t="s">
        <v>349</v>
      </c>
      <c r="B507" s="639" t="s">
        <v>392</v>
      </c>
      <c r="C507" s="639" t="s">
        <v>305</v>
      </c>
      <c r="D507" s="639" t="s">
        <v>561</v>
      </c>
      <c r="E507" s="639" t="s">
        <v>562</v>
      </c>
      <c r="F507" s="639">
        <v>9869</v>
      </c>
      <c r="G507" s="639">
        <v>501701</v>
      </c>
      <c r="H507" s="639" t="s">
        <v>395</v>
      </c>
      <c r="I507" s="639" t="s">
        <v>566</v>
      </c>
      <c r="J507" s="639" t="s">
        <v>571</v>
      </c>
      <c r="K507" s="639">
        <v>3.22</v>
      </c>
      <c r="L507" s="639">
        <v>2.0299999999999998</v>
      </c>
      <c r="M507" s="639">
        <v>1.1299999999999999</v>
      </c>
      <c r="N507" s="639">
        <v>1.03</v>
      </c>
      <c r="O507" s="639">
        <v>1.44</v>
      </c>
      <c r="P507" s="616">
        <v>21</v>
      </c>
    </row>
    <row r="508" spans="1:16">
      <c r="A508" s="639" t="s">
        <v>349</v>
      </c>
      <c r="B508" s="639" t="s">
        <v>392</v>
      </c>
      <c r="C508" s="639" t="s">
        <v>305</v>
      </c>
      <c r="D508" s="639" t="s">
        <v>561</v>
      </c>
      <c r="E508" s="639" t="s">
        <v>562</v>
      </c>
      <c r="F508" s="639">
        <v>9868</v>
      </c>
      <c r="G508" s="639">
        <v>501701</v>
      </c>
      <c r="H508" s="639" t="s">
        <v>395</v>
      </c>
      <c r="I508" s="639" t="s">
        <v>566</v>
      </c>
      <c r="J508" s="639" t="s">
        <v>567</v>
      </c>
      <c r="K508" s="639">
        <v>2.44</v>
      </c>
      <c r="L508" s="639">
        <v>1.25</v>
      </c>
      <c r="M508" s="639">
        <v>1.1399999999999999</v>
      </c>
      <c r="N508" s="639">
        <v>1.0900000000000001</v>
      </c>
      <c r="O508" s="639">
        <v>1.52</v>
      </c>
      <c r="P508" s="616">
        <v>21</v>
      </c>
    </row>
    <row r="509" spans="1:16">
      <c r="A509" s="639" t="s">
        <v>349</v>
      </c>
      <c r="B509" s="639" t="s">
        <v>392</v>
      </c>
      <c r="C509" s="639" t="s">
        <v>305</v>
      </c>
      <c r="D509" s="639" t="s">
        <v>561</v>
      </c>
      <c r="E509" s="639" t="s">
        <v>562</v>
      </c>
      <c r="F509" s="639">
        <v>9892</v>
      </c>
      <c r="G509" s="639">
        <v>501701</v>
      </c>
      <c r="H509" s="639" t="s">
        <v>395</v>
      </c>
      <c r="I509" s="639" t="s">
        <v>563</v>
      </c>
      <c r="J509" s="639" t="s">
        <v>567</v>
      </c>
      <c r="K509" s="639">
        <v>2.71</v>
      </c>
      <c r="L509" s="639">
        <v>1.51</v>
      </c>
      <c r="M509" s="639">
        <v>1.1399999999999999</v>
      </c>
      <c r="N509" s="639">
        <v>1.03</v>
      </c>
      <c r="O509" s="639">
        <v>1.45</v>
      </c>
      <c r="P509" s="616">
        <v>21</v>
      </c>
    </row>
    <row r="510" spans="1:16">
      <c r="A510" s="639" t="s">
        <v>349</v>
      </c>
      <c r="B510" s="639" t="s">
        <v>392</v>
      </c>
      <c r="C510" s="639" t="s">
        <v>305</v>
      </c>
      <c r="D510" s="639" t="s">
        <v>561</v>
      </c>
      <c r="E510" s="639" t="s">
        <v>562</v>
      </c>
      <c r="F510" s="639">
        <v>9900</v>
      </c>
      <c r="G510" s="639">
        <v>501701</v>
      </c>
      <c r="H510" s="639" t="s">
        <v>395</v>
      </c>
      <c r="I510" s="639" t="s">
        <v>565</v>
      </c>
      <c r="J510" s="639" t="s">
        <v>564</v>
      </c>
      <c r="K510" s="639">
        <v>3.07</v>
      </c>
      <c r="L510" s="639">
        <v>1.87</v>
      </c>
      <c r="M510" s="639">
        <v>1.1399999999999999</v>
      </c>
      <c r="N510" s="639">
        <v>1.03</v>
      </c>
      <c r="O510" s="639">
        <v>1.4</v>
      </c>
      <c r="P510" s="616">
        <v>21</v>
      </c>
    </row>
    <row r="511" spans="1:16">
      <c r="A511" s="639" t="s">
        <v>349</v>
      </c>
      <c r="B511" s="639" t="s">
        <v>392</v>
      </c>
      <c r="C511" s="639" t="s">
        <v>305</v>
      </c>
      <c r="D511" s="639" t="s">
        <v>561</v>
      </c>
      <c r="E511" s="639" t="s">
        <v>562</v>
      </c>
      <c r="F511" s="639">
        <v>9870</v>
      </c>
      <c r="G511" s="639">
        <v>501701</v>
      </c>
      <c r="H511" s="639" t="s">
        <v>395</v>
      </c>
      <c r="I511" s="639" t="s">
        <v>566</v>
      </c>
      <c r="J511" s="639" t="s">
        <v>564</v>
      </c>
      <c r="K511" s="639">
        <v>3.11</v>
      </c>
      <c r="L511" s="639">
        <v>1.91</v>
      </c>
      <c r="M511" s="639">
        <v>1.1399999999999999</v>
      </c>
      <c r="N511" s="639">
        <v>1</v>
      </c>
      <c r="O511" s="639">
        <v>1.42</v>
      </c>
      <c r="P511" s="616">
        <v>21</v>
      </c>
    </row>
    <row r="512" spans="1:16">
      <c r="A512" s="639" t="s">
        <v>349</v>
      </c>
      <c r="B512" s="639" t="s">
        <v>392</v>
      </c>
      <c r="C512" s="639" t="s">
        <v>305</v>
      </c>
      <c r="D512" s="639" t="s">
        <v>561</v>
      </c>
      <c r="E512" s="639" t="s">
        <v>562</v>
      </c>
      <c r="F512" s="639">
        <v>31108</v>
      </c>
      <c r="G512" s="639">
        <v>501701</v>
      </c>
      <c r="H512" s="639" t="s">
        <v>395</v>
      </c>
      <c r="I512" s="639" t="s">
        <v>565</v>
      </c>
      <c r="J512" s="639" t="s">
        <v>569</v>
      </c>
      <c r="K512" s="639">
        <v>1.9</v>
      </c>
      <c r="L512" s="639">
        <v>1.1399999999999999</v>
      </c>
      <c r="M512" s="639">
        <v>1.1599999999999999</v>
      </c>
      <c r="N512" s="639">
        <v>1.1399999999999999</v>
      </c>
      <c r="O512" s="639">
        <v>1.58</v>
      </c>
      <c r="P512" s="616">
        <v>21</v>
      </c>
    </row>
    <row r="513" spans="1:16">
      <c r="A513" s="639" t="s">
        <v>349</v>
      </c>
      <c r="B513" s="639" t="s">
        <v>392</v>
      </c>
      <c r="C513" s="639" t="s">
        <v>305</v>
      </c>
      <c r="D513" s="639" t="s">
        <v>561</v>
      </c>
      <c r="E513" s="639" t="s">
        <v>562</v>
      </c>
      <c r="F513" s="639">
        <v>9898</v>
      </c>
      <c r="G513" s="639">
        <v>501701</v>
      </c>
      <c r="H513" s="639" t="s">
        <v>395</v>
      </c>
      <c r="I513" s="639" t="s">
        <v>565</v>
      </c>
      <c r="J513" s="639" t="s">
        <v>567</v>
      </c>
      <c r="K513" s="639">
        <v>2.89</v>
      </c>
      <c r="L513" s="639">
        <v>1.69</v>
      </c>
      <c r="M513" s="639">
        <v>1.1599999999999999</v>
      </c>
      <c r="N513" s="639">
        <v>1.0900000000000001</v>
      </c>
      <c r="O513" s="639">
        <v>1.28</v>
      </c>
      <c r="P513" s="616">
        <v>21</v>
      </c>
    </row>
    <row r="514" spans="1:16">
      <c r="A514" s="639" t="s">
        <v>349</v>
      </c>
      <c r="B514" s="639" t="s">
        <v>392</v>
      </c>
      <c r="C514" s="639" t="s">
        <v>305</v>
      </c>
      <c r="D514" s="639" t="s">
        <v>561</v>
      </c>
      <c r="E514" s="639" t="s">
        <v>562</v>
      </c>
      <c r="F514" s="639">
        <v>17834</v>
      </c>
      <c r="G514" s="639">
        <v>501701</v>
      </c>
      <c r="H514" s="639" t="s">
        <v>395</v>
      </c>
      <c r="I514" s="639" t="s">
        <v>596</v>
      </c>
      <c r="J514" s="639" t="s">
        <v>571</v>
      </c>
      <c r="K514" s="639">
        <v>2.2799999999999998</v>
      </c>
      <c r="L514" s="639">
        <v>1.0900000000000001</v>
      </c>
      <c r="M514" s="639">
        <v>1.18</v>
      </c>
      <c r="N514" s="639">
        <v>1.1399999999999999</v>
      </c>
      <c r="O514" s="639">
        <v>1.47</v>
      </c>
      <c r="P514" s="616">
        <v>21</v>
      </c>
    </row>
    <row r="515" spans="1:16">
      <c r="A515" s="639" t="s">
        <v>349</v>
      </c>
      <c r="B515" s="639" t="s">
        <v>392</v>
      </c>
      <c r="C515" s="639" t="s">
        <v>305</v>
      </c>
      <c r="D515" s="639" t="s">
        <v>561</v>
      </c>
      <c r="E515" s="639" t="s">
        <v>562</v>
      </c>
      <c r="F515" s="639">
        <v>9893</v>
      </c>
      <c r="G515" s="639">
        <v>501701</v>
      </c>
      <c r="H515" s="639" t="s">
        <v>395</v>
      </c>
      <c r="I515" s="639" t="s">
        <v>563</v>
      </c>
      <c r="J515" s="639" t="s">
        <v>571</v>
      </c>
      <c r="K515" s="639">
        <v>2.92</v>
      </c>
      <c r="L515" s="639">
        <v>1.72</v>
      </c>
      <c r="M515" s="639">
        <v>1.18</v>
      </c>
      <c r="N515" s="639">
        <v>1.04</v>
      </c>
      <c r="O515" s="639">
        <v>1.42</v>
      </c>
      <c r="P515" s="616">
        <v>21</v>
      </c>
    </row>
    <row r="516" spans="1:16">
      <c r="A516" s="639" t="s">
        <v>349</v>
      </c>
      <c r="B516" s="639" t="s">
        <v>392</v>
      </c>
      <c r="C516" s="639" t="s">
        <v>305</v>
      </c>
      <c r="D516" s="639" t="s">
        <v>561</v>
      </c>
      <c r="E516" s="639" t="s">
        <v>562</v>
      </c>
      <c r="F516" s="639">
        <v>23091</v>
      </c>
      <c r="G516" s="639">
        <v>501701</v>
      </c>
      <c r="H516" s="639" t="s">
        <v>395</v>
      </c>
      <c r="I516" s="639" t="s">
        <v>566</v>
      </c>
      <c r="J516" s="639" t="s">
        <v>569</v>
      </c>
      <c r="K516" s="639">
        <v>3.21</v>
      </c>
      <c r="L516" s="639">
        <v>2.02</v>
      </c>
      <c r="M516" s="639">
        <v>1.19</v>
      </c>
      <c r="N516" s="639">
        <v>1.0900000000000001</v>
      </c>
      <c r="O516" s="639">
        <v>1.31</v>
      </c>
      <c r="P516" s="616">
        <v>21</v>
      </c>
    </row>
    <row r="517" spans="1:16">
      <c r="A517" s="639" t="s">
        <v>349</v>
      </c>
      <c r="B517" s="639" t="s">
        <v>392</v>
      </c>
      <c r="C517" s="639" t="s">
        <v>305</v>
      </c>
      <c r="D517" s="639" t="s">
        <v>561</v>
      </c>
      <c r="E517" s="639" t="s">
        <v>562</v>
      </c>
      <c r="F517" s="639">
        <v>9958</v>
      </c>
      <c r="G517" s="639">
        <v>503001</v>
      </c>
      <c r="H517" s="639" t="s">
        <v>397</v>
      </c>
      <c r="I517" s="639" t="s">
        <v>563</v>
      </c>
      <c r="J517" s="639">
        <v>42</v>
      </c>
      <c r="K517" s="639">
        <v>0.87</v>
      </c>
      <c r="L517" s="639">
        <v>1.1499999999999999</v>
      </c>
      <c r="M517" s="639">
        <v>1.01</v>
      </c>
      <c r="N517" s="639">
        <v>1.0900000000000001</v>
      </c>
      <c r="O517" s="639">
        <v>1.36</v>
      </c>
      <c r="P517" s="616">
        <v>19</v>
      </c>
    </row>
    <row r="518" spans="1:16">
      <c r="A518" s="639" t="s">
        <v>349</v>
      </c>
      <c r="B518" s="639" t="s">
        <v>392</v>
      </c>
      <c r="C518" s="639" t="s">
        <v>305</v>
      </c>
      <c r="D518" s="639" t="s">
        <v>561</v>
      </c>
      <c r="E518" s="639" t="s">
        <v>562</v>
      </c>
      <c r="F518" s="639">
        <v>9983</v>
      </c>
      <c r="G518" s="639">
        <v>503001</v>
      </c>
      <c r="H518" s="639" t="s">
        <v>397</v>
      </c>
      <c r="I518" s="639" t="s">
        <v>565</v>
      </c>
      <c r="J518" s="639">
        <v>44</v>
      </c>
      <c r="K518" s="639">
        <v>0.99</v>
      </c>
      <c r="L518" s="639">
        <v>1.1200000000000001</v>
      </c>
      <c r="M518" s="639">
        <v>1.01</v>
      </c>
      <c r="N518" s="639">
        <v>1.01</v>
      </c>
      <c r="O518" s="639">
        <v>1.39</v>
      </c>
      <c r="P518" s="616">
        <v>19</v>
      </c>
    </row>
    <row r="519" spans="1:16">
      <c r="A519" s="639" t="s">
        <v>349</v>
      </c>
      <c r="B519" s="639" t="s">
        <v>392</v>
      </c>
      <c r="C519" s="639" t="s">
        <v>305</v>
      </c>
      <c r="D519" s="639" t="s">
        <v>561</v>
      </c>
      <c r="E519" s="639" t="s">
        <v>562</v>
      </c>
      <c r="F519" s="639">
        <v>17801</v>
      </c>
      <c r="G519" s="639">
        <v>503001</v>
      </c>
      <c r="H519" s="639" t="s">
        <v>397</v>
      </c>
      <c r="I519" s="639" t="s">
        <v>596</v>
      </c>
      <c r="J519" s="639">
        <v>44</v>
      </c>
      <c r="K519" s="639">
        <v>1.52</v>
      </c>
      <c r="L519" s="639">
        <v>1.08</v>
      </c>
      <c r="M519" s="639">
        <v>1.06</v>
      </c>
      <c r="N519" s="639">
        <v>1.06</v>
      </c>
      <c r="O519" s="639">
        <v>1.41</v>
      </c>
      <c r="P519" s="616">
        <v>19</v>
      </c>
    </row>
    <row r="520" spans="1:16">
      <c r="A520" s="639" t="s">
        <v>349</v>
      </c>
      <c r="B520" s="639" t="s">
        <v>392</v>
      </c>
      <c r="C520" s="639" t="s">
        <v>305</v>
      </c>
      <c r="D520" s="639" t="s">
        <v>561</v>
      </c>
      <c r="E520" s="639" t="s">
        <v>562</v>
      </c>
      <c r="F520" s="639">
        <v>9984</v>
      </c>
      <c r="G520" s="639">
        <v>503001</v>
      </c>
      <c r="H520" s="639" t="s">
        <v>397</v>
      </c>
      <c r="I520" s="639" t="s">
        <v>565</v>
      </c>
      <c r="J520" s="639">
        <v>46</v>
      </c>
      <c r="K520" s="639">
        <v>1.1299999999999999</v>
      </c>
      <c r="L520" s="639">
        <v>1.07</v>
      </c>
      <c r="M520" s="639">
        <v>1.1299999999999999</v>
      </c>
      <c r="N520" s="639">
        <v>1.18</v>
      </c>
      <c r="O520" s="639">
        <v>1.4</v>
      </c>
      <c r="P520" s="616">
        <v>19</v>
      </c>
    </row>
    <row r="521" spans="1:16">
      <c r="A521" s="639" t="s">
        <v>349</v>
      </c>
      <c r="B521" s="639" t="s">
        <v>392</v>
      </c>
      <c r="C521" s="639" t="s">
        <v>305</v>
      </c>
      <c r="D521" s="639" t="s">
        <v>561</v>
      </c>
      <c r="E521" s="639" t="s">
        <v>562</v>
      </c>
      <c r="F521" s="639">
        <v>9955</v>
      </c>
      <c r="G521" s="639">
        <v>503001</v>
      </c>
      <c r="H521" s="639" t="s">
        <v>397</v>
      </c>
      <c r="I521" s="639" t="s">
        <v>566</v>
      </c>
      <c r="J521" s="639">
        <v>44</v>
      </c>
      <c r="K521" s="639">
        <v>0.8</v>
      </c>
      <c r="L521" s="639">
        <v>1.02</v>
      </c>
      <c r="M521" s="639">
        <v>1.1399999999999999</v>
      </c>
      <c r="N521" s="639">
        <v>1.1399999999999999</v>
      </c>
      <c r="O521" s="639">
        <v>1.38</v>
      </c>
      <c r="P521" s="616">
        <v>19</v>
      </c>
    </row>
    <row r="522" spans="1:16">
      <c r="A522" s="639" t="s">
        <v>349</v>
      </c>
      <c r="B522" s="639" t="s">
        <v>392</v>
      </c>
      <c r="C522" s="639" t="s">
        <v>305</v>
      </c>
      <c r="D522" s="639" t="s">
        <v>561</v>
      </c>
      <c r="E522" s="639" t="s">
        <v>562</v>
      </c>
      <c r="F522" s="639">
        <v>9956</v>
      </c>
      <c r="G522" s="639">
        <v>503001</v>
      </c>
      <c r="H522" s="639" t="s">
        <v>397</v>
      </c>
      <c r="I522" s="639" t="s">
        <v>566</v>
      </c>
      <c r="J522" s="639">
        <v>46</v>
      </c>
      <c r="K522" s="639">
        <v>1.82</v>
      </c>
      <c r="L522" s="639">
        <v>1.05</v>
      </c>
      <c r="M522" s="639">
        <v>1.1399999999999999</v>
      </c>
      <c r="N522" s="639">
        <v>1.01</v>
      </c>
      <c r="O522" s="639">
        <v>1.44</v>
      </c>
      <c r="P522" s="616">
        <v>19</v>
      </c>
    </row>
    <row r="523" spans="1:16">
      <c r="A523" s="639" t="s">
        <v>349</v>
      </c>
      <c r="B523" s="639" t="s">
        <v>392</v>
      </c>
      <c r="C523" s="639" t="s">
        <v>305</v>
      </c>
      <c r="D523" s="639" t="s">
        <v>561</v>
      </c>
      <c r="E523" s="639" t="s">
        <v>562</v>
      </c>
      <c r="F523" s="639">
        <v>9982</v>
      </c>
      <c r="G523" s="639">
        <v>503001</v>
      </c>
      <c r="H523" s="639" t="s">
        <v>397</v>
      </c>
      <c r="I523" s="639" t="s">
        <v>565</v>
      </c>
      <c r="J523" s="639">
        <v>42</v>
      </c>
      <c r="K523" s="639">
        <v>0.76</v>
      </c>
      <c r="L523" s="639">
        <v>1.1200000000000001</v>
      </c>
      <c r="M523" s="639">
        <v>1.1399999999999999</v>
      </c>
      <c r="N523" s="639">
        <v>1</v>
      </c>
      <c r="O523" s="639">
        <v>1.44</v>
      </c>
      <c r="P523" s="616">
        <v>19</v>
      </c>
    </row>
    <row r="524" spans="1:16">
      <c r="A524" s="639" t="s">
        <v>349</v>
      </c>
      <c r="B524" s="639" t="s">
        <v>392</v>
      </c>
      <c r="C524" s="639" t="s">
        <v>305</v>
      </c>
      <c r="D524" s="639" t="s">
        <v>561</v>
      </c>
      <c r="E524" s="639" t="s">
        <v>562</v>
      </c>
      <c r="F524" s="639">
        <v>17800</v>
      </c>
      <c r="G524" s="639">
        <v>503001</v>
      </c>
      <c r="H524" s="639" t="s">
        <v>397</v>
      </c>
      <c r="I524" s="639" t="s">
        <v>596</v>
      </c>
      <c r="J524" s="639">
        <v>42</v>
      </c>
      <c r="K524" s="639">
        <v>2.88</v>
      </c>
      <c r="L524" s="639">
        <v>1.68</v>
      </c>
      <c r="M524" s="639">
        <v>1.1399999999999999</v>
      </c>
      <c r="N524" s="639">
        <v>1.1000000000000001</v>
      </c>
      <c r="O524" s="639">
        <v>1.35</v>
      </c>
      <c r="P524" s="616">
        <v>19</v>
      </c>
    </row>
    <row r="525" spans="1:16">
      <c r="A525" s="639" t="s">
        <v>349</v>
      </c>
      <c r="B525" s="639" t="s">
        <v>392</v>
      </c>
      <c r="C525" s="639" t="s">
        <v>305</v>
      </c>
      <c r="D525" s="639" t="s">
        <v>561</v>
      </c>
      <c r="E525" s="639" t="s">
        <v>562</v>
      </c>
      <c r="F525" s="639">
        <v>9953</v>
      </c>
      <c r="G525" s="639">
        <v>503001</v>
      </c>
      <c r="H525" s="639" t="s">
        <v>397</v>
      </c>
      <c r="I525" s="639" t="s">
        <v>566</v>
      </c>
      <c r="J525" s="639">
        <v>40</v>
      </c>
      <c r="K525" s="639">
        <v>0.87</v>
      </c>
      <c r="L525" s="639">
        <v>1.1299999999999999</v>
      </c>
      <c r="M525" s="639">
        <v>1.1499999999999999</v>
      </c>
      <c r="N525" s="639">
        <v>1.1100000000000001</v>
      </c>
      <c r="O525" s="639">
        <v>1.4</v>
      </c>
      <c r="P525" s="616">
        <v>19</v>
      </c>
    </row>
    <row r="526" spans="1:16">
      <c r="A526" s="639" t="s">
        <v>349</v>
      </c>
      <c r="B526" s="639" t="s">
        <v>392</v>
      </c>
      <c r="C526" s="639" t="s">
        <v>305</v>
      </c>
      <c r="D526" s="639" t="s">
        <v>561</v>
      </c>
      <c r="E526" s="639" t="s">
        <v>562</v>
      </c>
      <c r="F526" s="639">
        <v>9957</v>
      </c>
      <c r="G526" s="639">
        <v>503001</v>
      </c>
      <c r="H526" s="639" t="s">
        <v>397</v>
      </c>
      <c r="I526" s="639" t="s">
        <v>563</v>
      </c>
      <c r="J526" s="639">
        <v>40</v>
      </c>
      <c r="K526" s="639">
        <v>2.38</v>
      </c>
      <c r="L526" s="639">
        <v>1.19</v>
      </c>
      <c r="M526" s="639">
        <v>1.1599999999999999</v>
      </c>
      <c r="N526" s="639">
        <v>1.08</v>
      </c>
      <c r="O526" s="639">
        <v>1.48</v>
      </c>
      <c r="P526" s="616">
        <v>19</v>
      </c>
    </row>
    <row r="527" spans="1:16">
      <c r="A527" s="639" t="s">
        <v>349</v>
      </c>
      <c r="B527" s="639" t="s">
        <v>392</v>
      </c>
      <c r="C527" s="639" t="s">
        <v>305</v>
      </c>
      <c r="D527" s="639" t="s">
        <v>561</v>
      </c>
      <c r="E527" s="639" t="s">
        <v>562</v>
      </c>
      <c r="F527" s="639">
        <v>9954</v>
      </c>
      <c r="G527" s="639">
        <v>503001</v>
      </c>
      <c r="H527" s="639" t="s">
        <v>397</v>
      </c>
      <c r="I527" s="639" t="s">
        <v>566</v>
      </c>
      <c r="J527" s="639">
        <v>42</v>
      </c>
      <c r="K527" s="639">
        <v>1.18</v>
      </c>
      <c r="L527" s="639">
        <v>1.07</v>
      </c>
      <c r="M527" s="639">
        <v>1.17</v>
      </c>
      <c r="N527" s="639">
        <v>1.06</v>
      </c>
      <c r="O527" s="639">
        <v>1.41</v>
      </c>
      <c r="P527" s="616">
        <v>19</v>
      </c>
    </row>
    <row r="528" spans="1:16">
      <c r="A528" s="639" t="s">
        <v>349</v>
      </c>
      <c r="B528" s="639" t="s">
        <v>392</v>
      </c>
      <c r="C528" s="639" t="s">
        <v>305</v>
      </c>
      <c r="D528" s="639" t="s">
        <v>561</v>
      </c>
      <c r="E528" s="639" t="s">
        <v>562</v>
      </c>
      <c r="F528" s="639">
        <v>9959</v>
      </c>
      <c r="G528" s="639">
        <v>503001</v>
      </c>
      <c r="H528" s="639" t="s">
        <v>397</v>
      </c>
      <c r="I528" s="639" t="s">
        <v>563</v>
      </c>
      <c r="J528" s="639">
        <v>44</v>
      </c>
      <c r="K528" s="639">
        <v>1.41</v>
      </c>
      <c r="L528" s="639">
        <v>1.01</v>
      </c>
      <c r="M528" s="639">
        <v>1.18</v>
      </c>
      <c r="N528" s="639">
        <v>1.05</v>
      </c>
      <c r="O528" s="639">
        <v>1.4</v>
      </c>
      <c r="P528" s="616">
        <v>19</v>
      </c>
    </row>
    <row r="529" spans="1:16">
      <c r="A529" s="639" t="s">
        <v>349</v>
      </c>
      <c r="B529" s="639" t="s">
        <v>392</v>
      </c>
      <c r="C529" s="639" t="s">
        <v>305</v>
      </c>
      <c r="D529" s="639" t="s">
        <v>561</v>
      </c>
      <c r="E529" s="639" t="s">
        <v>562</v>
      </c>
      <c r="F529" s="639">
        <v>9960</v>
      </c>
      <c r="G529" s="639">
        <v>503001</v>
      </c>
      <c r="H529" s="639" t="s">
        <v>397</v>
      </c>
      <c r="I529" s="639" t="s">
        <v>563</v>
      </c>
      <c r="J529" s="639">
        <v>46</v>
      </c>
      <c r="K529" s="639">
        <v>0.85</v>
      </c>
      <c r="L529" s="639">
        <v>1.1000000000000001</v>
      </c>
      <c r="M529" s="639">
        <v>1.18</v>
      </c>
      <c r="N529" s="639">
        <v>1.08</v>
      </c>
      <c r="O529" s="639">
        <v>1.37</v>
      </c>
      <c r="P529" s="616">
        <v>19</v>
      </c>
    </row>
    <row r="530" spans="1:16">
      <c r="A530" s="639" t="s">
        <v>349</v>
      </c>
      <c r="B530" s="639" t="s">
        <v>392</v>
      </c>
      <c r="C530" s="639" t="s">
        <v>305</v>
      </c>
      <c r="D530" s="639" t="s">
        <v>561</v>
      </c>
      <c r="E530" s="639" t="s">
        <v>562</v>
      </c>
      <c r="F530" s="639">
        <v>9981</v>
      </c>
      <c r="G530" s="639">
        <v>503001</v>
      </c>
      <c r="H530" s="639" t="s">
        <v>397</v>
      </c>
      <c r="I530" s="639" t="s">
        <v>565</v>
      </c>
      <c r="J530" s="639">
        <v>40</v>
      </c>
      <c r="K530" s="639">
        <v>1.77</v>
      </c>
      <c r="L530" s="639">
        <v>1.05</v>
      </c>
      <c r="M530" s="639">
        <v>1.23</v>
      </c>
      <c r="N530" s="639">
        <v>1.18</v>
      </c>
      <c r="O530" s="639">
        <v>1.2</v>
      </c>
      <c r="P530" s="616">
        <v>19</v>
      </c>
    </row>
    <row r="531" spans="1:16">
      <c r="A531" s="639" t="s">
        <v>349</v>
      </c>
      <c r="B531" s="639" t="s">
        <v>392</v>
      </c>
      <c r="C531" s="639" t="s">
        <v>305</v>
      </c>
      <c r="D531" s="639" t="s">
        <v>561</v>
      </c>
      <c r="E531" s="639" t="s">
        <v>562</v>
      </c>
      <c r="F531" s="639">
        <v>17802</v>
      </c>
      <c r="G531" s="639">
        <v>503001</v>
      </c>
      <c r="H531" s="639" t="s">
        <v>397</v>
      </c>
      <c r="I531" s="639" t="s">
        <v>596</v>
      </c>
      <c r="J531" s="639">
        <v>46</v>
      </c>
      <c r="K531" s="639">
        <v>3.84</v>
      </c>
      <c r="L531" s="639">
        <v>2.64</v>
      </c>
      <c r="M531" s="639">
        <v>1.44</v>
      </c>
      <c r="N531" s="639">
        <v>1.01</v>
      </c>
      <c r="O531" s="639">
        <v>1.41</v>
      </c>
      <c r="P531" s="616">
        <v>19</v>
      </c>
    </row>
    <row r="532" spans="1:16">
      <c r="A532" s="639" t="s">
        <v>349</v>
      </c>
      <c r="B532" s="639" t="s">
        <v>392</v>
      </c>
      <c r="C532" s="639" t="s">
        <v>305</v>
      </c>
      <c r="D532" s="639" t="s">
        <v>561</v>
      </c>
      <c r="E532" s="639" t="s">
        <v>562</v>
      </c>
      <c r="F532" s="639">
        <v>17799</v>
      </c>
      <c r="G532" s="639">
        <v>503001</v>
      </c>
      <c r="H532" s="639" t="s">
        <v>397</v>
      </c>
      <c r="I532" s="639" t="s">
        <v>596</v>
      </c>
      <c r="J532" s="639">
        <v>40</v>
      </c>
      <c r="K532" s="639">
        <v>3.3</v>
      </c>
      <c r="L532" s="639">
        <v>2.14</v>
      </c>
      <c r="M532" s="639">
        <v>1.49</v>
      </c>
      <c r="N532" s="639">
        <v>1.08</v>
      </c>
      <c r="O532" s="639">
        <v>1.19</v>
      </c>
      <c r="P532" s="616">
        <v>19</v>
      </c>
    </row>
    <row r="533" spans="1:16">
      <c r="A533" s="639" t="s">
        <v>349</v>
      </c>
      <c r="B533" s="639" t="s">
        <v>392</v>
      </c>
      <c r="C533" s="639" t="s">
        <v>305</v>
      </c>
      <c r="D533" s="639" t="s">
        <v>561</v>
      </c>
      <c r="E533" s="639" t="s">
        <v>562</v>
      </c>
      <c r="F533" s="639">
        <v>10481</v>
      </c>
      <c r="G533" s="639">
        <v>503303</v>
      </c>
      <c r="H533" s="639" t="s">
        <v>398</v>
      </c>
      <c r="I533" s="639" t="s">
        <v>565</v>
      </c>
      <c r="J533" s="639">
        <v>44</v>
      </c>
      <c r="K533" s="639">
        <v>1.35</v>
      </c>
      <c r="L533" s="639">
        <v>1.18</v>
      </c>
      <c r="M533" s="639">
        <v>1.04</v>
      </c>
      <c r="N533" s="639">
        <v>1.03</v>
      </c>
      <c r="O533" s="639">
        <v>1.41</v>
      </c>
      <c r="P533" s="616">
        <v>9</v>
      </c>
    </row>
    <row r="534" spans="1:16">
      <c r="A534" s="639" t="s">
        <v>349</v>
      </c>
      <c r="B534" s="639" t="s">
        <v>392</v>
      </c>
      <c r="C534" s="639" t="s">
        <v>305</v>
      </c>
      <c r="D534" s="639" t="s">
        <v>561</v>
      </c>
      <c r="E534" s="639" t="s">
        <v>562</v>
      </c>
      <c r="F534" s="639">
        <v>10430</v>
      </c>
      <c r="G534" s="639">
        <v>503303</v>
      </c>
      <c r="H534" s="639" t="s">
        <v>398</v>
      </c>
      <c r="I534" s="639" t="s">
        <v>566</v>
      </c>
      <c r="J534" s="639">
        <v>44</v>
      </c>
      <c r="K534" s="639">
        <v>0.82</v>
      </c>
      <c r="L534" s="639">
        <v>1.04</v>
      </c>
      <c r="M534" s="639">
        <v>1.04</v>
      </c>
      <c r="N534" s="639">
        <v>1.1399999999999999</v>
      </c>
      <c r="O534" s="639">
        <v>1.37</v>
      </c>
      <c r="P534" s="616">
        <v>9</v>
      </c>
    </row>
    <row r="535" spans="1:16">
      <c r="A535" s="639" t="s">
        <v>349</v>
      </c>
      <c r="B535" s="639" t="s">
        <v>392</v>
      </c>
      <c r="C535" s="639" t="s">
        <v>305</v>
      </c>
      <c r="D535" s="639" t="s">
        <v>561</v>
      </c>
      <c r="E535" s="639" t="s">
        <v>562</v>
      </c>
      <c r="F535" s="639">
        <v>10477</v>
      </c>
      <c r="G535" s="639">
        <v>503303</v>
      </c>
      <c r="H535" s="639" t="s">
        <v>398</v>
      </c>
      <c r="I535" s="639" t="s">
        <v>563</v>
      </c>
      <c r="J535" s="639">
        <v>44</v>
      </c>
      <c r="K535" s="639">
        <v>1.69</v>
      </c>
      <c r="L535" s="639">
        <v>1</v>
      </c>
      <c r="M535" s="639">
        <v>1.06</v>
      </c>
      <c r="N535" s="639">
        <v>1.0900000000000001</v>
      </c>
      <c r="O535" s="639">
        <v>1.43</v>
      </c>
      <c r="P535" s="616">
        <v>9</v>
      </c>
    </row>
    <row r="536" spans="1:16">
      <c r="A536" s="639" t="s">
        <v>349</v>
      </c>
      <c r="B536" s="639" t="s">
        <v>392</v>
      </c>
      <c r="C536" s="639" t="s">
        <v>305</v>
      </c>
      <c r="D536" s="639" t="s">
        <v>561</v>
      </c>
      <c r="E536" s="639" t="s">
        <v>562</v>
      </c>
      <c r="F536" s="639">
        <v>10476</v>
      </c>
      <c r="G536" s="639">
        <v>503303</v>
      </c>
      <c r="H536" s="639" t="s">
        <v>398</v>
      </c>
      <c r="I536" s="639" t="s">
        <v>563</v>
      </c>
      <c r="J536" s="639">
        <v>42</v>
      </c>
      <c r="K536" s="639">
        <v>1</v>
      </c>
      <c r="L536" s="639">
        <v>1.04</v>
      </c>
      <c r="M536" s="639">
        <v>1.07</v>
      </c>
      <c r="N536" s="639">
        <v>1.18</v>
      </c>
      <c r="O536" s="639">
        <v>1.32</v>
      </c>
      <c r="P536" s="616">
        <v>9</v>
      </c>
    </row>
    <row r="537" spans="1:16">
      <c r="A537" s="639" t="s">
        <v>349</v>
      </c>
      <c r="B537" s="639" t="s">
        <v>392</v>
      </c>
      <c r="C537" s="639" t="s">
        <v>305</v>
      </c>
      <c r="D537" s="639" t="s">
        <v>561</v>
      </c>
      <c r="E537" s="639" t="s">
        <v>562</v>
      </c>
      <c r="F537" s="639">
        <v>10431</v>
      </c>
      <c r="G537" s="639">
        <v>503303</v>
      </c>
      <c r="H537" s="639" t="s">
        <v>398</v>
      </c>
      <c r="I537" s="639" t="s">
        <v>566</v>
      </c>
      <c r="J537" s="639">
        <v>46</v>
      </c>
      <c r="K537" s="639">
        <v>0.82</v>
      </c>
      <c r="L537" s="639">
        <v>1.02</v>
      </c>
      <c r="M537" s="639">
        <v>1.07</v>
      </c>
      <c r="N537" s="639">
        <v>1.1399999999999999</v>
      </c>
      <c r="O537" s="639">
        <v>1.35</v>
      </c>
      <c r="P537" s="616">
        <v>9</v>
      </c>
    </row>
    <row r="538" spans="1:16">
      <c r="A538" s="639" t="s">
        <v>349</v>
      </c>
      <c r="B538" s="639" t="s">
        <v>392</v>
      </c>
      <c r="C538" s="639" t="s">
        <v>305</v>
      </c>
      <c r="D538" s="639" t="s">
        <v>561</v>
      </c>
      <c r="E538" s="639" t="s">
        <v>562</v>
      </c>
      <c r="F538" s="639">
        <v>10479</v>
      </c>
      <c r="G538" s="639">
        <v>503303</v>
      </c>
      <c r="H538" s="639" t="s">
        <v>398</v>
      </c>
      <c r="I538" s="639" t="s">
        <v>566</v>
      </c>
      <c r="J538" s="639">
        <v>42</v>
      </c>
      <c r="K538" s="639">
        <v>0.74</v>
      </c>
      <c r="L538" s="639">
        <v>1.03</v>
      </c>
      <c r="M538" s="639">
        <v>1.08</v>
      </c>
      <c r="N538" s="639">
        <v>1.1100000000000001</v>
      </c>
      <c r="O538" s="639">
        <v>1.44</v>
      </c>
      <c r="P538" s="616">
        <v>9</v>
      </c>
    </row>
    <row r="539" spans="1:16">
      <c r="A539" s="639" t="s">
        <v>349</v>
      </c>
      <c r="B539" s="639" t="s">
        <v>392</v>
      </c>
      <c r="C539" s="639" t="s">
        <v>305</v>
      </c>
      <c r="D539" s="639" t="s">
        <v>561</v>
      </c>
      <c r="E539" s="639" t="s">
        <v>562</v>
      </c>
      <c r="F539" s="639">
        <v>17814</v>
      </c>
      <c r="G539" s="639">
        <v>503303</v>
      </c>
      <c r="H539" s="639" t="s">
        <v>398</v>
      </c>
      <c r="I539" s="639" t="s">
        <v>596</v>
      </c>
      <c r="J539" s="639">
        <v>46</v>
      </c>
      <c r="K539" s="639">
        <v>1.1000000000000001</v>
      </c>
      <c r="L539" s="639">
        <v>1.0900000000000001</v>
      </c>
      <c r="M539" s="639">
        <v>1.08</v>
      </c>
      <c r="N539" s="639">
        <v>1.1499999999999999</v>
      </c>
      <c r="O539" s="639">
        <v>1.46</v>
      </c>
      <c r="P539" s="616">
        <v>9</v>
      </c>
    </row>
    <row r="540" spans="1:16">
      <c r="A540" s="639" t="s">
        <v>349</v>
      </c>
      <c r="B540" s="639" t="s">
        <v>392</v>
      </c>
      <c r="C540" s="639" t="s">
        <v>305</v>
      </c>
      <c r="D540" s="639" t="s">
        <v>561</v>
      </c>
      <c r="E540" s="639" t="s">
        <v>562</v>
      </c>
      <c r="F540" s="639">
        <v>17815</v>
      </c>
      <c r="G540" s="639">
        <v>503303</v>
      </c>
      <c r="H540" s="639" t="s">
        <v>398</v>
      </c>
      <c r="I540" s="639" t="s">
        <v>596</v>
      </c>
      <c r="J540" s="639">
        <v>48</v>
      </c>
      <c r="K540" s="639">
        <v>1.46</v>
      </c>
      <c r="L540" s="639">
        <v>1.02</v>
      </c>
      <c r="M540" s="639">
        <v>1.1399999999999999</v>
      </c>
      <c r="N540" s="639">
        <v>1.07</v>
      </c>
      <c r="O540" s="639">
        <v>1.39</v>
      </c>
      <c r="P540" s="616">
        <v>9</v>
      </c>
    </row>
    <row r="541" spans="1:16">
      <c r="A541" s="639" t="s">
        <v>349</v>
      </c>
      <c r="B541" s="639" t="s">
        <v>392</v>
      </c>
      <c r="C541" s="639" t="s">
        <v>305</v>
      </c>
      <c r="D541" s="639" t="s">
        <v>561</v>
      </c>
      <c r="E541" s="639" t="s">
        <v>562</v>
      </c>
      <c r="F541" s="639">
        <v>17812</v>
      </c>
      <c r="G541" s="639">
        <v>503303</v>
      </c>
      <c r="H541" s="639" t="s">
        <v>398</v>
      </c>
      <c r="I541" s="639" t="s">
        <v>596</v>
      </c>
      <c r="J541" s="639">
        <v>42</v>
      </c>
      <c r="K541" s="639">
        <v>1.32</v>
      </c>
      <c r="L541" s="639">
        <v>1.1299999999999999</v>
      </c>
      <c r="M541" s="639">
        <v>1.1399999999999999</v>
      </c>
      <c r="N541" s="639">
        <v>1.1399999999999999</v>
      </c>
      <c r="O541" s="639">
        <v>1.53</v>
      </c>
      <c r="P541" s="616">
        <v>9</v>
      </c>
    </row>
    <row r="542" spans="1:16">
      <c r="A542" s="639" t="s">
        <v>349</v>
      </c>
      <c r="B542" s="639" t="s">
        <v>392</v>
      </c>
      <c r="C542" s="639" t="s">
        <v>305</v>
      </c>
      <c r="D542" s="639" t="s">
        <v>561</v>
      </c>
      <c r="E542" s="639" t="s">
        <v>562</v>
      </c>
      <c r="F542" s="639">
        <v>10478</v>
      </c>
      <c r="G542" s="639">
        <v>503303</v>
      </c>
      <c r="H542" s="639" t="s">
        <v>398</v>
      </c>
      <c r="I542" s="639" t="s">
        <v>563</v>
      </c>
      <c r="J542" s="639">
        <v>46</v>
      </c>
      <c r="K542" s="639">
        <v>2.0099999999999998</v>
      </c>
      <c r="L542" s="639">
        <v>1.18</v>
      </c>
      <c r="M542" s="639">
        <v>1.1399999999999999</v>
      </c>
      <c r="N542" s="639">
        <v>1.0900000000000001</v>
      </c>
      <c r="O542" s="639">
        <v>1.45</v>
      </c>
      <c r="P542" s="616">
        <v>9</v>
      </c>
    </row>
    <row r="543" spans="1:16">
      <c r="A543" s="639" t="s">
        <v>349</v>
      </c>
      <c r="B543" s="639" t="s">
        <v>392</v>
      </c>
      <c r="C543" s="639" t="s">
        <v>305</v>
      </c>
      <c r="D543" s="639" t="s">
        <v>561</v>
      </c>
      <c r="E543" s="639" t="s">
        <v>562</v>
      </c>
      <c r="F543" s="639">
        <v>10458</v>
      </c>
      <c r="G543" s="639">
        <v>503303</v>
      </c>
      <c r="H543" s="639" t="s">
        <v>398</v>
      </c>
      <c r="I543" s="639" t="s">
        <v>566</v>
      </c>
      <c r="J543" s="639">
        <v>48</v>
      </c>
      <c r="K543" s="639">
        <v>0.93</v>
      </c>
      <c r="L543" s="639">
        <v>1.05</v>
      </c>
      <c r="M543" s="639">
        <v>1.1499999999999999</v>
      </c>
      <c r="N543" s="639">
        <v>1.1599999999999999</v>
      </c>
      <c r="O543" s="639">
        <v>1.39</v>
      </c>
      <c r="P543" s="616">
        <v>9</v>
      </c>
    </row>
    <row r="544" spans="1:16">
      <c r="A544" s="639" t="s">
        <v>349</v>
      </c>
      <c r="B544" s="639" t="s">
        <v>392</v>
      </c>
      <c r="C544" s="639" t="s">
        <v>305</v>
      </c>
      <c r="D544" s="639" t="s">
        <v>561</v>
      </c>
      <c r="E544" s="639" t="s">
        <v>562</v>
      </c>
      <c r="F544" s="639">
        <v>17813</v>
      </c>
      <c r="G544" s="639">
        <v>503303</v>
      </c>
      <c r="H544" s="639" t="s">
        <v>398</v>
      </c>
      <c r="I544" s="639" t="s">
        <v>596</v>
      </c>
      <c r="J544" s="639">
        <v>44</v>
      </c>
      <c r="K544" s="639">
        <v>1.02</v>
      </c>
      <c r="L544" s="639">
        <v>1.1000000000000001</v>
      </c>
      <c r="M544" s="639">
        <v>1.1499999999999999</v>
      </c>
      <c r="N544" s="639">
        <v>1.1100000000000001</v>
      </c>
      <c r="O544" s="639">
        <v>1.33</v>
      </c>
      <c r="P544" s="616">
        <v>9</v>
      </c>
    </row>
    <row r="545" spans="1:16">
      <c r="A545" s="639" t="s">
        <v>349</v>
      </c>
      <c r="B545" s="639" t="s">
        <v>392</v>
      </c>
      <c r="C545" s="639" t="s">
        <v>305</v>
      </c>
      <c r="D545" s="639" t="s">
        <v>561</v>
      </c>
      <c r="E545" s="639" t="s">
        <v>562</v>
      </c>
      <c r="F545" s="639">
        <v>10482</v>
      </c>
      <c r="G545" s="639">
        <v>503303</v>
      </c>
      <c r="H545" s="639" t="s">
        <v>398</v>
      </c>
      <c r="I545" s="639" t="s">
        <v>565</v>
      </c>
      <c r="J545" s="639">
        <v>46</v>
      </c>
      <c r="K545" s="639">
        <v>1.41</v>
      </c>
      <c r="L545" s="639">
        <v>1</v>
      </c>
      <c r="M545" s="639">
        <v>1.17</v>
      </c>
      <c r="N545" s="639">
        <v>1.1399999999999999</v>
      </c>
      <c r="O545" s="639">
        <v>1.31</v>
      </c>
      <c r="P545" s="616">
        <v>9</v>
      </c>
    </row>
    <row r="546" spans="1:16">
      <c r="A546" s="639" t="s">
        <v>349</v>
      </c>
      <c r="B546" s="639" t="s">
        <v>392</v>
      </c>
      <c r="C546" s="639" t="s">
        <v>305</v>
      </c>
      <c r="D546" s="639" t="s">
        <v>561</v>
      </c>
      <c r="E546" s="639" t="s">
        <v>562</v>
      </c>
      <c r="F546" s="639">
        <v>10480</v>
      </c>
      <c r="G546" s="639">
        <v>503303</v>
      </c>
      <c r="H546" s="639" t="s">
        <v>398</v>
      </c>
      <c r="I546" s="639" t="s">
        <v>565</v>
      </c>
      <c r="J546" s="639">
        <v>42</v>
      </c>
      <c r="K546" s="639">
        <v>1.58</v>
      </c>
      <c r="L546" s="639">
        <v>1.08</v>
      </c>
      <c r="M546" s="639">
        <v>1.17</v>
      </c>
      <c r="N546" s="639">
        <v>1.1399999999999999</v>
      </c>
      <c r="O546" s="639">
        <v>1.32</v>
      </c>
      <c r="P546" s="616">
        <v>9</v>
      </c>
    </row>
    <row r="547" spans="1:16">
      <c r="A547" s="639" t="s">
        <v>349</v>
      </c>
      <c r="B547" s="639" t="s">
        <v>392</v>
      </c>
      <c r="C547" s="639" t="s">
        <v>305</v>
      </c>
      <c r="D547" s="639" t="s">
        <v>561</v>
      </c>
      <c r="E547" s="639" t="s">
        <v>562</v>
      </c>
      <c r="F547" s="639">
        <v>10464</v>
      </c>
      <c r="G547" s="639">
        <v>503303</v>
      </c>
      <c r="H547" s="639" t="s">
        <v>398</v>
      </c>
      <c r="I547" s="639" t="s">
        <v>563</v>
      </c>
      <c r="J547" s="639">
        <v>48</v>
      </c>
      <c r="K547" s="639">
        <v>0.82</v>
      </c>
      <c r="L547" s="639">
        <v>1</v>
      </c>
      <c r="M547" s="639">
        <v>1.18</v>
      </c>
      <c r="N547" s="639">
        <v>1.1399999999999999</v>
      </c>
      <c r="O547" s="639">
        <v>1.48</v>
      </c>
      <c r="P547" s="616">
        <v>9</v>
      </c>
    </row>
    <row r="548" spans="1:16">
      <c r="A548" s="639" t="s">
        <v>349</v>
      </c>
      <c r="B548" s="639" t="s">
        <v>392</v>
      </c>
      <c r="C548" s="639" t="s">
        <v>305</v>
      </c>
      <c r="D548" s="639" t="s">
        <v>561</v>
      </c>
      <c r="E548" s="639" t="s">
        <v>562</v>
      </c>
      <c r="F548" s="639">
        <v>10483</v>
      </c>
      <c r="G548" s="639">
        <v>503303</v>
      </c>
      <c r="H548" s="639" t="s">
        <v>398</v>
      </c>
      <c r="I548" s="639" t="s">
        <v>565</v>
      </c>
      <c r="J548" s="639">
        <v>48</v>
      </c>
      <c r="K548" s="639">
        <v>3.25</v>
      </c>
      <c r="L548" s="639">
        <v>2.0699999999999998</v>
      </c>
      <c r="M548" s="639">
        <v>1.23</v>
      </c>
      <c r="N548" s="639">
        <v>1.0900000000000001</v>
      </c>
      <c r="O548" s="639">
        <v>1.27</v>
      </c>
      <c r="P548" s="616">
        <v>9</v>
      </c>
    </row>
    <row r="549" spans="1:16">
      <c r="A549" s="639" t="s">
        <v>349</v>
      </c>
      <c r="B549" s="639" t="s">
        <v>408</v>
      </c>
      <c r="C549" s="639" t="s">
        <v>305</v>
      </c>
      <c r="D549" s="639" t="s">
        <v>561</v>
      </c>
      <c r="E549" s="639" t="s">
        <v>562</v>
      </c>
      <c r="F549" s="639">
        <v>16394</v>
      </c>
      <c r="G549" s="639">
        <v>503400</v>
      </c>
      <c r="H549" s="639" t="s">
        <v>411</v>
      </c>
      <c r="I549" s="639" t="s">
        <v>596</v>
      </c>
      <c r="J549" s="639" t="s">
        <v>571</v>
      </c>
      <c r="K549" s="639">
        <v>1.75</v>
      </c>
      <c r="L549" s="639">
        <v>1.08</v>
      </c>
      <c r="M549" s="639">
        <v>1.03</v>
      </c>
      <c r="N549" s="639">
        <v>1.07</v>
      </c>
      <c r="O549" s="639">
        <v>1.3</v>
      </c>
      <c r="P549" s="616">
        <v>36</v>
      </c>
    </row>
    <row r="550" spans="1:16">
      <c r="A550" s="639" t="s">
        <v>349</v>
      </c>
      <c r="B550" s="639" t="s">
        <v>408</v>
      </c>
      <c r="C550" s="639" t="s">
        <v>305</v>
      </c>
      <c r="D550" s="639" t="s">
        <v>561</v>
      </c>
      <c r="E550" s="639" t="s">
        <v>562</v>
      </c>
      <c r="F550" s="639">
        <v>10496</v>
      </c>
      <c r="G550" s="639">
        <v>503400</v>
      </c>
      <c r="H550" s="639" t="s">
        <v>411</v>
      </c>
      <c r="I550" s="639" t="s">
        <v>563</v>
      </c>
      <c r="J550" s="639" t="s">
        <v>564</v>
      </c>
      <c r="K550" s="639">
        <v>3.48</v>
      </c>
      <c r="L550" s="639">
        <v>2.29</v>
      </c>
      <c r="M550" s="639">
        <v>1.08</v>
      </c>
      <c r="N550" s="639">
        <v>1.08</v>
      </c>
      <c r="O550" s="639">
        <v>1.37</v>
      </c>
      <c r="P550" s="616">
        <v>36</v>
      </c>
    </row>
    <row r="551" spans="1:16">
      <c r="A551" s="639" t="s">
        <v>349</v>
      </c>
      <c r="B551" s="639" t="s">
        <v>408</v>
      </c>
      <c r="C551" s="639" t="s">
        <v>305</v>
      </c>
      <c r="D551" s="639" t="s">
        <v>561</v>
      </c>
      <c r="E551" s="639" t="s">
        <v>562</v>
      </c>
      <c r="F551" s="639">
        <v>31050</v>
      </c>
      <c r="G551" s="639">
        <v>503400</v>
      </c>
      <c r="H551" s="639" t="s">
        <v>411</v>
      </c>
      <c r="I551" s="639" t="s">
        <v>563</v>
      </c>
      <c r="J551" s="639" t="s">
        <v>569</v>
      </c>
      <c r="K551" s="639">
        <v>3.08</v>
      </c>
      <c r="L551" s="639">
        <v>1.9</v>
      </c>
      <c r="M551" s="639">
        <v>1.1000000000000001</v>
      </c>
      <c r="N551" s="639">
        <v>1.1399999999999999</v>
      </c>
      <c r="O551" s="639">
        <v>1.35</v>
      </c>
      <c r="P551" s="616">
        <v>36</v>
      </c>
    </row>
    <row r="552" spans="1:16">
      <c r="A552" s="639" t="s">
        <v>349</v>
      </c>
      <c r="B552" s="639" t="s">
        <v>408</v>
      </c>
      <c r="C552" s="639" t="s">
        <v>305</v>
      </c>
      <c r="D552" s="639" t="s">
        <v>561</v>
      </c>
      <c r="E552" s="639" t="s">
        <v>562</v>
      </c>
      <c r="F552" s="639">
        <v>10495</v>
      </c>
      <c r="G552" s="639">
        <v>503400</v>
      </c>
      <c r="H552" s="639" t="s">
        <v>411</v>
      </c>
      <c r="I552" s="639" t="s">
        <v>563</v>
      </c>
      <c r="J552" s="639" t="s">
        <v>571</v>
      </c>
      <c r="K552" s="639">
        <v>3.22</v>
      </c>
      <c r="L552" s="639">
        <v>2.02</v>
      </c>
      <c r="M552" s="639">
        <v>1.1499999999999999</v>
      </c>
      <c r="N552" s="639">
        <v>1.02</v>
      </c>
      <c r="O552" s="639">
        <v>1.39</v>
      </c>
      <c r="P552" s="616">
        <v>36</v>
      </c>
    </row>
    <row r="553" spans="1:16">
      <c r="A553" s="639" t="s">
        <v>349</v>
      </c>
      <c r="B553" s="639" t="s">
        <v>408</v>
      </c>
      <c r="C553" s="639" t="s">
        <v>305</v>
      </c>
      <c r="D553" s="639" t="s">
        <v>561</v>
      </c>
      <c r="E553" s="639" t="s">
        <v>562</v>
      </c>
      <c r="F553" s="639">
        <v>16393</v>
      </c>
      <c r="G553" s="639">
        <v>503400</v>
      </c>
      <c r="H553" s="639" t="s">
        <v>411</v>
      </c>
      <c r="I553" s="639" t="s">
        <v>596</v>
      </c>
      <c r="J553" s="639" t="s">
        <v>567</v>
      </c>
      <c r="K553" s="639">
        <v>1.29</v>
      </c>
      <c r="L553" s="639">
        <v>1.23</v>
      </c>
      <c r="M553" s="639">
        <v>1.17</v>
      </c>
      <c r="N553" s="639">
        <v>1.1200000000000001</v>
      </c>
      <c r="O553" s="639">
        <v>1.49</v>
      </c>
      <c r="P553" s="616">
        <v>36</v>
      </c>
    </row>
    <row r="554" spans="1:16">
      <c r="A554" s="639" t="s">
        <v>349</v>
      </c>
      <c r="B554" s="639" t="s">
        <v>408</v>
      </c>
      <c r="C554" s="639" t="s">
        <v>305</v>
      </c>
      <c r="D554" s="639" t="s">
        <v>561</v>
      </c>
      <c r="E554" s="639" t="s">
        <v>562</v>
      </c>
      <c r="F554" s="639">
        <v>31051</v>
      </c>
      <c r="G554" s="639">
        <v>503400</v>
      </c>
      <c r="H554" s="639" t="s">
        <v>411</v>
      </c>
      <c r="I554" s="639" t="s">
        <v>596</v>
      </c>
      <c r="J554" s="639" t="s">
        <v>569</v>
      </c>
      <c r="K554" s="639">
        <v>1.04</v>
      </c>
      <c r="L554" s="639">
        <v>1.33</v>
      </c>
      <c r="M554" s="639">
        <v>1.19</v>
      </c>
      <c r="N554" s="639">
        <v>1.37</v>
      </c>
      <c r="O554" s="639">
        <v>1.67</v>
      </c>
      <c r="P554" s="616">
        <v>36</v>
      </c>
    </row>
    <row r="555" spans="1:16">
      <c r="A555" s="639" t="s">
        <v>349</v>
      </c>
      <c r="B555" s="639" t="s">
        <v>408</v>
      </c>
      <c r="C555" s="639" t="s">
        <v>305</v>
      </c>
      <c r="D555" s="639" t="s">
        <v>561</v>
      </c>
      <c r="E555" s="639" t="s">
        <v>562</v>
      </c>
      <c r="F555" s="639">
        <v>10498</v>
      </c>
      <c r="G555" s="639">
        <v>503400</v>
      </c>
      <c r="H555" s="639" t="s">
        <v>411</v>
      </c>
      <c r="I555" s="639" t="s">
        <v>566</v>
      </c>
      <c r="J555" s="639" t="s">
        <v>571</v>
      </c>
      <c r="K555" s="639">
        <v>3.77</v>
      </c>
      <c r="L555" s="639">
        <v>2.57</v>
      </c>
      <c r="M555" s="639">
        <v>1.35</v>
      </c>
      <c r="N555" s="639">
        <v>1.1499999999999999</v>
      </c>
      <c r="O555" s="639">
        <v>1.3</v>
      </c>
      <c r="P555" s="616">
        <v>36</v>
      </c>
    </row>
    <row r="556" spans="1:16">
      <c r="A556" s="639" t="s">
        <v>349</v>
      </c>
      <c r="B556" s="639" t="s">
        <v>408</v>
      </c>
      <c r="C556" s="639" t="s">
        <v>305</v>
      </c>
      <c r="D556" s="639" t="s">
        <v>561</v>
      </c>
      <c r="E556" s="639" t="s">
        <v>562</v>
      </c>
      <c r="F556" s="639">
        <v>10499</v>
      </c>
      <c r="G556" s="639">
        <v>503400</v>
      </c>
      <c r="H556" s="639" t="s">
        <v>411</v>
      </c>
      <c r="I556" s="639" t="s">
        <v>566</v>
      </c>
      <c r="J556" s="639" t="s">
        <v>564</v>
      </c>
      <c r="K556" s="639">
        <v>3.82</v>
      </c>
      <c r="L556" s="639">
        <v>2.63</v>
      </c>
      <c r="M556" s="639">
        <v>1.43</v>
      </c>
      <c r="N556" s="639">
        <v>1.08</v>
      </c>
      <c r="O556" s="639">
        <v>1.26</v>
      </c>
      <c r="P556" s="616">
        <v>36</v>
      </c>
    </row>
    <row r="557" spans="1:16">
      <c r="A557" s="639" t="s">
        <v>349</v>
      </c>
      <c r="B557" s="639" t="s">
        <v>408</v>
      </c>
      <c r="C557" s="639" t="s">
        <v>305</v>
      </c>
      <c r="D557" s="639" t="s">
        <v>561</v>
      </c>
      <c r="E557" s="639" t="s">
        <v>562</v>
      </c>
      <c r="F557" s="639">
        <v>31047</v>
      </c>
      <c r="G557" s="639">
        <v>503400</v>
      </c>
      <c r="H557" s="639" t="s">
        <v>411</v>
      </c>
      <c r="I557" s="639" t="s">
        <v>566</v>
      </c>
      <c r="J557" s="639" t="s">
        <v>569</v>
      </c>
      <c r="K557" s="639">
        <v>4.58</v>
      </c>
      <c r="L557" s="639">
        <v>3.4</v>
      </c>
      <c r="M557" s="639">
        <v>2.19</v>
      </c>
      <c r="N557" s="639">
        <v>1.21</v>
      </c>
      <c r="O557" s="639">
        <v>1.23</v>
      </c>
      <c r="P557" s="616">
        <v>36</v>
      </c>
    </row>
    <row r="558" spans="1:16">
      <c r="A558" s="639" t="s">
        <v>349</v>
      </c>
      <c r="B558" s="639" t="s">
        <v>408</v>
      </c>
      <c r="C558" s="639" t="s">
        <v>305</v>
      </c>
      <c r="D558" s="639" t="s">
        <v>561</v>
      </c>
      <c r="E558" s="639" t="s">
        <v>562</v>
      </c>
      <c r="F558" s="639">
        <v>10494</v>
      </c>
      <c r="G558" s="639">
        <v>503400</v>
      </c>
      <c r="H558" s="639" t="s">
        <v>411</v>
      </c>
      <c r="I558" s="639" t="s">
        <v>563</v>
      </c>
      <c r="J558" s="639" t="s">
        <v>567</v>
      </c>
      <c r="K558" s="639">
        <v>4.8499999999999996</v>
      </c>
      <c r="L558" s="639">
        <v>3.65</v>
      </c>
      <c r="M558" s="639">
        <v>2.4300000000000002</v>
      </c>
      <c r="N558" s="639">
        <v>1.47</v>
      </c>
      <c r="O558" s="639">
        <v>1.37</v>
      </c>
      <c r="P558" s="616">
        <v>36</v>
      </c>
    </row>
    <row r="559" spans="1:16">
      <c r="A559" s="639" t="s">
        <v>349</v>
      </c>
      <c r="B559" s="639" t="s">
        <v>408</v>
      </c>
      <c r="C559" s="639" t="s">
        <v>305</v>
      </c>
      <c r="D559" s="639" t="s">
        <v>561</v>
      </c>
      <c r="E559" s="639" t="s">
        <v>562</v>
      </c>
      <c r="F559" s="639">
        <v>17750</v>
      </c>
      <c r="G559" s="639">
        <v>503400</v>
      </c>
      <c r="H559" s="639" t="s">
        <v>411</v>
      </c>
      <c r="I559" s="639" t="s">
        <v>565</v>
      </c>
      <c r="J559" s="639" t="s">
        <v>564</v>
      </c>
      <c r="K559" s="639">
        <v>5.0199999999999996</v>
      </c>
      <c r="L559" s="639">
        <v>3.84</v>
      </c>
      <c r="M559" s="639">
        <v>2.63</v>
      </c>
      <c r="N559" s="639">
        <v>1.67</v>
      </c>
      <c r="O559" s="639">
        <v>1.65</v>
      </c>
      <c r="P559" s="616">
        <v>36</v>
      </c>
    </row>
    <row r="560" spans="1:16">
      <c r="A560" s="639" t="s">
        <v>349</v>
      </c>
      <c r="B560" s="639" t="s">
        <v>408</v>
      </c>
      <c r="C560" s="639" t="s">
        <v>305</v>
      </c>
      <c r="D560" s="639" t="s">
        <v>561</v>
      </c>
      <c r="E560" s="639" t="s">
        <v>562</v>
      </c>
      <c r="F560" s="639">
        <v>16395</v>
      </c>
      <c r="G560" s="639">
        <v>503400</v>
      </c>
      <c r="H560" s="639" t="s">
        <v>411</v>
      </c>
      <c r="I560" s="639" t="s">
        <v>596</v>
      </c>
      <c r="J560" s="639" t="s">
        <v>564</v>
      </c>
      <c r="K560" s="639">
        <v>5.1100000000000003</v>
      </c>
      <c r="L560" s="639">
        <v>3.94</v>
      </c>
      <c r="M560" s="639">
        <v>2.75</v>
      </c>
      <c r="N560" s="639">
        <v>1.79</v>
      </c>
      <c r="O560" s="639">
        <v>1.74</v>
      </c>
      <c r="P560" s="616">
        <v>36</v>
      </c>
    </row>
    <row r="561" spans="1:16">
      <c r="A561" s="639" t="s">
        <v>349</v>
      </c>
      <c r="B561" s="639" t="s">
        <v>408</v>
      </c>
      <c r="C561" s="639" t="s">
        <v>305</v>
      </c>
      <c r="D561" s="639" t="s">
        <v>561</v>
      </c>
      <c r="E561" s="639" t="s">
        <v>562</v>
      </c>
      <c r="F561" s="639">
        <v>10497</v>
      </c>
      <c r="G561" s="639">
        <v>503400</v>
      </c>
      <c r="H561" s="639" t="s">
        <v>411</v>
      </c>
      <c r="I561" s="639" t="s">
        <v>566</v>
      </c>
      <c r="J561" s="639" t="s">
        <v>567</v>
      </c>
      <c r="K561" s="639">
        <v>5.27</v>
      </c>
      <c r="L561" s="639">
        <v>4.09</v>
      </c>
      <c r="M561" s="639">
        <v>2.89</v>
      </c>
      <c r="N561" s="639">
        <v>1.91</v>
      </c>
      <c r="O561" s="639">
        <v>1.48</v>
      </c>
      <c r="P561" s="616">
        <v>36</v>
      </c>
    </row>
    <row r="562" spans="1:16">
      <c r="A562" s="639" t="s">
        <v>349</v>
      </c>
      <c r="B562" s="639" t="s">
        <v>408</v>
      </c>
      <c r="C562" s="639" t="s">
        <v>305</v>
      </c>
      <c r="D562" s="639" t="s">
        <v>561</v>
      </c>
      <c r="E562" s="639" t="s">
        <v>562</v>
      </c>
      <c r="F562" s="639">
        <v>17749</v>
      </c>
      <c r="G562" s="639">
        <v>503400</v>
      </c>
      <c r="H562" s="639" t="s">
        <v>411</v>
      </c>
      <c r="I562" s="639" t="s">
        <v>565</v>
      </c>
      <c r="J562" s="639" t="s">
        <v>571</v>
      </c>
      <c r="K562" s="639">
        <v>5.54</v>
      </c>
      <c r="L562" s="639">
        <v>4.34</v>
      </c>
      <c r="M562" s="639">
        <v>3.13</v>
      </c>
      <c r="N562" s="639">
        <v>2.14</v>
      </c>
      <c r="O562" s="639">
        <v>1.71</v>
      </c>
      <c r="P562" s="616">
        <v>36</v>
      </c>
    </row>
    <row r="563" spans="1:16">
      <c r="A563" s="639" t="s">
        <v>349</v>
      </c>
      <c r="B563" s="639" t="s">
        <v>408</v>
      </c>
      <c r="C563" s="639" t="s">
        <v>305</v>
      </c>
      <c r="D563" s="639" t="s">
        <v>561</v>
      </c>
      <c r="E563" s="639" t="s">
        <v>562</v>
      </c>
      <c r="F563" s="639">
        <v>17748</v>
      </c>
      <c r="G563" s="639">
        <v>503400</v>
      </c>
      <c r="H563" s="639" t="s">
        <v>411</v>
      </c>
      <c r="I563" s="639" t="s">
        <v>565</v>
      </c>
      <c r="J563" s="639" t="s">
        <v>567</v>
      </c>
      <c r="K563" s="639">
        <v>6.18</v>
      </c>
      <c r="L563" s="639">
        <v>4.97</v>
      </c>
      <c r="M563" s="639">
        <v>3.77</v>
      </c>
      <c r="N563" s="639">
        <v>2.79</v>
      </c>
      <c r="O563" s="639">
        <v>2.36</v>
      </c>
      <c r="P563" s="616">
        <v>36</v>
      </c>
    </row>
    <row r="564" spans="1:16">
      <c r="A564" s="639" t="s">
        <v>349</v>
      </c>
      <c r="B564" s="639" t="s">
        <v>408</v>
      </c>
      <c r="C564" s="639" t="s">
        <v>305</v>
      </c>
      <c r="D564" s="639" t="s">
        <v>561</v>
      </c>
      <c r="E564" s="639" t="s">
        <v>562</v>
      </c>
      <c r="F564" s="639">
        <v>31049</v>
      </c>
      <c r="G564" s="639">
        <v>503400</v>
      </c>
      <c r="H564" s="639" t="s">
        <v>411</v>
      </c>
      <c r="I564" s="639" t="s">
        <v>565</v>
      </c>
      <c r="J564" s="639" t="s">
        <v>569</v>
      </c>
      <c r="K564" s="639">
        <v>7.82</v>
      </c>
      <c r="L564" s="639">
        <v>6.64</v>
      </c>
      <c r="M564" s="639">
        <v>5.45</v>
      </c>
      <c r="N564" s="639">
        <v>4.5199999999999996</v>
      </c>
      <c r="O564" s="639">
        <v>4.09</v>
      </c>
      <c r="P564" s="616">
        <v>36</v>
      </c>
    </row>
    <row r="565" spans="1:16">
      <c r="A565" s="639" t="s">
        <v>456</v>
      </c>
      <c r="B565" s="639" t="s">
        <v>306</v>
      </c>
      <c r="C565" s="639" t="s">
        <v>305</v>
      </c>
      <c r="D565" s="639" t="s">
        <v>561</v>
      </c>
      <c r="E565" s="639" t="s">
        <v>562</v>
      </c>
      <c r="F565" s="639">
        <v>13586</v>
      </c>
      <c r="G565" s="639">
        <v>703001</v>
      </c>
      <c r="H565" s="639" t="s">
        <v>459</v>
      </c>
      <c r="I565" s="639" t="s">
        <v>568</v>
      </c>
      <c r="J565" s="639">
        <v>46</v>
      </c>
      <c r="K565" s="639">
        <v>1.33</v>
      </c>
      <c r="L565" s="639">
        <v>1.1499999999999999</v>
      </c>
      <c r="M565" s="639">
        <v>1.04</v>
      </c>
      <c r="N565" s="639">
        <v>1</v>
      </c>
      <c r="O565" s="639">
        <v>1.39</v>
      </c>
      <c r="P565" s="616">
        <v>14</v>
      </c>
    </row>
    <row r="566" spans="1:16">
      <c r="A566" s="639" t="s">
        <v>456</v>
      </c>
      <c r="B566" s="639" t="s">
        <v>306</v>
      </c>
      <c r="C566" s="639" t="s">
        <v>305</v>
      </c>
      <c r="D566" s="639" t="s">
        <v>561</v>
      </c>
      <c r="E566" s="639" t="s">
        <v>562</v>
      </c>
      <c r="F566" s="639">
        <v>13587</v>
      </c>
      <c r="G566" s="639">
        <v>703001</v>
      </c>
      <c r="H566" s="639" t="s">
        <v>459</v>
      </c>
      <c r="I566" s="639" t="s">
        <v>568</v>
      </c>
      <c r="J566" s="639">
        <v>48</v>
      </c>
      <c r="K566" s="639">
        <v>0.77</v>
      </c>
      <c r="L566" s="639">
        <v>1.1599999999999999</v>
      </c>
      <c r="M566" s="639">
        <v>1.05</v>
      </c>
      <c r="N566" s="639">
        <v>1.0900000000000001</v>
      </c>
      <c r="O566" s="639">
        <v>1.44</v>
      </c>
      <c r="P566" s="616">
        <v>14</v>
      </c>
    </row>
    <row r="567" spans="1:16">
      <c r="A567" s="639" t="s">
        <v>456</v>
      </c>
      <c r="B567" s="639" t="s">
        <v>306</v>
      </c>
      <c r="C567" s="639" t="s">
        <v>305</v>
      </c>
      <c r="D567" s="639" t="s">
        <v>561</v>
      </c>
      <c r="E567" s="639" t="s">
        <v>562</v>
      </c>
      <c r="F567" s="639">
        <v>16934</v>
      </c>
      <c r="G567" s="639">
        <v>703001</v>
      </c>
      <c r="H567" s="639" t="s">
        <v>459</v>
      </c>
      <c r="I567" s="639" t="s">
        <v>565</v>
      </c>
      <c r="J567" s="639">
        <v>48</v>
      </c>
      <c r="K567" s="639">
        <v>0.93</v>
      </c>
      <c r="L567" s="639">
        <v>1.05</v>
      </c>
      <c r="M567" s="639">
        <v>1.08</v>
      </c>
      <c r="N567" s="639">
        <v>1.0900000000000001</v>
      </c>
      <c r="O567" s="639">
        <v>1.33</v>
      </c>
      <c r="P567" s="616">
        <v>14</v>
      </c>
    </row>
    <row r="568" spans="1:16">
      <c r="A568" s="639" t="s">
        <v>456</v>
      </c>
      <c r="B568" s="639" t="s">
        <v>306</v>
      </c>
      <c r="C568" s="639" t="s">
        <v>305</v>
      </c>
      <c r="D568" s="639" t="s">
        <v>561</v>
      </c>
      <c r="E568" s="639" t="s">
        <v>562</v>
      </c>
      <c r="F568" s="639">
        <v>13561</v>
      </c>
      <c r="G568" s="639">
        <v>703001</v>
      </c>
      <c r="H568" s="639" t="s">
        <v>459</v>
      </c>
      <c r="I568" s="639" t="s">
        <v>563</v>
      </c>
      <c r="J568" s="639">
        <v>50</v>
      </c>
      <c r="K568" s="639">
        <v>2.3199999999999998</v>
      </c>
      <c r="L568" s="639">
        <v>1.1299999999999999</v>
      </c>
      <c r="M568" s="639">
        <v>1.0900000000000001</v>
      </c>
      <c r="N568" s="639">
        <v>1.1399999999999999</v>
      </c>
      <c r="O568" s="639">
        <v>1.42</v>
      </c>
      <c r="P568" s="616">
        <v>14</v>
      </c>
    </row>
    <row r="569" spans="1:16">
      <c r="A569" s="639" t="s">
        <v>456</v>
      </c>
      <c r="B569" s="639" t="s">
        <v>306</v>
      </c>
      <c r="C569" s="639" t="s">
        <v>305</v>
      </c>
      <c r="D569" s="639" t="s">
        <v>561</v>
      </c>
      <c r="E569" s="639" t="s">
        <v>562</v>
      </c>
      <c r="F569" s="639">
        <v>13562</v>
      </c>
      <c r="G569" s="639">
        <v>703001</v>
      </c>
      <c r="H569" s="639" t="s">
        <v>459</v>
      </c>
      <c r="I569" s="639" t="s">
        <v>563</v>
      </c>
      <c r="J569" s="639">
        <v>52</v>
      </c>
      <c r="K569" s="639">
        <v>1.92</v>
      </c>
      <c r="L569" s="639">
        <v>1.1399999999999999</v>
      </c>
      <c r="M569" s="639">
        <v>1.1200000000000001</v>
      </c>
      <c r="N569" s="639">
        <v>1.1399999999999999</v>
      </c>
      <c r="O569" s="639">
        <v>1.29</v>
      </c>
      <c r="P569" s="616">
        <v>14</v>
      </c>
    </row>
    <row r="570" spans="1:16">
      <c r="A570" s="639" t="s">
        <v>456</v>
      </c>
      <c r="B570" s="639" t="s">
        <v>306</v>
      </c>
      <c r="C570" s="639" t="s">
        <v>305</v>
      </c>
      <c r="D570" s="639" t="s">
        <v>561</v>
      </c>
      <c r="E570" s="639" t="s">
        <v>562</v>
      </c>
      <c r="F570" s="639">
        <v>28614</v>
      </c>
      <c r="G570" s="639">
        <v>703001</v>
      </c>
      <c r="H570" s="639" t="s">
        <v>459</v>
      </c>
      <c r="I570" s="639" t="s">
        <v>570</v>
      </c>
      <c r="J570" s="639">
        <v>50</v>
      </c>
      <c r="K570" s="639">
        <v>0.81</v>
      </c>
      <c r="L570" s="639">
        <v>1.1599999999999999</v>
      </c>
      <c r="M570" s="639">
        <v>1.1399999999999999</v>
      </c>
      <c r="N570" s="639">
        <v>1.1200000000000001</v>
      </c>
      <c r="O570" s="639">
        <v>1.46</v>
      </c>
      <c r="P570" s="616">
        <v>14</v>
      </c>
    </row>
    <row r="571" spans="1:16">
      <c r="A571" s="639" t="s">
        <v>456</v>
      </c>
      <c r="B571" s="639" t="s">
        <v>306</v>
      </c>
      <c r="C571" s="639" t="s">
        <v>305</v>
      </c>
      <c r="D571" s="639" t="s">
        <v>561</v>
      </c>
      <c r="E571" s="639" t="s">
        <v>562</v>
      </c>
      <c r="F571" s="639">
        <v>16936</v>
      </c>
      <c r="G571" s="639">
        <v>703001</v>
      </c>
      <c r="H571" s="639" t="s">
        <v>459</v>
      </c>
      <c r="I571" s="639" t="s">
        <v>565</v>
      </c>
      <c r="J571" s="639">
        <v>52</v>
      </c>
      <c r="K571" s="639">
        <v>0.76</v>
      </c>
      <c r="L571" s="639">
        <v>1.01</v>
      </c>
      <c r="M571" s="639">
        <v>1.1499999999999999</v>
      </c>
      <c r="N571" s="639">
        <v>1.1200000000000001</v>
      </c>
      <c r="O571" s="639">
        <v>1.75</v>
      </c>
      <c r="P571" s="616">
        <v>14</v>
      </c>
    </row>
    <row r="572" spans="1:16">
      <c r="A572" s="639" t="s">
        <v>456</v>
      </c>
      <c r="B572" s="639" t="s">
        <v>306</v>
      </c>
      <c r="C572" s="639" t="s">
        <v>305</v>
      </c>
      <c r="D572" s="639" t="s">
        <v>561</v>
      </c>
      <c r="E572" s="639" t="s">
        <v>562</v>
      </c>
      <c r="F572" s="639">
        <v>13588</v>
      </c>
      <c r="G572" s="639">
        <v>703001</v>
      </c>
      <c r="H572" s="639" t="s">
        <v>459</v>
      </c>
      <c r="I572" s="639" t="s">
        <v>568</v>
      </c>
      <c r="J572" s="639">
        <v>50</v>
      </c>
      <c r="K572" s="639">
        <v>3.35</v>
      </c>
      <c r="L572" s="639">
        <v>2.15</v>
      </c>
      <c r="M572" s="639">
        <v>1.1499999999999999</v>
      </c>
      <c r="N572" s="639">
        <v>1.01</v>
      </c>
      <c r="O572" s="639">
        <v>1.4</v>
      </c>
      <c r="P572" s="616">
        <v>14</v>
      </c>
    </row>
    <row r="573" spans="1:16">
      <c r="A573" s="639" t="s">
        <v>456</v>
      </c>
      <c r="B573" s="639" t="s">
        <v>306</v>
      </c>
      <c r="C573" s="639" t="s">
        <v>305</v>
      </c>
      <c r="D573" s="639" t="s">
        <v>561</v>
      </c>
      <c r="E573" s="639" t="s">
        <v>562</v>
      </c>
      <c r="F573" s="639">
        <v>28615</v>
      </c>
      <c r="G573" s="639">
        <v>703001</v>
      </c>
      <c r="H573" s="639" t="s">
        <v>459</v>
      </c>
      <c r="I573" s="639" t="s">
        <v>570</v>
      </c>
      <c r="J573" s="639">
        <v>52</v>
      </c>
      <c r="K573" s="639">
        <v>1.31</v>
      </c>
      <c r="L573" s="639">
        <v>1.01</v>
      </c>
      <c r="M573" s="639">
        <v>1.1599999999999999</v>
      </c>
      <c r="N573" s="639">
        <v>1.1599999999999999</v>
      </c>
      <c r="O573" s="639">
        <v>1.38</v>
      </c>
      <c r="P573" s="616">
        <v>14</v>
      </c>
    </row>
    <row r="574" spans="1:16">
      <c r="A574" s="639" t="s">
        <v>456</v>
      </c>
      <c r="B574" s="639" t="s">
        <v>306</v>
      </c>
      <c r="C574" s="639" t="s">
        <v>305</v>
      </c>
      <c r="D574" s="639" t="s">
        <v>561</v>
      </c>
      <c r="E574" s="639" t="s">
        <v>562</v>
      </c>
      <c r="F574" s="639">
        <v>13595</v>
      </c>
      <c r="G574" s="639">
        <v>703001</v>
      </c>
      <c r="H574" s="639" t="s">
        <v>459</v>
      </c>
      <c r="I574" s="639" t="s">
        <v>563</v>
      </c>
      <c r="J574" s="639">
        <v>48</v>
      </c>
      <c r="K574" s="639">
        <v>1.63</v>
      </c>
      <c r="L574" s="639">
        <v>1.01</v>
      </c>
      <c r="M574" s="639">
        <v>1.17</v>
      </c>
      <c r="N574" s="639">
        <v>1.1399999999999999</v>
      </c>
      <c r="O574" s="639">
        <v>1.46</v>
      </c>
      <c r="P574" s="616">
        <v>14</v>
      </c>
    </row>
    <row r="575" spans="1:16">
      <c r="A575" s="639" t="s">
        <v>456</v>
      </c>
      <c r="B575" s="639" t="s">
        <v>306</v>
      </c>
      <c r="C575" s="639" t="s">
        <v>305</v>
      </c>
      <c r="D575" s="639" t="s">
        <v>561</v>
      </c>
      <c r="E575" s="639" t="s">
        <v>562</v>
      </c>
      <c r="F575" s="639">
        <v>28612</v>
      </c>
      <c r="G575" s="639">
        <v>703001</v>
      </c>
      <c r="H575" s="639" t="s">
        <v>459</v>
      </c>
      <c r="I575" s="639" t="s">
        <v>570</v>
      </c>
      <c r="J575" s="639">
        <v>46</v>
      </c>
      <c r="K575" s="639">
        <v>1.74</v>
      </c>
      <c r="L575" s="639">
        <v>1.08</v>
      </c>
      <c r="M575" s="639">
        <v>1.17</v>
      </c>
      <c r="N575" s="639">
        <v>1.05</v>
      </c>
      <c r="O575" s="639">
        <v>1.43</v>
      </c>
      <c r="P575" s="616">
        <v>14</v>
      </c>
    </row>
    <row r="576" spans="1:16">
      <c r="A576" s="639" t="s">
        <v>456</v>
      </c>
      <c r="B576" s="639" t="s">
        <v>306</v>
      </c>
      <c r="C576" s="639" t="s">
        <v>305</v>
      </c>
      <c r="D576" s="639" t="s">
        <v>561</v>
      </c>
      <c r="E576" s="639" t="s">
        <v>562</v>
      </c>
      <c r="F576" s="639">
        <v>16933</v>
      </c>
      <c r="G576" s="639">
        <v>703001</v>
      </c>
      <c r="H576" s="639" t="s">
        <v>459</v>
      </c>
      <c r="I576" s="639" t="s">
        <v>565</v>
      </c>
      <c r="J576" s="639">
        <v>46</v>
      </c>
      <c r="K576" s="639">
        <v>1.79</v>
      </c>
      <c r="L576" s="639">
        <v>1.1200000000000001</v>
      </c>
      <c r="M576" s="639">
        <v>1.17</v>
      </c>
      <c r="N576" s="639">
        <v>1.04</v>
      </c>
      <c r="O576" s="639">
        <v>1.39</v>
      </c>
      <c r="P576" s="616">
        <v>14</v>
      </c>
    </row>
    <row r="577" spans="1:16">
      <c r="A577" s="639" t="s">
        <v>456</v>
      </c>
      <c r="B577" s="639" t="s">
        <v>306</v>
      </c>
      <c r="C577" s="639" t="s">
        <v>305</v>
      </c>
      <c r="D577" s="639" t="s">
        <v>561</v>
      </c>
      <c r="E577" s="639" t="s">
        <v>562</v>
      </c>
      <c r="F577" s="639">
        <v>16935</v>
      </c>
      <c r="G577" s="639">
        <v>703001</v>
      </c>
      <c r="H577" s="639" t="s">
        <v>459</v>
      </c>
      <c r="I577" s="639" t="s">
        <v>565</v>
      </c>
      <c r="J577" s="639">
        <v>50</v>
      </c>
      <c r="K577" s="639">
        <v>3.56</v>
      </c>
      <c r="L577" s="639">
        <v>2.37</v>
      </c>
      <c r="M577" s="639">
        <v>1.17</v>
      </c>
      <c r="N577" s="639">
        <v>1.17</v>
      </c>
      <c r="O577" s="639">
        <v>1.22</v>
      </c>
      <c r="P577" s="616">
        <v>14</v>
      </c>
    </row>
    <row r="578" spans="1:16">
      <c r="A578" s="639" t="s">
        <v>456</v>
      </c>
      <c r="B578" s="639" t="s">
        <v>306</v>
      </c>
      <c r="C578" s="639" t="s">
        <v>305</v>
      </c>
      <c r="D578" s="639" t="s">
        <v>561</v>
      </c>
      <c r="E578" s="639" t="s">
        <v>562</v>
      </c>
      <c r="F578" s="639">
        <v>13576</v>
      </c>
      <c r="G578" s="639">
        <v>703001</v>
      </c>
      <c r="H578" s="639" t="s">
        <v>459</v>
      </c>
      <c r="I578" s="639" t="s">
        <v>563</v>
      </c>
      <c r="J578" s="639">
        <v>46</v>
      </c>
      <c r="K578" s="639">
        <v>0.74</v>
      </c>
      <c r="L578" s="639">
        <v>1.04</v>
      </c>
      <c r="M578" s="639">
        <v>1.18</v>
      </c>
      <c r="N578" s="639">
        <v>1.1399999999999999</v>
      </c>
      <c r="O578" s="639">
        <v>1.48</v>
      </c>
      <c r="P578" s="616">
        <v>14</v>
      </c>
    </row>
    <row r="579" spans="1:16">
      <c r="A579" s="639" t="s">
        <v>456</v>
      </c>
      <c r="B579" s="639" t="s">
        <v>306</v>
      </c>
      <c r="C579" s="639" t="s">
        <v>305</v>
      </c>
      <c r="D579" s="639" t="s">
        <v>561</v>
      </c>
      <c r="E579" s="639" t="s">
        <v>562</v>
      </c>
      <c r="F579" s="639">
        <v>13589</v>
      </c>
      <c r="G579" s="639">
        <v>703001</v>
      </c>
      <c r="H579" s="639" t="s">
        <v>459</v>
      </c>
      <c r="I579" s="639" t="s">
        <v>568</v>
      </c>
      <c r="J579" s="639">
        <v>52</v>
      </c>
      <c r="K579" s="639">
        <v>1.82</v>
      </c>
      <c r="L579" s="639">
        <v>1.0900000000000001</v>
      </c>
      <c r="M579" s="639">
        <v>1.18</v>
      </c>
      <c r="N579" s="639">
        <v>1.04</v>
      </c>
      <c r="O579" s="639">
        <v>1.39</v>
      </c>
      <c r="P579" s="616">
        <v>14</v>
      </c>
    </row>
    <row r="580" spans="1:16">
      <c r="A580" s="639" t="s">
        <v>456</v>
      </c>
      <c r="B580" s="639" t="s">
        <v>306</v>
      </c>
      <c r="C580" s="639" t="s">
        <v>305</v>
      </c>
      <c r="D580" s="639" t="s">
        <v>561</v>
      </c>
      <c r="E580" s="639" t="s">
        <v>562</v>
      </c>
      <c r="F580" s="639">
        <v>28613</v>
      </c>
      <c r="G580" s="639">
        <v>703001</v>
      </c>
      <c r="H580" s="639" t="s">
        <v>459</v>
      </c>
      <c r="I580" s="639" t="s">
        <v>570</v>
      </c>
      <c r="J580" s="639">
        <v>48</v>
      </c>
      <c r="K580" s="639">
        <v>3.63</v>
      </c>
      <c r="L580" s="639">
        <v>2.44</v>
      </c>
      <c r="M580" s="639">
        <v>1.22</v>
      </c>
      <c r="N580" s="639">
        <v>1.1299999999999999</v>
      </c>
      <c r="O580" s="639">
        <v>1.29</v>
      </c>
      <c r="P580" s="616">
        <v>14</v>
      </c>
    </row>
    <row r="581" spans="1:16">
      <c r="A581" s="639" t="s">
        <v>456</v>
      </c>
      <c r="B581" s="639" t="s">
        <v>306</v>
      </c>
      <c r="C581" s="639" t="s">
        <v>305</v>
      </c>
      <c r="D581" s="639" t="s">
        <v>561</v>
      </c>
      <c r="E581" s="639" t="s">
        <v>562</v>
      </c>
      <c r="F581" s="639">
        <v>16046</v>
      </c>
      <c r="G581" s="639">
        <v>703008</v>
      </c>
      <c r="H581" s="639" t="s">
        <v>459</v>
      </c>
      <c r="I581" s="639" t="s">
        <v>568</v>
      </c>
      <c r="J581" s="639">
        <v>46</v>
      </c>
      <c r="K581" s="639">
        <v>0.81</v>
      </c>
      <c r="L581" s="639">
        <v>1.1499999999999999</v>
      </c>
      <c r="M581" s="639">
        <v>1.07</v>
      </c>
      <c r="N581" s="639">
        <v>1.1499999999999999</v>
      </c>
      <c r="O581" s="639">
        <v>1.53</v>
      </c>
      <c r="P581" s="616">
        <v>12</v>
      </c>
    </row>
    <row r="582" spans="1:16">
      <c r="A582" s="639" t="s">
        <v>456</v>
      </c>
      <c r="B582" s="639" t="s">
        <v>306</v>
      </c>
      <c r="C582" s="639" t="s">
        <v>305</v>
      </c>
      <c r="D582" s="639" t="s">
        <v>561</v>
      </c>
      <c r="E582" s="639" t="s">
        <v>562</v>
      </c>
      <c r="F582" s="639">
        <v>19622</v>
      </c>
      <c r="G582" s="639">
        <v>703008</v>
      </c>
      <c r="H582" s="639" t="s">
        <v>459</v>
      </c>
      <c r="I582" s="639" t="s">
        <v>565</v>
      </c>
      <c r="J582" s="639">
        <v>54</v>
      </c>
      <c r="K582" s="639">
        <v>2</v>
      </c>
      <c r="L582" s="639">
        <v>2.2000000000000002</v>
      </c>
      <c r="M582" s="639">
        <v>1.07</v>
      </c>
      <c r="N582" s="639">
        <v>1.47</v>
      </c>
      <c r="O582" s="639">
        <v>2.4</v>
      </c>
      <c r="P582" s="616">
        <v>12</v>
      </c>
    </row>
    <row r="583" spans="1:16">
      <c r="A583" s="639" t="s">
        <v>456</v>
      </c>
      <c r="B583" s="639" t="s">
        <v>306</v>
      </c>
      <c r="C583" s="639" t="s">
        <v>305</v>
      </c>
      <c r="D583" s="639" t="s">
        <v>561</v>
      </c>
      <c r="E583" s="639" t="s">
        <v>562</v>
      </c>
      <c r="F583" s="639">
        <v>16048</v>
      </c>
      <c r="G583" s="639">
        <v>703008</v>
      </c>
      <c r="H583" s="639" t="s">
        <v>459</v>
      </c>
      <c r="I583" s="639" t="s">
        <v>568</v>
      </c>
      <c r="J583" s="639">
        <v>50</v>
      </c>
      <c r="K583" s="639">
        <v>2.4700000000000002</v>
      </c>
      <c r="L583" s="639">
        <v>1.29</v>
      </c>
      <c r="M583" s="639">
        <v>1.08</v>
      </c>
      <c r="N583" s="639">
        <v>1.1000000000000001</v>
      </c>
      <c r="O583" s="639">
        <v>1.45</v>
      </c>
      <c r="P583" s="616">
        <v>12</v>
      </c>
    </row>
    <row r="584" spans="1:16">
      <c r="A584" s="639" t="s">
        <v>456</v>
      </c>
      <c r="B584" s="639" t="s">
        <v>306</v>
      </c>
      <c r="C584" s="639" t="s">
        <v>305</v>
      </c>
      <c r="D584" s="639" t="s">
        <v>561</v>
      </c>
      <c r="E584" s="639" t="s">
        <v>562</v>
      </c>
      <c r="F584" s="639">
        <v>16044</v>
      </c>
      <c r="G584" s="639">
        <v>703008</v>
      </c>
      <c r="H584" s="639" t="s">
        <v>459</v>
      </c>
      <c r="I584" s="639" t="s">
        <v>563</v>
      </c>
      <c r="J584" s="639">
        <v>50</v>
      </c>
      <c r="K584" s="639">
        <v>2.09</v>
      </c>
      <c r="L584" s="639">
        <v>1.5</v>
      </c>
      <c r="M584" s="639">
        <v>1.08</v>
      </c>
      <c r="N584" s="639">
        <v>1.0900000000000001</v>
      </c>
      <c r="O584" s="639">
        <v>1.26</v>
      </c>
      <c r="P584" s="616">
        <v>12</v>
      </c>
    </row>
    <row r="585" spans="1:16">
      <c r="A585" s="639" t="s">
        <v>456</v>
      </c>
      <c r="B585" s="639" t="s">
        <v>306</v>
      </c>
      <c r="C585" s="639" t="s">
        <v>305</v>
      </c>
      <c r="D585" s="639" t="s">
        <v>561</v>
      </c>
      <c r="E585" s="639" t="s">
        <v>562</v>
      </c>
      <c r="F585" s="639">
        <v>28610</v>
      </c>
      <c r="G585" s="639">
        <v>703008</v>
      </c>
      <c r="H585" s="639" t="s">
        <v>459</v>
      </c>
      <c r="I585" s="639" t="s">
        <v>570</v>
      </c>
      <c r="J585" s="639">
        <v>54</v>
      </c>
      <c r="K585" s="639">
        <v>0.86</v>
      </c>
      <c r="L585" s="639">
        <v>0.97</v>
      </c>
      <c r="M585" s="639">
        <v>1.0900000000000001</v>
      </c>
      <c r="N585" s="639">
        <v>1.08</v>
      </c>
      <c r="O585" s="639">
        <v>1.47</v>
      </c>
      <c r="P585" s="616">
        <v>12</v>
      </c>
    </row>
    <row r="586" spans="1:16">
      <c r="A586" s="639" t="s">
        <v>456</v>
      </c>
      <c r="B586" s="639" t="s">
        <v>306</v>
      </c>
      <c r="C586" s="639" t="s">
        <v>305</v>
      </c>
      <c r="D586" s="639" t="s">
        <v>561</v>
      </c>
      <c r="E586" s="639" t="s">
        <v>562</v>
      </c>
      <c r="F586" s="639">
        <v>16042</v>
      </c>
      <c r="G586" s="639">
        <v>703008</v>
      </c>
      <c r="H586" s="639" t="s">
        <v>459</v>
      </c>
      <c r="I586" s="639" t="s">
        <v>563</v>
      </c>
      <c r="J586" s="639">
        <v>46</v>
      </c>
      <c r="K586" s="639">
        <v>0.75</v>
      </c>
      <c r="L586" s="639">
        <v>1.1200000000000001</v>
      </c>
      <c r="M586" s="639">
        <v>1.1000000000000001</v>
      </c>
      <c r="N586" s="639">
        <v>1.18</v>
      </c>
      <c r="O586" s="639">
        <v>1.27</v>
      </c>
      <c r="P586" s="616">
        <v>12</v>
      </c>
    </row>
    <row r="587" spans="1:16">
      <c r="A587" s="639" t="s">
        <v>456</v>
      </c>
      <c r="B587" s="639" t="s">
        <v>306</v>
      </c>
      <c r="C587" s="639" t="s">
        <v>305</v>
      </c>
      <c r="D587" s="639" t="s">
        <v>561</v>
      </c>
      <c r="E587" s="639" t="s">
        <v>562</v>
      </c>
      <c r="F587" s="639">
        <v>16047</v>
      </c>
      <c r="G587" s="639">
        <v>703008</v>
      </c>
      <c r="H587" s="639" t="s">
        <v>459</v>
      </c>
      <c r="I587" s="639" t="s">
        <v>568</v>
      </c>
      <c r="J587" s="639">
        <v>48</v>
      </c>
      <c r="K587" s="639">
        <v>2.46</v>
      </c>
      <c r="L587" s="639">
        <v>1.26</v>
      </c>
      <c r="M587" s="639">
        <v>1.1100000000000001</v>
      </c>
      <c r="N587" s="639">
        <v>1.18</v>
      </c>
      <c r="O587" s="639">
        <v>1.28</v>
      </c>
      <c r="P587" s="616">
        <v>12</v>
      </c>
    </row>
    <row r="588" spans="1:16">
      <c r="A588" s="639" t="s">
        <v>456</v>
      </c>
      <c r="B588" s="639" t="s">
        <v>306</v>
      </c>
      <c r="C588" s="639" t="s">
        <v>305</v>
      </c>
      <c r="D588" s="639" t="s">
        <v>561</v>
      </c>
      <c r="E588" s="639" t="s">
        <v>562</v>
      </c>
      <c r="F588" s="639">
        <v>16043</v>
      </c>
      <c r="G588" s="639">
        <v>703008</v>
      </c>
      <c r="H588" s="639" t="s">
        <v>459</v>
      </c>
      <c r="I588" s="639" t="s">
        <v>563</v>
      </c>
      <c r="J588" s="639">
        <v>48</v>
      </c>
      <c r="K588" s="639">
        <v>2.34</v>
      </c>
      <c r="L588" s="639">
        <v>1.1599999999999999</v>
      </c>
      <c r="M588" s="639">
        <v>1.1299999999999999</v>
      </c>
      <c r="N588" s="639">
        <v>1.05</v>
      </c>
      <c r="O588" s="639">
        <v>1.31</v>
      </c>
      <c r="P588" s="616">
        <v>12</v>
      </c>
    </row>
    <row r="589" spans="1:16">
      <c r="A589" s="639" t="s">
        <v>456</v>
      </c>
      <c r="B589" s="639" t="s">
        <v>306</v>
      </c>
      <c r="C589" s="639" t="s">
        <v>305</v>
      </c>
      <c r="D589" s="639" t="s">
        <v>561</v>
      </c>
      <c r="E589" s="639" t="s">
        <v>562</v>
      </c>
      <c r="F589" s="639">
        <v>19621</v>
      </c>
      <c r="G589" s="639">
        <v>703008</v>
      </c>
      <c r="H589" s="639" t="s">
        <v>459</v>
      </c>
      <c r="I589" s="639" t="s">
        <v>568</v>
      </c>
      <c r="J589" s="639">
        <v>54</v>
      </c>
      <c r="K589" s="639">
        <v>3.52</v>
      </c>
      <c r="L589" s="639">
        <v>2.35</v>
      </c>
      <c r="M589" s="639">
        <v>1.1299999999999999</v>
      </c>
      <c r="N589" s="639">
        <v>1.04</v>
      </c>
      <c r="O589" s="639">
        <v>1.48</v>
      </c>
      <c r="P589" s="616">
        <v>12</v>
      </c>
    </row>
    <row r="590" spans="1:16">
      <c r="A590" s="639" t="s">
        <v>456</v>
      </c>
      <c r="B590" s="639" t="s">
        <v>306</v>
      </c>
      <c r="C590" s="639" t="s">
        <v>305</v>
      </c>
      <c r="D590" s="639" t="s">
        <v>561</v>
      </c>
      <c r="E590" s="639" t="s">
        <v>562</v>
      </c>
      <c r="F590" s="639">
        <v>28607</v>
      </c>
      <c r="G590" s="639">
        <v>703008</v>
      </c>
      <c r="H590" s="639" t="s">
        <v>459</v>
      </c>
      <c r="I590" s="639" t="s">
        <v>570</v>
      </c>
      <c r="J590" s="639">
        <v>48</v>
      </c>
      <c r="K590" s="639">
        <v>1.37</v>
      </c>
      <c r="L590" s="639">
        <v>1.18</v>
      </c>
      <c r="M590" s="639">
        <v>1.1399999999999999</v>
      </c>
      <c r="N590" s="639">
        <v>1.1200000000000001</v>
      </c>
      <c r="O590" s="639">
        <v>1.47</v>
      </c>
      <c r="P590" s="616">
        <v>12</v>
      </c>
    </row>
    <row r="591" spans="1:16">
      <c r="A591" s="639" t="s">
        <v>456</v>
      </c>
      <c r="B591" s="639" t="s">
        <v>306</v>
      </c>
      <c r="C591" s="639" t="s">
        <v>305</v>
      </c>
      <c r="D591" s="639" t="s">
        <v>561</v>
      </c>
      <c r="E591" s="639" t="s">
        <v>562</v>
      </c>
      <c r="F591" s="639">
        <v>16664</v>
      </c>
      <c r="G591" s="639">
        <v>703008</v>
      </c>
      <c r="H591" s="639" t="s">
        <v>459</v>
      </c>
      <c r="I591" s="639" t="s">
        <v>565</v>
      </c>
      <c r="J591" s="639">
        <v>46</v>
      </c>
      <c r="K591" s="639">
        <v>1.4</v>
      </c>
      <c r="L591" s="639">
        <v>1.06</v>
      </c>
      <c r="M591" s="639">
        <v>1.1499999999999999</v>
      </c>
      <c r="N591" s="639">
        <v>1.04</v>
      </c>
      <c r="O591" s="639">
        <v>1.47</v>
      </c>
      <c r="P591" s="616">
        <v>12</v>
      </c>
    </row>
    <row r="592" spans="1:16">
      <c r="A592" s="639" t="s">
        <v>456</v>
      </c>
      <c r="B592" s="639" t="s">
        <v>306</v>
      </c>
      <c r="C592" s="639" t="s">
        <v>305</v>
      </c>
      <c r="D592" s="639" t="s">
        <v>561</v>
      </c>
      <c r="E592" s="639" t="s">
        <v>562</v>
      </c>
      <c r="F592" s="639">
        <v>28606</v>
      </c>
      <c r="G592" s="639">
        <v>703008</v>
      </c>
      <c r="H592" s="639" t="s">
        <v>459</v>
      </c>
      <c r="I592" s="639" t="s">
        <v>570</v>
      </c>
      <c r="J592" s="639">
        <v>46</v>
      </c>
      <c r="K592" s="639">
        <v>0.83</v>
      </c>
      <c r="L592" s="639">
        <v>1.1000000000000001</v>
      </c>
      <c r="M592" s="639">
        <v>1.1499999999999999</v>
      </c>
      <c r="N592" s="639">
        <v>1.1499999999999999</v>
      </c>
      <c r="O592" s="639">
        <v>1.32</v>
      </c>
      <c r="P592" s="616">
        <v>12</v>
      </c>
    </row>
    <row r="593" spans="1:16">
      <c r="A593" s="639" t="s">
        <v>456</v>
      </c>
      <c r="B593" s="639" t="s">
        <v>306</v>
      </c>
      <c r="C593" s="639" t="s">
        <v>305</v>
      </c>
      <c r="D593" s="639" t="s">
        <v>561</v>
      </c>
      <c r="E593" s="639" t="s">
        <v>562</v>
      </c>
      <c r="F593" s="639">
        <v>16667</v>
      </c>
      <c r="G593" s="639">
        <v>703008</v>
      </c>
      <c r="H593" s="639" t="s">
        <v>459</v>
      </c>
      <c r="I593" s="639" t="s">
        <v>565</v>
      </c>
      <c r="J593" s="639">
        <v>52</v>
      </c>
      <c r="K593" s="639">
        <v>1.1000000000000001</v>
      </c>
      <c r="L593" s="639">
        <v>1.1499999999999999</v>
      </c>
      <c r="M593" s="639">
        <v>1.1499999999999999</v>
      </c>
      <c r="N593" s="639">
        <v>1.1200000000000001</v>
      </c>
      <c r="O593" s="639">
        <v>1.4</v>
      </c>
      <c r="P593" s="616">
        <v>12</v>
      </c>
    </row>
    <row r="594" spans="1:16">
      <c r="A594" s="639" t="s">
        <v>456</v>
      </c>
      <c r="B594" s="639" t="s">
        <v>306</v>
      </c>
      <c r="C594" s="639" t="s">
        <v>305</v>
      </c>
      <c r="D594" s="639" t="s">
        <v>561</v>
      </c>
      <c r="E594" s="639" t="s">
        <v>562</v>
      </c>
      <c r="F594" s="639">
        <v>16045</v>
      </c>
      <c r="G594" s="639">
        <v>703008</v>
      </c>
      <c r="H594" s="639" t="s">
        <v>459</v>
      </c>
      <c r="I594" s="639" t="s">
        <v>563</v>
      </c>
      <c r="J594" s="639">
        <v>52</v>
      </c>
      <c r="K594" s="639">
        <v>1.72</v>
      </c>
      <c r="L594" s="639">
        <v>1.24</v>
      </c>
      <c r="M594" s="639">
        <v>1.1499999999999999</v>
      </c>
      <c r="N594" s="639">
        <v>1.1399999999999999</v>
      </c>
      <c r="O594" s="639">
        <v>1.41</v>
      </c>
      <c r="P594" s="616">
        <v>12</v>
      </c>
    </row>
    <row r="595" spans="1:16">
      <c r="A595" s="639" t="s">
        <v>456</v>
      </c>
      <c r="B595" s="639" t="s">
        <v>306</v>
      </c>
      <c r="C595" s="639" t="s">
        <v>305</v>
      </c>
      <c r="D595" s="639" t="s">
        <v>561</v>
      </c>
      <c r="E595" s="639" t="s">
        <v>562</v>
      </c>
      <c r="F595" s="639">
        <v>16049</v>
      </c>
      <c r="G595" s="639">
        <v>703008</v>
      </c>
      <c r="H595" s="639" t="s">
        <v>459</v>
      </c>
      <c r="I595" s="639" t="s">
        <v>568</v>
      </c>
      <c r="J595" s="639">
        <v>52</v>
      </c>
      <c r="K595" s="639">
        <v>1.86</v>
      </c>
      <c r="L595" s="639">
        <v>1.26</v>
      </c>
      <c r="M595" s="639">
        <v>1.2</v>
      </c>
      <c r="N595" s="639">
        <v>1.1200000000000001</v>
      </c>
      <c r="O595" s="639">
        <v>1.51</v>
      </c>
      <c r="P595" s="616">
        <v>12</v>
      </c>
    </row>
    <row r="596" spans="1:16">
      <c r="A596" s="639" t="s">
        <v>456</v>
      </c>
      <c r="B596" s="639" t="s">
        <v>306</v>
      </c>
      <c r="C596" s="639" t="s">
        <v>305</v>
      </c>
      <c r="D596" s="639" t="s">
        <v>561</v>
      </c>
      <c r="E596" s="639" t="s">
        <v>562</v>
      </c>
      <c r="F596" s="639">
        <v>16665</v>
      </c>
      <c r="G596" s="639">
        <v>703008</v>
      </c>
      <c r="H596" s="639" t="s">
        <v>459</v>
      </c>
      <c r="I596" s="639" t="s">
        <v>565</v>
      </c>
      <c r="J596" s="639">
        <v>48</v>
      </c>
      <c r="K596" s="639">
        <v>0.81</v>
      </c>
      <c r="L596" s="639">
        <v>1.1299999999999999</v>
      </c>
      <c r="M596" s="639">
        <v>1.22</v>
      </c>
      <c r="N596" s="639">
        <v>1.1100000000000001</v>
      </c>
      <c r="O596" s="639">
        <v>1.54</v>
      </c>
      <c r="P596" s="616">
        <v>12</v>
      </c>
    </row>
    <row r="597" spans="1:16">
      <c r="A597" s="639" t="s">
        <v>456</v>
      </c>
      <c r="B597" s="639" t="s">
        <v>306</v>
      </c>
      <c r="C597" s="639" t="s">
        <v>305</v>
      </c>
      <c r="D597" s="639" t="s">
        <v>561</v>
      </c>
      <c r="E597" s="639" t="s">
        <v>562</v>
      </c>
      <c r="F597" s="639">
        <v>28609</v>
      </c>
      <c r="G597" s="639">
        <v>703008</v>
      </c>
      <c r="H597" s="639" t="s">
        <v>459</v>
      </c>
      <c r="I597" s="639" t="s">
        <v>570</v>
      </c>
      <c r="J597" s="639">
        <v>52</v>
      </c>
      <c r="K597" s="639">
        <v>1.33</v>
      </c>
      <c r="L597" s="639">
        <v>1.1499999999999999</v>
      </c>
      <c r="M597" s="639">
        <v>1.42</v>
      </c>
      <c r="N597" s="639">
        <v>1.29</v>
      </c>
      <c r="O597" s="639">
        <v>1.71</v>
      </c>
      <c r="P597" s="616">
        <v>12</v>
      </c>
    </row>
    <row r="598" spans="1:16">
      <c r="A598" s="639" t="s">
        <v>456</v>
      </c>
      <c r="B598" s="639" t="s">
        <v>306</v>
      </c>
      <c r="C598" s="639" t="s">
        <v>305</v>
      </c>
      <c r="D598" s="639" t="s">
        <v>561</v>
      </c>
      <c r="E598" s="639" t="s">
        <v>562</v>
      </c>
      <c r="F598" s="639">
        <v>19623</v>
      </c>
      <c r="G598" s="639">
        <v>703008</v>
      </c>
      <c r="H598" s="639" t="s">
        <v>459</v>
      </c>
      <c r="I598" s="639" t="s">
        <v>563</v>
      </c>
      <c r="J598" s="639">
        <v>54</v>
      </c>
      <c r="K598" s="639">
        <v>3.83</v>
      </c>
      <c r="L598" s="639">
        <v>2.65</v>
      </c>
      <c r="M598" s="639">
        <v>1.43</v>
      </c>
      <c r="N598" s="639">
        <v>1.35</v>
      </c>
      <c r="O598" s="639">
        <v>1.78</v>
      </c>
      <c r="P598" s="616">
        <v>12</v>
      </c>
    </row>
    <row r="599" spans="1:16">
      <c r="A599" s="639" t="s">
        <v>456</v>
      </c>
      <c r="B599" s="639" t="s">
        <v>306</v>
      </c>
      <c r="C599" s="639" t="s">
        <v>305</v>
      </c>
      <c r="D599" s="639" t="s">
        <v>561</v>
      </c>
      <c r="E599" s="639" t="s">
        <v>562</v>
      </c>
      <c r="F599" s="639">
        <v>16666</v>
      </c>
      <c r="G599" s="639">
        <v>703008</v>
      </c>
      <c r="H599" s="639" t="s">
        <v>459</v>
      </c>
      <c r="I599" s="639" t="s">
        <v>565</v>
      </c>
      <c r="J599" s="639">
        <v>50</v>
      </c>
      <c r="K599" s="639">
        <v>3.94</v>
      </c>
      <c r="L599" s="639">
        <v>2.75</v>
      </c>
      <c r="M599" s="639">
        <v>1.56</v>
      </c>
      <c r="N599" s="639">
        <v>1.22</v>
      </c>
      <c r="O599" s="639">
        <v>1.41</v>
      </c>
      <c r="P599" s="616">
        <v>12</v>
      </c>
    </row>
    <row r="600" spans="1:16">
      <c r="A600" s="639" t="s">
        <v>456</v>
      </c>
      <c r="B600" s="639" t="s">
        <v>306</v>
      </c>
      <c r="C600" s="639" t="s">
        <v>305</v>
      </c>
      <c r="D600" s="639" t="s">
        <v>561</v>
      </c>
      <c r="E600" s="639" t="s">
        <v>562</v>
      </c>
      <c r="F600" s="639">
        <v>28608</v>
      </c>
      <c r="G600" s="639">
        <v>703008</v>
      </c>
      <c r="H600" s="639" t="s">
        <v>459</v>
      </c>
      <c r="I600" s="639" t="s">
        <v>570</v>
      </c>
      <c r="J600" s="639">
        <v>50</v>
      </c>
      <c r="K600" s="639">
        <v>4.83</v>
      </c>
      <c r="L600" s="639">
        <v>3.63</v>
      </c>
      <c r="M600" s="639">
        <v>2.4300000000000002</v>
      </c>
      <c r="N600" s="639">
        <v>1.46</v>
      </c>
      <c r="O600" s="639">
        <v>1.6</v>
      </c>
      <c r="P600" s="616">
        <v>12</v>
      </c>
    </row>
    <row r="601" spans="1:16">
      <c r="A601" s="639" t="s">
        <v>456</v>
      </c>
      <c r="B601" s="639" t="s">
        <v>349</v>
      </c>
      <c r="C601" s="639" t="s">
        <v>305</v>
      </c>
      <c r="D601" s="639" t="s">
        <v>561</v>
      </c>
      <c r="E601" s="639" t="s">
        <v>562</v>
      </c>
      <c r="F601" s="639">
        <v>16065</v>
      </c>
      <c r="G601" s="639">
        <v>703402</v>
      </c>
      <c r="H601" s="639" t="s">
        <v>600</v>
      </c>
      <c r="I601" s="639" t="s">
        <v>565</v>
      </c>
      <c r="J601" s="639">
        <v>48</v>
      </c>
      <c r="K601" s="639">
        <v>0.81</v>
      </c>
      <c r="L601" s="639">
        <v>1.1299999999999999</v>
      </c>
      <c r="M601" s="639">
        <v>1.05</v>
      </c>
      <c r="N601" s="639">
        <v>1.1000000000000001</v>
      </c>
      <c r="O601" s="639">
        <v>1.45</v>
      </c>
      <c r="P601" s="616">
        <v>30</v>
      </c>
    </row>
    <row r="602" spans="1:16">
      <c r="A602" s="639" t="s">
        <v>456</v>
      </c>
      <c r="B602" s="639" t="s">
        <v>349</v>
      </c>
      <c r="C602" s="639" t="s">
        <v>305</v>
      </c>
      <c r="D602" s="639" t="s">
        <v>561</v>
      </c>
      <c r="E602" s="639" t="s">
        <v>562</v>
      </c>
      <c r="F602" s="639">
        <v>16058</v>
      </c>
      <c r="G602" s="639">
        <v>703402</v>
      </c>
      <c r="H602" s="639" t="s">
        <v>600</v>
      </c>
      <c r="I602" s="639" t="s">
        <v>563</v>
      </c>
      <c r="J602" s="639">
        <v>50</v>
      </c>
      <c r="K602" s="639">
        <v>1.04</v>
      </c>
      <c r="L602" s="639">
        <v>1.06</v>
      </c>
      <c r="M602" s="639">
        <v>1.06</v>
      </c>
      <c r="N602" s="639">
        <v>1.1499999999999999</v>
      </c>
      <c r="O602" s="639">
        <v>1.28</v>
      </c>
      <c r="P602" s="616">
        <v>30</v>
      </c>
    </row>
    <row r="603" spans="1:16">
      <c r="A603" s="639" t="s">
        <v>456</v>
      </c>
      <c r="B603" s="639" t="s">
        <v>349</v>
      </c>
      <c r="C603" s="639" t="s">
        <v>305</v>
      </c>
      <c r="D603" s="639" t="s">
        <v>561</v>
      </c>
      <c r="E603" s="639" t="s">
        <v>562</v>
      </c>
      <c r="F603" s="639">
        <v>17916</v>
      </c>
      <c r="G603" s="639">
        <v>703402</v>
      </c>
      <c r="H603" s="639" t="s">
        <v>600</v>
      </c>
      <c r="I603" s="639" t="s">
        <v>596</v>
      </c>
      <c r="J603" s="639">
        <v>50</v>
      </c>
      <c r="K603" s="639">
        <v>1.92</v>
      </c>
      <c r="L603" s="639">
        <v>1.5</v>
      </c>
      <c r="M603" s="639">
        <v>1.08</v>
      </c>
      <c r="N603" s="639">
        <v>1.1499999999999999</v>
      </c>
      <c r="O603" s="639">
        <v>1.23</v>
      </c>
      <c r="P603" s="616">
        <v>30</v>
      </c>
    </row>
    <row r="604" spans="1:16">
      <c r="A604" s="639" t="s">
        <v>456</v>
      </c>
      <c r="B604" s="639" t="s">
        <v>349</v>
      </c>
      <c r="C604" s="639" t="s">
        <v>305</v>
      </c>
      <c r="D604" s="639" t="s">
        <v>561</v>
      </c>
      <c r="E604" s="639" t="s">
        <v>562</v>
      </c>
      <c r="F604" s="639">
        <v>17915</v>
      </c>
      <c r="G604" s="639">
        <v>703402</v>
      </c>
      <c r="H604" s="639" t="s">
        <v>600</v>
      </c>
      <c r="I604" s="639" t="s">
        <v>596</v>
      </c>
      <c r="J604" s="639">
        <v>48</v>
      </c>
      <c r="K604" s="639">
        <v>1.17</v>
      </c>
      <c r="L604" s="639">
        <v>1.1399999999999999</v>
      </c>
      <c r="M604" s="639">
        <v>1.0900000000000001</v>
      </c>
      <c r="N604" s="639">
        <v>1.26</v>
      </c>
      <c r="O604" s="639">
        <v>1.4</v>
      </c>
      <c r="P604" s="616">
        <v>30</v>
      </c>
    </row>
    <row r="605" spans="1:16">
      <c r="A605" s="639" t="s">
        <v>456</v>
      </c>
      <c r="B605" s="639" t="s">
        <v>349</v>
      </c>
      <c r="C605" s="639" t="s">
        <v>305</v>
      </c>
      <c r="D605" s="639" t="s">
        <v>561</v>
      </c>
      <c r="E605" s="639" t="s">
        <v>562</v>
      </c>
      <c r="F605" s="639">
        <v>17914</v>
      </c>
      <c r="G605" s="639">
        <v>703402</v>
      </c>
      <c r="H605" s="639" t="s">
        <v>600</v>
      </c>
      <c r="I605" s="639" t="s">
        <v>596</v>
      </c>
      <c r="J605" s="639">
        <v>46</v>
      </c>
      <c r="K605" s="639">
        <v>0.76</v>
      </c>
      <c r="L605" s="639">
        <v>1.18</v>
      </c>
      <c r="M605" s="639">
        <v>1.1399999999999999</v>
      </c>
      <c r="N605" s="639">
        <v>1.1499999999999999</v>
      </c>
      <c r="O605" s="639">
        <v>1.1399999999999999</v>
      </c>
      <c r="P605" s="616">
        <v>30</v>
      </c>
    </row>
    <row r="606" spans="1:16">
      <c r="A606" s="639" t="s">
        <v>456</v>
      </c>
      <c r="B606" s="639" t="s">
        <v>349</v>
      </c>
      <c r="C606" s="639" t="s">
        <v>305</v>
      </c>
      <c r="D606" s="639" t="s">
        <v>561</v>
      </c>
      <c r="E606" s="639" t="s">
        <v>562</v>
      </c>
      <c r="F606" s="639">
        <v>16059</v>
      </c>
      <c r="G606" s="639">
        <v>703402</v>
      </c>
      <c r="H606" s="639" t="s">
        <v>600</v>
      </c>
      <c r="I606" s="639" t="s">
        <v>563</v>
      </c>
      <c r="J606" s="639">
        <v>52</v>
      </c>
      <c r="K606" s="639">
        <v>0.76</v>
      </c>
      <c r="L606" s="639">
        <v>1.22</v>
      </c>
      <c r="M606" s="639">
        <v>1.1399999999999999</v>
      </c>
      <c r="N606" s="639">
        <v>1.1200000000000001</v>
      </c>
      <c r="O606" s="639">
        <v>1.44</v>
      </c>
      <c r="P606" s="616">
        <v>30</v>
      </c>
    </row>
    <row r="607" spans="1:16">
      <c r="A607" s="639" t="s">
        <v>456</v>
      </c>
      <c r="B607" s="639" t="s">
        <v>349</v>
      </c>
      <c r="C607" s="639" t="s">
        <v>305</v>
      </c>
      <c r="D607" s="639" t="s">
        <v>561</v>
      </c>
      <c r="E607" s="639" t="s">
        <v>562</v>
      </c>
      <c r="F607" s="639">
        <v>16057</v>
      </c>
      <c r="G607" s="639">
        <v>703402</v>
      </c>
      <c r="H607" s="639" t="s">
        <v>600</v>
      </c>
      <c r="I607" s="639" t="s">
        <v>563</v>
      </c>
      <c r="J607" s="639">
        <v>48</v>
      </c>
      <c r="K607" s="639">
        <v>1.41</v>
      </c>
      <c r="L607" s="639">
        <v>1.02</v>
      </c>
      <c r="M607" s="639">
        <v>1.1399999999999999</v>
      </c>
      <c r="N607" s="639">
        <v>1.1499999999999999</v>
      </c>
      <c r="O607" s="639">
        <v>1.43</v>
      </c>
      <c r="P607" s="616">
        <v>30</v>
      </c>
    </row>
    <row r="608" spans="1:16">
      <c r="A608" s="639" t="s">
        <v>456</v>
      </c>
      <c r="B608" s="639" t="s">
        <v>349</v>
      </c>
      <c r="C608" s="639" t="s">
        <v>305</v>
      </c>
      <c r="D608" s="639" t="s">
        <v>561</v>
      </c>
      <c r="E608" s="639" t="s">
        <v>562</v>
      </c>
      <c r="F608" s="639">
        <v>16066</v>
      </c>
      <c r="G608" s="639">
        <v>703402</v>
      </c>
      <c r="H608" s="639" t="s">
        <v>600</v>
      </c>
      <c r="I608" s="639" t="s">
        <v>565</v>
      </c>
      <c r="J608" s="639">
        <v>50</v>
      </c>
      <c r="K608" s="639">
        <v>1.05</v>
      </c>
      <c r="L608" s="639">
        <v>1.1599999999999999</v>
      </c>
      <c r="M608" s="639">
        <v>1.1399999999999999</v>
      </c>
      <c r="N608" s="639">
        <v>1.1399999999999999</v>
      </c>
      <c r="O608" s="639">
        <v>1.48</v>
      </c>
      <c r="P608" s="616">
        <v>30</v>
      </c>
    </row>
    <row r="609" spans="1:16">
      <c r="A609" s="639" t="s">
        <v>456</v>
      </c>
      <c r="B609" s="639" t="s">
        <v>349</v>
      </c>
      <c r="C609" s="639" t="s">
        <v>305</v>
      </c>
      <c r="D609" s="639" t="s">
        <v>561</v>
      </c>
      <c r="E609" s="639" t="s">
        <v>562</v>
      </c>
      <c r="F609" s="639">
        <v>16064</v>
      </c>
      <c r="G609" s="639">
        <v>703402</v>
      </c>
      <c r="H609" s="639" t="s">
        <v>600</v>
      </c>
      <c r="I609" s="639" t="s">
        <v>565</v>
      </c>
      <c r="J609" s="639">
        <v>46</v>
      </c>
      <c r="K609" s="639">
        <v>1.61</v>
      </c>
      <c r="L609" s="639">
        <v>1.01</v>
      </c>
      <c r="M609" s="639">
        <v>1.1499999999999999</v>
      </c>
      <c r="N609" s="639">
        <v>1.18</v>
      </c>
      <c r="O609" s="639">
        <v>1.39</v>
      </c>
      <c r="P609" s="616">
        <v>30</v>
      </c>
    </row>
    <row r="610" spans="1:16">
      <c r="A610" s="639" t="s">
        <v>456</v>
      </c>
      <c r="B610" s="639" t="s">
        <v>349</v>
      </c>
      <c r="C610" s="639" t="s">
        <v>305</v>
      </c>
      <c r="D610" s="639" t="s">
        <v>561</v>
      </c>
      <c r="E610" s="639" t="s">
        <v>562</v>
      </c>
      <c r="F610" s="639">
        <v>16056</v>
      </c>
      <c r="G610" s="639">
        <v>703402</v>
      </c>
      <c r="H610" s="639" t="s">
        <v>600</v>
      </c>
      <c r="I610" s="639" t="s">
        <v>563</v>
      </c>
      <c r="J610" s="639">
        <v>46</v>
      </c>
      <c r="K610" s="639">
        <v>0.86</v>
      </c>
      <c r="L610" s="639">
        <v>1.1100000000000001</v>
      </c>
      <c r="M610" s="639">
        <v>1.1499999999999999</v>
      </c>
      <c r="N610" s="639">
        <v>1.1299999999999999</v>
      </c>
      <c r="O610" s="639">
        <v>1.42</v>
      </c>
      <c r="P610" s="616">
        <v>30</v>
      </c>
    </row>
    <row r="611" spans="1:16">
      <c r="A611" s="639" t="s">
        <v>456</v>
      </c>
      <c r="B611" s="639" t="s">
        <v>349</v>
      </c>
      <c r="C611" s="639" t="s">
        <v>305</v>
      </c>
      <c r="D611" s="639" t="s">
        <v>561</v>
      </c>
      <c r="E611" s="639" t="s">
        <v>562</v>
      </c>
      <c r="F611" s="639">
        <v>16067</v>
      </c>
      <c r="G611" s="639">
        <v>703402</v>
      </c>
      <c r="H611" s="639" t="s">
        <v>600</v>
      </c>
      <c r="I611" s="639" t="s">
        <v>565</v>
      </c>
      <c r="J611" s="639">
        <v>52</v>
      </c>
      <c r="K611" s="639">
        <v>0.81</v>
      </c>
      <c r="L611" s="639">
        <v>1.1499999999999999</v>
      </c>
      <c r="M611" s="639">
        <v>1.1499999999999999</v>
      </c>
      <c r="N611" s="639">
        <v>1.1499999999999999</v>
      </c>
      <c r="O611" s="639">
        <v>1.44</v>
      </c>
      <c r="P611" s="616">
        <v>30</v>
      </c>
    </row>
    <row r="612" spans="1:16">
      <c r="A612" s="639" t="s">
        <v>456</v>
      </c>
      <c r="B612" s="639" t="s">
        <v>349</v>
      </c>
      <c r="C612" s="639" t="s">
        <v>305</v>
      </c>
      <c r="D612" s="639" t="s">
        <v>561</v>
      </c>
      <c r="E612" s="639" t="s">
        <v>562</v>
      </c>
      <c r="F612" s="639">
        <v>17917</v>
      </c>
      <c r="G612" s="639">
        <v>703402</v>
      </c>
      <c r="H612" s="639" t="s">
        <v>600</v>
      </c>
      <c r="I612" s="639" t="s">
        <v>596</v>
      </c>
      <c r="J612" s="639">
        <v>52</v>
      </c>
      <c r="K612" s="639">
        <v>0.75</v>
      </c>
      <c r="L612" s="639">
        <v>0.95</v>
      </c>
      <c r="M612" s="639">
        <v>1.4</v>
      </c>
      <c r="N612" s="639">
        <v>1.45</v>
      </c>
      <c r="O612" s="639">
        <v>2.0499999999999998</v>
      </c>
      <c r="P612" s="616">
        <v>30</v>
      </c>
    </row>
    <row r="613" spans="1:16">
      <c r="A613" s="639" t="s">
        <v>456</v>
      </c>
      <c r="B613" s="639" t="s">
        <v>306</v>
      </c>
      <c r="C613" s="639" t="s">
        <v>305</v>
      </c>
      <c r="D613" s="639" t="s">
        <v>561</v>
      </c>
      <c r="E613" s="639" t="s">
        <v>562</v>
      </c>
      <c r="F613" s="639">
        <v>16055</v>
      </c>
      <c r="G613" s="639">
        <v>703602</v>
      </c>
      <c r="H613" s="639" t="s">
        <v>460</v>
      </c>
      <c r="I613" s="639" t="s">
        <v>568</v>
      </c>
      <c r="J613" s="639">
        <v>50</v>
      </c>
      <c r="K613" s="639">
        <v>1.4</v>
      </c>
      <c r="L613" s="639">
        <v>1.1200000000000001</v>
      </c>
      <c r="M613" s="639">
        <v>1.01</v>
      </c>
      <c r="N613" s="639">
        <v>1.1399999999999999</v>
      </c>
      <c r="O613" s="639">
        <v>1.44</v>
      </c>
      <c r="P613" s="616">
        <v>20</v>
      </c>
    </row>
    <row r="614" spans="1:16">
      <c r="A614" s="639" t="s">
        <v>456</v>
      </c>
      <c r="B614" s="639" t="s">
        <v>306</v>
      </c>
      <c r="C614" s="639" t="s">
        <v>305</v>
      </c>
      <c r="D614" s="639" t="s">
        <v>561</v>
      </c>
      <c r="E614" s="639" t="s">
        <v>562</v>
      </c>
      <c r="F614" s="639">
        <v>16050</v>
      </c>
      <c r="G614" s="639">
        <v>703602</v>
      </c>
      <c r="H614" s="639" t="s">
        <v>460</v>
      </c>
      <c r="I614" s="639" t="s">
        <v>563</v>
      </c>
      <c r="J614" s="639">
        <v>46</v>
      </c>
      <c r="K614" s="639">
        <v>1.1299999999999999</v>
      </c>
      <c r="L614" s="639">
        <v>1.1200000000000001</v>
      </c>
      <c r="M614" s="639">
        <v>1.02</v>
      </c>
      <c r="N614" s="639">
        <v>1.02</v>
      </c>
      <c r="O614" s="639">
        <v>1.24</v>
      </c>
      <c r="P614" s="616">
        <v>20</v>
      </c>
    </row>
    <row r="615" spans="1:16">
      <c r="A615" s="639" t="s">
        <v>456</v>
      </c>
      <c r="B615" s="639" t="s">
        <v>306</v>
      </c>
      <c r="C615" s="639" t="s">
        <v>305</v>
      </c>
      <c r="D615" s="639" t="s">
        <v>561</v>
      </c>
      <c r="E615" s="639" t="s">
        <v>562</v>
      </c>
      <c r="F615" s="639">
        <v>16053</v>
      </c>
      <c r="G615" s="639">
        <v>703602</v>
      </c>
      <c r="H615" s="639" t="s">
        <v>460</v>
      </c>
      <c r="I615" s="639" t="s">
        <v>568</v>
      </c>
      <c r="J615" s="639">
        <v>46</v>
      </c>
      <c r="K615" s="639">
        <v>1.9</v>
      </c>
      <c r="L615" s="639">
        <v>1.01</v>
      </c>
      <c r="M615" s="639">
        <v>1.02</v>
      </c>
      <c r="N615" s="639">
        <v>1.0900000000000001</v>
      </c>
      <c r="O615" s="639">
        <v>1.46</v>
      </c>
      <c r="P615" s="616">
        <v>20</v>
      </c>
    </row>
    <row r="616" spans="1:16">
      <c r="A616" s="639" t="s">
        <v>456</v>
      </c>
      <c r="B616" s="639" t="s">
        <v>306</v>
      </c>
      <c r="C616" s="639" t="s">
        <v>305</v>
      </c>
      <c r="D616" s="639" t="s">
        <v>561</v>
      </c>
      <c r="E616" s="639" t="s">
        <v>562</v>
      </c>
      <c r="F616" s="639">
        <v>19618</v>
      </c>
      <c r="G616" s="639">
        <v>703602</v>
      </c>
      <c r="H616" s="639" t="s">
        <v>460</v>
      </c>
      <c r="I616" s="639" t="s">
        <v>568</v>
      </c>
      <c r="J616" s="639">
        <v>52</v>
      </c>
      <c r="K616" s="639">
        <v>2.99</v>
      </c>
      <c r="L616" s="639">
        <v>1.79</v>
      </c>
      <c r="M616" s="639">
        <v>1.03</v>
      </c>
      <c r="N616" s="639">
        <v>1.0900000000000001</v>
      </c>
      <c r="O616" s="639">
        <v>1.49</v>
      </c>
      <c r="P616" s="616">
        <v>20</v>
      </c>
    </row>
    <row r="617" spans="1:16">
      <c r="A617" s="639" t="s">
        <v>456</v>
      </c>
      <c r="B617" s="639" t="s">
        <v>306</v>
      </c>
      <c r="C617" s="639" t="s">
        <v>305</v>
      </c>
      <c r="D617" s="639" t="s">
        <v>561</v>
      </c>
      <c r="E617" s="639" t="s">
        <v>562</v>
      </c>
      <c r="F617" s="639">
        <v>16668</v>
      </c>
      <c r="G617" s="639">
        <v>703602</v>
      </c>
      <c r="H617" s="639" t="s">
        <v>460</v>
      </c>
      <c r="I617" s="639" t="s">
        <v>565</v>
      </c>
      <c r="J617" s="639">
        <v>46</v>
      </c>
      <c r="K617" s="639">
        <v>2.4900000000000002</v>
      </c>
      <c r="L617" s="639">
        <v>1.3</v>
      </c>
      <c r="M617" s="639">
        <v>1.1200000000000001</v>
      </c>
      <c r="N617" s="639">
        <v>1.04</v>
      </c>
      <c r="O617" s="639">
        <v>1.36</v>
      </c>
      <c r="P617" s="616">
        <v>20</v>
      </c>
    </row>
    <row r="618" spans="1:16">
      <c r="A618" s="639" t="s">
        <v>456</v>
      </c>
      <c r="B618" s="639" t="s">
        <v>306</v>
      </c>
      <c r="C618" s="639" t="s">
        <v>305</v>
      </c>
      <c r="D618" s="639" t="s">
        <v>561</v>
      </c>
      <c r="E618" s="639" t="s">
        <v>562</v>
      </c>
      <c r="F618" s="639">
        <v>16670</v>
      </c>
      <c r="G618" s="639">
        <v>703602</v>
      </c>
      <c r="H618" s="639" t="s">
        <v>460</v>
      </c>
      <c r="I618" s="639" t="s">
        <v>565</v>
      </c>
      <c r="J618" s="639">
        <v>50</v>
      </c>
      <c r="K618" s="639">
        <v>1.37</v>
      </c>
      <c r="L618" s="639">
        <v>1.04</v>
      </c>
      <c r="M618" s="639">
        <v>1.1299999999999999</v>
      </c>
      <c r="N618" s="639">
        <v>1.02</v>
      </c>
      <c r="O618" s="639">
        <v>1.46</v>
      </c>
      <c r="P618" s="616">
        <v>20</v>
      </c>
    </row>
    <row r="619" spans="1:16">
      <c r="A619" s="639" t="s">
        <v>456</v>
      </c>
      <c r="B619" s="639" t="s">
        <v>306</v>
      </c>
      <c r="C619" s="639" t="s">
        <v>305</v>
      </c>
      <c r="D619" s="639" t="s">
        <v>561</v>
      </c>
      <c r="E619" s="639" t="s">
        <v>562</v>
      </c>
      <c r="F619" s="639">
        <v>16052</v>
      </c>
      <c r="G619" s="639">
        <v>703602</v>
      </c>
      <c r="H619" s="639" t="s">
        <v>460</v>
      </c>
      <c r="I619" s="639" t="s">
        <v>563</v>
      </c>
      <c r="J619" s="639">
        <v>50</v>
      </c>
      <c r="K619" s="639">
        <v>0.82</v>
      </c>
      <c r="L619" s="639">
        <v>1.0900000000000001</v>
      </c>
      <c r="M619" s="639">
        <v>1.1399999999999999</v>
      </c>
      <c r="N619" s="639">
        <v>1.1499999999999999</v>
      </c>
      <c r="O619" s="639">
        <v>1.42</v>
      </c>
      <c r="P619" s="616">
        <v>20</v>
      </c>
    </row>
    <row r="620" spans="1:16">
      <c r="A620" s="639" t="s">
        <v>456</v>
      </c>
      <c r="B620" s="639" t="s">
        <v>306</v>
      </c>
      <c r="C620" s="639" t="s">
        <v>305</v>
      </c>
      <c r="D620" s="639" t="s">
        <v>561</v>
      </c>
      <c r="E620" s="639" t="s">
        <v>562</v>
      </c>
      <c r="F620" s="639">
        <v>19620</v>
      </c>
      <c r="G620" s="639">
        <v>703602</v>
      </c>
      <c r="H620" s="639" t="s">
        <v>460</v>
      </c>
      <c r="I620" s="639" t="s">
        <v>563</v>
      </c>
      <c r="J620" s="639">
        <v>52</v>
      </c>
      <c r="K620" s="639">
        <v>1.52</v>
      </c>
      <c r="L620" s="639">
        <v>1.1399999999999999</v>
      </c>
      <c r="M620" s="639">
        <v>1.1399999999999999</v>
      </c>
      <c r="N620" s="639">
        <v>1.0900000000000001</v>
      </c>
      <c r="O620" s="639">
        <v>1.36</v>
      </c>
      <c r="P620" s="616">
        <v>20</v>
      </c>
    </row>
    <row r="621" spans="1:16">
      <c r="A621" s="639" t="s">
        <v>456</v>
      </c>
      <c r="B621" s="639" t="s">
        <v>306</v>
      </c>
      <c r="C621" s="639" t="s">
        <v>305</v>
      </c>
      <c r="D621" s="639" t="s">
        <v>561</v>
      </c>
      <c r="E621" s="639" t="s">
        <v>562</v>
      </c>
      <c r="F621" s="639">
        <v>16669</v>
      </c>
      <c r="G621" s="639">
        <v>703602</v>
      </c>
      <c r="H621" s="639" t="s">
        <v>460</v>
      </c>
      <c r="I621" s="639" t="s">
        <v>565</v>
      </c>
      <c r="J621" s="639">
        <v>48</v>
      </c>
      <c r="K621" s="639">
        <v>1.77</v>
      </c>
      <c r="L621" s="639">
        <v>1.08</v>
      </c>
      <c r="M621" s="639">
        <v>1.1499999999999999</v>
      </c>
      <c r="N621" s="639">
        <v>1.02</v>
      </c>
      <c r="O621" s="639">
        <v>1.25</v>
      </c>
      <c r="P621" s="616">
        <v>20</v>
      </c>
    </row>
    <row r="622" spans="1:16">
      <c r="A622" s="639" t="s">
        <v>456</v>
      </c>
      <c r="B622" s="639" t="s">
        <v>306</v>
      </c>
      <c r="C622" s="639" t="s">
        <v>305</v>
      </c>
      <c r="D622" s="639" t="s">
        <v>561</v>
      </c>
      <c r="E622" s="639" t="s">
        <v>562</v>
      </c>
      <c r="F622" s="639">
        <v>19619</v>
      </c>
      <c r="G622" s="639">
        <v>703602</v>
      </c>
      <c r="H622" s="639" t="s">
        <v>460</v>
      </c>
      <c r="I622" s="639" t="s">
        <v>565</v>
      </c>
      <c r="J622" s="639">
        <v>52</v>
      </c>
      <c r="K622" s="639">
        <v>2.06</v>
      </c>
      <c r="L622" s="639">
        <v>1.42</v>
      </c>
      <c r="M622" s="639">
        <v>1.1499999999999999</v>
      </c>
      <c r="N622" s="639">
        <v>1.1499999999999999</v>
      </c>
      <c r="O622" s="639">
        <v>1.56</v>
      </c>
      <c r="P622" s="616">
        <v>20</v>
      </c>
    </row>
    <row r="623" spans="1:16">
      <c r="A623" s="639" t="s">
        <v>456</v>
      </c>
      <c r="B623" s="639" t="s">
        <v>306</v>
      </c>
      <c r="C623" s="639" t="s">
        <v>305</v>
      </c>
      <c r="D623" s="639" t="s">
        <v>561</v>
      </c>
      <c r="E623" s="639" t="s">
        <v>562</v>
      </c>
      <c r="F623" s="639">
        <v>16054</v>
      </c>
      <c r="G623" s="639">
        <v>703602</v>
      </c>
      <c r="H623" s="639" t="s">
        <v>460</v>
      </c>
      <c r="I623" s="639" t="s">
        <v>568</v>
      </c>
      <c r="J623" s="639">
        <v>48</v>
      </c>
      <c r="K623" s="639">
        <v>1.96</v>
      </c>
      <c r="L623" s="639">
        <v>1.05</v>
      </c>
      <c r="M623" s="639">
        <v>1.17</v>
      </c>
      <c r="N623" s="639">
        <v>1.0900000000000001</v>
      </c>
      <c r="O623" s="639">
        <v>1.39</v>
      </c>
      <c r="P623" s="616">
        <v>20</v>
      </c>
    </row>
    <row r="624" spans="1:16">
      <c r="A624" s="639" t="s">
        <v>456</v>
      </c>
      <c r="B624" s="639" t="s">
        <v>306</v>
      </c>
      <c r="C624" s="639" t="s">
        <v>305</v>
      </c>
      <c r="D624" s="639" t="s">
        <v>561</v>
      </c>
      <c r="E624" s="639" t="s">
        <v>562</v>
      </c>
      <c r="F624" s="639">
        <v>16051</v>
      </c>
      <c r="G624" s="639">
        <v>703602</v>
      </c>
      <c r="H624" s="639" t="s">
        <v>460</v>
      </c>
      <c r="I624" s="639" t="s">
        <v>563</v>
      </c>
      <c r="J624" s="639">
        <v>48</v>
      </c>
      <c r="K624" s="639">
        <v>1.2</v>
      </c>
      <c r="L624" s="639">
        <v>1.08</v>
      </c>
      <c r="M624" s="639">
        <v>1.17</v>
      </c>
      <c r="N624" s="639">
        <v>1.04</v>
      </c>
      <c r="O624" s="639">
        <v>1.41</v>
      </c>
      <c r="P624" s="616">
        <v>20</v>
      </c>
    </row>
  </sheetData>
  <autoFilter ref="A1:P1" xr:uid="{4AD9CEE3-E6C1-41C7-A1FB-0C84BD3C8678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9CFE-9953-4B5B-AAE7-C111F989FBC8}">
  <dimension ref="A1:K40"/>
  <sheetViews>
    <sheetView workbookViewId="0">
      <selection activeCell="A7" sqref="A7"/>
    </sheetView>
  </sheetViews>
  <sheetFormatPr defaultRowHeight="15"/>
  <cols>
    <col min="2" max="2" width="26.7109375" style="603" bestFit="1" customWidth="1"/>
    <col min="3" max="3" width="18.5703125" style="615" bestFit="1" customWidth="1"/>
    <col min="5" max="5" width="29.7109375" bestFit="1" customWidth="1"/>
    <col min="6" max="7" width="14.28515625" bestFit="1" customWidth="1"/>
    <col min="10" max="11" width="14.28515625" bestFit="1" customWidth="1"/>
  </cols>
  <sheetData>
    <row r="1" spans="1:11" ht="23.25">
      <c r="B1" s="604"/>
      <c r="C1" s="609">
        <f>SUBTOTAL(9,C2:C17)</f>
        <v>271213</v>
      </c>
      <c r="E1" s="604"/>
      <c r="F1" s="609">
        <f>SUBTOTAL(9,F2:F2217)</f>
        <v>283559</v>
      </c>
      <c r="G1" s="609">
        <v>200000</v>
      </c>
      <c r="I1" s="640"/>
      <c r="J1" s="641">
        <f>SUBTOTAL(9,J2:J2217)</f>
        <v>256161</v>
      </c>
      <c r="K1" s="641">
        <v>200000</v>
      </c>
    </row>
    <row r="2" spans="1:11" ht="23.25">
      <c r="A2" s="576"/>
      <c r="B2" s="605" t="s">
        <v>601</v>
      </c>
      <c r="C2" s="610" t="s">
        <v>141</v>
      </c>
      <c r="D2" s="576"/>
      <c r="E2" s="605" t="s">
        <v>602</v>
      </c>
      <c r="F2" s="610" t="s">
        <v>141</v>
      </c>
      <c r="I2" s="605" t="s">
        <v>602</v>
      </c>
      <c r="J2" s="610" t="s">
        <v>141</v>
      </c>
    </row>
    <row r="3" spans="1:11" ht="23.25">
      <c r="A3" s="576"/>
      <c r="B3" s="606">
        <v>0</v>
      </c>
      <c r="C3" s="611">
        <v>4416</v>
      </c>
      <c r="D3" s="576"/>
      <c r="E3" s="606">
        <v>1</v>
      </c>
      <c r="F3" s="611">
        <v>61980</v>
      </c>
      <c r="I3" s="606">
        <v>0</v>
      </c>
      <c r="J3" s="611">
        <v>7398</v>
      </c>
    </row>
    <row r="4" spans="1:11" ht="23.25">
      <c r="A4" s="576"/>
      <c r="B4" s="607">
        <v>1</v>
      </c>
      <c r="C4" s="612">
        <v>63828</v>
      </c>
      <c r="D4" s="576"/>
      <c r="E4" s="607">
        <v>2</v>
      </c>
      <c r="F4" s="612">
        <v>76421</v>
      </c>
      <c r="I4" s="607">
        <v>1</v>
      </c>
      <c r="J4" s="612">
        <v>67888</v>
      </c>
    </row>
    <row r="5" spans="1:11" ht="23.25">
      <c r="A5" s="576"/>
      <c r="B5" s="607">
        <v>2</v>
      </c>
      <c r="C5" s="612">
        <v>83744</v>
      </c>
      <c r="D5" s="576"/>
      <c r="E5" s="607">
        <v>3</v>
      </c>
      <c r="F5" s="612">
        <v>59856</v>
      </c>
      <c r="I5" s="607">
        <v>2</v>
      </c>
      <c r="J5" s="612">
        <v>91641</v>
      </c>
    </row>
    <row r="6" spans="1:11" ht="23.25">
      <c r="A6" s="576"/>
      <c r="B6" s="607">
        <v>3</v>
      </c>
      <c r="C6" s="612">
        <v>46147</v>
      </c>
      <c r="D6" s="576"/>
      <c r="E6" s="607">
        <v>4</v>
      </c>
      <c r="F6" s="612">
        <v>34982</v>
      </c>
      <c r="I6" s="607">
        <v>3</v>
      </c>
      <c r="J6" s="612">
        <v>36830</v>
      </c>
    </row>
    <row r="7" spans="1:11" ht="23.25">
      <c r="A7" s="576"/>
      <c r="B7" s="607">
        <v>4</v>
      </c>
      <c r="C7" s="612">
        <v>32929</v>
      </c>
      <c r="D7" s="576"/>
      <c r="E7" s="607">
        <v>5</v>
      </c>
      <c r="F7" s="612">
        <v>17322</v>
      </c>
      <c r="I7" s="607">
        <v>4</v>
      </c>
      <c r="J7" s="612">
        <v>18365</v>
      </c>
    </row>
    <row r="8" spans="1:11" ht="23.25">
      <c r="A8" s="576"/>
      <c r="B8" s="607">
        <v>8</v>
      </c>
      <c r="C8" s="612">
        <v>5222</v>
      </c>
      <c r="D8" s="576"/>
      <c r="E8" s="607">
        <v>6</v>
      </c>
      <c r="F8" s="612">
        <v>10782</v>
      </c>
      <c r="I8" s="607">
        <v>5</v>
      </c>
      <c r="J8" s="612">
        <v>8013</v>
      </c>
    </row>
    <row r="9" spans="1:11" ht="23.25">
      <c r="A9" s="576"/>
      <c r="B9" s="607">
        <v>5</v>
      </c>
      <c r="C9" s="612">
        <v>18853</v>
      </c>
      <c r="D9" s="576"/>
      <c r="E9" s="607">
        <v>7</v>
      </c>
      <c r="F9" s="612">
        <v>7762</v>
      </c>
      <c r="I9" s="607">
        <v>6</v>
      </c>
      <c r="J9" s="612">
        <v>6390</v>
      </c>
    </row>
    <row r="10" spans="1:11" ht="23.25">
      <c r="A10" s="576"/>
      <c r="B10" s="607">
        <v>6</v>
      </c>
      <c r="C10" s="612">
        <v>6134</v>
      </c>
      <c r="D10" s="576"/>
      <c r="E10" s="607">
        <v>8</v>
      </c>
      <c r="F10" s="612">
        <v>2517</v>
      </c>
      <c r="I10" s="607">
        <v>7</v>
      </c>
      <c r="J10" s="612">
        <v>5757</v>
      </c>
    </row>
    <row r="11" spans="1:11" ht="23.25">
      <c r="A11" s="576"/>
      <c r="B11" s="607">
        <v>7</v>
      </c>
      <c r="C11" s="612">
        <v>3320</v>
      </c>
      <c r="D11" s="576"/>
      <c r="E11" s="607">
        <v>9</v>
      </c>
      <c r="F11" s="612">
        <v>3215</v>
      </c>
      <c r="I11" s="607">
        <v>8</v>
      </c>
      <c r="J11" s="612">
        <v>3215</v>
      </c>
    </row>
    <row r="12" spans="1:11" ht="23.25">
      <c r="A12" s="576"/>
      <c r="B12" s="607">
        <v>9</v>
      </c>
      <c r="C12" s="612">
        <v>2132</v>
      </c>
      <c r="D12" s="576"/>
      <c r="E12" s="607">
        <v>10</v>
      </c>
      <c r="F12" s="612">
        <v>1939</v>
      </c>
      <c r="I12" s="607">
        <v>9</v>
      </c>
      <c r="J12" s="612">
        <v>3611</v>
      </c>
    </row>
    <row r="13" spans="1:11" ht="23.25">
      <c r="A13" s="576"/>
      <c r="B13" s="607">
        <v>13</v>
      </c>
      <c r="C13" s="612">
        <v>1070</v>
      </c>
      <c r="D13" s="576"/>
      <c r="E13" s="607">
        <v>11</v>
      </c>
      <c r="F13" s="612">
        <v>1442</v>
      </c>
      <c r="I13" s="607">
        <v>10</v>
      </c>
      <c r="J13" s="612">
        <v>683</v>
      </c>
    </row>
    <row r="14" spans="1:11" ht="23.25">
      <c r="A14" s="576"/>
      <c r="B14" s="607">
        <v>10</v>
      </c>
      <c r="C14" s="612">
        <v>1389</v>
      </c>
      <c r="D14" s="576"/>
      <c r="E14" s="607">
        <v>12</v>
      </c>
      <c r="F14" s="612">
        <v>870</v>
      </c>
      <c r="I14" s="607">
        <v>11</v>
      </c>
      <c r="J14" s="612">
        <v>726</v>
      </c>
    </row>
    <row r="15" spans="1:11" ht="23.25">
      <c r="A15" s="576"/>
      <c r="B15" s="607">
        <v>11</v>
      </c>
      <c r="C15" s="612">
        <v>1290</v>
      </c>
      <c r="D15" s="576"/>
      <c r="E15" s="607">
        <v>13</v>
      </c>
      <c r="F15" s="612">
        <v>197</v>
      </c>
      <c r="I15" s="607">
        <v>12</v>
      </c>
      <c r="J15" s="612">
        <v>606</v>
      </c>
    </row>
    <row r="16" spans="1:11" ht="23.25">
      <c r="A16" s="576"/>
      <c r="B16" s="607">
        <v>12</v>
      </c>
      <c r="C16" s="612">
        <v>473</v>
      </c>
      <c r="D16" s="576"/>
      <c r="E16" s="607">
        <v>14</v>
      </c>
      <c r="F16" s="612">
        <v>655</v>
      </c>
      <c r="I16" s="607">
        <v>13</v>
      </c>
      <c r="J16" s="612">
        <v>217</v>
      </c>
    </row>
    <row r="17" spans="1:10" ht="23.25">
      <c r="A17" s="576"/>
      <c r="B17" s="608">
        <v>16</v>
      </c>
      <c r="C17" s="613">
        <v>266</v>
      </c>
      <c r="D17" s="576"/>
      <c r="E17" s="607">
        <v>15</v>
      </c>
      <c r="F17" s="612">
        <v>726</v>
      </c>
      <c r="I17" s="607">
        <v>14</v>
      </c>
      <c r="J17" s="612">
        <v>333</v>
      </c>
    </row>
    <row r="18" spans="1:10" ht="23.25">
      <c r="B18" s="602"/>
      <c r="C18" s="614"/>
      <c r="E18" s="607">
        <v>16</v>
      </c>
      <c r="F18" s="612">
        <v>128</v>
      </c>
      <c r="I18" s="607">
        <v>15</v>
      </c>
      <c r="J18" s="612">
        <v>306</v>
      </c>
    </row>
    <row r="19" spans="1:10" ht="23.25">
      <c r="E19" s="607">
        <v>17</v>
      </c>
      <c r="F19" s="612">
        <v>438</v>
      </c>
      <c r="I19" s="607">
        <v>16</v>
      </c>
      <c r="J19" s="612">
        <v>128</v>
      </c>
    </row>
    <row r="20" spans="1:10" ht="23.25">
      <c r="E20" s="607">
        <v>18</v>
      </c>
      <c r="F20" s="612">
        <v>307</v>
      </c>
      <c r="I20" s="607">
        <v>20</v>
      </c>
      <c r="J20" s="612">
        <v>442</v>
      </c>
    </row>
    <row r="21" spans="1:10" ht="23.25">
      <c r="E21" s="607">
        <v>19</v>
      </c>
      <c r="F21" s="612">
        <v>75</v>
      </c>
      <c r="I21" s="607">
        <v>22</v>
      </c>
      <c r="J21" s="612">
        <v>22</v>
      </c>
    </row>
    <row r="22" spans="1:10" ht="23.25">
      <c r="E22" s="607">
        <v>22</v>
      </c>
      <c r="F22" s="612">
        <v>471</v>
      </c>
      <c r="I22" s="607">
        <v>32</v>
      </c>
      <c r="J22" s="612">
        <v>64</v>
      </c>
    </row>
    <row r="23" spans="1:10" ht="23.25">
      <c r="E23" s="607">
        <v>25</v>
      </c>
      <c r="F23" s="612">
        <v>76</v>
      </c>
      <c r="I23" s="607">
        <v>33</v>
      </c>
      <c r="J23" s="612">
        <v>33</v>
      </c>
    </row>
    <row r="24" spans="1:10" ht="23.25">
      <c r="E24" s="607">
        <v>26</v>
      </c>
      <c r="F24" s="612">
        <v>79</v>
      </c>
      <c r="I24" s="607">
        <v>37</v>
      </c>
      <c r="J24" s="612">
        <v>74</v>
      </c>
    </row>
    <row r="25" spans="1:10" ht="23.25">
      <c r="E25" s="607">
        <v>29</v>
      </c>
      <c r="F25" s="612">
        <v>202</v>
      </c>
      <c r="I25" s="607" t="e">
        <v>#N/A</v>
      </c>
      <c r="J25" s="612">
        <v>2302</v>
      </c>
    </row>
    <row r="26" spans="1:10" ht="23.25">
      <c r="E26" s="607">
        <v>30</v>
      </c>
      <c r="F26" s="612">
        <v>119</v>
      </c>
      <c r="I26" s="607">
        <v>30</v>
      </c>
      <c r="J26" s="612">
        <v>119</v>
      </c>
    </row>
    <row r="27" spans="1:10" ht="23.25">
      <c r="E27" s="607">
        <v>32</v>
      </c>
      <c r="F27" s="612">
        <v>32</v>
      </c>
      <c r="I27" s="607">
        <v>32</v>
      </c>
      <c r="J27" s="612">
        <v>32</v>
      </c>
    </row>
    <row r="28" spans="1:10" ht="23.25">
      <c r="E28" s="607">
        <v>35</v>
      </c>
      <c r="F28" s="612">
        <v>35</v>
      </c>
      <c r="I28" s="607">
        <v>35</v>
      </c>
      <c r="J28" s="612">
        <v>35</v>
      </c>
    </row>
    <row r="29" spans="1:10" ht="23.25">
      <c r="E29" s="607">
        <v>36</v>
      </c>
      <c r="F29" s="612">
        <v>36</v>
      </c>
      <c r="I29" s="607">
        <v>36</v>
      </c>
      <c r="J29" s="612">
        <v>36</v>
      </c>
    </row>
    <row r="30" spans="1:10" ht="23.25">
      <c r="E30" s="607">
        <v>37</v>
      </c>
      <c r="F30" s="612">
        <v>184</v>
      </c>
      <c r="I30" s="607">
        <v>37</v>
      </c>
      <c r="J30" s="612">
        <v>184</v>
      </c>
    </row>
    <row r="31" spans="1:10" ht="23.25">
      <c r="E31" s="607">
        <v>38</v>
      </c>
      <c r="F31" s="612">
        <v>38</v>
      </c>
      <c r="I31" s="607">
        <v>38</v>
      </c>
      <c r="J31" s="612">
        <v>38</v>
      </c>
    </row>
    <row r="32" spans="1:10" ht="23.25">
      <c r="E32" s="607">
        <v>39</v>
      </c>
      <c r="F32" s="612">
        <v>118</v>
      </c>
      <c r="I32" s="607">
        <v>39</v>
      </c>
      <c r="J32" s="612">
        <v>118</v>
      </c>
    </row>
    <row r="33" spans="5:10" ht="23.25">
      <c r="E33" s="607">
        <v>40</v>
      </c>
      <c r="F33" s="612">
        <v>80</v>
      </c>
      <c r="I33" s="607">
        <v>40</v>
      </c>
      <c r="J33" s="612">
        <v>80</v>
      </c>
    </row>
    <row r="34" spans="5:10" ht="23.25">
      <c r="E34" s="607">
        <v>47</v>
      </c>
      <c r="F34" s="612">
        <v>47</v>
      </c>
      <c r="I34" s="607">
        <v>47</v>
      </c>
      <c r="J34" s="612">
        <v>47</v>
      </c>
    </row>
    <row r="35" spans="5:10" ht="23.25">
      <c r="E35" s="607">
        <v>48</v>
      </c>
      <c r="F35" s="612">
        <v>48</v>
      </c>
      <c r="I35" s="607">
        <v>48</v>
      </c>
      <c r="J35" s="612">
        <v>48</v>
      </c>
    </row>
    <row r="36" spans="5:10" ht="23.25">
      <c r="E36" s="607">
        <v>59</v>
      </c>
      <c r="F36" s="612">
        <v>118</v>
      </c>
      <c r="I36" s="607">
        <v>59</v>
      </c>
      <c r="J36" s="612">
        <v>118</v>
      </c>
    </row>
    <row r="37" spans="5:10" ht="23.25">
      <c r="E37" s="607">
        <v>60</v>
      </c>
      <c r="F37" s="612">
        <v>60</v>
      </c>
      <c r="I37" s="607">
        <v>60</v>
      </c>
      <c r="J37" s="612">
        <v>60</v>
      </c>
    </row>
    <row r="38" spans="5:10" ht="23.25">
      <c r="E38" s="607">
        <v>64</v>
      </c>
      <c r="F38" s="612">
        <v>64</v>
      </c>
      <c r="I38" s="607">
        <v>64</v>
      </c>
      <c r="J38" s="612">
        <v>64</v>
      </c>
    </row>
    <row r="39" spans="5:10" ht="23.25">
      <c r="E39" s="607">
        <v>65</v>
      </c>
      <c r="F39" s="612">
        <v>65</v>
      </c>
      <c r="I39" s="607">
        <v>65</v>
      </c>
      <c r="J39" s="612">
        <v>65</v>
      </c>
    </row>
    <row r="40" spans="5:10" ht="23.25">
      <c r="E40" s="607">
        <v>73</v>
      </c>
      <c r="F40" s="612">
        <v>73</v>
      </c>
      <c r="I40" s="607">
        <v>73</v>
      </c>
      <c r="J40" s="612">
        <v>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476B-6CB5-4AAE-8FAC-B8670F7D5085}">
  <sheetPr>
    <tabColor rgb="FFFF0000"/>
  </sheetPr>
  <dimension ref="A1:CV70"/>
  <sheetViews>
    <sheetView showGridLines="0" zoomScale="80" zoomScaleNormal="80" workbookViewId="0">
      <pane xSplit="3" ySplit="5" topLeftCell="CO59" activePane="bottomRight" state="frozen"/>
      <selection pane="bottomRight" activeCell="CO59" sqref="CJ59:CO59"/>
      <selection pane="bottomLeft" activeCell="A6" sqref="A6"/>
      <selection pane="topRight" activeCell="D1" sqref="D1"/>
    </sheetView>
  </sheetViews>
  <sheetFormatPr defaultColWidth="14.42578125" defaultRowHeight="15" customHeight="1" outlineLevelRow="1" outlineLevelCol="1"/>
  <cols>
    <col min="1" max="1" width="16.85546875" customWidth="1"/>
    <col min="2" max="2" width="17.85546875" customWidth="1"/>
    <col min="3" max="3" width="10.14062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customWidth="1" outlineLevel="1" collapsed="1"/>
    <col min="61" max="62" width="15" customWidth="1" outlineLevel="1"/>
    <col min="63" max="63" width="13.140625" customWidth="1" outlineLevel="1"/>
    <col min="64" max="64" width="17.42578125" customWidth="1" outlineLevel="1"/>
    <col min="65" max="65" width="15.5703125" customWidth="1" outlineLevel="1"/>
    <col min="66" max="66" width="15" customWidth="1" outlineLevel="1"/>
    <col min="67" max="71" width="13.140625" customWidth="1" outlineLevel="1"/>
    <col min="72" max="72" width="16.42578125" customWidth="1" outlineLevel="1"/>
    <col min="73" max="73" width="1.85546875" customWidth="1"/>
    <col min="74" max="85" width="13.140625" customWidth="1"/>
    <col min="86" max="86" width="16.42578125" bestFit="1" customWidth="1"/>
  </cols>
  <sheetData>
    <row r="1" spans="1:100" ht="16.5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H1" t="s">
        <v>284</v>
      </c>
      <c r="CJ1" s="1081" t="s">
        <v>0</v>
      </c>
      <c r="CK1" s="1113"/>
      <c r="CL1" s="1113"/>
      <c r="CM1" s="1113"/>
      <c r="CN1" s="1113"/>
      <c r="CO1" s="1113"/>
      <c r="CP1" s="1113"/>
      <c r="CQ1" s="1113"/>
      <c r="CR1" s="1113"/>
      <c r="CS1" s="1113"/>
      <c r="CT1" s="1113"/>
      <c r="CU1" s="1114"/>
    </row>
    <row r="2" spans="1:100" ht="15.75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J2" s="1077">
        <v>2025</v>
      </c>
      <c r="CK2" s="1115"/>
      <c r="CL2" s="1115"/>
      <c r="CM2" s="1115"/>
      <c r="CN2" s="1115"/>
      <c r="CO2" s="1115"/>
      <c r="CP2" s="1115"/>
      <c r="CQ2" s="1115"/>
      <c r="CR2" s="1115"/>
      <c r="CS2" s="1115"/>
      <c r="CT2" s="1115"/>
      <c r="CU2" s="1116"/>
    </row>
    <row r="3" spans="1:100">
      <c r="A3" s="3" t="s">
        <v>5</v>
      </c>
      <c r="B3" s="3"/>
      <c r="C3" s="3"/>
      <c r="D3" s="252">
        <v>16</v>
      </c>
      <c r="E3" s="252">
        <v>21</v>
      </c>
      <c r="F3" s="252">
        <v>18</v>
      </c>
      <c r="G3" s="252">
        <v>21</v>
      </c>
      <c r="H3" s="252">
        <v>22</v>
      </c>
      <c r="I3" s="252">
        <v>19</v>
      </c>
      <c r="J3" s="252">
        <v>23</v>
      </c>
      <c r="K3" s="252">
        <v>21</v>
      </c>
      <c r="L3" s="252">
        <v>21</v>
      </c>
      <c r="M3" s="252">
        <v>26</v>
      </c>
      <c r="N3" s="252">
        <v>24</v>
      </c>
      <c r="O3" s="252">
        <v>15</v>
      </c>
      <c r="P3" s="4"/>
      <c r="Q3" s="247"/>
      <c r="R3" s="252">
        <v>22</v>
      </c>
      <c r="S3" s="252">
        <v>20</v>
      </c>
      <c r="T3" s="252">
        <v>14</v>
      </c>
      <c r="U3" s="252">
        <v>1</v>
      </c>
      <c r="V3" s="252">
        <v>12</v>
      </c>
      <c r="W3" s="252">
        <v>22</v>
      </c>
      <c r="X3" s="252">
        <v>23</v>
      </c>
      <c r="Y3" s="252">
        <v>21</v>
      </c>
      <c r="Z3" s="252">
        <v>21</v>
      </c>
      <c r="AA3" s="252">
        <v>21</v>
      </c>
      <c r="AB3" s="252">
        <v>20</v>
      </c>
      <c r="AC3" s="252">
        <v>17</v>
      </c>
      <c r="AD3" s="2"/>
      <c r="AE3" s="253"/>
      <c r="AF3" s="254">
        <v>18</v>
      </c>
      <c r="AG3" s="252">
        <v>20</v>
      </c>
      <c r="AH3" s="248">
        <v>20</v>
      </c>
      <c r="AI3" s="248">
        <v>20</v>
      </c>
      <c r="AJ3" s="252">
        <v>22</v>
      </c>
      <c r="AK3" s="252">
        <v>20</v>
      </c>
      <c r="AL3" s="252">
        <v>22</v>
      </c>
      <c r="AM3" s="252">
        <v>22</v>
      </c>
      <c r="AN3" s="252">
        <v>21</v>
      </c>
      <c r="AO3" s="252">
        <v>20</v>
      </c>
      <c r="AP3" s="252">
        <v>20</v>
      </c>
      <c r="AQ3" s="248">
        <v>12</v>
      </c>
      <c r="AR3" s="2"/>
      <c r="AS3" s="124"/>
      <c r="AT3" s="253">
        <v>19</v>
      </c>
      <c r="AU3" s="248">
        <v>19</v>
      </c>
      <c r="AV3" s="248">
        <v>18</v>
      </c>
      <c r="AW3" s="248">
        <v>19</v>
      </c>
      <c r="AX3" s="248">
        <v>22</v>
      </c>
      <c r="AY3" s="248">
        <v>21</v>
      </c>
      <c r="AZ3" s="248">
        <v>21</v>
      </c>
      <c r="BA3" s="248">
        <v>22</v>
      </c>
      <c r="BB3" s="248">
        <v>22</v>
      </c>
      <c r="BC3" s="248">
        <v>21</v>
      </c>
      <c r="BD3" s="248">
        <v>20</v>
      </c>
      <c r="BE3" s="248">
        <v>10</v>
      </c>
      <c r="BF3" s="2"/>
      <c r="BG3" s="125"/>
      <c r="BH3" s="253">
        <v>20</v>
      </c>
      <c r="BI3" s="248">
        <v>17</v>
      </c>
      <c r="BJ3" s="248">
        <v>23</v>
      </c>
      <c r="BK3" s="248">
        <v>18</v>
      </c>
      <c r="BL3" s="248">
        <v>22</v>
      </c>
      <c r="BM3" s="248">
        <v>23</v>
      </c>
      <c r="BN3" s="248">
        <v>21</v>
      </c>
      <c r="BO3" s="248">
        <v>21</v>
      </c>
      <c r="BP3" s="248">
        <v>20</v>
      </c>
      <c r="BQ3" s="248">
        <v>21</v>
      </c>
      <c r="BR3" s="248">
        <v>20</v>
      </c>
      <c r="BS3" s="248">
        <v>14</v>
      </c>
      <c r="BT3" s="253">
        <v>20</v>
      </c>
      <c r="BU3" s="252"/>
      <c r="BV3" s="253">
        <v>19</v>
      </c>
      <c r="BW3" s="248">
        <v>19</v>
      </c>
      <c r="BX3" s="566">
        <v>21</v>
      </c>
      <c r="BY3" s="566">
        <f>22+2</f>
        <v>24</v>
      </c>
      <c r="BZ3" s="248">
        <f>21+2</f>
        <v>23</v>
      </c>
      <c r="CA3" s="567">
        <f>20+2</f>
        <v>22</v>
      </c>
      <c r="CB3" s="567">
        <f>23+2</f>
        <v>25</v>
      </c>
      <c r="CC3" s="252">
        <f>22+3</f>
        <v>25</v>
      </c>
      <c r="CD3" s="252">
        <f>21+3</f>
        <v>24</v>
      </c>
      <c r="CE3" s="248">
        <f>23+3</f>
        <v>26</v>
      </c>
      <c r="CF3" s="248">
        <f>20+3</f>
        <v>23</v>
      </c>
      <c r="CG3" s="248">
        <f>15+2</f>
        <v>17</v>
      </c>
      <c r="CH3" s="248"/>
      <c r="CJ3" s="253">
        <v>20</v>
      </c>
      <c r="CK3" s="248">
        <v>20</v>
      </c>
      <c r="CL3" s="566">
        <v>21</v>
      </c>
      <c r="CM3" s="566">
        <v>24</v>
      </c>
      <c r="CN3" s="248">
        <v>20</v>
      </c>
      <c r="CO3" s="248">
        <v>20</v>
      </c>
      <c r="CP3" s="248">
        <v>23</v>
      </c>
      <c r="CQ3" s="248">
        <v>21</v>
      </c>
      <c r="CR3" s="248">
        <v>21</v>
      </c>
      <c r="CS3" s="248">
        <v>23</v>
      </c>
      <c r="CT3" s="248">
        <v>20</v>
      </c>
      <c r="CU3" s="248">
        <v>13</v>
      </c>
      <c r="CV3" s="248"/>
    </row>
    <row r="4" spans="1:100">
      <c r="A4" s="8"/>
      <c r="B4" s="255"/>
      <c r="C4" s="256"/>
      <c r="D4" s="257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258" t="s">
        <v>26</v>
      </c>
      <c r="Q4" s="10"/>
      <c r="R4" s="257" t="s">
        <v>14</v>
      </c>
      <c r="S4" s="9" t="s">
        <v>15</v>
      </c>
      <c r="T4" s="9" t="s">
        <v>16</v>
      </c>
      <c r="U4" s="9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  <c r="AA4" s="9" t="s">
        <v>23</v>
      </c>
      <c r="AB4" s="9" t="s">
        <v>24</v>
      </c>
      <c r="AC4" s="9" t="s">
        <v>25</v>
      </c>
      <c r="AD4" s="258" t="s">
        <v>26</v>
      </c>
      <c r="AE4" s="11"/>
      <c r="AF4" s="257" t="s">
        <v>14</v>
      </c>
      <c r="AG4" s="9" t="s">
        <v>15</v>
      </c>
      <c r="AH4" s="9" t="s">
        <v>16</v>
      </c>
      <c r="AI4" s="9" t="s">
        <v>17</v>
      </c>
      <c r="AJ4" s="9" t="s">
        <v>18</v>
      </c>
      <c r="AK4" s="9" t="s">
        <v>19</v>
      </c>
      <c r="AL4" s="9" t="s">
        <v>20</v>
      </c>
      <c r="AM4" s="9" t="s">
        <v>21</v>
      </c>
      <c r="AN4" s="9" t="s">
        <v>22</v>
      </c>
      <c r="AO4" s="9" t="s">
        <v>23</v>
      </c>
      <c r="AP4" s="9" t="s">
        <v>24</v>
      </c>
      <c r="AQ4" s="9" t="s">
        <v>25</v>
      </c>
      <c r="AR4" s="9" t="s">
        <v>26</v>
      </c>
      <c r="AS4" s="11"/>
      <c r="AT4" s="9" t="s">
        <v>14</v>
      </c>
      <c r="AU4" s="9" t="s">
        <v>15</v>
      </c>
      <c r="AV4" s="9" t="s">
        <v>16</v>
      </c>
      <c r="AW4" s="9" t="s">
        <v>17</v>
      </c>
      <c r="AX4" s="9" t="s">
        <v>18</v>
      </c>
      <c r="AY4" s="9" t="s">
        <v>19</v>
      </c>
      <c r="AZ4" s="9" t="s">
        <v>20</v>
      </c>
      <c r="BA4" s="9" t="s">
        <v>21</v>
      </c>
      <c r="BB4" s="9" t="s">
        <v>22</v>
      </c>
      <c r="BC4" s="9" t="s">
        <v>23</v>
      </c>
      <c r="BD4" s="9" t="s">
        <v>24</v>
      </c>
      <c r="BE4" s="9" t="s">
        <v>25</v>
      </c>
      <c r="BF4" s="9" t="s">
        <v>26</v>
      </c>
      <c r="BG4" s="10"/>
      <c r="BH4" s="9" t="s">
        <v>14</v>
      </c>
      <c r="BI4" s="9" t="s">
        <v>15</v>
      </c>
      <c r="BJ4" s="9" t="s">
        <v>16</v>
      </c>
      <c r="BK4" s="9" t="s">
        <v>17</v>
      </c>
      <c r="BL4" s="9" t="s">
        <v>18</v>
      </c>
      <c r="BM4" s="9" t="s">
        <v>19</v>
      </c>
      <c r="BN4" s="9" t="s">
        <v>20</v>
      </c>
      <c r="BO4" s="9" t="s">
        <v>21</v>
      </c>
      <c r="BP4" s="9" t="s">
        <v>22</v>
      </c>
      <c r="BQ4" s="9" t="s">
        <v>23</v>
      </c>
      <c r="BR4" s="9" t="s">
        <v>24</v>
      </c>
      <c r="BS4" s="9" t="s">
        <v>25</v>
      </c>
      <c r="BT4" s="9" t="s">
        <v>26</v>
      </c>
      <c r="BU4" s="12"/>
      <c r="BV4" s="9" t="s">
        <v>14</v>
      </c>
      <c r="BW4" s="9" t="s">
        <v>15</v>
      </c>
      <c r="BX4" s="9" t="s">
        <v>16</v>
      </c>
      <c r="BY4" s="9" t="s">
        <v>17</v>
      </c>
      <c r="BZ4" s="9" t="s">
        <v>18</v>
      </c>
      <c r="CA4" s="9" t="s">
        <v>19</v>
      </c>
      <c r="CB4" s="9" t="s">
        <v>20</v>
      </c>
      <c r="CC4" s="9" t="s">
        <v>21</v>
      </c>
      <c r="CD4" s="9" t="s">
        <v>22</v>
      </c>
      <c r="CE4" s="9" t="s">
        <v>23</v>
      </c>
      <c r="CF4" s="9" t="s">
        <v>24</v>
      </c>
      <c r="CG4" s="9" t="s">
        <v>25</v>
      </c>
      <c r="CH4" s="9" t="s">
        <v>26</v>
      </c>
      <c r="CJ4" s="9" t="s">
        <v>14</v>
      </c>
      <c r="CK4" s="9" t="s">
        <v>15</v>
      </c>
      <c r="CL4" s="9" t="s">
        <v>16</v>
      </c>
      <c r="CM4" s="9" t="s">
        <v>17</v>
      </c>
      <c r="CN4" s="9" t="s">
        <v>18</v>
      </c>
      <c r="CO4" s="9" t="s">
        <v>19</v>
      </c>
      <c r="CP4" s="9" t="s">
        <v>20</v>
      </c>
      <c r="CQ4" s="9" t="s">
        <v>21</v>
      </c>
      <c r="CR4" s="9" t="s">
        <v>22</v>
      </c>
      <c r="CS4" s="9" t="s">
        <v>23</v>
      </c>
      <c r="CT4" s="9" t="s">
        <v>24</v>
      </c>
      <c r="CU4" s="9" t="s">
        <v>25</v>
      </c>
      <c r="CV4" s="9" t="s">
        <v>26</v>
      </c>
    </row>
    <row r="5" spans="1:100">
      <c r="A5" s="13"/>
      <c r="B5" s="259"/>
      <c r="C5" s="260"/>
      <c r="D5" s="261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262"/>
      <c r="Q5" s="15"/>
      <c r="R5" s="261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263"/>
      <c r="AE5" s="16"/>
      <c r="AF5" s="261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7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7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8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t="s">
        <v>27</v>
      </c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</row>
    <row r="6" spans="1:100">
      <c r="A6" s="13" t="s">
        <v>28</v>
      </c>
      <c r="B6" s="259" t="s">
        <v>263</v>
      </c>
      <c r="C6" s="260"/>
      <c r="D6" s="261">
        <f t="shared" ref="D6:O6" si="0">SUM(D7:D9)</f>
        <v>304786</v>
      </c>
      <c r="E6" s="14">
        <f t="shared" si="0"/>
        <v>311986</v>
      </c>
      <c r="F6" s="14">
        <f t="shared" si="0"/>
        <v>328231</v>
      </c>
      <c r="G6" s="14">
        <f t="shared" si="0"/>
        <v>317873</v>
      </c>
      <c r="H6" s="14">
        <f t="shared" si="0"/>
        <v>347196</v>
      </c>
      <c r="I6" s="14">
        <f t="shared" si="0"/>
        <v>402253</v>
      </c>
      <c r="J6" s="14">
        <f t="shared" si="0"/>
        <v>454488</v>
      </c>
      <c r="K6" s="14">
        <f t="shared" si="0"/>
        <v>447182</v>
      </c>
      <c r="L6" s="14">
        <f t="shared" si="0"/>
        <v>416931</v>
      </c>
      <c r="M6" s="14">
        <f t="shared" si="0"/>
        <v>304402</v>
      </c>
      <c r="N6" s="14">
        <f t="shared" si="0"/>
        <v>0</v>
      </c>
      <c r="O6" s="14">
        <f t="shared" si="0"/>
        <v>188264</v>
      </c>
      <c r="P6" s="262"/>
      <c r="Q6" s="15"/>
      <c r="R6" s="14">
        <f t="shared" ref="R6:AC6" si="1">SUM(R7:R9)</f>
        <v>283359</v>
      </c>
      <c r="S6" s="14">
        <f t="shared" si="1"/>
        <v>342718</v>
      </c>
      <c r="T6" s="14">
        <f t="shared" si="1"/>
        <v>313212</v>
      </c>
      <c r="U6" s="14">
        <f t="shared" si="1"/>
        <v>298093</v>
      </c>
      <c r="V6" s="14">
        <f t="shared" si="1"/>
        <v>206617</v>
      </c>
      <c r="W6" s="14">
        <f t="shared" si="1"/>
        <v>235875</v>
      </c>
      <c r="X6" s="14">
        <f t="shared" si="1"/>
        <v>360135</v>
      </c>
      <c r="Y6" s="14">
        <f t="shared" si="1"/>
        <v>361665</v>
      </c>
      <c r="Z6" s="14">
        <f t="shared" si="1"/>
        <v>353400</v>
      </c>
      <c r="AA6" s="14">
        <f t="shared" si="1"/>
        <v>272097</v>
      </c>
      <c r="AB6" s="14">
        <f t="shared" si="1"/>
        <v>170626</v>
      </c>
      <c r="AC6" s="14">
        <f t="shared" si="1"/>
        <v>197551</v>
      </c>
      <c r="AD6" s="263"/>
      <c r="AE6" s="16"/>
      <c r="AF6" s="14">
        <f t="shared" ref="AF6:AQ6" si="2">SUM(AF7:AF10)</f>
        <v>246973</v>
      </c>
      <c r="AG6" s="14">
        <f t="shared" si="2"/>
        <v>281087</v>
      </c>
      <c r="AH6" s="14">
        <f t="shared" si="2"/>
        <v>386469</v>
      </c>
      <c r="AI6" s="14">
        <f t="shared" si="2"/>
        <v>379017</v>
      </c>
      <c r="AJ6" s="14">
        <f t="shared" si="2"/>
        <v>400777</v>
      </c>
      <c r="AK6" s="14">
        <f t="shared" si="2"/>
        <v>465623</v>
      </c>
      <c r="AL6" s="14">
        <f t="shared" si="2"/>
        <v>472149</v>
      </c>
      <c r="AM6" s="14">
        <f t="shared" si="2"/>
        <v>492339</v>
      </c>
      <c r="AN6" s="14">
        <f t="shared" si="2"/>
        <v>450428</v>
      </c>
      <c r="AO6" s="14">
        <f t="shared" si="2"/>
        <v>391441</v>
      </c>
      <c r="AP6" s="14">
        <f t="shared" si="2"/>
        <v>325482</v>
      </c>
      <c r="AQ6" s="14">
        <f t="shared" si="2"/>
        <v>321014</v>
      </c>
      <c r="AR6" s="14">
        <f t="shared" ref="AR6:AR14" si="3">AQ6</f>
        <v>321014</v>
      </c>
      <c r="AS6" s="17"/>
      <c r="AT6" s="14">
        <f t="shared" ref="AT6:BE6" si="4">SUM(AT7:AT10)</f>
        <v>350303</v>
      </c>
      <c r="AU6" s="14">
        <f t="shared" si="4"/>
        <v>323931</v>
      </c>
      <c r="AV6" s="14">
        <f t="shared" si="4"/>
        <v>307980</v>
      </c>
      <c r="AW6" s="14">
        <f t="shared" si="4"/>
        <v>292777</v>
      </c>
      <c r="AX6" s="14">
        <f t="shared" si="4"/>
        <v>296754</v>
      </c>
      <c r="AY6" s="14">
        <f t="shared" si="4"/>
        <v>344037</v>
      </c>
      <c r="AZ6" s="14">
        <f t="shared" si="4"/>
        <v>367566</v>
      </c>
      <c r="BA6" s="14">
        <f t="shared" si="4"/>
        <v>372442</v>
      </c>
      <c r="BB6" s="14">
        <f t="shared" si="4"/>
        <v>375154</v>
      </c>
      <c r="BC6" s="14">
        <f t="shared" si="4"/>
        <v>340466</v>
      </c>
      <c r="BD6" s="14">
        <f t="shared" si="4"/>
        <v>314581</v>
      </c>
      <c r="BE6" s="14">
        <f t="shared" si="4"/>
        <v>253219</v>
      </c>
      <c r="BF6" s="14">
        <f t="shared" ref="BF6:BF11" si="5">BE6</f>
        <v>253219</v>
      </c>
      <c r="BG6" s="17"/>
      <c r="BH6" s="14">
        <f t="shared" ref="BH6:BQ6" si="6">SUM(BH7:BH10)</f>
        <v>307512</v>
      </c>
      <c r="BI6" s="14">
        <f t="shared" si="6"/>
        <v>302058</v>
      </c>
      <c r="BJ6" s="14">
        <f t="shared" si="6"/>
        <v>315841</v>
      </c>
      <c r="BK6" s="14">
        <f t="shared" si="6"/>
        <v>306027</v>
      </c>
      <c r="BL6" s="14">
        <f t="shared" si="6"/>
        <v>299077</v>
      </c>
      <c r="BM6" s="14">
        <f t="shared" si="6"/>
        <v>293121</v>
      </c>
      <c r="BN6" s="14">
        <f t="shared" si="6"/>
        <v>335286</v>
      </c>
      <c r="BO6" s="14">
        <f t="shared" si="6"/>
        <v>322561</v>
      </c>
      <c r="BP6" s="14">
        <f t="shared" si="6"/>
        <v>304307</v>
      </c>
      <c r="BQ6" s="14">
        <f t="shared" si="6"/>
        <v>280100</v>
      </c>
      <c r="BR6" s="14">
        <f>SUM(BR7:BR10)</f>
        <v>215852</v>
      </c>
      <c r="BS6" s="14">
        <f>BS7+BS8+BS10</f>
        <v>201165</v>
      </c>
      <c r="BT6" s="14">
        <f>BS6</f>
        <v>201165</v>
      </c>
      <c r="BU6" s="18"/>
      <c r="BV6" s="14">
        <f>BV7+BV8+BV10</f>
        <v>247713</v>
      </c>
      <c r="BW6" s="14">
        <f>BV6+BW59-BW16</f>
        <v>224746.16954819704</v>
      </c>
      <c r="BX6" s="14">
        <f>BX7+BX8+BX10</f>
        <v>281829</v>
      </c>
      <c r="BY6" s="14">
        <f>BY7+BY8+BY10</f>
        <v>317753</v>
      </c>
      <c r="BZ6" s="14">
        <f>BZ7+BZ8+BZ10</f>
        <v>270339</v>
      </c>
      <c r="CA6" s="14">
        <f>BZ6-CA16+CA59</f>
        <v>288846.87089903158</v>
      </c>
      <c r="CB6" s="14">
        <f>CA6-CB16+CB59</f>
        <v>295356.74039904925</v>
      </c>
      <c r="CC6" s="14">
        <f>CB6-CC16+CC59</f>
        <v>285185.09407500038</v>
      </c>
      <c r="CD6" s="14">
        <f>CC6-CD16+CD59</f>
        <v>256285.04330420919</v>
      </c>
      <c r="CE6" s="14">
        <f>CD6-CE16+CE59</f>
        <v>239453.37692189249</v>
      </c>
      <c r="CF6" s="14">
        <f>CE6-CF16+CF59</f>
        <v>241449.18735348803</v>
      </c>
      <c r="CG6" s="14">
        <f t="shared" ref="CA6:CG6" si="7">CF6+CG59-CG16</f>
        <v>292757.1886159901</v>
      </c>
      <c r="CH6" s="14">
        <f t="shared" ref="CH6:CH14" si="8">CG6</f>
        <v>292757.1886159901</v>
      </c>
      <c r="CJ6" s="14">
        <f>CH6+CJ59-CJ16</f>
        <v>279541.42775559035</v>
      </c>
      <c r="CK6" s="14">
        <f>CJ6+CK59-CK16</f>
        <v>271776.25578119722</v>
      </c>
      <c r="CL6" s="14">
        <f>CK6+CL59-CL16</f>
        <v>229659.14039658185</v>
      </c>
      <c r="CM6" s="14">
        <f>CL6+CM59-CM16</f>
        <v>249731.44808888953</v>
      </c>
      <c r="CN6" s="14">
        <f>CM6+CN59-CN16</f>
        <v>250674.93500014007</v>
      </c>
      <c r="CO6" s="14">
        <f t="shared" ref="CM6:CU6" si="9">CN6+CO59-CO16</f>
        <v>259168.19944412325</v>
      </c>
      <c r="CP6" s="14">
        <f t="shared" si="9"/>
        <v>255753.56241914182</v>
      </c>
      <c r="CQ6" s="14">
        <f t="shared" si="9"/>
        <v>218823.33377889049</v>
      </c>
      <c r="CR6" s="14">
        <f t="shared" si="9"/>
        <v>169998.28046955974</v>
      </c>
      <c r="CS6" s="14">
        <f t="shared" si="9"/>
        <v>134305.03076812718</v>
      </c>
      <c r="CT6" s="14">
        <f t="shared" si="9"/>
        <v>117690.63172130249</v>
      </c>
      <c r="CU6" s="14">
        <f t="shared" si="9"/>
        <v>143474.03304692966</v>
      </c>
      <c r="CV6" s="14">
        <v>116080.10690622788</v>
      </c>
    </row>
    <row r="7" spans="1:100">
      <c r="A7" s="19">
        <v>1</v>
      </c>
      <c r="B7" s="158" t="s">
        <v>264</v>
      </c>
      <c r="C7" s="264"/>
      <c r="D7" s="265">
        <v>197000</v>
      </c>
      <c r="E7" s="20">
        <v>223027</v>
      </c>
      <c r="F7" s="20">
        <v>230513</v>
      </c>
      <c r="G7" s="20">
        <v>231174</v>
      </c>
      <c r="H7" s="20">
        <v>255028</v>
      </c>
      <c r="I7" s="20">
        <f>316386+3241</f>
        <v>319627</v>
      </c>
      <c r="J7" s="20">
        <v>377712</v>
      </c>
      <c r="K7" s="20">
        <v>382411</v>
      </c>
      <c r="L7" s="20">
        <v>394107</v>
      </c>
      <c r="M7" s="20">
        <v>267954</v>
      </c>
      <c r="N7" s="20"/>
      <c r="O7" s="20">
        <v>143875</v>
      </c>
      <c r="P7" s="266"/>
      <c r="Q7" s="21"/>
      <c r="R7" s="265">
        <v>208084</v>
      </c>
      <c r="S7" s="22">
        <v>268431</v>
      </c>
      <c r="T7" s="22">
        <v>250616</v>
      </c>
      <c r="U7" s="22">
        <v>237088</v>
      </c>
      <c r="V7" s="22">
        <v>147777</v>
      </c>
      <c r="W7" s="22">
        <v>215818</v>
      </c>
      <c r="X7" s="22">
        <v>273510</v>
      </c>
      <c r="Y7" s="22">
        <v>299059</v>
      </c>
      <c r="Z7" s="22">
        <v>304980</v>
      </c>
      <c r="AA7" s="22">
        <v>231197</v>
      </c>
      <c r="AB7" s="22">
        <v>143086</v>
      </c>
      <c r="AC7" s="22">
        <v>172491</v>
      </c>
      <c r="AD7" s="267"/>
      <c r="AE7" s="23"/>
      <c r="AF7" s="22">
        <v>198695</v>
      </c>
      <c r="AG7" s="22">
        <v>234210</v>
      </c>
      <c r="AH7" s="22">
        <v>327560</v>
      </c>
      <c r="AI7" s="22">
        <v>332523</v>
      </c>
      <c r="AJ7" s="24">
        <v>356667</v>
      </c>
      <c r="AK7" s="22">
        <v>384165</v>
      </c>
      <c r="AL7" s="22">
        <v>317268</v>
      </c>
      <c r="AM7" s="22">
        <v>370708</v>
      </c>
      <c r="AN7" s="22">
        <v>354503</v>
      </c>
      <c r="AO7" s="22">
        <v>314605</v>
      </c>
      <c r="AP7" s="25">
        <v>90490</v>
      </c>
      <c r="AQ7" s="22">
        <v>58348</v>
      </c>
      <c r="AR7" s="22">
        <f t="shared" si="3"/>
        <v>58348</v>
      </c>
      <c r="AS7" s="23"/>
      <c r="AT7" s="22">
        <v>158701</v>
      </c>
      <c r="AU7" s="22">
        <v>115369</v>
      </c>
      <c r="AV7" s="22">
        <v>142379</v>
      </c>
      <c r="AW7" s="22">
        <v>118765</v>
      </c>
      <c r="AX7" s="22">
        <v>113246</v>
      </c>
      <c r="AY7" s="22">
        <v>106776</v>
      </c>
      <c r="AZ7" s="22">
        <v>175234</v>
      </c>
      <c r="BA7" s="22">
        <v>151553</v>
      </c>
      <c r="BB7" s="26">
        <v>167082</v>
      </c>
      <c r="BC7" s="22">
        <v>150959</v>
      </c>
      <c r="BD7" s="22">
        <v>119787</v>
      </c>
      <c r="BE7" s="22">
        <v>65426</v>
      </c>
      <c r="BF7" s="22">
        <f t="shared" si="5"/>
        <v>65426</v>
      </c>
      <c r="BG7" s="27"/>
      <c r="BH7" s="22">
        <v>166918</v>
      </c>
      <c r="BI7" s="22">
        <v>167160</v>
      </c>
      <c r="BJ7" s="22">
        <v>204571</v>
      </c>
      <c r="BK7" s="22">
        <v>153197</v>
      </c>
      <c r="BL7" s="22">
        <v>196798</v>
      </c>
      <c r="BM7" s="22">
        <v>145596</v>
      </c>
      <c r="BN7" s="22">
        <v>166021</v>
      </c>
      <c r="BO7" s="22">
        <v>211305</v>
      </c>
      <c r="BP7" s="22">
        <v>201071</v>
      </c>
      <c r="BQ7" s="22">
        <v>177743</v>
      </c>
      <c r="BR7" s="22">
        <v>144020</v>
      </c>
      <c r="BS7" s="22">
        <v>154347</v>
      </c>
      <c r="BT7" s="22">
        <f>BS7</f>
        <v>154347</v>
      </c>
      <c r="BU7" s="28"/>
      <c r="BV7" s="22">
        <v>204006</v>
      </c>
      <c r="BW7" s="22">
        <v>241182</v>
      </c>
      <c r="BX7" s="22">
        <v>245950</v>
      </c>
      <c r="BY7" s="22">
        <v>281974</v>
      </c>
      <c r="BZ7" s="22">
        <v>202865</v>
      </c>
      <c r="CA7" s="22">
        <f>BZ7+CA59-CA16*(0.95)</f>
        <v>228587.47735408001</v>
      </c>
      <c r="CB7" s="22">
        <f t="shared" ref="CB7:CG7" si="10">CA7+CB59-CB16*(0.95)</f>
        <v>244021.85337909684</v>
      </c>
      <c r="CC7" s="22">
        <f t="shared" si="10"/>
        <v>243608.78937125043</v>
      </c>
      <c r="CD7" s="22">
        <f t="shared" si="10"/>
        <v>225033.7411389988</v>
      </c>
      <c r="CE7" s="22">
        <f t="shared" si="10"/>
        <v>218663.6580757979</v>
      </c>
      <c r="CF7" s="22">
        <f t="shared" si="10"/>
        <v>229069.67798581367</v>
      </c>
      <c r="CG7" s="22">
        <f t="shared" si="10"/>
        <v>284102.27918519068</v>
      </c>
      <c r="CH7" s="22">
        <f t="shared" si="8"/>
        <v>284102.27918519068</v>
      </c>
      <c r="CJ7" s="22">
        <f>CH7+CJ59-CJ16</f>
        <v>270886.51832479093</v>
      </c>
      <c r="CK7" s="22">
        <f>CJ7+CK59-CK16</f>
        <v>263121.3463503978</v>
      </c>
      <c r="CL7" s="22">
        <f t="shared" ref="CL7:CM7" si="11">CK7+CL59-CL16</f>
        <v>221004.23096578242</v>
      </c>
      <c r="CM7" s="22">
        <f t="shared" si="11"/>
        <v>241076.53865809011</v>
      </c>
      <c r="CN7" s="22"/>
      <c r="CO7" s="22"/>
      <c r="CP7" s="22"/>
      <c r="CQ7" s="22"/>
      <c r="CR7" s="22"/>
      <c r="CS7" s="22"/>
      <c r="CT7" s="22"/>
      <c r="CU7" s="22"/>
      <c r="CV7" s="22">
        <v>0</v>
      </c>
    </row>
    <row r="8" spans="1:100">
      <c r="A8" s="19">
        <v>2</v>
      </c>
      <c r="B8" s="158" t="s">
        <v>265</v>
      </c>
      <c r="C8" s="264"/>
      <c r="D8" s="265">
        <v>73670</v>
      </c>
      <c r="E8" s="20">
        <v>59682</v>
      </c>
      <c r="F8" s="20">
        <v>54710</v>
      </c>
      <c r="G8" s="20">
        <v>56175</v>
      </c>
      <c r="H8" s="20">
        <v>58933</v>
      </c>
      <c r="I8" s="20">
        <v>42784</v>
      </c>
      <c r="J8" s="20">
        <v>35755</v>
      </c>
      <c r="K8" s="20">
        <v>33547</v>
      </c>
      <c r="L8" s="20">
        <v>22824</v>
      </c>
      <c r="M8" s="20">
        <v>26162</v>
      </c>
      <c r="N8" s="20"/>
      <c r="O8" s="20">
        <v>44389</v>
      </c>
      <c r="P8" s="266"/>
      <c r="Q8" s="21"/>
      <c r="R8" s="265">
        <v>39759</v>
      </c>
      <c r="S8" s="22">
        <v>38325</v>
      </c>
      <c r="T8" s="22">
        <v>26634</v>
      </c>
      <c r="U8" s="22">
        <f>14430+2754+7859</f>
        <v>25043</v>
      </c>
      <c r="V8" s="22">
        <v>23840</v>
      </c>
      <c r="W8" s="22">
        <v>20057</v>
      </c>
      <c r="X8" s="22">
        <v>80502</v>
      </c>
      <c r="Y8" s="22">
        <v>56483</v>
      </c>
      <c r="Z8" s="22">
        <v>44233</v>
      </c>
      <c r="AA8" s="22">
        <v>38155</v>
      </c>
      <c r="AB8" s="22">
        <v>27540</v>
      </c>
      <c r="AC8" s="22">
        <v>25060</v>
      </c>
      <c r="AD8" s="267"/>
      <c r="AE8" s="23"/>
      <c r="AF8" s="22">
        <v>21326</v>
      </c>
      <c r="AG8" s="22">
        <v>17804</v>
      </c>
      <c r="AH8" s="22">
        <v>27157</v>
      </c>
      <c r="AI8" s="22">
        <v>19677</v>
      </c>
      <c r="AJ8" s="22">
        <v>18817</v>
      </c>
      <c r="AK8" s="22">
        <v>25034</v>
      </c>
      <c r="AL8" s="22">
        <v>28090</v>
      </c>
      <c r="AM8" s="22">
        <v>25660</v>
      </c>
      <c r="AN8" s="22">
        <v>33752</v>
      </c>
      <c r="AO8" s="22">
        <v>24699</v>
      </c>
      <c r="AP8" s="25">
        <v>19340</v>
      </c>
      <c r="AQ8" s="22">
        <v>29842</v>
      </c>
      <c r="AR8" s="22">
        <f t="shared" si="3"/>
        <v>29842</v>
      </c>
      <c r="AS8" s="23"/>
      <c r="AT8" s="22">
        <v>46493</v>
      </c>
      <c r="AU8" s="22">
        <v>37125</v>
      </c>
      <c r="AV8" s="22">
        <v>38574</v>
      </c>
      <c r="AW8" s="22">
        <v>43626</v>
      </c>
      <c r="AX8" s="22">
        <v>39641</v>
      </c>
      <c r="AY8" s="22">
        <v>55553</v>
      </c>
      <c r="AZ8" s="22">
        <v>48023</v>
      </c>
      <c r="BA8" s="22">
        <v>55043</v>
      </c>
      <c r="BB8" s="26">
        <v>50383</v>
      </c>
      <c r="BC8" s="22">
        <v>54355</v>
      </c>
      <c r="BD8" s="22">
        <v>82473</v>
      </c>
      <c r="BE8" s="22">
        <v>65398</v>
      </c>
      <c r="BF8" s="22">
        <f t="shared" si="5"/>
        <v>65398</v>
      </c>
      <c r="BG8" s="27"/>
      <c r="BH8" s="22">
        <v>68747</v>
      </c>
      <c r="BI8" s="22">
        <v>62843</v>
      </c>
      <c r="BJ8" s="22">
        <v>62154</v>
      </c>
      <c r="BK8" s="22">
        <v>49337</v>
      </c>
      <c r="BL8" s="22">
        <v>27730</v>
      </c>
      <c r="BM8" s="22">
        <v>42459</v>
      </c>
      <c r="BN8" s="22">
        <v>44049</v>
      </c>
      <c r="BO8" s="22">
        <v>29196</v>
      </c>
      <c r="BP8" s="22">
        <v>36882</v>
      </c>
      <c r="BQ8" s="22">
        <v>35965</v>
      </c>
      <c r="BR8" s="22">
        <v>31343</v>
      </c>
      <c r="BS8" s="22">
        <v>23087</v>
      </c>
      <c r="BT8" s="22">
        <f t="shared" ref="BT8:BT14" si="12">BS8</f>
        <v>23087</v>
      </c>
      <c r="BU8" s="28"/>
      <c r="BV8" s="22">
        <v>15202</v>
      </c>
      <c r="BW8" s="22">
        <v>12471</v>
      </c>
      <c r="BX8" s="22">
        <v>11483</v>
      </c>
      <c r="BY8" s="22">
        <v>14071</v>
      </c>
      <c r="BZ8" s="22">
        <v>49617</v>
      </c>
      <c r="CA8" s="22"/>
      <c r="CB8" s="22"/>
      <c r="CC8" s="22"/>
      <c r="CD8" s="22"/>
      <c r="CE8" s="22"/>
      <c r="CF8" s="22"/>
      <c r="CG8" s="22"/>
      <c r="CH8" s="22">
        <f t="shared" si="8"/>
        <v>0</v>
      </c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>
        <v>0</v>
      </c>
    </row>
    <row r="9" spans="1:100">
      <c r="A9" s="19">
        <v>3</v>
      </c>
      <c r="B9" s="158" t="s">
        <v>266</v>
      </c>
      <c r="C9" s="264"/>
      <c r="D9" s="268">
        <v>34116</v>
      </c>
      <c r="E9" s="269">
        <v>29277</v>
      </c>
      <c r="F9" s="269">
        <v>43008</v>
      </c>
      <c r="G9" s="269">
        <v>30524</v>
      </c>
      <c r="H9" s="269">
        <v>33235</v>
      </c>
      <c r="I9" s="269">
        <v>39842</v>
      </c>
      <c r="J9" s="269">
        <v>41021</v>
      </c>
      <c r="K9" s="269">
        <v>31224</v>
      </c>
      <c r="L9" s="269"/>
      <c r="M9" s="269">
        <v>10286</v>
      </c>
      <c r="N9" s="269"/>
      <c r="O9" s="269"/>
      <c r="P9" s="266"/>
      <c r="Q9" s="21"/>
      <c r="R9" s="268">
        <v>35516</v>
      </c>
      <c r="S9" s="270">
        <v>35962</v>
      </c>
      <c r="T9" s="270">
        <v>35962</v>
      </c>
      <c r="U9" s="270">
        <v>35962</v>
      </c>
      <c r="V9" s="270">
        <v>35000</v>
      </c>
      <c r="W9" s="270"/>
      <c r="X9" s="270">
        <v>6123</v>
      </c>
      <c r="Y9" s="270">
        <v>6123</v>
      </c>
      <c r="Z9" s="270">
        <v>4187</v>
      </c>
      <c r="AA9" s="270">
        <v>2745</v>
      </c>
      <c r="AB9" s="270"/>
      <c r="AC9" s="270"/>
      <c r="AD9" s="267"/>
      <c r="AE9" s="23"/>
      <c r="AF9" s="270">
        <v>8366</v>
      </c>
      <c r="AG9" s="270">
        <v>11534</v>
      </c>
      <c r="AH9" s="270">
        <v>11507</v>
      </c>
      <c r="AI9" s="270">
        <v>9148</v>
      </c>
      <c r="AJ9" s="22">
        <v>8524</v>
      </c>
      <c r="AK9" s="270">
        <v>25290</v>
      </c>
      <c r="AL9" s="270">
        <v>91080</v>
      </c>
      <c r="AM9" s="270">
        <v>66830</v>
      </c>
      <c r="AN9" s="270">
        <v>36866</v>
      </c>
      <c r="AO9" s="270">
        <v>16173</v>
      </c>
      <c r="AP9" s="271">
        <v>178274</v>
      </c>
      <c r="AQ9" s="270">
        <v>210665</v>
      </c>
      <c r="AR9" s="22">
        <f t="shared" si="3"/>
        <v>210665</v>
      </c>
      <c r="AS9" s="23"/>
      <c r="AT9" s="270">
        <v>121075</v>
      </c>
      <c r="AU9" s="270">
        <v>149376</v>
      </c>
      <c r="AV9" s="270">
        <v>104538</v>
      </c>
      <c r="AW9" s="270">
        <v>105262</v>
      </c>
      <c r="AX9" s="270">
        <v>121073</v>
      </c>
      <c r="AY9" s="270">
        <v>163931</v>
      </c>
      <c r="AZ9" s="270">
        <v>109964</v>
      </c>
      <c r="BA9" s="270">
        <v>148266</v>
      </c>
      <c r="BB9" s="26">
        <v>130697</v>
      </c>
      <c r="BC9" s="270">
        <v>113779</v>
      </c>
      <c r="BD9" s="270">
        <v>91119</v>
      </c>
      <c r="BE9" s="270">
        <v>103286</v>
      </c>
      <c r="BF9" s="22">
        <f t="shared" si="5"/>
        <v>103286</v>
      </c>
      <c r="BG9" s="27"/>
      <c r="BH9" s="270">
        <v>49631</v>
      </c>
      <c r="BI9" s="270">
        <v>52953</v>
      </c>
      <c r="BJ9" s="270">
        <v>28440</v>
      </c>
      <c r="BK9" s="270">
        <v>83601</v>
      </c>
      <c r="BL9" s="22">
        <v>25812</v>
      </c>
      <c r="BM9" s="22">
        <v>59545</v>
      </c>
      <c r="BN9" s="22">
        <v>83435</v>
      </c>
      <c r="BO9" s="22">
        <v>34041</v>
      </c>
      <c r="BP9" s="22">
        <v>22399</v>
      </c>
      <c r="BQ9" s="22">
        <v>24887</v>
      </c>
      <c r="BR9" s="22">
        <v>12183</v>
      </c>
      <c r="BS9" s="22">
        <v>12183</v>
      </c>
      <c r="BT9" s="22">
        <f t="shared" si="12"/>
        <v>12183</v>
      </c>
      <c r="BU9" s="28"/>
      <c r="BV9" s="270">
        <v>5216</v>
      </c>
      <c r="BW9" s="270"/>
      <c r="BX9" s="270">
        <v>65273</v>
      </c>
      <c r="BY9" s="270">
        <v>70182</v>
      </c>
      <c r="BZ9" s="22"/>
      <c r="CA9" s="22"/>
      <c r="CB9" s="22"/>
      <c r="CC9" s="22"/>
      <c r="CD9" s="22"/>
      <c r="CE9" s="22"/>
      <c r="CF9" s="22"/>
      <c r="CG9" s="22"/>
      <c r="CH9" s="22">
        <f t="shared" si="8"/>
        <v>0</v>
      </c>
      <c r="CJ9" s="270"/>
      <c r="CK9" s="270"/>
      <c r="CL9" s="270"/>
      <c r="CM9" s="270"/>
      <c r="CN9" s="22"/>
      <c r="CO9" s="22"/>
      <c r="CP9" s="22"/>
      <c r="CQ9" s="22"/>
      <c r="CR9" s="22"/>
      <c r="CS9" s="22"/>
      <c r="CT9" s="22"/>
      <c r="CU9" s="22"/>
      <c r="CV9" s="22">
        <v>0</v>
      </c>
    </row>
    <row r="10" spans="1:100">
      <c r="A10" s="19">
        <v>1</v>
      </c>
      <c r="B10" s="158" t="s">
        <v>267</v>
      </c>
      <c r="C10" s="159"/>
      <c r="D10" s="265">
        <v>6409</v>
      </c>
      <c r="E10" s="20">
        <v>6860</v>
      </c>
      <c r="F10" s="20">
        <v>4970</v>
      </c>
      <c r="G10" s="20">
        <v>31203</v>
      </c>
      <c r="H10" s="20">
        <v>31499</v>
      </c>
      <c r="I10" s="20">
        <v>25903</v>
      </c>
      <c r="J10" s="20">
        <v>18606</v>
      </c>
      <c r="K10" s="20">
        <v>16014</v>
      </c>
      <c r="L10" s="20">
        <v>13416</v>
      </c>
      <c r="M10" s="20">
        <v>40079</v>
      </c>
      <c r="N10" s="20"/>
      <c r="O10" s="20">
        <v>0</v>
      </c>
      <c r="P10" s="266"/>
      <c r="Q10" s="21"/>
      <c r="R10" s="265">
        <v>3376</v>
      </c>
      <c r="S10" s="22">
        <v>11736</v>
      </c>
      <c r="T10" s="22">
        <v>22454</v>
      </c>
      <c r="U10" s="22">
        <v>21384</v>
      </c>
      <c r="V10" s="22">
        <v>66870</v>
      </c>
      <c r="W10" s="22">
        <v>73769</v>
      </c>
      <c r="X10" s="22">
        <v>13944</v>
      </c>
      <c r="Y10" s="22">
        <v>32750</v>
      </c>
      <c r="Z10" s="22">
        <v>18536</v>
      </c>
      <c r="AA10" s="22">
        <v>40211</v>
      </c>
      <c r="AB10" s="22">
        <v>44457</v>
      </c>
      <c r="AC10" s="22">
        <v>24504</v>
      </c>
      <c r="AD10" s="267"/>
      <c r="AE10" s="23"/>
      <c r="AF10" s="22">
        <v>18586</v>
      </c>
      <c r="AG10" s="22">
        <v>17539</v>
      </c>
      <c r="AH10" s="22">
        <v>20245</v>
      </c>
      <c r="AI10" s="22">
        <v>17669</v>
      </c>
      <c r="AJ10" s="22">
        <v>16769</v>
      </c>
      <c r="AK10" s="22">
        <v>31134</v>
      </c>
      <c r="AL10" s="22">
        <v>35711</v>
      </c>
      <c r="AM10" s="22">
        <v>29141</v>
      </c>
      <c r="AN10" s="22">
        <v>25307</v>
      </c>
      <c r="AO10" s="22">
        <v>35964</v>
      </c>
      <c r="AP10" s="25">
        <v>37378</v>
      </c>
      <c r="AQ10" s="22">
        <v>22159</v>
      </c>
      <c r="AR10" s="22">
        <f t="shared" si="3"/>
        <v>22159</v>
      </c>
      <c r="AS10" s="23"/>
      <c r="AT10" s="22">
        <v>24034</v>
      </c>
      <c r="AU10" s="270">
        <v>22061</v>
      </c>
      <c r="AV10" s="22">
        <v>22489</v>
      </c>
      <c r="AW10" s="22">
        <v>25124</v>
      </c>
      <c r="AX10" s="22">
        <v>22794</v>
      </c>
      <c r="AY10" s="22">
        <v>17777</v>
      </c>
      <c r="AZ10" s="22">
        <v>34345</v>
      </c>
      <c r="BA10" s="22">
        <v>17580</v>
      </c>
      <c r="BB10" s="26">
        <v>26992</v>
      </c>
      <c r="BC10" s="22">
        <v>21373</v>
      </c>
      <c r="BD10" s="22">
        <v>21202</v>
      </c>
      <c r="BE10" s="22">
        <v>19109</v>
      </c>
      <c r="BF10" s="22">
        <f t="shared" si="5"/>
        <v>19109</v>
      </c>
      <c r="BG10" s="27"/>
      <c r="BH10" s="22">
        <v>22216</v>
      </c>
      <c r="BI10" s="270">
        <v>19102</v>
      </c>
      <c r="BJ10" s="22">
        <v>20676</v>
      </c>
      <c r="BK10" s="22">
        <v>19892</v>
      </c>
      <c r="BL10" s="22">
        <v>48737</v>
      </c>
      <c r="BM10" s="22">
        <v>45521</v>
      </c>
      <c r="BN10" s="22">
        <v>41781</v>
      </c>
      <c r="BO10" s="22">
        <v>48019</v>
      </c>
      <c r="BP10" s="22">
        <v>43955</v>
      </c>
      <c r="BQ10" s="22">
        <v>41505</v>
      </c>
      <c r="BR10" s="22">
        <v>28306</v>
      </c>
      <c r="BS10" s="22">
        <v>23731</v>
      </c>
      <c r="BT10" s="22">
        <f t="shared" si="12"/>
        <v>23731</v>
      </c>
      <c r="BU10" s="28"/>
      <c r="BV10" s="22">
        <v>28505</v>
      </c>
      <c r="BW10" s="270">
        <v>25054</v>
      </c>
      <c r="BX10" s="22">
        <v>24396</v>
      </c>
      <c r="BY10" s="22">
        <v>21708</v>
      </c>
      <c r="BZ10" s="22">
        <v>17857</v>
      </c>
      <c r="CA10" s="22"/>
      <c r="CB10" s="22"/>
      <c r="CC10" s="22"/>
      <c r="CD10" s="22"/>
      <c r="CE10" s="22"/>
      <c r="CF10" s="22"/>
      <c r="CG10" s="22"/>
      <c r="CH10" s="22">
        <f t="shared" si="8"/>
        <v>0</v>
      </c>
      <c r="CJ10" s="22"/>
      <c r="CK10" s="270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>
        <v>0</v>
      </c>
    </row>
    <row r="11" spans="1:100">
      <c r="A11" s="29"/>
      <c r="B11" s="272" t="s">
        <v>41</v>
      </c>
      <c r="C11" s="273"/>
      <c r="D11" s="274">
        <f t="shared" ref="D11:O11" si="13">D6-D9</f>
        <v>270670</v>
      </c>
      <c r="E11" s="30">
        <f t="shared" si="13"/>
        <v>282709</v>
      </c>
      <c r="F11" s="30">
        <f t="shared" si="13"/>
        <v>285223</v>
      </c>
      <c r="G11" s="30">
        <f t="shared" si="13"/>
        <v>287349</v>
      </c>
      <c r="H11" s="30">
        <f t="shared" si="13"/>
        <v>313961</v>
      </c>
      <c r="I11" s="30">
        <f t="shared" si="13"/>
        <v>362411</v>
      </c>
      <c r="J11" s="30">
        <f t="shared" si="13"/>
        <v>413467</v>
      </c>
      <c r="K11" s="30">
        <f t="shared" si="13"/>
        <v>415958</v>
      </c>
      <c r="L11" s="30">
        <f t="shared" si="13"/>
        <v>416931</v>
      </c>
      <c r="M11" s="30">
        <f t="shared" si="13"/>
        <v>294116</v>
      </c>
      <c r="N11" s="30">
        <f t="shared" si="13"/>
        <v>0</v>
      </c>
      <c r="O11" s="30">
        <f t="shared" si="13"/>
        <v>188264</v>
      </c>
      <c r="P11" s="275"/>
      <c r="Q11" s="31"/>
      <c r="R11" s="274">
        <f t="shared" ref="R11:AB11" si="14">R6-R9</f>
        <v>247843</v>
      </c>
      <c r="S11" s="32">
        <f t="shared" si="14"/>
        <v>306756</v>
      </c>
      <c r="T11" s="32">
        <f t="shared" si="14"/>
        <v>277250</v>
      </c>
      <c r="U11" s="32">
        <f t="shared" si="14"/>
        <v>262131</v>
      </c>
      <c r="V11" s="32">
        <f t="shared" si="14"/>
        <v>171617</v>
      </c>
      <c r="W11" s="32">
        <f t="shared" si="14"/>
        <v>235875</v>
      </c>
      <c r="X11" s="32">
        <f t="shared" si="14"/>
        <v>354012</v>
      </c>
      <c r="Y11" s="32">
        <f t="shared" si="14"/>
        <v>355542</v>
      </c>
      <c r="Z11" s="32">
        <f t="shared" si="14"/>
        <v>349213</v>
      </c>
      <c r="AA11" s="32">
        <f t="shared" si="14"/>
        <v>269352</v>
      </c>
      <c r="AB11" s="32">
        <f t="shared" si="14"/>
        <v>170626</v>
      </c>
      <c r="AC11" s="32"/>
      <c r="AD11" s="276"/>
      <c r="AE11" s="17"/>
      <c r="AF11" s="32">
        <f t="shared" ref="AF11:AQ11" si="15">AF6-AF9</f>
        <v>238607</v>
      </c>
      <c r="AG11" s="32">
        <f t="shared" si="15"/>
        <v>269553</v>
      </c>
      <c r="AH11" s="32">
        <f t="shared" si="15"/>
        <v>374962</v>
      </c>
      <c r="AI11" s="32">
        <f t="shared" si="15"/>
        <v>369869</v>
      </c>
      <c r="AJ11" s="32">
        <f t="shared" si="15"/>
        <v>392253</v>
      </c>
      <c r="AK11" s="32">
        <f t="shared" si="15"/>
        <v>440333</v>
      </c>
      <c r="AL11" s="32">
        <f t="shared" si="15"/>
        <v>381069</v>
      </c>
      <c r="AM11" s="32">
        <f t="shared" si="15"/>
        <v>425509</v>
      </c>
      <c r="AN11" s="32">
        <f t="shared" si="15"/>
        <v>413562</v>
      </c>
      <c r="AO11" s="32">
        <f t="shared" si="15"/>
        <v>375268</v>
      </c>
      <c r="AP11" s="32">
        <f t="shared" si="15"/>
        <v>147208</v>
      </c>
      <c r="AQ11" s="32">
        <f t="shared" si="15"/>
        <v>110349</v>
      </c>
      <c r="AR11" s="32">
        <f t="shared" si="3"/>
        <v>110349</v>
      </c>
      <c r="AS11" s="17"/>
      <c r="AT11" s="32">
        <f t="shared" ref="AT11:BE11" si="16">AT6-AT9</f>
        <v>229228</v>
      </c>
      <c r="AU11" s="32">
        <f t="shared" si="16"/>
        <v>174555</v>
      </c>
      <c r="AV11" s="32">
        <f t="shared" si="16"/>
        <v>203442</v>
      </c>
      <c r="AW11" s="32">
        <f t="shared" si="16"/>
        <v>187515</v>
      </c>
      <c r="AX11" s="32">
        <f t="shared" si="16"/>
        <v>175681</v>
      </c>
      <c r="AY11" s="32">
        <f t="shared" si="16"/>
        <v>180106</v>
      </c>
      <c r="AZ11" s="32">
        <f t="shared" si="16"/>
        <v>257602</v>
      </c>
      <c r="BA11" s="32">
        <f t="shared" si="16"/>
        <v>224176</v>
      </c>
      <c r="BB11" s="32">
        <f t="shared" si="16"/>
        <v>244457</v>
      </c>
      <c r="BC11" s="32">
        <f t="shared" si="16"/>
        <v>226687</v>
      </c>
      <c r="BD11" s="32">
        <f t="shared" si="16"/>
        <v>223462</v>
      </c>
      <c r="BE11" s="32">
        <f t="shared" si="16"/>
        <v>149933</v>
      </c>
      <c r="BF11" s="32">
        <f t="shared" si="5"/>
        <v>149933</v>
      </c>
      <c r="BG11" s="17"/>
      <c r="BH11" s="32">
        <f t="shared" ref="BH11:BQ11" si="17">BH6-BH9</f>
        <v>257881</v>
      </c>
      <c r="BI11" s="32">
        <f t="shared" si="17"/>
        <v>249105</v>
      </c>
      <c r="BJ11" s="32">
        <f t="shared" si="17"/>
        <v>287401</v>
      </c>
      <c r="BK11" s="32">
        <f t="shared" si="17"/>
        <v>222426</v>
      </c>
      <c r="BL11" s="32">
        <f t="shared" si="17"/>
        <v>273265</v>
      </c>
      <c r="BM11" s="32">
        <f t="shared" si="17"/>
        <v>233576</v>
      </c>
      <c r="BN11" s="32">
        <f t="shared" si="17"/>
        <v>251851</v>
      </c>
      <c r="BO11" s="32">
        <f t="shared" si="17"/>
        <v>288520</v>
      </c>
      <c r="BP11" s="32">
        <f t="shared" si="17"/>
        <v>281908</v>
      </c>
      <c r="BQ11" s="32">
        <f t="shared" si="17"/>
        <v>255213</v>
      </c>
      <c r="BR11" s="32">
        <f>BR6-BR9</f>
        <v>203669</v>
      </c>
      <c r="BS11" s="32">
        <f>BS6-BS9</f>
        <v>188982</v>
      </c>
      <c r="BT11" s="32">
        <f>BS11</f>
        <v>188982</v>
      </c>
      <c r="BU11" s="28"/>
      <c r="BV11" s="32">
        <f>BV6-BV9</f>
        <v>242497</v>
      </c>
      <c r="BW11" s="32">
        <f t="shared" ref="BW11:CG11" si="18">BW6-BW9</f>
        <v>224746.16954819704</v>
      </c>
      <c r="BX11" s="32">
        <f t="shared" si="18"/>
        <v>216556</v>
      </c>
      <c r="BY11" s="32">
        <f t="shared" si="18"/>
        <v>247571</v>
      </c>
      <c r="BZ11" s="32">
        <f t="shared" si="18"/>
        <v>270339</v>
      </c>
      <c r="CA11" s="32">
        <f t="shared" si="18"/>
        <v>288846.87089903158</v>
      </c>
      <c r="CB11" s="32">
        <f>CB6-CB9</f>
        <v>295356.74039904925</v>
      </c>
      <c r="CC11" s="32">
        <f t="shared" si="18"/>
        <v>285185.09407500038</v>
      </c>
      <c r="CD11" s="32">
        <f t="shared" si="18"/>
        <v>256285.04330420919</v>
      </c>
      <c r="CE11" s="32">
        <f t="shared" si="18"/>
        <v>239453.37692189249</v>
      </c>
      <c r="CF11" s="32">
        <f t="shared" si="18"/>
        <v>241449.18735348803</v>
      </c>
      <c r="CG11" s="32">
        <f t="shared" si="18"/>
        <v>292757.1886159901</v>
      </c>
      <c r="CH11" s="32">
        <f t="shared" si="8"/>
        <v>292757.1886159901</v>
      </c>
      <c r="CJ11" s="32">
        <v>242497</v>
      </c>
      <c r="CK11" s="32">
        <v>234422.08006563294</v>
      </c>
      <c r="CL11" s="32">
        <v>194348.7132915963</v>
      </c>
      <c r="CM11" s="32">
        <v>223062.99421980139</v>
      </c>
      <c r="CN11" s="32">
        <v>228884.86858944659</v>
      </c>
      <c r="CO11" s="32">
        <v>240669.78918926936</v>
      </c>
      <c r="CP11" s="32">
        <v>234679.65868928705</v>
      </c>
      <c r="CQ11" s="32">
        <v>197008.01236523816</v>
      </c>
      <c r="CR11" s="32">
        <v>148007.96159444697</v>
      </c>
      <c r="CS11" s="32">
        <v>111276.29521213027</v>
      </c>
      <c r="CT11" s="32">
        <v>93072.105643725808</v>
      </c>
      <c r="CU11" s="32">
        <v>116080.10690622788</v>
      </c>
      <c r="CV11" s="32">
        <v>116080.10690622788</v>
      </c>
    </row>
    <row r="12" spans="1:100">
      <c r="A12" s="13" t="s">
        <v>42</v>
      </c>
      <c r="B12" s="259"/>
      <c r="C12" s="260" t="s">
        <v>43</v>
      </c>
      <c r="D12" s="277">
        <f>D7-D9</f>
        <v>162884</v>
      </c>
      <c r="E12" s="33">
        <f t="shared" ref="E12:O12" si="19">E7+E10-E9-E48</f>
        <v>200610</v>
      </c>
      <c r="F12" s="33">
        <f t="shared" si="19"/>
        <v>192475</v>
      </c>
      <c r="G12" s="33">
        <f t="shared" si="19"/>
        <v>231853</v>
      </c>
      <c r="H12" s="33">
        <f t="shared" si="19"/>
        <v>253292</v>
      </c>
      <c r="I12" s="33">
        <f t="shared" si="19"/>
        <v>305688</v>
      </c>
      <c r="J12" s="33">
        <f t="shared" si="19"/>
        <v>355297</v>
      </c>
      <c r="K12" s="33">
        <f t="shared" si="19"/>
        <v>367201</v>
      </c>
      <c r="L12" s="33">
        <f t="shared" si="19"/>
        <v>407523</v>
      </c>
      <c r="M12" s="33">
        <f t="shared" si="19"/>
        <v>297747</v>
      </c>
      <c r="N12" s="33">
        <f t="shared" si="19"/>
        <v>0</v>
      </c>
      <c r="O12" s="33">
        <f t="shared" si="19"/>
        <v>143875</v>
      </c>
      <c r="P12" s="262">
        <f>J12</f>
        <v>355297</v>
      </c>
      <c r="Q12" s="15"/>
      <c r="R12" s="277">
        <f>R7-R9</f>
        <v>172568</v>
      </c>
      <c r="S12" s="14">
        <f t="shared" ref="S12:AC12" si="20">S7+S10-S9-S48</f>
        <v>244205</v>
      </c>
      <c r="T12" s="14">
        <f t="shared" si="20"/>
        <v>237108</v>
      </c>
      <c r="U12" s="14">
        <f t="shared" si="20"/>
        <v>222510</v>
      </c>
      <c r="V12" s="14">
        <f t="shared" si="20"/>
        <v>179647</v>
      </c>
      <c r="W12" s="14">
        <f t="shared" si="20"/>
        <v>289587</v>
      </c>
      <c r="X12" s="14">
        <f t="shared" si="20"/>
        <v>281331</v>
      </c>
      <c r="Y12" s="14">
        <f t="shared" si="20"/>
        <v>325686</v>
      </c>
      <c r="Z12" s="14">
        <f t="shared" si="20"/>
        <v>319329</v>
      </c>
      <c r="AA12" s="14">
        <f t="shared" si="20"/>
        <v>268663</v>
      </c>
      <c r="AB12" s="14">
        <f t="shared" si="20"/>
        <v>187543</v>
      </c>
      <c r="AC12" s="14">
        <f t="shared" si="20"/>
        <v>196995</v>
      </c>
      <c r="AD12" s="263">
        <f>X12</f>
        <v>281331</v>
      </c>
      <c r="AE12" s="16"/>
      <c r="AF12" s="14">
        <f t="shared" ref="AF12:AQ12" si="21">AF7+AF9+AF8</f>
        <v>228387</v>
      </c>
      <c r="AG12" s="14">
        <f t="shared" si="21"/>
        <v>263548</v>
      </c>
      <c r="AH12" s="14">
        <f t="shared" si="21"/>
        <v>366224</v>
      </c>
      <c r="AI12" s="14">
        <f t="shared" si="21"/>
        <v>361348</v>
      </c>
      <c r="AJ12" s="14">
        <f t="shared" si="21"/>
        <v>384008</v>
      </c>
      <c r="AK12" s="14">
        <f t="shared" si="21"/>
        <v>434489</v>
      </c>
      <c r="AL12" s="14">
        <f t="shared" si="21"/>
        <v>436438</v>
      </c>
      <c r="AM12" s="14">
        <f t="shared" si="21"/>
        <v>463198</v>
      </c>
      <c r="AN12" s="14">
        <f t="shared" si="21"/>
        <v>425121</v>
      </c>
      <c r="AO12" s="14">
        <f t="shared" si="21"/>
        <v>355477</v>
      </c>
      <c r="AP12" s="14">
        <f t="shared" si="21"/>
        <v>288104</v>
      </c>
      <c r="AQ12" s="14">
        <f t="shared" si="21"/>
        <v>298855</v>
      </c>
      <c r="AR12" s="14">
        <f t="shared" si="3"/>
        <v>298855</v>
      </c>
      <c r="AS12" s="17"/>
      <c r="AT12" s="14">
        <f t="shared" ref="AT12:BE12" si="22">AT7+AT9+AT8</f>
        <v>326269</v>
      </c>
      <c r="AU12" s="14">
        <f t="shared" si="22"/>
        <v>301870</v>
      </c>
      <c r="AV12" s="14">
        <f t="shared" si="22"/>
        <v>285491</v>
      </c>
      <c r="AW12" s="14">
        <f t="shared" si="22"/>
        <v>267653</v>
      </c>
      <c r="AX12" s="14">
        <f t="shared" si="22"/>
        <v>273960</v>
      </c>
      <c r="AY12" s="14">
        <f t="shared" si="22"/>
        <v>326260</v>
      </c>
      <c r="AZ12" s="14">
        <f t="shared" si="22"/>
        <v>333221</v>
      </c>
      <c r="BA12" s="14">
        <f t="shared" si="22"/>
        <v>354862</v>
      </c>
      <c r="BB12" s="14">
        <f t="shared" si="22"/>
        <v>348162</v>
      </c>
      <c r="BC12" s="14">
        <f t="shared" si="22"/>
        <v>319093</v>
      </c>
      <c r="BD12" s="14">
        <f t="shared" si="22"/>
        <v>293379</v>
      </c>
      <c r="BE12" s="14">
        <f t="shared" si="22"/>
        <v>234110</v>
      </c>
      <c r="BF12" s="32">
        <f t="shared" ref="BF12:BF13" si="23">SUM(AT12:BE12)</f>
        <v>3664330</v>
      </c>
      <c r="BG12" s="17"/>
      <c r="BH12" s="14">
        <f t="shared" ref="BH12:BS12" si="24">BH7+BH9+BH8</f>
        <v>285296</v>
      </c>
      <c r="BI12" s="14">
        <f t="shared" si="24"/>
        <v>282956</v>
      </c>
      <c r="BJ12" s="14">
        <f t="shared" si="24"/>
        <v>295165</v>
      </c>
      <c r="BK12" s="14">
        <f t="shared" si="24"/>
        <v>286135</v>
      </c>
      <c r="BL12" s="14">
        <f t="shared" si="24"/>
        <v>250340</v>
      </c>
      <c r="BM12" s="14">
        <f t="shared" si="24"/>
        <v>247600</v>
      </c>
      <c r="BN12" s="14">
        <f t="shared" si="24"/>
        <v>293505</v>
      </c>
      <c r="BO12" s="14">
        <f t="shared" si="24"/>
        <v>274542</v>
      </c>
      <c r="BP12" s="14">
        <f t="shared" si="24"/>
        <v>260352</v>
      </c>
      <c r="BQ12" s="14">
        <f>BQ7+BQ9+BQ8</f>
        <v>238595</v>
      </c>
      <c r="BR12" s="14">
        <f t="shared" si="24"/>
        <v>187546</v>
      </c>
      <c r="BS12" s="14">
        <f t="shared" si="24"/>
        <v>189617</v>
      </c>
      <c r="BT12" s="14">
        <f t="shared" si="12"/>
        <v>189617</v>
      </c>
      <c r="BU12" s="18"/>
      <c r="BV12" s="14">
        <f t="shared" ref="BV12:CG12" si="25">BV7+BV9+BV8</f>
        <v>224424</v>
      </c>
      <c r="BW12" s="14">
        <f>BW7+BW10+BW8</f>
        <v>278707</v>
      </c>
      <c r="BX12" s="14">
        <f t="shared" si="25"/>
        <v>322706</v>
      </c>
      <c r="BY12" s="14">
        <f t="shared" si="25"/>
        <v>366227</v>
      </c>
      <c r="BZ12" s="14">
        <f t="shared" si="25"/>
        <v>252482</v>
      </c>
      <c r="CA12" s="14">
        <f t="shared" si="25"/>
        <v>228587.47735408001</v>
      </c>
      <c r="CB12" s="14">
        <f t="shared" si="25"/>
        <v>244021.85337909684</v>
      </c>
      <c r="CC12" s="14">
        <f t="shared" si="25"/>
        <v>243608.78937125043</v>
      </c>
      <c r="CD12" s="14">
        <f t="shared" si="25"/>
        <v>225033.7411389988</v>
      </c>
      <c r="CE12" s="14">
        <f t="shared" si="25"/>
        <v>218663.6580757979</v>
      </c>
      <c r="CF12" s="14">
        <f t="shared" si="25"/>
        <v>229069.67798581367</v>
      </c>
      <c r="CG12" s="14">
        <f t="shared" si="25"/>
        <v>284102.27918519068</v>
      </c>
      <c r="CH12" s="14">
        <f t="shared" si="8"/>
        <v>284102.27918519068</v>
      </c>
      <c r="CJ12" s="14">
        <v>224424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</row>
    <row r="13" spans="1:100">
      <c r="A13" s="34" t="s">
        <v>44</v>
      </c>
      <c r="B13" s="278"/>
      <c r="C13" s="445" t="s">
        <v>45</v>
      </c>
      <c r="D13" s="277">
        <f t="shared" ref="D13:O13" si="26">D6-D10-D9</f>
        <v>264261</v>
      </c>
      <c r="E13" s="33">
        <f t="shared" si="26"/>
        <v>275849</v>
      </c>
      <c r="F13" s="33">
        <f t="shared" si="26"/>
        <v>280253</v>
      </c>
      <c r="G13" s="33">
        <f t="shared" si="26"/>
        <v>256146</v>
      </c>
      <c r="H13" s="33">
        <f t="shared" si="26"/>
        <v>282462</v>
      </c>
      <c r="I13" s="33">
        <f t="shared" si="26"/>
        <v>336508</v>
      </c>
      <c r="J13" s="33">
        <f t="shared" si="26"/>
        <v>394861</v>
      </c>
      <c r="K13" s="33">
        <f t="shared" si="26"/>
        <v>399944</v>
      </c>
      <c r="L13" s="33">
        <f t="shared" si="26"/>
        <v>403515</v>
      </c>
      <c r="M13" s="33">
        <f t="shared" si="26"/>
        <v>254037</v>
      </c>
      <c r="N13" s="33">
        <f t="shared" si="26"/>
        <v>0</v>
      </c>
      <c r="O13" s="33">
        <f t="shared" si="26"/>
        <v>188264</v>
      </c>
      <c r="P13" s="262">
        <f t="shared" ref="P13:P14" si="27">O13</f>
        <v>188264</v>
      </c>
      <c r="Q13" s="15"/>
      <c r="R13" s="277">
        <f t="shared" ref="R13:AC13" si="28">R6-R10-R9</f>
        <v>244467</v>
      </c>
      <c r="S13" s="14">
        <f t="shared" si="28"/>
        <v>295020</v>
      </c>
      <c r="T13" s="14">
        <f t="shared" si="28"/>
        <v>254796</v>
      </c>
      <c r="U13" s="14">
        <f t="shared" si="28"/>
        <v>240747</v>
      </c>
      <c r="V13" s="14">
        <f t="shared" si="28"/>
        <v>104747</v>
      </c>
      <c r="W13" s="14">
        <f t="shared" si="28"/>
        <v>162106</v>
      </c>
      <c r="X13" s="14">
        <f t="shared" si="28"/>
        <v>340068</v>
      </c>
      <c r="Y13" s="14">
        <f t="shared" si="28"/>
        <v>322792</v>
      </c>
      <c r="Z13" s="14">
        <f t="shared" si="28"/>
        <v>330677</v>
      </c>
      <c r="AA13" s="14">
        <f t="shared" si="28"/>
        <v>229141</v>
      </c>
      <c r="AB13" s="14">
        <f t="shared" si="28"/>
        <v>126169</v>
      </c>
      <c r="AC13" s="14">
        <f t="shared" si="28"/>
        <v>173047</v>
      </c>
      <c r="AD13" s="263">
        <f t="shared" ref="AD13:AD14" si="29">AC13</f>
        <v>173047</v>
      </c>
      <c r="AE13" s="16"/>
      <c r="AF13" s="261">
        <f t="shared" ref="AF13:AQ13" si="30">AF12-AF9</f>
        <v>220021</v>
      </c>
      <c r="AG13" s="261">
        <f t="shared" si="30"/>
        <v>252014</v>
      </c>
      <c r="AH13" s="261">
        <f t="shared" si="30"/>
        <v>354717</v>
      </c>
      <c r="AI13" s="261">
        <f t="shared" si="30"/>
        <v>352200</v>
      </c>
      <c r="AJ13" s="261">
        <f t="shared" si="30"/>
        <v>375484</v>
      </c>
      <c r="AK13" s="261">
        <f t="shared" si="30"/>
        <v>409199</v>
      </c>
      <c r="AL13" s="261">
        <f t="shared" si="30"/>
        <v>345358</v>
      </c>
      <c r="AM13" s="261">
        <f t="shared" si="30"/>
        <v>396368</v>
      </c>
      <c r="AN13" s="261">
        <f t="shared" si="30"/>
        <v>388255</v>
      </c>
      <c r="AO13" s="261">
        <f t="shared" si="30"/>
        <v>339304</v>
      </c>
      <c r="AP13" s="261">
        <f t="shared" si="30"/>
        <v>109830</v>
      </c>
      <c r="AQ13" s="261">
        <f t="shared" si="30"/>
        <v>88190</v>
      </c>
      <c r="AR13" s="14">
        <f t="shared" si="3"/>
        <v>88190</v>
      </c>
      <c r="AS13" s="17"/>
      <c r="AT13" s="261">
        <f t="shared" ref="AT13:BE13" si="31">AT12-AT9</f>
        <v>205194</v>
      </c>
      <c r="AU13" s="261">
        <f t="shared" si="31"/>
        <v>152494</v>
      </c>
      <c r="AV13" s="261">
        <f t="shared" si="31"/>
        <v>180953</v>
      </c>
      <c r="AW13" s="261">
        <f t="shared" si="31"/>
        <v>162391</v>
      </c>
      <c r="AX13" s="261">
        <f t="shared" si="31"/>
        <v>152887</v>
      </c>
      <c r="AY13" s="261">
        <f t="shared" si="31"/>
        <v>162329</v>
      </c>
      <c r="AZ13" s="261">
        <f t="shared" si="31"/>
        <v>223257</v>
      </c>
      <c r="BA13" s="261">
        <f t="shared" si="31"/>
        <v>206596</v>
      </c>
      <c r="BB13" s="261">
        <f t="shared" si="31"/>
        <v>217465</v>
      </c>
      <c r="BC13" s="261">
        <f t="shared" si="31"/>
        <v>205314</v>
      </c>
      <c r="BD13" s="261">
        <f t="shared" si="31"/>
        <v>202260</v>
      </c>
      <c r="BE13" s="261">
        <f t="shared" si="31"/>
        <v>130824</v>
      </c>
      <c r="BF13" s="32">
        <f t="shared" si="23"/>
        <v>2201964</v>
      </c>
      <c r="BG13" s="35">
        <f>SUM(AT16:AY16)/SUM(AF49:AK49)-1</f>
        <v>0.2283258050797119</v>
      </c>
      <c r="BH13" s="416">
        <f t="shared" ref="BH13:BS13" si="32">BH12-BH9</f>
        <v>235665</v>
      </c>
      <c r="BI13" s="416">
        <f t="shared" si="32"/>
        <v>230003</v>
      </c>
      <c r="BJ13" s="416">
        <f t="shared" si="32"/>
        <v>266725</v>
      </c>
      <c r="BK13" s="416">
        <f t="shared" si="32"/>
        <v>202534</v>
      </c>
      <c r="BL13" s="417">
        <f t="shared" si="32"/>
        <v>224528</v>
      </c>
      <c r="BM13" s="417">
        <f t="shared" si="32"/>
        <v>188055</v>
      </c>
      <c r="BN13" s="417">
        <f t="shared" si="32"/>
        <v>210070</v>
      </c>
      <c r="BO13" s="417">
        <f t="shared" si="32"/>
        <v>240501</v>
      </c>
      <c r="BP13" s="417">
        <f t="shared" si="32"/>
        <v>237953</v>
      </c>
      <c r="BQ13" s="417">
        <f t="shared" si="32"/>
        <v>213708</v>
      </c>
      <c r="BR13" s="417">
        <f t="shared" si="32"/>
        <v>175363</v>
      </c>
      <c r="BS13" s="417">
        <f t="shared" si="32"/>
        <v>177434</v>
      </c>
      <c r="BT13" s="417">
        <f t="shared" si="12"/>
        <v>177434</v>
      </c>
      <c r="BU13" s="18"/>
      <c r="BV13" s="261">
        <f t="shared" ref="BV13:CG13" si="33">BV12-BV9</f>
        <v>219208</v>
      </c>
      <c r="BW13" s="261">
        <f t="shared" si="33"/>
        <v>278707</v>
      </c>
      <c r="BX13" s="261">
        <f t="shared" si="33"/>
        <v>257433</v>
      </c>
      <c r="BY13" s="416">
        <f t="shared" si="33"/>
        <v>296045</v>
      </c>
      <c r="BZ13" s="417">
        <f t="shared" si="33"/>
        <v>252482</v>
      </c>
      <c r="CA13" s="417">
        <f t="shared" si="33"/>
        <v>228587.47735408001</v>
      </c>
      <c r="CB13" s="417">
        <f t="shared" si="33"/>
        <v>244021.85337909684</v>
      </c>
      <c r="CC13" s="417">
        <f t="shared" si="33"/>
        <v>243608.78937125043</v>
      </c>
      <c r="CD13" s="417">
        <f t="shared" si="33"/>
        <v>225033.7411389988</v>
      </c>
      <c r="CE13" s="417">
        <f t="shared" si="33"/>
        <v>218663.6580757979</v>
      </c>
      <c r="CF13" s="417">
        <f t="shared" si="33"/>
        <v>229069.67798581367</v>
      </c>
      <c r="CG13" s="417">
        <f t="shared" si="33"/>
        <v>284102.27918519068</v>
      </c>
      <c r="CH13" s="417">
        <f t="shared" si="8"/>
        <v>284102.27918519068</v>
      </c>
      <c r="CJ13" s="261">
        <v>219208</v>
      </c>
      <c r="CK13" s="261">
        <v>0</v>
      </c>
      <c r="CL13" s="261">
        <v>0</v>
      </c>
      <c r="CM13" s="416">
        <v>0</v>
      </c>
      <c r="CN13" s="417">
        <v>0</v>
      </c>
      <c r="CO13" s="417">
        <v>0</v>
      </c>
      <c r="CP13" s="417">
        <v>0</v>
      </c>
      <c r="CQ13" s="417">
        <v>0</v>
      </c>
      <c r="CR13" s="417">
        <v>0</v>
      </c>
      <c r="CS13" s="417">
        <v>0</v>
      </c>
      <c r="CT13" s="417">
        <v>0</v>
      </c>
      <c r="CU13" s="417">
        <v>0</v>
      </c>
      <c r="CV13" s="417">
        <v>0</v>
      </c>
    </row>
    <row r="14" spans="1:100" ht="15.75">
      <c r="A14" s="447" t="s">
        <v>46</v>
      </c>
      <c r="B14" s="448"/>
      <c r="C14" s="449" t="s">
        <v>47</v>
      </c>
      <c r="D14" s="281">
        <f t="shared" ref="D14:O14" si="34">D6</f>
        <v>304786</v>
      </c>
      <c r="E14" s="37">
        <f t="shared" si="34"/>
        <v>311986</v>
      </c>
      <c r="F14" s="37">
        <f t="shared" si="34"/>
        <v>328231</v>
      </c>
      <c r="G14" s="37">
        <f t="shared" si="34"/>
        <v>317873</v>
      </c>
      <c r="H14" s="37">
        <f t="shared" si="34"/>
        <v>347196</v>
      </c>
      <c r="I14" s="37">
        <f t="shared" si="34"/>
        <v>402253</v>
      </c>
      <c r="J14" s="37">
        <f t="shared" si="34"/>
        <v>454488</v>
      </c>
      <c r="K14" s="37">
        <f t="shared" si="34"/>
        <v>447182</v>
      </c>
      <c r="L14" s="37">
        <f t="shared" si="34"/>
        <v>416931</v>
      </c>
      <c r="M14" s="37">
        <f t="shared" si="34"/>
        <v>304402</v>
      </c>
      <c r="N14" s="37">
        <f t="shared" si="34"/>
        <v>0</v>
      </c>
      <c r="O14" s="37">
        <f t="shared" si="34"/>
        <v>188264</v>
      </c>
      <c r="P14" s="38">
        <f t="shared" si="27"/>
        <v>188264</v>
      </c>
      <c r="Q14" s="39"/>
      <c r="R14" s="40">
        <f t="shared" ref="R14:AC14" si="35">R6</f>
        <v>283359</v>
      </c>
      <c r="S14" s="41">
        <f t="shared" si="35"/>
        <v>342718</v>
      </c>
      <c r="T14" s="41">
        <f t="shared" si="35"/>
        <v>313212</v>
      </c>
      <c r="U14" s="41">
        <f t="shared" si="35"/>
        <v>298093</v>
      </c>
      <c r="V14" s="41">
        <f t="shared" si="35"/>
        <v>206617</v>
      </c>
      <c r="W14" s="41">
        <f t="shared" si="35"/>
        <v>235875</v>
      </c>
      <c r="X14" s="41">
        <f t="shared" si="35"/>
        <v>360135</v>
      </c>
      <c r="Y14" s="41">
        <f t="shared" si="35"/>
        <v>361665</v>
      </c>
      <c r="Z14" s="41">
        <f t="shared" si="35"/>
        <v>353400</v>
      </c>
      <c r="AA14" s="41">
        <f t="shared" si="35"/>
        <v>272097</v>
      </c>
      <c r="AB14" s="41">
        <f t="shared" si="35"/>
        <v>170626</v>
      </c>
      <c r="AC14" s="41">
        <f t="shared" si="35"/>
        <v>197551</v>
      </c>
      <c r="AD14" s="229">
        <f t="shared" si="29"/>
        <v>197551</v>
      </c>
      <c r="AE14" s="42"/>
      <c r="AF14" s="41">
        <f>AF6-AF48</f>
        <v>246973</v>
      </c>
      <c r="AG14" s="41">
        <f t="shared" ref="AG14:AQ14" si="36">AG6-AG48</f>
        <v>281087</v>
      </c>
      <c r="AH14" s="41">
        <f t="shared" si="36"/>
        <v>386469</v>
      </c>
      <c r="AI14" s="41">
        <f t="shared" si="36"/>
        <v>379017</v>
      </c>
      <c r="AJ14" s="41">
        <f t="shared" si="36"/>
        <v>400777</v>
      </c>
      <c r="AK14" s="41">
        <f t="shared" si="36"/>
        <v>465623</v>
      </c>
      <c r="AL14" s="41">
        <f t="shared" si="36"/>
        <v>472149</v>
      </c>
      <c r="AM14" s="41">
        <f t="shared" si="36"/>
        <v>492339</v>
      </c>
      <c r="AN14" s="41">
        <f t="shared" si="36"/>
        <v>450428</v>
      </c>
      <c r="AO14" s="41">
        <f t="shared" si="36"/>
        <v>391441</v>
      </c>
      <c r="AP14" s="41">
        <f t="shared" si="36"/>
        <v>325482</v>
      </c>
      <c r="AQ14" s="41">
        <f t="shared" si="36"/>
        <v>312076</v>
      </c>
      <c r="AR14" s="41">
        <f t="shared" si="3"/>
        <v>312076</v>
      </c>
      <c r="AS14" s="42"/>
      <c r="AT14" s="41">
        <f t="shared" ref="AT14:BB14" si="37">AT6-AT48</f>
        <v>243661</v>
      </c>
      <c r="AU14" s="41">
        <f t="shared" si="37"/>
        <v>233232</v>
      </c>
      <c r="AV14" s="41">
        <f t="shared" si="37"/>
        <v>218299</v>
      </c>
      <c r="AW14" s="41">
        <f t="shared" si="37"/>
        <v>233987</v>
      </c>
      <c r="AX14" s="41">
        <f t="shared" si="37"/>
        <v>261234</v>
      </c>
      <c r="AY14" s="41">
        <f t="shared" si="37"/>
        <v>282486</v>
      </c>
      <c r="AZ14" s="41">
        <f t="shared" si="37"/>
        <v>296055</v>
      </c>
      <c r="BA14" s="41">
        <f t="shared" si="37"/>
        <v>308825</v>
      </c>
      <c r="BB14" s="41">
        <f t="shared" si="37"/>
        <v>308406</v>
      </c>
      <c r="BC14" s="41">
        <f>BB14-BC16+BC59-BC48</f>
        <v>137005.70924434217</v>
      </c>
      <c r="BD14" s="41">
        <f>BC14-BD16+BD59-BD48</f>
        <v>94095.12236286921</v>
      </c>
      <c r="BE14" s="41">
        <f>BD14-BE16+BE59-BE48</f>
        <v>78605.509397775226</v>
      </c>
      <c r="BF14" s="41">
        <f>BE14</f>
        <v>78605.509397775226</v>
      </c>
      <c r="BG14" s="43">
        <f>BG16/AR16</f>
        <v>7.0333736034655189E-2</v>
      </c>
      <c r="BH14" s="41">
        <f t="shared" ref="BH14:BS14" si="38">BH6-BH48</f>
        <v>238108</v>
      </c>
      <c r="BI14" s="41">
        <f t="shared" si="38"/>
        <v>221646</v>
      </c>
      <c r="BJ14" s="41">
        <f t="shared" si="38"/>
        <v>221455</v>
      </c>
      <c r="BK14" s="41">
        <f t="shared" si="38"/>
        <v>227714</v>
      </c>
      <c r="BL14" s="41">
        <f t="shared" si="38"/>
        <v>252043</v>
      </c>
      <c r="BM14" s="41">
        <f t="shared" si="38"/>
        <v>242270</v>
      </c>
      <c r="BN14" s="41">
        <f t="shared" si="38"/>
        <v>242084</v>
      </c>
      <c r="BO14" s="41">
        <f t="shared" si="38"/>
        <v>221874</v>
      </c>
      <c r="BP14" s="41">
        <f t="shared" si="38"/>
        <v>176312</v>
      </c>
      <c r="BQ14" s="41">
        <f t="shared" si="38"/>
        <v>157414</v>
      </c>
      <c r="BR14" s="41">
        <f t="shared" si="38"/>
        <v>215852</v>
      </c>
      <c r="BS14" s="41">
        <f t="shared" si="38"/>
        <v>201165</v>
      </c>
      <c r="BT14" s="41">
        <f t="shared" si="12"/>
        <v>201165</v>
      </c>
      <c r="BU14" s="45"/>
      <c r="BV14" s="41">
        <f t="shared" ref="BV14:CG14" si="39">BV6-BV48</f>
        <v>247713</v>
      </c>
      <c r="BW14" s="41">
        <f t="shared" si="39"/>
        <v>224746.16954819704</v>
      </c>
      <c r="BX14" s="41">
        <f t="shared" si="39"/>
        <v>281829</v>
      </c>
      <c r="BY14" s="41">
        <f t="shared" si="39"/>
        <v>317753</v>
      </c>
      <c r="BZ14" s="41">
        <f t="shared" si="39"/>
        <v>270339</v>
      </c>
      <c r="CA14" s="41">
        <f t="shared" si="39"/>
        <v>288846.87089903158</v>
      </c>
      <c r="CB14" s="41">
        <f t="shared" si="39"/>
        <v>295356.74039904925</v>
      </c>
      <c r="CC14" s="41">
        <f t="shared" si="39"/>
        <v>285185.09407500038</v>
      </c>
      <c r="CD14" s="41">
        <f t="shared" si="39"/>
        <v>256285.04330420919</v>
      </c>
      <c r="CE14" s="41">
        <f t="shared" si="39"/>
        <v>239453.37692189249</v>
      </c>
      <c r="CF14" s="41">
        <f t="shared" si="39"/>
        <v>241449.18735348803</v>
      </c>
      <c r="CG14" s="41">
        <f t="shared" si="39"/>
        <v>292757.1886159901</v>
      </c>
      <c r="CH14" s="41">
        <f t="shared" si="8"/>
        <v>292757.1886159901</v>
      </c>
      <c r="CJ14" s="41">
        <v>247713</v>
      </c>
      <c r="CK14" s="41">
        <v>234422.08006563294</v>
      </c>
      <c r="CL14" s="41">
        <v>194348.7132915963</v>
      </c>
      <c r="CM14" s="41">
        <v>223062.99421980139</v>
      </c>
      <c r="CN14" s="41">
        <v>228884.86858944659</v>
      </c>
      <c r="CO14" s="41">
        <v>240669.78918926936</v>
      </c>
      <c r="CP14" s="41">
        <v>234679.65868928705</v>
      </c>
      <c r="CQ14" s="41">
        <v>197008.01236523816</v>
      </c>
      <c r="CR14" s="41">
        <v>148007.96159444697</v>
      </c>
      <c r="CS14" s="41">
        <v>111276.29521213027</v>
      </c>
      <c r="CT14" s="41">
        <v>93072.105643725808</v>
      </c>
      <c r="CU14" s="41">
        <v>116080.10690622788</v>
      </c>
      <c r="CV14" s="41">
        <v>116080.10690622788</v>
      </c>
    </row>
    <row r="15" spans="1:100">
      <c r="A15" s="46"/>
      <c r="B15" s="47" t="s">
        <v>48</v>
      </c>
      <c r="C15" s="446"/>
      <c r="D15" s="283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284"/>
      <c r="Q15" s="49"/>
      <c r="R15" s="283"/>
      <c r="S15" s="50"/>
      <c r="T15" s="50"/>
      <c r="U15" s="50"/>
      <c r="V15" s="51"/>
      <c r="W15" s="51"/>
      <c r="X15" s="51"/>
      <c r="Y15" s="51"/>
      <c r="Z15" s="51"/>
      <c r="AA15" s="51"/>
      <c r="AB15" s="51"/>
      <c r="AC15" s="50"/>
      <c r="AD15" s="285"/>
      <c r="AE15" s="23"/>
      <c r="AF15" s="286">
        <f t="shared" ref="AF15:AP15" si="40">AF6/AG16</f>
        <v>1.3876680694696506</v>
      </c>
      <c r="AG15" s="286">
        <f t="shared" si="40"/>
        <v>3.8178718896012169</v>
      </c>
      <c r="AH15" s="286">
        <f t="shared" si="40"/>
        <v>4.3249513194118041</v>
      </c>
      <c r="AI15" s="286">
        <f t="shared" si="40"/>
        <v>3.1032881916583426</v>
      </c>
      <c r="AJ15" s="286">
        <f t="shared" si="40"/>
        <v>2.6977450188476038</v>
      </c>
      <c r="AK15" s="286">
        <f t="shared" si="40"/>
        <v>3.0634099805914667</v>
      </c>
      <c r="AL15" s="286">
        <f t="shared" si="40"/>
        <v>1.9763209336006664</v>
      </c>
      <c r="AM15" s="286">
        <f t="shared" si="40"/>
        <v>1.8853931580291039</v>
      </c>
      <c r="AN15" s="286">
        <f t="shared" si="40"/>
        <v>1.7601719421649082</v>
      </c>
      <c r="AO15" s="286">
        <f t="shared" si="40"/>
        <v>3.0429182213930348</v>
      </c>
      <c r="AP15" s="286">
        <f t="shared" si="40"/>
        <v>3.3266762060506951</v>
      </c>
      <c r="AQ15" s="286">
        <f>AQ6/AT16</f>
        <v>2.1015749668165311</v>
      </c>
      <c r="AR15" s="287">
        <f>AQ15</f>
        <v>2.1015749668165311</v>
      </c>
      <c r="AS15" s="23"/>
      <c r="AT15" s="286">
        <f>AT6/AU16</f>
        <v>2.078676878772272</v>
      </c>
      <c r="AU15" s="286">
        <f>AU6/AV16</f>
        <v>2.1017947592948043</v>
      </c>
      <c r="AV15" s="286">
        <f>AV6/AW16</f>
        <v>1.9297580364452378</v>
      </c>
      <c r="AW15" s="286">
        <f>AW6/AX16</f>
        <v>2.4377775525503322</v>
      </c>
      <c r="AX15" s="286">
        <f>AX6/AY16</f>
        <v>2.1450476831468146</v>
      </c>
      <c r="AY15" s="286">
        <f t="shared" ref="AY15:BD15" si="41">AY6/(AZ45+AZ44)</f>
        <v>2.0572684326974824</v>
      </c>
      <c r="AZ15" s="286">
        <f t="shared" si="41"/>
        <v>1.3749564207725904</v>
      </c>
      <c r="BA15" s="286">
        <f t="shared" si="41"/>
        <v>1.7107133445873244</v>
      </c>
      <c r="BB15" s="286">
        <f t="shared" si="41"/>
        <v>1.5052991529201962</v>
      </c>
      <c r="BC15" s="286">
        <f t="shared" si="41"/>
        <v>2.204984888462461</v>
      </c>
      <c r="BD15" s="286">
        <f t="shared" si="41"/>
        <v>4.1558308053625606</v>
      </c>
      <c r="BE15" s="286">
        <f>BE6/BH16</f>
        <v>1.6577023037190759</v>
      </c>
      <c r="BF15" s="52"/>
      <c r="BG15" s="27"/>
      <c r="BH15" s="418">
        <f t="shared" ref="BH15:BN15" si="42">BH6/BI16</f>
        <v>2.0944497544651477</v>
      </c>
      <c r="BI15" s="418">
        <f t="shared" si="42"/>
        <v>1.7607980924679776</v>
      </c>
      <c r="BJ15" s="418">
        <f t="shared" si="42"/>
        <v>1.9768264308549444</v>
      </c>
      <c r="BK15" s="418">
        <f t="shared" si="42"/>
        <v>2.3096926132416842</v>
      </c>
      <c r="BL15" s="418">
        <f t="shared" si="42"/>
        <v>2.3022524219030873</v>
      </c>
      <c r="BM15" s="418">
        <f t="shared" si="42"/>
        <v>1.710321617787782</v>
      </c>
      <c r="BN15" s="418">
        <f t="shared" si="42"/>
        <v>1.8673644886033884</v>
      </c>
      <c r="BO15" s="419"/>
      <c r="BP15" s="419"/>
      <c r="BQ15" s="419"/>
      <c r="BR15" s="419"/>
      <c r="BS15" s="419"/>
      <c r="BT15" s="419"/>
      <c r="BU15" s="54"/>
      <c r="BV15" s="286">
        <v>0</v>
      </c>
      <c r="BW15" s="286">
        <v>0</v>
      </c>
      <c r="BX15" s="286">
        <v>0</v>
      </c>
      <c r="BY15" s="418">
        <v>0</v>
      </c>
      <c r="BZ15" s="418">
        <v>0</v>
      </c>
      <c r="CA15" s="418">
        <v>0</v>
      </c>
      <c r="CB15" s="418">
        <v>0</v>
      </c>
      <c r="CC15" s="418">
        <v>0</v>
      </c>
      <c r="CD15" s="418">
        <v>0</v>
      </c>
      <c r="CE15" s="418">
        <v>0</v>
      </c>
      <c r="CF15" s="418">
        <v>0</v>
      </c>
      <c r="CG15" s="419"/>
      <c r="CH15" s="419"/>
      <c r="CJ15" s="286">
        <v>0</v>
      </c>
      <c r="CK15" s="286">
        <v>0</v>
      </c>
      <c r="CL15" s="286">
        <v>0</v>
      </c>
      <c r="CM15" s="418">
        <v>0</v>
      </c>
      <c r="CN15" s="418">
        <v>0</v>
      </c>
      <c r="CO15" s="418">
        <v>0</v>
      </c>
      <c r="CP15" s="418">
        <v>0</v>
      </c>
      <c r="CQ15" s="418">
        <v>0</v>
      </c>
      <c r="CR15" s="418">
        <v>0</v>
      </c>
      <c r="CS15" s="418">
        <v>0</v>
      </c>
      <c r="CT15" s="418">
        <v>0</v>
      </c>
      <c r="CU15" s="419"/>
      <c r="CV15" s="419"/>
    </row>
    <row r="16" spans="1:100" ht="15.75">
      <c r="A16" s="55">
        <v>6</v>
      </c>
      <c r="B16" s="56" t="s">
        <v>49</v>
      </c>
      <c r="C16" s="280"/>
      <c r="D16" s="288">
        <f t="shared" ref="D16:P16" si="43">SUM(D20:D42)</f>
        <v>82250</v>
      </c>
      <c r="E16" s="57">
        <f t="shared" si="43"/>
        <v>117000</v>
      </c>
      <c r="F16" s="57">
        <f t="shared" si="43"/>
        <v>121750</v>
      </c>
      <c r="G16" s="57">
        <f t="shared" si="43"/>
        <v>150000</v>
      </c>
      <c r="H16" s="57">
        <f t="shared" si="43"/>
        <v>99500</v>
      </c>
      <c r="I16" s="57">
        <f t="shared" si="43"/>
        <v>102000</v>
      </c>
      <c r="J16" s="57">
        <f t="shared" si="43"/>
        <v>177632</v>
      </c>
      <c r="K16" s="57">
        <f t="shared" si="43"/>
        <v>178158</v>
      </c>
      <c r="L16" s="57">
        <f t="shared" si="43"/>
        <v>199211</v>
      </c>
      <c r="M16" s="57">
        <f t="shared" si="43"/>
        <v>229474</v>
      </c>
      <c r="N16" s="57">
        <f t="shared" si="43"/>
        <v>122368</v>
      </c>
      <c r="O16" s="57">
        <f t="shared" si="43"/>
        <v>38421</v>
      </c>
      <c r="P16" s="289">
        <f t="shared" si="43"/>
        <v>1617764</v>
      </c>
      <c r="Q16" s="39"/>
      <c r="R16" s="288">
        <f t="shared" ref="R16:AC16" si="44">R20+R43</f>
        <v>136177.33998294926</v>
      </c>
      <c r="S16" s="58">
        <f t="shared" si="44"/>
        <v>143840.32639116928</v>
      </c>
      <c r="T16" s="58">
        <f t="shared" si="44"/>
        <v>142553.77192982455</v>
      </c>
      <c r="U16" s="58">
        <f t="shared" si="44"/>
        <v>19814.899999999998</v>
      </c>
      <c r="V16" s="58">
        <f t="shared" si="44"/>
        <v>52085</v>
      </c>
      <c r="W16" s="290">
        <f t="shared" si="44"/>
        <v>70169.381950239796</v>
      </c>
      <c r="X16" s="290">
        <f t="shared" si="44"/>
        <v>144463.33333333299</v>
      </c>
      <c r="Y16" s="290">
        <f t="shared" si="44"/>
        <v>226547.08333333331</v>
      </c>
      <c r="Z16" s="290">
        <f t="shared" si="44"/>
        <v>273187.5</v>
      </c>
      <c r="AA16" s="290">
        <f t="shared" si="44"/>
        <v>172100</v>
      </c>
      <c r="AB16" s="290">
        <f t="shared" si="44"/>
        <v>37500</v>
      </c>
      <c r="AC16" s="290">
        <f t="shared" si="44"/>
        <v>0</v>
      </c>
      <c r="AD16" s="291">
        <f>SUM(R16:AC16)</f>
        <v>1418438.6369208493</v>
      </c>
      <c r="AE16" s="59"/>
      <c r="AF16" s="292">
        <f>AF20+AF43</f>
        <v>128646</v>
      </c>
      <c r="AG16" s="58">
        <f t="shared" ref="AG16:AQ16" si="45">AG20+AG43</f>
        <v>177977</v>
      </c>
      <c r="AH16" s="58">
        <f t="shared" si="45"/>
        <v>73624</v>
      </c>
      <c r="AI16" s="58">
        <f t="shared" si="45"/>
        <v>89358</v>
      </c>
      <c r="AJ16" s="58">
        <f t="shared" si="45"/>
        <v>122134</v>
      </c>
      <c r="AK16" s="58">
        <f t="shared" si="45"/>
        <v>148560</v>
      </c>
      <c r="AL16" s="58">
        <f t="shared" si="45"/>
        <v>151995</v>
      </c>
      <c r="AM16" s="58">
        <f t="shared" si="45"/>
        <v>238903</v>
      </c>
      <c r="AN16" s="58">
        <f t="shared" si="45"/>
        <v>261133.33333333334</v>
      </c>
      <c r="AO16" s="58">
        <f t="shared" si="45"/>
        <v>255900</v>
      </c>
      <c r="AP16" s="58">
        <f t="shared" si="45"/>
        <v>128640</v>
      </c>
      <c r="AQ16" s="58">
        <f t="shared" si="45"/>
        <v>97840</v>
      </c>
      <c r="AR16" s="58">
        <f>SUM(AF16:AQ16)</f>
        <v>1874710.3333333333</v>
      </c>
      <c r="AS16" s="59"/>
      <c r="AT16" s="58">
        <f t="shared" ref="AT16:BD16" si="46">AT20+AT43</f>
        <v>152749.25</v>
      </c>
      <c r="AU16" s="58">
        <f t="shared" si="46"/>
        <v>168522.10344827586</v>
      </c>
      <c r="AV16" s="58">
        <f t="shared" si="46"/>
        <v>154121.13793103449</v>
      </c>
      <c r="AW16" s="58">
        <f t="shared" si="46"/>
        <v>159595.13793103449</v>
      </c>
      <c r="AX16" s="58">
        <f t="shared" si="46"/>
        <v>120099.96551724138</v>
      </c>
      <c r="AY16" s="58">
        <f t="shared" si="46"/>
        <v>138343.77777777778</v>
      </c>
      <c r="AZ16" s="58">
        <f t="shared" si="46"/>
        <v>166673.77777777778</v>
      </c>
      <c r="BA16" s="58">
        <f t="shared" si="46"/>
        <v>242442.29629629629</v>
      </c>
      <c r="BB16" s="58">
        <f t="shared" si="46"/>
        <v>243407.77777777778</v>
      </c>
      <c r="BC16" s="58">
        <f t="shared" si="46"/>
        <v>253368.29075565783</v>
      </c>
      <c r="BD16" s="58">
        <f t="shared" si="46"/>
        <v>134555.58688147296</v>
      </c>
      <c r="BE16" s="58">
        <f>BE20+BE44</f>
        <v>72686.612965093984</v>
      </c>
      <c r="BF16" s="58">
        <f t="shared" ref="BF16:BF18" si="47">SUM(AT16:BE16)</f>
        <v>2006565.7150594404</v>
      </c>
      <c r="BG16" s="59">
        <f>BF16-AR16</f>
        <v>131855.38172610709</v>
      </c>
      <c r="BH16" s="58">
        <f>BH17+BH43</f>
        <v>152753</v>
      </c>
      <c r="BI16" s="58">
        <f t="shared" ref="BI16:BN16" si="48">BI17+BI43</f>
        <v>146822.33333333331</v>
      </c>
      <c r="BJ16" s="58">
        <f t="shared" si="48"/>
        <v>171546.07407407407</v>
      </c>
      <c r="BK16" s="58">
        <f t="shared" si="48"/>
        <v>159771.74074074073</v>
      </c>
      <c r="BL16" s="58">
        <f t="shared" si="48"/>
        <v>132496.85185185185</v>
      </c>
      <c r="BM16" s="58">
        <f t="shared" si="48"/>
        <v>129906.25925925926</v>
      </c>
      <c r="BN16" s="58">
        <f t="shared" si="48"/>
        <v>171383.55555555556</v>
      </c>
      <c r="BO16" s="58">
        <f>BO17+BO44</f>
        <v>179550.37811111109</v>
      </c>
      <c r="BP16" s="58">
        <f>BP17+BP44</f>
        <v>202053.74953703705</v>
      </c>
      <c r="BQ16" s="58">
        <f>BQ17+BQ44</f>
        <v>163865</v>
      </c>
      <c r="BR16" s="58">
        <f>BR17+BR44</f>
        <v>175620.6</v>
      </c>
      <c r="BS16" s="58">
        <v>92285.6</v>
      </c>
      <c r="BT16" s="58">
        <f t="shared" ref="BT16:BT18" si="49">SUM(BH16:BS16)</f>
        <v>1878055.142462963</v>
      </c>
      <c r="BU16" s="60"/>
      <c r="BV16" s="58">
        <f>BV20+(BV44)*$CI$16</f>
        <v>161157.867486095</v>
      </c>
      <c r="BW16" s="58">
        <f t="shared" ref="BW16:CG16" si="50">BW20+(BW44)*$CI$16</f>
        <v>155966.83045180296</v>
      </c>
      <c r="BX16" s="58">
        <f>BX20+(BX44)*$CI$16</f>
        <v>196111.53846153844</v>
      </c>
      <c r="BY16" s="58">
        <f t="shared" si="50"/>
        <v>159169.23076923078</v>
      </c>
      <c r="BZ16" s="58">
        <f t="shared" si="50"/>
        <v>151482.39341785663</v>
      </c>
      <c r="CA16" s="58">
        <f t="shared" si="50"/>
        <v>144292.12910096842</v>
      </c>
      <c r="CB16" s="58">
        <f>CB20+(CB44)*$CI$16</f>
        <v>178490.1304999823</v>
      </c>
      <c r="CC16" s="58">
        <f t="shared" si="50"/>
        <v>195171.64632404887</v>
      </c>
      <c r="CD16" s="58">
        <f t="shared" si="50"/>
        <v>206500.05077079119</v>
      </c>
      <c r="CE16" s="58">
        <f t="shared" si="50"/>
        <v>209231.6663823167</v>
      </c>
      <c r="CF16" s="58">
        <f t="shared" si="50"/>
        <v>168204.18956840446</v>
      </c>
      <c r="CG16" s="58">
        <f t="shared" si="50"/>
        <v>74491.998737497925</v>
      </c>
      <c r="CH16" s="58">
        <f t="shared" ref="CH16:CH17" si="51">SUM(BV16:CG16)</f>
        <v>2000269.6719705339</v>
      </c>
      <c r="CI16" s="594">
        <v>0.95</v>
      </c>
      <c r="CJ16" s="58">
        <f>BV16*1.05</f>
        <v>169215.76086039975</v>
      </c>
      <c r="CK16" s="58">
        <f t="shared" ref="CK16:CU16" si="52">BW16*1.05</f>
        <v>163765.1719743931</v>
      </c>
      <c r="CL16" s="58">
        <f t="shared" si="52"/>
        <v>205917.11538461538</v>
      </c>
      <c r="CM16" s="58">
        <f t="shared" si="52"/>
        <v>167127.69230769231</v>
      </c>
      <c r="CN16" s="58">
        <f t="shared" si="52"/>
        <v>159056.51308874946</v>
      </c>
      <c r="CO16" s="58">
        <f t="shared" si="52"/>
        <v>151506.73555601685</v>
      </c>
      <c r="CP16" s="58">
        <f t="shared" si="52"/>
        <v>187414.63702498144</v>
      </c>
      <c r="CQ16" s="58">
        <f t="shared" si="52"/>
        <v>204930.22864025133</v>
      </c>
      <c r="CR16" s="58">
        <f t="shared" si="52"/>
        <v>216825.05330933075</v>
      </c>
      <c r="CS16" s="58">
        <f t="shared" si="52"/>
        <v>219693.24970143253</v>
      </c>
      <c r="CT16" s="58">
        <f t="shared" si="52"/>
        <v>176614.39904682469</v>
      </c>
      <c r="CU16" s="58">
        <f t="shared" si="52"/>
        <v>78216.598674372828</v>
      </c>
      <c r="CV16" s="58">
        <v>1957097.174059076</v>
      </c>
    </row>
    <row r="17" spans="1:100">
      <c r="A17" s="61"/>
      <c r="B17" s="62" t="s">
        <v>51</v>
      </c>
      <c r="C17" s="293"/>
      <c r="D17" s="294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295"/>
      <c r="Q17" s="64"/>
      <c r="R17" s="294"/>
      <c r="S17" s="65"/>
      <c r="T17" s="65"/>
      <c r="U17" s="65"/>
      <c r="V17" s="296"/>
      <c r="W17" s="297"/>
      <c r="X17" s="297"/>
      <c r="Y17" s="297"/>
      <c r="Z17" s="297"/>
      <c r="AA17" s="297"/>
      <c r="AB17" s="297"/>
      <c r="AC17" s="66"/>
      <c r="AD17" s="67"/>
      <c r="AE17" s="68"/>
      <c r="AF17" s="298"/>
      <c r="AG17" s="65"/>
      <c r="AH17" s="65"/>
      <c r="AI17" s="65"/>
      <c r="AJ17" s="296"/>
      <c r="AK17" s="296"/>
      <c r="AL17" s="296"/>
      <c r="AM17" s="296"/>
      <c r="AN17" s="65"/>
      <c r="AO17" s="65"/>
      <c r="AP17" s="65"/>
      <c r="AQ17" s="65"/>
      <c r="AR17" s="299"/>
      <c r="AS17" s="68"/>
      <c r="AT17" s="65"/>
      <c r="AU17" s="65"/>
      <c r="AV17" s="65"/>
      <c r="AW17" s="65"/>
      <c r="AX17" s="65"/>
      <c r="AY17" s="69">
        <f t="shared" ref="AY17:BA17" si="53">AY20+AY44</f>
        <v>119777.77777777778</v>
      </c>
      <c r="AZ17" s="69">
        <f t="shared" si="53"/>
        <v>150777.77777777778</v>
      </c>
      <c r="BA17" s="69">
        <f t="shared" si="53"/>
        <v>233098.4962962963</v>
      </c>
      <c r="BB17" s="69">
        <f>BB18/BB19</f>
        <v>210777.77777777778</v>
      </c>
      <c r="BC17" s="69">
        <f>BC20+BC44</f>
        <v>249806.29075565783</v>
      </c>
      <c r="BD17" s="69">
        <f t="shared" ref="BD17:BE17" si="54">BD20+BD44*0.85</f>
        <v>122960.58688147296</v>
      </c>
      <c r="BE17" s="69">
        <f t="shared" si="54"/>
        <v>66386.612965093984</v>
      </c>
      <c r="BF17" s="69">
        <f t="shared" si="47"/>
        <v>1153585.3202318544</v>
      </c>
      <c r="BG17" s="68"/>
      <c r="BH17" s="69">
        <f>BH18/BH19-0.1*BH18/BH19</f>
        <v>116600</v>
      </c>
      <c r="BI17" s="69">
        <f t="shared" ref="BI17" si="55">BI18/BI19-0.1*BI18/BI19</f>
        <v>111533.33333333333</v>
      </c>
      <c r="BJ17" s="69">
        <f t="shared" ref="BJ17:BP17" si="56">BJ18/BJ19-0.05*BJ18/BJ19</f>
        <v>135674.07407407407</v>
      </c>
      <c r="BK17" s="69">
        <f t="shared" si="56"/>
        <v>121740.74074074074</v>
      </c>
      <c r="BL17" s="69">
        <f t="shared" si="56"/>
        <v>93926.851851851854</v>
      </c>
      <c r="BM17" s="69">
        <f t="shared" si="56"/>
        <v>90679.259259259255</v>
      </c>
      <c r="BN17" s="69">
        <f t="shared" si="56"/>
        <v>130255.55555555556</v>
      </c>
      <c r="BO17" s="69">
        <f t="shared" si="56"/>
        <v>150550.37811111109</v>
      </c>
      <c r="BP17" s="69">
        <f t="shared" si="56"/>
        <v>161830.74953703705</v>
      </c>
      <c r="BQ17" s="69">
        <v>127130</v>
      </c>
      <c r="BR17" s="69">
        <v>138687.6</v>
      </c>
      <c r="BS17" s="69">
        <v>43639.199999999997</v>
      </c>
      <c r="BT17" s="69">
        <f t="shared" si="49"/>
        <v>1422247.7424629631</v>
      </c>
      <c r="BU17" s="54"/>
      <c r="BV17" s="69">
        <f>BV20+BV43</f>
        <v>166555.77995873816</v>
      </c>
      <c r="BW17" s="69">
        <f>BW20+BW43</f>
        <v>152835.36924465047</v>
      </c>
      <c r="BX17" s="69">
        <f t="shared" ref="BX17:CG17" si="57">BX20+BX43</f>
        <v>195319.2072937729</v>
      </c>
      <c r="BY17" s="69">
        <f t="shared" si="57"/>
        <v>158396.18906207831</v>
      </c>
      <c r="BZ17" s="69">
        <f t="shared" si="57"/>
        <v>152371.51475009107</v>
      </c>
      <c r="CA17" s="69">
        <f t="shared" si="57"/>
        <v>147696.01107361159</v>
      </c>
      <c r="CB17" s="69">
        <f t="shared" si="57"/>
        <v>189465.0513586243</v>
      </c>
      <c r="CC17" s="69">
        <f t="shared" si="57"/>
        <v>202914.10079748323</v>
      </c>
      <c r="CD17" s="69">
        <f t="shared" si="57"/>
        <v>214499.61628422557</v>
      </c>
      <c r="CE17" s="69">
        <f t="shared" si="57"/>
        <v>217682.99793575107</v>
      </c>
      <c r="CF17" s="69">
        <f t="shared" si="57"/>
        <v>179284.72030485788</v>
      </c>
      <c r="CG17" s="69">
        <f t="shared" si="57"/>
        <v>88389.319383536102</v>
      </c>
      <c r="CH17" s="69">
        <f t="shared" si="51"/>
        <v>2065409.8774474205</v>
      </c>
      <c r="CI17" s="395">
        <f>(CH17-BT50)/BT50</f>
        <v>0.48621753003500767</v>
      </c>
      <c r="CJ17" s="69">
        <v>166555.77995873816</v>
      </c>
      <c r="CK17" s="69">
        <v>152835.36924465047</v>
      </c>
      <c r="CL17" s="69">
        <v>195319.2072937729</v>
      </c>
      <c r="CM17" s="69">
        <v>158396.18906207831</v>
      </c>
      <c r="CN17" s="69">
        <v>152371.51475009107</v>
      </c>
      <c r="CO17" s="69">
        <v>147696.01107361159</v>
      </c>
      <c r="CP17" s="69">
        <v>189465.0513586243</v>
      </c>
      <c r="CQ17" s="69">
        <v>202914.10079748323</v>
      </c>
      <c r="CR17" s="69">
        <v>214499.61628422557</v>
      </c>
      <c r="CS17" s="69">
        <v>217682.99793575107</v>
      </c>
      <c r="CT17" s="69">
        <v>179284.72030485788</v>
      </c>
      <c r="CU17" s="69">
        <v>88389.319383536102</v>
      </c>
      <c r="CV17" s="69">
        <v>2065409.8774474205</v>
      </c>
    </row>
    <row r="18" spans="1:100">
      <c r="A18" s="61"/>
      <c r="B18" s="62" t="s">
        <v>52</v>
      </c>
      <c r="C18" s="293"/>
      <c r="D18" s="294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295"/>
      <c r="Q18" s="64"/>
      <c r="R18" s="294"/>
      <c r="S18" s="65"/>
      <c r="T18" s="65"/>
      <c r="U18" s="65"/>
      <c r="V18" s="296"/>
      <c r="W18" s="297"/>
      <c r="X18" s="297"/>
      <c r="Y18" s="297"/>
      <c r="Z18" s="297"/>
      <c r="AA18" s="297"/>
      <c r="AB18" s="297"/>
      <c r="AC18" s="66"/>
      <c r="AD18" s="67"/>
      <c r="AE18" s="68"/>
      <c r="AF18" s="298"/>
      <c r="AG18" s="65"/>
      <c r="AH18" s="65" t="s">
        <v>53</v>
      </c>
      <c r="AI18" s="65"/>
      <c r="AJ18" s="296"/>
      <c r="AK18" s="296"/>
      <c r="AL18" s="296"/>
      <c r="AM18" s="296"/>
      <c r="AN18" s="65">
        <v>6715000</v>
      </c>
      <c r="AO18" s="65">
        <v>6555000</v>
      </c>
      <c r="AP18" s="65">
        <v>2640000</v>
      </c>
      <c r="AQ18" s="65">
        <v>1302000</v>
      </c>
      <c r="AR18" s="299"/>
      <c r="AS18" s="68"/>
      <c r="AT18" s="65">
        <v>3264695</v>
      </c>
      <c r="AU18" s="65">
        <v>3863760</v>
      </c>
      <c r="AV18" s="65">
        <v>3429225</v>
      </c>
      <c r="AW18" s="65">
        <v>3525360</v>
      </c>
      <c r="AX18" s="65">
        <v>2509485</v>
      </c>
      <c r="AY18" s="65">
        <v>2829000</v>
      </c>
      <c r="AZ18" s="65">
        <v>3666000</v>
      </c>
      <c r="BA18" s="65">
        <v>5705000</v>
      </c>
      <c r="BB18" s="65">
        <v>5691000</v>
      </c>
      <c r="BC18" s="65">
        <v>5600000</v>
      </c>
      <c r="BD18" s="65">
        <v>2430000</v>
      </c>
      <c r="BE18" s="65">
        <v>800000</v>
      </c>
      <c r="BF18" s="69">
        <f t="shared" si="47"/>
        <v>43313525</v>
      </c>
      <c r="BG18" s="68"/>
      <c r="BH18" s="70">
        <v>3498000</v>
      </c>
      <c r="BI18" s="70">
        <v>3346000</v>
      </c>
      <c r="BJ18" s="70">
        <v>3856000</v>
      </c>
      <c r="BK18" s="70">
        <v>3460000</v>
      </c>
      <c r="BL18" s="70">
        <v>2669500</v>
      </c>
      <c r="BM18" s="70">
        <v>2577200</v>
      </c>
      <c r="BN18" s="70">
        <v>3702000</v>
      </c>
      <c r="BO18" s="70">
        <v>4278800.22</v>
      </c>
      <c r="BP18" s="70">
        <v>4599400.25</v>
      </c>
      <c r="BQ18" s="70">
        <f>BQ17*BQ19</f>
        <v>3432510</v>
      </c>
      <c r="BR18" s="70">
        <v>2954493.21</v>
      </c>
      <c r="BS18" s="70">
        <v>984831.07</v>
      </c>
      <c r="BT18" s="65">
        <f t="shared" si="49"/>
        <v>39358734.75</v>
      </c>
      <c r="BU18" s="54"/>
      <c r="BV18" s="70">
        <f>BV19*BV20</f>
        <v>3399704.5546384701</v>
      </c>
      <c r="BW18" s="70">
        <f t="shared" ref="BW18:CG18" si="58">BW19*BW20</f>
        <v>3264737.5917468769</v>
      </c>
      <c r="BX18" s="70">
        <f t="shared" si="58"/>
        <v>4184999.9999999995</v>
      </c>
      <c r="BY18" s="70">
        <f t="shared" si="58"/>
        <v>3348000.0000000005</v>
      </c>
      <c r="BZ18" s="70">
        <f t="shared" si="58"/>
        <v>3074042.2288642721</v>
      </c>
      <c r="CA18" s="70">
        <f t="shared" si="58"/>
        <v>2812995.3566251793</v>
      </c>
      <c r="CB18" s="70">
        <f t="shared" si="58"/>
        <v>3737141.5756380158</v>
      </c>
      <c r="CC18" s="70">
        <f t="shared" si="58"/>
        <v>4437000.7194458414</v>
      </c>
      <c r="CD18" s="70">
        <f t="shared" si="58"/>
        <v>4710370.4261011425</v>
      </c>
      <c r="CE18" s="70">
        <f t="shared" si="58"/>
        <v>4744197.0280408058</v>
      </c>
      <c r="CF18" s="70">
        <f t="shared" si="58"/>
        <v>3461011.8981438484</v>
      </c>
      <c r="CG18" s="70">
        <f t="shared" si="58"/>
        <v>792579.23398446955</v>
      </c>
      <c r="CH18" s="65">
        <f>SUM(BV18:CG18)</f>
        <v>41966780.613228925</v>
      </c>
      <c r="CJ18" s="70">
        <v>3399704.5546384701</v>
      </c>
      <c r="CK18" s="70">
        <v>3264737.5917468769</v>
      </c>
      <c r="CL18" s="70">
        <v>4184999.9999999995</v>
      </c>
      <c r="CM18" s="70">
        <v>3348000.0000000005</v>
      </c>
      <c r="CN18" s="70">
        <v>3074042.2288642721</v>
      </c>
      <c r="CO18" s="70">
        <v>2812995.3566251793</v>
      </c>
      <c r="CP18" s="70">
        <v>3737141.5756380158</v>
      </c>
      <c r="CQ18" s="70">
        <v>4437000.7194458414</v>
      </c>
      <c r="CR18" s="70">
        <v>4710370.4261011425</v>
      </c>
      <c r="CS18" s="70">
        <v>4744197.0280408058</v>
      </c>
      <c r="CT18" s="70">
        <v>3461011.8981438484</v>
      </c>
      <c r="CU18" s="70">
        <v>792579.23398446955</v>
      </c>
      <c r="CV18" s="65">
        <v>41966780.613228925</v>
      </c>
    </row>
    <row r="19" spans="1:100">
      <c r="A19" s="71"/>
      <c r="B19" s="72" t="s">
        <v>54</v>
      </c>
      <c r="C19" s="300"/>
      <c r="D19" s="30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302"/>
      <c r="Q19" s="74"/>
      <c r="R19" s="301"/>
      <c r="S19" s="69"/>
      <c r="T19" s="69"/>
      <c r="U19" s="69"/>
      <c r="V19" s="303"/>
      <c r="W19" s="304"/>
      <c r="X19" s="304"/>
      <c r="Y19" s="304"/>
      <c r="Z19" s="304"/>
      <c r="AA19" s="304"/>
      <c r="AB19" s="304"/>
      <c r="AC19" s="75"/>
      <c r="AD19" s="76"/>
      <c r="AE19" s="77"/>
      <c r="AF19" s="305"/>
      <c r="AG19" s="69"/>
      <c r="AH19" s="69"/>
      <c r="AI19" s="69"/>
      <c r="AJ19" s="303"/>
      <c r="AK19" s="303"/>
      <c r="AL19" s="303"/>
      <c r="AM19" s="303"/>
      <c r="AN19" s="69">
        <f t="shared" ref="AN19:AQ19" si="59">30</f>
        <v>30</v>
      </c>
      <c r="AO19" s="69">
        <f t="shared" si="59"/>
        <v>30</v>
      </c>
      <c r="AP19" s="69">
        <f t="shared" si="59"/>
        <v>30</v>
      </c>
      <c r="AQ19" s="69">
        <f t="shared" si="59"/>
        <v>30</v>
      </c>
      <c r="AR19" s="306"/>
      <c r="AS19" s="77"/>
      <c r="AT19" s="69">
        <v>28</v>
      </c>
      <c r="AU19" s="69">
        <v>29</v>
      </c>
      <c r="AV19" s="69">
        <v>29</v>
      </c>
      <c r="AW19" s="69">
        <v>29</v>
      </c>
      <c r="AX19" s="69">
        <v>29</v>
      </c>
      <c r="AY19" s="69">
        <v>27</v>
      </c>
      <c r="AZ19" s="69">
        <v>27</v>
      </c>
      <c r="BA19" s="69">
        <v>27</v>
      </c>
      <c r="BB19" s="69">
        <v>27</v>
      </c>
      <c r="BC19" s="69">
        <v>26.07</v>
      </c>
      <c r="BD19" s="69">
        <v>26.07</v>
      </c>
      <c r="BE19" s="69">
        <v>26.07</v>
      </c>
      <c r="BF19" s="305"/>
      <c r="BG19" s="78"/>
      <c r="BH19" s="69">
        <v>27</v>
      </c>
      <c r="BI19" s="69">
        <v>27</v>
      </c>
      <c r="BJ19" s="69">
        <v>27</v>
      </c>
      <c r="BK19" s="69">
        <v>27</v>
      </c>
      <c r="BL19" s="69">
        <v>27</v>
      </c>
      <c r="BM19" s="69">
        <v>27</v>
      </c>
      <c r="BN19" s="69">
        <v>27</v>
      </c>
      <c r="BO19" s="69">
        <v>27</v>
      </c>
      <c r="BP19" s="69">
        <v>27</v>
      </c>
      <c r="BQ19" s="69">
        <v>27</v>
      </c>
      <c r="BR19" s="69">
        <v>27</v>
      </c>
      <c r="BS19" s="69">
        <v>27</v>
      </c>
      <c r="BT19" s="69"/>
      <c r="BU19" s="54"/>
      <c r="BV19" s="69">
        <v>26</v>
      </c>
      <c r="BW19" s="69">
        <v>26</v>
      </c>
      <c r="BX19" s="69">
        <v>26</v>
      </c>
      <c r="BY19" s="69">
        <v>26</v>
      </c>
      <c r="BZ19" s="69">
        <v>26</v>
      </c>
      <c r="CA19" s="69">
        <v>26</v>
      </c>
      <c r="CB19" s="69">
        <v>26</v>
      </c>
      <c r="CC19" s="69">
        <v>26</v>
      </c>
      <c r="CD19" s="69">
        <v>26</v>
      </c>
      <c r="CE19" s="69">
        <v>26</v>
      </c>
      <c r="CF19" s="69">
        <v>26</v>
      </c>
      <c r="CG19" s="69">
        <v>26</v>
      </c>
      <c r="CH19" s="69"/>
      <c r="CJ19" s="69">
        <v>26</v>
      </c>
      <c r="CK19" s="69">
        <v>26</v>
      </c>
      <c r="CL19" s="69">
        <v>26</v>
      </c>
      <c r="CM19" s="69">
        <v>26</v>
      </c>
      <c r="CN19" s="69">
        <v>26</v>
      </c>
      <c r="CO19" s="69">
        <v>26</v>
      </c>
      <c r="CP19" s="69">
        <v>26</v>
      </c>
      <c r="CQ19" s="69">
        <v>26</v>
      </c>
      <c r="CR19" s="69">
        <v>26</v>
      </c>
      <c r="CS19" s="69">
        <v>26</v>
      </c>
      <c r="CT19" s="69">
        <v>26</v>
      </c>
      <c r="CU19" s="69">
        <v>26</v>
      </c>
      <c r="CV19" s="69"/>
    </row>
    <row r="20" spans="1:100" ht="15.75">
      <c r="A20" s="79"/>
      <c r="B20" s="80" t="s">
        <v>55</v>
      </c>
      <c r="C20" s="81"/>
      <c r="D20" s="288">
        <v>82250</v>
      </c>
      <c r="E20" s="57">
        <v>117000</v>
      </c>
      <c r="F20" s="57">
        <v>121750</v>
      </c>
      <c r="G20" s="57">
        <v>150000</v>
      </c>
      <c r="H20" s="57">
        <v>99500</v>
      </c>
      <c r="I20" s="57">
        <v>102000</v>
      </c>
      <c r="J20" s="57">
        <v>177632</v>
      </c>
      <c r="K20" s="57">
        <v>178158</v>
      </c>
      <c r="L20" s="57">
        <v>199211</v>
      </c>
      <c r="M20" s="57">
        <v>229474</v>
      </c>
      <c r="N20" s="57">
        <v>122368</v>
      </c>
      <c r="O20" s="57">
        <v>38421</v>
      </c>
      <c r="P20" s="289">
        <f>SUM(D20:O20)</f>
        <v>1617764</v>
      </c>
      <c r="Q20" s="39"/>
      <c r="R20" s="288">
        <v>115619.79612330014</v>
      </c>
      <c r="S20" s="58">
        <v>123327.78253152016</v>
      </c>
      <c r="T20" s="58">
        <v>128854</v>
      </c>
      <c r="U20" s="58">
        <f>126016*0.15</f>
        <v>18902.399999999998</v>
      </c>
      <c r="V20" s="58">
        <v>35234</v>
      </c>
      <c r="W20" s="290">
        <v>56469.381950239796</v>
      </c>
      <c r="X20" s="290">
        <v>118413.33333333299</v>
      </c>
      <c r="Y20" s="290">
        <v>198797.08333333331</v>
      </c>
      <c r="Z20" s="290">
        <v>242087.5</v>
      </c>
      <c r="AA20" s="290">
        <v>140000</v>
      </c>
      <c r="AB20" s="290">
        <v>0</v>
      </c>
      <c r="AC20" s="290">
        <v>-45300</v>
      </c>
      <c r="AD20" s="291">
        <f>SUM(R20:AC20)</f>
        <v>1132405.2772717264</v>
      </c>
      <c r="AE20" s="59"/>
      <c r="AF20" s="292">
        <v>90146</v>
      </c>
      <c r="AG20" s="58">
        <v>155577</v>
      </c>
      <c r="AH20" s="58">
        <v>62953</v>
      </c>
      <c r="AI20" s="58">
        <v>73261</v>
      </c>
      <c r="AJ20" s="58">
        <v>91856</v>
      </c>
      <c r="AK20" s="58">
        <v>120000</v>
      </c>
      <c r="AL20" s="58">
        <v>110295</v>
      </c>
      <c r="AM20" s="58">
        <v>200203</v>
      </c>
      <c r="AN20" s="58">
        <f t="shared" ref="AN20:AQ20" si="60">AN18/AN19</f>
        <v>223833.33333333334</v>
      </c>
      <c r="AO20" s="58">
        <f t="shared" si="60"/>
        <v>218500</v>
      </c>
      <c r="AP20" s="58">
        <f t="shared" si="60"/>
        <v>88000</v>
      </c>
      <c r="AQ20" s="58">
        <f t="shared" si="60"/>
        <v>43400</v>
      </c>
      <c r="AR20" s="58">
        <f>SUM(AF20:AQ20)</f>
        <v>1478024.3333333333</v>
      </c>
      <c r="AS20" s="59"/>
      <c r="AT20" s="58">
        <f t="shared" ref="AT20:BE20" si="61">AT18/AT19</f>
        <v>116596.25</v>
      </c>
      <c r="AU20" s="58">
        <f t="shared" si="61"/>
        <v>133233.10344827586</v>
      </c>
      <c r="AV20" s="58">
        <f t="shared" si="61"/>
        <v>118249.13793103448</v>
      </c>
      <c r="AW20" s="58">
        <f t="shared" si="61"/>
        <v>121564.13793103448</v>
      </c>
      <c r="AX20" s="58">
        <f t="shared" si="61"/>
        <v>86533.965517241377</v>
      </c>
      <c r="AY20" s="58">
        <f t="shared" si="61"/>
        <v>104777.77777777778</v>
      </c>
      <c r="AZ20" s="58">
        <f t="shared" si="61"/>
        <v>135777.77777777778</v>
      </c>
      <c r="BA20" s="58">
        <f t="shared" si="61"/>
        <v>211296.29629629629</v>
      </c>
      <c r="BB20" s="58">
        <f t="shared" si="61"/>
        <v>210777.77777777778</v>
      </c>
      <c r="BC20" s="58">
        <f t="shared" si="61"/>
        <v>214806.29075565783</v>
      </c>
      <c r="BD20" s="58">
        <f t="shared" si="61"/>
        <v>93210.586881472962</v>
      </c>
      <c r="BE20" s="58">
        <f t="shared" si="61"/>
        <v>30686.612965093977</v>
      </c>
      <c r="BF20" s="58">
        <f>SUM(AT20:BE20)</f>
        <v>1577509.7150594404</v>
      </c>
      <c r="BG20" s="59">
        <f>BF20-AR20</f>
        <v>99485.381726107094</v>
      </c>
      <c r="BH20" s="58">
        <f>BH17</f>
        <v>116600</v>
      </c>
      <c r="BI20" s="58">
        <f t="shared" ref="BI20:BT20" si="62">BI17</f>
        <v>111533.33333333333</v>
      </c>
      <c r="BJ20" s="58">
        <f t="shared" si="62"/>
        <v>135674.07407407407</v>
      </c>
      <c r="BK20" s="58">
        <f t="shared" si="62"/>
        <v>121740.74074074074</v>
      </c>
      <c r="BL20" s="58">
        <f t="shared" si="62"/>
        <v>93926.851851851854</v>
      </c>
      <c r="BM20" s="58">
        <f t="shared" si="62"/>
        <v>90679.259259259255</v>
      </c>
      <c r="BN20" s="58">
        <f t="shared" si="62"/>
        <v>130255.55555555556</v>
      </c>
      <c r="BO20" s="58">
        <f t="shared" si="62"/>
        <v>150550.37811111109</v>
      </c>
      <c r="BP20" s="58">
        <f t="shared" si="62"/>
        <v>161830.74953703705</v>
      </c>
      <c r="BQ20" s="58">
        <f t="shared" si="62"/>
        <v>127130</v>
      </c>
      <c r="BR20" s="58">
        <f>BR17</f>
        <v>138687.6</v>
      </c>
      <c r="BS20" s="58">
        <f t="shared" si="62"/>
        <v>43639.199999999997</v>
      </c>
      <c r="BT20" s="58">
        <f t="shared" si="62"/>
        <v>1422247.7424629631</v>
      </c>
      <c r="BU20" s="60"/>
      <c r="BV20" s="58">
        <f>'META  EM PEÇAS'!S73</f>
        <v>130757.867486095</v>
      </c>
      <c r="BW20" s="58">
        <f>'META  EM PEÇAS'!T73</f>
        <v>125566.83045180296</v>
      </c>
      <c r="BX20" s="58">
        <f>'META  EM PEÇAS'!U73</f>
        <v>160961.53846153844</v>
      </c>
      <c r="BY20" s="58">
        <f>'META  EM PEÇAS'!V73</f>
        <v>128769.23076923078</v>
      </c>
      <c r="BZ20" s="58">
        <f>'META  EM PEÇAS'!W73</f>
        <v>118232.39341785663</v>
      </c>
      <c r="CA20" s="58">
        <f>'META  EM PEÇAS'!X73</f>
        <v>108192.12910096844</v>
      </c>
      <c r="CB20" s="58">
        <f>'META  EM PEÇAS'!Y73</f>
        <v>143736.21444761599</v>
      </c>
      <c r="CC20" s="58">
        <f>'META  EM PEÇAS'!Z73</f>
        <v>170653.87382484006</v>
      </c>
      <c r="CD20" s="58">
        <f>'META  EM PEÇAS'!AA73</f>
        <v>181168.0933115824</v>
      </c>
      <c r="CE20" s="58">
        <f>'META  EM PEÇAS'!AB73</f>
        <v>182469.1164631079</v>
      </c>
      <c r="CF20" s="58">
        <f>'META  EM PEÇAS'!AC73</f>
        <v>133115.84223630186</v>
      </c>
      <c r="CG20" s="58">
        <f>'META  EM PEÇAS'!AD73</f>
        <v>30483.816691710366</v>
      </c>
      <c r="CH20" s="58">
        <v>45</v>
      </c>
      <c r="CI20">
        <f>CH20*26</f>
        <v>1170</v>
      </c>
      <c r="CJ20" s="58">
        <v>130757.867486095</v>
      </c>
      <c r="CK20" s="58">
        <v>125566.83045180296</v>
      </c>
      <c r="CL20" s="58">
        <v>160961.53846153844</v>
      </c>
      <c r="CM20" s="58">
        <v>128769.23076923078</v>
      </c>
      <c r="CN20" s="58">
        <v>118232.39341785663</v>
      </c>
      <c r="CO20" s="58">
        <v>108192.12910096844</v>
      </c>
      <c r="CP20" s="58">
        <v>143736.21444761599</v>
      </c>
      <c r="CQ20" s="58">
        <v>170653.87382484006</v>
      </c>
      <c r="CR20" s="58">
        <v>181168.0933115824</v>
      </c>
      <c r="CS20" s="58">
        <v>182469.1164631079</v>
      </c>
      <c r="CT20" s="58">
        <v>133115.84223630186</v>
      </c>
      <c r="CU20" s="58">
        <v>30483.816691710366</v>
      </c>
      <c r="CV20" s="58">
        <v>1614106.9466626509</v>
      </c>
    </row>
    <row r="21" spans="1:100">
      <c r="A21" s="307"/>
      <c r="B21" s="82"/>
      <c r="C21" s="308"/>
      <c r="D21" s="309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310"/>
      <c r="Q21" s="84"/>
      <c r="R21" s="309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311"/>
      <c r="AE21" s="23"/>
      <c r="AF21" s="312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6"/>
      <c r="AS21" s="23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2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54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</row>
    <row r="22" spans="1:100" ht="15" customHeight="1" outlineLevel="1">
      <c r="A22" s="88">
        <v>1</v>
      </c>
      <c r="B22" s="1095" t="s">
        <v>56</v>
      </c>
      <c r="C22" s="1117"/>
      <c r="D22" s="313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314">
        <f t="shared" ref="P22:P34" si="63">SUM(D22:O22)</f>
        <v>0</v>
      </c>
      <c r="Q22" s="90"/>
      <c r="R22" s="313">
        <v>7017.5438596491231</v>
      </c>
      <c r="S22" s="91">
        <v>7017.5438596491231</v>
      </c>
      <c r="T22" s="91">
        <f>7017.54385964912/2</f>
        <v>3508.7719298245602</v>
      </c>
      <c r="U22" s="91">
        <f>96*U3</f>
        <v>96</v>
      </c>
      <c r="V22" s="91">
        <v>3000</v>
      </c>
      <c r="W22" s="91">
        <v>7200</v>
      </c>
      <c r="X22" s="91">
        <v>8500</v>
      </c>
      <c r="Y22" s="91">
        <v>8500</v>
      </c>
      <c r="Z22" s="91">
        <v>8500</v>
      </c>
      <c r="AA22" s="91">
        <v>9000</v>
      </c>
      <c r="AB22" s="91">
        <v>9500</v>
      </c>
      <c r="AC22" s="91">
        <v>8500</v>
      </c>
      <c r="AD22" s="315">
        <f t="shared" ref="AD22:AD36" si="64">SUM(R22:AC22)</f>
        <v>80339.859649122809</v>
      </c>
      <c r="AE22" s="23"/>
      <c r="AF22" s="316">
        <v>8000</v>
      </c>
      <c r="AG22" s="91">
        <v>4000</v>
      </c>
      <c r="AH22" s="91">
        <v>5673</v>
      </c>
      <c r="AI22" s="91">
        <v>4500</v>
      </c>
      <c r="AJ22" s="91">
        <v>7892</v>
      </c>
      <c r="AK22" s="91">
        <v>6400</v>
      </c>
      <c r="AL22" s="91">
        <v>8000</v>
      </c>
      <c r="AM22" s="91">
        <v>8000</v>
      </c>
      <c r="AN22" s="91">
        <v>8000</v>
      </c>
      <c r="AO22" s="91">
        <v>8000</v>
      </c>
      <c r="AP22" s="91">
        <v>8800</v>
      </c>
      <c r="AQ22" s="91">
        <v>6400</v>
      </c>
      <c r="AR22" s="92">
        <f t="shared" ref="AR22:AR40" si="65">SUM(AF22:AQ22)</f>
        <v>83665</v>
      </c>
      <c r="AS22" s="23"/>
      <c r="AT22" s="91">
        <v>4861</v>
      </c>
      <c r="AU22" s="91">
        <v>5809</v>
      </c>
      <c r="AV22" s="91">
        <v>5072</v>
      </c>
      <c r="AW22" s="91">
        <v>4725</v>
      </c>
      <c r="AX22" s="317">
        <v>5832</v>
      </c>
      <c r="AY22" s="317">
        <v>5832</v>
      </c>
      <c r="AZ22" s="317">
        <v>5567</v>
      </c>
      <c r="BA22" s="317">
        <v>5567</v>
      </c>
      <c r="BB22" s="317">
        <v>5832</v>
      </c>
      <c r="BC22" s="317">
        <v>6892</v>
      </c>
      <c r="BD22" s="317">
        <v>7422</v>
      </c>
      <c r="BE22" s="317">
        <v>4241</v>
      </c>
      <c r="BF22" s="91">
        <f t="shared" ref="BF22:BF54" si="66">SUM(AT22:BE22)</f>
        <v>67652</v>
      </c>
      <c r="BG22" s="93">
        <f t="shared" ref="BG22:BG40" si="67">BF22/AR22-1</f>
        <v>-0.19139425088149165</v>
      </c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>
        <v>36051</v>
      </c>
      <c r="BU22" s="54"/>
      <c r="BV22" s="91">
        <v>4782.99</v>
      </c>
      <c r="BW22" s="91">
        <v>2945.31</v>
      </c>
      <c r="BX22" s="91">
        <f>'META  EM PEÇAS'!U26-('META  EM PEÇAS'!U26*0.05)</f>
        <v>7080.3689999999997</v>
      </c>
      <c r="BY22" s="91">
        <f>'META  EM PEÇAS'!V26-('META  EM PEÇAS'!V26*0.05)</f>
        <v>4355.6549999999997</v>
      </c>
      <c r="BZ22" s="91">
        <f>'META  EM PEÇAS'!W26-('META  EM PEÇAS'!W26*0.05)</f>
        <v>5839.9349999999995</v>
      </c>
      <c r="CA22" s="91">
        <f>'META  EM PEÇAS'!X26-('META  EM PEÇAS'!X26*0.05)</f>
        <v>5900.8964999999989</v>
      </c>
      <c r="CB22" s="91">
        <f>'META  EM PEÇAS'!Y26-('META  EM PEÇAS'!Y26*0.05)</f>
        <v>5279.7959999999994</v>
      </c>
      <c r="CC22" s="91">
        <f>'META  EM PEÇAS'!Z26-('META  EM PEÇAS'!Z26*0.05)</f>
        <v>4897.2404999999999</v>
      </c>
      <c r="CD22" s="91">
        <f>'META  EM PEÇAS'!AA26-('META  EM PEÇAS'!AA26*0.05)</f>
        <v>5018.28</v>
      </c>
      <c r="CE22" s="91">
        <f>'META  EM PEÇAS'!AB26-('META  EM PEÇAS'!AB26*0.05)</f>
        <v>4641.0254999999997</v>
      </c>
      <c r="CF22" s="91">
        <f>'META  EM PEÇAS'!AC26-('META  EM PEÇAS'!AC26*0.05)</f>
        <v>6521.1134999999995</v>
      </c>
      <c r="CG22" s="91">
        <f>'META  EM PEÇAS'!AD26-('META  EM PEÇAS'!AD26*0.05)</f>
        <v>3929.8079999999995</v>
      </c>
      <c r="CH22" s="91">
        <v>4136.6400000000003</v>
      </c>
      <c r="CJ22" s="91">
        <v>4782.99</v>
      </c>
      <c r="CK22" s="91">
        <v>2945.31</v>
      </c>
      <c r="CL22" s="91">
        <v>7080.3689999999997</v>
      </c>
      <c r="CM22" s="91">
        <v>4355.6549999999997</v>
      </c>
      <c r="CN22" s="91">
        <v>5839.9349999999995</v>
      </c>
      <c r="CO22" s="91">
        <v>5900.8964999999989</v>
      </c>
      <c r="CP22" s="91">
        <v>5279.7959999999994</v>
      </c>
      <c r="CQ22" s="91">
        <v>4897.2404999999999</v>
      </c>
      <c r="CR22" s="91">
        <v>5018.28</v>
      </c>
      <c r="CS22" s="91">
        <v>4641.0254999999997</v>
      </c>
      <c r="CT22" s="91">
        <v>6521.1134999999995</v>
      </c>
      <c r="CU22" s="91">
        <v>3929.8079999999995</v>
      </c>
      <c r="CV22" s="91">
        <v>4136.6400000000003</v>
      </c>
    </row>
    <row r="23" spans="1:100" ht="15" customHeight="1" outlineLevel="1">
      <c r="A23" s="94">
        <v>2</v>
      </c>
      <c r="B23" s="1092" t="s">
        <v>57</v>
      </c>
      <c r="C23" s="1118"/>
      <c r="D23" s="313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314">
        <f t="shared" si="63"/>
        <v>0</v>
      </c>
      <c r="Q23" s="90"/>
      <c r="R23" s="313">
        <v>2909</v>
      </c>
      <c r="S23" s="91">
        <v>2545</v>
      </c>
      <c r="T23" s="91">
        <f>2727/1.2</f>
        <v>2272.5</v>
      </c>
      <c r="U23" s="91">
        <f>2*U3</f>
        <v>2</v>
      </c>
      <c r="V23" s="91">
        <v>500</v>
      </c>
      <c r="W23" s="91">
        <v>1300</v>
      </c>
      <c r="X23" s="91">
        <v>3200</v>
      </c>
      <c r="Y23" s="91">
        <v>3200</v>
      </c>
      <c r="Z23" s="91">
        <v>3600</v>
      </c>
      <c r="AA23" s="91">
        <v>3600</v>
      </c>
      <c r="AB23" s="91">
        <v>3600</v>
      </c>
      <c r="AC23" s="91">
        <v>4500</v>
      </c>
      <c r="AD23" s="315">
        <f t="shared" si="64"/>
        <v>31228.5</v>
      </c>
      <c r="AE23" s="23"/>
      <c r="AF23" s="316">
        <v>4000</v>
      </c>
      <c r="AG23" s="91">
        <v>1500</v>
      </c>
      <c r="AH23" s="91">
        <v>189</v>
      </c>
      <c r="AI23" s="91">
        <v>1842</v>
      </c>
      <c r="AJ23" s="91">
        <v>3764</v>
      </c>
      <c r="AK23" s="91">
        <v>3200</v>
      </c>
      <c r="AL23" s="91">
        <v>6000</v>
      </c>
      <c r="AM23" s="91">
        <v>5000</v>
      </c>
      <c r="AN23" s="91">
        <v>5000</v>
      </c>
      <c r="AO23" s="91">
        <v>5000</v>
      </c>
      <c r="AP23" s="91">
        <v>5000</v>
      </c>
      <c r="AQ23" s="91">
        <v>9000</v>
      </c>
      <c r="AR23" s="92">
        <f t="shared" si="65"/>
        <v>49495</v>
      </c>
      <c r="AS23" s="23"/>
      <c r="AT23" s="91">
        <v>5468</v>
      </c>
      <c r="AU23" s="91">
        <v>5468</v>
      </c>
      <c r="AV23" s="91">
        <v>6249</v>
      </c>
      <c r="AW23" s="91">
        <v>6249</v>
      </c>
      <c r="AX23" s="317">
        <v>3923</v>
      </c>
      <c r="AY23" s="317">
        <v>3923</v>
      </c>
      <c r="AZ23" s="317">
        <v>3745</v>
      </c>
      <c r="BA23" s="317">
        <v>3745</v>
      </c>
      <c r="BB23" s="317">
        <v>3923</v>
      </c>
      <c r="BC23" s="317">
        <v>4636</v>
      </c>
      <c r="BD23" s="317">
        <v>4993</v>
      </c>
      <c r="BE23" s="317">
        <v>7133</v>
      </c>
      <c r="BF23" s="91">
        <f t="shared" si="66"/>
        <v>59455</v>
      </c>
      <c r="BG23" s="93">
        <f t="shared" si="67"/>
        <v>0.20123244772199222</v>
      </c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>
        <v>40562</v>
      </c>
      <c r="BU23" s="54"/>
      <c r="BV23" s="91">
        <v>4442.6099999999997</v>
      </c>
      <c r="BW23" s="91">
        <v>3433.56</v>
      </c>
      <c r="BX23" s="91">
        <f>'META  EM PEÇAS'!U27-('META  EM PEÇAS'!U27*0.05)</f>
        <v>3860.0114999999996</v>
      </c>
      <c r="BY23" s="91">
        <f>'META  EM PEÇAS'!V27-('META  EM PEÇAS'!V27*0.05)</f>
        <v>3578.1749999999997</v>
      </c>
      <c r="BZ23" s="91">
        <f>'META  EM PEÇAS'!W27-('META  EM PEÇAS'!W27*0.05)</f>
        <v>4015.5074999999997</v>
      </c>
      <c r="CA23" s="91">
        <f>'META  EM PEÇAS'!X27-('META  EM PEÇAS'!X27*0.05)</f>
        <v>4835.3954999999996</v>
      </c>
      <c r="CB23" s="91">
        <f>'META  EM PEÇAS'!Y27-('META  EM PEÇAS'!Y27*0.05)</f>
        <v>5815.1969999999992</v>
      </c>
      <c r="CC23" s="91">
        <f>'META  EM PEÇAS'!Z27-('META  EM PEÇAS'!Z27*0.05)</f>
        <v>3888.2835</v>
      </c>
      <c r="CD23" s="91">
        <f>'META  EM PEÇAS'!AA27-('META  EM PEÇAS'!AA27*0.05)</f>
        <v>4032.2939999999994</v>
      </c>
      <c r="CE23" s="91">
        <f>'META  EM PEÇAS'!AB27-('META  EM PEÇAS'!AB27*0.05)</f>
        <v>4375.0919999999996</v>
      </c>
      <c r="CF23" s="91">
        <f>'META  EM PEÇAS'!AC27-('META  EM PEÇAS'!AC27*0.05)</f>
        <v>5604.9239999999991</v>
      </c>
      <c r="CG23" s="91">
        <f>'META  EM PEÇAS'!AD27-('META  EM PEÇAS'!AD27*0.05)</f>
        <v>7897.606499999999</v>
      </c>
      <c r="CH23" s="91">
        <f>SUM(BV23:CG23)</f>
        <v>55778.656499999997</v>
      </c>
      <c r="CJ23" s="91">
        <v>4442.6099999999997</v>
      </c>
      <c r="CK23" s="91">
        <v>3433.56</v>
      </c>
      <c r="CL23" s="91">
        <v>3860.0114999999996</v>
      </c>
      <c r="CM23" s="91">
        <v>3578.1749999999997</v>
      </c>
      <c r="CN23" s="91">
        <v>4015.5074999999997</v>
      </c>
      <c r="CO23" s="91">
        <v>4835.3954999999996</v>
      </c>
      <c r="CP23" s="91">
        <v>5815.1969999999992</v>
      </c>
      <c r="CQ23" s="91">
        <v>3888.2835</v>
      </c>
      <c r="CR23" s="91">
        <v>4032.2939999999994</v>
      </c>
      <c r="CS23" s="91">
        <v>4375.0919999999996</v>
      </c>
      <c r="CT23" s="91">
        <v>5604.9239999999991</v>
      </c>
      <c r="CU23" s="91">
        <v>7897.606499999999</v>
      </c>
      <c r="CV23" s="91">
        <v>55778.656499999997</v>
      </c>
    </row>
    <row r="24" spans="1:100" ht="15" customHeight="1" outlineLevel="1">
      <c r="A24" s="94">
        <v>3</v>
      </c>
      <c r="B24" s="1092" t="s">
        <v>58</v>
      </c>
      <c r="C24" s="1118"/>
      <c r="D24" s="313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314">
        <f t="shared" si="63"/>
        <v>0</v>
      </c>
      <c r="Q24" s="90"/>
      <c r="R24" s="313">
        <v>746</v>
      </c>
      <c r="S24" s="91">
        <v>653</v>
      </c>
      <c r="T24" s="91">
        <v>700</v>
      </c>
      <c r="U24" s="91">
        <v>0</v>
      </c>
      <c r="V24" s="91">
        <v>200</v>
      </c>
      <c r="W24" s="91">
        <v>400</v>
      </c>
      <c r="X24" s="91">
        <v>900</v>
      </c>
      <c r="Y24" s="91">
        <v>900</v>
      </c>
      <c r="Z24" s="91">
        <v>900</v>
      </c>
      <c r="AA24" s="91">
        <v>900</v>
      </c>
      <c r="AB24" s="91">
        <v>900</v>
      </c>
      <c r="AC24" s="91">
        <v>1200</v>
      </c>
      <c r="AD24" s="315">
        <f t="shared" si="64"/>
        <v>8399</v>
      </c>
      <c r="AE24" s="23"/>
      <c r="AF24" s="316">
        <v>1800</v>
      </c>
      <c r="AG24" s="91">
        <v>1200</v>
      </c>
      <c r="AH24" s="91">
        <v>230</v>
      </c>
      <c r="AI24" s="91">
        <v>472</v>
      </c>
      <c r="AJ24" s="91">
        <v>1495</v>
      </c>
      <c r="AK24" s="91">
        <v>1200</v>
      </c>
      <c r="AL24" s="91">
        <v>1500</v>
      </c>
      <c r="AM24" s="91">
        <v>1500</v>
      </c>
      <c r="AN24" s="91">
        <v>1500</v>
      </c>
      <c r="AO24" s="91">
        <v>1500</v>
      </c>
      <c r="AP24" s="91">
        <v>1650</v>
      </c>
      <c r="AQ24" s="91">
        <v>2400</v>
      </c>
      <c r="AR24" s="92">
        <f t="shared" si="65"/>
        <v>16447</v>
      </c>
      <c r="AS24" s="23"/>
      <c r="AT24" s="91">
        <v>2438</v>
      </c>
      <c r="AU24" s="91">
        <v>1501</v>
      </c>
      <c r="AV24" s="91">
        <v>1566</v>
      </c>
      <c r="AW24" s="91">
        <v>2127</v>
      </c>
      <c r="AX24" s="317">
        <v>1928</v>
      </c>
      <c r="AY24" s="317">
        <v>1928</v>
      </c>
      <c r="AZ24" s="317">
        <v>1840</v>
      </c>
      <c r="BA24" s="317">
        <v>1840</v>
      </c>
      <c r="BB24" s="317">
        <v>1928</v>
      </c>
      <c r="BC24" s="317">
        <v>2278</v>
      </c>
      <c r="BD24" s="317">
        <v>2454</v>
      </c>
      <c r="BE24" s="317">
        <v>3505</v>
      </c>
      <c r="BF24" s="91">
        <f t="shared" si="66"/>
        <v>25333</v>
      </c>
      <c r="BG24" s="93">
        <f t="shared" si="67"/>
        <v>0.54028090229221126</v>
      </c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>
        <v>7784</v>
      </c>
      <c r="BU24" s="54"/>
      <c r="BV24" s="91">
        <v>450.99999999999989</v>
      </c>
      <c r="BW24" s="91">
        <v>348.59999999999991</v>
      </c>
      <c r="BX24" s="91">
        <f>'META  EM PEÇAS'!U28-('META  EM PEÇAS'!U28*0.05)</f>
        <v>391.96999999999991</v>
      </c>
      <c r="BY24" s="91">
        <f>'META  EM PEÇAS'!V28-('META  EM PEÇAS'!V28*0.05)</f>
        <v>363.27999999999992</v>
      </c>
      <c r="BZ24" s="91">
        <f>'META  EM PEÇAS'!W28-('META  EM PEÇAS'!W28*0.05)</f>
        <v>407.5499999999999</v>
      </c>
      <c r="CA24" s="91">
        <f>'META  EM PEÇAS'!X28-('META  EM PEÇAS'!X28*0.05)</f>
        <v>490.76999999999992</v>
      </c>
      <c r="CB24" s="91">
        <f>'META  EM PEÇAS'!Y28-('META  EM PEÇAS'!Y28*0.05)</f>
        <v>590.32999999999993</v>
      </c>
      <c r="CC24" s="91">
        <f>'META  EM PEÇAS'!Z28-('META  EM PEÇAS'!Z28*0.05)</f>
        <v>394.62999999999994</v>
      </c>
      <c r="CD24" s="91">
        <f>'META  EM PEÇAS'!AA28-('META  EM PEÇAS'!AA28*0.05)</f>
        <v>409.25999999999988</v>
      </c>
      <c r="CE24" s="91">
        <f>'META  EM PEÇAS'!AB28-('META  EM PEÇAS'!AB28*0.05)</f>
        <v>444.21999999999991</v>
      </c>
      <c r="CF24" s="91">
        <f>'META  EM PEÇAS'!AC28-('META  EM PEÇAS'!AC28*0.05)</f>
        <v>569.04999999999984</v>
      </c>
      <c r="CG24" s="91">
        <f>'META  EM PEÇAS'!AD28-('META  EM PEÇAS'!AD28*0.05)</f>
        <v>801.79999999999973</v>
      </c>
      <c r="CH24" s="91">
        <f t="shared" ref="CH24:CH37" si="68">SUM(BV24:CG24)</f>
        <v>5662.4599999999991</v>
      </c>
      <c r="CJ24" s="91">
        <v>450.99999999999989</v>
      </c>
      <c r="CK24" s="91">
        <v>348.59999999999991</v>
      </c>
      <c r="CL24" s="91">
        <v>391.96999999999991</v>
      </c>
      <c r="CM24" s="91">
        <v>363.27999999999992</v>
      </c>
      <c r="CN24" s="91">
        <v>407.5499999999999</v>
      </c>
      <c r="CO24" s="91">
        <v>490.76999999999992</v>
      </c>
      <c r="CP24" s="91">
        <v>590.32999999999993</v>
      </c>
      <c r="CQ24" s="91">
        <v>394.62999999999994</v>
      </c>
      <c r="CR24" s="91">
        <v>409.25999999999988</v>
      </c>
      <c r="CS24" s="91">
        <v>444.21999999999991</v>
      </c>
      <c r="CT24" s="91">
        <v>569.04999999999984</v>
      </c>
      <c r="CU24" s="91">
        <v>801.79999999999973</v>
      </c>
      <c r="CV24" s="91">
        <v>5662.4599999999991</v>
      </c>
    </row>
    <row r="25" spans="1:100" ht="15" customHeight="1" outlineLevel="1">
      <c r="A25" s="94">
        <v>4</v>
      </c>
      <c r="B25" s="1092" t="s">
        <v>59</v>
      </c>
      <c r="C25" s="1118"/>
      <c r="D25" s="313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314">
        <f t="shared" si="63"/>
        <v>0</v>
      </c>
      <c r="Q25" s="90"/>
      <c r="R25" s="313">
        <v>1455</v>
      </c>
      <c r="S25" s="91">
        <f>2036</f>
        <v>2036</v>
      </c>
      <c r="T25" s="91">
        <f>2182/2</f>
        <v>1091</v>
      </c>
      <c r="U25" s="91">
        <v>0</v>
      </c>
      <c r="V25" s="91">
        <v>200</v>
      </c>
      <c r="W25" s="91">
        <v>900</v>
      </c>
      <c r="X25" s="91">
        <v>1600</v>
      </c>
      <c r="Y25" s="91">
        <v>1600</v>
      </c>
      <c r="Z25" s="91">
        <v>1600</v>
      </c>
      <c r="AA25" s="91">
        <v>1600</v>
      </c>
      <c r="AB25" s="91">
        <v>2200</v>
      </c>
      <c r="AC25" s="91">
        <v>2500</v>
      </c>
      <c r="AD25" s="315">
        <f t="shared" si="64"/>
        <v>16782</v>
      </c>
      <c r="AE25" s="23"/>
      <c r="AF25" s="316">
        <v>2200</v>
      </c>
      <c r="AG25" s="91">
        <v>1500</v>
      </c>
      <c r="AH25" s="91">
        <v>121</v>
      </c>
      <c r="AI25" s="91">
        <v>565</v>
      </c>
      <c r="AJ25" s="91">
        <v>1514</v>
      </c>
      <c r="AK25" s="91">
        <v>1760</v>
      </c>
      <c r="AL25" s="91">
        <v>1800</v>
      </c>
      <c r="AM25" s="91">
        <v>2200</v>
      </c>
      <c r="AN25" s="91">
        <v>2200</v>
      </c>
      <c r="AO25" s="91">
        <v>2200</v>
      </c>
      <c r="AP25" s="91">
        <v>2420</v>
      </c>
      <c r="AQ25" s="91">
        <v>3520</v>
      </c>
      <c r="AR25" s="92">
        <f t="shared" si="65"/>
        <v>22000</v>
      </c>
      <c r="AS25" s="23"/>
      <c r="AT25" s="91">
        <v>1529</v>
      </c>
      <c r="AU25" s="91">
        <v>1516</v>
      </c>
      <c r="AV25" s="91">
        <v>1586</v>
      </c>
      <c r="AW25" s="91">
        <v>1979</v>
      </c>
      <c r="AX25" s="317">
        <v>1283</v>
      </c>
      <c r="AY25" s="317">
        <v>1283</v>
      </c>
      <c r="AZ25" s="317">
        <v>1224</v>
      </c>
      <c r="BA25" s="317">
        <v>1224</v>
      </c>
      <c r="BB25" s="317">
        <v>1283</v>
      </c>
      <c r="BC25" s="317">
        <v>1516</v>
      </c>
      <c r="BD25" s="317">
        <v>1632</v>
      </c>
      <c r="BE25" s="317">
        <v>2332</v>
      </c>
      <c r="BF25" s="91">
        <f t="shared" si="66"/>
        <v>18387</v>
      </c>
      <c r="BG25" s="93">
        <f t="shared" si="67"/>
        <v>-0.16422727272727278</v>
      </c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>
        <v>9018</v>
      </c>
      <c r="BU25" s="54"/>
      <c r="BV25" s="91">
        <v>1143.8999999999999</v>
      </c>
      <c r="BW25" s="91">
        <v>884.43</v>
      </c>
      <c r="BX25" s="91">
        <f>'META  EM PEÇAS'!U29-('META  EM PEÇAS'!U29*0.05)</f>
        <v>993.9375</v>
      </c>
      <c r="BY25" s="91">
        <f>'META  EM PEÇAS'!V29-('META  EM PEÇAS'!V29*0.05)</f>
        <v>921.49049999999988</v>
      </c>
      <c r="BZ25" s="91">
        <f>'META  EM PEÇAS'!W29-('META  EM PEÇAS'!W29*0.05)</f>
        <v>1033.6949999999999</v>
      </c>
      <c r="CA25" s="91">
        <f>'META  EM PEÇAS'!X29-('META  EM PEÇAS'!X29*0.05)</f>
        <v>1244.8515</v>
      </c>
      <c r="CB25" s="91">
        <f>'META  EM PEÇAS'!Y29-('META  EM PEÇAS'!Y29*0.05)</f>
        <v>1497.5324999999998</v>
      </c>
      <c r="CC25" s="91">
        <f>'META  EM PEÇAS'!Z29-('META  EM PEÇAS'!Z29*0.05)</f>
        <v>1001.0054999999999</v>
      </c>
      <c r="CD25" s="91">
        <f>'META  EM PEÇAS'!AA29-('META  EM PEÇAS'!AA29*0.05)</f>
        <v>1038.1125</v>
      </c>
      <c r="CE25" s="91">
        <f>'META  EM PEÇAS'!AB29-('META  EM PEÇAS'!AB29*0.05)</f>
        <v>1126.4625000000001</v>
      </c>
      <c r="CF25" s="91">
        <f>'META  EM PEÇAS'!AC29-('META  EM PEÇAS'!AC29*0.05)</f>
        <v>1443.6389999999999</v>
      </c>
      <c r="CG25" s="91">
        <f>'META  EM PEÇAS'!AD29-('META  EM PEÇAS'!AD29*0.05)</f>
        <v>2033.8169999999998</v>
      </c>
      <c r="CH25" s="91">
        <f t="shared" si="68"/>
        <v>14362.873499999996</v>
      </c>
      <c r="CJ25" s="91">
        <v>1143.8999999999999</v>
      </c>
      <c r="CK25" s="91">
        <v>884.43</v>
      </c>
      <c r="CL25" s="91">
        <v>993.9375</v>
      </c>
      <c r="CM25" s="91">
        <v>921.49049999999988</v>
      </c>
      <c r="CN25" s="91">
        <v>1033.6949999999999</v>
      </c>
      <c r="CO25" s="91">
        <v>1244.8515</v>
      </c>
      <c r="CP25" s="91">
        <v>1497.5324999999998</v>
      </c>
      <c r="CQ25" s="91">
        <v>1001.0054999999999</v>
      </c>
      <c r="CR25" s="91">
        <v>1038.1125</v>
      </c>
      <c r="CS25" s="91">
        <v>1126.4625000000001</v>
      </c>
      <c r="CT25" s="91">
        <v>1443.6389999999999</v>
      </c>
      <c r="CU25" s="91">
        <v>2033.8169999999998</v>
      </c>
      <c r="CV25" s="91">
        <v>14362.873499999996</v>
      </c>
    </row>
    <row r="26" spans="1:100" ht="15" customHeight="1" outlineLevel="1">
      <c r="A26" s="94">
        <v>5</v>
      </c>
      <c r="B26" s="1092" t="s">
        <v>60</v>
      </c>
      <c r="C26" s="1118"/>
      <c r="D26" s="313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314">
        <f t="shared" si="63"/>
        <v>0</v>
      </c>
      <c r="Q26" s="90"/>
      <c r="R26" s="313">
        <v>1353</v>
      </c>
      <c r="S26" s="91">
        <v>1184</v>
      </c>
      <c r="T26" s="91">
        <v>1268</v>
      </c>
      <c r="U26" s="91">
        <f t="shared" ref="U26:V26" si="69">10*U3</f>
        <v>10</v>
      </c>
      <c r="V26" s="91">
        <f t="shared" si="69"/>
        <v>120</v>
      </c>
      <c r="W26" s="91">
        <v>600</v>
      </c>
      <c r="X26" s="91">
        <v>1600</v>
      </c>
      <c r="Y26" s="91">
        <v>1600</v>
      </c>
      <c r="Z26" s="91">
        <v>1600</v>
      </c>
      <c r="AA26" s="91">
        <v>1600</v>
      </c>
      <c r="AB26" s="91">
        <v>1600</v>
      </c>
      <c r="AC26" s="91">
        <v>2200</v>
      </c>
      <c r="AD26" s="315">
        <f t="shared" si="64"/>
        <v>14735</v>
      </c>
      <c r="AE26" s="23"/>
      <c r="AF26" s="316">
        <v>1800</v>
      </c>
      <c r="AG26" s="91">
        <v>1200</v>
      </c>
      <c r="AH26" s="91">
        <v>181</v>
      </c>
      <c r="AI26" s="91">
        <v>628</v>
      </c>
      <c r="AJ26" s="91">
        <v>1169</v>
      </c>
      <c r="AK26" s="91">
        <v>960</v>
      </c>
      <c r="AL26" s="91">
        <v>1500</v>
      </c>
      <c r="AM26" s="91">
        <v>1200</v>
      </c>
      <c r="AN26" s="91">
        <v>1200</v>
      </c>
      <c r="AO26" s="91">
        <v>1200</v>
      </c>
      <c r="AP26" s="91">
        <v>1320</v>
      </c>
      <c r="AQ26" s="91">
        <v>1920</v>
      </c>
      <c r="AR26" s="92">
        <f t="shared" si="65"/>
        <v>14278</v>
      </c>
      <c r="AS26" s="23"/>
      <c r="AT26" s="91">
        <v>1496</v>
      </c>
      <c r="AU26" s="91">
        <v>1200</v>
      </c>
      <c r="AV26" s="91">
        <v>1227</v>
      </c>
      <c r="AW26" s="91">
        <v>1655</v>
      </c>
      <c r="AX26" s="317">
        <v>1141</v>
      </c>
      <c r="AY26" s="317">
        <v>1141</v>
      </c>
      <c r="AZ26" s="317">
        <v>1089</v>
      </c>
      <c r="BA26" s="317">
        <v>1089</v>
      </c>
      <c r="BB26" s="317">
        <v>1141</v>
      </c>
      <c r="BC26" s="317">
        <v>1349</v>
      </c>
      <c r="BD26" s="317">
        <v>1453</v>
      </c>
      <c r="BE26" s="317">
        <v>2075</v>
      </c>
      <c r="BF26" s="91">
        <f t="shared" si="66"/>
        <v>16056</v>
      </c>
      <c r="BG26" s="93">
        <f t="shared" si="67"/>
        <v>0.1245272447121446</v>
      </c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>
        <v>10591</v>
      </c>
      <c r="BU26" s="54"/>
      <c r="BV26" s="91">
        <v>1474.9799999999998</v>
      </c>
      <c r="BW26" s="91">
        <v>1140.1799999999998</v>
      </c>
      <c r="BX26" s="91">
        <f>'META  EM PEÇAS'!U30-('META  EM PEÇAS'!U30*0.05)</f>
        <v>1281.9584999999997</v>
      </c>
      <c r="BY26" s="91">
        <f>'META  EM PEÇAS'!V30-('META  EM PEÇAS'!V30*0.05)</f>
        <v>1188.3074999999999</v>
      </c>
      <c r="BZ26" s="91">
        <f>'META  EM PEÇAS'!W30-('META  EM PEÇAS'!W30*0.05)</f>
        <v>1333.2014999999999</v>
      </c>
      <c r="CA26" s="91">
        <f>'META  EM PEÇAS'!X30-('META  EM PEÇAS'!X30*0.05)</f>
        <v>1606.2029999999997</v>
      </c>
      <c r="CB26" s="91">
        <f>'META  EM PEÇAS'!Y30-('META  EM PEÇAS'!Y30*0.05)</f>
        <v>1931.3309999999997</v>
      </c>
      <c r="CC26" s="91">
        <f>'META  EM PEÇAS'!Z30-('META  EM PEÇAS'!Z30*0.05)</f>
        <v>1291.6769999999999</v>
      </c>
      <c r="CD26" s="91">
        <f>'META  EM PEÇAS'!AA30-('META  EM PEÇAS'!AA30*0.05)</f>
        <v>1339.386</v>
      </c>
      <c r="CE26" s="91">
        <f>'META  EM PEÇAS'!AB30-('META  EM PEÇAS'!AB30*0.05)</f>
        <v>1453.3574999999998</v>
      </c>
      <c r="CF26" s="91">
        <f>'META  EM PEÇAS'!AC30-('META  EM PEÇAS'!AC30*0.05)</f>
        <v>1861.5344999999998</v>
      </c>
      <c r="CG26" s="91">
        <f>'META  EM PEÇAS'!AD30-('META  EM PEÇAS'!AD30*0.05)</f>
        <v>2623.1114999999995</v>
      </c>
      <c r="CH26" s="91">
        <f t="shared" si="68"/>
        <v>18525.227999999999</v>
      </c>
      <c r="CI26" s="450"/>
      <c r="CJ26" s="91">
        <v>1474.9799999999998</v>
      </c>
      <c r="CK26" s="91">
        <v>1140.1799999999998</v>
      </c>
      <c r="CL26" s="91">
        <v>1281.9584999999997</v>
      </c>
      <c r="CM26" s="91">
        <v>1188.3074999999999</v>
      </c>
      <c r="CN26" s="91">
        <v>1333.2014999999999</v>
      </c>
      <c r="CO26" s="91">
        <v>1606.2029999999997</v>
      </c>
      <c r="CP26" s="91">
        <v>1931.3309999999997</v>
      </c>
      <c r="CQ26" s="91">
        <v>1291.6769999999999</v>
      </c>
      <c r="CR26" s="91">
        <v>1339.386</v>
      </c>
      <c r="CS26" s="91">
        <v>1453.3574999999998</v>
      </c>
      <c r="CT26" s="91">
        <v>1861.5344999999998</v>
      </c>
      <c r="CU26" s="91">
        <v>2623.1114999999995</v>
      </c>
      <c r="CV26" s="91">
        <v>18525.227999999999</v>
      </c>
    </row>
    <row r="27" spans="1:100" ht="15" customHeight="1" outlineLevel="1">
      <c r="A27" s="94">
        <v>6</v>
      </c>
      <c r="B27" s="1092" t="s">
        <v>61</v>
      </c>
      <c r="C27" s="1118"/>
      <c r="D27" s="313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314">
        <f t="shared" si="63"/>
        <v>0</v>
      </c>
      <c r="Q27" s="90"/>
      <c r="R27" s="313">
        <v>1455</v>
      </c>
      <c r="S27" s="91">
        <v>1273</v>
      </c>
      <c r="T27" s="91">
        <v>1364</v>
      </c>
      <c r="U27" s="91">
        <v>0</v>
      </c>
      <c r="V27" s="91">
        <v>200</v>
      </c>
      <c r="W27" s="91">
        <v>800</v>
      </c>
      <c r="X27" s="91">
        <v>1600</v>
      </c>
      <c r="Y27" s="91">
        <v>1600</v>
      </c>
      <c r="Z27" s="91">
        <v>1600</v>
      </c>
      <c r="AA27" s="91">
        <v>1600</v>
      </c>
      <c r="AB27" s="91">
        <v>1800</v>
      </c>
      <c r="AC27" s="91">
        <v>2400</v>
      </c>
      <c r="AD27" s="315">
        <f t="shared" si="64"/>
        <v>15692</v>
      </c>
      <c r="AE27" s="23"/>
      <c r="AF27" s="316">
        <v>1500</v>
      </c>
      <c r="AG27" s="91">
        <v>1200</v>
      </c>
      <c r="AH27" s="91">
        <v>127</v>
      </c>
      <c r="AI27" s="91">
        <v>426</v>
      </c>
      <c r="AJ27" s="91">
        <v>1063</v>
      </c>
      <c r="AK27" s="91">
        <v>960</v>
      </c>
      <c r="AL27" s="91">
        <v>1500</v>
      </c>
      <c r="AM27" s="91">
        <v>1200</v>
      </c>
      <c r="AN27" s="91">
        <v>1200</v>
      </c>
      <c r="AO27" s="91">
        <v>1200</v>
      </c>
      <c r="AP27" s="91">
        <v>1320</v>
      </c>
      <c r="AQ27" s="91">
        <v>1920</v>
      </c>
      <c r="AR27" s="92">
        <f t="shared" si="65"/>
        <v>13616</v>
      </c>
      <c r="AS27" s="23"/>
      <c r="AT27" s="91">
        <v>1222</v>
      </c>
      <c r="AU27" s="91">
        <v>1200</v>
      </c>
      <c r="AV27" s="91">
        <v>1117</v>
      </c>
      <c r="AW27" s="91">
        <v>1463</v>
      </c>
      <c r="AX27" s="317">
        <v>1087</v>
      </c>
      <c r="AY27" s="317">
        <v>1087</v>
      </c>
      <c r="AZ27" s="317">
        <v>1038</v>
      </c>
      <c r="BA27" s="317">
        <v>1038</v>
      </c>
      <c r="BB27" s="317">
        <v>1087</v>
      </c>
      <c r="BC27" s="317">
        <v>1285</v>
      </c>
      <c r="BD27" s="317">
        <v>1384</v>
      </c>
      <c r="BE27" s="317">
        <v>1977</v>
      </c>
      <c r="BF27" s="91">
        <f t="shared" si="66"/>
        <v>14985</v>
      </c>
      <c r="BG27" s="93">
        <f t="shared" si="67"/>
        <v>0.10054347826086962</v>
      </c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>
        <v>10087</v>
      </c>
      <c r="BU27" s="54"/>
      <c r="BV27" s="91">
        <v>1214.58</v>
      </c>
      <c r="BW27" s="91">
        <v>939.3</v>
      </c>
      <c r="BX27" s="91">
        <f>'META  EM PEÇAS'!U31-('META  EM PEÇAS'!U31*0.05)</f>
        <v>1055.7824999999998</v>
      </c>
      <c r="BY27" s="91">
        <f>'META  EM PEÇAS'!V31-('META  EM PEÇAS'!V31*0.05)</f>
        <v>978.03449999999998</v>
      </c>
      <c r="BZ27" s="91">
        <f>'META  EM PEÇAS'!W31-('META  EM PEÇAS'!W31*0.05)</f>
        <v>1098.1904999999999</v>
      </c>
      <c r="CA27" s="91">
        <f>'META  EM PEÇAS'!X31-('META  EM PEÇAS'!X31*0.05)</f>
        <v>1322.5994999999998</v>
      </c>
      <c r="CB27" s="91">
        <f>'META  EM PEÇAS'!Y31-('META  EM PEÇAS'!Y31*0.05)</f>
        <v>1590.3</v>
      </c>
      <c r="CC27" s="91">
        <f>'META  EM PEÇAS'!Z31-('META  EM PEÇAS'!Z31*0.05)</f>
        <v>1062.8505</v>
      </c>
      <c r="CD27" s="91">
        <f>'META  EM PEÇAS'!AA31-('META  EM PEÇAS'!AA31*0.05)</f>
        <v>1102.6079999999999</v>
      </c>
      <c r="CE27" s="91">
        <f>'META  EM PEÇAS'!AB31-('META  EM PEÇAS'!AB31*0.05)</f>
        <v>1196.259</v>
      </c>
      <c r="CF27" s="91">
        <f>'META  EM PEÇAS'!AC31-('META  EM PEÇAS'!AC31*0.05)</f>
        <v>1532.8724999999999</v>
      </c>
      <c r="CG27" s="91">
        <f>'META  EM PEÇAS'!AD31-('META  EM PEÇAS'!AD31*0.05)</f>
        <v>2160.1574999999998</v>
      </c>
      <c r="CH27" s="91">
        <f t="shared" si="68"/>
        <v>15253.534499999998</v>
      </c>
      <c r="CJ27" s="91">
        <v>1214.58</v>
      </c>
      <c r="CK27" s="91">
        <v>939.3</v>
      </c>
      <c r="CL27" s="91">
        <v>1055.7824999999998</v>
      </c>
      <c r="CM27" s="91">
        <v>978.03449999999998</v>
      </c>
      <c r="CN27" s="91">
        <v>1098.1904999999999</v>
      </c>
      <c r="CO27" s="91">
        <v>1322.5994999999998</v>
      </c>
      <c r="CP27" s="91">
        <v>1590.3</v>
      </c>
      <c r="CQ27" s="91">
        <v>1062.8505</v>
      </c>
      <c r="CR27" s="91">
        <v>1102.6079999999999</v>
      </c>
      <c r="CS27" s="91">
        <v>1196.259</v>
      </c>
      <c r="CT27" s="91">
        <v>1532.8724999999999</v>
      </c>
      <c r="CU27" s="91">
        <v>2160.1574999999998</v>
      </c>
      <c r="CV27" s="91">
        <v>15253.534499999998</v>
      </c>
    </row>
    <row r="28" spans="1:100" ht="15" customHeight="1" outlineLevel="1">
      <c r="A28" s="94">
        <v>7</v>
      </c>
      <c r="B28" s="1092" t="s">
        <v>62</v>
      </c>
      <c r="C28" s="1118"/>
      <c r="D28" s="313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314">
        <f t="shared" si="63"/>
        <v>0</v>
      </c>
      <c r="Q28" s="90"/>
      <c r="R28" s="313">
        <v>2000</v>
      </c>
      <c r="S28" s="91">
        <f>2182</f>
        <v>2182</v>
      </c>
      <c r="T28" s="91">
        <f>2455/2</f>
        <v>1227.5</v>
      </c>
      <c r="U28" s="91">
        <f>4*U3</f>
        <v>4</v>
      </c>
      <c r="V28" s="91">
        <v>200</v>
      </c>
      <c r="W28" s="91">
        <v>700</v>
      </c>
      <c r="X28" s="91">
        <v>1600</v>
      </c>
      <c r="Y28" s="91">
        <v>1600</v>
      </c>
      <c r="Z28" s="91">
        <v>1600</v>
      </c>
      <c r="AA28" s="91">
        <v>1600</v>
      </c>
      <c r="AB28" s="91">
        <v>2500</v>
      </c>
      <c r="AC28" s="91">
        <v>3200</v>
      </c>
      <c r="AD28" s="315">
        <f t="shared" si="64"/>
        <v>18413.5</v>
      </c>
      <c r="AE28" s="23"/>
      <c r="AF28" s="316">
        <v>2600</v>
      </c>
      <c r="AG28" s="91">
        <v>1000</v>
      </c>
      <c r="AH28" s="91">
        <v>195</v>
      </c>
      <c r="AI28" s="91">
        <v>844</v>
      </c>
      <c r="AJ28" s="91">
        <v>1973</v>
      </c>
      <c r="AK28" s="91">
        <v>1840</v>
      </c>
      <c r="AL28" s="91">
        <v>2000</v>
      </c>
      <c r="AM28" s="91">
        <v>2300</v>
      </c>
      <c r="AN28" s="91">
        <v>2300</v>
      </c>
      <c r="AO28" s="91">
        <v>2300</v>
      </c>
      <c r="AP28" s="91">
        <v>2530</v>
      </c>
      <c r="AQ28" s="91">
        <v>3680</v>
      </c>
      <c r="AR28" s="92">
        <f t="shared" si="65"/>
        <v>23562</v>
      </c>
      <c r="AS28" s="23"/>
      <c r="AT28" s="91">
        <v>1888</v>
      </c>
      <c r="AU28" s="91">
        <v>1414</v>
      </c>
      <c r="AV28" s="91">
        <v>2073</v>
      </c>
      <c r="AW28" s="91">
        <v>2338</v>
      </c>
      <c r="AX28" s="317">
        <v>1857</v>
      </c>
      <c r="AY28" s="317">
        <v>1857</v>
      </c>
      <c r="AZ28" s="317">
        <v>1772</v>
      </c>
      <c r="BA28" s="317">
        <v>1772</v>
      </c>
      <c r="BB28" s="317">
        <v>1857</v>
      </c>
      <c r="BC28" s="317">
        <v>2194</v>
      </c>
      <c r="BD28" s="317">
        <v>2363</v>
      </c>
      <c r="BE28" s="317">
        <v>3376</v>
      </c>
      <c r="BF28" s="91">
        <f t="shared" si="66"/>
        <v>24761</v>
      </c>
      <c r="BG28" s="93">
        <f t="shared" si="67"/>
        <v>5.0887021475256811E-2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>
        <v>22941</v>
      </c>
      <c r="BU28" s="54"/>
      <c r="BV28" s="91">
        <v>3211.29</v>
      </c>
      <c r="BW28" s="91">
        <v>2482.1699999999996</v>
      </c>
      <c r="BX28" s="91">
        <f>'META  EM PEÇAS'!U32-('META  EM PEÇAS'!U32*0.05)</f>
        <v>2790.0929999999998</v>
      </c>
      <c r="BY28" s="91">
        <f>'META  EM PEÇAS'!V32-('META  EM PEÇAS'!V32*0.05)</f>
        <v>2586.0044999999996</v>
      </c>
      <c r="BZ28" s="91">
        <f>'META  EM PEÇAS'!W32-('META  EM PEÇAS'!W32*0.05)</f>
        <v>2902.2974999999997</v>
      </c>
      <c r="CA28" s="91">
        <f>'META  EM PEÇAS'!X32-('META  EM PEÇAS'!X32*0.05)</f>
        <v>3495.1259999999997</v>
      </c>
      <c r="CB28" s="91">
        <f>'META  EM PEÇAS'!Y32-('META  EM PEÇAS'!Y32*0.05)</f>
        <v>4203.6929999999993</v>
      </c>
      <c r="CC28" s="91">
        <f>'META  EM PEÇAS'!Z32-('META  EM PEÇAS'!Z32*0.05)</f>
        <v>2810.4135000000001</v>
      </c>
      <c r="CD28" s="91">
        <f>'META  EM PEÇAS'!AA32-('META  EM PEÇAS'!AA32*0.05)</f>
        <v>2914.6664999999998</v>
      </c>
      <c r="CE28" s="91">
        <f>'META  EM PEÇAS'!AB32-('META  EM PEÇAS'!AB32*0.05)</f>
        <v>3162.93</v>
      </c>
      <c r="CF28" s="91">
        <f>'META  EM PEÇAS'!AC32-('META  EM PEÇAS'!AC32*0.05)</f>
        <v>4051.7309999999998</v>
      </c>
      <c r="CG28" s="91">
        <f>'META  EM PEÇAS'!AD32-('META  EM PEÇAS'!AD32*0.05)</f>
        <v>5709.1769999999997</v>
      </c>
      <c r="CH28" s="91">
        <f t="shared" si="68"/>
        <v>40319.59199999999</v>
      </c>
      <c r="CJ28" s="91">
        <v>3211.29</v>
      </c>
      <c r="CK28" s="91">
        <v>2482.1699999999996</v>
      </c>
      <c r="CL28" s="91">
        <v>2790.0929999999998</v>
      </c>
      <c r="CM28" s="91">
        <v>2586.0044999999996</v>
      </c>
      <c r="CN28" s="91">
        <v>2902.2974999999997</v>
      </c>
      <c r="CO28" s="91">
        <v>3495.1259999999997</v>
      </c>
      <c r="CP28" s="91">
        <v>4203.6929999999993</v>
      </c>
      <c r="CQ28" s="91">
        <v>2810.4135000000001</v>
      </c>
      <c r="CR28" s="91">
        <v>2914.6664999999998</v>
      </c>
      <c r="CS28" s="91">
        <v>3162.93</v>
      </c>
      <c r="CT28" s="91">
        <v>4051.7309999999998</v>
      </c>
      <c r="CU28" s="91">
        <v>5709.1769999999997</v>
      </c>
      <c r="CV28" s="91">
        <v>40319.59199999999</v>
      </c>
    </row>
    <row r="29" spans="1:100" ht="15" customHeight="1" outlineLevel="1">
      <c r="A29" s="94">
        <v>9</v>
      </c>
      <c r="B29" s="1092" t="s">
        <v>63</v>
      </c>
      <c r="C29" s="1118"/>
      <c r="D29" s="313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314">
        <f t="shared" si="63"/>
        <v>0</v>
      </c>
      <c r="Q29" s="90"/>
      <c r="R29" s="313">
        <v>1636</v>
      </c>
      <c r="S29" s="91">
        <v>1636</v>
      </c>
      <c r="T29" s="91">
        <f t="shared" ref="T29:T30" si="70">1818/2</f>
        <v>909</v>
      </c>
      <c r="U29" s="91">
        <v>0</v>
      </c>
      <c r="V29" s="91">
        <v>200</v>
      </c>
      <c r="W29" s="91">
        <v>300</v>
      </c>
      <c r="X29" s="91">
        <v>1000</v>
      </c>
      <c r="Y29" s="91">
        <v>1200</v>
      </c>
      <c r="Z29" s="91">
        <v>1600</v>
      </c>
      <c r="AA29" s="91">
        <v>1600</v>
      </c>
      <c r="AB29" s="91">
        <v>1800</v>
      </c>
      <c r="AC29" s="91">
        <v>2300</v>
      </c>
      <c r="AD29" s="315">
        <f t="shared" si="64"/>
        <v>14181</v>
      </c>
      <c r="AE29" s="23"/>
      <c r="AF29" s="316">
        <v>1500</v>
      </c>
      <c r="AG29" s="91">
        <v>1000</v>
      </c>
      <c r="AH29" s="91">
        <v>126</v>
      </c>
      <c r="AI29" s="91">
        <v>387</v>
      </c>
      <c r="AJ29" s="91">
        <v>895</v>
      </c>
      <c r="AK29" s="91">
        <v>800</v>
      </c>
      <c r="AL29" s="91">
        <v>1500</v>
      </c>
      <c r="AM29" s="91">
        <v>1000</v>
      </c>
      <c r="AN29" s="91">
        <v>1000</v>
      </c>
      <c r="AO29" s="91">
        <v>1000</v>
      </c>
      <c r="AP29" s="91">
        <v>1100</v>
      </c>
      <c r="AQ29" s="91">
        <v>1600</v>
      </c>
      <c r="AR29" s="92">
        <f t="shared" si="65"/>
        <v>11908</v>
      </c>
      <c r="AS29" s="23"/>
      <c r="AT29" s="91">
        <v>1182</v>
      </c>
      <c r="AU29" s="91">
        <v>1200</v>
      </c>
      <c r="AV29" s="91">
        <v>932</v>
      </c>
      <c r="AW29" s="91">
        <v>1020</v>
      </c>
      <c r="AX29" s="317">
        <v>0</v>
      </c>
      <c r="AY29" s="317">
        <v>0</v>
      </c>
      <c r="AZ29" s="317">
        <v>0</v>
      </c>
      <c r="BA29" s="317">
        <v>0</v>
      </c>
      <c r="BB29" s="317">
        <v>0</v>
      </c>
      <c r="BC29" s="317">
        <v>0</v>
      </c>
      <c r="BD29" s="317">
        <v>0</v>
      </c>
      <c r="BE29" s="317">
        <v>0</v>
      </c>
      <c r="BF29" s="91">
        <f t="shared" si="66"/>
        <v>4334</v>
      </c>
      <c r="BG29" s="93">
        <f t="shared" si="67"/>
        <v>-0.63604299630500505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>
        <v>7070</v>
      </c>
      <c r="BU29" s="54"/>
      <c r="BV29" s="91">
        <v>928.14</v>
      </c>
      <c r="BW29" s="91">
        <v>717.95999999999992</v>
      </c>
      <c r="BX29" s="91">
        <f>'META  EM PEÇAS'!U37-('META  EM PEÇAS'!U37*0.05)</f>
        <v>806.63549999999987</v>
      </c>
      <c r="BY29" s="91">
        <f>'META  EM PEÇAS'!V37-('META  EM PEÇAS'!V37*0.05)</f>
        <v>747.44100000000003</v>
      </c>
      <c r="BZ29" s="91">
        <f>'META  EM PEÇAS'!W37-('META  EM PEÇAS'!W37*0.05)</f>
        <v>839.32499999999993</v>
      </c>
      <c r="CA29" s="91">
        <f>'META  EM PEÇAS'!X37-('META  EM PEÇAS'!X37*0.05)</f>
        <v>1010.7239999999998</v>
      </c>
      <c r="CB29" s="91">
        <f>'META  EM PEÇAS'!Y37-('META  EM PEÇAS'!Y37*0.05)</f>
        <v>1214.8125</v>
      </c>
      <c r="CC29" s="91">
        <f>'META  EM PEÇAS'!Z37-('META  EM PEÇAS'!Z37*0.05)</f>
        <v>812.81999999999994</v>
      </c>
      <c r="CD29" s="91">
        <f>'META  EM PEÇAS'!AA37-('META  EM PEÇAS'!AA37*0.05)</f>
        <v>842.85899999999992</v>
      </c>
      <c r="CE29" s="91">
        <f>'META  EM PEÇAS'!AB37-('META  EM PEÇAS'!AB37*0.05)</f>
        <v>914.4224999999999</v>
      </c>
      <c r="CF29" s="91">
        <f>'META  EM PEÇAS'!AC37-('META  EM PEÇAS'!AC37*0.05)</f>
        <v>1171.5209999999997</v>
      </c>
      <c r="CG29" s="91">
        <f>'META  EM PEÇAS'!AD37-('META  EM PEÇAS'!AD37*0.05)</f>
        <v>1650.3779999999997</v>
      </c>
      <c r="CH29" s="91">
        <f t="shared" si="68"/>
        <v>11657.038499999999</v>
      </c>
      <c r="CJ29" s="91">
        <v>928.14</v>
      </c>
      <c r="CK29" s="91">
        <v>717.95999999999992</v>
      </c>
      <c r="CL29" s="91">
        <v>806.63549999999987</v>
      </c>
      <c r="CM29" s="91">
        <v>747.44100000000003</v>
      </c>
      <c r="CN29" s="91">
        <v>839.32499999999993</v>
      </c>
      <c r="CO29" s="91">
        <v>1010.7239999999998</v>
      </c>
      <c r="CP29" s="91">
        <v>1214.8125</v>
      </c>
      <c r="CQ29" s="91">
        <v>812.81999999999994</v>
      </c>
      <c r="CR29" s="91">
        <v>842.85899999999992</v>
      </c>
      <c r="CS29" s="91">
        <v>914.4224999999999</v>
      </c>
      <c r="CT29" s="91">
        <v>1171.5209999999997</v>
      </c>
      <c r="CU29" s="91">
        <v>1650.3779999999997</v>
      </c>
      <c r="CV29" s="91">
        <v>11657.038499999999</v>
      </c>
    </row>
    <row r="30" spans="1:100" ht="15" customHeight="1" outlineLevel="1">
      <c r="A30" s="94">
        <v>10</v>
      </c>
      <c r="B30" s="1092" t="s">
        <v>64</v>
      </c>
      <c r="C30" s="1118"/>
      <c r="D30" s="313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314">
        <f t="shared" si="63"/>
        <v>0</v>
      </c>
      <c r="Q30" s="90"/>
      <c r="R30" s="313">
        <v>1636</v>
      </c>
      <c r="S30" s="91">
        <v>1636</v>
      </c>
      <c r="T30" s="91">
        <f t="shared" si="70"/>
        <v>909</v>
      </c>
      <c r="U30" s="91">
        <f>0.5*U3</f>
        <v>0.5</v>
      </c>
      <c r="V30" s="91">
        <v>200</v>
      </c>
      <c r="W30" s="91">
        <v>300</v>
      </c>
      <c r="X30" s="91">
        <v>1000</v>
      </c>
      <c r="Y30" s="91">
        <v>1200</v>
      </c>
      <c r="Z30" s="91">
        <v>1600</v>
      </c>
      <c r="AA30" s="91">
        <v>1600</v>
      </c>
      <c r="AB30" s="91">
        <v>1800</v>
      </c>
      <c r="AC30" s="91">
        <v>2300</v>
      </c>
      <c r="AD30" s="315">
        <f t="shared" si="64"/>
        <v>14181.5</v>
      </c>
      <c r="AE30" s="23"/>
      <c r="AF30" s="316">
        <v>1500</v>
      </c>
      <c r="AG30" s="91">
        <v>1000</v>
      </c>
      <c r="AH30" s="91">
        <v>764</v>
      </c>
      <c r="AI30" s="91">
        <v>561</v>
      </c>
      <c r="AJ30" s="91">
        <v>1353</v>
      </c>
      <c r="AK30" s="91">
        <v>960</v>
      </c>
      <c r="AL30" s="91">
        <v>1500</v>
      </c>
      <c r="AM30" s="91">
        <v>1200</v>
      </c>
      <c r="AN30" s="91">
        <v>1200</v>
      </c>
      <c r="AO30" s="91">
        <v>1200</v>
      </c>
      <c r="AP30" s="91">
        <v>1320</v>
      </c>
      <c r="AQ30" s="91">
        <v>1920</v>
      </c>
      <c r="AR30" s="92">
        <f t="shared" si="65"/>
        <v>14478</v>
      </c>
      <c r="AS30" s="23"/>
      <c r="AT30" s="91">
        <v>1285</v>
      </c>
      <c r="AU30" s="91">
        <v>957</v>
      </c>
      <c r="AV30" s="91">
        <v>1426</v>
      </c>
      <c r="AW30" s="91">
        <v>1595</v>
      </c>
      <c r="AX30" s="317">
        <v>1767</v>
      </c>
      <c r="AY30" s="317">
        <v>1767</v>
      </c>
      <c r="AZ30" s="317">
        <v>1686</v>
      </c>
      <c r="BA30" s="317">
        <v>1686</v>
      </c>
      <c r="BB30" s="317">
        <v>1767</v>
      </c>
      <c r="BC30" s="317">
        <v>2088</v>
      </c>
      <c r="BD30" s="317">
        <v>2248</v>
      </c>
      <c r="BE30" s="317">
        <v>3212</v>
      </c>
      <c r="BF30" s="91">
        <f t="shared" si="66"/>
        <v>21484</v>
      </c>
      <c r="BG30" s="93">
        <f t="shared" si="67"/>
        <v>0.48390661693604087</v>
      </c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>
        <v>16952</v>
      </c>
      <c r="BU30" s="54"/>
      <c r="BV30" s="91">
        <v>2631.8999999999996</v>
      </c>
      <c r="BW30" s="91">
        <v>2034.84</v>
      </c>
      <c r="BX30" s="91">
        <f>'META  EM PEÇAS'!U33-('META  EM PEÇAS'!U33*0.05)</f>
        <v>2287.3815</v>
      </c>
      <c r="BY30" s="91">
        <f>'META  EM PEÇAS'!V33-('META  EM PEÇAS'!V33*0.05)</f>
        <v>2119.5164999999997</v>
      </c>
      <c r="BZ30" s="91">
        <f>'META  EM PEÇAS'!W33-('META  EM PEÇAS'!W33*0.05)</f>
        <v>2379.2655</v>
      </c>
      <c r="CA30" s="91">
        <f>'META  EM PEÇAS'!X33-('META  EM PEÇAS'!X33*0.05)</f>
        <v>2865.1904999999997</v>
      </c>
      <c r="CB30" s="91">
        <f>'META  EM PEÇAS'!Y33-('META  EM PEÇAS'!Y33*0.05)</f>
        <v>3445.6499999999996</v>
      </c>
      <c r="CC30" s="91">
        <f>'META  EM PEÇAS'!Z33-('META  EM PEÇAS'!Z33*0.05)</f>
        <v>2303.2844999999998</v>
      </c>
      <c r="CD30" s="91">
        <f>'META  EM PEÇAS'!AA33-('META  EM PEÇAS'!AA33*0.05)</f>
        <v>2388.9839999999999</v>
      </c>
      <c r="CE30" s="91">
        <f>'META  EM PEÇAS'!AB33-('META  EM PEÇAS'!AB33*0.05)</f>
        <v>2592.1889999999999</v>
      </c>
      <c r="CF30" s="91">
        <f>'META  EM PEÇAS'!AC33-('META  EM PEÇAS'!AC33*0.05)</f>
        <v>3321.0765000000001</v>
      </c>
      <c r="CG30" s="91">
        <f>'META  EM PEÇAS'!AD33-('META  EM PEÇAS'!AD33*0.05)</f>
        <v>4679.8995000000004</v>
      </c>
      <c r="CH30" s="91">
        <f t="shared" si="68"/>
        <v>33049.177499999998</v>
      </c>
      <c r="CJ30" s="91">
        <v>2631.8999999999996</v>
      </c>
      <c r="CK30" s="91">
        <v>2034.84</v>
      </c>
      <c r="CL30" s="91">
        <v>2287.3815</v>
      </c>
      <c r="CM30" s="91">
        <v>2119.5164999999997</v>
      </c>
      <c r="CN30" s="91">
        <v>2379.2655</v>
      </c>
      <c r="CO30" s="91">
        <v>2865.1904999999997</v>
      </c>
      <c r="CP30" s="91">
        <v>3445.6499999999996</v>
      </c>
      <c r="CQ30" s="91">
        <v>2303.2844999999998</v>
      </c>
      <c r="CR30" s="91">
        <v>2388.9839999999999</v>
      </c>
      <c r="CS30" s="91">
        <v>2592.1889999999999</v>
      </c>
      <c r="CT30" s="91">
        <v>3321.0765000000001</v>
      </c>
      <c r="CU30" s="91">
        <v>4679.8995000000004</v>
      </c>
      <c r="CV30" s="91">
        <v>33049.177499999998</v>
      </c>
    </row>
    <row r="31" spans="1:100" ht="15" customHeight="1" outlineLevel="1">
      <c r="A31" s="94">
        <v>10</v>
      </c>
      <c r="B31" s="1092" t="s">
        <v>65</v>
      </c>
      <c r="C31" s="1118"/>
      <c r="D31" s="313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314">
        <f t="shared" si="63"/>
        <v>0</v>
      </c>
      <c r="Q31" s="90"/>
      <c r="R31" s="313">
        <v>0</v>
      </c>
      <c r="S31" s="91">
        <v>0</v>
      </c>
      <c r="T31" s="91">
        <v>0</v>
      </c>
      <c r="U31" s="91">
        <v>0</v>
      </c>
      <c r="V31" s="91">
        <v>3500</v>
      </c>
      <c r="W31" s="91">
        <v>350</v>
      </c>
      <c r="X31" s="91">
        <v>800</v>
      </c>
      <c r="Y31" s="91">
        <v>1000</v>
      </c>
      <c r="Z31" s="91">
        <v>1600</v>
      </c>
      <c r="AA31" s="91">
        <v>2000</v>
      </c>
      <c r="AB31" s="91">
        <v>2400</v>
      </c>
      <c r="AC31" s="91">
        <v>3000</v>
      </c>
      <c r="AD31" s="315">
        <f t="shared" si="64"/>
        <v>14650</v>
      </c>
      <c r="AE31" s="23"/>
      <c r="AF31" s="316">
        <v>2500</v>
      </c>
      <c r="AG31" s="91">
        <v>1000</v>
      </c>
      <c r="AH31" s="91">
        <f>2500*0.15</f>
        <v>375</v>
      </c>
      <c r="AI31" s="91">
        <v>787</v>
      </c>
      <c r="AJ31" s="91">
        <v>1569</v>
      </c>
      <c r="AK31" s="91">
        <v>2000</v>
      </c>
      <c r="AL31" s="91">
        <v>2500</v>
      </c>
      <c r="AM31" s="91">
        <v>2500</v>
      </c>
      <c r="AN31" s="91">
        <v>2500</v>
      </c>
      <c r="AO31" s="91">
        <v>2500</v>
      </c>
      <c r="AP31" s="91">
        <v>2750</v>
      </c>
      <c r="AQ31" s="91">
        <v>4000</v>
      </c>
      <c r="AR31" s="92">
        <f t="shared" si="65"/>
        <v>24981</v>
      </c>
      <c r="AS31" s="23"/>
      <c r="AT31" s="91">
        <v>1806</v>
      </c>
      <c r="AU31" s="91">
        <v>2046</v>
      </c>
      <c r="AV31" s="91">
        <v>1646</v>
      </c>
      <c r="AW31" s="91">
        <v>1902</v>
      </c>
      <c r="AX31" s="317">
        <v>1545</v>
      </c>
      <c r="AY31" s="317">
        <v>1545</v>
      </c>
      <c r="AZ31" s="317">
        <v>1475</v>
      </c>
      <c r="BA31" s="317">
        <v>1475</v>
      </c>
      <c r="BB31" s="317">
        <v>1545</v>
      </c>
      <c r="BC31" s="317">
        <v>1826</v>
      </c>
      <c r="BD31" s="317">
        <v>0</v>
      </c>
      <c r="BE31" s="317">
        <v>0</v>
      </c>
      <c r="BF31" s="91">
        <f t="shared" si="66"/>
        <v>16811</v>
      </c>
      <c r="BG31" s="93">
        <f t="shared" si="67"/>
        <v>-0.32704855690324641</v>
      </c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>
        <v>10230</v>
      </c>
      <c r="BU31" s="54"/>
      <c r="BV31" s="91">
        <v>1335.48</v>
      </c>
      <c r="BW31" s="91">
        <v>1032.3</v>
      </c>
      <c r="BX31" s="91">
        <f>'META  EM PEÇAS'!U39-('META  EM PEÇAS'!U39*0.05)</f>
        <v>1160.0355</v>
      </c>
      <c r="BY31" s="91">
        <f>'META  EM PEÇAS'!V39-('META  EM PEÇAS'!V39*0.05)</f>
        <v>1075.2194999999999</v>
      </c>
      <c r="BZ31" s="91">
        <f>'META  EM PEÇAS'!W39-('META  EM PEÇAS'!W39*0.05)</f>
        <v>1206.8609999999999</v>
      </c>
      <c r="CA31" s="91">
        <f>'META  EM PEÇAS'!X39-('META  EM PEÇAS'!X39*0.05)</f>
        <v>1453.3574999999998</v>
      </c>
      <c r="CB31" s="91">
        <f>'META  EM PEÇAS'!Y39-('META  EM PEÇAS'!Y39*0.05)</f>
        <v>1747.5629999999999</v>
      </c>
      <c r="CC31" s="91">
        <f>'META  EM PEÇAS'!Z39-('META  EM PEÇAS'!Z39*0.05)</f>
        <v>1168.8705</v>
      </c>
      <c r="CD31" s="91">
        <f>'META  EM PEÇAS'!AA39-('META  EM PEÇAS'!AA39*0.05)</f>
        <v>1212.1619999999998</v>
      </c>
      <c r="CE31" s="91">
        <f>'META  EM PEÇAS'!AB39-('META  EM PEÇAS'!AB39*0.05)</f>
        <v>1314.6479999999999</v>
      </c>
      <c r="CF31" s="91">
        <f>'META  EM PEÇAS'!AC39-('META  EM PEÇAS'!AC39*0.05)</f>
        <v>1684.8344999999999</v>
      </c>
      <c r="CG31" s="91">
        <f>'META  EM PEÇAS'!AD39-('META  EM PEÇAS'!AD39*0.05)</f>
        <v>2373.9645</v>
      </c>
      <c r="CH31" s="91">
        <f t="shared" si="68"/>
        <v>16765.295999999995</v>
      </c>
      <c r="CJ31" s="91">
        <v>1335.48</v>
      </c>
      <c r="CK31" s="91">
        <v>1032.3</v>
      </c>
      <c r="CL31" s="91">
        <v>1160.0355</v>
      </c>
      <c r="CM31" s="91">
        <v>1075.2194999999999</v>
      </c>
      <c r="CN31" s="91">
        <v>1206.8609999999999</v>
      </c>
      <c r="CO31" s="91">
        <v>1453.3574999999998</v>
      </c>
      <c r="CP31" s="91">
        <v>1747.5629999999999</v>
      </c>
      <c r="CQ31" s="91">
        <v>1168.8705</v>
      </c>
      <c r="CR31" s="91">
        <v>1212.1619999999998</v>
      </c>
      <c r="CS31" s="91">
        <v>1314.6479999999999</v>
      </c>
      <c r="CT31" s="91">
        <v>1684.8344999999999</v>
      </c>
      <c r="CU31" s="91">
        <v>2373.9645</v>
      </c>
      <c r="CV31" s="91">
        <v>16765.295999999995</v>
      </c>
    </row>
    <row r="32" spans="1:100" ht="15" customHeight="1" outlineLevel="1">
      <c r="A32" s="94">
        <v>11</v>
      </c>
      <c r="B32" s="210" t="s">
        <v>66</v>
      </c>
      <c r="C32" s="211"/>
      <c r="D32" s="313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314">
        <f t="shared" si="63"/>
        <v>0</v>
      </c>
      <c r="Q32" s="90"/>
      <c r="R32" s="313">
        <v>0</v>
      </c>
      <c r="S32" s="91">
        <v>0</v>
      </c>
      <c r="T32" s="91">
        <v>0</v>
      </c>
      <c r="U32" s="91">
        <v>0</v>
      </c>
      <c r="V32" s="91">
        <v>4000</v>
      </c>
      <c r="W32" s="91">
        <v>100</v>
      </c>
      <c r="X32" s="91">
        <v>800</v>
      </c>
      <c r="Y32" s="91">
        <v>800</v>
      </c>
      <c r="Z32" s="91">
        <v>1200</v>
      </c>
      <c r="AA32" s="91">
        <v>1200</v>
      </c>
      <c r="AB32" s="91">
        <v>1800</v>
      </c>
      <c r="AC32" s="91">
        <v>2300</v>
      </c>
      <c r="AD32" s="315">
        <f t="shared" si="64"/>
        <v>12200</v>
      </c>
      <c r="AE32" s="23"/>
      <c r="AF32" s="316">
        <v>1500</v>
      </c>
      <c r="AG32" s="91">
        <v>1000</v>
      </c>
      <c r="AH32" s="91">
        <f t="shared" ref="AH32:AH33" si="71">1500*0.15</f>
        <v>225</v>
      </c>
      <c r="AI32" s="91">
        <v>324</v>
      </c>
      <c r="AJ32" s="91">
        <v>869</v>
      </c>
      <c r="AK32" s="91">
        <v>800</v>
      </c>
      <c r="AL32" s="91">
        <v>1500</v>
      </c>
      <c r="AM32" s="91">
        <v>1000</v>
      </c>
      <c r="AN32" s="91">
        <v>1000</v>
      </c>
      <c r="AO32" s="91">
        <v>1000</v>
      </c>
      <c r="AP32" s="91">
        <v>1100</v>
      </c>
      <c r="AQ32" s="91">
        <v>1600</v>
      </c>
      <c r="AR32" s="92">
        <f t="shared" si="65"/>
        <v>11918</v>
      </c>
      <c r="AS32" s="23"/>
      <c r="AT32" s="91">
        <v>1191</v>
      </c>
      <c r="AU32" s="91">
        <v>1191</v>
      </c>
      <c r="AV32" s="91">
        <v>1191</v>
      </c>
      <c r="AW32" s="91">
        <v>1191</v>
      </c>
      <c r="AX32" s="317">
        <v>876</v>
      </c>
      <c r="AY32" s="317">
        <v>876</v>
      </c>
      <c r="AZ32" s="317">
        <v>836</v>
      </c>
      <c r="BA32" s="317">
        <v>836</v>
      </c>
      <c r="BB32" s="317">
        <v>876</v>
      </c>
      <c r="BC32" s="317">
        <v>1035</v>
      </c>
      <c r="BD32" s="317">
        <v>0</v>
      </c>
      <c r="BE32" s="317">
        <v>0</v>
      </c>
      <c r="BF32" s="91">
        <f t="shared" si="66"/>
        <v>10099</v>
      </c>
      <c r="BG32" s="93">
        <f t="shared" si="67"/>
        <v>-0.15262627957711028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>
        <v>7342</v>
      </c>
      <c r="BU32" s="54"/>
      <c r="BV32" s="91">
        <v>1643.31</v>
      </c>
      <c r="BW32" s="91">
        <v>1270.3799999999999</v>
      </c>
      <c r="BX32" s="91">
        <f>'META  EM PEÇAS'!U40-('META  EM PEÇAS'!U40*0.05)</f>
        <v>1427.7359999999999</v>
      </c>
      <c r="BY32" s="91">
        <f>'META  EM PEÇAS'!V40-('META  EM PEÇAS'!V40*0.05)</f>
        <v>1323.4829999999999</v>
      </c>
      <c r="BZ32" s="91">
        <f>'META  EM PEÇAS'!W40-('META  EM PEÇAS'!W40*0.05)</f>
        <v>1485.1634999999999</v>
      </c>
      <c r="CA32" s="91">
        <f>'META  EM PEÇAS'!X40-('META  EM PEÇAS'!X40*0.05)</f>
        <v>1788.204</v>
      </c>
      <c r="CB32" s="91">
        <f>'META  EM PEÇAS'!Y40-('META  EM PEÇAS'!Y40*0.05)</f>
        <v>2151.3224999999998</v>
      </c>
      <c r="CC32" s="91">
        <f>'META  EM PEÇAS'!Z40-('META  EM PEÇAS'!Z40*0.05)</f>
        <v>1438.338</v>
      </c>
      <c r="CD32" s="91">
        <f>'META  EM PEÇAS'!AA40-('META  EM PEÇAS'!AA40*0.05)</f>
        <v>1491.348</v>
      </c>
      <c r="CE32" s="91">
        <f>'META  EM PEÇAS'!AB40-('META  EM PEÇAS'!AB40*0.05)</f>
        <v>1618.5719999999999</v>
      </c>
      <c r="CF32" s="91">
        <f>'META  EM PEÇAS'!AC40-('META  EM PEÇAS'!AC40*0.05)</f>
        <v>2073.5745000000002</v>
      </c>
      <c r="CG32" s="91">
        <f>'META  EM PEÇAS'!AD40-('META  EM PEÇAS'!AD40*0.05)</f>
        <v>2921.7344999999996</v>
      </c>
      <c r="CH32" s="91">
        <f t="shared" si="68"/>
        <v>20633.165999999997</v>
      </c>
      <c r="CJ32" s="91">
        <v>1643.31</v>
      </c>
      <c r="CK32" s="91">
        <v>1270.3799999999999</v>
      </c>
      <c r="CL32" s="91">
        <v>1427.7359999999999</v>
      </c>
      <c r="CM32" s="91">
        <v>1323.4829999999999</v>
      </c>
      <c r="CN32" s="91">
        <v>1485.1634999999999</v>
      </c>
      <c r="CO32" s="91">
        <v>1788.204</v>
      </c>
      <c r="CP32" s="91">
        <v>2151.3224999999998</v>
      </c>
      <c r="CQ32" s="91">
        <v>1438.338</v>
      </c>
      <c r="CR32" s="91">
        <v>1491.348</v>
      </c>
      <c r="CS32" s="91">
        <v>1618.5719999999999</v>
      </c>
      <c r="CT32" s="91">
        <v>2073.5745000000002</v>
      </c>
      <c r="CU32" s="91">
        <v>2921.7344999999996</v>
      </c>
      <c r="CV32" s="91">
        <v>20633.165999999997</v>
      </c>
    </row>
    <row r="33" spans="1:100" ht="15" customHeight="1" outlineLevel="1">
      <c r="A33" s="94">
        <v>12</v>
      </c>
      <c r="B33" s="210" t="s">
        <v>67</v>
      </c>
      <c r="C33" s="211"/>
      <c r="D33" s="313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314">
        <f t="shared" si="63"/>
        <v>0</v>
      </c>
      <c r="Q33" s="90"/>
      <c r="R33" s="313">
        <v>0</v>
      </c>
      <c r="S33" s="91">
        <v>0</v>
      </c>
      <c r="T33" s="91">
        <v>0</v>
      </c>
      <c r="U33" s="91">
        <v>0</v>
      </c>
      <c r="V33" s="91">
        <v>4000</v>
      </c>
      <c r="W33" s="91">
        <v>0</v>
      </c>
      <c r="X33" s="91">
        <v>800</v>
      </c>
      <c r="Y33" s="91">
        <v>1000</v>
      </c>
      <c r="Z33" s="91">
        <v>1200</v>
      </c>
      <c r="AA33" s="91">
        <v>1200</v>
      </c>
      <c r="AB33" s="91">
        <v>1800</v>
      </c>
      <c r="AC33" s="91">
        <v>2300</v>
      </c>
      <c r="AD33" s="315">
        <f t="shared" si="64"/>
        <v>12300</v>
      </c>
      <c r="AE33" s="23"/>
      <c r="AF33" s="316">
        <v>1500</v>
      </c>
      <c r="AG33" s="91">
        <v>1200</v>
      </c>
      <c r="AH33" s="91">
        <f t="shared" si="71"/>
        <v>225</v>
      </c>
      <c r="AI33" s="91">
        <v>332</v>
      </c>
      <c r="AJ33" s="91">
        <v>945</v>
      </c>
      <c r="AK33" s="91">
        <v>960</v>
      </c>
      <c r="AL33" s="91">
        <v>1500</v>
      </c>
      <c r="AM33" s="91">
        <v>1200</v>
      </c>
      <c r="AN33" s="91">
        <v>1200</v>
      </c>
      <c r="AO33" s="91">
        <v>1200</v>
      </c>
      <c r="AP33" s="91">
        <v>1320</v>
      </c>
      <c r="AQ33" s="91">
        <v>1920</v>
      </c>
      <c r="AR33" s="92">
        <f t="shared" si="65"/>
        <v>13502</v>
      </c>
      <c r="AS33" s="23"/>
      <c r="AT33" s="91">
        <v>1254</v>
      </c>
      <c r="AU33" s="91">
        <v>1254</v>
      </c>
      <c r="AV33" s="91">
        <v>1254</v>
      </c>
      <c r="AW33" s="91">
        <v>1254</v>
      </c>
      <c r="AX33" s="317">
        <v>1236</v>
      </c>
      <c r="AY33" s="317">
        <v>1236</v>
      </c>
      <c r="AZ33" s="317">
        <v>0</v>
      </c>
      <c r="BA33" s="317">
        <v>0</v>
      </c>
      <c r="BB33" s="317">
        <v>0</v>
      </c>
      <c r="BC33" s="317">
        <v>0</v>
      </c>
      <c r="BD33" s="317">
        <v>0</v>
      </c>
      <c r="BE33" s="317">
        <v>0</v>
      </c>
      <c r="BF33" s="91">
        <f t="shared" si="66"/>
        <v>7488</v>
      </c>
      <c r="BG33" s="93">
        <f t="shared" si="67"/>
        <v>-0.44541549400088876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>
        <v>16899</v>
      </c>
      <c r="BU33" s="54"/>
      <c r="BV33" s="91">
        <v>2552.85</v>
      </c>
      <c r="BW33" s="91">
        <v>1973.4599999999998</v>
      </c>
      <c r="BX33" s="91">
        <f>'META  EM PEÇAS'!U34-('META  EM PEÇAS'!U34*0.05)</f>
        <v>2218.4684999999999</v>
      </c>
      <c r="BY33" s="91">
        <f>'META  EM PEÇAS'!V34-('META  EM PEÇAS'!V34*0.05)</f>
        <v>2056.788</v>
      </c>
      <c r="BZ33" s="91">
        <f>'META  EM PEÇAS'!W34-('META  EM PEÇAS'!W34*0.05)</f>
        <v>2307.7019999999998</v>
      </c>
      <c r="CA33" s="91">
        <f>'META  EM PEÇAS'!X34-('META  EM PEÇAS'!X34*0.05)</f>
        <v>2778.6075000000001</v>
      </c>
      <c r="CB33" s="91">
        <f>'META  EM PEÇAS'!Y34-('META  EM PEÇAS'!Y34*0.05)</f>
        <v>3342.2804999999998</v>
      </c>
      <c r="CC33" s="91">
        <f>'META  EM PEÇAS'!Z34-('META  EM PEÇAS'!Z34*0.05)</f>
        <v>2234.3714999999997</v>
      </c>
      <c r="CD33" s="91">
        <f>'META  EM PEÇAS'!AA34-('META  EM PEÇAS'!AA34*0.05)</f>
        <v>2317.4204999999997</v>
      </c>
      <c r="CE33" s="91">
        <f>'META  EM PEÇAS'!AB34-('META  EM PEÇAS'!AB34*0.05)</f>
        <v>2514.4409999999998</v>
      </c>
      <c r="CF33" s="91">
        <f>'META  EM PEÇAS'!AC34-('META  EM PEÇAS'!AC34*0.05)</f>
        <v>3221.241</v>
      </c>
      <c r="CG33" s="91">
        <f>'META  EM PEÇAS'!AD34-('META  EM PEÇAS'!AD34*0.05)</f>
        <v>4539.4229999999989</v>
      </c>
      <c r="CH33" s="91">
        <f t="shared" si="68"/>
        <v>32057.053499999998</v>
      </c>
      <c r="CJ33" s="91">
        <v>2552.85</v>
      </c>
      <c r="CK33" s="91">
        <v>1973.4599999999998</v>
      </c>
      <c r="CL33" s="91">
        <v>2218.4684999999999</v>
      </c>
      <c r="CM33" s="91">
        <v>2056.788</v>
      </c>
      <c r="CN33" s="91">
        <v>2307.7019999999998</v>
      </c>
      <c r="CO33" s="91">
        <v>2778.6075000000001</v>
      </c>
      <c r="CP33" s="91">
        <v>3342.2804999999998</v>
      </c>
      <c r="CQ33" s="91">
        <v>2234.3714999999997</v>
      </c>
      <c r="CR33" s="91">
        <v>2317.4204999999997</v>
      </c>
      <c r="CS33" s="91">
        <v>2514.4409999999998</v>
      </c>
      <c r="CT33" s="91">
        <v>3221.241</v>
      </c>
      <c r="CU33" s="91">
        <v>4539.4229999999989</v>
      </c>
      <c r="CV33" s="91">
        <v>32057.053499999998</v>
      </c>
    </row>
    <row r="34" spans="1:100" ht="15" customHeight="1" outlineLevel="1">
      <c r="A34" s="94">
        <v>13</v>
      </c>
      <c r="B34" s="210" t="s">
        <v>68</v>
      </c>
      <c r="C34" s="212"/>
      <c r="D34" s="313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si="63"/>
        <v>0</v>
      </c>
      <c r="Q34" s="90"/>
      <c r="R34" s="313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2000</v>
      </c>
      <c r="Y34" s="91">
        <v>800</v>
      </c>
      <c r="Z34" s="91">
        <v>800</v>
      </c>
      <c r="AA34" s="91">
        <v>1200</v>
      </c>
      <c r="AB34" s="91">
        <v>1800</v>
      </c>
      <c r="AC34" s="91">
        <v>2300</v>
      </c>
      <c r="AD34" s="315">
        <f t="shared" si="64"/>
        <v>8900</v>
      </c>
      <c r="AE34" s="23"/>
      <c r="AF34" s="316">
        <v>1800</v>
      </c>
      <c r="AG34" s="91">
        <v>1200</v>
      </c>
      <c r="AH34" s="91">
        <f>1800*0.15</f>
        <v>270</v>
      </c>
      <c r="AI34" s="91">
        <v>896</v>
      </c>
      <c r="AJ34" s="91">
        <v>1339</v>
      </c>
      <c r="AK34" s="91">
        <v>1600</v>
      </c>
      <c r="AL34" s="91">
        <v>1800</v>
      </c>
      <c r="AM34" s="91">
        <v>2000</v>
      </c>
      <c r="AN34" s="91">
        <v>2000</v>
      </c>
      <c r="AO34" s="91">
        <v>2000</v>
      </c>
      <c r="AP34" s="91">
        <v>2200</v>
      </c>
      <c r="AQ34" s="91">
        <v>3200</v>
      </c>
      <c r="AR34" s="92">
        <f t="shared" si="65"/>
        <v>20305</v>
      </c>
      <c r="AS34" s="23"/>
      <c r="AT34" s="91">
        <v>1980</v>
      </c>
      <c r="AU34" s="91">
        <v>1980</v>
      </c>
      <c r="AV34" s="91">
        <v>1980</v>
      </c>
      <c r="AW34" s="91">
        <v>1980</v>
      </c>
      <c r="AX34" s="317">
        <v>1409</v>
      </c>
      <c r="AY34" s="317">
        <v>1409</v>
      </c>
      <c r="AZ34" s="317">
        <v>1345</v>
      </c>
      <c r="BA34" s="317">
        <v>1345</v>
      </c>
      <c r="BB34" s="317">
        <v>1409</v>
      </c>
      <c r="BC34" s="317">
        <v>1665</v>
      </c>
      <c r="BD34" s="317">
        <v>1793</v>
      </c>
      <c r="BE34" s="317">
        <v>2562</v>
      </c>
      <c r="BF34" s="91">
        <f t="shared" si="66"/>
        <v>20857</v>
      </c>
      <c r="BG34" s="93">
        <f t="shared" si="67"/>
        <v>2.7185422309775831E-2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>
        <v>11555</v>
      </c>
      <c r="BU34" s="54"/>
      <c r="BV34" s="91">
        <v>1903.7099999999998</v>
      </c>
      <c r="BW34" s="91">
        <v>1471.26</v>
      </c>
      <c r="BX34" s="91">
        <f>'META  EM PEÇAS'!U35-('META  EM PEÇAS'!U35*0.05)</f>
        <v>1654.7954999999999</v>
      </c>
      <c r="BY34" s="91">
        <f>'META  EM PEÇAS'!V35-('META  EM PEÇAS'!V35*0.05)</f>
        <v>1533.7559999999999</v>
      </c>
      <c r="BZ34" s="91">
        <f>'META  EM PEÇAS'!W35-('META  EM PEÇAS'!W35*0.05)</f>
        <v>1721.058</v>
      </c>
      <c r="CA34" s="91">
        <f>'META  EM PEÇAS'!X35-('META  EM PEÇAS'!X35*0.05)</f>
        <v>2071.8074999999999</v>
      </c>
      <c r="CB34" s="91">
        <f>'META  EM PEÇAS'!Y35-('META  EM PEÇAS'!Y35*0.05)</f>
        <v>2492.3534999999997</v>
      </c>
      <c r="CC34" s="91">
        <f>'META  EM PEÇAS'!Z35-('META  EM PEÇAS'!Z35*0.05)</f>
        <v>1666.2809999999997</v>
      </c>
      <c r="CD34" s="91">
        <f>'META  EM PEÇAS'!AA35-('META  EM PEÇAS'!AA35*0.05)</f>
        <v>1728.126</v>
      </c>
      <c r="CE34" s="91">
        <f>'META  EM PEÇAS'!AB35-('META  EM PEÇAS'!AB35*0.05)</f>
        <v>1874.7869999999998</v>
      </c>
      <c r="CF34" s="91">
        <f>'META  EM PEÇAS'!AC35-('META  EM PEÇAS'!AC35*0.05)</f>
        <v>2402.2364999999995</v>
      </c>
      <c r="CG34" s="91">
        <f>'META  EM PEÇAS'!AD35-('META  EM PEÇAS'!AD35*0.05)</f>
        <v>3384.6884999999997</v>
      </c>
      <c r="CH34" s="91">
        <f t="shared" si="68"/>
        <v>23904.859499999995</v>
      </c>
      <c r="CJ34" s="91">
        <v>1903.7099999999998</v>
      </c>
      <c r="CK34" s="91">
        <v>1471.26</v>
      </c>
      <c r="CL34" s="91">
        <v>1654.7954999999999</v>
      </c>
      <c r="CM34" s="91">
        <v>1533.7559999999999</v>
      </c>
      <c r="CN34" s="91">
        <v>1721.058</v>
      </c>
      <c r="CO34" s="91">
        <v>2071.8074999999999</v>
      </c>
      <c r="CP34" s="91">
        <v>2492.3534999999997</v>
      </c>
      <c r="CQ34" s="91">
        <v>1666.2809999999997</v>
      </c>
      <c r="CR34" s="91">
        <v>1728.126</v>
      </c>
      <c r="CS34" s="91">
        <v>1874.7869999999998</v>
      </c>
      <c r="CT34" s="91">
        <v>2402.2364999999995</v>
      </c>
      <c r="CU34" s="91">
        <v>3384.6884999999997</v>
      </c>
      <c r="CV34" s="91">
        <v>23904.859499999995</v>
      </c>
    </row>
    <row r="35" spans="1:100" ht="15" customHeight="1" outlineLevel="1">
      <c r="A35" s="94">
        <v>14</v>
      </c>
      <c r="B35" s="210" t="s">
        <v>69</v>
      </c>
      <c r="C35" s="212"/>
      <c r="D35" s="313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/>
      <c r="Q35" s="90"/>
      <c r="R35" s="313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2000</v>
      </c>
      <c r="Z35" s="91">
        <v>800</v>
      </c>
      <c r="AA35" s="91">
        <v>800</v>
      </c>
      <c r="AB35" s="91">
        <v>1200</v>
      </c>
      <c r="AC35" s="91">
        <v>1800</v>
      </c>
      <c r="AD35" s="315">
        <f t="shared" si="64"/>
        <v>6600</v>
      </c>
      <c r="AE35" s="23"/>
      <c r="AF35" s="316">
        <v>1500</v>
      </c>
      <c r="AG35" s="91">
        <v>1200</v>
      </c>
      <c r="AH35" s="91">
        <f>1500*0.15</f>
        <v>225</v>
      </c>
      <c r="AI35" s="91">
        <v>374</v>
      </c>
      <c r="AJ35" s="91">
        <v>990</v>
      </c>
      <c r="AK35" s="91">
        <v>960</v>
      </c>
      <c r="AL35" s="91">
        <v>1800</v>
      </c>
      <c r="AM35" s="91">
        <v>1200</v>
      </c>
      <c r="AN35" s="91">
        <v>1200</v>
      </c>
      <c r="AO35" s="91">
        <v>1200</v>
      </c>
      <c r="AP35" s="91">
        <v>1320</v>
      </c>
      <c r="AQ35" s="91">
        <v>1920</v>
      </c>
      <c r="AR35" s="92">
        <f t="shared" si="65"/>
        <v>13889</v>
      </c>
      <c r="AS35" s="23"/>
      <c r="AT35" s="91">
        <v>1518</v>
      </c>
      <c r="AU35" s="91">
        <v>1518</v>
      </c>
      <c r="AV35" s="91">
        <v>1518</v>
      </c>
      <c r="AW35" s="91">
        <v>1518</v>
      </c>
      <c r="AX35" s="317">
        <v>1276</v>
      </c>
      <c r="AY35" s="317">
        <v>1276</v>
      </c>
      <c r="AZ35" s="317">
        <v>1218</v>
      </c>
      <c r="BA35" s="317">
        <v>1218</v>
      </c>
      <c r="BB35" s="317">
        <v>1276</v>
      </c>
      <c r="BC35" s="317">
        <v>1508</v>
      </c>
      <c r="BD35" s="317">
        <v>1624</v>
      </c>
      <c r="BE35" s="317">
        <v>2320</v>
      </c>
      <c r="BF35" s="91">
        <f t="shared" si="66"/>
        <v>17788</v>
      </c>
      <c r="BG35" s="93">
        <f t="shared" si="67"/>
        <v>0.2807257541939665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>
        <v>19018</v>
      </c>
      <c r="BU35" s="54"/>
      <c r="BV35" s="91">
        <v>2737.9199999999996</v>
      </c>
      <c r="BW35" s="91">
        <v>2116.6799999999998</v>
      </c>
      <c r="BX35" s="91">
        <f>'META  EM PEÇAS'!U36-('META  EM PEÇAS'!U36*0.05)</f>
        <v>2379.2655</v>
      </c>
      <c r="BY35" s="91">
        <f>'META  EM PEÇAS'!V36-('META  EM PEÇAS'!V36*0.05)</f>
        <v>2205.2159999999999</v>
      </c>
      <c r="BZ35" s="91">
        <f>'META  EM PEÇAS'!W36-('META  EM PEÇAS'!W36*0.05)</f>
        <v>2474.6834999999996</v>
      </c>
      <c r="CA35" s="91">
        <f>'META  EM PEÇAS'!X36-('META  EM PEÇAS'!X36*0.05)</f>
        <v>2980.0454999999997</v>
      </c>
      <c r="CB35" s="91">
        <f>'META  EM PEÇAS'!Y36-('META  EM PEÇAS'!Y36*0.05)</f>
        <v>3584.3594999999996</v>
      </c>
      <c r="CC35" s="91">
        <f>'META  EM PEÇAS'!Z36-('META  EM PEÇAS'!Z36*0.05)</f>
        <v>2396.0519999999997</v>
      </c>
      <c r="CD35" s="91">
        <f>'META  EM PEÇAS'!AA36-('META  EM PEÇAS'!AA36*0.05)</f>
        <v>2485.2854999999995</v>
      </c>
      <c r="CE35" s="91">
        <f>'META  EM PEÇAS'!AB36-('META  EM PEÇAS'!AB36*0.05)</f>
        <v>2696.4419999999996</v>
      </c>
      <c r="CF35" s="91">
        <f>'META  EM PEÇAS'!AC36-('META  EM PEÇAS'!AC36*0.05)</f>
        <v>3454.4849999999997</v>
      </c>
      <c r="CG35" s="91">
        <f>'META  EM PEÇAS'!AD36-('META  EM PEÇAS'!AD36*0.05)</f>
        <v>4868.0849999999991</v>
      </c>
      <c r="CH35" s="91">
        <f t="shared" si="68"/>
        <v>34378.519499999995</v>
      </c>
      <c r="CJ35" s="91">
        <v>2737.9199999999996</v>
      </c>
      <c r="CK35" s="91">
        <v>2116.6799999999998</v>
      </c>
      <c r="CL35" s="91">
        <v>2379.2655</v>
      </c>
      <c r="CM35" s="91">
        <v>2205.2159999999999</v>
      </c>
      <c r="CN35" s="91">
        <v>2474.6834999999996</v>
      </c>
      <c r="CO35" s="91">
        <v>2980.0454999999997</v>
      </c>
      <c r="CP35" s="91">
        <v>3584.3594999999996</v>
      </c>
      <c r="CQ35" s="91">
        <v>2396.0519999999997</v>
      </c>
      <c r="CR35" s="91">
        <v>2485.2854999999995</v>
      </c>
      <c r="CS35" s="91">
        <v>2696.4419999999996</v>
      </c>
      <c r="CT35" s="91">
        <v>3454.4849999999997</v>
      </c>
      <c r="CU35" s="91">
        <v>4868.0849999999991</v>
      </c>
      <c r="CV35" s="91">
        <v>34378.519499999995</v>
      </c>
    </row>
    <row r="36" spans="1:100" ht="15" customHeight="1" outlineLevel="1">
      <c r="A36" s="94">
        <v>15</v>
      </c>
      <c r="B36" s="210" t="s">
        <v>70</v>
      </c>
      <c r="C36" s="212"/>
      <c r="D36" s="313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/>
      <c r="Q36" s="90"/>
      <c r="R36" s="313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2000</v>
      </c>
      <c r="AA36" s="91">
        <v>800</v>
      </c>
      <c r="AB36" s="91">
        <v>800</v>
      </c>
      <c r="AC36" s="91">
        <v>1500</v>
      </c>
      <c r="AD36" s="315">
        <f t="shared" si="64"/>
        <v>5100</v>
      </c>
      <c r="AE36" s="23"/>
      <c r="AF36" s="316">
        <v>1800</v>
      </c>
      <c r="AG36" s="91">
        <v>1200</v>
      </c>
      <c r="AH36" s="91">
        <f>1800*0.4</f>
        <v>720</v>
      </c>
      <c r="AI36" s="91">
        <v>1147</v>
      </c>
      <c r="AJ36" s="91">
        <v>1155</v>
      </c>
      <c r="AK36" s="91">
        <v>1600</v>
      </c>
      <c r="AL36" s="91">
        <v>1800</v>
      </c>
      <c r="AM36" s="91">
        <v>2000</v>
      </c>
      <c r="AN36" s="91">
        <v>2000</v>
      </c>
      <c r="AO36" s="91">
        <v>2000</v>
      </c>
      <c r="AP36" s="91">
        <v>2200</v>
      </c>
      <c r="AQ36" s="91">
        <v>3200</v>
      </c>
      <c r="AR36" s="92">
        <f t="shared" si="65"/>
        <v>20822</v>
      </c>
      <c r="AS36" s="23"/>
      <c r="AT36" s="91">
        <v>1544</v>
      </c>
      <c r="AU36" s="91">
        <v>1544</v>
      </c>
      <c r="AV36" s="91">
        <v>1544</v>
      </c>
      <c r="AW36" s="91">
        <v>1544</v>
      </c>
      <c r="AX36" s="317">
        <v>862</v>
      </c>
      <c r="AY36" s="317">
        <v>862</v>
      </c>
      <c r="AZ36" s="317">
        <v>823</v>
      </c>
      <c r="BA36" s="317">
        <v>823</v>
      </c>
      <c r="BB36" s="317">
        <v>862</v>
      </c>
      <c r="BC36" s="317">
        <v>1019</v>
      </c>
      <c r="BD36" s="317">
        <v>1098</v>
      </c>
      <c r="BE36" s="317">
        <v>1568</v>
      </c>
      <c r="BF36" s="91">
        <f t="shared" si="66"/>
        <v>14093</v>
      </c>
      <c r="BG36" s="93">
        <f t="shared" si="67"/>
        <v>-0.32316780328498707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>
        <v>21133</v>
      </c>
      <c r="BU36" s="54"/>
      <c r="BV36" s="91">
        <v>3593.52</v>
      </c>
      <c r="BW36" s="91">
        <v>2776.98</v>
      </c>
      <c r="BX36" s="91">
        <f>'META  EM PEÇAS'!U38-('META  EM PEÇAS'!U38*0.05)</f>
        <v>3122.2889999999998</v>
      </c>
      <c r="BY36" s="91">
        <f>'META  EM PEÇAS'!V38-('META  EM PEÇAS'!V38*0.05)</f>
        <v>2893.4625000000001</v>
      </c>
      <c r="BZ36" s="91">
        <f>'META  EM PEÇAS'!W38-('META  EM PEÇAS'!W38*0.05)</f>
        <v>3247.7459999999996</v>
      </c>
      <c r="CA36" s="91">
        <f>'META  EM PEÇAS'!X38-('META  EM PEÇAS'!X38*0.05)</f>
        <v>3910.3709999999992</v>
      </c>
      <c r="CB36" s="91">
        <f>'META  EM PEÇAS'!Y38-('META  EM PEÇAS'!Y38*0.05)</f>
        <v>4703.7539999999999</v>
      </c>
      <c r="CC36" s="91">
        <f>'META  EM PEÇAS'!Z38-('META  EM PEÇAS'!Z38*0.05)</f>
        <v>3144.3764999999999</v>
      </c>
      <c r="CD36" s="91">
        <f>'META  EM PEÇAS'!AA38-('META  EM PEÇAS'!AA38*0.05)</f>
        <v>3260.9984999999997</v>
      </c>
      <c r="CE36" s="91">
        <f>'META  EM PEÇAS'!AB38-('META  EM PEÇAS'!AB38*0.05)</f>
        <v>3539.3009999999999</v>
      </c>
      <c r="CF36" s="91">
        <f>'META  EM PEÇAS'!AC38-('META  EM PEÇAS'!AC38*0.05)</f>
        <v>4533.2384999999995</v>
      </c>
      <c r="CG36" s="91">
        <f>'META  EM PEÇAS'!AD38-('META  EM PEÇAS'!AD38*0.05)</f>
        <v>6387.7049999999999</v>
      </c>
      <c r="CH36" s="91">
        <f t="shared" si="68"/>
        <v>45113.741999999998</v>
      </c>
      <c r="CJ36" s="91">
        <v>3593.52</v>
      </c>
      <c r="CK36" s="91">
        <v>2776.98</v>
      </c>
      <c r="CL36" s="91">
        <v>3122.2889999999998</v>
      </c>
      <c r="CM36" s="91">
        <v>2893.4625000000001</v>
      </c>
      <c r="CN36" s="91">
        <v>3247.7459999999996</v>
      </c>
      <c r="CO36" s="91">
        <v>3910.3709999999992</v>
      </c>
      <c r="CP36" s="91">
        <v>4703.7539999999999</v>
      </c>
      <c r="CQ36" s="91">
        <v>3144.3764999999999</v>
      </c>
      <c r="CR36" s="91">
        <v>3260.9984999999997</v>
      </c>
      <c r="CS36" s="91">
        <v>3539.3009999999999</v>
      </c>
      <c r="CT36" s="91">
        <v>4533.2384999999995</v>
      </c>
      <c r="CU36" s="91">
        <v>6387.7049999999999</v>
      </c>
      <c r="CV36" s="91">
        <v>45113.741999999998</v>
      </c>
    </row>
    <row r="37" spans="1:100" ht="15" customHeight="1" outlineLevel="1">
      <c r="A37" s="94">
        <v>16</v>
      </c>
      <c r="B37" s="216" t="s">
        <v>71</v>
      </c>
      <c r="C37" s="212"/>
      <c r="D37" s="313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/>
      <c r="Q37" s="90"/>
      <c r="R37" s="313"/>
      <c r="S37" s="91"/>
      <c r="T37" s="91"/>
      <c r="U37" s="91"/>
      <c r="V37" s="91"/>
      <c r="W37" s="91"/>
      <c r="X37" s="91"/>
      <c r="Y37" s="91"/>
      <c r="Z37" s="91"/>
      <c r="AA37" s="91">
        <v>800</v>
      </c>
      <c r="AB37" s="91">
        <v>800</v>
      </c>
      <c r="AC37" s="91">
        <v>1500</v>
      </c>
      <c r="AD37" s="315"/>
      <c r="AE37" s="23"/>
      <c r="AF37" s="316">
        <v>1500</v>
      </c>
      <c r="AG37" s="91">
        <v>1200</v>
      </c>
      <c r="AH37" s="91">
        <f>1500*0.15</f>
        <v>225</v>
      </c>
      <c r="AI37" s="91">
        <v>192</v>
      </c>
      <c r="AJ37" s="91">
        <v>663</v>
      </c>
      <c r="AK37" s="91">
        <v>800</v>
      </c>
      <c r="AL37" s="91">
        <v>1500</v>
      </c>
      <c r="AM37" s="91">
        <v>1000</v>
      </c>
      <c r="AN37" s="91">
        <v>1000</v>
      </c>
      <c r="AO37" s="91">
        <v>1000</v>
      </c>
      <c r="AP37" s="91">
        <v>1100</v>
      </c>
      <c r="AQ37" s="91">
        <v>1600</v>
      </c>
      <c r="AR37" s="92">
        <f t="shared" si="65"/>
        <v>11780</v>
      </c>
      <c r="AS37" s="23"/>
      <c r="AT37" s="91">
        <v>960</v>
      </c>
      <c r="AU37" s="91">
        <v>960</v>
      </c>
      <c r="AV37" s="91">
        <v>960</v>
      </c>
      <c r="AW37" s="91">
        <v>960</v>
      </c>
      <c r="AX37" s="317">
        <v>1414</v>
      </c>
      <c r="AY37" s="317">
        <v>1414</v>
      </c>
      <c r="AZ37" s="317">
        <v>1350</v>
      </c>
      <c r="BA37" s="317">
        <v>1350</v>
      </c>
      <c r="BB37" s="317">
        <v>1414</v>
      </c>
      <c r="BC37" s="317">
        <v>1671</v>
      </c>
      <c r="BD37" s="317">
        <v>1800</v>
      </c>
      <c r="BE37" s="317">
        <v>2571</v>
      </c>
      <c r="BF37" s="91">
        <f t="shared" si="66"/>
        <v>16824</v>
      </c>
      <c r="BG37" s="93">
        <f t="shared" si="67"/>
        <v>0.42818336162988113</v>
      </c>
      <c r="BH37" s="91">
        <v>900</v>
      </c>
      <c r="BI37" s="91">
        <v>643</v>
      </c>
      <c r="BJ37" s="91">
        <v>891</v>
      </c>
      <c r="BK37" s="91">
        <v>679</v>
      </c>
      <c r="BL37" s="91">
        <v>940</v>
      </c>
      <c r="BM37" s="91">
        <v>948</v>
      </c>
      <c r="BN37" s="91">
        <v>1124</v>
      </c>
      <c r="BO37" s="91">
        <v>913</v>
      </c>
      <c r="BP37" s="91">
        <v>911</v>
      </c>
      <c r="BQ37" s="91">
        <v>898</v>
      </c>
      <c r="BR37" s="91">
        <v>1465</v>
      </c>
      <c r="BS37" s="91">
        <v>1278</v>
      </c>
      <c r="BT37" s="91">
        <f>SUM(BH37:BS37)</f>
        <v>11590</v>
      </c>
      <c r="BU37" s="54"/>
      <c r="BV37" s="91">
        <f>'META  EM PEÇAS'!T47</f>
        <v>1749.7324726431702</v>
      </c>
      <c r="BW37" s="91">
        <f>'META  EM PEÇAS'!T48</f>
        <v>1701.1287928475265</v>
      </c>
      <c r="BX37" s="91">
        <f>'META  EM PEÇAS'!T49</f>
        <v>1846.9398322344578</v>
      </c>
      <c r="BY37" s="91">
        <f>'META  EM PEÇAS'!T50</f>
        <v>1701.1287928475265</v>
      </c>
      <c r="BZ37" s="91">
        <f>'META  EM PEÇAS'!T51</f>
        <v>1846.9398322344578</v>
      </c>
      <c r="CA37" s="91">
        <f>'META  EM PEÇAS'!T52</f>
        <v>1749.7324726431702</v>
      </c>
      <c r="CB37" s="91">
        <f>'META  EM PEÇAS'!T53</f>
        <v>2138.5619110083194</v>
      </c>
      <c r="CC37" s="91">
        <f>'META  EM PEÇAS'!T54</f>
        <v>1749.7324726431702</v>
      </c>
      <c r="CD37" s="91">
        <f>'META  EM PEÇAS'!T55</f>
        <v>1749.7324726431702</v>
      </c>
      <c r="CE37" s="91">
        <f>'META  EM PEÇAS'!T56</f>
        <v>1749.7324726431702</v>
      </c>
      <c r="CF37" s="91">
        <f>'META  EM PEÇAS'!T57</f>
        <v>2721.8060685560426</v>
      </c>
      <c r="CG37" s="91">
        <f>'META  EM PEÇAS'!T58</f>
        <v>1944.1471918257448</v>
      </c>
      <c r="CH37" s="91">
        <f t="shared" si="68"/>
        <v>22649.314784769926</v>
      </c>
      <c r="CJ37" s="91">
        <v>1749.7324726431702</v>
      </c>
      <c r="CK37" s="91">
        <v>1701.1287928475265</v>
      </c>
      <c r="CL37" s="91">
        <v>1846.9398322344578</v>
      </c>
      <c r="CM37" s="91">
        <v>1701.1287928475265</v>
      </c>
      <c r="CN37" s="91">
        <v>1846.9398322344578</v>
      </c>
      <c r="CO37" s="91">
        <v>1749.7324726431702</v>
      </c>
      <c r="CP37" s="91">
        <v>2138.5619110083194</v>
      </c>
      <c r="CQ37" s="91">
        <v>1749.7324726431702</v>
      </c>
      <c r="CR37" s="91">
        <v>1749.7324726431702</v>
      </c>
      <c r="CS37" s="91">
        <v>1749.7324726431702</v>
      </c>
      <c r="CT37" s="91">
        <v>2721.8060685560426</v>
      </c>
      <c r="CU37" s="91">
        <v>1944.1471918257448</v>
      </c>
      <c r="CV37" s="91">
        <v>22649.314784769926</v>
      </c>
    </row>
    <row r="38" spans="1:100" ht="15" customHeight="1" outlineLevel="1">
      <c r="A38" s="94"/>
      <c r="B38" s="210"/>
      <c r="C38" s="213"/>
      <c r="D38" s="313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/>
      <c r="Q38" s="90"/>
      <c r="R38" s="313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315"/>
      <c r="AE38" s="23"/>
      <c r="AF38" s="316">
        <v>0</v>
      </c>
      <c r="AG38" s="91">
        <v>0</v>
      </c>
      <c r="AH38" s="91">
        <v>0</v>
      </c>
      <c r="AI38" s="91">
        <v>0</v>
      </c>
      <c r="AJ38" s="91">
        <v>0</v>
      </c>
      <c r="AK38" s="91">
        <v>400</v>
      </c>
      <c r="AL38" s="91">
        <v>500</v>
      </c>
      <c r="AM38" s="91">
        <v>500</v>
      </c>
      <c r="AN38" s="91">
        <v>600</v>
      </c>
      <c r="AO38" s="91">
        <v>600</v>
      </c>
      <c r="AP38" s="91">
        <v>660</v>
      </c>
      <c r="AQ38" s="91">
        <v>960</v>
      </c>
      <c r="AR38" s="92">
        <f t="shared" si="65"/>
        <v>4220</v>
      </c>
      <c r="AS38" s="23"/>
      <c r="AT38" s="91">
        <v>960</v>
      </c>
      <c r="AU38" s="91">
        <v>960</v>
      </c>
      <c r="AV38" s="91">
        <v>960</v>
      </c>
      <c r="AW38" s="91">
        <v>960</v>
      </c>
      <c r="AX38" s="317">
        <v>580</v>
      </c>
      <c r="AY38" s="317">
        <v>580</v>
      </c>
      <c r="AZ38" s="317">
        <v>554</v>
      </c>
      <c r="BA38" s="317">
        <v>554</v>
      </c>
      <c r="BB38" s="317">
        <v>580</v>
      </c>
      <c r="BC38" s="317">
        <v>686</v>
      </c>
      <c r="BD38" s="317">
        <v>739</v>
      </c>
      <c r="BE38" s="317">
        <v>1055</v>
      </c>
      <c r="BF38" s="91">
        <f t="shared" si="66"/>
        <v>9168</v>
      </c>
      <c r="BG38" s="93">
        <f t="shared" si="67"/>
        <v>1.172511848341232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54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  <c r="CJ38" s="91"/>
      <c r="CK38" s="91"/>
      <c r="CL38" s="91"/>
      <c r="CM38" s="91"/>
      <c r="CN38" s="91"/>
      <c r="CO38" s="91"/>
      <c r="CP38" s="91"/>
      <c r="CQ38" s="91"/>
      <c r="CR38" s="91"/>
      <c r="CS38" s="91"/>
      <c r="CT38" s="91"/>
      <c r="CU38" s="91"/>
      <c r="CV38" s="91"/>
    </row>
    <row r="39" spans="1:100" ht="15" customHeight="1" outlineLevel="1">
      <c r="A39" s="95"/>
      <c r="B39" s="216"/>
      <c r="C39" s="420"/>
      <c r="D39" s="421"/>
      <c r="E39" s="422"/>
      <c r="F39" s="422"/>
      <c r="G39" s="422"/>
      <c r="H39" s="422"/>
      <c r="I39" s="422"/>
      <c r="J39" s="422"/>
      <c r="K39" s="422"/>
      <c r="L39" s="422"/>
      <c r="M39" s="422"/>
      <c r="N39" s="422"/>
      <c r="O39" s="422"/>
      <c r="P39" s="423"/>
      <c r="Q39" s="424"/>
      <c r="R39" s="421"/>
      <c r="S39" s="425"/>
      <c r="T39" s="425"/>
      <c r="U39" s="425"/>
      <c r="V39" s="425"/>
      <c r="W39" s="425"/>
      <c r="X39" s="425"/>
      <c r="Y39" s="425"/>
      <c r="Z39" s="425"/>
      <c r="AA39" s="425"/>
      <c r="AB39" s="425"/>
      <c r="AC39" s="425"/>
      <c r="AD39" s="426"/>
      <c r="AE39" s="427"/>
      <c r="AF39" s="428">
        <v>0</v>
      </c>
      <c r="AG39" s="425">
        <v>0</v>
      </c>
      <c r="AH39" s="425">
        <v>0</v>
      </c>
      <c r="AI39" s="425">
        <v>0</v>
      </c>
      <c r="AJ39" s="425">
        <v>0</v>
      </c>
      <c r="AK39" s="425">
        <v>0</v>
      </c>
      <c r="AL39" s="425">
        <v>2500</v>
      </c>
      <c r="AM39" s="425">
        <v>2000</v>
      </c>
      <c r="AN39" s="425">
        <v>500</v>
      </c>
      <c r="AO39" s="425">
        <v>600</v>
      </c>
      <c r="AP39" s="425">
        <v>660</v>
      </c>
      <c r="AQ39" s="425">
        <v>960</v>
      </c>
      <c r="AR39" s="429">
        <f t="shared" si="65"/>
        <v>7220</v>
      </c>
      <c r="AS39" s="23"/>
      <c r="AT39" s="425">
        <v>1518</v>
      </c>
      <c r="AU39" s="425">
        <v>1518</v>
      </c>
      <c r="AV39" s="425">
        <v>1518</v>
      </c>
      <c r="AW39" s="425">
        <v>1518</v>
      </c>
      <c r="AX39" s="317">
        <v>1943</v>
      </c>
      <c r="AY39" s="317">
        <v>1943</v>
      </c>
      <c r="AZ39" s="317">
        <v>1854</v>
      </c>
      <c r="BA39" s="317">
        <v>1854</v>
      </c>
      <c r="BB39" s="317">
        <v>1943</v>
      </c>
      <c r="BC39" s="317">
        <v>2296</v>
      </c>
      <c r="BD39" s="317">
        <v>2472</v>
      </c>
      <c r="BE39" s="317">
        <v>3532</v>
      </c>
      <c r="BF39" s="425">
        <f t="shared" si="66"/>
        <v>23909</v>
      </c>
      <c r="BG39" s="93">
        <f t="shared" si="67"/>
        <v>2.3114958448753464</v>
      </c>
      <c r="BH39" s="425"/>
      <c r="BI39" s="425"/>
      <c r="BJ39" s="425"/>
      <c r="BK39" s="425"/>
      <c r="BL39" s="91"/>
      <c r="BM39" s="91"/>
      <c r="BN39" s="91"/>
      <c r="BO39" s="91"/>
      <c r="BP39" s="91"/>
      <c r="BQ39" s="91"/>
      <c r="BR39" s="91"/>
      <c r="BS39" s="91"/>
      <c r="BT39" s="91"/>
      <c r="BU39" s="54"/>
      <c r="BV39" s="425"/>
      <c r="BW39" s="425"/>
      <c r="BX39" s="425"/>
      <c r="BY39" s="425"/>
      <c r="BZ39" s="91"/>
      <c r="CA39" s="91"/>
      <c r="CB39" s="91"/>
      <c r="CC39" s="91"/>
      <c r="CD39" s="91"/>
      <c r="CE39" s="91"/>
      <c r="CF39" s="91"/>
      <c r="CG39" s="91"/>
      <c r="CH39" s="91"/>
      <c r="CJ39" s="425"/>
      <c r="CK39" s="425"/>
      <c r="CL39" s="425"/>
      <c r="CM39" s="425"/>
      <c r="CN39" s="91"/>
      <c r="CO39" s="91"/>
      <c r="CP39" s="91"/>
      <c r="CQ39" s="91"/>
      <c r="CR39" s="91"/>
      <c r="CS39" s="91"/>
      <c r="CT39" s="91"/>
      <c r="CU39" s="91"/>
      <c r="CV39" s="91"/>
    </row>
    <row r="40" spans="1:100" ht="15" customHeight="1" outlineLevel="1">
      <c r="A40" s="434"/>
      <c r="B40" s="1093"/>
      <c r="C40" s="1094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6"/>
      <c r="AF40" s="437">
        <v>0</v>
      </c>
      <c r="AG40" s="437">
        <v>0</v>
      </c>
      <c r="AH40" s="437">
        <v>0</v>
      </c>
      <c r="AI40" s="437">
        <v>0</v>
      </c>
      <c r="AJ40" s="437">
        <v>0</v>
      </c>
      <c r="AK40" s="437">
        <v>0</v>
      </c>
      <c r="AL40" s="437">
        <v>0</v>
      </c>
      <c r="AM40" s="437">
        <v>0</v>
      </c>
      <c r="AN40" s="437">
        <v>0</v>
      </c>
      <c r="AO40" s="437">
        <v>0</v>
      </c>
      <c r="AP40" s="437">
        <v>0</v>
      </c>
      <c r="AQ40" s="437">
        <v>0</v>
      </c>
      <c r="AR40" s="438">
        <f t="shared" si="65"/>
        <v>0</v>
      </c>
      <c r="AS40" s="322"/>
      <c r="AT40" s="437">
        <v>0</v>
      </c>
      <c r="AU40" s="437">
        <v>0</v>
      </c>
      <c r="AV40" s="437">
        <v>0</v>
      </c>
      <c r="AW40" s="437">
        <v>0</v>
      </c>
      <c r="AX40" s="439">
        <v>800</v>
      </c>
      <c r="AY40" s="317">
        <v>800</v>
      </c>
      <c r="AZ40" s="317">
        <v>800</v>
      </c>
      <c r="BA40" s="317">
        <v>1050</v>
      </c>
      <c r="BB40" s="317">
        <v>1100</v>
      </c>
      <c r="BC40" s="317">
        <v>1300</v>
      </c>
      <c r="BD40" s="317">
        <v>1400</v>
      </c>
      <c r="BE40" s="440">
        <v>2000</v>
      </c>
      <c r="BF40" s="437">
        <f t="shared" si="66"/>
        <v>9250</v>
      </c>
      <c r="BG40" s="325" t="e">
        <f t="shared" si="67"/>
        <v>#DIV/0!</v>
      </c>
      <c r="BH40" s="437"/>
      <c r="BI40" s="437"/>
      <c r="BJ40" s="437"/>
      <c r="BK40" s="437"/>
      <c r="BL40" s="439"/>
      <c r="BM40" s="317"/>
      <c r="BN40" s="317"/>
      <c r="BO40" s="317"/>
      <c r="BP40" s="317"/>
      <c r="BQ40" s="317"/>
      <c r="BR40" s="317"/>
      <c r="BS40" s="317"/>
      <c r="BT40" s="317"/>
      <c r="BU40" s="326"/>
      <c r="BV40" s="443"/>
      <c r="BW40" s="443"/>
      <c r="BX40" s="443"/>
      <c r="BY40" s="443"/>
      <c r="BZ40" s="444"/>
      <c r="CA40" s="317"/>
      <c r="CB40" s="317"/>
      <c r="CC40" s="317"/>
      <c r="CD40" s="317"/>
      <c r="CE40" s="317"/>
      <c r="CF40" s="317"/>
      <c r="CG40" s="317"/>
      <c r="CH40" s="317"/>
      <c r="CJ40" s="443"/>
      <c r="CK40" s="443"/>
      <c r="CL40" s="443"/>
      <c r="CM40" s="443"/>
      <c r="CN40" s="444"/>
      <c r="CO40" s="317"/>
      <c r="CP40" s="317"/>
      <c r="CQ40" s="317"/>
      <c r="CR40" s="317"/>
      <c r="CS40" s="317"/>
      <c r="CT40" s="317"/>
      <c r="CU40" s="317"/>
      <c r="CV40" s="317"/>
    </row>
    <row r="41" spans="1:100" ht="15" customHeight="1" outlineLevel="1">
      <c r="A41" s="430"/>
      <c r="B41" s="214"/>
      <c r="C41" s="431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24"/>
      <c r="R41" s="424"/>
      <c r="S41" s="432"/>
      <c r="T41" s="432"/>
      <c r="U41" s="432"/>
      <c r="V41" s="432"/>
      <c r="W41" s="432"/>
      <c r="X41" s="432"/>
      <c r="Y41" s="432"/>
      <c r="Z41" s="432"/>
      <c r="AA41" s="432"/>
      <c r="AB41" s="432"/>
      <c r="AC41" s="432"/>
      <c r="AD41" s="432"/>
      <c r="AE41" s="427"/>
      <c r="AF41" s="432"/>
      <c r="AG41" s="432"/>
      <c r="AH41" s="432"/>
      <c r="AI41" s="432"/>
      <c r="AJ41" s="432"/>
      <c r="AK41" s="432"/>
      <c r="AL41" s="432"/>
      <c r="AM41" s="432"/>
      <c r="AN41" s="432"/>
      <c r="AO41" s="432"/>
      <c r="AP41" s="432"/>
      <c r="AQ41" s="432"/>
      <c r="AR41" s="433"/>
      <c r="AS41" s="23"/>
      <c r="AT41" s="97"/>
      <c r="AU41" s="97"/>
      <c r="AV41" s="97"/>
      <c r="AW41" s="97"/>
      <c r="AX41" s="91"/>
      <c r="AY41" s="91"/>
      <c r="AZ41" s="91"/>
      <c r="BA41" s="91"/>
      <c r="BB41" s="91"/>
      <c r="BC41" s="91"/>
      <c r="BD41" s="91">
        <v>600</v>
      </c>
      <c r="BE41" s="315">
        <v>700</v>
      </c>
      <c r="BF41" s="437">
        <f t="shared" si="66"/>
        <v>1300</v>
      </c>
      <c r="BG41" s="93"/>
      <c r="BH41" s="442"/>
      <c r="BI41" s="442"/>
      <c r="BJ41" s="442"/>
      <c r="BK41" s="442"/>
      <c r="BL41" s="316"/>
      <c r="BM41" s="91"/>
      <c r="BN41" s="91"/>
      <c r="BO41" s="91"/>
      <c r="BP41" s="91"/>
      <c r="BQ41" s="91"/>
      <c r="BR41" s="91"/>
      <c r="BS41" s="91"/>
      <c r="BT41" s="91"/>
      <c r="BU41" s="54"/>
      <c r="BV41" s="442"/>
      <c r="BW41" s="442"/>
      <c r="BX41" s="442"/>
      <c r="BY41" s="442"/>
      <c r="BZ41" s="442"/>
      <c r="CA41" s="316"/>
      <c r="CB41" s="91"/>
      <c r="CC41" s="91"/>
      <c r="CD41" s="91"/>
      <c r="CE41" s="91"/>
      <c r="CF41" s="91"/>
      <c r="CG41" s="91"/>
      <c r="CH41" s="91"/>
      <c r="CJ41" s="442"/>
      <c r="CK41" s="442"/>
      <c r="CL41" s="442"/>
      <c r="CM41" s="442"/>
      <c r="CN41" s="442"/>
      <c r="CO41" s="316"/>
      <c r="CP41" s="91"/>
      <c r="CQ41" s="91"/>
      <c r="CR41" s="91"/>
      <c r="CS41" s="91"/>
      <c r="CT41" s="91"/>
      <c r="CU41" s="91"/>
      <c r="CV41" s="91"/>
    </row>
    <row r="42" spans="1:100" ht="15" customHeight="1" outlineLevel="1">
      <c r="A42" s="95"/>
      <c r="B42" s="216" t="s">
        <v>71</v>
      </c>
      <c r="C42" s="211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ref="P42:P43" si="72">SUM(D42:O42)</f>
        <v>0</v>
      </c>
      <c r="Q42" s="90"/>
      <c r="R42" s="313">
        <v>350</v>
      </c>
      <c r="S42" s="91">
        <v>350</v>
      </c>
      <c r="T42" s="91">
        <v>450</v>
      </c>
      <c r="U42" s="91">
        <v>800</v>
      </c>
      <c r="V42" s="91">
        <v>531</v>
      </c>
      <c r="W42" s="91">
        <v>750</v>
      </c>
      <c r="X42" s="91">
        <v>650</v>
      </c>
      <c r="Y42" s="91">
        <v>750</v>
      </c>
      <c r="Z42" s="91">
        <v>900</v>
      </c>
      <c r="AA42" s="91">
        <v>1000</v>
      </c>
      <c r="AB42" s="91">
        <v>1200</v>
      </c>
      <c r="AC42" s="91">
        <v>1500</v>
      </c>
      <c r="AD42" s="315">
        <f t="shared" ref="AD42:AD43" si="73">SUM(R42:AC42)</f>
        <v>9231</v>
      </c>
      <c r="AE42" s="23"/>
      <c r="AF42" s="316">
        <v>1500</v>
      </c>
      <c r="AG42" s="91">
        <v>800</v>
      </c>
      <c r="AH42" s="91">
        <v>800</v>
      </c>
      <c r="AI42" s="91">
        <v>1820</v>
      </c>
      <c r="AJ42" s="91">
        <v>1630</v>
      </c>
      <c r="AK42" s="91">
        <v>1360</v>
      </c>
      <c r="AL42" s="91">
        <v>1000</v>
      </c>
      <c r="AM42" s="91">
        <v>1700</v>
      </c>
      <c r="AN42" s="91">
        <v>1700</v>
      </c>
      <c r="AO42" s="91">
        <v>1700</v>
      </c>
      <c r="AP42" s="91">
        <v>1870</v>
      </c>
      <c r="AQ42" s="91">
        <v>2720</v>
      </c>
      <c r="AR42" s="92">
        <f t="shared" ref="AR42:AR43" si="74">SUM(AF42:AQ42)</f>
        <v>18600</v>
      </c>
      <c r="AS42" s="23"/>
      <c r="AT42" s="91">
        <v>2053</v>
      </c>
      <c r="AU42" s="91">
        <v>2053</v>
      </c>
      <c r="AV42" s="91">
        <v>2053</v>
      </c>
      <c r="AW42" s="91">
        <v>2053</v>
      </c>
      <c r="AX42" s="91">
        <v>2807</v>
      </c>
      <c r="AY42" s="91">
        <v>2807</v>
      </c>
      <c r="AZ42" s="91">
        <v>2680</v>
      </c>
      <c r="BA42" s="91">
        <v>2680</v>
      </c>
      <c r="BB42" s="91">
        <v>2807</v>
      </c>
      <c r="BC42" s="91">
        <v>3318</v>
      </c>
      <c r="BD42" s="91">
        <v>5870</v>
      </c>
      <c r="BE42" s="91">
        <v>5104</v>
      </c>
      <c r="BF42" s="441">
        <f t="shared" si="66"/>
        <v>36285</v>
      </c>
      <c r="BG42" s="93">
        <f>BF42/AR42-1</f>
        <v>0.95080645161290334</v>
      </c>
      <c r="BH42" s="441"/>
      <c r="BI42" s="441"/>
      <c r="BJ42" s="441"/>
      <c r="BK42" s="441"/>
      <c r="BL42" s="91"/>
      <c r="BM42" s="91"/>
      <c r="BN42" s="91"/>
      <c r="BO42" s="91"/>
      <c r="BP42" s="91"/>
      <c r="BQ42" s="91"/>
      <c r="BR42" s="91"/>
      <c r="BS42" s="91"/>
      <c r="BT42" s="91">
        <f>SUM(BH42:BS42)</f>
        <v>0</v>
      </c>
      <c r="BU42" s="54"/>
      <c r="BV42" s="441"/>
      <c r="BW42" s="441"/>
      <c r="BX42" s="441"/>
      <c r="BY42" s="441"/>
      <c r="BZ42" s="441"/>
      <c r="CA42" s="91"/>
      <c r="CB42" s="91"/>
      <c r="CC42" s="91"/>
      <c r="CD42" s="91"/>
      <c r="CE42" s="91"/>
      <c r="CF42" s="91"/>
      <c r="CG42" s="91"/>
      <c r="CH42" s="91"/>
      <c r="CJ42" s="441"/>
      <c r="CK42" s="441"/>
      <c r="CL42" s="441"/>
      <c r="CM42" s="441"/>
      <c r="CN42" s="441"/>
      <c r="CO42" s="91"/>
      <c r="CP42" s="91"/>
      <c r="CQ42" s="91"/>
      <c r="CR42" s="91"/>
      <c r="CS42" s="91"/>
      <c r="CT42" s="91"/>
      <c r="CU42" s="91"/>
      <c r="CV42" s="91"/>
    </row>
    <row r="43" spans="1:100" ht="15.75">
      <c r="A43" s="55"/>
      <c r="B43" s="56" t="s">
        <v>286</v>
      </c>
      <c r="C43" s="280"/>
      <c r="D43" s="288">
        <f t="shared" ref="D43:O43" si="75">SUM(D22:D42)</f>
        <v>0</v>
      </c>
      <c r="E43" s="57">
        <f t="shared" si="75"/>
        <v>0</v>
      </c>
      <c r="F43" s="57">
        <f t="shared" si="75"/>
        <v>0</v>
      </c>
      <c r="G43" s="57">
        <f t="shared" si="75"/>
        <v>0</v>
      </c>
      <c r="H43" s="57">
        <f t="shared" si="75"/>
        <v>0</v>
      </c>
      <c r="I43" s="57">
        <f t="shared" si="75"/>
        <v>0</v>
      </c>
      <c r="J43" s="57">
        <f t="shared" si="75"/>
        <v>0</v>
      </c>
      <c r="K43" s="57">
        <f t="shared" si="75"/>
        <v>0</v>
      </c>
      <c r="L43" s="57">
        <f t="shared" si="75"/>
        <v>0</v>
      </c>
      <c r="M43" s="57">
        <f t="shared" si="75"/>
        <v>0</v>
      </c>
      <c r="N43" s="57">
        <f t="shared" si="75"/>
        <v>0</v>
      </c>
      <c r="O43" s="57">
        <f t="shared" si="75"/>
        <v>0</v>
      </c>
      <c r="P43" s="289">
        <f t="shared" si="72"/>
        <v>0</v>
      </c>
      <c r="Q43" s="39"/>
      <c r="R43" s="288">
        <f t="shared" ref="R43:AC43" si="76">SUM(R22:R42)</f>
        <v>20557.543859649122</v>
      </c>
      <c r="S43" s="58">
        <f t="shared" si="76"/>
        <v>20512.543859649122</v>
      </c>
      <c r="T43" s="58">
        <f t="shared" si="76"/>
        <v>13699.771929824561</v>
      </c>
      <c r="U43" s="58">
        <f t="shared" si="76"/>
        <v>912.5</v>
      </c>
      <c r="V43" s="58">
        <f t="shared" si="76"/>
        <v>16851</v>
      </c>
      <c r="W43" s="290">
        <f t="shared" si="76"/>
        <v>13700</v>
      </c>
      <c r="X43" s="290">
        <f t="shared" si="76"/>
        <v>26050</v>
      </c>
      <c r="Y43" s="290">
        <f t="shared" si="76"/>
        <v>27750</v>
      </c>
      <c r="Z43" s="290">
        <f t="shared" si="76"/>
        <v>31100</v>
      </c>
      <c r="AA43" s="290">
        <f t="shared" si="76"/>
        <v>32100</v>
      </c>
      <c r="AB43" s="290">
        <f t="shared" si="76"/>
        <v>37500</v>
      </c>
      <c r="AC43" s="290">
        <f t="shared" si="76"/>
        <v>45300</v>
      </c>
      <c r="AD43" s="291">
        <f t="shared" si="73"/>
        <v>286033.35964912281</v>
      </c>
      <c r="AE43" s="59"/>
      <c r="AF43" s="292">
        <f>SUM(AF22:AF42)</f>
        <v>38500</v>
      </c>
      <c r="AG43" s="58">
        <f t="shared" ref="AG43:AQ43" si="77">SUM(AG22:AG42)</f>
        <v>22400</v>
      </c>
      <c r="AH43" s="58">
        <f t="shared" si="77"/>
        <v>10671</v>
      </c>
      <c r="AI43" s="58">
        <f t="shared" si="77"/>
        <v>16097</v>
      </c>
      <c r="AJ43" s="58">
        <f t="shared" si="77"/>
        <v>30278</v>
      </c>
      <c r="AK43" s="58">
        <f t="shared" si="77"/>
        <v>28560</v>
      </c>
      <c r="AL43" s="58">
        <f t="shared" si="77"/>
        <v>41700</v>
      </c>
      <c r="AM43" s="58">
        <f t="shared" si="77"/>
        <v>38700</v>
      </c>
      <c r="AN43" s="58">
        <f t="shared" si="77"/>
        <v>37300</v>
      </c>
      <c r="AO43" s="58">
        <f t="shared" si="77"/>
        <v>37400</v>
      </c>
      <c r="AP43" s="58">
        <f t="shared" si="77"/>
        <v>40640</v>
      </c>
      <c r="AQ43" s="58">
        <f t="shared" si="77"/>
        <v>54440</v>
      </c>
      <c r="AR43" s="58">
        <f t="shared" si="74"/>
        <v>396686</v>
      </c>
      <c r="AS43" s="59"/>
      <c r="AT43" s="58">
        <f t="shared" ref="AT43:BE43" si="78">SUM(AT22:AT42)</f>
        <v>36153</v>
      </c>
      <c r="AU43" s="58">
        <f>SUM(AU22:AU42)</f>
        <v>35289</v>
      </c>
      <c r="AV43" s="58">
        <f t="shared" si="78"/>
        <v>35872</v>
      </c>
      <c r="AW43" s="58">
        <f t="shared" si="78"/>
        <v>38031</v>
      </c>
      <c r="AX43" s="58">
        <f t="shared" si="78"/>
        <v>33566</v>
      </c>
      <c r="AY43" s="58">
        <f t="shared" si="78"/>
        <v>33566</v>
      </c>
      <c r="AZ43" s="58">
        <f t="shared" si="78"/>
        <v>30896</v>
      </c>
      <c r="BA43" s="58">
        <f t="shared" si="78"/>
        <v>31146</v>
      </c>
      <c r="BB43" s="58">
        <f t="shared" si="78"/>
        <v>32630</v>
      </c>
      <c r="BC43" s="58">
        <f t="shared" si="78"/>
        <v>38562</v>
      </c>
      <c r="BD43" s="58">
        <f t="shared" si="78"/>
        <v>41345</v>
      </c>
      <c r="BE43" s="58">
        <f t="shared" si="78"/>
        <v>49263</v>
      </c>
      <c r="BF43" s="58">
        <f>SUM(AT43:BE43)</f>
        <v>436319</v>
      </c>
      <c r="BG43" s="59">
        <f>BF43-AR43</f>
        <v>39633</v>
      </c>
      <c r="BH43" s="58">
        <v>36153</v>
      </c>
      <c r="BI43" s="58">
        <v>35289</v>
      </c>
      <c r="BJ43" s="58">
        <v>35872</v>
      </c>
      <c r="BK43" s="58">
        <v>38031</v>
      </c>
      <c r="BL43" s="58">
        <v>38570</v>
      </c>
      <c r="BM43" s="58">
        <v>39227</v>
      </c>
      <c r="BN43" s="58">
        <v>41128</v>
      </c>
      <c r="BO43" s="58">
        <v>38191</v>
      </c>
      <c r="BP43" s="58">
        <v>38191</v>
      </c>
      <c r="BQ43" s="58">
        <v>40225</v>
      </c>
      <c r="BR43" s="58">
        <v>43272</v>
      </c>
      <c r="BS43" s="58">
        <v>60327</v>
      </c>
      <c r="BT43" s="58">
        <f t="shared" ref="BT43:BT47" si="79">SUM(BH43:BS43)</f>
        <v>484476</v>
      </c>
      <c r="BU43" s="60"/>
      <c r="BV43" s="58">
        <f>SUM(BV22:BV39)</f>
        <v>35797.912472643162</v>
      </c>
      <c r="BW43" s="58">
        <f t="shared" ref="BW43:CG43" si="80">SUM(BW22:BW39)</f>
        <v>27268.538792847521</v>
      </c>
      <c r="BX43" s="58">
        <f t="shared" si="80"/>
        <v>34357.668832234456</v>
      </c>
      <c r="BY43" s="58">
        <f t="shared" si="80"/>
        <v>29626.958292847525</v>
      </c>
      <c r="BZ43" s="58">
        <f t="shared" si="80"/>
        <v>34139.121332234456</v>
      </c>
      <c r="CA43" s="58">
        <f t="shared" si="80"/>
        <v>39503.881972643161</v>
      </c>
      <c r="CB43" s="58">
        <f t="shared" si="80"/>
        <v>45728.836911008315</v>
      </c>
      <c r="CC43" s="58">
        <f t="shared" si="80"/>
        <v>32260.226972643166</v>
      </c>
      <c r="CD43" s="58">
        <f t="shared" si="80"/>
        <v>33331.522972643164</v>
      </c>
      <c r="CE43" s="58">
        <f t="shared" si="80"/>
        <v>35213.881472643166</v>
      </c>
      <c r="CF43" s="58">
        <f t="shared" si="80"/>
        <v>46168.878068556034</v>
      </c>
      <c r="CG43" s="58">
        <f t="shared" si="80"/>
        <v>57905.502691825735</v>
      </c>
      <c r="CH43" s="58">
        <f>SUM(BV43:CG43)</f>
        <v>451302.93078476982</v>
      </c>
      <c r="CI43" s="395">
        <f>(CH43-BT52)/BT52</f>
        <v>5.1833718555945915E-2</v>
      </c>
      <c r="CJ43" s="58">
        <v>35797.912472643162</v>
      </c>
      <c r="CK43" s="58">
        <v>27268.538792847521</v>
      </c>
      <c r="CL43" s="58">
        <v>34357.668832234456</v>
      </c>
      <c r="CM43" s="58">
        <v>29626.958292847525</v>
      </c>
      <c r="CN43" s="58">
        <v>34139.121332234456</v>
      </c>
      <c r="CO43" s="58">
        <v>39503.881972643161</v>
      </c>
      <c r="CP43" s="58">
        <v>45728.836911008315</v>
      </c>
      <c r="CQ43" s="58">
        <v>32260.226972643166</v>
      </c>
      <c r="CR43" s="58">
        <v>33331.522972643164</v>
      </c>
      <c r="CS43" s="58">
        <v>35213.881472643166</v>
      </c>
      <c r="CT43" s="58">
        <v>46168.878068556034</v>
      </c>
      <c r="CU43" s="58">
        <v>57905.502691825735</v>
      </c>
      <c r="CV43" s="58">
        <v>451302.93078476982</v>
      </c>
    </row>
    <row r="44" spans="1:100">
      <c r="A44" s="99"/>
      <c r="B44" s="451" t="s">
        <v>73</v>
      </c>
      <c r="C44" s="328"/>
      <c r="D44" s="301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302"/>
      <c r="Q44" s="74"/>
      <c r="R44" s="301"/>
      <c r="S44" s="69"/>
      <c r="T44" s="69"/>
      <c r="U44" s="69"/>
      <c r="V44" s="303"/>
      <c r="W44" s="304"/>
      <c r="X44" s="304"/>
      <c r="Y44" s="304"/>
      <c r="Z44" s="304"/>
      <c r="AA44" s="304"/>
      <c r="AB44" s="304"/>
      <c r="AC44" s="75"/>
      <c r="AD44" s="76"/>
      <c r="AE44" s="77"/>
      <c r="AF44" s="305"/>
      <c r="AG44" s="69"/>
      <c r="AH44" s="69"/>
      <c r="AI44" s="69"/>
      <c r="AJ44" s="303"/>
      <c r="AK44" s="303"/>
      <c r="AL44" s="303"/>
      <c r="AM44" s="303"/>
      <c r="AN44" s="69"/>
      <c r="AO44" s="69"/>
      <c r="AP44" s="69"/>
      <c r="AQ44" s="69"/>
      <c r="AR44" s="306"/>
      <c r="AS44" s="77"/>
      <c r="AT44" s="69"/>
      <c r="AU44" s="69"/>
      <c r="AV44" s="69"/>
      <c r="AW44" s="69"/>
      <c r="AX44" s="69"/>
      <c r="AY44" s="69">
        <v>15000</v>
      </c>
      <c r="AZ44" s="69">
        <v>15000</v>
      </c>
      <c r="BA44" s="69">
        <f t="shared" ref="BA44:BB44" si="81">BA43*70%</f>
        <v>21802.199999999997</v>
      </c>
      <c r="BB44" s="69">
        <f t="shared" si="81"/>
        <v>22841</v>
      </c>
      <c r="BC44" s="69">
        <v>35000</v>
      </c>
      <c r="BD44" s="69">
        <v>35000</v>
      </c>
      <c r="BE44" s="69">
        <v>42000</v>
      </c>
      <c r="BF44" s="69">
        <f t="shared" si="66"/>
        <v>186643.20000000001</v>
      </c>
      <c r="BG44" s="77"/>
      <c r="BH44" s="69">
        <f t="shared" ref="BH44:BM44" si="82">BH43*0.8</f>
        <v>28922.400000000001</v>
      </c>
      <c r="BI44" s="69">
        <f t="shared" si="82"/>
        <v>28231.200000000001</v>
      </c>
      <c r="BJ44" s="69">
        <f t="shared" si="82"/>
        <v>28697.600000000002</v>
      </c>
      <c r="BK44" s="69">
        <f t="shared" si="82"/>
        <v>30424.800000000003</v>
      </c>
      <c r="BL44" s="69">
        <f t="shared" si="82"/>
        <v>30856</v>
      </c>
      <c r="BM44" s="69">
        <f t="shared" si="82"/>
        <v>31381.600000000002</v>
      </c>
      <c r="BN44" s="69">
        <f>BN43*0.85</f>
        <v>34958.799999999996</v>
      </c>
      <c r="BO44" s="69">
        <v>29000</v>
      </c>
      <c r="BP44" s="69">
        <v>40223</v>
      </c>
      <c r="BQ44" s="69">
        <v>36735</v>
      </c>
      <c r="BR44" s="69">
        <v>36933</v>
      </c>
      <c r="BS44" s="69">
        <v>52283</v>
      </c>
      <c r="BT44" s="69">
        <f t="shared" si="79"/>
        <v>408646.40000000002</v>
      </c>
      <c r="BU44" s="28"/>
      <c r="BV44" s="69">
        <v>32000</v>
      </c>
      <c r="BW44" s="69">
        <v>32000</v>
      </c>
      <c r="BX44" s="69">
        <v>37000</v>
      </c>
      <c r="BY44" s="69">
        <v>32000</v>
      </c>
      <c r="BZ44" s="69">
        <v>35000</v>
      </c>
      <c r="CA44" s="69">
        <v>38000</v>
      </c>
      <c r="CB44" s="69">
        <f t="shared" ref="BX44:CG44" si="83">CB43*0.8</f>
        <v>36583.069528806656</v>
      </c>
      <c r="CC44" s="69">
        <f t="shared" si="83"/>
        <v>25808.181578114534</v>
      </c>
      <c r="CD44" s="69">
        <f t="shared" si="83"/>
        <v>26665.218378114532</v>
      </c>
      <c r="CE44" s="69">
        <f t="shared" si="83"/>
        <v>28171.105178114536</v>
      </c>
      <c r="CF44" s="69">
        <f t="shared" si="83"/>
        <v>36935.102454844826</v>
      </c>
      <c r="CG44" s="69">
        <f t="shared" si="83"/>
        <v>46324.402153460593</v>
      </c>
      <c r="CH44" s="69"/>
      <c r="CI44" s="395"/>
      <c r="CJ44" s="69">
        <v>28638.329978114532</v>
      </c>
      <c r="CK44" s="69">
        <v>21814.831034278017</v>
      </c>
      <c r="CL44" s="69">
        <v>27486.135065787566</v>
      </c>
      <c r="CM44" s="69">
        <v>23701.566634278021</v>
      </c>
      <c r="CN44" s="69">
        <v>27311.297065787567</v>
      </c>
      <c r="CO44" s="69">
        <v>31603.10557811453</v>
      </c>
      <c r="CP44" s="69">
        <v>36583.069528806656</v>
      </c>
      <c r="CQ44" s="69">
        <v>25808.181578114534</v>
      </c>
      <c r="CR44" s="69">
        <v>26665.218378114532</v>
      </c>
      <c r="CS44" s="69">
        <v>28171.105178114536</v>
      </c>
      <c r="CT44" s="69">
        <v>36935.102454844826</v>
      </c>
      <c r="CU44" s="69">
        <v>46324.402153460593</v>
      </c>
      <c r="CV44" s="69"/>
    </row>
    <row r="45" spans="1:100" ht="14.25" customHeight="1">
      <c r="A45" s="55" t="s">
        <v>74</v>
      </c>
      <c r="B45" s="56"/>
      <c r="C45" s="280"/>
      <c r="D45" s="288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289"/>
      <c r="Q45" s="39"/>
      <c r="R45" s="288"/>
      <c r="S45" s="58"/>
      <c r="T45" s="58"/>
      <c r="U45" s="58"/>
      <c r="V45" s="58"/>
      <c r="W45" s="290"/>
      <c r="X45" s="290"/>
      <c r="Y45" s="290"/>
      <c r="Z45" s="290"/>
      <c r="AA45" s="290"/>
      <c r="AB45" s="290"/>
      <c r="AC45" s="290"/>
      <c r="AD45" s="291"/>
      <c r="AE45" s="59"/>
      <c r="AF45" s="292"/>
      <c r="AG45" s="58"/>
      <c r="AH45" s="58"/>
      <c r="AI45" s="58"/>
      <c r="AJ45" s="58"/>
      <c r="AK45" s="58"/>
      <c r="AL45" s="58">
        <f>AL43/AVERAGE($AF$43:$AQ$43)</f>
        <v>1.2614511225503295</v>
      </c>
      <c r="AM45" s="58"/>
      <c r="AN45" s="58"/>
      <c r="AO45" s="58"/>
      <c r="AP45" s="58">
        <f t="shared" ref="AP45:AQ45" si="84">AP43/AVERAGE($AF$43:$AQ$43)</f>
        <v>1.2293854585238704</v>
      </c>
      <c r="AQ45" s="58">
        <f t="shared" si="84"/>
        <v>1.6468441033966412</v>
      </c>
      <c r="AR45" s="58"/>
      <c r="AS45" s="59"/>
      <c r="AT45" s="58">
        <v>109190</v>
      </c>
      <c r="AU45" s="58">
        <v>153667</v>
      </c>
      <c r="AV45" s="58">
        <v>178778</v>
      </c>
      <c r="AW45" s="58">
        <v>151970</v>
      </c>
      <c r="AX45" s="58">
        <v>142416</v>
      </c>
      <c r="AY45" s="58">
        <v>177335</v>
      </c>
      <c r="AZ45" s="58">
        <v>152230</v>
      </c>
      <c r="BA45" s="58">
        <v>245527</v>
      </c>
      <c r="BB45" s="58">
        <f>5261504/27</f>
        <v>194870.51851851851</v>
      </c>
      <c r="BC45" s="58">
        <f>5784000/27</f>
        <v>214222.22222222222</v>
      </c>
      <c r="BD45" s="58">
        <f>3224000/27</f>
        <v>119407.4074074074</v>
      </c>
      <c r="BE45" s="58">
        <f>909800/27</f>
        <v>33696.296296296299</v>
      </c>
      <c r="BF45" s="58">
        <f t="shared" si="66"/>
        <v>1873309.4444444445</v>
      </c>
      <c r="BG45" s="59"/>
      <c r="BH45" s="58">
        <v>156208</v>
      </c>
      <c r="BI45" s="58">
        <v>147340</v>
      </c>
      <c r="BJ45" s="58">
        <v>166759</v>
      </c>
      <c r="BK45" s="58">
        <v>152352</v>
      </c>
      <c r="BL45" s="58">
        <v>128446</v>
      </c>
      <c r="BM45" s="58">
        <v>126790</v>
      </c>
      <c r="BN45" s="58">
        <v>173761</v>
      </c>
      <c r="BO45" s="58">
        <f>144510.599073001+BO44</f>
        <v>173510.59907300101</v>
      </c>
      <c r="BP45" s="58">
        <f>162574.422556972+BP44</f>
        <v>202797.42255697199</v>
      </c>
      <c r="BQ45" s="58">
        <f>166187.186558517+BQ44</f>
        <v>202922.18655851699</v>
      </c>
      <c r="BR45" s="58">
        <f>BQ20+BR16*0.6</f>
        <v>232502.36</v>
      </c>
      <c r="BS45" s="58">
        <f>BR16*0.4+BS16*0.5</f>
        <v>116391.04000000001</v>
      </c>
      <c r="BT45" s="58">
        <f t="shared" si="79"/>
        <v>1979779.6081884899</v>
      </c>
      <c r="BU45" s="60"/>
      <c r="BV45" s="58">
        <v>98000</v>
      </c>
      <c r="BW45" s="58">
        <f>BW44+BW20</f>
        <v>157566.83045180296</v>
      </c>
      <c r="BX45" s="58">
        <f t="shared" ref="BX45" si="85">BX44+BX20</f>
        <v>197961.53846153844</v>
      </c>
      <c r="BY45" s="58">
        <f t="shared" ref="BY45:CG45" si="86">BK45</f>
        <v>152352</v>
      </c>
      <c r="BZ45" s="58">
        <v>153232</v>
      </c>
      <c r="CA45" s="58">
        <f t="shared" si="86"/>
        <v>126790</v>
      </c>
      <c r="CB45" s="58">
        <f t="shared" si="86"/>
        <v>173761</v>
      </c>
      <c r="CC45" s="58">
        <f t="shared" si="86"/>
        <v>173510.59907300101</v>
      </c>
      <c r="CD45" s="58">
        <f t="shared" si="86"/>
        <v>202797.42255697199</v>
      </c>
      <c r="CE45" s="58">
        <f t="shared" si="86"/>
        <v>202922.18655851699</v>
      </c>
      <c r="CF45" s="58">
        <f t="shared" si="86"/>
        <v>232502.36</v>
      </c>
      <c r="CG45" s="58">
        <f t="shared" si="86"/>
        <v>116391.04000000001</v>
      </c>
      <c r="CH45" s="58"/>
      <c r="CJ45" s="58">
        <v>98000</v>
      </c>
      <c r="CK45" s="58">
        <v>147381.66148608096</v>
      </c>
      <c r="CL45" s="58">
        <v>188447.673527326</v>
      </c>
      <c r="CM45" s="58">
        <v>152352</v>
      </c>
      <c r="CN45" s="58">
        <v>128446</v>
      </c>
      <c r="CO45" s="58">
        <v>126790</v>
      </c>
      <c r="CP45" s="58">
        <v>173761</v>
      </c>
      <c r="CQ45" s="58">
        <v>173510.59907300101</v>
      </c>
      <c r="CR45" s="58">
        <v>202797.42255697199</v>
      </c>
      <c r="CS45" s="58">
        <v>202922.18655851699</v>
      </c>
      <c r="CT45" s="58">
        <v>232502.36</v>
      </c>
      <c r="CU45" s="58">
        <v>116391.04000000001</v>
      </c>
      <c r="CV45" s="58"/>
    </row>
    <row r="46" spans="1:100">
      <c r="A46" s="101" t="s">
        <v>75</v>
      </c>
      <c r="B46" s="102"/>
      <c r="C46" s="260"/>
      <c r="D46" s="277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262"/>
      <c r="Q46" s="15"/>
      <c r="R46" s="277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263"/>
      <c r="AE46" s="16"/>
      <c r="AF46" s="261">
        <v>133791</v>
      </c>
      <c r="AG46" s="14">
        <v>166459</v>
      </c>
      <c r="AH46" s="14">
        <v>149450</v>
      </c>
      <c r="AI46" s="14">
        <v>151073</v>
      </c>
      <c r="AJ46" s="14">
        <v>192944</v>
      </c>
      <c r="AK46" s="14">
        <v>166139</v>
      </c>
      <c r="AL46" s="14">
        <v>151874</v>
      </c>
      <c r="AM46" s="14">
        <v>157771</v>
      </c>
      <c r="AN46" s="14">
        <v>200312</v>
      </c>
      <c r="AO46" s="14">
        <v>202691</v>
      </c>
      <c r="AP46" s="14">
        <v>207768</v>
      </c>
      <c r="AQ46" s="14">
        <v>113286</v>
      </c>
      <c r="AR46" s="14">
        <f>SUM(AF46:AK46)</f>
        <v>959856</v>
      </c>
      <c r="AS46" s="17"/>
      <c r="AT46" s="14">
        <v>89680</v>
      </c>
      <c r="AU46" s="14">
        <v>128308</v>
      </c>
      <c r="AV46" s="14">
        <v>144871</v>
      </c>
      <c r="AW46" s="32">
        <v>161772</v>
      </c>
      <c r="AX46" s="32">
        <v>144516</v>
      </c>
      <c r="AY46" s="32">
        <v>103667</v>
      </c>
      <c r="AZ46" s="32">
        <v>141023</v>
      </c>
      <c r="BA46" s="32">
        <v>172093</v>
      </c>
      <c r="BB46" s="32">
        <f>166606+10000</f>
        <v>176606</v>
      </c>
      <c r="BC46" s="32">
        <v>181091</v>
      </c>
      <c r="BD46" s="32">
        <v>169802</v>
      </c>
      <c r="BE46" s="32">
        <v>120406</v>
      </c>
      <c r="BF46" s="32">
        <f t="shared" si="66"/>
        <v>1733835</v>
      </c>
      <c r="BG46" s="17">
        <f>BG43/AR43</f>
        <v>9.9910256474894502E-2</v>
      </c>
      <c r="BH46" s="14">
        <v>78906</v>
      </c>
      <c r="BI46" s="14">
        <v>119296</v>
      </c>
      <c r="BJ46" s="14">
        <v>165286</v>
      </c>
      <c r="BK46" s="14">
        <v>144532</v>
      </c>
      <c r="BL46" s="32">
        <v>157691</v>
      </c>
      <c r="BM46" s="32">
        <v>129096</v>
      </c>
      <c r="BN46" s="32">
        <v>125800</v>
      </c>
      <c r="BO46" s="32">
        <v>176354</v>
      </c>
      <c r="BP46" s="32">
        <v>173554</v>
      </c>
      <c r="BQ46" s="32">
        <v>185766</v>
      </c>
      <c r="BR46" s="32"/>
      <c r="BS46" s="32"/>
      <c r="BT46" s="32">
        <f t="shared" si="79"/>
        <v>1456281</v>
      </c>
      <c r="BU46" s="28"/>
      <c r="BV46" s="14"/>
      <c r="BW46" s="14"/>
      <c r="BX46" s="14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J46" s="14"/>
      <c r="CK46" s="14"/>
      <c r="CL46" s="14"/>
      <c r="CM46" s="32"/>
      <c r="CN46" s="32"/>
      <c r="CO46" s="32"/>
      <c r="CP46" s="32"/>
      <c r="CQ46" s="32"/>
      <c r="CR46" s="32"/>
      <c r="CS46" s="32"/>
      <c r="CT46" s="32"/>
      <c r="CU46" s="32"/>
      <c r="CV46" s="32"/>
    </row>
    <row r="47" spans="1:100" ht="15.75">
      <c r="A47" s="103"/>
      <c r="B47" s="329" t="s">
        <v>76</v>
      </c>
      <c r="C47" s="330"/>
      <c r="D47" s="331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332"/>
      <c r="Q47" s="105"/>
      <c r="R47" s="333"/>
      <c r="S47" s="333"/>
      <c r="T47" s="333"/>
      <c r="U47" s="333"/>
      <c r="V47" s="333"/>
      <c r="W47" s="333"/>
      <c r="X47" s="333"/>
      <c r="Y47" s="333"/>
      <c r="Z47" s="333"/>
      <c r="AA47" s="333"/>
      <c r="AB47" s="333"/>
      <c r="AC47" s="333"/>
      <c r="AD47" s="334"/>
      <c r="AE47" s="106"/>
      <c r="AF47" s="333">
        <f t="shared" ref="AF47:AQ47" si="87">AF46-AF15</f>
        <v>133789.61233193052</v>
      </c>
      <c r="AG47" s="333">
        <f t="shared" si="87"/>
        <v>166455.18212811041</v>
      </c>
      <c r="AH47" s="333">
        <f t="shared" si="87"/>
        <v>149445.6750486806</v>
      </c>
      <c r="AI47" s="333">
        <f t="shared" si="87"/>
        <v>151069.89671180834</v>
      </c>
      <c r="AJ47" s="333">
        <f t="shared" si="87"/>
        <v>192941.30225498116</v>
      </c>
      <c r="AK47" s="333">
        <f t="shared" si="87"/>
        <v>166135.93659001941</v>
      </c>
      <c r="AL47" s="333">
        <f t="shared" si="87"/>
        <v>151872.02367906639</v>
      </c>
      <c r="AM47" s="333">
        <f t="shared" si="87"/>
        <v>157769.11460684196</v>
      </c>
      <c r="AN47" s="333">
        <f t="shared" si="87"/>
        <v>200310.23982805785</v>
      </c>
      <c r="AO47" s="333">
        <f t="shared" si="87"/>
        <v>202687.95708177862</v>
      </c>
      <c r="AP47" s="333">
        <f t="shared" si="87"/>
        <v>207764.67332379395</v>
      </c>
      <c r="AQ47" s="333">
        <f t="shared" si="87"/>
        <v>113283.89842503319</v>
      </c>
      <c r="AR47" s="107">
        <f t="shared" ref="AR47:AR55" si="88">SUM(AF47:AQ47)</f>
        <v>1993525.5120101024</v>
      </c>
      <c r="AS47" s="106"/>
      <c r="AT47" s="333">
        <f t="shared" ref="AT47:BE47" si="89">AT46-AT45</f>
        <v>-19510</v>
      </c>
      <c r="AU47" s="333">
        <f t="shared" si="89"/>
        <v>-25359</v>
      </c>
      <c r="AV47" s="333">
        <f t="shared" si="89"/>
        <v>-33907</v>
      </c>
      <c r="AW47" s="333">
        <f t="shared" si="89"/>
        <v>9802</v>
      </c>
      <c r="AX47" s="333">
        <f t="shared" si="89"/>
        <v>2100</v>
      </c>
      <c r="AY47" s="333">
        <f t="shared" si="89"/>
        <v>-73668</v>
      </c>
      <c r="AZ47" s="333">
        <f t="shared" si="89"/>
        <v>-11207</v>
      </c>
      <c r="BA47" s="333">
        <f t="shared" si="89"/>
        <v>-73434</v>
      </c>
      <c r="BB47" s="333">
        <f t="shared" si="89"/>
        <v>-18264.518518518511</v>
      </c>
      <c r="BC47" s="333">
        <f t="shared" si="89"/>
        <v>-33131.222222222219</v>
      </c>
      <c r="BD47" s="333">
        <f t="shared" si="89"/>
        <v>50394.592592592599</v>
      </c>
      <c r="BE47" s="333">
        <f t="shared" si="89"/>
        <v>86709.703703703708</v>
      </c>
      <c r="BF47" s="108">
        <f t="shared" si="66"/>
        <v>-139474.44444444444</v>
      </c>
      <c r="BG47" s="106"/>
      <c r="BH47" s="333">
        <f t="shared" ref="BH47:BQ47" si="90">BH46-BH45</f>
        <v>-77302</v>
      </c>
      <c r="BI47" s="333">
        <f t="shared" si="90"/>
        <v>-28044</v>
      </c>
      <c r="BJ47" s="333">
        <f t="shared" si="90"/>
        <v>-1473</v>
      </c>
      <c r="BK47" s="333">
        <f t="shared" si="90"/>
        <v>-7820</v>
      </c>
      <c r="BL47" s="333">
        <f t="shared" si="90"/>
        <v>29245</v>
      </c>
      <c r="BM47" s="333">
        <f t="shared" si="90"/>
        <v>2306</v>
      </c>
      <c r="BN47" s="333">
        <f t="shared" si="90"/>
        <v>-47961</v>
      </c>
      <c r="BO47" s="333">
        <f t="shared" si="90"/>
        <v>2843.4009269989911</v>
      </c>
      <c r="BP47" s="333">
        <f t="shared" si="90"/>
        <v>-29243.422556971986</v>
      </c>
      <c r="BQ47" s="333">
        <f t="shared" si="90"/>
        <v>-17156.186558516987</v>
      </c>
      <c r="BR47" s="108"/>
      <c r="BS47" s="108"/>
      <c r="BT47" s="108">
        <f t="shared" si="79"/>
        <v>-174605.20818848998</v>
      </c>
      <c r="BU47" s="28"/>
      <c r="BV47" s="333"/>
      <c r="BW47" s="333"/>
      <c r="BX47" s="333"/>
      <c r="BY47" s="333"/>
      <c r="BZ47" s="108"/>
      <c r="CA47" s="108"/>
      <c r="CB47" s="108"/>
      <c r="CC47" s="108"/>
      <c r="CD47" s="108"/>
      <c r="CE47" s="108"/>
      <c r="CF47" s="108"/>
      <c r="CG47" s="108"/>
      <c r="CH47" s="108"/>
      <c r="CJ47" s="333"/>
      <c r="CK47" s="333"/>
      <c r="CL47" s="333"/>
      <c r="CM47" s="333"/>
      <c r="CN47" s="108"/>
      <c r="CO47" s="108"/>
      <c r="CP47" s="108"/>
      <c r="CQ47" s="108"/>
      <c r="CR47" s="108"/>
      <c r="CS47" s="108"/>
      <c r="CT47" s="108"/>
      <c r="CU47" s="108"/>
      <c r="CV47" s="108"/>
    </row>
    <row r="48" spans="1:100" ht="15.75" customHeight="1">
      <c r="A48" s="94">
        <v>5</v>
      </c>
      <c r="B48" s="210" t="s">
        <v>77</v>
      </c>
      <c r="C48" s="335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>
        <v>0</v>
      </c>
      <c r="P48" s="314">
        <f>SUM(D48:O48)</f>
        <v>0</v>
      </c>
      <c r="Q48" s="90"/>
      <c r="R48" s="313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315">
        <f>SUM(R48:AC48)</f>
        <v>0</v>
      </c>
      <c r="AE48" s="23"/>
      <c r="AF48" s="316">
        <v>0</v>
      </c>
      <c r="AG48" s="91">
        <v>0</v>
      </c>
      <c r="AH48" s="91">
        <v>0</v>
      </c>
      <c r="AI48" s="91">
        <v>0</v>
      </c>
      <c r="AJ48" s="91">
        <v>0</v>
      </c>
      <c r="AK48" s="91">
        <v>0</v>
      </c>
      <c r="AL48" s="91">
        <v>0</v>
      </c>
      <c r="AM48" s="91">
        <v>0</v>
      </c>
      <c r="AN48" s="91">
        <v>0</v>
      </c>
      <c r="AO48" s="91">
        <v>0</v>
      </c>
      <c r="AP48" s="91"/>
      <c r="AQ48" s="91">
        <v>8938</v>
      </c>
      <c r="AR48" s="92">
        <f t="shared" si="88"/>
        <v>8938</v>
      </c>
      <c r="AS48" s="23"/>
      <c r="AT48" s="91">
        <v>106642</v>
      </c>
      <c r="AU48" s="91">
        <v>90699</v>
      </c>
      <c r="AV48" s="91">
        <v>89681</v>
      </c>
      <c r="AW48" s="91">
        <v>58790</v>
      </c>
      <c r="AX48" s="91">
        <v>35520</v>
      </c>
      <c r="AY48" s="91">
        <v>61551</v>
      </c>
      <c r="AZ48" s="91">
        <v>71511</v>
      </c>
      <c r="BA48" s="91">
        <v>63617</v>
      </c>
      <c r="BB48" s="91">
        <v>66748</v>
      </c>
      <c r="BC48" s="91">
        <v>75532</v>
      </c>
      <c r="BD48" s="91">
        <v>37786</v>
      </c>
      <c r="BE48" s="91">
        <v>4503</v>
      </c>
      <c r="BF48" s="91">
        <f t="shared" si="66"/>
        <v>762580</v>
      </c>
      <c r="BG48" s="27"/>
      <c r="BH48" s="91">
        <v>69404</v>
      </c>
      <c r="BI48" s="91">
        <v>80412</v>
      </c>
      <c r="BJ48" s="91">
        <v>94386</v>
      </c>
      <c r="BK48" s="91">
        <v>78313</v>
      </c>
      <c r="BL48" s="91">
        <v>47034</v>
      </c>
      <c r="BM48" s="91">
        <v>50851</v>
      </c>
      <c r="BN48" s="91">
        <v>93202</v>
      </c>
      <c r="BO48" s="91">
        <v>100687</v>
      </c>
      <c r="BP48" s="91">
        <v>127995</v>
      </c>
      <c r="BQ48" s="91">
        <v>122686</v>
      </c>
      <c r="BR48" s="91"/>
      <c r="BS48" s="91"/>
      <c r="BT48" s="91"/>
      <c r="BU48" s="28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  <c r="CJ48" s="91"/>
      <c r="CK48" s="91"/>
      <c r="CL48" s="91"/>
      <c r="CM48" s="91"/>
      <c r="CN48" s="91"/>
      <c r="CO48" s="91"/>
      <c r="CP48" s="91"/>
      <c r="CQ48" s="91"/>
      <c r="CR48" s="91"/>
      <c r="CS48" s="91"/>
      <c r="CT48" s="91"/>
      <c r="CU48" s="91"/>
      <c r="CV48" s="91"/>
    </row>
    <row r="49" spans="1:100">
      <c r="A49" s="13" t="s">
        <v>78</v>
      </c>
      <c r="B49" s="259"/>
      <c r="C49" s="260"/>
      <c r="D49" s="277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262"/>
      <c r="Q49" s="15"/>
      <c r="R49" s="277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263"/>
      <c r="AE49" s="16"/>
      <c r="AF49" s="261">
        <f t="shared" ref="AF49:AQ49" si="91">AF50+AF52</f>
        <v>118364</v>
      </c>
      <c r="AG49" s="261">
        <f t="shared" si="91"/>
        <v>173742</v>
      </c>
      <c r="AH49" s="261">
        <f t="shared" si="91"/>
        <v>73470</v>
      </c>
      <c r="AI49" s="261">
        <f t="shared" si="91"/>
        <v>87377</v>
      </c>
      <c r="AJ49" s="261">
        <f t="shared" si="91"/>
        <v>119657</v>
      </c>
      <c r="AK49" s="261">
        <f t="shared" si="91"/>
        <v>154747</v>
      </c>
      <c r="AL49" s="261">
        <f t="shared" si="91"/>
        <v>138073</v>
      </c>
      <c r="AM49" s="261">
        <f t="shared" si="91"/>
        <v>180773</v>
      </c>
      <c r="AN49" s="261">
        <f t="shared" si="91"/>
        <v>194598</v>
      </c>
      <c r="AO49" s="261">
        <f t="shared" si="91"/>
        <v>242931</v>
      </c>
      <c r="AP49" s="261">
        <f t="shared" si="91"/>
        <v>107346</v>
      </c>
      <c r="AQ49" s="261">
        <f t="shared" si="91"/>
        <v>87384</v>
      </c>
      <c r="AR49" s="14">
        <f t="shared" si="88"/>
        <v>1678462</v>
      </c>
      <c r="AS49" s="17"/>
      <c r="AT49" s="261">
        <f t="shared" ref="AT49:BE49" si="92">AT50+AT52</f>
        <v>155346</v>
      </c>
      <c r="AU49" s="261">
        <f t="shared" si="92"/>
        <v>123370</v>
      </c>
      <c r="AV49" s="261">
        <f t="shared" si="92"/>
        <v>144065</v>
      </c>
      <c r="AW49" s="261">
        <f t="shared" si="92"/>
        <v>127865</v>
      </c>
      <c r="AX49" s="261">
        <f t="shared" si="92"/>
        <v>123461</v>
      </c>
      <c r="AY49" s="261">
        <f t="shared" si="92"/>
        <v>121196</v>
      </c>
      <c r="AZ49" s="261">
        <f t="shared" si="92"/>
        <v>168029</v>
      </c>
      <c r="BA49" s="261">
        <f t="shared" si="92"/>
        <v>164268</v>
      </c>
      <c r="BB49" s="261">
        <f t="shared" si="92"/>
        <v>185112</v>
      </c>
      <c r="BC49" s="261">
        <f t="shared" si="92"/>
        <v>147235</v>
      </c>
      <c r="BD49" s="261">
        <f t="shared" si="92"/>
        <v>135608</v>
      </c>
      <c r="BE49" s="261">
        <f t="shared" si="92"/>
        <v>90194</v>
      </c>
      <c r="BF49" s="32">
        <f t="shared" si="66"/>
        <v>1685749</v>
      </c>
      <c r="BG49" s="35">
        <f t="shared" ref="BG49:BG50" si="93">BF49/AR49-1</f>
        <v>4.3414745165515356E-3</v>
      </c>
      <c r="BH49" s="261">
        <f>BH50+BH52</f>
        <v>144332</v>
      </c>
      <c r="BI49" s="261">
        <f t="shared" ref="BI49:BQ49" si="94">BI50+BI52</f>
        <v>128781</v>
      </c>
      <c r="BJ49" s="261">
        <f t="shared" si="94"/>
        <v>193129</v>
      </c>
      <c r="BK49" s="261">
        <f t="shared" si="94"/>
        <v>106092</v>
      </c>
      <c r="BL49" s="261">
        <f t="shared" si="94"/>
        <v>132638</v>
      </c>
      <c r="BM49" s="261">
        <f t="shared" si="94"/>
        <v>139193</v>
      </c>
      <c r="BN49" s="261">
        <f t="shared" si="94"/>
        <v>173703</v>
      </c>
      <c r="BO49" s="261">
        <f t="shared" si="94"/>
        <v>186902</v>
      </c>
      <c r="BP49" s="261">
        <f t="shared" si="94"/>
        <v>200686</v>
      </c>
      <c r="BQ49" s="261">
        <f t="shared" si="94"/>
        <v>191324</v>
      </c>
      <c r="BR49" s="14"/>
      <c r="BS49" s="14"/>
      <c r="BT49" s="14">
        <f t="shared" ref="BT49:BT54" si="95">SUM(BH49:BS49)</f>
        <v>1596780</v>
      </c>
      <c r="BU49" s="18"/>
      <c r="BV49" s="261"/>
      <c r="BW49" s="261"/>
      <c r="BX49" s="261"/>
      <c r="BY49" s="261"/>
      <c r="BZ49" s="14"/>
      <c r="CA49" s="14"/>
      <c r="CB49" s="14"/>
      <c r="CC49" s="14"/>
      <c r="CD49" s="14"/>
      <c r="CE49" s="14"/>
      <c r="CF49" s="14"/>
      <c r="CG49" s="14"/>
      <c r="CH49" s="14"/>
      <c r="CJ49" s="261"/>
      <c r="CK49" s="261"/>
      <c r="CL49" s="261"/>
      <c r="CM49" s="261"/>
      <c r="CN49" s="14"/>
      <c r="CO49" s="14"/>
      <c r="CP49" s="14"/>
      <c r="CQ49" s="14"/>
      <c r="CR49" s="14"/>
      <c r="CS49" s="14"/>
      <c r="CT49" s="14"/>
      <c r="CU49" s="14"/>
      <c r="CV49" s="14"/>
    </row>
    <row r="50" spans="1:100" ht="15.75" customHeight="1">
      <c r="A50" s="210"/>
      <c r="B50" s="210" t="s">
        <v>79</v>
      </c>
      <c r="C50" s="316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92193</v>
      </c>
      <c r="AG50" s="91">
        <v>152006</v>
      </c>
      <c r="AH50" s="91">
        <v>62734</v>
      </c>
      <c r="AI50" s="91">
        <v>71526</v>
      </c>
      <c r="AJ50" s="91">
        <v>89409</v>
      </c>
      <c r="AK50" s="91">
        <v>120675</v>
      </c>
      <c r="AL50" s="91">
        <v>100592</v>
      </c>
      <c r="AM50" s="91">
        <v>148128</v>
      </c>
      <c r="AN50" s="91">
        <v>164346</v>
      </c>
      <c r="AO50" s="91">
        <v>203437</v>
      </c>
      <c r="AP50" s="91">
        <v>64957</v>
      </c>
      <c r="AQ50" s="91">
        <v>31837</v>
      </c>
      <c r="AR50" s="92">
        <f t="shared" si="88"/>
        <v>1301840</v>
      </c>
      <c r="AS50" s="23"/>
      <c r="AT50" s="91">
        <v>125048</v>
      </c>
      <c r="AU50" s="91">
        <v>96006</v>
      </c>
      <c r="AV50" s="91">
        <v>111470</v>
      </c>
      <c r="AW50" s="91">
        <v>99222</v>
      </c>
      <c r="AX50" s="91">
        <v>91253</v>
      </c>
      <c r="AY50" s="91">
        <v>90595</v>
      </c>
      <c r="AZ50" s="91">
        <v>129147</v>
      </c>
      <c r="BA50" s="91">
        <v>133525</v>
      </c>
      <c r="BB50" s="91">
        <v>159291</v>
      </c>
      <c r="BC50" s="91">
        <v>115573</v>
      </c>
      <c r="BD50" s="91">
        <v>98386</v>
      </c>
      <c r="BE50" s="91">
        <v>36527</v>
      </c>
      <c r="BF50" s="91">
        <f t="shared" si="66"/>
        <v>1286043</v>
      </c>
      <c r="BG50" s="93">
        <f t="shared" si="93"/>
        <v>-1.2134363669882631E-2</v>
      </c>
      <c r="BH50" s="91">
        <v>110235</v>
      </c>
      <c r="BI50" s="91">
        <v>103047</v>
      </c>
      <c r="BJ50" s="91">
        <v>158855</v>
      </c>
      <c r="BK50" s="91">
        <v>77254</v>
      </c>
      <c r="BL50" s="91">
        <v>99853</v>
      </c>
      <c r="BM50" s="91">
        <v>100723</v>
      </c>
      <c r="BN50" s="91">
        <v>125338</v>
      </c>
      <c r="BO50" s="91">
        <v>153622</v>
      </c>
      <c r="BP50" s="91">
        <v>166483</v>
      </c>
      <c r="BQ50" s="91">
        <v>156140</v>
      </c>
      <c r="BR50" s="91">
        <v>111391</v>
      </c>
      <c r="BS50" s="91">
        <v>26768</v>
      </c>
      <c r="BT50" s="91">
        <f t="shared" si="95"/>
        <v>1389709</v>
      </c>
      <c r="BU50" s="28"/>
      <c r="BV50" s="91">
        <v>54245</v>
      </c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J50" s="91">
        <v>54245</v>
      </c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</row>
    <row r="51" spans="1:100" ht="15.75">
      <c r="A51" s="103"/>
      <c r="B51" s="329" t="s">
        <v>279</v>
      </c>
      <c r="C51" s="330"/>
      <c r="D51" s="331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332"/>
      <c r="Q51" s="105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334"/>
      <c r="AE51" s="106"/>
      <c r="AF51" s="333">
        <f t="shared" ref="AF51:AQ51" si="96">AF50-AF20</f>
        <v>2047</v>
      </c>
      <c r="AG51" s="333">
        <f t="shared" si="96"/>
        <v>-3571</v>
      </c>
      <c r="AH51" s="333">
        <f t="shared" si="96"/>
        <v>-219</v>
      </c>
      <c r="AI51" s="333">
        <f t="shared" si="96"/>
        <v>-1735</v>
      </c>
      <c r="AJ51" s="333">
        <f t="shared" si="96"/>
        <v>-2447</v>
      </c>
      <c r="AK51" s="333">
        <f t="shared" si="96"/>
        <v>675</v>
      </c>
      <c r="AL51" s="333">
        <f t="shared" si="96"/>
        <v>-9703</v>
      </c>
      <c r="AM51" s="333">
        <f t="shared" si="96"/>
        <v>-52075</v>
      </c>
      <c r="AN51" s="333">
        <f t="shared" si="96"/>
        <v>-59487.333333333343</v>
      </c>
      <c r="AO51" s="333">
        <f t="shared" si="96"/>
        <v>-15063</v>
      </c>
      <c r="AP51" s="333">
        <f t="shared" si="96"/>
        <v>-23043</v>
      </c>
      <c r="AQ51" s="333">
        <f t="shared" si="96"/>
        <v>-11563</v>
      </c>
      <c r="AR51" s="107">
        <f t="shared" si="88"/>
        <v>-176184.33333333334</v>
      </c>
      <c r="AS51" s="106"/>
      <c r="AT51" s="333">
        <f t="shared" ref="AT51:BE51" si="97">AT50-AT20</f>
        <v>8451.75</v>
      </c>
      <c r="AU51" s="333">
        <f t="shared" si="97"/>
        <v>-37227.103448275855</v>
      </c>
      <c r="AV51" s="333">
        <f t="shared" si="97"/>
        <v>-6779.1379310344782</v>
      </c>
      <c r="AW51" s="333">
        <f t="shared" si="97"/>
        <v>-22342.137931034478</v>
      </c>
      <c r="AX51" s="333">
        <f t="shared" si="97"/>
        <v>4719.0344827586232</v>
      </c>
      <c r="AY51" s="333">
        <f t="shared" si="97"/>
        <v>-14182.777777777781</v>
      </c>
      <c r="AZ51" s="333">
        <f t="shared" si="97"/>
        <v>-6630.777777777781</v>
      </c>
      <c r="BA51" s="333">
        <f t="shared" si="97"/>
        <v>-77771.296296296292</v>
      </c>
      <c r="BB51" s="333">
        <f t="shared" si="97"/>
        <v>-51486.777777777781</v>
      </c>
      <c r="BC51" s="333">
        <f t="shared" si="97"/>
        <v>-99233.290755657828</v>
      </c>
      <c r="BD51" s="333">
        <f t="shared" si="97"/>
        <v>5175.413118527038</v>
      </c>
      <c r="BE51" s="333">
        <f t="shared" si="97"/>
        <v>5840.3870349060235</v>
      </c>
      <c r="BF51" s="108">
        <f t="shared" si="66"/>
        <v>-291466.71505944064</v>
      </c>
      <c r="BG51" s="106"/>
      <c r="BH51" s="333">
        <f t="shared" ref="BH51:BQ51" si="98">BH50-BH17</f>
        <v>-6365</v>
      </c>
      <c r="BI51" s="333">
        <f t="shared" si="98"/>
        <v>-8486.3333333333285</v>
      </c>
      <c r="BJ51" s="333">
        <f t="shared" si="98"/>
        <v>23180.925925925927</v>
      </c>
      <c r="BK51" s="333">
        <f t="shared" si="98"/>
        <v>-44486.740740740745</v>
      </c>
      <c r="BL51" s="333">
        <f t="shared" si="98"/>
        <v>5926.148148148146</v>
      </c>
      <c r="BM51" s="333">
        <f t="shared" si="98"/>
        <v>10043.740740740745</v>
      </c>
      <c r="BN51" s="333">
        <f t="shared" si="98"/>
        <v>-4917.555555555562</v>
      </c>
      <c r="BO51" s="333">
        <f t="shared" si="98"/>
        <v>3071.6218888889125</v>
      </c>
      <c r="BP51" s="333">
        <f t="shared" si="98"/>
        <v>4652.2504629629548</v>
      </c>
      <c r="BQ51" s="333">
        <f t="shared" si="98"/>
        <v>29010</v>
      </c>
      <c r="BR51" s="108"/>
      <c r="BS51" s="108"/>
      <c r="BT51" s="108">
        <f t="shared" si="95"/>
        <v>11629.05753703705</v>
      </c>
      <c r="BU51" s="28"/>
      <c r="BV51" s="333"/>
      <c r="BW51" s="333"/>
      <c r="BX51" s="333"/>
      <c r="BY51" s="333"/>
      <c r="BZ51" s="108"/>
      <c r="CA51" s="108"/>
      <c r="CB51" s="108"/>
      <c r="CC51" s="108"/>
      <c r="CD51" s="108"/>
      <c r="CE51" s="108"/>
      <c r="CF51" s="108"/>
      <c r="CG51" s="108"/>
      <c r="CH51" s="108"/>
      <c r="CJ51" s="333"/>
      <c r="CK51" s="333"/>
      <c r="CL51" s="333"/>
      <c r="CM51" s="333"/>
      <c r="CN51" s="108"/>
      <c r="CO51" s="108"/>
      <c r="CP51" s="108"/>
      <c r="CQ51" s="108"/>
      <c r="CR51" s="108"/>
      <c r="CS51" s="108"/>
      <c r="CT51" s="108"/>
      <c r="CU51" s="108"/>
      <c r="CV51" s="108"/>
    </row>
    <row r="52" spans="1:100" ht="15.75" customHeight="1">
      <c r="A52" s="94"/>
      <c r="B52" s="336" t="s">
        <v>81</v>
      </c>
      <c r="C52" s="335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/>
      <c r="Q52" s="90"/>
      <c r="R52" s="316"/>
      <c r="S52" s="316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5"/>
      <c r="AE52" s="23"/>
      <c r="AF52" s="316">
        <v>26171</v>
      </c>
      <c r="AG52" s="316">
        <v>21736</v>
      </c>
      <c r="AH52" s="316">
        <v>10736</v>
      </c>
      <c r="AI52" s="316">
        <v>15851</v>
      </c>
      <c r="AJ52" s="316">
        <v>30248</v>
      </c>
      <c r="AK52" s="316">
        <v>34072</v>
      </c>
      <c r="AL52" s="316">
        <v>37481</v>
      </c>
      <c r="AM52" s="91">
        <v>32645</v>
      </c>
      <c r="AN52" s="91">
        <v>30252</v>
      </c>
      <c r="AO52" s="91">
        <v>39494</v>
      </c>
      <c r="AP52" s="91">
        <v>42389</v>
      </c>
      <c r="AQ52" s="91">
        <v>55547</v>
      </c>
      <c r="AR52" s="92">
        <f t="shared" si="88"/>
        <v>376622</v>
      </c>
      <c r="AS52" s="23"/>
      <c r="AT52" s="91">
        <v>30298</v>
      </c>
      <c r="AU52" s="91">
        <v>27364</v>
      </c>
      <c r="AV52" s="91">
        <v>32595</v>
      </c>
      <c r="AW52" s="91">
        <v>28643</v>
      </c>
      <c r="AX52" s="91">
        <v>32208</v>
      </c>
      <c r="AY52" s="91">
        <v>30601</v>
      </c>
      <c r="AZ52" s="91">
        <v>38882</v>
      </c>
      <c r="BA52" s="91">
        <v>30743</v>
      </c>
      <c r="BB52" s="91">
        <f>24621+1200</f>
        <v>25821</v>
      </c>
      <c r="BC52" s="91">
        <v>31662</v>
      </c>
      <c r="BD52" s="91">
        <v>37222</v>
      </c>
      <c r="BE52" s="91">
        <v>53667</v>
      </c>
      <c r="BF52" s="91">
        <f t="shared" si="66"/>
        <v>399706</v>
      </c>
      <c r="BG52" s="93">
        <f>BF52/AR52-1</f>
        <v>6.1292224033646425E-2</v>
      </c>
      <c r="BH52" s="91">
        <v>34097</v>
      </c>
      <c r="BI52" s="91">
        <v>25734</v>
      </c>
      <c r="BJ52" s="91">
        <v>34274</v>
      </c>
      <c r="BK52" s="91">
        <v>28838</v>
      </c>
      <c r="BL52" s="91">
        <v>32785</v>
      </c>
      <c r="BM52" s="91">
        <v>38470</v>
      </c>
      <c r="BN52" s="91">
        <v>48365</v>
      </c>
      <c r="BO52" s="91">
        <v>33280</v>
      </c>
      <c r="BP52" s="91">
        <v>34203</v>
      </c>
      <c r="BQ52" s="91">
        <v>35184</v>
      </c>
      <c r="BR52" s="91">
        <v>34873</v>
      </c>
      <c r="BS52" s="91">
        <v>48960</v>
      </c>
      <c r="BT52" s="91">
        <f t="shared" si="95"/>
        <v>429063</v>
      </c>
      <c r="BU52" s="28"/>
      <c r="BV52" s="91">
        <v>22115</v>
      </c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J52" s="91">
        <v>22115</v>
      </c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</row>
    <row r="53" spans="1:100" ht="15.75">
      <c r="A53" s="103"/>
      <c r="B53" s="329" t="s">
        <v>280</v>
      </c>
      <c r="C53" s="330"/>
      <c r="D53" s="331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332"/>
      <c r="Q53" s="105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06"/>
      <c r="AF53" s="333">
        <f t="shared" ref="AF53:AQ53" si="99">AF52-AF43</f>
        <v>-12329</v>
      </c>
      <c r="AG53" s="333">
        <f t="shared" si="99"/>
        <v>-664</v>
      </c>
      <c r="AH53" s="333">
        <f t="shared" si="99"/>
        <v>65</v>
      </c>
      <c r="AI53" s="333">
        <f t="shared" si="99"/>
        <v>-246</v>
      </c>
      <c r="AJ53" s="333">
        <f t="shared" si="99"/>
        <v>-30</v>
      </c>
      <c r="AK53" s="333">
        <f t="shared" si="99"/>
        <v>5512</v>
      </c>
      <c r="AL53" s="333">
        <f t="shared" si="99"/>
        <v>-4219</v>
      </c>
      <c r="AM53" s="333">
        <f t="shared" si="99"/>
        <v>-6055</v>
      </c>
      <c r="AN53" s="333">
        <f t="shared" si="99"/>
        <v>-7048</v>
      </c>
      <c r="AO53" s="333">
        <f t="shared" si="99"/>
        <v>2094</v>
      </c>
      <c r="AP53" s="333">
        <f t="shared" si="99"/>
        <v>1749</v>
      </c>
      <c r="AQ53" s="333">
        <f t="shared" si="99"/>
        <v>1107</v>
      </c>
      <c r="AR53" s="107">
        <f t="shared" si="88"/>
        <v>-20064</v>
      </c>
      <c r="AS53" s="106"/>
      <c r="AT53" s="333">
        <f t="shared" ref="AT53:BE53" si="100">AT52-AT43</f>
        <v>-5855</v>
      </c>
      <c r="AU53" s="333">
        <f t="shared" si="100"/>
        <v>-7925</v>
      </c>
      <c r="AV53" s="333">
        <f t="shared" si="100"/>
        <v>-3277</v>
      </c>
      <c r="AW53" s="333">
        <f t="shared" si="100"/>
        <v>-9388</v>
      </c>
      <c r="AX53" s="333">
        <f t="shared" si="100"/>
        <v>-1358</v>
      </c>
      <c r="AY53" s="333">
        <f t="shared" si="100"/>
        <v>-2965</v>
      </c>
      <c r="AZ53" s="333">
        <f t="shared" si="100"/>
        <v>7986</v>
      </c>
      <c r="BA53" s="333">
        <f t="shared" si="100"/>
        <v>-403</v>
      </c>
      <c r="BB53" s="333">
        <f t="shared" si="100"/>
        <v>-6809</v>
      </c>
      <c r="BC53" s="333">
        <f t="shared" si="100"/>
        <v>-6900</v>
      </c>
      <c r="BD53" s="333">
        <f t="shared" si="100"/>
        <v>-4123</v>
      </c>
      <c r="BE53" s="333">
        <f t="shared" si="100"/>
        <v>4404</v>
      </c>
      <c r="BF53" s="108">
        <f t="shared" si="66"/>
        <v>-36613</v>
      </c>
      <c r="BG53" s="106"/>
      <c r="BH53" s="333">
        <f t="shared" ref="BH53:BQ53" si="101">BH52-BH43</f>
        <v>-2056</v>
      </c>
      <c r="BI53" s="333">
        <f t="shared" si="101"/>
        <v>-9555</v>
      </c>
      <c r="BJ53" s="333">
        <f t="shared" si="101"/>
        <v>-1598</v>
      </c>
      <c r="BK53" s="333">
        <f t="shared" si="101"/>
        <v>-9193</v>
      </c>
      <c r="BL53" s="333">
        <f t="shared" si="101"/>
        <v>-5785</v>
      </c>
      <c r="BM53" s="333">
        <f t="shared" si="101"/>
        <v>-757</v>
      </c>
      <c r="BN53" s="333">
        <f t="shared" si="101"/>
        <v>7237</v>
      </c>
      <c r="BO53" s="333">
        <f t="shared" si="101"/>
        <v>-4911</v>
      </c>
      <c r="BP53" s="333">
        <f t="shared" si="101"/>
        <v>-3988</v>
      </c>
      <c r="BQ53" s="333">
        <f t="shared" si="101"/>
        <v>-5041</v>
      </c>
      <c r="BR53" s="108"/>
      <c r="BS53" s="108"/>
      <c r="BT53" s="108">
        <f t="shared" si="95"/>
        <v>-35647</v>
      </c>
      <c r="BU53" s="28"/>
      <c r="BV53" s="333"/>
      <c r="BW53" s="333"/>
      <c r="BX53" s="333"/>
      <c r="BY53" s="333"/>
      <c r="BZ53" s="108"/>
      <c r="CA53" s="108"/>
      <c r="CB53" s="108"/>
      <c r="CC53" s="108"/>
      <c r="CD53" s="108"/>
      <c r="CE53" s="108"/>
      <c r="CF53" s="108"/>
      <c r="CG53" s="108"/>
      <c r="CH53" s="108"/>
      <c r="CJ53" s="333"/>
      <c r="CK53" s="333"/>
      <c r="CL53" s="333"/>
      <c r="CM53" s="333"/>
      <c r="CN53" s="108"/>
      <c r="CO53" s="108"/>
      <c r="CP53" s="108"/>
      <c r="CQ53" s="108"/>
      <c r="CR53" s="108"/>
      <c r="CS53" s="108"/>
      <c r="CT53" s="108"/>
      <c r="CU53" s="108"/>
      <c r="CV53" s="108"/>
    </row>
    <row r="54" spans="1:100" ht="15.75">
      <c r="A54" s="103" t="s">
        <v>83</v>
      </c>
      <c r="B54" s="337"/>
      <c r="C54" s="330"/>
      <c r="D54" s="331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332"/>
      <c r="Q54" s="105"/>
      <c r="R54" s="333"/>
      <c r="S54" s="333"/>
      <c r="T54" s="333"/>
      <c r="U54" s="333"/>
      <c r="V54" s="333"/>
      <c r="W54" s="333"/>
      <c r="X54" s="333"/>
      <c r="Y54" s="333"/>
      <c r="Z54" s="333"/>
      <c r="AA54" s="333"/>
      <c r="AB54" s="333"/>
      <c r="AC54" s="333"/>
      <c r="AD54" s="334"/>
      <c r="AE54" s="106"/>
      <c r="AF54" s="333">
        <f t="shared" ref="AF54:AQ55" si="102">AF49-AF16</f>
        <v>-10282</v>
      </c>
      <c r="AG54" s="333">
        <f t="shared" si="102"/>
        <v>-4235</v>
      </c>
      <c r="AH54" s="333">
        <f t="shared" si="102"/>
        <v>-154</v>
      </c>
      <c r="AI54" s="333">
        <f t="shared" si="102"/>
        <v>-1981</v>
      </c>
      <c r="AJ54" s="333">
        <f t="shared" si="102"/>
        <v>-2477</v>
      </c>
      <c r="AK54" s="333">
        <f t="shared" si="102"/>
        <v>6187</v>
      </c>
      <c r="AL54" s="333">
        <f t="shared" si="102"/>
        <v>-13922</v>
      </c>
      <c r="AM54" s="333">
        <f t="shared" si="102"/>
        <v>-58130</v>
      </c>
      <c r="AN54" s="333">
        <f t="shared" si="102"/>
        <v>-66535.333333333343</v>
      </c>
      <c r="AO54" s="333">
        <f t="shared" si="102"/>
        <v>-12969</v>
      </c>
      <c r="AP54" s="333">
        <f t="shared" si="102"/>
        <v>-21294</v>
      </c>
      <c r="AQ54" s="333">
        <f t="shared" si="102"/>
        <v>-10456</v>
      </c>
      <c r="AR54" s="107">
        <f t="shared" si="88"/>
        <v>-196248.33333333334</v>
      </c>
      <c r="AS54" s="106"/>
      <c r="AT54" s="333">
        <f t="shared" ref="AT54:BE54" si="103">AT49-AT16</f>
        <v>2596.75</v>
      </c>
      <c r="AU54" s="333">
        <f t="shared" si="103"/>
        <v>-45152.103448275855</v>
      </c>
      <c r="AV54" s="333">
        <f t="shared" si="103"/>
        <v>-10056.137931034493</v>
      </c>
      <c r="AW54" s="333">
        <f t="shared" si="103"/>
        <v>-31730.137931034493</v>
      </c>
      <c r="AX54" s="333">
        <f t="shared" si="103"/>
        <v>3361.0344827586232</v>
      </c>
      <c r="AY54" s="333">
        <f t="shared" si="103"/>
        <v>-17147.777777777781</v>
      </c>
      <c r="AZ54" s="333">
        <f t="shared" si="103"/>
        <v>1355.222222222219</v>
      </c>
      <c r="BA54" s="333">
        <f t="shared" si="103"/>
        <v>-78174.296296296292</v>
      </c>
      <c r="BB54" s="333">
        <f t="shared" si="103"/>
        <v>-58295.777777777781</v>
      </c>
      <c r="BC54" s="333">
        <f t="shared" si="103"/>
        <v>-106133.29075565783</v>
      </c>
      <c r="BD54" s="333">
        <f t="shared" si="103"/>
        <v>1052.413118527038</v>
      </c>
      <c r="BE54" s="333">
        <f t="shared" si="103"/>
        <v>17507.387034906016</v>
      </c>
      <c r="BF54" s="108">
        <f t="shared" si="66"/>
        <v>-320816.71505944064</v>
      </c>
      <c r="BG54" s="106"/>
      <c r="BH54" s="333">
        <f t="shared" ref="BH54:BQ54" si="104">BH49-BH16</f>
        <v>-8421</v>
      </c>
      <c r="BI54" s="333">
        <f t="shared" si="104"/>
        <v>-18041.333333333314</v>
      </c>
      <c r="BJ54" s="333">
        <f t="shared" si="104"/>
        <v>21582.925925925927</v>
      </c>
      <c r="BK54" s="333">
        <f t="shared" si="104"/>
        <v>-53679.74074074073</v>
      </c>
      <c r="BL54" s="333">
        <f t="shared" si="104"/>
        <v>141.14814814814599</v>
      </c>
      <c r="BM54" s="333">
        <f t="shared" si="104"/>
        <v>9286.7407407407445</v>
      </c>
      <c r="BN54" s="333">
        <f t="shared" si="104"/>
        <v>2319.444444444438</v>
      </c>
      <c r="BO54" s="333">
        <f t="shared" si="104"/>
        <v>7351.6218888889125</v>
      </c>
      <c r="BP54" s="333">
        <f t="shared" si="104"/>
        <v>-1367.7495370370452</v>
      </c>
      <c r="BQ54" s="333">
        <f t="shared" si="104"/>
        <v>27459</v>
      </c>
      <c r="BR54" s="108"/>
      <c r="BS54" s="108"/>
      <c r="BT54" s="108">
        <f t="shared" si="95"/>
        <v>-13368.942462962921</v>
      </c>
      <c r="BU54" s="28"/>
      <c r="BV54" s="333"/>
      <c r="BW54" s="333"/>
      <c r="BX54" s="333"/>
      <c r="BY54" s="333"/>
      <c r="BZ54" s="108"/>
      <c r="CA54" s="108"/>
      <c r="CB54" s="108"/>
      <c r="CC54" s="108"/>
      <c r="CD54" s="108"/>
      <c r="CE54" s="108"/>
      <c r="CF54" s="108"/>
      <c r="CG54" s="108"/>
      <c r="CH54" s="108"/>
      <c r="CJ54" s="333"/>
      <c r="CK54" s="333"/>
      <c r="CL54" s="333"/>
      <c r="CM54" s="333"/>
      <c r="CN54" s="108"/>
      <c r="CO54" s="108"/>
      <c r="CP54" s="108"/>
      <c r="CQ54" s="108"/>
      <c r="CR54" s="108"/>
      <c r="CS54" s="108"/>
      <c r="CT54" s="108"/>
      <c r="CU54" s="108"/>
      <c r="CV54" s="108"/>
    </row>
    <row r="55" spans="1:100" ht="15.75">
      <c r="A55" s="103" t="s">
        <v>85</v>
      </c>
      <c r="B55" s="337"/>
      <c r="C55" s="330"/>
      <c r="D55" s="331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332"/>
      <c r="Q55" s="105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06"/>
      <c r="AF55" s="333">
        <f t="shared" si="102"/>
        <v>92193</v>
      </c>
      <c r="AG55" s="333">
        <f t="shared" si="102"/>
        <v>152006</v>
      </c>
      <c r="AH55" s="333">
        <f t="shared" si="102"/>
        <v>62734</v>
      </c>
      <c r="AI55" s="333">
        <f t="shared" si="102"/>
        <v>71526</v>
      </c>
      <c r="AJ55" s="333">
        <f t="shared" si="102"/>
        <v>89409</v>
      </c>
      <c r="AK55" s="333">
        <f t="shared" si="102"/>
        <v>120675</v>
      </c>
      <c r="AL55" s="333">
        <f t="shared" si="102"/>
        <v>100592</v>
      </c>
      <c r="AM55" s="333">
        <f t="shared" si="102"/>
        <v>148128</v>
      </c>
      <c r="AN55" s="333">
        <f t="shared" si="102"/>
        <v>164346</v>
      </c>
      <c r="AO55" s="333">
        <f t="shared" si="102"/>
        <v>203437</v>
      </c>
      <c r="AP55" s="333">
        <f t="shared" si="102"/>
        <v>64957</v>
      </c>
      <c r="AQ55" s="333">
        <f t="shared" si="102"/>
        <v>31837</v>
      </c>
      <c r="AR55" s="107">
        <f t="shared" si="88"/>
        <v>1301840</v>
      </c>
      <c r="AS55" s="106"/>
      <c r="AT55" s="338">
        <f t="shared" ref="AT55:BE55" si="105">AT54/AT16</f>
        <v>1.7000083470131603E-2</v>
      </c>
      <c r="AU55" s="338">
        <f t="shared" si="105"/>
        <v>-0.26792985919579565</v>
      </c>
      <c r="AV55" s="338">
        <f t="shared" si="105"/>
        <v>-6.5248272015318062E-2</v>
      </c>
      <c r="AW55" s="338">
        <f t="shared" si="105"/>
        <v>-0.19881644480138216</v>
      </c>
      <c r="AX55" s="338">
        <f t="shared" si="105"/>
        <v>2.798530764170884E-2</v>
      </c>
      <c r="AY55" s="338">
        <f t="shared" si="105"/>
        <v>-0.12395048084722922</v>
      </c>
      <c r="AZ55" s="338">
        <f t="shared" si="105"/>
        <v>8.1309864112464342E-3</v>
      </c>
      <c r="BA55" s="338">
        <f t="shared" si="105"/>
        <v>-0.32244495902957893</v>
      </c>
      <c r="BB55" s="338">
        <f t="shared" si="105"/>
        <v>-0.23949841829212068</v>
      </c>
      <c r="BC55" s="338">
        <f t="shared" si="105"/>
        <v>-0.41888939787658819</v>
      </c>
      <c r="BD55" s="338">
        <f t="shared" si="105"/>
        <v>7.8214003811977375E-3</v>
      </c>
      <c r="BE55" s="338">
        <f t="shared" si="105"/>
        <v>0.24086123043473662</v>
      </c>
      <c r="BF55" s="109">
        <f>AVERAGE(AT55:BE55)</f>
        <v>-0.11124823530991597</v>
      </c>
      <c r="BG55" s="106"/>
      <c r="BH55" s="338">
        <f t="shared" ref="BH55:BQ55" si="106">BH54/BH16</f>
        <v>-5.512821352117471E-2</v>
      </c>
      <c r="BI55" s="338">
        <f t="shared" si="106"/>
        <v>-0.12287867195499311</v>
      </c>
      <c r="BJ55" s="338">
        <f t="shared" si="106"/>
        <v>0.12581416416796784</v>
      </c>
      <c r="BK55" s="338">
        <f t="shared" si="106"/>
        <v>-0.33597769224938256</v>
      </c>
      <c r="BL55" s="338">
        <f t="shared" si="106"/>
        <v>1.0652943536044719E-3</v>
      </c>
      <c r="BM55" s="338">
        <f t="shared" si="106"/>
        <v>7.1488016002422286E-2</v>
      </c>
      <c r="BN55" s="338">
        <f t="shared" si="106"/>
        <v>1.3533646427895287E-2</v>
      </c>
      <c r="BO55" s="338">
        <f t="shared" si="106"/>
        <v>4.0944619366602007E-2</v>
      </c>
      <c r="BP55" s="338">
        <f t="shared" si="106"/>
        <v>-6.7692361075750926E-3</v>
      </c>
      <c r="BQ55" s="338">
        <f t="shared" si="106"/>
        <v>0.16757086626186191</v>
      </c>
      <c r="BR55" s="109"/>
      <c r="BS55" s="109"/>
      <c r="BT55" s="338">
        <f>BT54/BT16</f>
        <v>-7.1185036907011742E-3</v>
      </c>
      <c r="BU55" s="54"/>
      <c r="BV55" s="338"/>
      <c r="BW55" s="338"/>
      <c r="BX55" s="338"/>
      <c r="BY55" s="338"/>
      <c r="BZ55" s="109"/>
      <c r="CA55" s="109"/>
      <c r="CB55" s="109"/>
      <c r="CC55" s="109"/>
      <c r="CD55" s="109"/>
      <c r="CE55" s="109"/>
      <c r="CF55" s="109"/>
      <c r="CG55" s="109"/>
      <c r="CH55" s="109"/>
      <c r="CJ55" s="338"/>
      <c r="CK55" s="338"/>
      <c r="CL55" s="338"/>
      <c r="CM55" s="338"/>
      <c r="CN55" s="109"/>
      <c r="CO55" s="109"/>
      <c r="CP55" s="109"/>
      <c r="CQ55" s="109"/>
      <c r="CR55" s="109"/>
      <c r="CS55" s="109"/>
      <c r="CT55" s="109"/>
      <c r="CU55" s="109"/>
      <c r="CV55" s="109"/>
    </row>
    <row r="56" spans="1:100" ht="14.25" customHeight="1">
      <c r="A56" s="55" t="s">
        <v>86</v>
      </c>
      <c r="B56" s="56"/>
      <c r="C56" s="280"/>
      <c r="D56" s="288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289"/>
      <c r="Q56" s="39"/>
      <c r="R56" s="288"/>
      <c r="S56" s="58"/>
      <c r="T56" s="58"/>
      <c r="U56" s="58"/>
      <c r="V56" s="58"/>
      <c r="W56" s="290"/>
      <c r="X56" s="290"/>
      <c r="Y56" s="290"/>
      <c r="Z56" s="290"/>
      <c r="AA56" s="290"/>
      <c r="AB56" s="290"/>
      <c r="AC56" s="290"/>
      <c r="AD56" s="291"/>
      <c r="AE56" s="59"/>
      <c r="AF56" s="292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9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9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60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</row>
    <row r="57" spans="1:100" ht="14.25" customHeight="1">
      <c r="A57" s="55"/>
      <c r="B57" s="56" t="s">
        <v>603</v>
      </c>
      <c r="C57" s="280"/>
      <c r="D57" s="28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289"/>
      <c r="Q57" s="39"/>
      <c r="R57" s="288"/>
      <c r="S57" s="58"/>
      <c r="T57" s="58"/>
      <c r="U57" s="58"/>
      <c r="V57" s="58"/>
      <c r="W57" s="290"/>
      <c r="X57" s="290"/>
      <c r="Y57" s="290"/>
      <c r="Z57" s="290"/>
      <c r="AA57" s="290"/>
      <c r="AB57" s="290"/>
      <c r="AC57" s="290"/>
      <c r="AD57" s="291"/>
      <c r="AE57" s="59"/>
      <c r="AF57" s="292"/>
      <c r="AG57" s="292"/>
      <c r="AH57" s="292"/>
      <c r="AI57" s="292"/>
      <c r="AJ57" s="292"/>
      <c r="AK57" s="292"/>
      <c r="AL57" s="292"/>
      <c r="AM57" s="292"/>
      <c r="AN57" s="292"/>
      <c r="AO57" s="292"/>
      <c r="AP57" s="292"/>
      <c r="AQ57" s="292"/>
      <c r="AR57" s="58"/>
      <c r="AS57" s="59"/>
      <c r="AT57" s="292"/>
      <c r="AU57" s="292"/>
      <c r="AV57" s="292"/>
      <c r="AW57" s="292"/>
      <c r="AX57" s="292"/>
      <c r="AY57" s="292"/>
      <c r="AZ57" s="292"/>
      <c r="BA57" s="292"/>
      <c r="BB57" s="292"/>
      <c r="BC57" s="292"/>
      <c r="BD57" s="292"/>
      <c r="BE57" s="292"/>
      <c r="BF57" s="58"/>
      <c r="BG57" s="59"/>
      <c r="BH57" s="292"/>
      <c r="BI57" s="292"/>
      <c r="BJ57" s="292"/>
      <c r="BK57" s="292"/>
      <c r="BL57" s="292"/>
      <c r="BM57" s="292"/>
      <c r="BN57" s="292"/>
      <c r="BO57" s="292"/>
      <c r="BP57" s="292"/>
      <c r="BQ57" s="292"/>
      <c r="BR57" s="292"/>
      <c r="BS57" s="292"/>
      <c r="BT57" s="292"/>
      <c r="BU57" s="60"/>
      <c r="BV57" s="400">
        <f>BH49</f>
        <v>144332</v>
      </c>
      <c r="BW57" s="400">
        <f t="shared" ref="BW57:CA57" si="107">BI49</f>
        <v>128781</v>
      </c>
      <c r="BX57" s="400">
        <f t="shared" si="107"/>
        <v>193129</v>
      </c>
      <c r="BY57" s="400">
        <f t="shared" si="107"/>
        <v>106092</v>
      </c>
      <c r="BZ57" s="400">
        <f t="shared" si="107"/>
        <v>132638</v>
      </c>
      <c r="CA57" s="400">
        <f t="shared" si="107"/>
        <v>139193</v>
      </c>
      <c r="CB57" s="292"/>
      <c r="CC57" s="292"/>
      <c r="CD57" s="292"/>
      <c r="CE57" s="292"/>
      <c r="CF57" s="292"/>
      <c r="CG57" s="292"/>
      <c r="CH57" s="292"/>
      <c r="CJ57" s="400">
        <v>144332</v>
      </c>
      <c r="CK57" s="400">
        <v>128781</v>
      </c>
      <c r="CL57" s="400">
        <v>193129</v>
      </c>
      <c r="CM57" s="400">
        <v>106092</v>
      </c>
      <c r="CN57" s="400">
        <v>132638</v>
      </c>
      <c r="CO57" s="400">
        <v>139193</v>
      </c>
      <c r="CP57" s="292"/>
      <c r="CQ57" s="292"/>
      <c r="CR57" s="292"/>
      <c r="CS57" s="292"/>
      <c r="CT57" s="292"/>
      <c r="CU57" s="292"/>
      <c r="CV57" s="292"/>
    </row>
    <row r="58" spans="1:100" s="414" customFormat="1" ht="22.5" customHeight="1">
      <c r="A58" s="401"/>
      <c r="B58" s="402" t="s">
        <v>289</v>
      </c>
      <c r="C58" s="403"/>
      <c r="D58" s="404"/>
      <c r="E58" s="405"/>
      <c r="F58" s="405"/>
      <c r="G58" s="405"/>
      <c r="H58" s="405"/>
      <c r="I58" s="405"/>
      <c r="J58" s="405"/>
      <c r="K58" s="405"/>
      <c r="L58" s="405"/>
      <c r="M58" s="405"/>
      <c r="N58" s="405"/>
      <c r="O58" s="405"/>
      <c r="P58" s="406"/>
      <c r="Q58" s="407"/>
      <c r="R58" s="404"/>
      <c r="S58" s="408"/>
      <c r="T58" s="408"/>
      <c r="U58" s="408"/>
      <c r="V58" s="408"/>
      <c r="W58" s="409"/>
      <c r="X58" s="409"/>
      <c r="Y58" s="409"/>
      <c r="Z58" s="409"/>
      <c r="AA58" s="409"/>
      <c r="AB58" s="409"/>
      <c r="AC58" s="409"/>
      <c r="AD58" s="410"/>
      <c r="AE58" s="411"/>
      <c r="AF58" s="412"/>
      <c r="AG58" s="412"/>
      <c r="AH58" s="412"/>
      <c r="AI58" s="412"/>
      <c r="AJ58" s="412"/>
      <c r="AK58" s="412"/>
      <c r="AL58" s="412"/>
      <c r="AM58" s="412"/>
      <c r="AN58" s="412"/>
      <c r="AO58" s="412"/>
      <c r="AP58" s="412"/>
      <c r="AQ58" s="412"/>
      <c r="AR58" s="408"/>
      <c r="AS58" s="411"/>
      <c r="AT58" s="412"/>
      <c r="AU58" s="412"/>
      <c r="AV58" s="412"/>
      <c r="AW58" s="412"/>
      <c r="AX58" s="412"/>
      <c r="AY58" s="412"/>
      <c r="AZ58" s="412"/>
      <c r="BA58" s="412"/>
      <c r="BB58" s="412"/>
      <c r="BC58" s="412"/>
      <c r="BD58" s="412"/>
      <c r="BE58" s="412"/>
      <c r="BF58" s="408"/>
      <c r="BG58" s="411"/>
      <c r="BH58" s="412"/>
      <c r="BI58" s="412"/>
      <c r="BJ58" s="412"/>
      <c r="BK58" s="412"/>
      <c r="BL58" s="412"/>
      <c r="BM58" s="412"/>
      <c r="BN58" s="412"/>
      <c r="BO58" s="412"/>
      <c r="BP58" s="412"/>
      <c r="BQ58" s="412"/>
      <c r="BR58" s="412"/>
      <c r="BS58" s="412"/>
      <c r="BT58" s="412"/>
      <c r="BU58" s="60"/>
      <c r="BV58" s="413">
        <f>BV16</f>
        <v>161157.867486095</v>
      </c>
      <c r="BW58" s="413">
        <f t="shared" ref="BW58:CG58" si="108">BW16</f>
        <v>155966.83045180296</v>
      </c>
      <c r="BX58" s="413">
        <f t="shared" si="108"/>
        <v>196111.53846153844</v>
      </c>
      <c r="BY58" s="413">
        <f t="shared" si="108"/>
        <v>159169.23076923078</v>
      </c>
      <c r="BZ58" s="413">
        <f t="shared" si="108"/>
        <v>151482.39341785663</v>
      </c>
      <c r="CA58" s="413">
        <f t="shared" si="108"/>
        <v>144292.12910096842</v>
      </c>
      <c r="CB58" s="413">
        <f t="shared" si="108"/>
        <v>178490.1304999823</v>
      </c>
      <c r="CC58" s="413">
        <f t="shared" si="108"/>
        <v>195171.64632404887</v>
      </c>
      <c r="CD58" s="413">
        <f t="shared" si="108"/>
        <v>206500.05077079119</v>
      </c>
      <c r="CE58" s="413">
        <f t="shared" si="108"/>
        <v>209231.6663823167</v>
      </c>
      <c r="CF58" s="413">
        <f t="shared" si="108"/>
        <v>168204.18956840446</v>
      </c>
      <c r="CG58" s="413">
        <f t="shared" si="108"/>
        <v>74491.998737497925</v>
      </c>
      <c r="CH58" s="412"/>
      <c r="CI58"/>
      <c r="CJ58" s="413">
        <f>CJ16</f>
        <v>169215.76086039975</v>
      </c>
      <c r="CK58" s="413">
        <f t="shared" ref="CK58:CL58" si="109">CK16</f>
        <v>163765.1719743931</v>
      </c>
      <c r="CL58" s="413">
        <f t="shared" si="109"/>
        <v>205917.11538461538</v>
      </c>
      <c r="CM58" s="413">
        <v>151285.71907179488</v>
      </c>
      <c r="CN58" s="413">
        <v>144178.1256303548</v>
      </c>
      <c r="CO58" s="413">
        <v>138215.07940017723</v>
      </c>
      <c r="CP58" s="412"/>
      <c r="CQ58" s="412"/>
      <c r="CR58" s="412"/>
      <c r="CS58" s="412"/>
      <c r="CT58" s="412"/>
      <c r="CU58" s="412"/>
      <c r="CV58" s="412"/>
    </row>
    <row r="59" spans="1:100" ht="15.75" customHeight="1" outlineLevel="1">
      <c r="A59" s="94">
        <v>7</v>
      </c>
      <c r="B59" s="210" t="s">
        <v>90</v>
      </c>
      <c r="C59" s="335"/>
      <c r="D59" s="313">
        <v>98048</v>
      </c>
      <c r="E59" s="89">
        <v>128688</v>
      </c>
      <c r="F59" s="89">
        <v>124704</v>
      </c>
      <c r="G59" s="89">
        <v>157500</v>
      </c>
      <c r="H59" s="89">
        <v>182600</v>
      </c>
      <c r="I59" s="89">
        <v>157700</v>
      </c>
      <c r="J59" s="89">
        <v>181700</v>
      </c>
      <c r="K59" s="89">
        <v>165900</v>
      </c>
      <c r="L59" s="89">
        <v>174300</v>
      </c>
      <c r="M59" s="89">
        <v>215800</v>
      </c>
      <c r="N59" s="89">
        <v>180000</v>
      </c>
      <c r="O59" s="89">
        <v>112500</v>
      </c>
      <c r="P59" s="314">
        <f t="shared" ref="P59:P60" si="110">SUM(D59:O59)</f>
        <v>1879440</v>
      </c>
      <c r="Q59" s="90"/>
      <c r="R59" s="313">
        <v>158400</v>
      </c>
      <c r="S59" s="91">
        <v>161000</v>
      </c>
      <c r="T59" s="91">
        <v>117800</v>
      </c>
      <c r="U59" s="91">
        <v>2000</v>
      </c>
      <c r="V59" s="91">
        <v>53800</v>
      </c>
      <c r="W59" s="91">
        <v>190600</v>
      </c>
      <c r="X59" s="91">
        <v>187900</v>
      </c>
      <c r="Y59" s="91">
        <v>196800</v>
      </c>
      <c r="Z59" s="91">
        <v>192300</v>
      </c>
      <c r="AA59" s="91">
        <v>182300</v>
      </c>
      <c r="AB59" s="91">
        <v>175000</v>
      </c>
      <c r="AC59" s="91">
        <v>134100</v>
      </c>
      <c r="AD59" s="315">
        <f>SUM(R59:AC59)</f>
        <v>1752000</v>
      </c>
      <c r="AE59" s="23"/>
      <c r="AF59" s="316">
        <f t="shared" ref="AF59:AL59" si="111">SUM(AF60,AF62)</f>
        <v>161400</v>
      </c>
      <c r="AG59" s="316">
        <f t="shared" si="111"/>
        <v>166000</v>
      </c>
      <c r="AH59" s="316">
        <f t="shared" si="111"/>
        <v>150471</v>
      </c>
      <c r="AI59" s="316">
        <f t="shared" si="111"/>
        <v>149040</v>
      </c>
      <c r="AJ59" s="316">
        <f t="shared" si="111"/>
        <v>196360</v>
      </c>
      <c r="AK59" s="316">
        <f t="shared" si="111"/>
        <v>163300</v>
      </c>
      <c r="AL59" s="316">
        <f t="shared" si="111"/>
        <v>190000</v>
      </c>
      <c r="AM59" s="316">
        <f t="shared" ref="AM59:AQ59" si="112">SUM(AM60,AM62,AM63)</f>
        <v>167000</v>
      </c>
      <c r="AN59" s="316">
        <f t="shared" si="112"/>
        <v>170500</v>
      </c>
      <c r="AO59" s="316">
        <f t="shared" si="112"/>
        <v>140000</v>
      </c>
      <c r="AP59" s="316">
        <f t="shared" si="112"/>
        <v>130000</v>
      </c>
      <c r="AQ59" s="316">
        <f t="shared" si="112"/>
        <v>100000</v>
      </c>
      <c r="AR59" s="92">
        <f t="shared" ref="AR59:AR60" si="113">SUM(AF59:AQ59)</f>
        <v>1884071</v>
      </c>
      <c r="AS59" s="23"/>
      <c r="AT59" s="316">
        <f t="shared" ref="AT59:BC59" si="114">SUM(AT60,AT62,AT63)</f>
        <v>133000</v>
      </c>
      <c r="AU59" s="316">
        <f t="shared" si="114"/>
        <v>125180</v>
      </c>
      <c r="AV59" s="316">
        <f t="shared" si="114"/>
        <v>117228</v>
      </c>
      <c r="AW59" s="316">
        <f t="shared" si="114"/>
        <v>127500</v>
      </c>
      <c r="AX59" s="316">
        <f t="shared" si="114"/>
        <v>140000</v>
      </c>
      <c r="AY59" s="316">
        <f t="shared" si="114"/>
        <v>158342.99999899999</v>
      </c>
      <c r="AZ59" s="316">
        <f t="shared" si="114"/>
        <v>152409</v>
      </c>
      <c r="BA59" s="316">
        <f t="shared" si="114"/>
        <v>173520</v>
      </c>
      <c r="BB59" s="316">
        <f t="shared" si="114"/>
        <v>165000</v>
      </c>
      <c r="BC59" s="316">
        <f t="shared" si="114"/>
        <v>157500</v>
      </c>
      <c r="BD59" s="316">
        <v>129431</v>
      </c>
      <c r="BE59" s="316">
        <v>61700</v>
      </c>
      <c r="BF59" s="91">
        <f t="shared" ref="BF59:BF60" si="115">SUM(AT59:BE59)</f>
        <v>1640810.999999</v>
      </c>
      <c r="BG59" s="27">
        <f>BF59-AR59</f>
        <v>-243260.00000100001</v>
      </c>
      <c r="BH59" s="339">
        <f>SUM(BH60,BH62,BH63)</f>
        <v>139760</v>
      </c>
      <c r="BI59" s="339">
        <f t="shared" ref="BI59:BP59" si="116">SUM(BI60,BI62,BI63)</f>
        <v>116580</v>
      </c>
      <c r="BJ59" s="339">
        <f t="shared" si="116"/>
        <v>148340</v>
      </c>
      <c r="BK59" s="339">
        <f t="shared" si="116"/>
        <v>112360</v>
      </c>
      <c r="BL59" s="339">
        <f t="shared" si="116"/>
        <v>108660</v>
      </c>
      <c r="BM59" s="339">
        <f t="shared" si="116"/>
        <v>153416</v>
      </c>
      <c r="BN59" s="339">
        <f t="shared" si="116"/>
        <v>137676</v>
      </c>
      <c r="BO59" s="339">
        <f t="shared" si="116"/>
        <v>160654</v>
      </c>
      <c r="BP59" s="339">
        <f t="shared" si="116"/>
        <v>157000</v>
      </c>
      <c r="BQ59" s="339">
        <v>156725</v>
      </c>
      <c r="BR59" s="339">
        <v>182069</v>
      </c>
      <c r="BS59" s="339">
        <f>BS60+BS63</f>
        <v>156420</v>
      </c>
      <c r="BT59" s="339">
        <f t="shared" ref="BT59:BT60" si="117">SUM(BH59:BS59)</f>
        <v>1729660</v>
      </c>
      <c r="BU59" s="60"/>
      <c r="BV59" s="396">
        <f>BV3*7000</f>
        <v>133000</v>
      </c>
      <c r="BW59" s="396">
        <f t="shared" ref="BW59:CG59" si="118">BW3*7000</f>
        <v>133000</v>
      </c>
      <c r="BX59" s="396">
        <f>BX3*BX61</f>
        <v>147000</v>
      </c>
      <c r="BY59" s="396">
        <f>BY3*BY61</f>
        <v>172800</v>
      </c>
      <c r="BZ59" s="396">
        <f>BZ3*BZ61</f>
        <v>170200</v>
      </c>
      <c r="CA59" s="599">
        <f t="shared" ref="BY59:CG59" si="119">CA3*CA61</f>
        <v>162800</v>
      </c>
      <c r="CB59" s="396">
        <f>CB3*CB61</f>
        <v>185000</v>
      </c>
      <c r="CC59" s="396">
        <f t="shared" si="119"/>
        <v>185000</v>
      </c>
      <c r="CD59" s="396">
        <f t="shared" si="119"/>
        <v>177600</v>
      </c>
      <c r="CE59" s="396">
        <f t="shared" si="119"/>
        <v>192400</v>
      </c>
      <c r="CF59" s="396">
        <f t="shared" si="119"/>
        <v>170200</v>
      </c>
      <c r="CG59" s="396">
        <f t="shared" si="119"/>
        <v>125800</v>
      </c>
      <c r="CH59" s="396">
        <f t="shared" ref="CH59:CH60" si="120">SUM(BV59:CG59)</f>
        <v>1954800</v>
      </c>
      <c r="CI59" s="595"/>
      <c r="CJ59" s="396">
        <f>CJ3*CJ61</f>
        <v>156000</v>
      </c>
      <c r="CK59" s="396">
        <f t="shared" ref="CK59:CU59" si="121">CK3*CK61</f>
        <v>156000</v>
      </c>
      <c r="CL59" s="396">
        <f t="shared" si="121"/>
        <v>163800</v>
      </c>
      <c r="CM59" s="396">
        <f t="shared" si="121"/>
        <v>187200</v>
      </c>
      <c r="CN59" s="396">
        <f t="shared" si="121"/>
        <v>160000</v>
      </c>
      <c r="CO59" s="396">
        <f t="shared" si="121"/>
        <v>160000</v>
      </c>
      <c r="CP59" s="396">
        <f t="shared" si="121"/>
        <v>184000</v>
      </c>
      <c r="CQ59" s="396">
        <f t="shared" si="121"/>
        <v>168000</v>
      </c>
      <c r="CR59" s="396">
        <f t="shared" si="121"/>
        <v>168000</v>
      </c>
      <c r="CS59" s="396">
        <f t="shared" si="121"/>
        <v>184000</v>
      </c>
      <c r="CT59" s="396">
        <f t="shared" si="121"/>
        <v>160000</v>
      </c>
      <c r="CU59" s="396">
        <f t="shared" si="121"/>
        <v>104000</v>
      </c>
      <c r="CV59" s="339">
        <v>1800500</v>
      </c>
    </row>
    <row r="60" spans="1:100" ht="15.75" outlineLevel="1">
      <c r="A60" s="94"/>
      <c r="B60" s="210" t="s">
        <v>91</v>
      </c>
      <c r="C60" s="335"/>
      <c r="D60" s="313">
        <v>98048</v>
      </c>
      <c r="E60" s="89">
        <v>128688</v>
      </c>
      <c r="F60" s="89">
        <v>124704</v>
      </c>
      <c r="G60" s="89">
        <v>157500</v>
      </c>
      <c r="H60" s="89">
        <v>182600</v>
      </c>
      <c r="I60" s="89">
        <v>157700</v>
      </c>
      <c r="J60" s="89">
        <v>181700</v>
      </c>
      <c r="K60" s="89">
        <v>165900</v>
      </c>
      <c r="L60" s="89">
        <v>174300</v>
      </c>
      <c r="M60" s="89">
        <v>215800</v>
      </c>
      <c r="N60" s="89">
        <v>180000</v>
      </c>
      <c r="O60" s="89">
        <v>112500</v>
      </c>
      <c r="P60" s="314">
        <f t="shared" si="110"/>
        <v>1879440</v>
      </c>
      <c r="Q60" s="90"/>
      <c r="R60" s="313">
        <v>158400</v>
      </c>
      <c r="S60" s="91">
        <v>146000</v>
      </c>
      <c r="T60" s="91">
        <v>102200</v>
      </c>
      <c r="U60" s="91">
        <v>0</v>
      </c>
      <c r="V60" s="91">
        <v>43800</v>
      </c>
      <c r="W60" s="91">
        <v>160600</v>
      </c>
      <c r="X60" s="91">
        <v>167900</v>
      </c>
      <c r="Y60" s="91">
        <v>153300</v>
      </c>
      <c r="Z60" s="91">
        <v>153300</v>
      </c>
      <c r="AA60" s="91">
        <v>153300</v>
      </c>
      <c r="AB60" s="91">
        <v>146000</v>
      </c>
      <c r="AC60" s="91">
        <v>124100</v>
      </c>
      <c r="AD60" s="315"/>
      <c r="AE60" s="23"/>
      <c r="AF60" s="316">
        <v>131400</v>
      </c>
      <c r="AG60" s="91">
        <v>146000</v>
      </c>
      <c r="AH60" s="91">
        <v>125511</v>
      </c>
      <c r="AI60" s="91">
        <v>135000</v>
      </c>
      <c r="AJ60" s="91">
        <v>177320</v>
      </c>
      <c r="AK60" s="91">
        <v>151300</v>
      </c>
      <c r="AL60" s="91">
        <v>176000</v>
      </c>
      <c r="AM60" s="91">
        <f>AM61*AM3</f>
        <v>154000</v>
      </c>
      <c r="AN60" s="91">
        <f>AN61*AN3</f>
        <v>157500</v>
      </c>
      <c r="AO60" s="91">
        <f>AO61*AO3</f>
        <v>140000</v>
      </c>
      <c r="AP60" s="91">
        <f>AP61*AP3</f>
        <v>130000</v>
      </c>
      <c r="AQ60" s="91">
        <f>AQ61*AQ3+16000</f>
        <v>100000</v>
      </c>
      <c r="AR60" s="92">
        <f t="shared" si="113"/>
        <v>1724031</v>
      </c>
      <c r="AS60" s="23"/>
      <c r="AT60" s="91">
        <f>AT61*AT3</f>
        <v>133000</v>
      </c>
      <c r="AU60" s="91">
        <f>125180</f>
        <v>125180</v>
      </c>
      <c r="AV60" s="91">
        <f>AV61*AV3+7428</f>
        <v>117228</v>
      </c>
      <c r="AW60" s="91">
        <f>AW61*AW3</f>
        <v>123500</v>
      </c>
      <c r="AX60" s="91">
        <f>AX61*AX3</f>
        <v>132000</v>
      </c>
      <c r="AY60" s="91">
        <f>AY61*AY3</f>
        <v>153342.99999899999</v>
      </c>
      <c r="AZ60" s="91">
        <v>142409</v>
      </c>
      <c r="BA60" s="91">
        <v>163520</v>
      </c>
      <c r="BB60" s="91">
        <f>BB61*BB3</f>
        <v>165000</v>
      </c>
      <c r="BC60" s="91">
        <f>BC61*BC3</f>
        <v>157500</v>
      </c>
      <c r="BD60" s="316">
        <v>129431</v>
      </c>
      <c r="BE60" s="316">
        <v>61700</v>
      </c>
      <c r="BF60" s="91">
        <f t="shared" si="115"/>
        <v>1603810.999999</v>
      </c>
      <c r="BG60" s="27">
        <f>BF60+BF63-AR60-AR63</f>
        <v>-113040.00000100001</v>
      </c>
      <c r="BH60" s="91">
        <v>136760</v>
      </c>
      <c r="BI60" s="91">
        <v>116580</v>
      </c>
      <c r="BJ60" s="91">
        <v>148340</v>
      </c>
      <c r="BK60" s="91">
        <v>112360</v>
      </c>
      <c r="BL60" s="91">
        <v>108660</v>
      </c>
      <c r="BM60" s="91">
        <v>153416</v>
      </c>
      <c r="BN60" s="91">
        <v>137676</v>
      </c>
      <c r="BO60" s="91">
        <v>150654</v>
      </c>
      <c r="BP60" s="91">
        <f>7100*BP3</f>
        <v>142000</v>
      </c>
      <c r="BQ60" s="91">
        <f t="shared" ref="BQ60:BR60" si="122">BQ59-BQ63</f>
        <v>136725</v>
      </c>
      <c r="BR60" s="91">
        <f t="shared" si="122"/>
        <v>167069</v>
      </c>
      <c r="BS60" s="91">
        <v>124020</v>
      </c>
      <c r="BT60" s="91">
        <f t="shared" si="117"/>
        <v>1634260</v>
      </c>
      <c r="BU60" s="28"/>
      <c r="BV60" s="397">
        <f>BV61*BV62-24551</f>
        <v>108449</v>
      </c>
      <c r="BW60" s="397">
        <f>BW61*BW62</f>
        <v>133000</v>
      </c>
      <c r="BX60" s="397">
        <f t="shared" ref="BX60:CG60" si="123">BX61*BX62</f>
        <v>147000</v>
      </c>
      <c r="BY60" s="397">
        <f>BY61*BY62</f>
        <v>172800</v>
      </c>
      <c r="BZ60" s="397">
        <f>BZ61*BZ62</f>
        <v>170200</v>
      </c>
      <c r="CA60" s="397">
        <f>CA61*CA62</f>
        <v>162800</v>
      </c>
      <c r="CB60" s="397">
        <f>CB61*CB62</f>
        <v>185000</v>
      </c>
      <c r="CC60" s="397">
        <f t="shared" si="123"/>
        <v>185000</v>
      </c>
      <c r="CD60" s="397">
        <f t="shared" si="123"/>
        <v>177600</v>
      </c>
      <c r="CE60" s="397">
        <f t="shared" si="123"/>
        <v>192400</v>
      </c>
      <c r="CF60" s="397">
        <f t="shared" si="123"/>
        <v>170200</v>
      </c>
      <c r="CG60" s="397">
        <f t="shared" si="123"/>
        <v>125800</v>
      </c>
      <c r="CH60" s="91">
        <f t="shared" si="120"/>
        <v>1930249</v>
      </c>
      <c r="CI60" s="395">
        <f>(CH60-BT65)/BT65</f>
        <v>0.35030227479094</v>
      </c>
      <c r="CJ60" s="397">
        <v>129449</v>
      </c>
      <c r="CK60" s="397">
        <v>154000</v>
      </c>
      <c r="CL60" s="397">
        <v>147000</v>
      </c>
      <c r="CM60" s="397">
        <v>165000</v>
      </c>
      <c r="CN60" s="397">
        <v>157500</v>
      </c>
      <c r="CO60" s="397">
        <v>172500</v>
      </c>
      <c r="CP60" s="397">
        <v>168760</v>
      </c>
      <c r="CQ60" s="397">
        <v>194340</v>
      </c>
      <c r="CR60" s="397">
        <v>208000</v>
      </c>
      <c r="CS60" s="397">
        <v>201780</v>
      </c>
      <c r="CT60" s="397">
        <v>154060</v>
      </c>
      <c r="CU60" s="397">
        <v>96720</v>
      </c>
      <c r="CV60" s="91">
        <v>1949109</v>
      </c>
    </row>
    <row r="61" spans="1:100" ht="15.75" customHeight="1" outlineLevel="1">
      <c r="A61" s="94"/>
      <c r="B61" s="210" t="s">
        <v>92</v>
      </c>
      <c r="C61" s="335"/>
      <c r="D61" s="313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/>
      <c r="Q61" s="90"/>
      <c r="R61" s="316">
        <f t="shared" ref="R61:AC61" si="124">R60/R3</f>
        <v>7200</v>
      </c>
      <c r="S61" s="316">
        <f t="shared" si="124"/>
        <v>7300</v>
      </c>
      <c r="T61" s="316">
        <f t="shared" si="124"/>
        <v>7300</v>
      </c>
      <c r="U61" s="316">
        <f t="shared" si="124"/>
        <v>0</v>
      </c>
      <c r="V61" s="316">
        <f t="shared" si="124"/>
        <v>3650</v>
      </c>
      <c r="W61" s="316">
        <f t="shared" si="124"/>
        <v>7300</v>
      </c>
      <c r="X61" s="316">
        <f t="shared" si="124"/>
        <v>7300</v>
      </c>
      <c r="Y61" s="316">
        <f t="shared" si="124"/>
        <v>7300</v>
      </c>
      <c r="Z61" s="316">
        <f t="shared" si="124"/>
        <v>7300</v>
      </c>
      <c r="AA61" s="316">
        <f t="shared" si="124"/>
        <v>7300</v>
      </c>
      <c r="AB61" s="316">
        <f t="shared" si="124"/>
        <v>7300</v>
      </c>
      <c r="AC61" s="316">
        <f t="shared" si="124"/>
        <v>7300</v>
      </c>
      <c r="AD61" s="315"/>
      <c r="AE61" s="23"/>
      <c r="AF61" s="316">
        <f t="shared" ref="AF61:AL61" si="125">AF60/AF3</f>
        <v>7300</v>
      </c>
      <c r="AG61" s="316">
        <f t="shared" si="125"/>
        <v>7300</v>
      </c>
      <c r="AH61" s="316">
        <f t="shared" si="125"/>
        <v>6275.55</v>
      </c>
      <c r="AI61" s="316">
        <f t="shared" si="125"/>
        <v>6750</v>
      </c>
      <c r="AJ61" s="316">
        <f t="shared" si="125"/>
        <v>8060</v>
      </c>
      <c r="AK61" s="316">
        <f t="shared" si="125"/>
        <v>7565</v>
      </c>
      <c r="AL61" s="316">
        <f t="shared" si="125"/>
        <v>8000</v>
      </c>
      <c r="AM61" s="91">
        <v>7000</v>
      </c>
      <c r="AN61" s="91">
        <v>7500</v>
      </c>
      <c r="AO61" s="91">
        <v>7000</v>
      </c>
      <c r="AP61" s="91">
        <v>6500</v>
      </c>
      <c r="AQ61" s="91">
        <v>7000</v>
      </c>
      <c r="AR61" s="92">
        <f>AVERAGE(AF61:AQ61)</f>
        <v>7187.5458333333336</v>
      </c>
      <c r="AS61" s="23"/>
      <c r="AT61" s="91">
        <v>7000</v>
      </c>
      <c r="AU61" s="91">
        <f>AU60/AU3</f>
        <v>6588.4210526315792</v>
      </c>
      <c r="AV61" s="91">
        <v>6100</v>
      </c>
      <c r="AW61" s="91">
        <v>6500</v>
      </c>
      <c r="AX61" s="91">
        <v>6000</v>
      </c>
      <c r="AY61" s="91">
        <v>7302.0476189999999</v>
      </c>
      <c r="AZ61" s="91">
        <v>7000</v>
      </c>
      <c r="BA61" s="91">
        <f>BA60/BA3</f>
        <v>7432.727272727273</v>
      </c>
      <c r="BB61" s="91">
        <v>7500</v>
      </c>
      <c r="BC61" s="91">
        <v>7500</v>
      </c>
      <c r="BD61" s="91">
        <f>BD60/BD3</f>
        <v>6471.55</v>
      </c>
      <c r="BE61" s="91">
        <f>BE60/BE3</f>
        <v>6170</v>
      </c>
      <c r="BF61" s="91">
        <f>AVERAGE(AT61:BE61)</f>
        <v>6797.0621620299053</v>
      </c>
      <c r="BG61" s="27"/>
      <c r="BH61" s="91">
        <f t="shared" ref="BH61:BS61" si="126">BH60/BH3</f>
        <v>6838</v>
      </c>
      <c r="BI61" s="91">
        <f t="shared" si="126"/>
        <v>6857.6470588235297</v>
      </c>
      <c r="BJ61" s="91">
        <f t="shared" si="126"/>
        <v>6449.565217391304</v>
      </c>
      <c r="BK61" s="91">
        <f t="shared" si="126"/>
        <v>6242.2222222222226</v>
      </c>
      <c r="BL61" s="91">
        <f t="shared" si="126"/>
        <v>4939.090909090909</v>
      </c>
      <c r="BM61" s="91">
        <f t="shared" si="126"/>
        <v>6670.260869565217</v>
      </c>
      <c r="BN61" s="91">
        <f t="shared" si="126"/>
        <v>6556</v>
      </c>
      <c r="BO61" s="91">
        <f t="shared" si="126"/>
        <v>7174</v>
      </c>
      <c r="BP61" s="91">
        <f t="shared" si="126"/>
        <v>7100</v>
      </c>
      <c r="BQ61" s="91">
        <f t="shared" si="126"/>
        <v>6510.7142857142853</v>
      </c>
      <c r="BR61" s="91">
        <f t="shared" si="126"/>
        <v>8353.4500000000007</v>
      </c>
      <c r="BS61" s="91">
        <f t="shared" si="126"/>
        <v>8858.5714285714294</v>
      </c>
      <c r="BT61" s="91">
        <f>AVERAGE(BH61:BS61)</f>
        <v>6879.1268326149084</v>
      </c>
      <c r="BU61" s="28"/>
      <c r="BV61" s="91">
        <v>7000</v>
      </c>
      <c r="BW61" s="91">
        <v>7000</v>
      </c>
      <c r="BX61" s="91">
        <v>7000</v>
      </c>
      <c r="BY61" s="91">
        <v>7200</v>
      </c>
      <c r="BZ61" s="91">
        <v>7400</v>
      </c>
      <c r="CA61" s="91">
        <v>7400</v>
      </c>
      <c r="CB61" s="91">
        <f>CA61</f>
        <v>7400</v>
      </c>
      <c r="CC61" s="91">
        <f t="shared" ref="CC61:CG61" si="127">CB61</f>
        <v>7400</v>
      </c>
      <c r="CD61" s="91">
        <f t="shared" si="127"/>
        <v>7400</v>
      </c>
      <c r="CE61" s="91">
        <f t="shared" si="127"/>
        <v>7400</v>
      </c>
      <c r="CF61" s="91">
        <f t="shared" si="127"/>
        <v>7400</v>
      </c>
      <c r="CG61" s="91">
        <f t="shared" si="127"/>
        <v>7400</v>
      </c>
      <c r="CH61" s="91"/>
      <c r="CI61" s="596"/>
      <c r="CJ61" s="91">
        <v>7800</v>
      </c>
      <c r="CK61" s="91">
        <v>7800</v>
      </c>
      <c r="CL61" s="91">
        <v>7800</v>
      </c>
      <c r="CM61" s="91">
        <v>7800</v>
      </c>
      <c r="CN61" s="91">
        <v>8000</v>
      </c>
      <c r="CO61" s="91">
        <v>8000</v>
      </c>
      <c r="CP61" s="91">
        <v>8000</v>
      </c>
      <c r="CQ61" s="91">
        <v>8000</v>
      </c>
      <c r="CR61" s="91">
        <v>8000</v>
      </c>
      <c r="CS61" s="91">
        <v>8000</v>
      </c>
      <c r="CT61" s="91">
        <v>8000</v>
      </c>
      <c r="CU61" s="91">
        <v>8000</v>
      </c>
      <c r="CV61" s="91"/>
    </row>
    <row r="62" spans="1:100" ht="15.75" customHeight="1" outlineLevel="1">
      <c r="A62" s="94"/>
      <c r="B62" s="210" t="s">
        <v>93</v>
      </c>
      <c r="C62" s="335"/>
      <c r="D62" s="313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>
        <v>15000</v>
      </c>
      <c r="T62" s="91">
        <v>15600</v>
      </c>
      <c r="U62" s="91">
        <v>2000</v>
      </c>
      <c r="V62" s="91">
        <v>10000</v>
      </c>
      <c r="W62" s="91">
        <v>30000</v>
      </c>
      <c r="X62" s="91">
        <v>20000</v>
      </c>
      <c r="Y62" s="91">
        <v>30000</v>
      </c>
      <c r="Z62" s="91">
        <v>30000</v>
      </c>
      <c r="AA62" s="91">
        <v>20000</v>
      </c>
      <c r="AB62" s="91">
        <v>20000</v>
      </c>
      <c r="AC62" s="91">
        <v>10000</v>
      </c>
      <c r="AD62" s="315"/>
      <c r="AE62" s="23"/>
      <c r="AF62" s="316">
        <v>30000</v>
      </c>
      <c r="AG62" s="91">
        <v>20000</v>
      </c>
      <c r="AH62" s="91">
        <v>24960</v>
      </c>
      <c r="AI62" s="91">
        <v>14040</v>
      </c>
      <c r="AJ62" s="91">
        <v>19040</v>
      </c>
      <c r="AK62" s="91">
        <v>12000</v>
      </c>
      <c r="AL62" s="91">
        <v>14000</v>
      </c>
      <c r="AM62" s="91">
        <v>13000</v>
      </c>
      <c r="AN62" s="91">
        <v>13000</v>
      </c>
      <c r="AO62" s="91">
        <v>0</v>
      </c>
      <c r="AP62" s="91">
        <v>0</v>
      </c>
      <c r="AQ62" s="91">
        <v>0</v>
      </c>
      <c r="AR62" s="92">
        <f t="shared" ref="AR62:AR63" si="128">SUM(AF62:AQ62)</f>
        <v>160040</v>
      </c>
      <c r="AS62" s="23"/>
      <c r="AT62" s="91">
        <v>0</v>
      </c>
      <c r="AU62" s="91">
        <v>0</v>
      </c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>
        <f t="shared" ref="BF62:BF63" si="129">SUM(AT62:BE62)</f>
        <v>0</v>
      </c>
      <c r="BG62" s="27">
        <f>BF62-AR62</f>
        <v>-160040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>
        <f t="shared" ref="BT62" si="130">SUM(BH62:BS62)</f>
        <v>0</v>
      </c>
      <c r="BU62" s="28"/>
      <c r="BV62" s="399">
        <f t="shared" ref="BV62:BZ62" si="131">BV3</f>
        <v>19</v>
      </c>
      <c r="BW62" s="399">
        <f t="shared" si="131"/>
        <v>19</v>
      </c>
      <c r="BX62" s="399">
        <f t="shared" si="131"/>
        <v>21</v>
      </c>
      <c r="BY62" s="399">
        <f t="shared" si="131"/>
        <v>24</v>
      </c>
      <c r="BZ62" s="399">
        <f t="shared" si="131"/>
        <v>23</v>
      </c>
      <c r="CA62" s="399">
        <f>CA3</f>
        <v>22</v>
      </c>
      <c r="CB62" s="399">
        <f t="shared" ref="CB62:CG62" si="132">CB3</f>
        <v>25</v>
      </c>
      <c r="CC62" s="399">
        <f t="shared" si="132"/>
        <v>25</v>
      </c>
      <c r="CD62" s="399">
        <f t="shared" si="132"/>
        <v>24</v>
      </c>
      <c r="CE62" s="399">
        <f t="shared" si="132"/>
        <v>26</v>
      </c>
      <c r="CF62" s="399">
        <f t="shared" si="132"/>
        <v>23</v>
      </c>
      <c r="CG62" s="399">
        <f t="shared" si="132"/>
        <v>17</v>
      </c>
      <c r="CH62" s="91">
        <f t="shared" ref="CH62" si="133">SUM(BV62:CG62)</f>
        <v>268</v>
      </c>
      <c r="CJ62" s="597">
        <f>CJ3</f>
        <v>20</v>
      </c>
      <c r="CK62" s="597">
        <f t="shared" ref="CK62:CO62" si="134">CK3</f>
        <v>20</v>
      </c>
      <c r="CL62" s="597">
        <f t="shared" si="134"/>
        <v>21</v>
      </c>
      <c r="CM62" s="597">
        <f t="shared" si="134"/>
        <v>24</v>
      </c>
      <c r="CN62" s="597">
        <f t="shared" si="134"/>
        <v>20</v>
      </c>
      <c r="CO62" s="597">
        <f t="shared" si="134"/>
        <v>20</v>
      </c>
      <c r="CP62" s="91"/>
      <c r="CQ62" s="91"/>
      <c r="CR62" s="91"/>
      <c r="CS62" s="91"/>
      <c r="CT62" s="91"/>
      <c r="CU62" s="91"/>
      <c r="CV62" s="91">
        <v>131</v>
      </c>
    </row>
    <row r="63" spans="1:100" ht="15.75" customHeight="1" outlineLevel="1">
      <c r="A63" s="94"/>
      <c r="B63" s="210" t="s">
        <v>282</v>
      </c>
      <c r="C63" s="335"/>
      <c r="D63" s="313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314"/>
      <c r="Q63" s="90"/>
      <c r="R63" s="313"/>
      <c r="S63" s="91"/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13500</v>
      </c>
      <c r="Z63" s="91">
        <v>9000</v>
      </c>
      <c r="AA63" s="91">
        <v>9000</v>
      </c>
      <c r="AB63" s="91">
        <v>9000</v>
      </c>
      <c r="AC63" s="91">
        <v>0</v>
      </c>
      <c r="AD63" s="315"/>
      <c r="AE63" s="23"/>
      <c r="AF63" s="91">
        <v>13500</v>
      </c>
      <c r="AG63" s="91">
        <v>13500</v>
      </c>
      <c r="AH63" s="91">
        <v>2820</v>
      </c>
      <c r="AI63" s="91">
        <v>0</v>
      </c>
      <c r="AJ63" s="91">
        <v>0</v>
      </c>
      <c r="AK63" s="91">
        <v>0</v>
      </c>
      <c r="AL63" s="91">
        <v>0</v>
      </c>
      <c r="AM63" s="91"/>
      <c r="AN63" s="91"/>
      <c r="AO63" s="91"/>
      <c r="AP63" s="91"/>
      <c r="AQ63" s="91"/>
      <c r="AR63" s="92">
        <f t="shared" si="128"/>
        <v>29820</v>
      </c>
      <c r="AS63" s="23"/>
      <c r="AT63" s="91"/>
      <c r="AU63" s="91"/>
      <c r="AV63" s="91"/>
      <c r="AW63" s="91">
        <v>4000</v>
      </c>
      <c r="AX63" s="91">
        <v>8000</v>
      </c>
      <c r="AY63" s="91">
        <v>5000</v>
      </c>
      <c r="AZ63" s="91">
        <v>10000</v>
      </c>
      <c r="BA63" s="91">
        <v>10000</v>
      </c>
      <c r="BB63" s="91">
        <v>0</v>
      </c>
      <c r="BC63" s="91">
        <v>0</v>
      </c>
      <c r="BD63" s="91">
        <v>0</v>
      </c>
      <c r="BE63" s="91"/>
      <c r="BF63" s="91">
        <f t="shared" si="129"/>
        <v>37000</v>
      </c>
      <c r="BG63" s="27"/>
      <c r="BH63" s="91">
        <v>3000</v>
      </c>
      <c r="BI63" s="91"/>
      <c r="BJ63" s="91"/>
      <c r="BK63" s="91"/>
      <c r="BL63" s="91"/>
      <c r="BM63" s="91"/>
      <c r="BN63" s="91"/>
      <c r="BO63" s="91">
        <v>10000</v>
      </c>
      <c r="BP63" s="91">
        <v>15000</v>
      </c>
      <c r="BQ63" s="91">
        <v>20000</v>
      </c>
      <c r="BR63" s="91">
        <v>15000</v>
      </c>
      <c r="BS63" s="91">
        <f>7200*9/2</f>
        <v>32400</v>
      </c>
      <c r="BT63" s="91">
        <f>SUM(BH63:BS63)</f>
        <v>95400</v>
      </c>
      <c r="BU63" s="28"/>
      <c r="BV63" s="91"/>
      <c r="BW63" s="91"/>
      <c r="BX63" s="91"/>
      <c r="BY63" s="91"/>
      <c r="BZ63" s="91"/>
      <c r="CA63" s="600" t="s">
        <v>604</v>
      </c>
      <c r="CB63" s="91"/>
      <c r="CC63" s="91"/>
      <c r="CD63" s="91"/>
      <c r="CE63" s="91"/>
      <c r="CF63" s="91"/>
      <c r="CG63" s="91"/>
      <c r="CH63" s="91">
        <f>SUM(BS63:CG63)</f>
        <v>127800</v>
      </c>
      <c r="CJ63" s="91"/>
      <c r="CK63" s="91"/>
      <c r="CL63" s="91"/>
      <c r="CM63" s="91"/>
      <c r="CN63" s="91"/>
      <c r="CO63" s="91"/>
      <c r="CP63" s="91"/>
      <c r="CQ63" s="91"/>
      <c r="CR63" s="91"/>
      <c r="CS63" s="91"/>
      <c r="CT63" s="91"/>
      <c r="CU63" s="91"/>
      <c r="CV63" s="91">
        <v>127800</v>
      </c>
    </row>
    <row r="64" spans="1:100" ht="15.75" customHeight="1" outlineLevel="1">
      <c r="A64" s="94"/>
      <c r="B64" s="210" t="s">
        <v>283</v>
      </c>
      <c r="C64" s="335"/>
      <c r="D64" s="313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314"/>
      <c r="Q64" s="90"/>
      <c r="R64" s="313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315"/>
      <c r="AE64" s="23"/>
      <c r="AF64" s="91"/>
      <c r="AG64" s="91"/>
      <c r="AH64" s="91"/>
      <c r="AI64" s="91"/>
      <c r="AJ64" s="91"/>
      <c r="AK64" s="91"/>
      <c r="AL64" s="91"/>
      <c r="AM64" s="91"/>
      <c r="AN64" s="91"/>
      <c r="AO64" s="91">
        <f t="shared" ref="AO64:AQ64" si="135">AO59*9.68</f>
        <v>1355200</v>
      </c>
      <c r="AP64" s="91">
        <f t="shared" si="135"/>
        <v>1258400</v>
      </c>
      <c r="AQ64" s="91">
        <f t="shared" si="135"/>
        <v>968000</v>
      </c>
      <c r="AR64" s="92"/>
      <c r="AS64" s="23"/>
      <c r="AT64" s="91">
        <f t="shared" ref="AT64:BF64" si="136">AT59*9.68</f>
        <v>1287440</v>
      </c>
      <c r="AU64" s="91">
        <f t="shared" si="136"/>
        <v>1211742.3999999999</v>
      </c>
      <c r="AV64" s="91">
        <f t="shared" si="136"/>
        <v>1134767.04</v>
      </c>
      <c r="AW64" s="91">
        <f t="shared" si="136"/>
        <v>1234200</v>
      </c>
      <c r="AX64" s="91">
        <f t="shared" si="136"/>
        <v>1355200</v>
      </c>
      <c r="AY64" s="91">
        <f t="shared" si="136"/>
        <v>1532760.2399903198</v>
      </c>
      <c r="AZ64" s="91">
        <f t="shared" si="136"/>
        <v>1475319.1199999999</v>
      </c>
      <c r="BA64" s="91">
        <f t="shared" si="136"/>
        <v>1679673.5999999999</v>
      </c>
      <c r="BB64" s="91">
        <f t="shared" si="136"/>
        <v>1597200</v>
      </c>
      <c r="BC64" s="91">
        <f t="shared" si="136"/>
        <v>1524600</v>
      </c>
      <c r="BD64" s="91">
        <f t="shared" si="136"/>
        <v>1252892.08</v>
      </c>
      <c r="BE64" s="91">
        <f t="shared" si="136"/>
        <v>597256</v>
      </c>
      <c r="BF64" s="91">
        <f t="shared" si="136"/>
        <v>15883050.47999032</v>
      </c>
      <c r="BG64" s="27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28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</row>
    <row r="65" spans="1:100">
      <c r="A65" s="110" t="s">
        <v>99</v>
      </c>
      <c r="B65" s="340" t="s">
        <v>100</v>
      </c>
      <c r="C65" s="341"/>
      <c r="D65" s="342">
        <v>95972</v>
      </c>
      <c r="E65" s="111">
        <v>130805</v>
      </c>
      <c r="F65" s="111">
        <v>121914</v>
      </c>
      <c r="G65" s="111">
        <v>165455</v>
      </c>
      <c r="H65" s="111">
        <v>192013</v>
      </c>
      <c r="I65" s="111">
        <v>167281</v>
      </c>
      <c r="J65" s="111">
        <v>181409</v>
      </c>
      <c r="K65" s="111">
        <v>163138</v>
      </c>
      <c r="L65" s="111">
        <v>169051</v>
      </c>
      <c r="M65" s="111">
        <v>183254</v>
      </c>
      <c r="N65" s="111"/>
      <c r="O65" s="111"/>
      <c r="P65" s="343">
        <f>SUM(D65:O65)</f>
        <v>1570292</v>
      </c>
      <c r="Q65" s="84"/>
      <c r="R65" s="342">
        <v>149582</v>
      </c>
      <c r="S65" s="112">
        <v>152735</v>
      </c>
      <c r="T65" s="112">
        <v>107681</v>
      </c>
      <c r="U65" s="112">
        <v>2974</v>
      </c>
      <c r="V65" s="112">
        <v>32639</v>
      </c>
      <c r="W65" s="112">
        <v>153121</v>
      </c>
      <c r="X65" s="112">
        <v>198635</v>
      </c>
      <c r="Y65" s="112">
        <v>160489</v>
      </c>
      <c r="Z65" s="112">
        <v>160893</v>
      </c>
      <c r="AA65" s="112">
        <v>180999</v>
      </c>
      <c r="AB65" s="112">
        <v>167265</v>
      </c>
      <c r="AC65" s="112">
        <v>135424</v>
      </c>
      <c r="AD65" s="344">
        <f>SUM(R65:AC65)</f>
        <v>1602437</v>
      </c>
      <c r="AE65" s="113"/>
      <c r="AF65" s="345">
        <v>145616</v>
      </c>
      <c r="AG65" s="112">
        <v>168450</v>
      </c>
      <c r="AH65" s="112">
        <v>153291</v>
      </c>
      <c r="AI65" s="112">
        <v>149378</v>
      </c>
      <c r="AJ65" s="112">
        <v>196360</v>
      </c>
      <c r="AK65" s="112">
        <v>170558</v>
      </c>
      <c r="AL65" s="112">
        <v>171758</v>
      </c>
      <c r="AM65" s="112">
        <f t="shared" ref="AM65:AQ65" si="137">SUM(AM66:AM67)</f>
        <v>168974</v>
      </c>
      <c r="AN65" s="112">
        <f t="shared" si="137"/>
        <v>144792</v>
      </c>
      <c r="AO65" s="112">
        <f t="shared" si="137"/>
        <v>141375</v>
      </c>
      <c r="AP65" s="112">
        <f t="shared" si="137"/>
        <v>143221</v>
      </c>
      <c r="AQ65" s="112">
        <f t="shared" si="137"/>
        <v>85543</v>
      </c>
      <c r="AR65" s="112">
        <f t="shared" ref="AR65:AR69" si="138">SUM(AF65:AQ65)</f>
        <v>1839316</v>
      </c>
      <c r="AS65" s="23"/>
      <c r="AT65" s="112">
        <f t="shared" ref="AT65:BE65" si="139">SUM(AT66:AT67)</f>
        <v>120211</v>
      </c>
      <c r="AU65" s="112">
        <f t="shared" si="139"/>
        <v>120216</v>
      </c>
      <c r="AV65" s="112">
        <f t="shared" si="139"/>
        <v>101053</v>
      </c>
      <c r="AW65" s="112">
        <f t="shared" si="139"/>
        <v>137388</v>
      </c>
      <c r="AX65" s="112">
        <f t="shared" si="139"/>
        <v>137400</v>
      </c>
      <c r="AY65" s="112">
        <f t="shared" si="139"/>
        <v>135412</v>
      </c>
      <c r="AZ65" s="112">
        <f t="shared" si="139"/>
        <v>157032</v>
      </c>
      <c r="BA65" s="112">
        <f t="shared" si="139"/>
        <v>173287</v>
      </c>
      <c r="BB65" s="114">
        <f t="shared" si="139"/>
        <v>166815</v>
      </c>
      <c r="BC65" s="114">
        <f t="shared" si="139"/>
        <v>153816</v>
      </c>
      <c r="BD65" s="114">
        <f t="shared" si="139"/>
        <v>138051</v>
      </c>
      <c r="BE65" s="114">
        <f t="shared" si="139"/>
        <v>55950</v>
      </c>
      <c r="BF65" s="114">
        <f t="shared" ref="BF65:BF69" si="140">SUM(AT65:BE65)</f>
        <v>1596631</v>
      </c>
      <c r="BG65" s="93">
        <f>BF65/AR65-1</f>
        <v>-0.1319430701412917</v>
      </c>
      <c r="BH65" s="112">
        <f t="shared" ref="BH65:BQ65" si="141">SUM(BH66:BH67)</f>
        <v>138562</v>
      </c>
      <c r="BI65" s="112">
        <f t="shared" si="141"/>
        <v>109391</v>
      </c>
      <c r="BJ65" s="112">
        <f t="shared" si="141"/>
        <v>160056</v>
      </c>
      <c r="BK65" s="112">
        <f t="shared" si="141"/>
        <v>124826</v>
      </c>
      <c r="BL65" s="112">
        <f t="shared" si="141"/>
        <v>151185</v>
      </c>
      <c r="BM65" s="112">
        <f t="shared" si="141"/>
        <v>134688</v>
      </c>
      <c r="BN65" s="112">
        <f t="shared" si="141"/>
        <v>157005</v>
      </c>
      <c r="BO65" s="112">
        <f t="shared" si="141"/>
        <v>151231</v>
      </c>
      <c r="BP65" s="112">
        <f t="shared" si="141"/>
        <v>143335</v>
      </c>
      <c r="BQ65" s="112">
        <f t="shared" si="141"/>
        <v>159215</v>
      </c>
      <c r="BR65" s="112"/>
      <c r="BS65" s="112"/>
      <c r="BT65" s="112">
        <f t="shared" ref="BT65:BT69" si="142">SUM(BH65:BS65)</f>
        <v>1429494</v>
      </c>
      <c r="BU65" s="18"/>
      <c r="BV65" s="112"/>
      <c r="BW65" s="112"/>
      <c r="BX65" s="112"/>
      <c r="BY65" s="112">
        <f>BY66+BY67</f>
        <v>179031</v>
      </c>
      <c r="BZ65" s="112">
        <f t="shared" ref="BZ65:CG65" si="143">BZ66+BZ67</f>
        <v>152786</v>
      </c>
      <c r="CA65" s="112">
        <f t="shared" si="143"/>
        <v>0</v>
      </c>
      <c r="CB65" s="112">
        <f t="shared" si="143"/>
        <v>0</v>
      </c>
      <c r="CC65" s="112">
        <f t="shared" si="143"/>
        <v>0</v>
      </c>
      <c r="CD65" s="112">
        <f t="shared" si="143"/>
        <v>0</v>
      </c>
      <c r="CE65" s="112">
        <f t="shared" si="143"/>
        <v>0</v>
      </c>
      <c r="CF65" s="112">
        <f t="shared" si="143"/>
        <v>0</v>
      </c>
      <c r="CG65" s="112">
        <f t="shared" si="143"/>
        <v>0</v>
      </c>
      <c r="CH65" s="112"/>
      <c r="CJ65" s="112"/>
      <c r="CK65" s="112"/>
      <c r="CL65" s="112"/>
      <c r="CM65" s="112"/>
      <c r="CN65" s="112"/>
      <c r="CO65" s="112"/>
      <c r="CP65" s="112"/>
      <c r="CQ65" s="112"/>
      <c r="CR65" s="112"/>
      <c r="CS65" s="112"/>
      <c r="CT65" s="112"/>
      <c r="CU65" s="112"/>
      <c r="CV65" s="112"/>
    </row>
    <row r="66" spans="1:100" ht="15.75" customHeight="1">
      <c r="A66" s="115"/>
      <c r="B66" s="346" t="s">
        <v>101</v>
      </c>
      <c r="C66" s="347"/>
      <c r="D66" s="265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66"/>
      <c r="Q66" s="116"/>
      <c r="R66" s="265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67"/>
      <c r="AE66" s="23"/>
      <c r="AF66" s="348">
        <v>126362</v>
      </c>
      <c r="AG66" s="22">
        <v>153970</v>
      </c>
      <c r="AH66" s="22">
        <v>128331</v>
      </c>
      <c r="AI66" s="22">
        <v>135338</v>
      </c>
      <c r="AJ66" s="22">
        <v>177312</v>
      </c>
      <c r="AK66" s="22">
        <v>150818</v>
      </c>
      <c r="AL66" s="22">
        <v>158858</v>
      </c>
      <c r="AM66" s="22">
        <v>153933</v>
      </c>
      <c r="AN66" s="22">
        <v>134244</v>
      </c>
      <c r="AO66" s="22">
        <v>137435</v>
      </c>
      <c r="AP66" s="22">
        <v>143221</v>
      </c>
      <c r="AQ66" s="22">
        <v>85543</v>
      </c>
      <c r="AR66" s="117">
        <f t="shared" si="138"/>
        <v>1685365</v>
      </c>
      <c r="AS66" s="23"/>
      <c r="AT66" s="22">
        <v>120211</v>
      </c>
      <c r="AU66" s="22">
        <v>120216</v>
      </c>
      <c r="AV66" s="22">
        <v>101053</v>
      </c>
      <c r="AW66" s="22">
        <v>137388</v>
      </c>
      <c r="AX66" s="22">
        <v>137400</v>
      </c>
      <c r="AY66" s="22">
        <v>135412</v>
      </c>
      <c r="AZ66" s="22">
        <v>157032</v>
      </c>
      <c r="BA66" s="22">
        <v>172227</v>
      </c>
      <c r="BB66" s="22">
        <f>157995+8500</f>
        <v>166495</v>
      </c>
      <c r="BC66" s="22">
        <v>153816</v>
      </c>
      <c r="BD66" s="22">
        <v>138051</v>
      </c>
      <c r="BE66" s="22">
        <v>55950</v>
      </c>
      <c r="BF66" s="22">
        <f t="shared" si="140"/>
        <v>1595251</v>
      </c>
      <c r="BG66" s="27"/>
      <c r="BH66" s="22">
        <v>138562</v>
      </c>
      <c r="BI66" s="22">
        <v>109391</v>
      </c>
      <c r="BJ66" s="22">
        <v>160056</v>
      </c>
      <c r="BK66" s="22">
        <v>124826</v>
      </c>
      <c r="BL66" s="22">
        <v>151185</v>
      </c>
      <c r="BM66" s="22">
        <v>134688</v>
      </c>
      <c r="BN66" s="22">
        <v>157005</v>
      </c>
      <c r="BO66" s="22">
        <v>151231</v>
      </c>
      <c r="BP66" s="22">
        <v>143335</v>
      </c>
      <c r="BQ66" s="22">
        <v>159215</v>
      </c>
      <c r="BR66" s="22"/>
      <c r="BS66" s="22"/>
      <c r="BT66" s="22">
        <f t="shared" si="142"/>
        <v>1429494</v>
      </c>
      <c r="BU66" s="28"/>
      <c r="BV66" s="22"/>
      <c r="BW66" s="22"/>
      <c r="BX66" s="22"/>
      <c r="BY66" s="22">
        <v>179031</v>
      </c>
      <c r="BZ66" s="22">
        <v>152786</v>
      </c>
      <c r="CA66" s="22"/>
      <c r="CB66" s="22"/>
      <c r="CC66" s="22"/>
      <c r="CD66" s="22"/>
      <c r="CE66" s="22"/>
      <c r="CF66" s="22"/>
      <c r="CG66" s="22"/>
      <c r="CH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</row>
    <row r="67" spans="1:100" ht="15.75" customHeight="1">
      <c r="A67" s="115"/>
      <c r="B67" s="346" t="s">
        <v>102</v>
      </c>
      <c r="C67" s="347"/>
      <c r="D67" s="265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66"/>
      <c r="Q67" s="116"/>
      <c r="R67" s="265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67"/>
      <c r="AE67" s="23"/>
      <c r="AF67" s="22">
        <f t="shared" ref="AF67:AL67" si="144">AF65-AF66</f>
        <v>19254</v>
      </c>
      <c r="AG67" s="22">
        <f t="shared" si="144"/>
        <v>14480</v>
      </c>
      <c r="AH67" s="22">
        <f t="shared" si="144"/>
        <v>24960</v>
      </c>
      <c r="AI67" s="22">
        <f t="shared" si="144"/>
        <v>14040</v>
      </c>
      <c r="AJ67" s="22">
        <f t="shared" si="144"/>
        <v>19048</v>
      </c>
      <c r="AK67" s="22">
        <f t="shared" si="144"/>
        <v>19740</v>
      </c>
      <c r="AL67" s="22">
        <f t="shared" si="144"/>
        <v>12900</v>
      </c>
      <c r="AM67" s="22">
        <v>15041</v>
      </c>
      <c r="AN67" s="22">
        <v>10548</v>
      </c>
      <c r="AO67" s="22">
        <v>3940</v>
      </c>
      <c r="AP67" s="22">
        <v>0</v>
      </c>
      <c r="AQ67" s="22">
        <v>0</v>
      </c>
      <c r="AR67" s="117">
        <f t="shared" si="138"/>
        <v>153951</v>
      </c>
      <c r="AS67" s="23"/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1060</v>
      </c>
      <c r="BB67" s="22">
        <v>320</v>
      </c>
      <c r="BC67" s="22">
        <v>0</v>
      </c>
      <c r="BD67" s="22">
        <v>0</v>
      </c>
      <c r="BE67" s="22"/>
      <c r="BF67" s="22">
        <f t="shared" si="140"/>
        <v>1380</v>
      </c>
      <c r="BG67" s="27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>
        <f t="shared" si="142"/>
        <v>0</v>
      </c>
      <c r="BU67" s="28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J67" s="22"/>
      <c r="CK67" s="22"/>
      <c r="CL67" s="22"/>
      <c r="CM67" s="22"/>
    </row>
    <row r="68" spans="1:100" ht="15.75">
      <c r="A68" s="103" t="s">
        <v>103</v>
      </c>
      <c r="B68" s="337"/>
      <c r="C68" s="330"/>
      <c r="D68" s="331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332"/>
      <c r="Q68" s="105"/>
      <c r="R68" s="333"/>
      <c r="S68" s="333"/>
      <c r="T68" s="333"/>
      <c r="U68" s="333"/>
      <c r="V68" s="333"/>
      <c r="W68" s="333"/>
      <c r="X68" s="333"/>
      <c r="Y68" s="333"/>
      <c r="Z68" s="333"/>
      <c r="AA68" s="333"/>
      <c r="AB68" s="333"/>
      <c r="AC68" s="333"/>
      <c r="AD68" s="334"/>
      <c r="AE68" s="106"/>
      <c r="AF68" s="333">
        <f t="shared" ref="AF68:AQ68" si="145">AF65-AF59</f>
        <v>-15784</v>
      </c>
      <c r="AG68" s="333">
        <f t="shared" si="145"/>
        <v>2450</v>
      </c>
      <c r="AH68" s="333">
        <f t="shared" si="145"/>
        <v>2820</v>
      </c>
      <c r="AI68" s="333">
        <f t="shared" si="145"/>
        <v>338</v>
      </c>
      <c r="AJ68" s="333">
        <f t="shared" si="145"/>
        <v>0</v>
      </c>
      <c r="AK68" s="333">
        <f t="shared" si="145"/>
        <v>7258</v>
      </c>
      <c r="AL68" s="333">
        <f t="shared" si="145"/>
        <v>-18242</v>
      </c>
      <c r="AM68" s="333">
        <f t="shared" si="145"/>
        <v>1974</v>
      </c>
      <c r="AN68" s="333">
        <f t="shared" si="145"/>
        <v>-25708</v>
      </c>
      <c r="AO68" s="333">
        <f t="shared" si="145"/>
        <v>1375</v>
      </c>
      <c r="AP68" s="333">
        <f t="shared" si="145"/>
        <v>13221</v>
      </c>
      <c r="AQ68" s="333">
        <f t="shared" si="145"/>
        <v>-14457</v>
      </c>
      <c r="AR68" s="107">
        <f t="shared" si="138"/>
        <v>-44755</v>
      </c>
      <c r="AS68" s="106"/>
      <c r="AT68" s="333">
        <f t="shared" ref="AT68:BE68" si="146">AT65-AT59</f>
        <v>-12789</v>
      </c>
      <c r="AU68" s="333">
        <f t="shared" si="146"/>
        <v>-4964</v>
      </c>
      <c r="AV68" s="333">
        <f t="shared" si="146"/>
        <v>-16175</v>
      </c>
      <c r="AW68" s="333">
        <f t="shared" si="146"/>
        <v>9888</v>
      </c>
      <c r="AX68" s="333">
        <f t="shared" si="146"/>
        <v>-2600</v>
      </c>
      <c r="AY68" s="333">
        <f t="shared" si="146"/>
        <v>-22930.999998999992</v>
      </c>
      <c r="AZ68" s="333">
        <f t="shared" si="146"/>
        <v>4623</v>
      </c>
      <c r="BA68" s="333">
        <f t="shared" si="146"/>
        <v>-233</v>
      </c>
      <c r="BB68" s="333">
        <f t="shared" si="146"/>
        <v>1815</v>
      </c>
      <c r="BC68" s="333">
        <f t="shared" si="146"/>
        <v>-3684</v>
      </c>
      <c r="BD68" s="333">
        <f t="shared" si="146"/>
        <v>8620</v>
      </c>
      <c r="BE68" s="333">
        <f t="shared" si="146"/>
        <v>-5750</v>
      </c>
      <c r="BF68" s="108">
        <f t="shared" si="140"/>
        <v>-44179.999998999992</v>
      </c>
      <c r="BG68" s="106"/>
      <c r="BH68" s="333">
        <f t="shared" ref="BH68:BQ68" si="147">BH65-BH59</f>
        <v>-1198</v>
      </c>
      <c r="BI68" s="333">
        <f t="shared" si="147"/>
        <v>-7189</v>
      </c>
      <c r="BJ68" s="333">
        <f t="shared" si="147"/>
        <v>11716</v>
      </c>
      <c r="BK68" s="333">
        <f t="shared" si="147"/>
        <v>12466</v>
      </c>
      <c r="BL68" s="333">
        <f t="shared" si="147"/>
        <v>42525</v>
      </c>
      <c r="BM68" s="333">
        <f t="shared" si="147"/>
        <v>-18728</v>
      </c>
      <c r="BN68" s="333">
        <f t="shared" si="147"/>
        <v>19329</v>
      </c>
      <c r="BO68" s="333">
        <f t="shared" si="147"/>
        <v>-9423</v>
      </c>
      <c r="BP68" s="333">
        <f t="shared" si="147"/>
        <v>-13665</v>
      </c>
      <c r="BQ68" s="333">
        <f t="shared" si="147"/>
        <v>2490</v>
      </c>
      <c r="BR68" s="108"/>
      <c r="BS68" s="108"/>
      <c r="BT68" s="108">
        <f t="shared" si="142"/>
        <v>38323</v>
      </c>
      <c r="BU68" s="28"/>
      <c r="BV68" s="333"/>
      <c r="BW68" s="333"/>
      <c r="BX68" s="333"/>
      <c r="BY68" s="333">
        <f>BY65-BY59</f>
        <v>6231</v>
      </c>
      <c r="BZ68" s="333">
        <f t="shared" ref="BZ68:CG68" si="148">BZ65-BZ59</f>
        <v>-17414</v>
      </c>
      <c r="CA68" s="333">
        <f t="shared" si="148"/>
        <v>-162800</v>
      </c>
      <c r="CB68" s="333">
        <f t="shared" si="148"/>
        <v>-185000</v>
      </c>
      <c r="CC68" s="333">
        <f t="shared" si="148"/>
        <v>-185000</v>
      </c>
      <c r="CD68" s="333">
        <f t="shared" si="148"/>
        <v>-177600</v>
      </c>
      <c r="CE68" s="333">
        <f t="shared" si="148"/>
        <v>-192400</v>
      </c>
      <c r="CF68" s="333">
        <f t="shared" si="148"/>
        <v>-170200</v>
      </c>
      <c r="CG68" s="333">
        <f t="shared" si="148"/>
        <v>-125800</v>
      </c>
      <c r="CJ68" s="333">
        <v>-133000</v>
      </c>
      <c r="CK68" s="333">
        <v>-133000</v>
      </c>
      <c r="CL68" s="333">
        <v>-147000</v>
      </c>
      <c r="CM68" s="333">
        <v>-180000</v>
      </c>
    </row>
    <row r="69" spans="1:100" ht="14.25" customHeight="1">
      <c r="A69" s="55" t="s">
        <v>104</v>
      </c>
      <c r="B69" s="56"/>
      <c r="C69" s="280"/>
      <c r="D69" s="288" t="e">
        <f t="shared" ref="D69:F69" si="149">#REF!-#REF!</f>
        <v>#REF!</v>
      </c>
      <c r="E69" s="57" t="e">
        <f t="shared" si="149"/>
        <v>#REF!</v>
      </c>
      <c r="F69" s="57" t="e">
        <f t="shared" si="149"/>
        <v>#REF!</v>
      </c>
      <c r="G69" s="57" t="e">
        <f t="shared" ref="G69:I69" si="150">G59-#REF!</f>
        <v>#REF!</v>
      </c>
      <c r="H69" s="57" t="e">
        <f t="shared" si="150"/>
        <v>#REF!</v>
      </c>
      <c r="I69" s="57" t="e">
        <f t="shared" si="150"/>
        <v>#REF!</v>
      </c>
      <c r="J69" s="57" t="e">
        <f t="shared" ref="J69:K69" si="151">#REF!-#REF!</f>
        <v>#REF!</v>
      </c>
      <c r="K69" s="57" t="e">
        <f t="shared" si="151"/>
        <v>#REF!</v>
      </c>
      <c r="L69" s="57">
        <f>L59-L16</f>
        <v>-24911</v>
      </c>
      <c r="M69" s="57">
        <f>M59-M16</f>
        <v>-13674</v>
      </c>
      <c r="N69" s="57">
        <f>N59-N16</f>
        <v>57632</v>
      </c>
      <c r="O69" s="57">
        <f>O59-O16</f>
        <v>74079</v>
      </c>
      <c r="P69" s="289" t="e">
        <f>SUM(D69:O69)</f>
        <v>#REF!</v>
      </c>
      <c r="Q69" s="39"/>
      <c r="R69" s="288">
        <f t="shared" ref="R69:AD69" si="152">R59-R16</f>
        <v>22222.660017050745</v>
      </c>
      <c r="S69" s="58">
        <f t="shared" si="152"/>
        <v>17159.673608830723</v>
      </c>
      <c r="T69" s="58">
        <f t="shared" si="152"/>
        <v>-24753.77192982455</v>
      </c>
      <c r="U69" s="58">
        <f t="shared" si="152"/>
        <v>-17814.899999999998</v>
      </c>
      <c r="V69" s="58">
        <f t="shared" si="152"/>
        <v>1715</v>
      </c>
      <c r="W69" s="290">
        <f t="shared" si="152"/>
        <v>120430.6180497602</v>
      </c>
      <c r="X69" s="290">
        <f t="shared" si="152"/>
        <v>43436.666666667006</v>
      </c>
      <c r="Y69" s="290">
        <f t="shared" si="152"/>
        <v>-29747.083333333314</v>
      </c>
      <c r="Z69" s="290">
        <f t="shared" si="152"/>
        <v>-80887.5</v>
      </c>
      <c r="AA69" s="290">
        <f t="shared" si="152"/>
        <v>10200</v>
      </c>
      <c r="AB69" s="290">
        <f t="shared" si="152"/>
        <v>137500</v>
      </c>
      <c r="AC69" s="290">
        <f t="shared" si="152"/>
        <v>134100</v>
      </c>
      <c r="AD69" s="291">
        <f t="shared" si="152"/>
        <v>333561.36307915067</v>
      </c>
      <c r="AE69" s="59"/>
      <c r="AF69" s="292">
        <f t="shared" ref="AF69:AQ69" si="153">AF59-AF16</f>
        <v>32754</v>
      </c>
      <c r="AG69" s="58">
        <f t="shared" si="153"/>
        <v>-11977</v>
      </c>
      <c r="AH69" s="58">
        <f t="shared" si="153"/>
        <v>76847</v>
      </c>
      <c r="AI69" s="58">
        <f t="shared" si="153"/>
        <v>59682</v>
      </c>
      <c r="AJ69" s="58">
        <f t="shared" si="153"/>
        <v>74226</v>
      </c>
      <c r="AK69" s="58">
        <f t="shared" si="153"/>
        <v>14740</v>
      </c>
      <c r="AL69" s="58">
        <f t="shared" si="153"/>
        <v>38005</v>
      </c>
      <c r="AM69" s="58">
        <f t="shared" si="153"/>
        <v>-71903</v>
      </c>
      <c r="AN69" s="58">
        <f t="shared" si="153"/>
        <v>-90633.333333333343</v>
      </c>
      <c r="AO69" s="58">
        <f t="shared" si="153"/>
        <v>-115900</v>
      </c>
      <c r="AP69" s="58">
        <f t="shared" si="153"/>
        <v>1360</v>
      </c>
      <c r="AQ69" s="58">
        <f t="shared" si="153"/>
        <v>2160</v>
      </c>
      <c r="AR69" s="58">
        <f t="shared" si="138"/>
        <v>9360.666666666657</v>
      </c>
      <c r="AS69" s="59"/>
      <c r="AT69" s="58">
        <f t="shared" ref="AT69:BE69" si="154">AT59-AT16</f>
        <v>-19749.25</v>
      </c>
      <c r="AU69" s="58">
        <f t="shared" si="154"/>
        <v>-43342.103448275855</v>
      </c>
      <c r="AV69" s="58">
        <f t="shared" si="154"/>
        <v>-36893.137931034493</v>
      </c>
      <c r="AW69" s="58">
        <f t="shared" si="154"/>
        <v>-32095.137931034493</v>
      </c>
      <c r="AX69" s="58">
        <f t="shared" si="154"/>
        <v>19900.034482758623</v>
      </c>
      <c r="AY69" s="58">
        <f t="shared" si="154"/>
        <v>19999.222221222211</v>
      </c>
      <c r="AZ69" s="58">
        <f t="shared" si="154"/>
        <v>-14264.777777777781</v>
      </c>
      <c r="BA69" s="58">
        <f t="shared" si="154"/>
        <v>-68922.296296296292</v>
      </c>
      <c r="BB69" s="58">
        <f t="shared" si="154"/>
        <v>-78407.777777777781</v>
      </c>
      <c r="BC69" s="58">
        <f t="shared" si="154"/>
        <v>-95868.290755657828</v>
      </c>
      <c r="BD69" s="58">
        <f t="shared" si="154"/>
        <v>-5124.586881472962</v>
      </c>
      <c r="BE69" s="58">
        <f t="shared" si="154"/>
        <v>-10986.612965093984</v>
      </c>
      <c r="BF69" s="58">
        <f t="shared" si="140"/>
        <v>-365754.71506044065</v>
      </c>
      <c r="BG69" s="59"/>
      <c r="BH69" s="58">
        <f t="shared" ref="BH69:BQ69" si="155">BH59-BH16</f>
        <v>-12993</v>
      </c>
      <c r="BI69" s="58">
        <f t="shared" si="155"/>
        <v>-30242.333333333314</v>
      </c>
      <c r="BJ69" s="58">
        <f t="shared" si="155"/>
        <v>-23206.074074074073</v>
      </c>
      <c r="BK69" s="58">
        <f t="shared" si="155"/>
        <v>-47411.74074074073</v>
      </c>
      <c r="BL69" s="58">
        <f t="shared" si="155"/>
        <v>-23836.851851851854</v>
      </c>
      <c r="BM69" s="58">
        <f t="shared" si="155"/>
        <v>23509.740740740745</v>
      </c>
      <c r="BN69" s="58">
        <f t="shared" si="155"/>
        <v>-33707.555555555562</v>
      </c>
      <c r="BO69" s="58">
        <f t="shared" si="155"/>
        <v>-18896.378111111087</v>
      </c>
      <c r="BP69" s="58">
        <f t="shared" si="155"/>
        <v>-45053.749537037045</v>
      </c>
      <c r="BQ69" s="58">
        <f t="shared" si="155"/>
        <v>-7140</v>
      </c>
      <c r="BR69" s="58"/>
      <c r="BS69" s="58"/>
      <c r="BT69" s="58">
        <f t="shared" si="142"/>
        <v>-218977.94246296291</v>
      </c>
      <c r="BU69" s="60"/>
      <c r="BV69" s="58"/>
      <c r="BW69" s="58"/>
      <c r="BX69" s="58"/>
      <c r="BY69" s="58">
        <f>BY59-BY16</f>
        <v>13630.76923076922</v>
      </c>
      <c r="BZ69" s="58">
        <f t="shared" ref="BZ69:CG69" si="156">BZ59-BZ16</f>
        <v>18717.606582143373</v>
      </c>
      <c r="CA69" s="58">
        <f t="shared" si="156"/>
        <v>18507.870899031579</v>
      </c>
      <c r="CB69" s="58">
        <f t="shared" si="156"/>
        <v>6509.8695000176958</v>
      </c>
      <c r="CC69" s="58">
        <f t="shared" si="156"/>
        <v>-10171.646324048867</v>
      </c>
      <c r="CD69" s="58">
        <f t="shared" si="156"/>
        <v>-28900.050770791189</v>
      </c>
      <c r="CE69" s="58">
        <f t="shared" si="156"/>
        <v>-16831.666382316704</v>
      </c>
      <c r="CF69" s="58">
        <f t="shared" si="156"/>
        <v>1995.8104315955425</v>
      </c>
      <c r="CG69" s="58">
        <f t="shared" si="156"/>
        <v>51308.001262502075</v>
      </c>
      <c r="CJ69" s="58">
        <v>-24964.280965303798</v>
      </c>
      <c r="CK69" s="58">
        <v>-13290.919934367063</v>
      </c>
      <c r="CL69" s="58">
        <v>-40073.366774036636</v>
      </c>
      <c r="CM69" s="58">
        <v>28714.280928205117</v>
      </c>
    </row>
    <row r="70" spans="1:100" ht="15" customHeight="1">
      <c r="BZ70" s="598"/>
      <c r="CA70" s="598">
        <f>BZ70+CA69</f>
        <v>18507.870899031579</v>
      </c>
      <c r="CB70" s="598">
        <f t="shared" ref="CB70:CG70" si="157">CA70+CB69</f>
        <v>25017.740399049275</v>
      </c>
      <c r="CC70" s="598">
        <f t="shared" si="157"/>
        <v>14846.094075000408</v>
      </c>
      <c r="CD70" s="598">
        <f t="shared" si="157"/>
        <v>-14053.956695790781</v>
      </c>
      <c r="CE70" s="598">
        <f t="shared" si="157"/>
        <v>-30885.623078107485</v>
      </c>
      <c r="CF70" s="598">
        <f t="shared" si="157"/>
        <v>-28889.812646511942</v>
      </c>
      <c r="CG70" s="598">
        <f t="shared" si="157"/>
        <v>22418.188615990133</v>
      </c>
    </row>
  </sheetData>
  <mergeCells count="24">
    <mergeCell ref="B30:C30"/>
    <mergeCell ref="B31:C31"/>
    <mergeCell ref="B40:C40"/>
    <mergeCell ref="CJ2:CU2"/>
    <mergeCell ref="B22:C22"/>
    <mergeCell ref="B23:C23"/>
    <mergeCell ref="B24:C24"/>
    <mergeCell ref="B25:C25"/>
    <mergeCell ref="B26:C26"/>
    <mergeCell ref="D2:P2"/>
    <mergeCell ref="R2:AD2"/>
    <mergeCell ref="AF2:AR2"/>
    <mergeCell ref="AT2:BF2"/>
    <mergeCell ref="BH2:BS2"/>
    <mergeCell ref="BV2:CG2"/>
    <mergeCell ref="B27:C27"/>
    <mergeCell ref="B28:C28"/>
    <mergeCell ref="B29:C29"/>
    <mergeCell ref="CJ1:CU1"/>
    <mergeCell ref="R1:AD1"/>
    <mergeCell ref="AF1:AR1"/>
    <mergeCell ref="AT1:BF1"/>
    <mergeCell ref="BH1:BS1"/>
    <mergeCell ref="BV1:CG1"/>
  </mergeCells>
  <pageMargins left="0.25" right="0.25" top="0.75" bottom="0.75" header="0" footer="0"/>
  <pageSetup paperSize="9" scale="55" orientation="landscape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0071-E7B5-4638-BFA5-16641DFC6C42}">
  <dimension ref="B2:BI15"/>
  <sheetViews>
    <sheetView showGridLines="0" topLeftCell="I1" workbookViewId="0">
      <selection activeCell="AC7" sqref="AC7"/>
    </sheetView>
  </sheetViews>
  <sheetFormatPr defaultRowHeight="15"/>
  <cols>
    <col min="1" max="1" width="1.7109375" customWidth="1"/>
    <col min="2" max="2" width="11.140625" bestFit="1" customWidth="1"/>
    <col min="3" max="3" width="11.85546875" bestFit="1" customWidth="1"/>
    <col min="4" max="4" width="9" customWidth="1"/>
    <col min="5" max="5" width="9.85546875" customWidth="1"/>
    <col min="6" max="6" width="6.7109375" customWidth="1"/>
    <col min="7" max="7" width="9.140625" customWidth="1"/>
    <col min="8" max="8" width="10.140625" customWidth="1"/>
    <col min="9" max="9" width="9.7109375" bestFit="1" customWidth="1"/>
    <col min="10" max="10" width="8.5703125" bestFit="1" customWidth="1"/>
    <col min="11" max="11" width="10.42578125" bestFit="1" customWidth="1"/>
    <col min="12" max="12" width="10.140625" bestFit="1" customWidth="1"/>
    <col min="13" max="13" width="9.28515625" customWidth="1"/>
    <col min="14" max="14" width="10.5703125" customWidth="1"/>
    <col min="15" max="15" width="8.85546875" hidden="1" customWidth="1"/>
    <col min="16" max="16" width="8.140625" bestFit="1" customWidth="1"/>
    <col min="17" max="17" width="8.7109375" customWidth="1"/>
    <col min="18" max="18" width="6.5703125" customWidth="1"/>
    <col min="19" max="19" width="8.5703125" customWidth="1"/>
    <col min="20" max="20" width="10.28515625" customWidth="1"/>
    <col min="21" max="21" width="0" hidden="1" customWidth="1"/>
    <col min="22" max="22" width="8.140625" bestFit="1" customWidth="1"/>
    <col min="23" max="23" width="8.42578125" customWidth="1"/>
    <col min="24" max="24" width="7.140625" customWidth="1"/>
    <col min="25" max="25" width="9.28515625" customWidth="1"/>
    <col min="26" max="26" width="10.5703125" customWidth="1"/>
    <col min="27" max="27" width="0" hidden="1" customWidth="1"/>
    <col min="32" max="32" width="9.85546875" customWidth="1"/>
    <col min="33" max="33" width="0" hidden="1" customWidth="1"/>
    <col min="39" max="39" width="0" hidden="1" customWidth="1"/>
    <col min="44" max="44" width="10.42578125" customWidth="1"/>
    <col min="45" max="45" width="0" hidden="1" customWidth="1"/>
    <col min="50" max="50" width="10" customWidth="1"/>
    <col min="51" max="51" width="0" hidden="1" customWidth="1"/>
    <col min="56" max="56" width="10.42578125" customWidth="1"/>
    <col min="57" max="57" width="0" hidden="1" customWidth="1"/>
  </cols>
  <sheetData>
    <row r="2" spans="2:61">
      <c r="B2" s="577"/>
      <c r="C2" s="1096" t="s">
        <v>605</v>
      </c>
      <c r="D2" s="1096"/>
      <c r="E2" s="1096"/>
      <c r="F2" s="1096"/>
      <c r="G2" s="1096"/>
      <c r="H2" s="1097" t="s">
        <v>606</v>
      </c>
      <c r="I2" s="1097"/>
      <c r="J2" s="1097"/>
      <c r="K2" s="1097"/>
      <c r="L2" s="1097"/>
      <c r="M2" s="1097"/>
      <c r="N2" s="1096" t="s">
        <v>607</v>
      </c>
      <c r="O2" s="1096"/>
      <c r="P2" s="1096"/>
      <c r="Q2" s="1096"/>
      <c r="R2" s="1096"/>
      <c r="S2" s="1096"/>
      <c r="T2" s="1097" t="s">
        <v>608</v>
      </c>
      <c r="U2" s="1097"/>
      <c r="V2" s="1097"/>
      <c r="W2" s="1097"/>
      <c r="X2" s="1097"/>
      <c r="Y2" s="1097"/>
      <c r="Z2" s="1096" t="s">
        <v>609</v>
      </c>
      <c r="AA2" s="1096"/>
      <c r="AB2" s="1096"/>
      <c r="AC2" s="1096"/>
      <c r="AD2" s="1096"/>
      <c r="AE2" s="1096"/>
      <c r="AF2" s="1097" t="s">
        <v>534</v>
      </c>
      <c r="AG2" s="1097"/>
      <c r="AH2" s="1097"/>
      <c r="AI2" s="1097"/>
      <c r="AJ2" s="1097"/>
      <c r="AK2" s="1097"/>
      <c r="AL2" s="1096" t="s">
        <v>535</v>
      </c>
      <c r="AM2" s="1096"/>
      <c r="AN2" s="1096"/>
      <c r="AO2" s="1096"/>
      <c r="AP2" s="1096"/>
      <c r="AQ2" s="1096"/>
      <c r="AR2" s="1097" t="s">
        <v>536</v>
      </c>
      <c r="AS2" s="1097"/>
      <c r="AT2" s="1097"/>
      <c r="AU2" s="1097"/>
      <c r="AV2" s="1097"/>
      <c r="AW2" s="1097"/>
      <c r="AX2" s="1096" t="s">
        <v>537</v>
      </c>
      <c r="AY2" s="1096"/>
      <c r="AZ2" s="1096"/>
      <c r="BA2" s="1096"/>
      <c r="BB2" s="1096"/>
      <c r="BC2" s="1096"/>
      <c r="BD2" s="1097" t="s">
        <v>538</v>
      </c>
      <c r="BE2" s="1097"/>
      <c r="BF2" s="1097"/>
      <c r="BG2" s="1097"/>
      <c r="BH2" s="1097"/>
      <c r="BI2" s="1097"/>
    </row>
    <row r="3" spans="2:61" ht="45.75">
      <c r="B3" s="578" t="s">
        <v>610</v>
      </c>
      <c r="C3" s="579" t="s">
        <v>611</v>
      </c>
      <c r="D3" s="579" t="s">
        <v>612</v>
      </c>
      <c r="E3" s="579" t="s">
        <v>613</v>
      </c>
      <c r="F3" s="579" t="s">
        <v>614</v>
      </c>
      <c r="G3" s="579" t="s">
        <v>615</v>
      </c>
      <c r="H3" s="585" t="s">
        <v>611</v>
      </c>
      <c r="I3" s="585" t="s">
        <v>612</v>
      </c>
      <c r="J3" s="585" t="s">
        <v>613</v>
      </c>
      <c r="K3" s="585" t="s">
        <v>616</v>
      </c>
      <c r="L3" s="585" t="s">
        <v>614</v>
      </c>
      <c r="M3" s="584" t="s">
        <v>615</v>
      </c>
      <c r="N3" s="579" t="s">
        <v>611</v>
      </c>
      <c r="O3" s="579" t="s">
        <v>612</v>
      </c>
      <c r="P3" s="579" t="s">
        <v>613</v>
      </c>
      <c r="Q3" s="579" t="s">
        <v>616</v>
      </c>
      <c r="R3" s="579" t="s">
        <v>614</v>
      </c>
      <c r="S3" s="586" t="s">
        <v>615</v>
      </c>
      <c r="T3" s="585" t="s">
        <v>611</v>
      </c>
      <c r="U3" s="585" t="s">
        <v>612</v>
      </c>
      <c r="V3" s="585" t="s">
        <v>613</v>
      </c>
      <c r="W3" s="585" t="s">
        <v>616</v>
      </c>
      <c r="X3" s="585" t="s">
        <v>614</v>
      </c>
      <c r="Y3" s="584" t="s">
        <v>615</v>
      </c>
      <c r="Z3" s="579" t="s">
        <v>611</v>
      </c>
      <c r="AA3" s="579" t="s">
        <v>612</v>
      </c>
      <c r="AB3" s="579" t="s">
        <v>613</v>
      </c>
      <c r="AC3" s="579" t="s">
        <v>616</v>
      </c>
      <c r="AD3" s="579" t="s">
        <v>614</v>
      </c>
      <c r="AE3" s="586" t="s">
        <v>615</v>
      </c>
      <c r="AF3" s="585" t="s">
        <v>611</v>
      </c>
      <c r="AG3" s="585" t="s">
        <v>612</v>
      </c>
      <c r="AH3" s="585" t="s">
        <v>613</v>
      </c>
      <c r="AI3" s="585" t="s">
        <v>616</v>
      </c>
      <c r="AJ3" s="585" t="s">
        <v>614</v>
      </c>
      <c r="AK3" s="584" t="s">
        <v>615</v>
      </c>
      <c r="AL3" s="579" t="s">
        <v>611</v>
      </c>
      <c r="AM3" s="579" t="s">
        <v>612</v>
      </c>
      <c r="AN3" s="579" t="s">
        <v>613</v>
      </c>
      <c r="AO3" s="579" t="s">
        <v>616</v>
      </c>
      <c r="AP3" s="579" t="s">
        <v>614</v>
      </c>
      <c r="AQ3" s="586" t="s">
        <v>615</v>
      </c>
      <c r="AR3" s="585" t="s">
        <v>611</v>
      </c>
      <c r="AS3" s="585" t="s">
        <v>612</v>
      </c>
      <c r="AT3" s="585" t="s">
        <v>613</v>
      </c>
      <c r="AU3" s="585" t="s">
        <v>616</v>
      </c>
      <c r="AV3" s="585" t="s">
        <v>614</v>
      </c>
      <c r="AW3" s="584" t="s">
        <v>615</v>
      </c>
      <c r="AX3" s="579" t="s">
        <v>611</v>
      </c>
      <c r="AY3" s="579" t="s">
        <v>612</v>
      </c>
      <c r="AZ3" s="579" t="s">
        <v>613</v>
      </c>
      <c r="BA3" s="579" t="s">
        <v>616</v>
      </c>
      <c r="BB3" s="579" t="s">
        <v>614</v>
      </c>
      <c r="BC3" s="586" t="s">
        <v>615</v>
      </c>
      <c r="BD3" s="585" t="s">
        <v>611</v>
      </c>
      <c r="BE3" s="585" t="s">
        <v>612</v>
      </c>
      <c r="BF3" s="585" t="s">
        <v>613</v>
      </c>
      <c r="BG3" s="585" t="s">
        <v>616</v>
      </c>
      <c r="BH3" s="585" t="s">
        <v>614</v>
      </c>
      <c r="BI3" s="584" t="s">
        <v>615</v>
      </c>
    </row>
    <row r="4" spans="2:61">
      <c r="B4" s="578" t="s">
        <v>617</v>
      </c>
      <c r="C4" s="580">
        <v>41480</v>
      </c>
      <c r="D4" s="580">
        <v>53420</v>
      </c>
      <c r="E4" s="580">
        <f>SUM(C4:D4)</f>
        <v>94900</v>
      </c>
      <c r="F4" s="580">
        <v>3</v>
      </c>
      <c r="G4" s="580">
        <f>E4/F4</f>
        <v>31633.333333333332</v>
      </c>
      <c r="H4" s="580">
        <v>72240</v>
      </c>
      <c r="I4" s="580"/>
      <c r="J4" s="580">
        <f>SUM(H4:I4)</f>
        <v>72240</v>
      </c>
      <c r="K4" s="580">
        <f>J4+E4</f>
        <v>167140</v>
      </c>
      <c r="L4" s="580">
        <f>22+2</f>
        <v>24</v>
      </c>
      <c r="M4" s="581">
        <f>K4/(L4+F4)</f>
        <v>6190.3703703703704</v>
      </c>
      <c r="N4" s="580">
        <v>83693</v>
      </c>
      <c r="O4" s="580"/>
      <c r="P4" s="580">
        <f>SUM(N4:O4)</f>
        <v>83693</v>
      </c>
      <c r="Q4" s="580">
        <f>P4+K4</f>
        <v>250833</v>
      </c>
      <c r="R4" s="580">
        <f>21+2</f>
        <v>23</v>
      </c>
      <c r="S4" s="581">
        <f>Q4/(R4+L4+F4)</f>
        <v>5016.66</v>
      </c>
      <c r="T4" s="580">
        <v>94700</v>
      </c>
      <c r="U4" s="580"/>
      <c r="V4" s="580">
        <f>SUM(T4:U4)</f>
        <v>94700</v>
      </c>
      <c r="W4" s="580">
        <f>V4+Q4</f>
        <v>345533</v>
      </c>
      <c r="X4" s="580">
        <f>20+2</f>
        <v>22</v>
      </c>
      <c r="Y4" s="581">
        <f>W4/(X4+R4+L4+F4)</f>
        <v>4799.0694444444443</v>
      </c>
      <c r="Z4" s="580">
        <v>103961.24549999999</v>
      </c>
      <c r="AA4" s="580"/>
      <c r="AB4" s="580">
        <f>SUM(Z4:AA4)</f>
        <v>103961.24549999999</v>
      </c>
      <c r="AC4" s="580">
        <f>AB4+W4</f>
        <v>449494.24549999996</v>
      </c>
      <c r="AD4" s="580">
        <f>23+2</f>
        <v>25</v>
      </c>
      <c r="AE4" s="581">
        <f>AC4/(AD4+X4+R4+L4+F4)</f>
        <v>4633.9612938144328</v>
      </c>
      <c r="AF4" s="580">
        <v>111860.84699999999</v>
      </c>
      <c r="AG4" s="580"/>
      <c r="AH4" s="580">
        <f>SUM(AF4:AG4)</f>
        <v>111860.84699999999</v>
      </c>
      <c r="AI4" s="580">
        <f>AH4+AC4</f>
        <v>561355.09249999991</v>
      </c>
      <c r="AJ4" s="580">
        <f>22+3</f>
        <v>25</v>
      </c>
      <c r="AK4" s="581">
        <f>AI4/(AJ4+AD4+X4+R4+L4+F4)</f>
        <v>4601.2712499999989</v>
      </c>
      <c r="AL4" s="580">
        <v>120110.571</v>
      </c>
      <c r="AM4" s="580"/>
      <c r="AN4" s="580">
        <f>SUM(AL4:AM4)</f>
        <v>120110.571</v>
      </c>
      <c r="AO4" s="580">
        <f>AN4+AI4</f>
        <v>681465.66349999991</v>
      </c>
      <c r="AP4" s="580">
        <f>21+2</f>
        <v>23</v>
      </c>
      <c r="AQ4" s="581">
        <f>AO4/(AP4+AJ4+AD4+X4+R4+L4+F4)</f>
        <v>4699.7631965517239</v>
      </c>
      <c r="AR4" s="580">
        <v>114507.41399999999</v>
      </c>
      <c r="AS4" s="580"/>
      <c r="AT4" s="580">
        <f>SUM(AR4:AS4)</f>
        <v>114507.41399999999</v>
      </c>
      <c r="AU4" s="580">
        <f>AT4+AO4</f>
        <v>795973.0774999999</v>
      </c>
      <c r="AV4" s="580">
        <f>23+2</f>
        <v>25</v>
      </c>
      <c r="AW4" s="581">
        <f>AU4/(AV4+AP4+AJ4+AD4+X4+R4+L4+F4)</f>
        <v>4682.1945735294112</v>
      </c>
      <c r="AX4" s="580">
        <v>107729.99999999999</v>
      </c>
      <c r="AY4" s="580"/>
      <c r="AZ4" s="580">
        <f>SUM(AX4:AY4)</f>
        <v>107729.99999999999</v>
      </c>
      <c r="BA4" s="580">
        <f>AZ4+AU4</f>
        <v>903703.0774999999</v>
      </c>
      <c r="BB4" s="580">
        <f>20+2</f>
        <v>22</v>
      </c>
      <c r="BC4" s="581">
        <f>BA4/(BB4+AV4+AP4+AJ4+AD4+X4+R4+L4+F4)</f>
        <v>4706.7868619791661</v>
      </c>
      <c r="BD4" s="580">
        <v>53864.999999999993</v>
      </c>
      <c r="BE4" s="580"/>
      <c r="BF4" s="580">
        <f>SUM(BD4:BE4)</f>
        <v>53864.999999999993</v>
      </c>
      <c r="BG4" s="580">
        <f>BF4+BA4</f>
        <v>957568.0774999999</v>
      </c>
      <c r="BH4" s="580">
        <v>15</v>
      </c>
      <c r="BI4" s="581">
        <f>BG4/(BH4+BB4+AV4+AP4+AJ4+AD4+X4+R4+L4+F4)</f>
        <v>4625.9327415458929</v>
      </c>
    </row>
    <row r="5" spans="2:61">
      <c r="B5" s="578" t="s">
        <v>618</v>
      </c>
      <c r="C5" s="580">
        <v>41467</v>
      </c>
      <c r="D5" s="580">
        <v>42600</v>
      </c>
      <c r="E5" s="580">
        <f>SUM(C5:D5)</f>
        <v>84067</v>
      </c>
      <c r="F5" s="580">
        <v>3</v>
      </c>
      <c r="G5" s="580">
        <f t="shared" ref="G5:G7" si="0">E5/F5</f>
        <v>28022.333333333332</v>
      </c>
      <c r="H5" s="580">
        <v>72434</v>
      </c>
      <c r="I5" s="580"/>
      <c r="J5" s="580">
        <f>SUM(H5:I5)</f>
        <v>72434</v>
      </c>
      <c r="K5" s="580">
        <f>J5+E5</f>
        <v>156501</v>
      </c>
      <c r="L5" s="580">
        <f>22+2</f>
        <v>24</v>
      </c>
      <c r="M5" s="581">
        <f t="shared" ref="M5:M7" si="1">K5/(L5+F5)</f>
        <v>5796.333333333333</v>
      </c>
      <c r="N5" s="580">
        <v>59060</v>
      </c>
      <c r="O5" s="580"/>
      <c r="P5" s="580">
        <f>SUM(N5:O5)</f>
        <v>59060</v>
      </c>
      <c r="Q5" s="580">
        <f>P5+K5</f>
        <v>215561</v>
      </c>
      <c r="R5" s="580">
        <f>21+2</f>
        <v>23</v>
      </c>
      <c r="S5" s="581">
        <f t="shared" ref="S5:S7" si="2">Q5/(R5+L5+F5)</f>
        <v>4311.22</v>
      </c>
      <c r="T5" s="580">
        <v>66520</v>
      </c>
      <c r="U5" s="580"/>
      <c r="V5" s="580">
        <f>SUM(T5:U5)</f>
        <v>66520</v>
      </c>
      <c r="W5" s="580">
        <f>V5+Q5</f>
        <v>282081</v>
      </c>
      <c r="X5" s="580">
        <f t="shared" ref="X5:X6" si="3">20+2</f>
        <v>22</v>
      </c>
      <c r="Y5" s="581">
        <f t="shared" ref="Y5:Y7" si="4">W5/(X5+R5+L5+F5)</f>
        <v>3917.7916666666665</v>
      </c>
      <c r="Z5" s="580">
        <v>72955.259999999995</v>
      </c>
      <c r="AA5" s="580"/>
      <c r="AB5" s="580">
        <f>SUM(Z5:AA5)</f>
        <v>72955.259999999995</v>
      </c>
      <c r="AC5" s="580">
        <f>AB5+W5</f>
        <v>355036.26</v>
      </c>
      <c r="AD5" s="580">
        <f t="shared" ref="AD5:AD6" si="5">23+2</f>
        <v>25</v>
      </c>
      <c r="AE5" s="581">
        <f t="shared" ref="AE5:AE6" si="6">AC5/(AD5+X5+R5+L5+F5)</f>
        <v>3660.1676288659796</v>
      </c>
      <c r="AF5" s="580">
        <v>78498.840000000011</v>
      </c>
      <c r="AG5" s="580"/>
      <c r="AH5" s="580">
        <f>SUM(AF5:AG5)</f>
        <v>78498.840000000011</v>
      </c>
      <c r="AI5" s="580">
        <f>AH5+AC5</f>
        <v>433535.10000000003</v>
      </c>
      <c r="AJ5" s="580">
        <f t="shared" ref="AJ5:AJ6" si="7">22+3</f>
        <v>25</v>
      </c>
      <c r="AK5" s="581">
        <f t="shared" ref="AK5:AK6" si="8">AI5/(AJ5+AD5+X5+R5+L5+F5)</f>
        <v>3553.5663934426234</v>
      </c>
      <c r="AL5" s="580">
        <v>84288.12000000001</v>
      </c>
      <c r="AM5" s="580"/>
      <c r="AN5" s="580">
        <f>SUM(AL5:AM5)</f>
        <v>84288.12000000001</v>
      </c>
      <c r="AO5" s="580">
        <f>AN5+AI5</f>
        <v>517823.22000000003</v>
      </c>
      <c r="AP5" s="580">
        <f>21+2</f>
        <v>23</v>
      </c>
      <c r="AQ5" s="581">
        <f t="shared" ref="AQ5:AQ6" si="9">AO5/(AP5+AJ5+AD5+X5+R5+L5+F5)</f>
        <v>3571.1946206896555</v>
      </c>
      <c r="AR5" s="580">
        <v>80356.080000000016</v>
      </c>
      <c r="AS5" s="580"/>
      <c r="AT5" s="580">
        <f>SUM(AR5:AS5)</f>
        <v>80356.080000000016</v>
      </c>
      <c r="AU5" s="580">
        <f>AT5+AO5</f>
        <v>598179.30000000005</v>
      </c>
      <c r="AV5" s="580">
        <f t="shared" ref="AV5:AV6" si="10">23+2</f>
        <v>25</v>
      </c>
      <c r="AW5" s="581">
        <f t="shared" ref="AW5:AW6" si="11">AU5/(AV5+AP5+AJ5+AD5+X5+R5+L5+F5)</f>
        <v>3518.7017647058829</v>
      </c>
      <c r="AX5" s="580">
        <v>75600</v>
      </c>
      <c r="AY5" s="580"/>
      <c r="AZ5" s="580">
        <f>SUM(AX5:AY5)</f>
        <v>75600</v>
      </c>
      <c r="BA5" s="580">
        <f>AZ5+AU5</f>
        <v>673779.3</v>
      </c>
      <c r="BB5" s="580">
        <f t="shared" ref="BB5:BB6" si="12">20+2</f>
        <v>22</v>
      </c>
      <c r="BC5" s="581">
        <f t="shared" ref="BC5:BC6" si="13">BA5/(BB5+AV5+AP5+AJ5+AD5+X5+R5+L5+F5)</f>
        <v>3509.2671875000001</v>
      </c>
      <c r="BD5" s="580">
        <v>37800</v>
      </c>
      <c r="BE5" s="580"/>
      <c r="BF5" s="580">
        <f>SUM(BD5:BE5)</f>
        <v>37800</v>
      </c>
      <c r="BG5" s="580">
        <f>BF5+BA5</f>
        <v>711579.3</v>
      </c>
      <c r="BH5" s="580">
        <v>15</v>
      </c>
      <c r="BI5" s="581">
        <f t="shared" ref="BI5:BI6" si="14">BG5/(BH5+BB5+AV5+AP5+AJ5+AD5+X5+R5+L5+F5)</f>
        <v>3437.5811594202901</v>
      </c>
    </row>
    <row r="6" spans="2:61">
      <c r="B6" s="578" t="s">
        <v>619</v>
      </c>
      <c r="C6" s="580">
        <v>1100</v>
      </c>
      <c r="D6" s="580">
        <v>2840</v>
      </c>
      <c r="E6" s="580">
        <f>SUM(C6:D6)</f>
        <v>3940</v>
      </c>
      <c r="F6" s="580">
        <v>3</v>
      </c>
      <c r="G6" s="580">
        <f>E6/F6</f>
        <v>1313.3333333333333</v>
      </c>
      <c r="H6" s="580">
        <v>2820</v>
      </c>
      <c r="I6" s="580"/>
      <c r="J6" s="580">
        <f>SUM(H6:I6)</f>
        <v>2820</v>
      </c>
      <c r="K6" s="580">
        <f>J6+E6</f>
        <v>6760</v>
      </c>
      <c r="L6" s="580">
        <f>22+2</f>
        <v>24</v>
      </c>
      <c r="M6" s="581">
        <f>K6/(L6+F6)</f>
        <v>250.37037037037038</v>
      </c>
      <c r="N6" s="580">
        <v>3280</v>
      </c>
      <c r="O6" s="580"/>
      <c r="P6" s="580">
        <f>SUM(N6:O6)</f>
        <v>3280</v>
      </c>
      <c r="Q6" s="580">
        <f>P6+K6</f>
        <v>10040</v>
      </c>
      <c r="R6" s="580">
        <f>21+2</f>
        <v>23</v>
      </c>
      <c r="S6" s="581">
        <f>Q6/(R6+L6+F6)</f>
        <v>200.8</v>
      </c>
      <c r="T6" s="580">
        <v>5920</v>
      </c>
      <c r="U6" s="580"/>
      <c r="V6" s="580">
        <f>SUM(T6:U6)</f>
        <v>5920</v>
      </c>
      <c r="W6" s="580">
        <f>V6+Q6</f>
        <v>15960</v>
      </c>
      <c r="X6" s="580">
        <f t="shared" si="3"/>
        <v>22</v>
      </c>
      <c r="Y6" s="581">
        <f>W6/(X6+R6+L6+F6)</f>
        <v>221.66666666666666</v>
      </c>
      <c r="Z6" s="580">
        <v>5471.6444999999994</v>
      </c>
      <c r="AA6" s="580"/>
      <c r="AB6" s="580">
        <f>SUM(Z6:AA6)</f>
        <v>5471.6444999999994</v>
      </c>
      <c r="AC6" s="580">
        <f>AB6+W6</f>
        <v>21431.644499999999</v>
      </c>
      <c r="AD6" s="580">
        <f t="shared" si="5"/>
        <v>25</v>
      </c>
      <c r="AE6" s="581">
        <f t="shared" si="6"/>
        <v>220.9447886597938</v>
      </c>
      <c r="AF6" s="580">
        <v>5887.4129999999996</v>
      </c>
      <c r="AG6" s="580"/>
      <c r="AH6" s="580">
        <f>SUM(AF6:AG6)</f>
        <v>5887.4129999999996</v>
      </c>
      <c r="AI6" s="580">
        <f>AH6+AC6</f>
        <v>27319.057499999999</v>
      </c>
      <c r="AJ6" s="580">
        <f t="shared" si="7"/>
        <v>25</v>
      </c>
      <c r="AK6" s="581">
        <f t="shared" si="8"/>
        <v>223.92670081967213</v>
      </c>
      <c r="AL6" s="580">
        <v>6321.6090000000004</v>
      </c>
      <c r="AM6" s="580"/>
      <c r="AN6" s="580">
        <f>SUM(AL6:AM6)</f>
        <v>6321.6090000000004</v>
      </c>
      <c r="AO6" s="580">
        <f>AN6+AI6</f>
        <v>33640.666499999999</v>
      </c>
      <c r="AP6" s="580">
        <f>21+2</f>
        <v>23</v>
      </c>
      <c r="AQ6" s="581">
        <f t="shared" si="9"/>
        <v>232.00459655172412</v>
      </c>
      <c r="AR6" s="580">
        <v>6026.7060000000001</v>
      </c>
      <c r="AS6" s="580"/>
      <c r="AT6" s="580">
        <f>SUM(AR6:AS6)</f>
        <v>6026.7060000000001</v>
      </c>
      <c r="AU6" s="580">
        <f>AT6+AO6</f>
        <v>39667.372499999998</v>
      </c>
      <c r="AV6" s="580">
        <f t="shared" si="10"/>
        <v>25</v>
      </c>
      <c r="AW6" s="581">
        <f t="shared" si="11"/>
        <v>233.33748529411764</v>
      </c>
      <c r="AX6" s="580">
        <v>5670</v>
      </c>
      <c r="AY6" s="580"/>
      <c r="AZ6" s="580">
        <f>SUM(AX6:AY6)</f>
        <v>5670</v>
      </c>
      <c r="BA6" s="580">
        <f>AZ6+AU6</f>
        <v>45337.372499999998</v>
      </c>
      <c r="BB6" s="580">
        <f t="shared" si="12"/>
        <v>22</v>
      </c>
      <c r="BC6" s="581">
        <f t="shared" si="13"/>
        <v>236.13214843749998</v>
      </c>
      <c r="BD6" s="580">
        <v>2835</v>
      </c>
      <c r="BE6" s="580"/>
      <c r="BF6" s="580">
        <f>SUM(BD6:BE6)</f>
        <v>2835</v>
      </c>
      <c r="BG6" s="580">
        <f>BF6+BA6</f>
        <v>48172.372499999998</v>
      </c>
      <c r="BH6" s="580">
        <v>15</v>
      </c>
      <c r="BI6" s="581">
        <f t="shared" si="14"/>
        <v>232.71677536231883</v>
      </c>
    </row>
    <row r="7" spans="2:61">
      <c r="B7" s="578" t="s">
        <v>613</v>
      </c>
      <c r="C7" s="582">
        <f>SUM(C4:C6)</f>
        <v>84047</v>
      </c>
      <c r="D7" s="582">
        <f>SUM(D4:D6)</f>
        <v>98860</v>
      </c>
      <c r="E7" s="582">
        <f>SUM(E4:E6)</f>
        <v>182907</v>
      </c>
      <c r="F7" s="582">
        <v>3</v>
      </c>
      <c r="G7" s="582">
        <f>SUM(G4:G6)</f>
        <v>60969</v>
      </c>
      <c r="H7" s="583">
        <f>SUM(H4:H6)</f>
        <v>147494</v>
      </c>
      <c r="I7" s="583">
        <f>SUM(I4:I6)</f>
        <v>0</v>
      </c>
      <c r="J7" s="583">
        <f>SUM(J4:J6)</f>
        <v>147494</v>
      </c>
      <c r="K7" s="583">
        <f>SUM(K4:K6)</f>
        <v>330401</v>
      </c>
      <c r="L7" s="583">
        <v>24</v>
      </c>
      <c r="M7" s="583">
        <f>SUM(M4:M6)</f>
        <v>12237.074074074075</v>
      </c>
      <c r="N7" s="582">
        <f>SUM(N4:N6)</f>
        <v>146033</v>
      </c>
      <c r="O7" s="582">
        <f>SUM(O4:O6)</f>
        <v>0</v>
      </c>
      <c r="P7" s="582">
        <f>SUM(P4:P6)</f>
        <v>146033</v>
      </c>
      <c r="Q7" s="582">
        <f>SUM(Q4:Q6)</f>
        <v>476434</v>
      </c>
      <c r="R7" s="582">
        <v>23</v>
      </c>
      <c r="S7" s="582">
        <f>SUM(S4:S6)</f>
        <v>9528.68</v>
      </c>
      <c r="T7" s="583">
        <f>SUM(T4:T6)</f>
        <v>167140</v>
      </c>
      <c r="U7" s="583">
        <f>SUM(U4:U6)</f>
        <v>0</v>
      </c>
      <c r="V7" s="583">
        <f>SUM(V4:V6)</f>
        <v>167140</v>
      </c>
      <c r="W7" s="583">
        <f>SUM(W4:W6)</f>
        <v>643574</v>
      </c>
      <c r="X7" s="583">
        <v>22</v>
      </c>
      <c r="Y7" s="583">
        <f>SUM(Y4:Y6)</f>
        <v>8938.5277777777774</v>
      </c>
      <c r="Z7" s="582">
        <f>SUM(Z4:Z6)</f>
        <v>182388.14999999997</v>
      </c>
      <c r="AA7" s="582">
        <f>SUM(AA4:AA6)</f>
        <v>0</v>
      </c>
      <c r="AB7" s="582">
        <f>SUM(AB4:AB6)</f>
        <v>182388.14999999997</v>
      </c>
      <c r="AC7" s="582">
        <f>SUM(AC4:AC6)</f>
        <v>825962.15</v>
      </c>
      <c r="AD7" s="582">
        <v>25</v>
      </c>
      <c r="AE7" s="582">
        <f>SUM(AE4:AE6)</f>
        <v>8515.0737113402065</v>
      </c>
      <c r="AF7" s="583">
        <f>SUM(AF4:AF6)</f>
        <v>196247.1</v>
      </c>
      <c r="AG7" s="583">
        <f>SUM(AG4:AG6)</f>
        <v>0</v>
      </c>
      <c r="AH7" s="583">
        <f>SUM(AH4:AH6)</f>
        <v>196247.1</v>
      </c>
      <c r="AI7" s="583">
        <f>SUM(AI4:AI6)</f>
        <v>1022209.2499999999</v>
      </c>
      <c r="AJ7" s="583">
        <v>25</v>
      </c>
      <c r="AK7" s="583">
        <f>SUM(AK4:AK6)</f>
        <v>8378.7643442622957</v>
      </c>
      <c r="AL7" s="582">
        <f>SUM(AL4:AL6)</f>
        <v>210720.3</v>
      </c>
      <c r="AM7" s="582">
        <f>SUM(AM4:AM6)</f>
        <v>0</v>
      </c>
      <c r="AN7" s="582">
        <f>SUM(AN4:AN6)</f>
        <v>210720.3</v>
      </c>
      <c r="AO7" s="582">
        <f>SUM(AO4:AO6)</f>
        <v>1232929.55</v>
      </c>
      <c r="AP7" s="582">
        <v>23</v>
      </c>
      <c r="AQ7" s="582">
        <f>SUM(AQ4:AQ6)</f>
        <v>8502.9624137931023</v>
      </c>
      <c r="AR7" s="583">
        <f>SUM(AR4:AR6)</f>
        <v>200890.2</v>
      </c>
      <c r="AS7" s="583">
        <f>SUM(AS4:AS6)</f>
        <v>0</v>
      </c>
      <c r="AT7" s="583">
        <f>SUM(AT4:AT6)</f>
        <v>200890.2</v>
      </c>
      <c r="AU7" s="583">
        <f>SUM(AU4:AU6)</f>
        <v>1433819.75</v>
      </c>
      <c r="AV7" s="583">
        <v>25</v>
      </c>
      <c r="AW7" s="583">
        <f>SUM(AW4:AW6)</f>
        <v>8434.2338235294119</v>
      </c>
      <c r="AX7" s="582">
        <f>SUM(AX4:AX6)</f>
        <v>189000</v>
      </c>
      <c r="AY7" s="582">
        <f>SUM(AY4:AY6)</f>
        <v>0</v>
      </c>
      <c r="AZ7" s="582">
        <f>SUM(AZ4:AZ6)</f>
        <v>189000</v>
      </c>
      <c r="BA7" s="582">
        <f>SUM(BA4:BA6)</f>
        <v>1622819.75</v>
      </c>
      <c r="BB7" s="582">
        <v>22</v>
      </c>
      <c r="BC7" s="582">
        <f>SUM(BC4:BC6)</f>
        <v>8452.1861979166661</v>
      </c>
      <c r="BD7" s="583">
        <f>SUM(BD4:BD6)</f>
        <v>94500</v>
      </c>
      <c r="BE7" s="583">
        <f>SUM(BE4:BE6)</f>
        <v>0</v>
      </c>
      <c r="BF7" s="583">
        <f>SUM(BF4:BF6)</f>
        <v>94500</v>
      </c>
      <c r="BG7" s="583">
        <f>SUM(BG4:BG6)</f>
        <v>1717319.75</v>
      </c>
      <c r="BH7" s="583">
        <v>15</v>
      </c>
      <c r="BI7" s="583">
        <f>SUM(BI4:BI6)</f>
        <v>8296.2306763285014</v>
      </c>
    </row>
    <row r="8" spans="2:61">
      <c r="B8" s="576"/>
      <c r="C8" s="576"/>
      <c r="D8" s="576"/>
      <c r="E8" s="576"/>
      <c r="F8" s="576"/>
      <c r="G8" s="576"/>
      <c r="H8" s="576"/>
      <c r="I8" s="576"/>
      <c r="J8" s="576"/>
      <c r="K8" s="576"/>
      <c r="L8" s="576"/>
      <c r="M8" s="576"/>
    </row>
    <row r="9" spans="2:61">
      <c r="B9" s="576"/>
      <c r="C9" s="576"/>
      <c r="D9" s="576"/>
      <c r="E9" s="576"/>
      <c r="F9" s="576"/>
      <c r="G9" s="576" t="s">
        <v>609</v>
      </c>
      <c r="H9" s="576" t="s">
        <v>534</v>
      </c>
      <c r="I9" s="576" t="s">
        <v>535</v>
      </c>
      <c r="J9" s="576" t="s">
        <v>536</v>
      </c>
      <c r="K9" s="576" t="s">
        <v>537</v>
      </c>
      <c r="L9" s="576" t="s">
        <v>538</v>
      </c>
      <c r="N9" s="589"/>
      <c r="R9" s="590"/>
    </row>
    <row r="10" spans="2:61" ht="30.75">
      <c r="B10" s="578" t="s">
        <v>610</v>
      </c>
      <c r="C10" s="587" t="s">
        <v>620</v>
      </c>
      <c r="D10" s="588" t="s">
        <v>621</v>
      </c>
      <c r="E10" s="587" t="s">
        <v>622</v>
      </c>
      <c r="F10" s="588" t="s">
        <v>623</v>
      </c>
      <c r="G10" s="593">
        <f>('Plano mestre 95 % 2025 5%'!BN49)*1.05</f>
        <v>182388.15</v>
      </c>
      <c r="H10" s="583">
        <f>('Plano mestre 95 % 2025 5%'!BO49)*1.05</f>
        <v>196247.1</v>
      </c>
      <c r="I10" s="583">
        <f>('Plano mestre 95 % 2025 5%'!BP49)*1.05</f>
        <v>210720.30000000002</v>
      </c>
      <c r="J10" s="583">
        <f>('Plano mestre 95 % 2025 5%'!BQ49)*1.05</f>
        <v>200890.2</v>
      </c>
      <c r="K10" s="583">
        <f>180000*1.05</f>
        <v>189000</v>
      </c>
      <c r="L10" s="583">
        <f>90000*1.05</f>
        <v>94500</v>
      </c>
      <c r="N10" s="589"/>
      <c r="R10" s="590"/>
    </row>
    <row r="11" spans="2:61">
      <c r="B11" s="578" t="s">
        <v>617</v>
      </c>
      <c r="C11" s="580">
        <v>7</v>
      </c>
      <c r="D11" s="580">
        <v>520</v>
      </c>
      <c r="E11" s="580">
        <f>D11*C11</f>
        <v>3640</v>
      </c>
      <c r="F11" s="591">
        <v>0.56999999999999995</v>
      </c>
      <c r="G11" s="592">
        <f>$F11*G$10</f>
        <v>103961.24549999999</v>
      </c>
      <c r="H11" s="580">
        <f t="shared" ref="H11:L11" si="15">$F11*H$10</f>
        <v>111860.84699999999</v>
      </c>
      <c r="I11" s="580">
        <f t="shared" si="15"/>
        <v>120110.571</v>
      </c>
      <c r="J11" s="580">
        <f t="shared" si="15"/>
        <v>114507.41399999999</v>
      </c>
      <c r="K11" s="580">
        <f t="shared" si="15"/>
        <v>107729.99999999999</v>
      </c>
      <c r="L11" s="580">
        <f t="shared" si="15"/>
        <v>53864.999999999993</v>
      </c>
      <c r="N11" s="589"/>
      <c r="R11" s="590"/>
    </row>
    <row r="12" spans="2:61">
      <c r="B12" s="578" t="s">
        <v>618</v>
      </c>
      <c r="C12" s="580">
        <v>6</v>
      </c>
      <c r="D12" s="580">
        <v>560</v>
      </c>
      <c r="E12" s="580">
        <f t="shared" ref="E12:E13" si="16">D12*C12</f>
        <v>3360</v>
      </c>
      <c r="F12" s="591">
        <v>0.4</v>
      </c>
      <c r="G12" s="592">
        <f t="shared" ref="G12:L13" si="17">$F12*G$10</f>
        <v>72955.259999999995</v>
      </c>
      <c r="H12" s="580">
        <f t="shared" si="17"/>
        <v>78498.840000000011</v>
      </c>
      <c r="I12" s="580">
        <f t="shared" si="17"/>
        <v>84288.12000000001</v>
      </c>
      <c r="J12" s="580">
        <f t="shared" si="17"/>
        <v>80356.080000000016</v>
      </c>
      <c r="K12" s="580">
        <f t="shared" si="17"/>
        <v>75600</v>
      </c>
      <c r="L12" s="580">
        <f t="shared" si="17"/>
        <v>37800</v>
      </c>
    </row>
    <row r="13" spans="2:61">
      <c r="B13" s="578" t="s">
        <v>619</v>
      </c>
      <c r="C13" s="580">
        <v>1</v>
      </c>
      <c r="D13" s="580">
        <v>200</v>
      </c>
      <c r="E13" s="580">
        <f t="shared" si="16"/>
        <v>200</v>
      </c>
      <c r="F13" s="591">
        <v>0.03</v>
      </c>
      <c r="G13" s="592">
        <f t="shared" si="17"/>
        <v>5471.6444999999994</v>
      </c>
      <c r="H13" s="580">
        <f t="shared" si="17"/>
        <v>5887.4129999999996</v>
      </c>
      <c r="I13" s="580">
        <f t="shared" si="17"/>
        <v>6321.6090000000004</v>
      </c>
      <c r="J13" s="580">
        <f t="shared" si="17"/>
        <v>6026.7060000000001</v>
      </c>
      <c r="K13" s="580">
        <f t="shared" si="17"/>
        <v>5670</v>
      </c>
      <c r="L13" s="580">
        <f t="shared" si="17"/>
        <v>2835</v>
      </c>
    </row>
    <row r="14" spans="2:61">
      <c r="B14" s="578" t="s">
        <v>613</v>
      </c>
      <c r="C14" s="580">
        <f>SUM(C11:C13)</f>
        <v>14</v>
      </c>
      <c r="D14" s="580">
        <f>SUM(D11:D13)</f>
        <v>1280</v>
      </c>
      <c r="E14" s="580">
        <f>SUM(E11:E13)</f>
        <v>7200</v>
      </c>
      <c r="F14" s="591">
        <f>SUM(F11:F13)</f>
        <v>1</v>
      </c>
      <c r="G14" s="592">
        <f>SUM(G11:G13)</f>
        <v>182388.14999999997</v>
      </c>
      <c r="H14" s="580">
        <f t="shared" ref="H14:J14" si="18">SUM(H11:H13)</f>
        <v>196247.1</v>
      </c>
      <c r="I14" s="580">
        <f t="shared" si="18"/>
        <v>210720.3</v>
      </c>
      <c r="J14" s="580">
        <f t="shared" si="18"/>
        <v>200890.2</v>
      </c>
      <c r="K14" s="580">
        <f t="shared" ref="K14" si="19">SUM(K11:K13)</f>
        <v>189000</v>
      </c>
      <c r="L14" s="580">
        <f t="shared" ref="L14" si="20">SUM(L11:L13)</f>
        <v>94500</v>
      </c>
    </row>
    <row r="15" spans="2:61">
      <c r="B15" s="576"/>
      <c r="C15" s="576"/>
      <c r="D15" s="576"/>
      <c r="E15" s="576"/>
      <c r="F15" s="576"/>
      <c r="G15" s="576"/>
      <c r="H15" s="576"/>
      <c r="I15" s="576"/>
      <c r="J15" s="576"/>
    </row>
  </sheetData>
  <mergeCells count="10">
    <mergeCell ref="C2:G2"/>
    <mergeCell ref="H2:M2"/>
    <mergeCell ref="N2:S2"/>
    <mergeCell ref="BD2:BI2"/>
    <mergeCell ref="T2:Y2"/>
    <mergeCell ref="Z2:AE2"/>
    <mergeCell ref="AF2:AK2"/>
    <mergeCell ref="AL2:AQ2"/>
    <mergeCell ref="AR2:AW2"/>
    <mergeCell ref="AX2:BC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E9CA-7832-48EF-8366-3CD0B45E71D4}">
  <sheetPr>
    <tabColor rgb="FFFFFF00"/>
  </sheetPr>
  <dimension ref="A1:CV69"/>
  <sheetViews>
    <sheetView showGridLines="0" zoomScale="80" zoomScaleNormal="80" workbookViewId="0">
      <pane xSplit="3" ySplit="5" topLeftCell="D6" activePane="bottomRight" state="frozen"/>
      <selection pane="bottomRight"/>
      <selection pane="bottomLeft" activeCell="A6" sqref="A6"/>
      <selection pane="topRight" activeCell="D1" sqref="D1"/>
    </sheetView>
  </sheetViews>
  <sheetFormatPr defaultColWidth="14.42578125" defaultRowHeight="15" customHeight="1" outlineLevelRow="1" outlineLevelCol="1"/>
  <cols>
    <col min="1" max="1" width="16.85546875" customWidth="1"/>
    <col min="2" max="2" width="28.7109375" customWidth="1"/>
    <col min="3" max="3" width="10.140625" customWidth="1"/>
    <col min="4" max="4" width="9.140625" customWidth="1" outlineLevel="1"/>
    <col min="5" max="6" width="8.140625" customWidth="1" outlineLevel="1"/>
    <col min="7" max="7" width="9.7109375" customWidth="1" outlineLevel="1"/>
    <col min="8" max="9" width="8.140625" customWidth="1" outlineLevel="1"/>
    <col min="10" max="10" width="8.7109375" customWidth="1" outlineLevel="1"/>
    <col min="11" max="11" width="9" customWidth="1" outlineLevel="1"/>
    <col min="12" max="12" width="9.28515625" customWidth="1" outlineLevel="1"/>
    <col min="13" max="13" width="8.85546875" customWidth="1" outlineLevel="1"/>
    <col min="14" max="14" width="7.7109375" customWidth="1" outlineLevel="1"/>
    <col min="15" max="15" width="8.7109375" customWidth="1" outlineLevel="1"/>
    <col min="16" max="16" width="10.5703125" customWidth="1" outlineLevel="1"/>
    <col min="17" max="17" width="5.42578125" hidden="1" customWidth="1"/>
    <col min="18" max="18" width="12" customWidth="1" outlineLevel="1"/>
    <col min="19" max="20" width="13.140625" customWidth="1" outlineLevel="1"/>
    <col min="21" max="21" width="11.7109375" customWidth="1" outlineLevel="1"/>
    <col min="22" max="22" width="13" customWidth="1" outlineLevel="1"/>
    <col min="23" max="23" width="8.85546875" customWidth="1" outlineLevel="1"/>
    <col min="24" max="24" width="13.140625" customWidth="1" outlineLevel="1"/>
    <col min="25" max="25" width="10.7109375" customWidth="1" outlineLevel="1"/>
    <col min="26" max="26" width="11.140625" customWidth="1" outlineLevel="1"/>
    <col min="27" max="27" width="10.7109375" customWidth="1" outlineLevel="1"/>
    <col min="28" max="28" width="10.5703125" customWidth="1" outlineLevel="1"/>
    <col min="29" max="29" width="9.5703125" customWidth="1" outlineLevel="1"/>
    <col min="30" max="30" width="11.5703125" customWidth="1" outlineLevel="1"/>
    <col min="31" max="31" width="6.42578125" hidden="1" customWidth="1"/>
    <col min="32" max="33" width="12" customWidth="1" outlineLevel="1"/>
    <col min="34" max="34" width="14.7109375" customWidth="1" outlineLevel="1"/>
    <col min="35" max="40" width="15" customWidth="1" outlineLevel="1"/>
    <col min="41" max="42" width="9.140625" customWidth="1" outlineLevel="1"/>
    <col min="43" max="43" width="10.28515625" customWidth="1" outlineLevel="1"/>
    <col min="44" max="44" width="11" customWidth="1" outlineLevel="1"/>
    <col min="45" max="45" width="2.7109375" hidden="1" customWidth="1"/>
    <col min="46" max="46" width="15.140625" customWidth="1" outlineLevel="1"/>
    <col min="47" max="48" width="15" customWidth="1" outlineLevel="1"/>
    <col min="49" max="49" width="13.140625" customWidth="1" outlineLevel="1"/>
    <col min="50" max="50" width="13.42578125" customWidth="1" outlineLevel="1"/>
    <col min="51" max="51" width="12.7109375" customWidth="1" outlineLevel="1"/>
    <col min="52" max="52" width="12.85546875" customWidth="1" outlineLevel="1"/>
    <col min="53" max="53" width="12.42578125" customWidth="1" outlineLevel="1"/>
    <col min="54" max="54" width="12.85546875" customWidth="1" outlineLevel="1"/>
    <col min="55" max="55" width="14" customWidth="1" outlineLevel="1"/>
    <col min="56" max="57" width="11.7109375" customWidth="1" outlineLevel="1"/>
    <col min="58" max="58" width="17.140625" customWidth="1" outlineLevel="1"/>
    <col min="59" max="59" width="9.140625" hidden="1" customWidth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7.7109375" bestFit="1" customWidth="1" collapsed="1"/>
    <col min="74" max="85" width="13.140625" customWidth="1"/>
    <col min="86" max="86" width="16.42578125" bestFit="1" customWidth="1"/>
  </cols>
  <sheetData>
    <row r="1" spans="1:100" ht="16.5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J1" s="1081" t="s">
        <v>0</v>
      </c>
      <c r="CK1" s="1113"/>
      <c r="CL1" s="1113"/>
      <c r="CM1" s="1113"/>
      <c r="CN1" s="1113"/>
      <c r="CO1" s="1113"/>
      <c r="CP1" s="1113"/>
      <c r="CQ1" s="1113"/>
      <c r="CR1" s="1113"/>
      <c r="CS1" s="1113"/>
      <c r="CT1" s="1113"/>
      <c r="CU1" s="1114"/>
    </row>
    <row r="2" spans="1:100" ht="15.75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J2" s="1077">
        <v>2025</v>
      </c>
      <c r="CK2" s="1115"/>
      <c r="CL2" s="1115"/>
      <c r="CM2" s="1115"/>
      <c r="CN2" s="1115"/>
      <c r="CO2" s="1115"/>
      <c r="CP2" s="1115"/>
      <c r="CQ2" s="1115"/>
      <c r="CR2" s="1115"/>
      <c r="CS2" s="1115"/>
      <c r="CT2" s="1115"/>
      <c r="CU2" s="1116"/>
    </row>
    <row r="3" spans="1:100">
      <c r="A3" s="3" t="s">
        <v>5</v>
      </c>
      <c r="B3" s="3"/>
      <c r="C3" s="3"/>
      <c r="D3" s="252">
        <v>16</v>
      </c>
      <c r="E3" s="252">
        <v>21</v>
      </c>
      <c r="F3" s="252">
        <v>18</v>
      </c>
      <c r="G3" s="252">
        <v>21</v>
      </c>
      <c r="H3" s="252">
        <v>22</v>
      </c>
      <c r="I3" s="252">
        <v>19</v>
      </c>
      <c r="J3" s="252">
        <v>23</v>
      </c>
      <c r="K3" s="252">
        <v>21</v>
      </c>
      <c r="L3" s="252">
        <v>21</v>
      </c>
      <c r="M3" s="252">
        <v>26</v>
      </c>
      <c r="N3" s="252">
        <v>24</v>
      </c>
      <c r="O3" s="252">
        <v>15</v>
      </c>
      <c r="P3" s="4"/>
      <c r="Q3" s="247"/>
      <c r="R3" s="252">
        <v>22</v>
      </c>
      <c r="S3" s="252">
        <v>20</v>
      </c>
      <c r="T3" s="252">
        <v>14</v>
      </c>
      <c r="U3" s="252">
        <v>1</v>
      </c>
      <c r="V3" s="252">
        <v>12</v>
      </c>
      <c r="W3" s="252">
        <v>22</v>
      </c>
      <c r="X3" s="252">
        <v>23</v>
      </c>
      <c r="Y3" s="252">
        <v>21</v>
      </c>
      <c r="Z3" s="252">
        <v>21</v>
      </c>
      <c r="AA3" s="252">
        <v>21</v>
      </c>
      <c r="AB3" s="252">
        <v>20</v>
      </c>
      <c r="AC3" s="252">
        <v>17</v>
      </c>
      <c r="AD3" s="2"/>
      <c r="AE3" s="253"/>
      <c r="AF3" s="254">
        <v>18</v>
      </c>
      <c r="AG3" s="252">
        <v>20</v>
      </c>
      <c r="AH3" s="248">
        <v>20</v>
      </c>
      <c r="AI3" s="248">
        <v>20</v>
      </c>
      <c r="AJ3" s="252">
        <v>22</v>
      </c>
      <c r="AK3" s="252">
        <v>20</v>
      </c>
      <c r="AL3" s="252">
        <v>22</v>
      </c>
      <c r="AM3" s="252">
        <v>22</v>
      </c>
      <c r="AN3" s="252">
        <v>21</v>
      </c>
      <c r="AO3" s="252">
        <v>20</v>
      </c>
      <c r="AP3" s="252">
        <v>20</v>
      </c>
      <c r="AQ3" s="248">
        <v>12</v>
      </c>
      <c r="AR3" s="2"/>
      <c r="AS3" s="124"/>
      <c r="AT3" s="253">
        <v>19</v>
      </c>
      <c r="AU3" s="248">
        <v>19</v>
      </c>
      <c r="AV3" s="248">
        <v>18</v>
      </c>
      <c r="AW3" s="248">
        <v>19</v>
      </c>
      <c r="AX3" s="248">
        <v>22</v>
      </c>
      <c r="AY3" s="248">
        <v>21</v>
      </c>
      <c r="AZ3" s="248">
        <v>21</v>
      </c>
      <c r="BA3" s="248">
        <v>22</v>
      </c>
      <c r="BB3" s="248">
        <v>22</v>
      </c>
      <c r="BC3" s="248">
        <v>21</v>
      </c>
      <c r="BD3" s="248">
        <v>20</v>
      </c>
      <c r="BE3" s="248">
        <v>10</v>
      </c>
      <c r="BF3" s="2"/>
      <c r="BG3" s="125"/>
      <c r="BH3" s="253">
        <v>20</v>
      </c>
      <c r="BI3" s="248">
        <v>17</v>
      </c>
      <c r="BJ3" s="248">
        <v>23</v>
      </c>
      <c r="BK3" s="248">
        <v>18</v>
      </c>
      <c r="BL3" s="248">
        <v>22</v>
      </c>
      <c r="BM3" s="248">
        <v>23</v>
      </c>
      <c r="BN3" s="248">
        <v>21</v>
      </c>
      <c r="BO3" s="248">
        <v>21</v>
      </c>
      <c r="BP3" s="248">
        <v>20</v>
      </c>
      <c r="BQ3" s="248">
        <v>21</v>
      </c>
      <c r="BR3" s="248">
        <v>20</v>
      </c>
      <c r="BS3" s="248">
        <v>14</v>
      </c>
      <c r="BT3" s="253">
        <v>20</v>
      </c>
      <c r="BU3" s="252"/>
      <c r="BV3" s="253">
        <v>19</v>
      </c>
      <c r="BW3" s="248">
        <v>19</v>
      </c>
      <c r="BX3" s="566">
        <v>21</v>
      </c>
      <c r="BY3" s="566">
        <v>24</v>
      </c>
      <c r="BZ3" s="248">
        <v>20</v>
      </c>
      <c r="CA3" s="248">
        <v>20</v>
      </c>
      <c r="CB3" s="248">
        <v>23</v>
      </c>
      <c r="CC3" s="248">
        <v>21</v>
      </c>
      <c r="CD3" s="248">
        <v>21</v>
      </c>
      <c r="CE3" s="248">
        <v>23</v>
      </c>
      <c r="CF3" s="248">
        <v>20</v>
      </c>
      <c r="CG3" s="248">
        <v>13</v>
      </c>
      <c r="CH3" s="248"/>
      <c r="CJ3" s="253">
        <v>19</v>
      </c>
      <c r="CK3" s="248">
        <v>19</v>
      </c>
      <c r="CL3" s="566">
        <v>21</v>
      </c>
      <c r="CM3" s="566">
        <v>24</v>
      </c>
      <c r="CN3" s="248">
        <v>20</v>
      </c>
      <c r="CO3" s="248">
        <v>20</v>
      </c>
      <c r="CP3" s="248">
        <v>23</v>
      </c>
      <c r="CQ3" s="248">
        <v>21</v>
      </c>
      <c r="CR3" s="248">
        <v>21</v>
      </c>
      <c r="CS3" s="248">
        <v>23</v>
      </c>
      <c r="CT3" s="248">
        <v>20</v>
      </c>
      <c r="CU3" s="248">
        <v>13</v>
      </c>
      <c r="CV3" s="248"/>
    </row>
    <row r="4" spans="1:100">
      <c r="A4" s="8"/>
      <c r="B4" s="255"/>
      <c r="C4" s="256"/>
      <c r="D4" s="257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258" t="s">
        <v>26</v>
      </c>
      <c r="Q4" s="10"/>
      <c r="R4" s="257" t="s">
        <v>14</v>
      </c>
      <c r="S4" s="9" t="s">
        <v>15</v>
      </c>
      <c r="T4" s="9" t="s">
        <v>16</v>
      </c>
      <c r="U4" s="9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  <c r="AA4" s="9" t="s">
        <v>23</v>
      </c>
      <c r="AB4" s="9" t="s">
        <v>24</v>
      </c>
      <c r="AC4" s="9" t="s">
        <v>25</v>
      </c>
      <c r="AD4" s="258" t="s">
        <v>26</v>
      </c>
      <c r="AE4" s="11"/>
      <c r="AF4" s="257" t="s">
        <v>14</v>
      </c>
      <c r="AG4" s="9" t="s">
        <v>15</v>
      </c>
      <c r="AH4" s="9" t="s">
        <v>16</v>
      </c>
      <c r="AI4" s="9" t="s">
        <v>17</v>
      </c>
      <c r="AJ4" s="9" t="s">
        <v>18</v>
      </c>
      <c r="AK4" s="9" t="s">
        <v>19</v>
      </c>
      <c r="AL4" s="9" t="s">
        <v>20</v>
      </c>
      <c r="AM4" s="9" t="s">
        <v>21</v>
      </c>
      <c r="AN4" s="9" t="s">
        <v>22</v>
      </c>
      <c r="AO4" s="9" t="s">
        <v>23</v>
      </c>
      <c r="AP4" s="9" t="s">
        <v>24</v>
      </c>
      <c r="AQ4" s="9" t="s">
        <v>25</v>
      </c>
      <c r="AR4" s="9" t="s">
        <v>26</v>
      </c>
      <c r="AS4" s="11"/>
      <c r="AT4" s="9" t="s">
        <v>14</v>
      </c>
      <c r="AU4" s="9" t="s">
        <v>15</v>
      </c>
      <c r="AV4" s="9" t="s">
        <v>16</v>
      </c>
      <c r="AW4" s="9" t="s">
        <v>17</v>
      </c>
      <c r="AX4" s="9" t="s">
        <v>18</v>
      </c>
      <c r="AY4" s="9" t="s">
        <v>19</v>
      </c>
      <c r="AZ4" s="9" t="s">
        <v>20</v>
      </c>
      <c r="BA4" s="9" t="s">
        <v>21</v>
      </c>
      <c r="BB4" s="9" t="s">
        <v>22</v>
      </c>
      <c r="BC4" s="9" t="s">
        <v>23</v>
      </c>
      <c r="BD4" s="9" t="s">
        <v>24</v>
      </c>
      <c r="BE4" s="9" t="s">
        <v>25</v>
      </c>
      <c r="BF4" s="9" t="s">
        <v>26</v>
      </c>
      <c r="BG4" s="10"/>
      <c r="BH4" s="9" t="s">
        <v>14</v>
      </c>
      <c r="BI4" s="9" t="s">
        <v>15</v>
      </c>
      <c r="BJ4" s="9" t="s">
        <v>16</v>
      </c>
      <c r="BK4" s="9" t="s">
        <v>17</v>
      </c>
      <c r="BL4" s="9" t="s">
        <v>18</v>
      </c>
      <c r="BM4" s="9" t="s">
        <v>19</v>
      </c>
      <c r="BN4" s="9" t="s">
        <v>20</v>
      </c>
      <c r="BO4" s="9" t="s">
        <v>21</v>
      </c>
      <c r="BP4" s="9" t="s">
        <v>22</v>
      </c>
      <c r="BQ4" s="9" t="s">
        <v>23</v>
      </c>
      <c r="BR4" s="9" t="s">
        <v>24</v>
      </c>
      <c r="BS4" s="9" t="s">
        <v>25</v>
      </c>
      <c r="BT4" s="9" t="s">
        <v>26</v>
      </c>
      <c r="BU4" s="12"/>
      <c r="BV4" s="9" t="s">
        <v>14</v>
      </c>
      <c r="BW4" s="9" t="s">
        <v>15</v>
      </c>
      <c r="BX4" s="9" t="s">
        <v>16</v>
      </c>
      <c r="BY4" s="9" t="s">
        <v>17</v>
      </c>
      <c r="BZ4" s="9" t="s">
        <v>18</v>
      </c>
      <c r="CA4" s="9" t="s">
        <v>19</v>
      </c>
      <c r="CB4" s="9" t="s">
        <v>20</v>
      </c>
      <c r="CC4" s="9" t="s">
        <v>21</v>
      </c>
      <c r="CD4" s="9" t="s">
        <v>22</v>
      </c>
      <c r="CE4" s="9" t="s">
        <v>23</v>
      </c>
      <c r="CF4" s="9" t="s">
        <v>24</v>
      </c>
      <c r="CG4" s="9" t="s">
        <v>25</v>
      </c>
      <c r="CH4" s="9" t="s">
        <v>26</v>
      </c>
      <c r="CJ4" s="9" t="s">
        <v>14</v>
      </c>
      <c r="CK4" s="9" t="s">
        <v>15</v>
      </c>
      <c r="CL4" s="9" t="s">
        <v>16</v>
      </c>
      <c r="CM4" s="9" t="s">
        <v>17</v>
      </c>
      <c r="CN4" s="9" t="s">
        <v>18</v>
      </c>
      <c r="CO4" s="9" t="s">
        <v>19</v>
      </c>
      <c r="CP4" s="9" t="s">
        <v>20</v>
      </c>
      <c r="CQ4" s="9" t="s">
        <v>21</v>
      </c>
      <c r="CR4" s="9" t="s">
        <v>22</v>
      </c>
      <c r="CS4" s="9" t="s">
        <v>23</v>
      </c>
      <c r="CT4" s="9" t="s">
        <v>24</v>
      </c>
      <c r="CU4" s="9" t="s">
        <v>25</v>
      </c>
      <c r="CV4" s="9" t="s">
        <v>26</v>
      </c>
    </row>
    <row r="5" spans="1:100">
      <c r="A5" s="13"/>
      <c r="B5" s="259"/>
      <c r="C5" s="260"/>
      <c r="D5" s="261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262"/>
      <c r="Q5" s="15"/>
      <c r="R5" s="261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263"/>
      <c r="AE5" s="16"/>
      <c r="AF5" s="261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7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7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8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</row>
    <row r="6" spans="1:100">
      <c r="A6" s="13" t="s">
        <v>28</v>
      </c>
      <c r="B6" s="259" t="s">
        <v>263</v>
      </c>
      <c r="C6" s="260"/>
      <c r="D6" s="261">
        <f t="shared" ref="D6:O6" si="0">SUM(D7:D9)</f>
        <v>304786</v>
      </c>
      <c r="E6" s="14">
        <f t="shared" si="0"/>
        <v>311986</v>
      </c>
      <c r="F6" s="14">
        <f t="shared" si="0"/>
        <v>328231</v>
      </c>
      <c r="G6" s="14">
        <f t="shared" si="0"/>
        <v>317873</v>
      </c>
      <c r="H6" s="14">
        <f t="shared" si="0"/>
        <v>347196</v>
      </c>
      <c r="I6" s="14">
        <f t="shared" si="0"/>
        <v>402253</v>
      </c>
      <c r="J6" s="14">
        <f t="shared" si="0"/>
        <v>454488</v>
      </c>
      <c r="K6" s="14">
        <f t="shared" si="0"/>
        <v>447182</v>
      </c>
      <c r="L6" s="14">
        <f t="shared" si="0"/>
        <v>416931</v>
      </c>
      <c r="M6" s="14">
        <f t="shared" si="0"/>
        <v>304402</v>
      </c>
      <c r="N6" s="14">
        <f t="shared" si="0"/>
        <v>0</v>
      </c>
      <c r="O6" s="14">
        <f t="shared" si="0"/>
        <v>188264</v>
      </c>
      <c r="P6" s="262"/>
      <c r="Q6" s="15"/>
      <c r="R6" s="14">
        <f t="shared" ref="R6:AC6" si="1">SUM(R7:R9)</f>
        <v>283359</v>
      </c>
      <c r="S6" s="14">
        <f t="shared" si="1"/>
        <v>342718</v>
      </c>
      <c r="T6" s="14">
        <f t="shared" si="1"/>
        <v>313212</v>
      </c>
      <c r="U6" s="14">
        <f t="shared" si="1"/>
        <v>298093</v>
      </c>
      <c r="V6" s="14">
        <f t="shared" si="1"/>
        <v>206617</v>
      </c>
      <c r="W6" s="14">
        <f t="shared" si="1"/>
        <v>235875</v>
      </c>
      <c r="X6" s="14">
        <f t="shared" si="1"/>
        <v>360135</v>
      </c>
      <c r="Y6" s="14">
        <f t="shared" si="1"/>
        <v>361665</v>
      </c>
      <c r="Z6" s="14">
        <f t="shared" si="1"/>
        <v>353400</v>
      </c>
      <c r="AA6" s="14">
        <f t="shared" si="1"/>
        <v>272097</v>
      </c>
      <c r="AB6" s="14">
        <f t="shared" si="1"/>
        <v>170626</v>
      </c>
      <c r="AC6" s="14">
        <f t="shared" si="1"/>
        <v>197551</v>
      </c>
      <c r="AD6" s="263"/>
      <c r="AE6" s="16"/>
      <c r="AF6" s="14">
        <f t="shared" ref="AF6:AQ6" si="2">SUM(AF7:AF10)</f>
        <v>246973</v>
      </c>
      <c r="AG6" s="14">
        <f t="shared" si="2"/>
        <v>281087</v>
      </c>
      <c r="AH6" s="14">
        <f t="shared" si="2"/>
        <v>386469</v>
      </c>
      <c r="AI6" s="14">
        <f t="shared" si="2"/>
        <v>379017</v>
      </c>
      <c r="AJ6" s="14">
        <f t="shared" si="2"/>
        <v>400777</v>
      </c>
      <c r="AK6" s="14">
        <f t="shared" si="2"/>
        <v>465623</v>
      </c>
      <c r="AL6" s="14">
        <f t="shared" si="2"/>
        <v>472149</v>
      </c>
      <c r="AM6" s="14">
        <f t="shared" si="2"/>
        <v>492339</v>
      </c>
      <c r="AN6" s="14">
        <f t="shared" si="2"/>
        <v>450428</v>
      </c>
      <c r="AO6" s="14">
        <f t="shared" si="2"/>
        <v>391441</v>
      </c>
      <c r="AP6" s="14">
        <f t="shared" si="2"/>
        <v>325482</v>
      </c>
      <c r="AQ6" s="14">
        <f t="shared" si="2"/>
        <v>321014</v>
      </c>
      <c r="AR6" s="14">
        <f t="shared" ref="AR6:AR14" si="3">AQ6</f>
        <v>321014</v>
      </c>
      <c r="AS6" s="17"/>
      <c r="AT6" s="14">
        <f t="shared" ref="AT6:BE6" si="4">SUM(AT7:AT10)</f>
        <v>350303</v>
      </c>
      <c r="AU6" s="14">
        <f t="shared" si="4"/>
        <v>323931</v>
      </c>
      <c r="AV6" s="14">
        <f t="shared" si="4"/>
        <v>307980</v>
      </c>
      <c r="AW6" s="14">
        <f t="shared" si="4"/>
        <v>292777</v>
      </c>
      <c r="AX6" s="14">
        <f t="shared" si="4"/>
        <v>296754</v>
      </c>
      <c r="AY6" s="14">
        <f t="shared" si="4"/>
        <v>344037</v>
      </c>
      <c r="AZ6" s="14">
        <f t="shared" si="4"/>
        <v>367566</v>
      </c>
      <c r="BA6" s="14">
        <f t="shared" si="4"/>
        <v>372442</v>
      </c>
      <c r="BB6" s="14">
        <f t="shared" si="4"/>
        <v>375154</v>
      </c>
      <c r="BC6" s="14">
        <f t="shared" si="4"/>
        <v>340466</v>
      </c>
      <c r="BD6" s="14">
        <f t="shared" si="4"/>
        <v>314581</v>
      </c>
      <c r="BE6" s="14">
        <f t="shared" si="4"/>
        <v>253219</v>
      </c>
      <c r="BF6" s="14">
        <f t="shared" ref="BF6:BF11" si="5">BE6</f>
        <v>253219</v>
      </c>
      <c r="BG6" s="17"/>
      <c r="BH6" s="14">
        <f t="shared" ref="BH6:BQ6" si="6">SUM(BH7:BH10)</f>
        <v>307512</v>
      </c>
      <c r="BI6" s="14">
        <f t="shared" si="6"/>
        <v>302058</v>
      </c>
      <c r="BJ6" s="14">
        <f t="shared" si="6"/>
        <v>315841</v>
      </c>
      <c r="BK6" s="14">
        <f t="shared" si="6"/>
        <v>306027</v>
      </c>
      <c r="BL6" s="14">
        <f t="shared" si="6"/>
        <v>299077</v>
      </c>
      <c r="BM6" s="14">
        <f t="shared" si="6"/>
        <v>293121</v>
      </c>
      <c r="BN6" s="14">
        <f t="shared" si="6"/>
        <v>335286</v>
      </c>
      <c r="BO6" s="14">
        <f t="shared" si="6"/>
        <v>322561</v>
      </c>
      <c r="BP6" s="14">
        <f t="shared" si="6"/>
        <v>304307</v>
      </c>
      <c r="BQ6" s="14">
        <f t="shared" si="6"/>
        <v>280100</v>
      </c>
      <c r="BR6" s="14">
        <f>SUM(BR7:BR10)</f>
        <v>215852</v>
      </c>
      <c r="BS6" s="14">
        <f>BS7+BS8+BS10</f>
        <v>201165</v>
      </c>
      <c r="BT6" s="14">
        <f>BS6</f>
        <v>201165</v>
      </c>
      <c r="BU6" s="18"/>
      <c r="BV6" s="14">
        <f>BV7+BV8+BV10</f>
        <v>247713</v>
      </c>
      <c r="BW6" s="14">
        <f>BV6+BW59-BW16</f>
        <v>234422.08006563294</v>
      </c>
      <c r="BX6" s="14">
        <f>BW6+BX59-BX16</f>
        <v>194348.7132915963</v>
      </c>
      <c r="BY6" s="14">
        <f t="shared" ref="BY6:CG6" si="7">BX6+BY59-BY16</f>
        <v>223062.99421980139</v>
      </c>
      <c r="BZ6" s="14">
        <f t="shared" si="7"/>
        <v>228884.86858944659</v>
      </c>
      <c r="CA6" s="14">
        <f t="shared" si="7"/>
        <v>240669.78918926936</v>
      </c>
      <c r="CB6" s="14">
        <f t="shared" si="7"/>
        <v>234679.65868928705</v>
      </c>
      <c r="CC6" s="14">
        <f t="shared" si="7"/>
        <v>197008.01236523816</v>
      </c>
      <c r="CD6" s="14">
        <f t="shared" si="7"/>
        <v>148007.96159444697</v>
      </c>
      <c r="CE6" s="14">
        <f t="shared" si="7"/>
        <v>111276.29521213027</v>
      </c>
      <c r="CF6" s="14">
        <f t="shared" si="7"/>
        <v>93072.105643725808</v>
      </c>
      <c r="CG6" s="14">
        <f t="shared" si="7"/>
        <v>116080.10690622788</v>
      </c>
      <c r="CH6" s="14">
        <f t="shared" ref="CH6:CH14" si="8">CG6</f>
        <v>116080.10690622788</v>
      </c>
      <c r="CJ6" s="14">
        <f>CH6+CJ59-CJ16</f>
        <v>84819.397844393679</v>
      </c>
      <c r="CK6" s="14">
        <f>CJ6+CK59-CK16</f>
        <v>66399.385916589905</v>
      </c>
      <c r="CL6" s="14">
        <f>CK6+CL59-CL16</f>
        <v>18118.682465149584</v>
      </c>
      <c r="CM6" s="14">
        <f t="shared" ref="CM6:CU6" si="9">CL6+CM59-CM16</f>
        <v>31704.391486175213</v>
      </c>
      <c r="CN6" s="14">
        <f t="shared" si="9"/>
        <v>23108.453292784921</v>
      </c>
      <c r="CO6" s="14">
        <f t="shared" si="9"/>
        <v>21071.865952589957</v>
      </c>
      <c r="CP6" s="14">
        <f t="shared" si="9"/>
        <v>-2767.2775973905809</v>
      </c>
      <c r="CQ6" s="14">
        <f t="shared" si="9"/>
        <v>-59956.08855384434</v>
      </c>
      <c r="CR6" s="14">
        <f t="shared" si="9"/>
        <v>-129606.14440171467</v>
      </c>
      <c r="CS6" s="14">
        <f t="shared" si="9"/>
        <v>-187260.97742226307</v>
      </c>
      <c r="CT6" s="14">
        <f t="shared" si="9"/>
        <v>-222285.58594750799</v>
      </c>
      <c r="CU6" s="14">
        <f t="shared" si="9"/>
        <v>-206726.78455875569</v>
      </c>
      <c r="CV6" s="14">
        <v>116080.10690622788</v>
      </c>
    </row>
    <row r="7" spans="1:100">
      <c r="A7" s="19">
        <v>1</v>
      </c>
      <c r="B7" s="158" t="s">
        <v>264</v>
      </c>
      <c r="C7" s="264"/>
      <c r="D7" s="265">
        <v>197000</v>
      </c>
      <c r="E7" s="20">
        <v>223027</v>
      </c>
      <c r="F7" s="20">
        <v>230513</v>
      </c>
      <c r="G7" s="20">
        <v>231174</v>
      </c>
      <c r="H7" s="20">
        <v>255028</v>
      </c>
      <c r="I7" s="20">
        <f>316386+3241</f>
        <v>319627</v>
      </c>
      <c r="J7" s="20">
        <v>377712</v>
      </c>
      <c r="K7" s="20">
        <v>382411</v>
      </c>
      <c r="L7" s="20">
        <v>394107</v>
      </c>
      <c r="M7" s="20">
        <v>267954</v>
      </c>
      <c r="N7" s="20"/>
      <c r="O7" s="20">
        <v>143875</v>
      </c>
      <c r="P7" s="266"/>
      <c r="Q7" s="21"/>
      <c r="R7" s="265">
        <v>208084</v>
      </c>
      <c r="S7" s="22">
        <v>268431</v>
      </c>
      <c r="T7" s="22">
        <v>250616</v>
      </c>
      <c r="U7" s="22">
        <v>237088</v>
      </c>
      <c r="V7" s="22">
        <v>147777</v>
      </c>
      <c r="W7" s="22">
        <v>215818</v>
      </c>
      <c r="X7" s="22">
        <v>273510</v>
      </c>
      <c r="Y7" s="22">
        <v>299059</v>
      </c>
      <c r="Z7" s="22">
        <v>304980</v>
      </c>
      <c r="AA7" s="22">
        <v>231197</v>
      </c>
      <c r="AB7" s="22">
        <v>143086</v>
      </c>
      <c r="AC7" s="22">
        <v>172491</v>
      </c>
      <c r="AD7" s="267"/>
      <c r="AE7" s="23"/>
      <c r="AF7" s="22">
        <v>198695</v>
      </c>
      <c r="AG7" s="22">
        <v>234210</v>
      </c>
      <c r="AH7" s="22">
        <v>327560</v>
      </c>
      <c r="AI7" s="22">
        <v>332523</v>
      </c>
      <c r="AJ7" s="24">
        <v>356667</v>
      </c>
      <c r="AK7" s="22">
        <v>384165</v>
      </c>
      <c r="AL7" s="22">
        <v>317268</v>
      </c>
      <c r="AM7" s="22">
        <v>370708</v>
      </c>
      <c r="AN7" s="22">
        <v>354503</v>
      </c>
      <c r="AO7" s="22">
        <v>314605</v>
      </c>
      <c r="AP7" s="25">
        <v>90490</v>
      </c>
      <c r="AQ7" s="22">
        <v>58348</v>
      </c>
      <c r="AR7" s="22">
        <f t="shared" si="3"/>
        <v>58348</v>
      </c>
      <c r="AS7" s="23"/>
      <c r="AT7" s="22">
        <v>158701</v>
      </c>
      <c r="AU7" s="22">
        <v>115369</v>
      </c>
      <c r="AV7" s="22">
        <v>142379</v>
      </c>
      <c r="AW7" s="22">
        <v>118765</v>
      </c>
      <c r="AX7" s="22">
        <v>113246</v>
      </c>
      <c r="AY7" s="22">
        <v>106776</v>
      </c>
      <c r="AZ7" s="22">
        <v>175234</v>
      </c>
      <c r="BA7" s="22">
        <v>151553</v>
      </c>
      <c r="BB7" s="26">
        <v>167082</v>
      </c>
      <c r="BC7" s="22">
        <v>150959</v>
      </c>
      <c r="BD7" s="22">
        <v>119787</v>
      </c>
      <c r="BE7" s="22">
        <v>65426</v>
      </c>
      <c r="BF7" s="22">
        <f t="shared" si="5"/>
        <v>65426</v>
      </c>
      <c r="BG7" s="27"/>
      <c r="BH7" s="22">
        <v>166918</v>
      </c>
      <c r="BI7" s="22">
        <v>167160</v>
      </c>
      <c r="BJ7" s="22">
        <v>204571</v>
      </c>
      <c r="BK7" s="22">
        <v>153197</v>
      </c>
      <c r="BL7" s="22">
        <v>196798</v>
      </c>
      <c r="BM7" s="22">
        <v>145596</v>
      </c>
      <c r="BN7" s="22">
        <v>166021</v>
      </c>
      <c r="BO7" s="22">
        <v>211305</v>
      </c>
      <c r="BP7" s="22">
        <v>201071</v>
      </c>
      <c r="BQ7" s="22">
        <v>177743</v>
      </c>
      <c r="BR7" s="22">
        <v>144020</v>
      </c>
      <c r="BS7" s="22">
        <v>154347</v>
      </c>
      <c r="BT7" s="22">
        <f>BS7</f>
        <v>154347</v>
      </c>
      <c r="BU7" s="28"/>
      <c r="BV7" s="22">
        <v>204006</v>
      </c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>
        <f t="shared" si="8"/>
        <v>0</v>
      </c>
      <c r="CJ7" s="22">
        <v>204006</v>
      </c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>
        <v>0</v>
      </c>
    </row>
    <row r="8" spans="1:100">
      <c r="A8" s="19">
        <v>2</v>
      </c>
      <c r="B8" s="158" t="s">
        <v>265</v>
      </c>
      <c r="C8" s="264"/>
      <c r="D8" s="265">
        <v>73670</v>
      </c>
      <c r="E8" s="20">
        <v>59682</v>
      </c>
      <c r="F8" s="20">
        <v>54710</v>
      </c>
      <c r="G8" s="20">
        <v>56175</v>
      </c>
      <c r="H8" s="20">
        <v>58933</v>
      </c>
      <c r="I8" s="20">
        <v>42784</v>
      </c>
      <c r="J8" s="20">
        <v>35755</v>
      </c>
      <c r="K8" s="20">
        <v>33547</v>
      </c>
      <c r="L8" s="20">
        <v>22824</v>
      </c>
      <c r="M8" s="20">
        <v>26162</v>
      </c>
      <c r="N8" s="20"/>
      <c r="O8" s="20">
        <v>44389</v>
      </c>
      <c r="P8" s="266"/>
      <c r="Q8" s="21"/>
      <c r="R8" s="265">
        <v>39759</v>
      </c>
      <c r="S8" s="22">
        <v>38325</v>
      </c>
      <c r="T8" s="22">
        <v>26634</v>
      </c>
      <c r="U8" s="22">
        <f>14430+2754+7859</f>
        <v>25043</v>
      </c>
      <c r="V8" s="22">
        <v>23840</v>
      </c>
      <c r="W8" s="22">
        <v>20057</v>
      </c>
      <c r="X8" s="22">
        <v>80502</v>
      </c>
      <c r="Y8" s="22">
        <v>56483</v>
      </c>
      <c r="Z8" s="22">
        <v>44233</v>
      </c>
      <c r="AA8" s="22">
        <v>38155</v>
      </c>
      <c r="AB8" s="22">
        <v>27540</v>
      </c>
      <c r="AC8" s="22">
        <v>25060</v>
      </c>
      <c r="AD8" s="267"/>
      <c r="AE8" s="23"/>
      <c r="AF8" s="22">
        <v>21326</v>
      </c>
      <c r="AG8" s="22">
        <v>17804</v>
      </c>
      <c r="AH8" s="22">
        <v>27157</v>
      </c>
      <c r="AI8" s="22">
        <v>19677</v>
      </c>
      <c r="AJ8" s="22">
        <v>18817</v>
      </c>
      <c r="AK8" s="22">
        <v>25034</v>
      </c>
      <c r="AL8" s="22">
        <v>28090</v>
      </c>
      <c r="AM8" s="22">
        <v>25660</v>
      </c>
      <c r="AN8" s="22">
        <v>33752</v>
      </c>
      <c r="AO8" s="22">
        <v>24699</v>
      </c>
      <c r="AP8" s="25">
        <v>19340</v>
      </c>
      <c r="AQ8" s="22">
        <v>29842</v>
      </c>
      <c r="AR8" s="22">
        <f t="shared" si="3"/>
        <v>29842</v>
      </c>
      <c r="AS8" s="23"/>
      <c r="AT8" s="22">
        <v>46493</v>
      </c>
      <c r="AU8" s="22">
        <v>37125</v>
      </c>
      <c r="AV8" s="22">
        <v>38574</v>
      </c>
      <c r="AW8" s="22">
        <v>43626</v>
      </c>
      <c r="AX8" s="22">
        <v>39641</v>
      </c>
      <c r="AY8" s="22">
        <v>55553</v>
      </c>
      <c r="AZ8" s="22">
        <v>48023</v>
      </c>
      <c r="BA8" s="22">
        <v>55043</v>
      </c>
      <c r="BB8" s="26">
        <v>50383</v>
      </c>
      <c r="BC8" s="22">
        <v>54355</v>
      </c>
      <c r="BD8" s="22">
        <v>82473</v>
      </c>
      <c r="BE8" s="22">
        <v>65398</v>
      </c>
      <c r="BF8" s="22">
        <f t="shared" si="5"/>
        <v>65398</v>
      </c>
      <c r="BG8" s="27"/>
      <c r="BH8" s="22">
        <v>68747</v>
      </c>
      <c r="BI8" s="22">
        <v>62843</v>
      </c>
      <c r="BJ8" s="22">
        <v>62154</v>
      </c>
      <c r="BK8" s="22">
        <v>49337</v>
      </c>
      <c r="BL8" s="22">
        <v>27730</v>
      </c>
      <c r="BM8" s="22">
        <v>42459</v>
      </c>
      <c r="BN8" s="22">
        <v>44049</v>
      </c>
      <c r="BO8" s="22">
        <v>29196</v>
      </c>
      <c r="BP8" s="22">
        <v>36882</v>
      </c>
      <c r="BQ8" s="22">
        <v>35965</v>
      </c>
      <c r="BR8" s="22">
        <v>31343</v>
      </c>
      <c r="BS8" s="22">
        <v>23087</v>
      </c>
      <c r="BT8" s="22">
        <f t="shared" ref="BT8:BT14" si="10">BS8</f>
        <v>23087</v>
      </c>
      <c r="BU8" s="28"/>
      <c r="BV8" s="22">
        <v>15202</v>
      </c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>
        <f t="shared" si="8"/>
        <v>0</v>
      </c>
      <c r="CJ8" s="22">
        <v>15202</v>
      </c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>
        <v>0</v>
      </c>
    </row>
    <row r="9" spans="1:100">
      <c r="A9" s="19">
        <v>3</v>
      </c>
      <c r="B9" s="158" t="s">
        <v>266</v>
      </c>
      <c r="C9" s="264"/>
      <c r="D9" s="268">
        <v>34116</v>
      </c>
      <c r="E9" s="269">
        <v>29277</v>
      </c>
      <c r="F9" s="269">
        <v>43008</v>
      </c>
      <c r="G9" s="269">
        <v>30524</v>
      </c>
      <c r="H9" s="269">
        <v>33235</v>
      </c>
      <c r="I9" s="269">
        <v>39842</v>
      </c>
      <c r="J9" s="269">
        <v>41021</v>
      </c>
      <c r="K9" s="269">
        <v>31224</v>
      </c>
      <c r="L9" s="269"/>
      <c r="M9" s="269">
        <v>10286</v>
      </c>
      <c r="N9" s="269"/>
      <c r="O9" s="269"/>
      <c r="P9" s="266"/>
      <c r="Q9" s="21"/>
      <c r="R9" s="268">
        <v>35516</v>
      </c>
      <c r="S9" s="270">
        <v>35962</v>
      </c>
      <c r="T9" s="270">
        <v>35962</v>
      </c>
      <c r="U9" s="270">
        <v>35962</v>
      </c>
      <c r="V9" s="270">
        <v>35000</v>
      </c>
      <c r="W9" s="270"/>
      <c r="X9" s="270">
        <v>6123</v>
      </c>
      <c r="Y9" s="270">
        <v>6123</v>
      </c>
      <c r="Z9" s="270">
        <v>4187</v>
      </c>
      <c r="AA9" s="270">
        <v>2745</v>
      </c>
      <c r="AB9" s="270"/>
      <c r="AC9" s="270"/>
      <c r="AD9" s="267"/>
      <c r="AE9" s="23"/>
      <c r="AF9" s="270">
        <v>8366</v>
      </c>
      <c r="AG9" s="270">
        <v>11534</v>
      </c>
      <c r="AH9" s="270">
        <v>11507</v>
      </c>
      <c r="AI9" s="270">
        <v>9148</v>
      </c>
      <c r="AJ9" s="22">
        <v>8524</v>
      </c>
      <c r="AK9" s="270">
        <v>25290</v>
      </c>
      <c r="AL9" s="270">
        <v>91080</v>
      </c>
      <c r="AM9" s="270">
        <v>66830</v>
      </c>
      <c r="AN9" s="270">
        <v>36866</v>
      </c>
      <c r="AO9" s="270">
        <v>16173</v>
      </c>
      <c r="AP9" s="271">
        <v>178274</v>
      </c>
      <c r="AQ9" s="270">
        <v>210665</v>
      </c>
      <c r="AR9" s="22">
        <f t="shared" si="3"/>
        <v>210665</v>
      </c>
      <c r="AS9" s="23"/>
      <c r="AT9" s="270">
        <v>121075</v>
      </c>
      <c r="AU9" s="270">
        <v>149376</v>
      </c>
      <c r="AV9" s="270">
        <v>104538</v>
      </c>
      <c r="AW9" s="270">
        <v>105262</v>
      </c>
      <c r="AX9" s="270">
        <v>121073</v>
      </c>
      <c r="AY9" s="270">
        <v>163931</v>
      </c>
      <c r="AZ9" s="270">
        <v>109964</v>
      </c>
      <c r="BA9" s="270">
        <v>148266</v>
      </c>
      <c r="BB9" s="26">
        <v>130697</v>
      </c>
      <c r="BC9" s="270">
        <v>113779</v>
      </c>
      <c r="BD9" s="270">
        <v>91119</v>
      </c>
      <c r="BE9" s="270">
        <v>103286</v>
      </c>
      <c r="BF9" s="22">
        <f t="shared" si="5"/>
        <v>103286</v>
      </c>
      <c r="BG9" s="27"/>
      <c r="BH9" s="270">
        <v>49631</v>
      </c>
      <c r="BI9" s="270">
        <v>52953</v>
      </c>
      <c r="BJ9" s="270">
        <v>28440</v>
      </c>
      <c r="BK9" s="270">
        <v>83601</v>
      </c>
      <c r="BL9" s="22">
        <v>25812</v>
      </c>
      <c r="BM9" s="22">
        <v>59545</v>
      </c>
      <c r="BN9" s="22">
        <v>83435</v>
      </c>
      <c r="BO9" s="22">
        <v>34041</v>
      </c>
      <c r="BP9" s="22">
        <v>22399</v>
      </c>
      <c r="BQ9" s="22">
        <v>24887</v>
      </c>
      <c r="BR9" s="22">
        <v>12183</v>
      </c>
      <c r="BS9" s="22">
        <v>12183</v>
      </c>
      <c r="BT9" s="22">
        <f t="shared" si="10"/>
        <v>12183</v>
      </c>
      <c r="BU9" s="28"/>
      <c r="BV9" s="270">
        <v>5216</v>
      </c>
      <c r="BW9" s="270"/>
      <c r="BX9" s="270"/>
      <c r="BY9" s="270"/>
      <c r="BZ9" s="22"/>
      <c r="CA9" s="22"/>
      <c r="CB9" s="22"/>
      <c r="CC9" s="22"/>
      <c r="CD9" s="22"/>
      <c r="CE9" s="22"/>
      <c r="CF9" s="22"/>
      <c r="CG9" s="22"/>
      <c r="CH9" s="22">
        <f t="shared" si="8"/>
        <v>0</v>
      </c>
      <c r="CJ9" s="270">
        <v>5216</v>
      </c>
      <c r="CK9" s="270"/>
      <c r="CL9" s="270"/>
      <c r="CM9" s="270"/>
      <c r="CN9" s="22"/>
      <c r="CO9" s="22"/>
      <c r="CP9" s="22"/>
      <c r="CQ9" s="22"/>
      <c r="CR9" s="22"/>
      <c r="CS9" s="22"/>
      <c r="CT9" s="22"/>
      <c r="CU9" s="22"/>
      <c r="CV9" s="22">
        <v>0</v>
      </c>
    </row>
    <row r="10" spans="1:100">
      <c r="A10" s="19">
        <v>1</v>
      </c>
      <c r="B10" s="158" t="s">
        <v>267</v>
      </c>
      <c r="C10" s="159"/>
      <c r="D10" s="265">
        <v>6409</v>
      </c>
      <c r="E10" s="20">
        <v>6860</v>
      </c>
      <c r="F10" s="20">
        <v>4970</v>
      </c>
      <c r="G10" s="20">
        <v>31203</v>
      </c>
      <c r="H10" s="20">
        <v>31499</v>
      </c>
      <c r="I10" s="20">
        <v>25903</v>
      </c>
      <c r="J10" s="20">
        <v>18606</v>
      </c>
      <c r="K10" s="20">
        <v>16014</v>
      </c>
      <c r="L10" s="20">
        <v>13416</v>
      </c>
      <c r="M10" s="20">
        <v>40079</v>
      </c>
      <c r="N10" s="20"/>
      <c r="O10" s="20">
        <v>0</v>
      </c>
      <c r="P10" s="266"/>
      <c r="Q10" s="21"/>
      <c r="R10" s="265">
        <v>3376</v>
      </c>
      <c r="S10" s="22">
        <v>11736</v>
      </c>
      <c r="T10" s="22">
        <v>22454</v>
      </c>
      <c r="U10" s="22">
        <v>21384</v>
      </c>
      <c r="V10" s="22">
        <v>66870</v>
      </c>
      <c r="W10" s="22">
        <v>73769</v>
      </c>
      <c r="X10" s="22">
        <v>13944</v>
      </c>
      <c r="Y10" s="22">
        <v>32750</v>
      </c>
      <c r="Z10" s="22">
        <v>18536</v>
      </c>
      <c r="AA10" s="22">
        <v>40211</v>
      </c>
      <c r="AB10" s="22">
        <v>44457</v>
      </c>
      <c r="AC10" s="22">
        <v>24504</v>
      </c>
      <c r="AD10" s="267"/>
      <c r="AE10" s="23"/>
      <c r="AF10" s="22">
        <v>18586</v>
      </c>
      <c r="AG10" s="22">
        <v>17539</v>
      </c>
      <c r="AH10" s="22">
        <v>20245</v>
      </c>
      <c r="AI10" s="22">
        <v>17669</v>
      </c>
      <c r="AJ10" s="22">
        <v>16769</v>
      </c>
      <c r="AK10" s="22">
        <v>31134</v>
      </c>
      <c r="AL10" s="22">
        <v>35711</v>
      </c>
      <c r="AM10" s="22">
        <v>29141</v>
      </c>
      <c r="AN10" s="22">
        <v>25307</v>
      </c>
      <c r="AO10" s="22">
        <v>35964</v>
      </c>
      <c r="AP10" s="25">
        <v>37378</v>
      </c>
      <c r="AQ10" s="22">
        <v>22159</v>
      </c>
      <c r="AR10" s="22">
        <f t="shared" si="3"/>
        <v>22159</v>
      </c>
      <c r="AS10" s="23"/>
      <c r="AT10" s="22">
        <v>24034</v>
      </c>
      <c r="AU10" s="270">
        <v>22061</v>
      </c>
      <c r="AV10" s="22">
        <v>22489</v>
      </c>
      <c r="AW10" s="22">
        <v>25124</v>
      </c>
      <c r="AX10" s="22">
        <v>22794</v>
      </c>
      <c r="AY10" s="22">
        <v>17777</v>
      </c>
      <c r="AZ10" s="22">
        <v>34345</v>
      </c>
      <c r="BA10" s="22">
        <v>17580</v>
      </c>
      <c r="BB10" s="26">
        <v>26992</v>
      </c>
      <c r="BC10" s="22">
        <v>21373</v>
      </c>
      <c r="BD10" s="22">
        <v>21202</v>
      </c>
      <c r="BE10" s="22">
        <v>19109</v>
      </c>
      <c r="BF10" s="22">
        <f t="shared" si="5"/>
        <v>19109</v>
      </c>
      <c r="BG10" s="27"/>
      <c r="BH10" s="22">
        <v>22216</v>
      </c>
      <c r="BI10" s="270">
        <v>19102</v>
      </c>
      <c r="BJ10" s="22">
        <v>20676</v>
      </c>
      <c r="BK10" s="22">
        <v>19892</v>
      </c>
      <c r="BL10" s="22">
        <v>48737</v>
      </c>
      <c r="BM10" s="22">
        <v>45521</v>
      </c>
      <c r="BN10" s="22">
        <v>41781</v>
      </c>
      <c r="BO10" s="22">
        <v>48019</v>
      </c>
      <c r="BP10" s="22">
        <v>43955</v>
      </c>
      <c r="BQ10" s="22">
        <v>41505</v>
      </c>
      <c r="BR10" s="22">
        <v>28306</v>
      </c>
      <c r="BS10" s="22">
        <v>23731</v>
      </c>
      <c r="BT10" s="22">
        <f t="shared" si="10"/>
        <v>23731</v>
      </c>
      <c r="BU10" s="28"/>
      <c r="BV10" s="22">
        <v>28505</v>
      </c>
      <c r="BW10" s="270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>
        <f t="shared" si="8"/>
        <v>0</v>
      </c>
      <c r="CJ10" s="22">
        <v>28505</v>
      </c>
      <c r="CK10" s="270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>
        <v>0</v>
      </c>
    </row>
    <row r="11" spans="1:100">
      <c r="A11" s="29"/>
      <c r="B11" s="272" t="s">
        <v>41</v>
      </c>
      <c r="C11" s="273"/>
      <c r="D11" s="274">
        <f t="shared" ref="D11:O11" si="11">D6-D9</f>
        <v>270670</v>
      </c>
      <c r="E11" s="30">
        <f t="shared" si="11"/>
        <v>282709</v>
      </c>
      <c r="F11" s="30">
        <f t="shared" si="11"/>
        <v>285223</v>
      </c>
      <c r="G11" s="30">
        <f t="shared" si="11"/>
        <v>287349</v>
      </c>
      <c r="H11" s="30">
        <f t="shared" si="11"/>
        <v>313961</v>
      </c>
      <c r="I11" s="30">
        <f t="shared" si="11"/>
        <v>362411</v>
      </c>
      <c r="J11" s="30">
        <f t="shared" si="11"/>
        <v>413467</v>
      </c>
      <c r="K11" s="30">
        <f t="shared" si="11"/>
        <v>415958</v>
      </c>
      <c r="L11" s="30">
        <f t="shared" si="11"/>
        <v>416931</v>
      </c>
      <c r="M11" s="30">
        <f t="shared" si="11"/>
        <v>294116</v>
      </c>
      <c r="N11" s="30">
        <f t="shared" si="11"/>
        <v>0</v>
      </c>
      <c r="O11" s="30">
        <f t="shared" si="11"/>
        <v>188264</v>
      </c>
      <c r="P11" s="275"/>
      <c r="Q11" s="31"/>
      <c r="R11" s="274">
        <f t="shared" ref="R11:AB11" si="12">R6-R9</f>
        <v>247843</v>
      </c>
      <c r="S11" s="32">
        <f t="shared" si="12"/>
        <v>306756</v>
      </c>
      <c r="T11" s="32">
        <f t="shared" si="12"/>
        <v>277250</v>
      </c>
      <c r="U11" s="32">
        <f t="shared" si="12"/>
        <v>262131</v>
      </c>
      <c r="V11" s="32">
        <f t="shared" si="12"/>
        <v>171617</v>
      </c>
      <c r="W11" s="32">
        <f t="shared" si="12"/>
        <v>235875</v>
      </c>
      <c r="X11" s="32">
        <f t="shared" si="12"/>
        <v>354012</v>
      </c>
      <c r="Y11" s="32">
        <f t="shared" si="12"/>
        <v>355542</v>
      </c>
      <c r="Z11" s="32">
        <f t="shared" si="12"/>
        <v>349213</v>
      </c>
      <c r="AA11" s="32">
        <f t="shared" si="12"/>
        <v>269352</v>
      </c>
      <c r="AB11" s="32">
        <f t="shared" si="12"/>
        <v>170626</v>
      </c>
      <c r="AC11" s="32"/>
      <c r="AD11" s="276"/>
      <c r="AE11" s="17"/>
      <c r="AF11" s="32">
        <f t="shared" ref="AF11:AQ11" si="13">AF6-AF9</f>
        <v>238607</v>
      </c>
      <c r="AG11" s="32">
        <f t="shared" si="13"/>
        <v>269553</v>
      </c>
      <c r="AH11" s="32">
        <f t="shared" si="13"/>
        <v>374962</v>
      </c>
      <c r="AI11" s="32">
        <f t="shared" si="13"/>
        <v>369869</v>
      </c>
      <c r="AJ11" s="32">
        <f t="shared" si="13"/>
        <v>392253</v>
      </c>
      <c r="AK11" s="32">
        <f t="shared" si="13"/>
        <v>440333</v>
      </c>
      <c r="AL11" s="32">
        <f t="shared" si="13"/>
        <v>381069</v>
      </c>
      <c r="AM11" s="32">
        <f t="shared" si="13"/>
        <v>425509</v>
      </c>
      <c r="AN11" s="32">
        <f t="shared" si="13"/>
        <v>413562</v>
      </c>
      <c r="AO11" s="32">
        <f t="shared" si="13"/>
        <v>375268</v>
      </c>
      <c r="AP11" s="32">
        <f t="shared" si="13"/>
        <v>147208</v>
      </c>
      <c r="AQ11" s="32">
        <f t="shared" si="13"/>
        <v>110349</v>
      </c>
      <c r="AR11" s="32">
        <f t="shared" si="3"/>
        <v>110349</v>
      </c>
      <c r="AS11" s="17"/>
      <c r="AT11" s="32">
        <f t="shared" ref="AT11:BE11" si="14">AT6-AT9</f>
        <v>229228</v>
      </c>
      <c r="AU11" s="32">
        <f t="shared" si="14"/>
        <v>174555</v>
      </c>
      <c r="AV11" s="32">
        <f t="shared" si="14"/>
        <v>203442</v>
      </c>
      <c r="AW11" s="32">
        <f t="shared" si="14"/>
        <v>187515</v>
      </c>
      <c r="AX11" s="32">
        <f t="shared" si="14"/>
        <v>175681</v>
      </c>
      <c r="AY11" s="32">
        <f t="shared" si="14"/>
        <v>180106</v>
      </c>
      <c r="AZ11" s="32">
        <f t="shared" si="14"/>
        <v>257602</v>
      </c>
      <c r="BA11" s="32">
        <f t="shared" si="14"/>
        <v>224176</v>
      </c>
      <c r="BB11" s="32">
        <f t="shared" si="14"/>
        <v>244457</v>
      </c>
      <c r="BC11" s="32">
        <f t="shared" si="14"/>
        <v>226687</v>
      </c>
      <c r="BD11" s="32">
        <f t="shared" si="14"/>
        <v>223462</v>
      </c>
      <c r="BE11" s="32">
        <f t="shared" si="14"/>
        <v>149933</v>
      </c>
      <c r="BF11" s="32">
        <f t="shared" si="5"/>
        <v>149933</v>
      </c>
      <c r="BG11" s="17"/>
      <c r="BH11" s="32">
        <f t="shared" ref="BH11:BQ11" si="15">BH6-BH9</f>
        <v>257881</v>
      </c>
      <c r="BI11" s="32">
        <f t="shared" si="15"/>
        <v>249105</v>
      </c>
      <c r="BJ11" s="32">
        <f t="shared" si="15"/>
        <v>287401</v>
      </c>
      <c r="BK11" s="32">
        <f t="shared" si="15"/>
        <v>222426</v>
      </c>
      <c r="BL11" s="32">
        <f t="shared" si="15"/>
        <v>273265</v>
      </c>
      <c r="BM11" s="32">
        <f t="shared" si="15"/>
        <v>233576</v>
      </c>
      <c r="BN11" s="32">
        <f t="shared" si="15"/>
        <v>251851</v>
      </c>
      <c r="BO11" s="32">
        <f t="shared" si="15"/>
        <v>288520</v>
      </c>
      <c r="BP11" s="32">
        <f t="shared" si="15"/>
        <v>281908</v>
      </c>
      <c r="BQ11" s="32">
        <f t="shared" si="15"/>
        <v>255213</v>
      </c>
      <c r="BR11" s="32">
        <f>BR6-BR9</f>
        <v>203669</v>
      </c>
      <c r="BS11" s="32">
        <f>BS6-BS9</f>
        <v>188982</v>
      </c>
      <c r="BT11" s="32">
        <f>BS11</f>
        <v>188982</v>
      </c>
      <c r="BU11" s="28"/>
      <c r="BV11" s="32">
        <f>BV6-BV9</f>
        <v>242497</v>
      </c>
      <c r="BW11" s="32">
        <f t="shared" ref="BW11:CG11" si="16">BW6-BW9</f>
        <v>234422.08006563294</v>
      </c>
      <c r="BX11" s="32">
        <f t="shared" si="16"/>
        <v>194348.7132915963</v>
      </c>
      <c r="BY11" s="32">
        <f t="shared" si="16"/>
        <v>223062.99421980139</v>
      </c>
      <c r="BZ11" s="32">
        <f t="shared" si="16"/>
        <v>228884.86858944659</v>
      </c>
      <c r="CA11" s="32">
        <f t="shared" si="16"/>
        <v>240669.78918926936</v>
      </c>
      <c r="CB11" s="32">
        <f t="shared" si="16"/>
        <v>234679.65868928705</v>
      </c>
      <c r="CC11" s="32">
        <f t="shared" si="16"/>
        <v>197008.01236523816</v>
      </c>
      <c r="CD11" s="32">
        <f t="shared" si="16"/>
        <v>148007.96159444697</v>
      </c>
      <c r="CE11" s="32">
        <f t="shared" si="16"/>
        <v>111276.29521213027</v>
      </c>
      <c r="CF11" s="32">
        <f t="shared" si="16"/>
        <v>93072.105643725808</v>
      </c>
      <c r="CG11" s="32">
        <f t="shared" si="16"/>
        <v>116080.10690622788</v>
      </c>
      <c r="CH11" s="32">
        <f t="shared" si="8"/>
        <v>116080.10690622788</v>
      </c>
      <c r="CJ11" s="32">
        <v>242497</v>
      </c>
      <c r="CK11" s="32">
        <v>234422.08006563294</v>
      </c>
      <c r="CL11" s="32">
        <v>194348.7132915963</v>
      </c>
      <c r="CM11" s="32">
        <v>223062.99421980139</v>
      </c>
      <c r="CN11" s="32">
        <v>228884.86858944659</v>
      </c>
      <c r="CO11" s="32">
        <v>240669.78918926936</v>
      </c>
      <c r="CP11" s="32">
        <v>234679.65868928705</v>
      </c>
      <c r="CQ11" s="32">
        <v>197008.01236523816</v>
      </c>
      <c r="CR11" s="32">
        <v>148007.96159444697</v>
      </c>
      <c r="CS11" s="32">
        <v>111276.29521213027</v>
      </c>
      <c r="CT11" s="32">
        <v>93072.105643725808</v>
      </c>
      <c r="CU11" s="32">
        <v>116080.10690622788</v>
      </c>
      <c r="CV11" s="32">
        <v>116080.10690622788</v>
      </c>
    </row>
    <row r="12" spans="1:100">
      <c r="A12" s="13" t="s">
        <v>42</v>
      </c>
      <c r="B12" s="259"/>
      <c r="C12" s="260" t="s">
        <v>43</v>
      </c>
      <c r="D12" s="277">
        <f>D7-D9</f>
        <v>162884</v>
      </c>
      <c r="E12" s="33">
        <f t="shared" ref="E12:O12" si="17">E7+E10-E9-E48</f>
        <v>200610</v>
      </c>
      <c r="F12" s="33">
        <f t="shared" si="17"/>
        <v>192475</v>
      </c>
      <c r="G12" s="33">
        <f t="shared" si="17"/>
        <v>231853</v>
      </c>
      <c r="H12" s="33">
        <f t="shared" si="17"/>
        <v>253292</v>
      </c>
      <c r="I12" s="33">
        <f t="shared" si="17"/>
        <v>305688</v>
      </c>
      <c r="J12" s="33">
        <f t="shared" si="17"/>
        <v>355297</v>
      </c>
      <c r="K12" s="33">
        <f t="shared" si="17"/>
        <v>367201</v>
      </c>
      <c r="L12" s="33">
        <f t="shared" si="17"/>
        <v>407523</v>
      </c>
      <c r="M12" s="33">
        <f t="shared" si="17"/>
        <v>297747</v>
      </c>
      <c r="N12" s="33">
        <f t="shared" si="17"/>
        <v>0</v>
      </c>
      <c r="O12" s="33">
        <f t="shared" si="17"/>
        <v>143875</v>
      </c>
      <c r="P12" s="262">
        <f>J12</f>
        <v>355297</v>
      </c>
      <c r="Q12" s="15"/>
      <c r="R12" s="277">
        <f>R7-R9</f>
        <v>172568</v>
      </c>
      <c r="S12" s="14">
        <f t="shared" ref="S12:AC12" si="18">S7+S10-S9-S48</f>
        <v>244205</v>
      </c>
      <c r="T12" s="14">
        <f t="shared" si="18"/>
        <v>237108</v>
      </c>
      <c r="U12" s="14">
        <f t="shared" si="18"/>
        <v>222510</v>
      </c>
      <c r="V12" s="14">
        <f t="shared" si="18"/>
        <v>179647</v>
      </c>
      <c r="W12" s="14">
        <f t="shared" si="18"/>
        <v>289587</v>
      </c>
      <c r="X12" s="14">
        <f t="shared" si="18"/>
        <v>281331</v>
      </c>
      <c r="Y12" s="14">
        <f t="shared" si="18"/>
        <v>325686</v>
      </c>
      <c r="Z12" s="14">
        <f t="shared" si="18"/>
        <v>319329</v>
      </c>
      <c r="AA12" s="14">
        <f t="shared" si="18"/>
        <v>268663</v>
      </c>
      <c r="AB12" s="14">
        <f t="shared" si="18"/>
        <v>187543</v>
      </c>
      <c r="AC12" s="14">
        <f t="shared" si="18"/>
        <v>196995</v>
      </c>
      <c r="AD12" s="263">
        <f>X12</f>
        <v>281331</v>
      </c>
      <c r="AE12" s="16"/>
      <c r="AF12" s="14">
        <f t="shared" ref="AF12:AQ12" si="19">AF7+AF9+AF8</f>
        <v>228387</v>
      </c>
      <c r="AG12" s="14">
        <f t="shared" si="19"/>
        <v>263548</v>
      </c>
      <c r="AH12" s="14">
        <f t="shared" si="19"/>
        <v>366224</v>
      </c>
      <c r="AI12" s="14">
        <f t="shared" si="19"/>
        <v>361348</v>
      </c>
      <c r="AJ12" s="14">
        <f t="shared" si="19"/>
        <v>384008</v>
      </c>
      <c r="AK12" s="14">
        <f t="shared" si="19"/>
        <v>434489</v>
      </c>
      <c r="AL12" s="14">
        <f t="shared" si="19"/>
        <v>436438</v>
      </c>
      <c r="AM12" s="14">
        <f t="shared" si="19"/>
        <v>463198</v>
      </c>
      <c r="AN12" s="14">
        <f t="shared" si="19"/>
        <v>425121</v>
      </c>
      <c r="AO12" s="14">
        <f t="shared" si="19"/>
        <v>355477</v>
      </c>
      <c r="AP12" s="14">
        <f t="shared" si="19"/>
        <v>288104</v>
      </c>
      <c r="AQ12" s="14">
        <f t="shared" si="19"/>
        <v>298855</v>
      </c>
      <c r="AR12" s="14">
        <f t="shared" si="3"/>
        <v>298855</v>
      </c>
      <c r="AS12" s="17"/>
      <c r="AT12" s="14">
        <f t="shared" ref="AT12:BE12" si="20">AT7+AT9+AT8</f>
        <v>326269</v>
      </c>
      <c r="AU12" s="14">
        <f t="shared" si="20"/>
        <v>301870</v>
      </c>
      <c r="AV12" s="14">
        <f t="shared" si="20"/>
        <v>285491</v>
      </c>
      <c r="AW12" s="14">
        <f t="shared" si="20"/>
        <v>267653</v>
      </c>
      <c r="AX12" s="14">
        <f t="shared" si="20"/>
        <v>273960</v>
      </c>
      <c r="AY12" s="14">
        <f t="shared" si="20"/>
        <v>326260</v>
      </c>
      <c r="AZ12" s="14">
        <f t="shared" si="20"/>
        <v>333221</v>
      </c>
      <c r="BA12" s="14">
        <f t="shared" si="20"/>
        <v>354862</v>
      </c>
      <c r="BB12" s="14">
        <f t="shared" si="20"/>
        <v>348162</v>
      </c>
      <c r="BC12" s="14">
        <f t="shared" si="20"/>
        <v>319093</v>
      </c>
      <c r="BD12" s="14">
        <f t="shared" si="20"/>
        <v>293379</v>
      </c>
      <c r="BE12" s="14">
        <f t="shared" si="20"/>
        <v>234110</v>
      </c>
      <c r="BF12" s="32">
        <f t="shared" ref="BF12:BF13" si="21">SUM(AT12:BE12)</f>
        <v>3664330</v>
      </c>
      <c r="BG12" s="17"/>
      <c r="BH12" s="14">
        <f t="shared" ref="BH12:BS12" si="22">BH7+BH9+BH8</f>
        <v>285296</v>
      </c>
      <c r="BI12" s="14">
        <f t="shared" si="22"/>
        <v>282956</v>
      </c>
      <c r="BJ12" s="14">
        <f t="shared" si="22"/>
        <v>295165</v>
      </c>
      <c r="BK12" s="14">
        <f t="shared" si="22"/>
        <v>286135</v>
      </c>
      <c r="BL12" s="14">
        <f t="shared" si="22"/>
        <v>250340</v>
      </c>
      <c r="BM12" s="14">
        <f t="shared" si="22"/>
        <v>247600</v>
      </c>
      <c r="BN12" s="14">
        <f t="shared" si="22"/>
        <v>293505</v>
      </c>
      <c r="BO12" s="14">
        <f t="shared" si="22"/>
        <v>274542</v>
      </c>
      <c r="BP12" s="14">
        <f t="shared" si="22"/>
        <v>260352</v>
      </c>
      <c r="BQ12" s="14">
        <f>BQ7+BQ9+BQ8</f>
        <v>238595</v>
      </c>
      <c r="BR12" s="14">
        <f t="shared" si="22"/>
        <v>187546</v>
      </c>
      <c r="BS12" s="14">
        <f t="shared" si="22"/>
        <v>189617</v>
      </c>
      <c r="BT12" s="14">
        <f t="shared" si="10"/>
        <v>189617</v>
      </c>
      <c r="BU12" s="18"/>
      <c r="BV12" s="14">
        <f t="shared" ref="BV12:CG12" si="23">BV7+BV9+BV8</f>
        <v>224424</v>
      </c>
      <c r="BW12" s="14">
        <f t="shared" si="23"/>
        <v>0</v>
      </c>
      <c r="BX12" s="14">
        <f t="shared" si="23"/>
        <v>0</v>
      </c>
      <c r="BY12" s="14">
        <f t="shared" si="23"/>
        <v>0</v>
      </c>
      <c r="BZ12" s="14">
        <f t="shared" si="23"/>
        <v>0</v>
      </c>
      <c r="CA12" s="14">
        <f t="shared" si="23"/>
        <v>0</v>
      </c>
      <c r="CB12" s="14">
        <f t="shared" si="23"/>
        <v>0</v>
      </c>
      <c r="CC12" s="14">
        <f t="shared" si="23"/>
        <v>0</v>
      </c>
      <c r="CD12" s="14">
        <f t="shared" si="23"/>
        <v>0</v>
      </c>
      <c r="CE12" s="14">
        <f t="shared" si="23"/>
        <v>0</v>
      </c>
      <c r="CF12" s="14">
        <f t="shared" si="23"/>
        <v>0</v>
      </c>
      <c r="CG12" s="14">
        <f t="shared" si="23"/>
        <v>0</v>
      </c>
      <c r="CH12" s="14">
        <f t="shared" si="8"/>
        <v>0</v>
      </c>
      <c r="CJ12" s="14">
        <v>224424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</row>
    <row r="13" spans="1:100">
      <c r="A13" s="34" t="s">
        <v>44</v>
      </c>
      <c r="B13" s="278"/>
      <c r="C13" s="445" t="s">
        <v>45</v>
      </c>
      <c r="D13" s="277">
        <f t="shared" ref="D13:O13" si="24">D6-D10-D9</f>
        <v>264261</v>
      </c>
      <c r="E13" s="33">
        <f t="shared" si="24"/>
        <v>275849</v>
      </c>
      <c r="F13" s="33">
        <f t="shared" si="24"/>
        <v>280253</v>
      </c>
      <c r="G13" s="33">
        <f t="shared" si="24"/>
        <v>256146</v>
      </c>
      <c r="H13" s="33">
        <f t="shared" si="24"/>
        <v>282462</v>
      </c>
      <c r="I13" s="33">
        <f t="shared" si="24"/>
        <v>336508</v>
      </c>
      <c r="J13" s="33">
        <f t="shared" si="24"/>
        <v>394861</v>
      </c>
      <c r="K13" s="33">
        <f t="shared" si="24"/>
        <v>399944</v>
      </c>
      <c r="L13" s="33">
        <f t="shared" si="24"/>
        <v>403515</v>
      </c>
      <c r="M13" s="33">
        <f t="shared" si="24"/>
        <v>254037</v>
      </c>
      <c r="N13" s="33">
        <f t="shared" si="24"/>
        <v>0</v>
      </c>
      <c r="O13" s="33">
        <f t="shared" si="24"/>
        <v>188264</v>
      </c>
      <c r="P13" s="262">
        <f t="shared" ref="P13:P14" si="25">O13</f>
        <v>188264</v>
      </c>
      <c r="Q13" s="15"/>
      <c r="R13" s="277">
        <f t="shared" ref="R13:AC13" si="26">R6-R10-R9</f>
        <v>244467</v>
      </c>
      <c r="S13" s="14">
        <f t="shared" si="26"/>
        <v>295020</v>
      </c>
      <c r="T13" s="14">
        <f t="shared" si="26"/>
        <v>254796</v>
      </c>
      <c r="U13" s="14">
        <f t="shared" si="26"/>
        <v>240747</v>
      </c>
      <c r="V13" s="14">
        <f t="shared" si="26"/>
        <v>104747</v>
      </c>
      <c r="W13" s="14">
        <f t="shared" si="26"/>
        <v>162106</v>
      </c>
      <c r="X13" s="14">
        <f t="shared" si="26"/>
        <v>340068</v>
      </c>
      <c r="Y13" s="14">
        <f t="shared" si="26"/>
        <v>322792</v>
      </c>
      <c r="Z13" s="14">
        <f t="shared" si="26"/>
        <v>330677</v>
      </c>
      <c r="AA13" s="14">
        <f t="shared" si="26"/>
        <v>229141</v>
      </c>
      <c r="AB13" s="14">
        <f t="shared" si="26"/>
        <v>126169</v>
      </c>
      <c r="AC13" s="14">
        <f t="shared" si="26"/>
        <v>173047</v>
      </c>
      <c r="AD13" s="263">
        <f t="shared" ref="AD13:AD14" si="27">AC13</f>
        <v>173047</v>
      </c>
      <c r="AE13" s="16"/>
      <c r="AF13" s="261">
        <f t="shared" ref="AF13:AQ13" si="28">AF12-AF9</f>
        <v>220021</v>
      </c>
      <c r="AG13" s="261">
        <f t="shared" si="28"/>
        <v>252014</v>
      </c>
      <c r="AH13" s="261">
        <f t="shared" si="28"/>
        <v>354717</v>
      </c>
      <c r="AI13" s="261">
        <f t="shared" si="28"/>
        <v>352200</v>
      </c>
      <c r="AJ13" s="261">
        <f t="shared" si="28"/>
        <v>375484</v>
      </c>
      <c r="AK13" s="261">
        <f t="shared" si="28"/>
        <v>409199</v>
      </c>
      <c r="AL13" s="261">
        <f t="shared" si="28"/>
        <v>345358</v>
      </c>
      <c r="AM13" s="261">
        <f t="shared" si="28"/>
        <v>396368</v>
      </c>
      <c r="AN13" s="261">
        <f t="shared" si="28"/>
        <v>388255</v>
      </c>
      <c r="AO13" s="261">
        <f t="shared" si="28"/>
        <v>339304</v>
      </c>
      <c r="AP13" s="261">
        <f t="shared" si="28"/>
        <v>109830</v>
      </c>
      <c r="AQ13" s="261">
        <f t="shared" si="28"/>
        <v>88190</v>
      </c>
      <c r="AR13" s="14">
        <f t="shared" si="3"/>
        <v>88190</v>
      </c>
      <c r="AS13" s="17"/>
      <c r="AT13" s="261">
        <f t="shared" ref="AT13:BE13" si="29">AT12-AT9</f>
        <v>205194</v>
      </c>
      <c r="AU13" s="261">
        <f t="shared" si="29"/>
        <v>152494</v>
      </c>
      <c r="AV13" s="261">
        <f t="shared" si="29"/>
        <v>180953</v>
      </c>
      <c r="AW13" s="261">
        <f t="shared" si="29"/>
        <v>162391</v>
      </c>
      <c r="AX13" s="261">
        <f t="shared" si="29"/>
        <v>152887</v>
      </c>
      <c r="AY13" s="261">
        <f t="shared" si="29"/>
        <v>162329</v>
      </c>
      <c r="AZ13" s="261">
        <f t="shared" si="29"/>
        <v>223257</v>
      </c>
      <c r="BA13" s="261">
        <f t="shared" si="29"/>
        <v>206596</v>
      </c>
      <c r="BB13" s="261">
        <f t="shared" si="29"/>
        <v>217465</v>
      </c>
      <c r="BC13" s="261">
        <f t="shared" si="29"/>
        <v>205314</v>
      </c>
      <c r="BD13" s="261">
        <f t="shared" si="29"/>
        <v>202260</v>
      </c>
      <c r="BE13" s="261">
        <f t="shared" si="29"/>
        <v>130824</v>
      </c>
      <c r="BF13" s="32">
        <f t="shared" si="21"/>
        <v>2201964</v>
      </c>
      <c r="BG13" s="35">
        <f>SUM(AT16:AY16)/SUM(AF49:AK49)-1</f>
        <v>0.2283258050797119</v>
      </c>
      <c r="BH13" s="416">
        <f t="shared" ref="BH13:BS13" si="30">BH12-BH9</f>
        <v>235665</v>
      </c>
      <c r="BI13" s="416">
        <f t="shared" si="30"/>
        <v>230003</v>
      </c>
      <c r="BJ13" s="416">
        <f t="shared" si="30"/>
        <v>266725</v>
      </c>
      <c r="BK13" s="416">
        <f t="shared" si="30"/>
        <v>202534</v>
      </c>
      <c r="BL13" s="417">
        <f t="shared" si="30"/>
        <v>224528</v>
      </c>
      <c r="BM13" s="417">
        <f t="shared" si="30"/>
        <v>188055</v>
      </c>
      <c r="BN13" s="417">
        <f t="shared" si="30"/>
        <v>210070</v>
      </c>
      <c r="BO13" s="417">
        <f t="shared" si="30"/>
        <v>240501</v>
      </c>
      <c r="BP13" s="417">
        <f t="shared" si="30"/>
        <v>237953</v>
      </c>
      <c r="BQ13" s="417">
        <f t="shared" si="30"/>
        <v>213708</v>
      </c>
      <c r="BR13" s="417">
        <f t="shared" si="30"/>
        <v>175363</v>
      </c>
      <c r="BS13" s="417">
        <f t="shared" si="30"/>
        <v>177434</v>
      </c>
      <c r="BT13" s="417">
        <f t="shared" si="10"/>
        <v>177434</v>
      </c>
      <c r="BU13" s="18"/>
      <c r="BV13" s="261">
        <f t="shared" ref="BV13:CG13" si="31">BV12-BV9</f>
        <v>219208</v>
      </c>
      <c r="BW13" s="261">
        <f t="shared" si="31"/>
        <v>0</v>
      </c>
      <c r="BX13" s="261">
        <f t="shared" si="31"/>
        <v>0</v>
      </c>
      <c r="BY13" s="416">
        <f t="shared" si="31"/>
        <v>0</v>
      </c>
      <c r="BZ13" s="417">
        <f t="shared" si="31"/>
        <v>0</v>
      </c>
      <c r="CA13" s="417">
        <f t="shared" si="31"/>
        <v>0</v>
      </c>
      <c r="CB13" s="417">
        <f t="shared" si="31"/>
        <v>0</v>
      </c>
      <c r="CC13" s="417">
        <f t="shared" si="31"/>
        <v>0</v>
      </c>
      <c r="CD13" s="417">
        <f t="shared" si="31"/>
        <v>0</v>
      </c>
      <c r="CE13" s="417">
        <f t="shared" si="31"/>
        <v>0</v>
      </c>
      <c r="CF13" s="417">
        <f t="shared" si="31"/>
        <v>0</v>
      </c>
      <c r="CG13" s="417">
        <f t="shared" si="31"/>
        <v>0</v>
      </c>
      <c r="CH13" s="417">
        <f t="shared" si="8"/>
        <v>0</v>
      </c>
      <c r="CJ13" s="261">
        <v>219208</v>
      </c>
      <c r="CK13" s="261">
        <v>0</v>
      </c>
      <c r="CL13" s="261">
        <v>0</v>
      </c>
      <c r="CM13" s="416">
        <v>0</v>
      </c>
      <c r="CN13" s="417">
        <v>0</v>
      </c>
      <c r="CO13" s="417">
        <v>0</v>
      </c>
      <c r="CP13" s="417">
        <v>0</v>
      </c>
      <c r="CQ13" s="417">
        <v>0</v>
      </c>
      <c r="CR13" s="417">
        <v>0</v>
      </c>
      <c r="CS13" s="417">
        <v>0</v>
      </c>
      <c r="CT13" s="417">
        <v>0</v>
      </c>
      <c r="CU13" s="417">
        <v>0</v>
      </c>
      <c r="CV13" s="417">
        <v>0</v>
      </c>
    </row>
    <row r="14" spans="1:100" ht="15.75">
      <c r="A14" s="447" t="s">
        <v>46</v>
      </c>
      <c r="B14" s="448"/>
      <c r="C14" s="449" t="s">
        <v>47</v>
      </c>
      <c r="D14" s="281">
        <f t="shared" ref="D14:O14" si="32">D6</f>
        <v>304786</v>
      </c>
      <c r="E14" s="37">
        <f t="shared" si="32"/>
        <v>311986</v>
      </c>
      <c r="F14" s="37">
        <f t="shared" si="32"/>
        <v>328231</v>
      </c>
      <c r="G14" s="37">
        <f t="shared" si="32"/>
        <v>317873</v>
      </c>
      <c r="H14" s="37">
        <f t="shared" si="32"/>
        <v>347196</v>
      </c>
      <c r="I14" s="37">
        <f t="shared" si="32"/>
        <v>402253</v>
      </c>
      <c r="J14" s="37">
        <f t="shared" si="32"/>
        <v>454488</v>
      </c>
      <c r="K14" s="37">
        <f t="shared" si="32"/>
        <v>447182</v>
      </c>
      <c r="L14" s="37">
        <f t="shared" si="32"/>
        <v>416931</v>
      </c>
      <c r="M14" s="37">
        <f t="shared" si="32"/>
        <v>304402</v>
      </c>
      <c r="N14" s="37">
        <f t="shared" si="32"/>
        <v>0</v>
      </c>
      <c r="O14" s="37">
        <f t="shared" si="32"/>
        <v>188264</v>
      </c>
      <c r="P14" s="38">
        <f t="shared" si="25"/>
        <v>188264</v>
      </c>
      <c r="Q14" s="39"/>
      <c r="R14" s="40">
        <f t="shared" ref="R14:AC14" si="33">R6</f>
        <v>283359</v>
      </c>
      <c r="S14" s="41">
        <f t="shared" si="33"/>
        <v>342718</v>
      </c>
      <c r="T14" s="41">
        <f t="shared" si="33"/>
        <v>313212</v>
      </c>
      <c r="U14" s="41">
        <f t="shared" si="33"/>
        <v>298093</v>
      </c>
      <c r="V14" s="41">
        <f t="shared" si="33"/>
        <v>206617</v>
      </c>
      <c r="W14" s="41">
        <f t="shared" si="33"/>
        <v>235875</v>
      </c>
      <c r="X14" s="41">
        <f t="shared" si="33"/>
        <v>360135</v>
      </c>
      <c r="Y14" s="41">
        <f t="shared" si="33"/>
        <v>361665</v>
      </c>
      <c r="Z14" s="41">
        <f t="shared" si="33"/>
        <v>353400</v>
      </c>
      <c r="AA14" s="41">
        <f t="shared" si="33"/>
        <v>272097</v>
      </c>
      <c r="AB14" s="41">
        <f t="shared" si="33"/>
        <v>170626</v>
      </c>
      <c r="AC14" s="41">
        <f t="shared" si="33"/>
        <v>197551</v>
      </c>
      <c r="AD14" s="229">
        <f t="shared" si="27"/>
        <v>197551</v>
      </c>
      <c r="AE14" s="42"/>
      <c r="AF14" s="41">
        <f>AF6-AF48</f>
        <v>246973</v>
      </c>
      <c r="AG14" s="41">
        <f t="shared" ref="AG14:AQ14" si="34">AG6-AG48</f>
        <v>281087</v>
      </c>
      <c r="AH14" s="41">
        <f t="shared" si="34"/>
        <v>386469</v>
      </c>
      <c r="AI14" s="41">
        <f t="shared" si="34"/>
        <v>379017</v>
      </c>
      <c r="AJ14" s="41">
        <f t="shared" si="34"/>
        <v>400777</v>
      </c>
      <c r="AK14" s="41">
        <f t="shared" si="34"/>
        <v>465623</v>
      </c>
      <c r="AL14" s="41">
        <f t="shared" si="34"/>
        <v>472149</v>
      </c>
      <c r="AM14" s="41">
        <f t="shared" si="34"/>
        <v>492339</v>
      </c>
      <c r="AN14" s="41">
        <f t="shared" si="34"/>
        <v>450428</v>
      </c>
      <c r="AO14" s="41">
        <f t="shared" si="34"/>
        <v>391441</v>
      </c>
      <c r="AP14" s="41">
        <f t="shared" si="34"/>
        <v>325482</v>
      </c>
      <c r="AQ14" s="41">
        <f t="shared" si="34"/>
        <v>312076</v>
      </c>
      <c r="AR14" s="41">
        <f t="shared" si="3"/>
        <v>312076</v>
      </c>
      <c r="AS14" s="42"/>
      <c r="AT14" s="41">
        <f t="shared" ref="AT14:BB14" si="35">AT6-AT48</f>
        <v>243661</v>
      </c>
      <c r="AU14" s="41">
        <f t="shared" si="35"/>
        <v>233232</v>
      </c>
      <c r="AV14" s="41">
        <f t="shared" si="35"/>
        <v>218299</v>
      </c>
      <c r="AW14" s="41">
        <f t="shared" si="35"/>
        <v>233987</v>
      </c>
      <c r="AX14" s="41">
        <f t="shared" si="35"/>
        <v>261234</v>
      </c>
      <c r="AY14" s="41">
        <f t="shared" si="35"/>
        <v>282486</v>
      </c>
      <c r="AZ14" s="41">
        <f t="shared" si="35"/>
        <v>296055</v>
      </c>
      <c r="BA14" s="41">
        <f t="shared" si="35"/>
        <v>308825</v>
      </c>
      <c r="BB14" s="41">
        <f t="shared" si="35"/>
        <v>308406</v>
      </c>
      <c r="BC14" s="41">
        <f>BB14-BC16+BC59-BC48</f>
        <v>137005.70924434217</v>
      </c>
      <c r="BD14" s="41">
        <f>BC14-BD16+BD59-BD48</f>
        <v>94095.12236286921</v>
      </c>
      <c r="BE14" s="41">
        <f>BD14-BE16+BE59-BE48</f>
        <v>78605.509397775226</v>
      </c>
      <c r="BF14" s="41">
        <f>BE14</f>
        <v>78605.509397775226</v>
      </c>
      <c r="BG14" s="43">
        <f>BG16/AR16</f>
        <v>7.0333736034655189E-2</v>
      </c>
      <c r="BH14" s="41">
        <f t="shared" ref="BH14:BS14" si="36">BH6-BH48</f>
        <v>238108</v>
      </c>
      <c r="BI14" s="41">
        <f t="shared" si="36"/>
        <v>221646</v>
      </c>
      <c r="BJ14" s="41">
        <f t="shared" si="36"/>
        <v>221455</v>
      </c>
      <c r="BK14" s="41">
        <f t="shared" si="36"/>
        <v>227714</v>
      </c>
      <c r="BL14" s="41">
        <f t="shared" si="36"/>
        <v>252043</v>
      </c>
      <c r="BM14" s="41">
        <f t="shared" si="36"/>
        <v>242270</v>
      </c>
      <c r="BN14" s="41">
        <f t="shared" si="36"/>
        <v>242084</v>
      </c>
      <c r="BO14" s="41">
        <f t="shared" si="36"/>
        <v>221874</v>
      </c>
      <c r="BP14" s="41">
        <f t="shared" si="36"/>
        <v>176312</v>
      </c>
      <c r="BQ14" s="41">
        <f t="shared" si="36"/>
        <v>157414</v>
      </c>
      <c r="BR14" s="41">
        <f t="shared" si="36"/>
        <v>215852</v>
      </c>
      <c r="BS14" s="41">
        <f t="shared" si="36"/>
        <v>201165</v>
      </c>
      <c r="BT14" s="41">
        <f t="shared" si="10"/>
        <v>201165</v>
      </c>
      <c r="BU14" s="45"/>
      <c r="BV14" s="41">
        <f t="shared" ref="BV14:CG14" si="37">BV6-BV48</f>
        <v>247713</v>
      </c>
      <c r="BW14" s="41">
        <f t="shared" si="37"/>
        <v>234422.08006563294</v>
      </c>
      <c r="BX14" s="41">
        <f t="shared" si="37"/>
        <v>194348.7132915963</v>
      </c>
      <c r="BY14" s="41">
        <f t="shared" si="37"/>
        <v>223062.99421980139</v>
      </c>
      <c r="BZ14" s="41">
        <f t="shared" si="37"/>
        <v>228884.86858944659</v>
      </c>
      <c r="CA14" s="41">
        <f t="shared" si="37"/>
        <v>240669.78918926936</v>
      </c>
      <c r="CB14" s="41">
        <f t="shared" si="37"/>
        <v>234679.65868928705</v>
      </c>
      <c r="CC14" s="41">
        <f t="shared" si="37"/>
        <v>197008.01236523816</v>
      </c>
      <c r="CD14" s="41">
        <f t="shared" si="37"/>
        <v>148007.96159444697</v>
      </c>
      <c r="CE14" s="41">
        <f t="shared" si="37"/>
        <v>111276.29521213027</v>
      </c>
      <c r="CF14" s="41">
        <f t="shared" si="37"/>
        <v>93072.105643725808</v>
      </c>
      <c r="CG14" s="41">
        <f t="shared" si="37"/>
        <v>116080.10690622788</v>
      </c>
      <c r="CH14" s="41">
        <f t="shared" si="8"/>
        <v>116080.10690622788</v>
      </c>
      <c r="CJ14" s="41">
        <v>247713</v>
      </c>
      <c r="CK14" s="41">
        <v>234422.08006563294</v>
      </c>
      <c r="CL14" s="41">
        <v>194348.7132915963</v>
      </c>
      <c r="CM14" s="41">
        <v>223062.99421980139</v>
      </c>
      <c r="CN14" s="41">
        <v>228884.86858944659</v>
      </c>
      <c r="CO14" s="41">
        <v>240669.78918926936</v>
      </c>
      <c r="CP14" s="41">
        <v>234679.65868928705</v>
      </c>
      <c r="CQ14" s="41">
        <v>197008.01236523816</v>
      </c>
      <c r="CR14" s="41">
        <v>148007.96159444697</v>
      </c>
      <c r="CS14" s="41">
        <v>111276.29521213027</v>
      </c>
      <c r="CT14" s="41">
        <v>93072.105643725808</v>
      </c>
      <c r="CU14" s="41">
        <v>116080.10690622788</v>
      </c>
      <c r="CV14" s="41">
        <v>116080.10690622788</v>
      </c>
    </row>
    <row r="15" spans="1:100">
      <c r="A15" s="46"/>
      <c r="B15" s="47" t="s">
        <v>48</v>
      </c>
      <c r="C15" s="446"/>
      <c r="D15" s="283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284"/>
      <c r="Q15" s="49"/>
      <c r="R15" s="283"/>
      <c r="S15" s="50"/>
      <c r="T15" s="50"/>
      <c r="U15" s="50"/>
      <c r="V15" s="51"/>
      <c r="W15" s="51"/>
      <c r="X15" s="51"/>
      <c r="Y15" s="51"/>
      <c r="Z15" s="51"/>
      <c r="AA15" s="51"/>
      <c r="AB15" s="51"/>
      <c r="AC15" s="50"/>
      <c r="AD15" s="285"/>
      <c r="AE15" s="23"/>
      <c r="AF15" s="286">
        <f t="shared" ref="AF15:AP15" si="38">AF6/AG16</f>
        <v>1.3876680694696506</v>
      </c>
      <c r="AG15" s="286">
        <f t="shared" si="38"/>
        <v>3.8178718896012169</v>
      </c>
      <c r="AH15" s="286">
        <f t="shared" si="38"/>
        <v>4.3249513194118041</v>
      </c>
      <c r="AI15" s="286">
        <f t="shared" si="38"/>
        <v>3.1032881916583426</v>
      </c>
      <c r="AJ15" s="286">
        <f t="shared" si="38"/>
        <v>2.6977450188476038</v>
      </c>
      <c r="AK15" s="286">
        <f t="shared" si="38"/>
        <v>3.0634099805914667</v>
      </c>
      <c r="AL15" s="286">
        <f t="shared" si="38"/>
        <v>1.9763209336006664</v>
      </c>
      <c r="AM15" s="286">
        <f t="shared" si="38"/>
        <v>1.8853931580291039</v>
      </c>
      <c r="AN15" s="286">
        <f t="shared" si="38"/>
        <v>1.7601719421649082</v>
      </c>
      <c r="AO15" s="286">
        <f t="shared" si="38"/>
        <v>3.0429182213930348</v>
      </c>
      <c r="AP15" s="286">
        <f t="shared" si="38"/>
        <v>3.3266762060506951</v>
      </c>
      <c r="AQ15" s="286">
        <f>AQ6/AT16</f>
        <v>2.1015749668165311</v>
      </c>
      <c r="AR15" s="287">
        <f>AQ15</f>
        <v>2.1015749668165311</v>
      </c>
      <c r="AS15" s="23"/>
      <c r="AT15" s="286">
        <f>AT6/AU16</f>
        <v>2.078676878772272</v>
      </c>
      <c r="AU15" s="286">
        <f>AU6/AV16</f>
        <v>2.1017947592948043</v>
      </c>
      <c r="AV15" s="286">
        <f>AV6/AW16</f>
        <v>1.9297580364452378</v>
      </c>
      <c r="AW15" s="286">
        <f>AW6/AX16</f>
        <v>2.4377775525503322</v>
      </c>
      <c r="AX15" s="286">
        <f>AX6/AY16</f>
        <v>2.1450476831468146</v>
      </c>
      <c r="AY15" s="286">
        <f t="shared" ref="AY15:BD15" si="39">AY6/(AZ45+AZ44)</f>
        <v>2.0572684326974824</v>
      </c>
      <c r="AZ15" s="286">
        <f t="shared" si="39"/>
        <v>1.3749564207725904</v>
      </c>
      <c r="BA15" s="286">
        <f t="shared" si="39"/>
        <v>1.7107133445873244</v>
      </c>
      <c r="BB15" s="286">
        <f t="shared" si="39"/>
        <v>1.5052991529201962</v>
      </c>
      <c r="BC15" s="286">
        <f t="shared" si="39"/>
        <v>2.204984888462461</v>
      </c>
      <c r="BD15" s="286">
        <f t="shared" si="39"/>
        <v>4.1558308053625606</v>
      </c>
      <c r="BE15" s="286">
        <f>BE6/BH16</f>
        <v>1.6577023037190759</v>
      </c>
      <c r="BF15" s="52"/>
      <c r="BG15" s="27"/>
      <c r="BH15" s="418">
        <f t="shared" ref="BH15:BN15" si="40">BH6/BI16</f>
        <v>2.0944497544651477</v>
      </c>
      <c r="BI15" s="418">
        <f t="shared" si="40"/>
        <v>1.7607980924679776</v>
      </c>
      <c r="BJ15" s="418">
        <f t="shared" si="40"/>
        <v>1.9768264308549444</v>
      </c>
      <c r="BK15" s="418">
        <f t="shared" si="40"/>
        <v>2.3096926132416842</v>
      </c>
      <c r="BL15" s="418">
        <f t="shared" si="40"/>
        <v>2.3022524219030873</v>
      </c>
      <c r="BM15" s="418">
        <f t="shared" si="40"/>
        <v>1.710321617787782</v>
      </c>
      <c r="BN15" s="418">
        <f t="shared" si="40"/>
        <v>1.8673644886033884</v>
      </c>
      <c r="BO15" s="419"/>
      <c r="BP15" s="419"/>
      <c r="BQ15" s="419"/>
      <c r="BR15" s="419"/>
      <c r="BS15" s="419"/>
      <c r="BT15" s="419"/>
      <c r="BU15" s="54"/>
      <c r="BV15" s="286">
        <v>0</v>
      </c>
      <c r="BW15" s="286">
        <v>0</v>
      </c>
      <c r="BX15" s="286">
        <v>0</v>
      </c>
      <c r="BY15" s="418">
        <v>0</v>
      </c>
      <c r="BZ15" s="418">
        <v>0</v>
      </c>
      <c r="CA15" s="418">
        <v>0</v>
      </c>
      <c r="CB15" s="418">
        <v>0</v>
      </c>
      <c r="CC15" s="418">
        <v>0</v>
      </c>
      <c r="CD15" s="418">
        <v>0</v>
      </c>
      <c r="CE15" s="418">
        <v>0</v>
      </c>
      <c r="CF15" s="418">
        <v>0</v>
      </c>
      <c r="CG15" s="419"/>
      <c r="CH15" s="419"/>
      <c r="CJ15" s="286">
        <v>0</v>
      </c>
      <c r="CK15" s="286">
        <v>0</v>
      </c>
      <c r="CL15" s="286">
        <v>0</v>
      </c>
      <c r="CM15" s="418">
        <v>0</v>
      </c>
      <c r="CN15" s="418">
        <v>0</v>
      </c>
      <c r="CO15" s="418">
        <v>0</v>
      </c>
      <c r="CP15" s="418">
        <v>0</v>
      </c>
      <c r="CQ15" s="418">
        <v>0</v>
      </c>
      <c r="CR15" s="418">
        <v>0</v>
      </c>
      <c r="CS15" s="418">
        <v>0</v>
      </c>
      <c r="CT15" s="418">
        <v>0</v>
      </c>
      <c r="CU15" s="419"/>
      <c r="CV15" s="419"/>
    </row>
    <row r="16" spans="1:100" ht="15.75">
      <c r="A16" s="55">
        <v>6</v>
      </c>
      <c r="B16" s="56" t="s">
        <v>49</v>
      </c>
      <c r="C16" s="280"/>
      <c r="D16" s="288">
        <f t="shared" ref="D16:P16" si="41">SUM(D20:D42)</f>
        <v>82250</v>
      </c>
      <c r="E16" s="57">
        <f t="shared" si="41"/>
        <v>117000</v>
      </c>
      <c r="F16" s="57">
        <f t="shared" si="41"/>
        <v>121750</v>
      </c>
      <c r="G16" s="57">
        <f t="shared" si="41"/>
        <v>150000</v>
      </c>
      <c r="H16" s="57">
        <f t="shared" si="41"/>
        <v>99500</v>
      </c>
      <c r="I16" s="57">
        <f t="shared" si="41"/>
        <v>102000</v>
      </c>
      <c r="J16" s="57">
        <f t="shared" si="41"/>
        <v>177632</v>
      </c>
      <c r="K16" s="57">
        <f t="shared" si="41"/>
        <v>178158</v>
      </c>
      <c r="L16" s="57">
        <f t="shared" si="41"/>
        <v>199211</v>
      </c>
      <c r="M16" s="57">
        <f t="shared" si="41"/>
        <v>229474</v>
      </c>
      <c r="N16" s="57">
        <f t="shared" si="41"/>
        <v>122368</v>
      </c>
      <c r="O16" s="57">
        <f t="shared" si="41"/>
        <v>38421</v>
      </c>
      <c r="P16" s="289">
        <f t="shared" si="41"/>
        <v>1617764</v>
      </c>
      <c r="Q16" s="39"/>
      <c r="R16" s="288">
        <f t="shared" ref="R16:AC16" si="42">R20+R43</f>
        <v>136177.33998294926</v>
      </c>
      <c r="S16" s="58">
        <f t="shared" si="42"/>
        <v>143840.32639116928</v>
      </c>
      <c r="T16" s="58">
        <f t="shared" si="42"/>
        <v>142553.77192982455</v>
      </c>
      <c r="U16" s="58">
        <f t="shared" si="42"/>
        <v>19814.899999999998</v>
      </c>
      <c r="V16" s="58">
        <f t="shared" si="42"/>
        <v>52085</v>
      </c>
      <c r="W16" s="290">
        <f t="shared" si="42"/>
        <v>70169.381950239796</v>
      </c>
      <c r="X16" s="290">
        <f t="shared" si="42"/>
        <v>144463.33333333299</v>
      </c>
      <c r="Y16" s="290">
        <f t="shared" si="42"/>
        <v>226547.08333333331</v>
      </c>
      <c r="Z16" s="290">
        <f t="shared" si="42"/>
        <v>273187.5</v>
      </c>
      <c r="AA16" s="290">
        <f t="shared" si="42"/>
        <v>172100</v>
      </c>
      <c r="AB16" s="290">
        <f t="shared" si="42"/>
        <v>37500</v>
      </c>
      <c r="AC16" s="290">
        <f t="shared" si="42"/>
        <v>0</v>
      </c>
      <c r="AD16" s="291">
        <f>SUM(R16:AC16)</f>
        <v>1418438.6369208493</v>
      </c>
      <c r="AE16" s="59"/>
      <c r="AF16" s="292">
        <f>AF20+AF43</f>
        <v>128646</v>
      </c>
      <c r="AG16" s="58">
        <f t="shared" ref="AG16:AQ16" si="43">AG20+AG43</f>
        <v>177977</v>
      </c>
      <c r="AH16" s="58">
        <f t="shared" si="43"/>
        <v>73624</v>
      </c>
      <c r="AI16" s="58">
        <f t="shared" si="43"/>
        <v>89358</v>
      </c>
      <c r="AJ16" s="58">
        <f t="shared" si="43"/>
        <v>122134</v>
      </c>
      <c r="AK16" s="58">
        <f t="shared" si="43"/>
        <v>148560</v>
      </c>
      <c r="AL16" s="58">
        <f t="shared" si="43"/>
        <v>151995</v>
      </c>
      <c r="AM16" s="58">
        <f t="shared" si="43"/>
        <v>238903</v>
      </c>
      <c r="AN16" s="58">
        <f t="shared" si="43"/>
        <v>261133.33333333334</v>
      </c>
      <c r="AO16" s="58">
        <f t="shared" si="43"/>
        <v>255900</v>
      </c>
      <c r="AP16" s="58">
        <f t="shared" si="43"/>
        <v>128640</v>
      </c>
      <c r="AQ16" s="58">
        <f t="shared" si="43"/>
        <v>97840</v>
      </c>
      <c r="AR16" s="58">
        <f>SUM(AF16:AQ16)</f>
        <v>1874710.3333333333</v>
      </c>
      <c r="AS16" s="59"/>
      <c r="AT16" s="58">
        <f t="shared" ref="AT16:BD16" si="44">AT20+AT43</f>
        <v>152749.25</v>
      </c>
      <c r="AU16" s="58">
        <f t="shared" si="44"/>
        <v>168522.10344827586</v>
      </c>
      <c r="AV16" s="58">
        <f t="shared" si="44"/>
        <v>154121.13793103449</v>
      </c>
      <c r="AW16" s="58">
        <f t="shared" si="44"/>
        <v>159595.13793103449</v>
      </c>
      <c r="AX16" s="58">
        <f t="shared" si="44"/>
        <v>120099.96551724138</v>
      </c>
      <c r="AY16" s="58">
        <f t="shared" si="44"/>
        <v>138343.77777777778</v>
      </c>
      <c r="AZ16" s="58">
        <f t="shared" si="44"/>
        <v>166673.77777777778</v>
      </c>
      <c r="BA16" s="58">
        <f t="shared" si="44"/>
        <v>242442.29629629629</v>
      </c>
      <c r="BB16" s="58">
        <f t="shared" si="44"/>
        <v>243407.77777777778</v>
      </c>
      <c r="BC16" s="58">
        <f t="shared" si="44"/>
        <v>253368.29075565783</v>
      </c>
      <c r="BD16" s="58">
        <f t="shared" si="44"/>
        <v>134555.58688147296</v>
      </c>
      <c r="BE16" s="58">
        <f>BE20+BE44</f>
        <v>72686.612965093984</v>
      </c>
      <c r="BF16" s="58">
        <f t="shared" ref="BF16:BF18" si="45">SUM(AT16:BE16)</f>
        <v>2006565.7150594404</v>
      </c>
      <c r="BG16" s="59">
        <f>BF16-AR16</f>
        <v>131855.38172610709</v>
      </c>
      <c r="BH16" s="58">
        <f>BH17+BH43</f>
        <v>152753</v>
      </c>
      <c r="BI16" s="58">
        <f t="shared" ref="BI16:BN16" si="46">BI17+BI43</f>
        <v>146822.33333333331</v>
      </c>
      <c r="BJ16" s="58">
        <f t="shared" si="46"/>
        <v>171546.07407407407</v>
      </c>
      <c r="BK16" s="58">
        <f t="shared" si="46"/>
        <v>159771.74074074073</v>
      </c>
      <c r="BL16" s="58">
        <f t="shared" si="46"/>
        <v>132496.85185185185</v>
      </c>
      <c r="BM16" s="58">
        <f t="shared" si="46"/>
        <v>129906.25925925926</v>
      </c>
      <c r="BN16" s="58">
        <f t="shared" si="46"/>
        <v>171383.55555555556</v>
      </c>
      <c r="BO16" s="58">
        <f>BO17+BO44</f>
        <v>179550.37811111109</v>
      </c>
      <c r="BP16" s="58">
        <f>BP17+BP44</f>
        <v>202053.74953703705</v>
      </c>
      <c r="BQ16" s="58">
        <f>BQ17+BQ44</f>
        <v>163865</v>
      </c>
      <c r="BR16" s="58">
        <f>BR17+BR44</f>
        <v>175620.6</v>
      </c>
      <c r="BS16" s="58">
        <v>92285.6</v>
      </c>
      <c r="BT16" s="58">
        <f t="shared" ref="BT16:BT18" si="47">SUM(BH16:BS16)</f>
        <v>1878055.142462963</v>
      </c>
      <c r="BU16" s="60"/>
      <c r="BV16" s="58">
        <f>BV20+(BV44)*$CI$16</f>
        <v>157964.2809653038</v>
      </c>
      <c r="BW16" s="58">
        <f t="shared" ref="BW16:CG16" si="48">BW20+(BW44)*$CI$16</f>
        <v>146290.91993436706</v>
      </c>
      <c r="BX16" s="58">
        <f t="shared" si="48"/>
        <v>187073.36677403664</v>
      </c>
      <c r="BY16" s="58">
        <f t="shared" si="48"/>
        <v>151285.71907179488</v>
      </c>
      <c r="BZ16" s="58">
        <f t="shared" si="48"/>
        <v>144178.1256303548</v>
      </c>
      <c r="CA16" s="58">
        <f t="shared" si="48"/>
        <v>138215.07940017723</v>
      </c>
      <c r="CB16" s="58">
        <f t="shared" si="48"/>
        <v>178490.1304999823</v>
      </c>
      <c r="CC16" s="58">
        <f t="shared" si="48"/>
        <v>195171.64632404887</v>
      </c>
      <c r="CD16" s="58">
        <f t="shared" si="48"/>
        <v>206500.05077079119</v>
      </c>
      <c r="CE16" s="58">
        <f t="shared" si="48"/>
        <v>209231.6663823167</v>
      </c>
      <c r="CF16" s="58">
        <f t="shared" si="48"/>
        <v>168204.18956840446</v>
      </c>
      <c r="CG16" s="58">
        <f t="shared" si="48"/>
        <v>74491.998737497925</v>
      </c>
      <c r="CH16" s="58">
        <f t="shared" ref="CH16:CH17" si="49">SUM(BV16:CG16)</f>
        <v>1957097.174059076</v>
      </c>
      <c r="CI16">
        <v>0.95</v>
      </c>
      <c r="CJ16" s="58">
        <f>BV16*1.1</f>
        <v>173760.7090618342</v>
      </c>
      <c r="CK16" s="58">
        <f t="shared" ref="CK16:CU16" si="50">BW16*1.1</f>
        <v>160920.01192780377</v>
      </c>
      <c r="CL16" s="58">
        <f t="shared" si="50"/>
        <v>205780.70345144032</v>
      </c>
      <c r="CM16" s="58">
        <f t="shared" si="50"/>
        <v>166414.29097897437</v>
      </c>
      <c r="CN16" s="58">
        <f t="shared" si="50"/>
        <v>158595.93819339029</v>
      </c>
      <c r="CO16" s="58">
        <f t="shared" si="50"/>
        <v>152036.58734019496</v>
      </c>
      <c r="CP16" s="58">
        <f t="shared" si="50"/>
        <v>196339.14354998054</v>
      </c>
      <c r="CQ16" s="58">
        <f t="shared" si="50"/>
        <v>214688.81095645376</v>
      </c>
      <c r="CR16" s="58">
        <f t="shared" si="50"/>
        <v>227150.05584787033</v>
      </c>
      <c r="CS16" s="58">
        <f t="shared" si="50"/>
        <v>230154.83302054839</v>
      </c>
      <c r="CT16" s="58">
        <f t="shared" si="50"/>
        <v>185024.60852524493</v>
      </c>
      <c r="CU16" s="58">
        <f t="shared" si="50"/>
        <v>81941.198611247717</v>
      </c>
      <c r="CV16" s="58">
        <v>1957097.174059076</v>
      </c>
    </row>
    <row r="17" spans="1:100">
      <c r="A17" s="61"/>
      <c r="B17" s="62" t="s">
        <v>51</v>
      </c>
      <c r="C17" s="293"/>
      <c r="D17" s="294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295"/>
      <c r="Q17" s="64"/>
      <c r="R17" s="294"/>
      <c r="S17" s="65"/>
      <c r="T17" s="65"/>
      <c r="U17" s="65"/>
      <c r="V17" s="296"/>
      <c r="W17" s="297"/>
      <c r="X17" s="297"/>
      <c r="Y17" s="297"/>
      <c r="Z17" s="297"/>
      <c r="AA17" s="297"/>
      <c r="AB17" s="297"/>
      <c r="AC17" s="66"/>
      <c r="AD17" s="67"/>
      <c r="AE17" s="68"/>
      <c r="AF17" s="298"/>
      <c r="AG17" s="65"/>
      <c r="AH17" s="65"/>
      <c r="AI17" s="65"/>
      <c r="AJ17" s="296"/>
      <c r="AK17" s="296"/>
      <c r="AL17" s="296"/>
      <c r="AM17" s="296"/>
      <c r="AN17" s="65"/>
      <c r="AO17" s="65"/>
      <c r="AP17" s="65"/>
      <c r="AQ17" s="65"/>
      <c r="AR17" s="299"/>
      <c r="AS17" s="68"/>
      <c r="AT17" s="65"/>
      <c r="AU17" s="65"/>
      <c r="AV17" s="65"/>
      <c r="AW17" s="65"/>
      <c r="AX17" s="65"/>
      <c r="AY17" s="69">
        <f t="shared" ref="AY17:BA17" si="51">AY20+AY44</f>
        <v>119777.77777777778</v>
      </c>
      <c r="AZ17" s="69">
        <f t="shared" si="51"/>
        <v>150777.77777777778</v>
      </c>
      <c r="BA17" s="69">
        <f t="shared" si="51"/>
        <v>233098.4962962963</v>
      </c>
      <c r="BB17" s="69">
        <f>BB18/BB19</f>
        <v>210777.77777777778</v>
      </c>
      <c r="BC17" s="69">
        <f>BC20+BC44</f>
        <v>249806.29075565783</v>
      </c>
      <c r="BD17" s="69">
        <f t="shared" ref="BD17:BE17" si="52">BD20+BD44*0.85</f>
        <v>122960.58688147296</v>
      </c>
      <c r="BE17" s="69">
        <f t="shared" si="52"/>
        <v>66386.612965093984</v>
      </c>
      <c r="BF17" s="69">
        <f t="shared" si="45"/>
        <v>1153585.3202318544</v>
      </c>
      <c r="BG17" s="68"/>
      <c r="BH17" s="69">
        <f>BH18/BH19-0.1*BH18/BH19</f>
        <v>116600</v>
      </c>
      <c r="BI17" s="69">
        <f t="shared" ref="BI17" si="53">BI18/BI19-0.1*BI18/BI19</f>
        <v>111533.33333333333</v>
      </c>
      <c r="BJ17" s="69">
        <f t="shared" ref="BJ17:BP17" si="54">BJ18/BJ19-0.05*BJ18/BJ19</f>
        <v>135674.07407407407</v>
      </c>
      <c r="BK17" s="69">
        <f t="shared" si="54"/>
        <v>121740.74074074074</v>
      </c>
      <c r="BL17" s="69">
        <f t="shared" si="54"/>
        <v>93926.851851851854</v>
      </c>
      <c r="BM17" s="69">
        <f t="shared" si="54"/>
        <v>90679.259259259255</v>
      </c>
      <c r="BN17" s="69">
        <f t="shared" si="54"/>
        <v>130255.55555555556</v>
      </c>
      <c r="BO17" s="69">
        <f t="shared" si="54"/>
        <v>150550.37811111109</v>
      </c>
      <c r="BP17" s="69">
        <f t="shared" si="54"/>
        <v>161830.74953703705</v>
      </c>
      <c r="BQ17" s="69">
        <v>127130</v>
      </c>
      <c r="BR17" s="69">
        <v>138687.6</v>
      </c>
      <c r="BS17" s="69">
        <v>43639.199999999997</v>
      </c>
      <c r="BT17" s="69">
        <f t="shared" si="47"/>
        <v>1422247.7424629631</v>
      </c>
      <c r="BU17" s="54"/>
      <c r="BV17" s="69">
        <f>BV20+BV43</f>
        <v>166555.77995873816</v>
      </c>
      <c r="BW17" s="69">
        <f>BW20+BW43</f>
        <v>152835.36924465047</v>
      </c>
      <c r="BX17" s="69">
        <f t="shared" ref="BX17:CG17" si="55">BX20+BX43</f>
        <v>195319.2072937729</v>
      </c>
      <c r="BY17" s="69">
        <f t="shared" si="55"/>
        <v>158396.18906207831</v>
      </c>
      <c r="BZ17" s="69">
        <f t="shared" si="55"/>
        <v>152371.51475009107</v>
      </c>
      <c r="CA17" s="69">
        <f t="shared" si="55"/>
        <v>147696.01107361159</v>
      </c>
      <c r="CB17" s="69">
        <f t="shared" si="55"/>
        <v>189465.0513586243</v>
      </c>
      <c r="CC17" s="69">
        <f t="shared" si="55"/>
        <v>202914.10079748323</v>
      </c>
      <c r="CD17" s="69">
        <f t="shared" si="55"/>
        <v>214499.61628422557</v>
      </c>
      <c r="CE17" s="69">
        <f t="shared" si="55"/>
        <v>217682.99793575107</v>
      </c>
      <c r="CF17" s="69">
        <f t="shared" si="55"/>
        <v>179284.72030485788</v>
      </c>
      <c r="CG17" s="69">
        <f t="shared" si="55"/>
        <v>88389.319383536102</v>
      </c>
      <c r="CH17" s="69">
        <f t="shared" si="49"/>
        <v>2065409.8774474205</v>
      </c>
      <c r="CI17" s="395">
        <f>(CH17-BT50)/BT50</f>
        <v>0.48621753003500767</v>
      </c>
      <c r="CJ17" s="69">
        <v>166555.77995873816</v>
      </c>
      <c r="CK17" s="69">
        <v>152835.36924465047</v>
      </c>
      <c r="CL17" s="69">
        <v>195319.2072937729</v>
      </c>
      <c r="CM17" s="69">
        <v>158396.18906207831</v>
      </c>
      <c r="CN17" s="69">
        <v>152371.51475009107</v>
      </c>
      <c r="CO17" s="69">
        <v>147696.01107361159</v>
      </c>
      <c r="CP17" s="69">
        <v>189465.0513586243</v>
      </c>
      <c r="CQ17" s="69">
        <v>202914.10079748323</v>
      </c>
      <c r="CR17" s="69">
        <v>214499.61628422557</v>
      </c>
      <c r="CS17" s="69">
        <v>217682.99793575107</v>
      </c>
      <c r="CT17" s="69">
        <v>179284.72030485788</v>
      </c>
      <c r="CU17" s="69">
        <v>88389.319383536102</v>
      </c>
      <c r="CV17" s="69">
        <v>2065409.8774474205</v>
      </c>
    </row>
    <row r="18" spans="1:100">
      <c r="A18" s="61"/>
      <c r="B18" s="62" t="s">
        <v>52</v>
      </c>
      <c r="C18" s="293"/>
      <c r="D18" s="294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295"/>
      <c r="Q18" s="64"/>
      <c r="R18" s="294"/>
      <c r="S18" s="65"/>
      <c r="T18" s="65"/>
      <c r="U18" s="65"/>
      <c r="V18" s="296"/>
      <c r="W18" s="297"/>
      <c r="X18" s="297"/>
      <c r="Y18" s="297"/>
      <c r="Z18" s="297"/>
      <c r="AA18" s="297"/>
      <c r="AB18" s="297"/>
      <c r="AC18" s="66"/>
      <c r="AD18" s="67"/>
      <c r="AE18" s="68"/>
      <c r="AF18" s="298"/>
      <c r="AG18" s="65"/>
      <c r="AH18" s="65" t="s">
        <v>53</v>
      </c>
      <c r="AI18" s="65"/>
      <c r="AJ18" s="296"/>
      <c r="AK18" s="296"/>
      <c r="AL18" s="296"/>
      <c r="AM18" s="296"/>
      <c r="AN18" s="65">
        <v>6715000</v>
      </c>
      <c r="AO18" s="65">
        <v>6555000</v>
      </c>
      <c r="AP18" s="65">
        <v>2640000</v>
      </c>
      <c r="AQ18" s="65">
        <v>1302000</v>
      </c>
      <c r="AR18" s="299"/>
      <c r="AS18" s="68"/>
      <c r="AT18" s="65">
        <v>3264695</v>
      </c>
      <c r="AU18" s="65">
        <v>3863760</v>
      </c>
      <c r="AV18" s="65">
        <v>3429225</v>
      </c>
      <c r="AW18" s="65">
        <v>3525360</v>
      </c>
      <c r="AX18" s="65">
        <v>2509485</v>
      </c>
      <c r="AY18" s="65">
        <v>2829000</v>
      </c>
      <c r="AZ18" s="65">
        <v>3666000</v>
      </c>
      <c r="BA18" s="65">
        <v>5705000</v>
      </c>
      <c r="BB18" s="65">
        <v>5691000</v>
      </c>
      <c r="BC18" s="65">
        <v>5600000</v>
      </c>
      <c r="BD18" s="65">
        <v>2430000</v>
      </c>
      <c r="BE18" s="65">
        <v>800000</v>
      </c>
      <c r="BF18" s="69">
        <f t="shared" si="45"/>
        <v>43313525</v>
      </c>
      <c r="BG18" s="68"/>
      <c r="BH18" s="70">
        <v>3498000</v>
      </c>
      <c r="BI18" s="70">
        <v>3346000</v>
      </c>
      <c r="BJ18" s="70">
        <v>3856000</v>
      </c>
      <c r="BK18" s="70">
        <v>3460000</v>
      </c>
      <c r="BL18" s="70">
        <v>2669500</v>
      </c>
      <c r="BM18" s="70">
        <v>2577200</v>
      </c>
      <c r="BN18" s="70">
        <v>3702000</v>
      </c>
      <c r="BO18" s="70">
        <v>4278800.22</v>
      </c>
      <c r="BP18" s="70">
        <v>4599400.25</v>
      </c>
      <c r="BQ18" s="70">
        <f>BQ17*BQ19</f>
        <v>3432510</v>
      </c>
      <c r="BR18" s="70">
        <v>2954493.21</v>
      </c>
      <c r="BS18" s="70">
        <v>984831.07</v>
      </c>
      <c r="BT18" s="65">
        <f t="shared" si="47"/>
        <v>39358734.75</v>
      </c>
      <c r="BU18" s="54"/>
      <c r="BV18" s="70">
        <f>BV19*BV20</f>
        <v>3399704.5546384701</v>
      </c>
      <c r="BW18" s="70">
        <f t="shared" ref="BW18:CG18" si="56">BW19*BW20</f>
        <v>3264737.5917468769</v>
      </c>
      <c r="BX18" s="70">
        <f t="shared" si="56"/>
        <v>4184999.9999999995</v>
      </c>
      <c r="BY18" s="70">
        <f t="shared" si="56"/>
        <v>3348000.0000000005</v>
      </c>
      <c r="BZ18" s="70">
        <f t="shared" si="56"/>
        <v>3074042.2288642721</v>
      </c>
      <c r="CA18" s="70">
        <f t="shared" si="56"/>
        <v>2812995.3566251793</v>
      </c>
      <c r="CB18" s="70">
        <f t="shared" si="56"/>
        <v>3737141.5756380158</v>
      </c>
      <c r="CC18" s="70">
        <f t="shared" si="56"/>
        <v>4437000.7194458414</v>
      </c>
      <c r="CD18" s="70">
        <f t="shared" si="56"/>
        <v>4710370.4261011425</v>
      </c>
      <c r="CE18" s="70">
        <f t="shared" si="56"/>
        <v>4744197.0280408058</v>
      </c>
      <c r="CF18" s="70">
        <f t="shared" si="56"/>
        <v>3461011.8981438484</v>
      </c>
      <c r="CG18" s="70">
        <f t="shared" si="56"/>
        <v>792579.23398446955</v>
      </c>
      <c r="CH18" s="65">
        <f>SUM(BV18:CG18)</f>
        <v>41966780.613228925</v>
      </c>
      <c r="CJ18" s="70">
        <v>3399704.5546384701</v>
      </c>
      <c r="CK18" s="70">
        <v>3264737.5917468769</v>
      </c>
      <c r="CL18" s="70">
        <v>4184999.9999999995</v>
      </c>
      <c r="CM18" s="70">
        <v>3348000.0000000005</v>
      </c>
      <c r="CN18" s="70">
        <v>3074042.2288642721</v>
      </c>
      <c r="CO18" s="70">
        <v>2812995.3566251793</v>
      </c>
      <c r="CP18" s="70">
        <v>3737141.5756380158</v>
      </c>
      <c r="CQ18" s="70">
        <v>4437000.7194458414</v>
      </c>
      <c r="CR18" s="70">
        <v>4710370.4261011425</v>
      </c>
      <c r="CS18" s="70">
        <v>4744197.0280408058</v>
      </c>
      <c r="CT18" s="70">
        <v>3461011.8981438484</v>
      </c>
      <c r="CU18" s="70">
        <v>792579.23398446955</v>
      </c>
      <c r="CV18" s="65">
        <v>41966780.613228925</v>
      </c>
    </row>
    <row r="19" spans="1:100">
      <c r="A19" s="71"/>
      <c r="B19" s="72" t="s">
        <v>54</v>
      </c>
      <c r="C19" s="300"/>
      <c r="D19" s="30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302"/>
      <c r="Q19" s="74"/>
      <c r="R19" s="301"/>
      <c r="S19" s="69"/>
      <c r="T19" s="69"/>
      <c r="U19" s="69"/>
      <c r="V19" s="303"/>
      <c r="W19" s="304"/>
      <c r="X19" s="304"/>
      <c r="Y19" s="304"/>
      <c r="Z19" s="304"/>
      <c r="AA19" s="304"/>
      <c r="AB19" s="304"/>
      <c r="AC19" s="75"/>
      <c r="AD19" s="76"/>
      <c r="AE19" s="77"/>
      <c r="AF19" s="305"/>
      <c r="AG19" s="69"/>
      <c r="AH19" s="69"/>
      <c r="AI19" s="69"/>
      <c r="AJ19" s="303"/>
      <c r="AK19" s="303"/>
      <c r="AL19" s="303"/>
      <c r="AM19" s="303"/>
      <c r="AN19" s="69">
        <f t="shared" ref="AN19:AQ19" si="57">30</f>
        <v>30</v>
      </c>
      <c r="AO19" s="69">
        <f t="shared" si="57"/>
        <v>30</v>
      </c>
      <c r="AP19" s="69">
        <f t="shared" si="57"/>
        <v>30</v>
      </c>
      <c r="AQ19" s="69">
        <f t="shared" si="57"/>
        <v>30</v>
      </c>
      <c r="AR19" s="306"/>
      <c r="AS19" s="77"/>
      <c r="AT19" s="69">
        <v>28</v>
      </c>
      <c r="AU19" s="69">
        <v>29</v>
      </c>
      <c r="AV19" s="69">
        <v>29</v>
      </c>
      <c r="AW19" s="69">
        <v>29</v>
      </c>
      <c r="AX19" s="69">
        <v>29</v>
      </c>
      <c r="AY19" s="69">
        <v>27</v>
      </c>
      <c r="AZ19" s="69">
        <v>27</v>
      </c>
      <c r="BA19" s="69">
        <v>27</v>
      </c>
      <c r="BB19" s="69">
        <v>27</v>
      </c>
      <c r="BC19" s="69">
        <v>26.07</v>
      </c>
      <c r="BD19" s="69">
        <v>26.07</v>
      </c>
      <c r="BE19" s="69">
        <v>26.07</v>
      </c>
      <c r="BF19" s="305"/>
      <c r="BG19" s="78"/>
      <c r="BH19" s="69">
        <v>27</v>
      </c>
      <c r="BI19" s="69">
        <v>27</v>
      </c>
      <c r="BJ19" s="69">
        <v>27</v>
      </c>
      <c r="BK19" s="69">
        <v>27</v>
      </c>
      <c r="BL19" s="69">
        <v>27</v>
      </c>
      <c r="BM19" s="69">
        <v>27</v>
      </c>
      <c r="BN19" s="69">
        <v>27</v>
      </c>
      <c r="BO19" s="69">
        <v>27</v>
      </c>
      <c r="BP19" s="69">
        <v>27</v>
      </c>
      <c r="BQ19" s="69">
        <v>27</v>
      </c>
      <c r="BR19" s="69">
        <v>27</v>
      </c>
      <c r="BS19" s="69">
        <v>27</v>
      </c>
      <c r="BT19" s="69"/>
      <c r="BU19" s="54"/>
      <c r="BV19" s="69">
        <v>26</v>
      </c>
      <c r="BW19" s="69">
        <v>26</v>
      </c>
      <c r="BX19" s="69">
        <v>26</v>
      </c>
      <c r="BY19" s="69">
        <v>26</v>
      </c>
      <c r="BZ19" s="69">
        <v>26</v>
      </c>
      <c r="CA19" s="69">
        <v>26</v>
      </c>
      <c r="CB19" s="69">
        <v>26</v>
      </c>
      <c r="CC19" s="69">
        <v>26</v>
      </c>
      <c r="CD19" s="69">
        <v>26</v>
      </c>
      <c r="CE19" s="69">
        <v>26</v>
      </c>
      <c r="CF19" s="69">
        <v>26</v>
      </c>
      <c r="CG19" s="69">
        <v>26</v>
      </c>
      <c r="CH19" s="69"/>
      <c r="CJ19" s="69">
        <v>26</v>
      </c>
      <c r="CK19" s="69">
        <v>26</v>
      </c>
      <c r="CL19" s="69">
        <v>26</v>
      </c>
      <c r="CM19" s="69">
        <v>26</v>
      </c>
      <c r="CN19" s="69">
        <v>26</v>
      </c>
      <c r="CO19" s="69">
        <v>26</v>
      </c>
      <c r="CP19" s="69">
        <v>26</v>
      </c>
      <c r="CQ19" s="69">
        <v>26</v>
      </c>
      <c r="CR19" s="69">
        <v>26</v>
      </c>
      <c r="CS19" s="69">
        <v>26</v>
      </c>
      <c r="CT19" s="69">
        <v>26</v>
      </c>
      <c r="CU19" s="69">
        <v>26</v>
      </c>
      <c r="CV19" s="69"/>
    </row>
    <row r="20" spans="1:100" ht="15.75">
      <c r="A20" s="79"/>
      <c r="B20" s="80" t="s">
        <v>55</v>
      </c>
      <c r="C20" s="81"/>
      <c r="D20" s="288">
        <v>82250</v>
      </c>
      <c r="E20" s="57">
        <v>117000</v>
      </c>
      <c r="F20" s="57">
        <v>121750</v>
      </c>
      <c r="G20" s="57">
        <v>150000</v>
      </c>
      <c r="H20" s="57">
        <v>99500</v>
      </c>
      <c r="I20" s="57">
        <v>102000</v>
      </c>
      <c r="J20" s="57">
        <v>177632</v>
      </c>
      <c r="K20" s="57">
        <v>178158</v>
      </c>
      <c r="L20" s="57">
        <v>199211</v>
      </c>
      <c r="M20" s="57">
        <v>229474</v>
      </c>
      <c r="N20" s="57">
        <v>122368</v>
      </c>
      <c r="O20" s="57">
        <v>38421</v>
      </c>
      <c r="P20" s="289">
        <f>SUM(D20:O20)</f>
        <v>1617764</v>
      </c>
      <c r="Q20" s="39"/>
      <c r="R20" s="288">
        <v>115619.79612330014</v>
      </c>
      <c r="S20" s="58">
        <v>123327.78253152016</v>
      </c>
      <c r="T20" s="58">
        <v>128854</v>
      </c>
      <c r="U20" s="58">
        <f>126016*0.15</f>
        <v>18902.399999999998</v>
      </c>
      <c r="V20" s="58">
        <v>35234</v>
      </c>
      <c r="W20" s="290">
        <v>56469.381950239796</v>
      </c>
      <c r="X20" s="290">
        <v>118413.33333333299</v>
      </c>
      <c r="Y20" s="290">
        <v>198797.08333333331</v>
      </c>
      <c r="Z20" s="290">
        <v>242087.5</v>
      </c>
      <c r="AA20" s="290">
        <v>140000</v>
      </c>
      <c r="AB20" s="290">
        <v>0</v>
      </c>
      <c r="AC20" s="290">
        <v>-45300</v>
      </c>
      <c r="AD20" s="291">
        <f>SUM(R20:AC20)</f>
        <v>1132405.2772717264</v>
      </c>
      <c r="AE20" s="59"/>
      <c r="AF20" s="292">
        <v>90146</v>
      </c>
      <c r="AG20" s="58">
        <v>155577</v>
      </c>
      <c r="AH20" s="58">
        <v>62953</v>
      </c>
      <c r="AI20" s="58">
        <v>73261</v>
      </c>
      <c r="AJ20" s="58">
        <v>91856</v>
      </c>
      <c r="AK20" s="58">
        <v>120000</v>
      </c>
      <c r="AL20" s="58">
        <v>110295</v>
      </c>
      <c r="AM20" s="58">
        <v>200203</v>
      </c>
      <c r="AN20" s="58">
        <f t="shared" ref="AN20:AQ20" si="58">AN18/AN19</f>
        <v>223833.33333333334</v>
      </c>
      <c r="AO20" s="58">
        <f t="shared" si="58"/>
        <v>218500</v>
      </c>
      <c r="AP20" s="58">
        <f t="shared" si="58"/>
        <v>88000</v>
      </c>
      <c r="AQ20" s="58">
        <f t="shared" si="58"/>
        <v>43400</v>
      </c>
      <c r="AR20" s="58">
        <f>SUM(AF20:AQ20)</f>
        <v>1478024.3333333333</v>
      </c>
      <c r="AS20" s="59"/>
      <c r="AT20" s="58">
        <f t="shared" ref="AT20:BE20" si="59">AT18/AT19</f>
        <v>116596.25</v>
      </c>
      <c r="AU20" s="58">
        <f t="shared" si="59"/>
        <v>133233.10344827586</v>
      </c>
      <c r="AV20" s="58">
        <f t="shared" si="59"/>
        <v>118249.13793103448</v>
      </c>
      <c r="AW20" s="58">
        <f t="shared" si="59"/>
        <v>121564.13793103448</v>
      </c>
      <c r="AX20" s="58">
        <f t="shared" si="59"/>
        <v>86533.965517241377</v>
      </c>
      <c r="AY20" s="58">
        <f t="shared" si="59"/>
        <v>104777.77777777778</v>
      </c>
      <c r="AZ20" s="58">
        <f t="shared" si="59"/>
        <v>135777.77777777778</v>
      </c>
      <c r="BA20" s="58">
        <f t="shared" si="59"/>
        <v>211296.29629629629</v>
      </c>
      <c r="BB20" s="58">
        <f t="shared" si="59"/>
        <v>210777.77777777778</v>
      </c>
      <c r="BC20" s="58">
        <f t="shared" si="59"/>
        <v>214806.29075565783</v>
      </c>
      <c r="BD20" s="58">
        <f t="shared" si="59"/>
        <v>93210.586881472962</v>
      </c>
      <c r="BE20" s="58">
        <f t="shared" si="59"/>
        <v>30686.612965093977</v>
      </c>
      <c r="BF20" s="58">
        <f>SUM(AT20:BE20)</f>
        <v>1577509.7150594404</v>
      </c>
      <c r="BG20" s="59">
        <f>BF20-AR20</f>
        <v>99485.381726107094</v>
      </c>
      <c r="BH20" s="58">
        <f>BH17</f>
        <v>116600</v>
      </c>
      <c r="BI20" s="58">
        <f t="shared" ref="BI20:BT20" si="60">BI17</f>
        <v>111533.33333333333</v>
      </c>
      <c r="BJ20" s="58">
        <f t="shared" si="60"/>
        <v>135674.07407407407</v>
      </c>
      <c r="BK20" s="58">
        <f t="shared" si="60"/>
        <v>121740.74074074074</v>
      </c>
      <c r="BL20" s="58">
        <f t="shared" si="60"/>
        <v>93926.851851851854</v>
      </c>
      <c r="BM20" s="58">
        <f t="shared" si="60"/>
        <v>90679.259259259255</v>
      </c>
      <c r="BN20" s="58">
        <f t="shared" si="60"/>
        <v>130255.55555555556</v>
      </c>
      <c r="BO20" s="58">
        <f t="shared" si="60"/>
        <v>150550.37811111109</v>
      </c>
      <c r="BP20" s="58">
        <f t="shared" si="60"/>
        <v>161830.74953703705</v>
      </c>
      <c r="BQ20" s="58">
        <f t="shared" si="60"/>
        <v>127130</v>
      </c>
      <c r="BR20" s="58">
        <f>BR17</f>
        <v>138687.6</v>
      </c>
      <c r="BS20" s="58">
        <f t="shared" si="60"/>
        <v>43639.199999999997</v>
      </c>
      <c r="BT20" s="58">
        <f t="shared" si="60"/>
        <v>1422247.7424629631</v>
      </c>
      <c r="BU20" s="60"/>
      <c r="BV20" s="58">
        <f>'META  EM PEÇAS'!S73</f>
        <v>130757.867486095</v>
      </c>
      <c r="BW20" s="58">
        <f>'META  EM PEÇAS'!T73</f>
        <v>125566.83045180296</v>
      </c>
      <c r="BX20" s="58">
        <f>'META  EM PEÇAS'!U73</f>
        <v>160961.53846153844</v>
      </c>
      <c r="BY20" s="58">
        <f>'META  EM PEÇAS'!V73</f>
        <v>128769.23076923078</v>
      </c>
      <c r="BZ20" s="58">
        <f>'META  EM PEÇAS'!W73</f>
        <v>118232.39341785663</v>
      </c>
      <c r="CA20" s="58">
        <f>'META  EM PEÇAS'!X73</f>
        <v>108192.12910096844</v>
      </c>
      <c r="CB20" s="58">
        <f>'META  EM PEÇAS'!Y73</f>
        <v>143736.21444761599</v>
      </c>
      <c r="CC20" s="58">
        <f>'META  EM PEÇAS'!Z73</f>
        <v>170653.87382484006</v>
      </c>
      <c r="CD20" s="58">
        <f>'META  EM PEÇAS'!AA73</f>
        <v>181168.0933115824</v>
      </c>
      <c r="CE20" s="58">
        <f>'META  EM PEÇAS'!AB73</f>
        <v>182469.1164631079</v>
      </c>
      <c r="CF20" s="58">
        <f>'META  EM PEÇAS'!AC73</f>
        <v>133115.84223630186</v>
      </c>
      <c r="CG20" s="58">
        <f>'META  EM PEÇAS'!AD73</f>
        <v>30483.816691710366</v>
      </c>
      <c r="CH20" s="58">
        <f>SUM(BV20:CG20)</f>
        <v>1614106.9466626509</v>
      </c>
      <c r="CI20">
        <f>CH20*26</f>
        <v>41966780.613228925</v>
      </c>
      <c r="CJ20" s="58">
        <v>130757.867486095</v>
      </c>
      <c r="CK20" s="58">
        <v>125566.83045180296</v>
      </c>
      <c r="CL20" s="58">
        <v>160961.53846153844</v>
      </c>
      <c r="CM20" s="58">
        <v>128769.23076923078</v>
      </c>
      <c r="CN20" s="58">
        <v>118232.39341785663</v>
      </c>
      <c r="CO20" s="58">
        <v>108192.12910096844</v>
      </c>
      <c r="CP20" s="58">
        <v>143736.21444761599</v>
      </c>
      <c r="CQ20" s="58">
        <v>170653.87382484006</v>
      </c>
      <c r="CR20" s="58">
        <v>181168.0933115824</v>
      </c>
      <c r="CS20" s="58">
        <v>182469.1164631079</v>
      </c>
      <c r="CT20" s="58">
        <v>133115.84223630186</v>
      </c>
      <c r="CU20" s="58">
        <v>30483.816691710366</v>
      </c>
      <c r="CV20" s="58">
        <v>1614106.9466626509</v>
      </c>
    </row>
    <row r="21" spans="1:100">
      <c r="A21" s="307"/>
      <c r="B21" s="82"/>
      <c r="C21" s="308"/>
      <c r="D21" s="309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310"/>
      <c r="Q21" s="84"/>
      <c r="R21" s="309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311"/>
      <c r="AE21" s="23"/>
      <c r="AF21" s="312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6"/>
      <c r="AS21" s="23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2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54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</row>
    <row r="22" spans="1:100" ht="15" hidden="1" customHeight="1" outlineLevel="1">
      <c r="A22" s="88">
        <v>1</v>
      </c>
      <c r="B22" s="1095" t="s">
        <v>56</v>
      </c>
      <c r="C22" s="1117"/>
      <c r="D22" s="313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314">
        <f t="shared" ref="P22:P34" si="61">SUM(D22:O22)</f>
        <v>0</v>
      </c>
      <c r="Q22" s="90"/>
      <c r="R22" s="313">
        <v>7017.5438596491231</v>
      </c>
      <c r="S22" s="91">
        <v>7017.5438596491231</v>
      </c>
      <c r="T22" s="91">
        <f>7017.54385964912/2</f>
        <v>3508.7719298245602</v>
      </c>
      <c r="U22" s="91">
        <f>96*U3</f>
        <v>96</v>
      </c>
      <c r="V22" s="91">
        <v>3000</v>
      </c>
      <c r="W22" s="91">
        <v>7200</v>
      </c>
      <c r="X22" s="91">
        <v>8500</v>
      </c>
      <c r="Y22" s="91">
        <v>8500</v>
      </c>
      <c r="Z22" s="91">
        <v>8500</v>
      </c>
      <c r="AA22" s="91">
        <v>9000</v>
      </c>
      <c r="AB22" s="91">
        <v>9500</v>
      </c>
      <c r="AC22" s="91">
        <v>8500</v>
      </c>
      <c r="AD22" s="315">
        <f t="shared" ref="AD22:AD36" si="62">SUM(R22:AC22)</f>
        <v>80339.859649122809</v>
      </c>
      <c r="AE22" s="23"/>
      <c r="AF22" s="316">
        <v>8000</v>
      </c>
      <c r="AG22" s="91">
        <v>4000</v>
      </c>
      <c r="AH22" s="91">
        <v>5673</v>
      </c>
      <c r="AI22" s="91">
        <v>4500</v>
      </c>
      <c r="AJ22" s="91">
        <v>7892</v>
      </c>
      <c r="AK22" s="91">
        <v>6400</v>
      </c>
      <c r="AL22" s="91">
        <v>8000</v>
      </c>
      <c r="AM22" s="91">
        <v>8000</v>
      </c>
      <c r="AN22" s="91">
        <v>8000</v>
      </c>
      <c r="AO22" s="91">
        <v>8000</v>
      </c>
      <c r="AP22" s="91">
        <v>8800</v>
      </c>
      <c r="AQ22" s="91">
        <v>6400</v>
      </c>
      <c r="AR22" s="92">
        <f t="shared" ref="AR22:AR40" si="63">SUM(AF22:AQ22)</f>
        <v>83665</v>
      </c>
      <c r="AS22" s="23"/>
      <c r="AT22" s="91">
        <v>4861</v>
      </c>
      <c r="AU22" s="91">
        <v>5809</v>
      </c>
      <c r="AV22" s="91">
        <v>5072</v>
      </c>
      <c r="AW22" s="91">
        <v>4725</v>
      </c>
      <c r="AX22" s="317">
        <v>5832</v>
      </c>
      <c r="AY22" s="317">
        <v>5832</v>
      </c>
      <c r="AZ22" s="317">
        <v>5567</v>
      </c>
      <c r="BA22" s="317">
        <v>5567</v>
      </c>
      <c r="BB22" s="317">
        <v>5832</v>
      </c>
      <c r="BC22" s="317">
        <v>6892</v>
      </c>
      <c r="BD22" s="317">
        <v>7422</v>
      </c>
      <c r="BE22" s="317">
        <v>4241</v>
      </c>
      <c r="BF22" s="91">
        <f t="shared" ref="BF22:BF54" si="64">SUM(AT22:BE22)</f>
        <v>67652</v>
      </c>
      <c r="BG22" s="93">
        <f t="shared" ref="BG22:BG40" si="65">BF22/AR22-1</f>
        <v>-0.19139425088149165</v>
      </c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>
        <v>36051</v>
      </c>
      <c r="BU22" s="54"/>
      <c r="BV22" s="91">
        <v>4782.99</v>
      </c>
      <c r="BW22" s="91">
        <v>2945.31</v>
      </c>
      <c r="BX22" s="91">
        <f>'META  EM PEÇAS'!U26-('META  EM PEÇAS'!U26*0.05)</f>
        <v>7080.3689999999997</v>
      </c>
      <c r="BY22" s="91">
        <f>'META  EM PEÇAS'!V26-('META  EM PEÇAS'!V26*0.05)</f>
        <v>4355.6549999999997</v>
      </c>
      <c r="BZ22" s="91">
        <f>'META  EM PEÇAS'!W26-('META  EM PEÇAS'!W26*0.05)</f>
        <v>5839.9349999999995</v>
      </c>
      <c r="CA22" s="91">
        <f>'META  EM PEÇAS'!X26-('META  EM PEÇAS'!X26*0.05)</f>
        <v>5900.8964999999989</v>
      </c>
      <c r="CB22" s="91">
        <f>'META  EM PEÇAS'!Y26-('META  EM PEÇAS'!Y26*0.05)</f>
        <v>5279.7959999999994</v>
      </c>
      <c r="CC22" s="91">
        <f>'META  EM PEÇAS'!Z26-('META  EM PEÇAS'!Z26*0.05)</f>
        <v>4897.2404999999999</v>
      </c>
      <c r="CD22" s="91">
        <f>'META  EM PEÇAS'!AA26-('META  EM PEÇAS'!AA26*0.05)</f>
        <v>5018.28</v>
      </c>
      <c r="CE22" s="91">
        <f>'META  EM PEÇAS'!AB26-('META  EM PEÇAS'!AB26*0.05)</f>
        <v>4641.0254999999997</v>
      </c>
      <c r="CF22" s="91">
        <f>'META  EM PEÇAS'!AC26-('META  EM PEÇAS'!AC26*0.05)</f>
        <v>6521.1134999999995</v>
      </c>
      <c r="CG22" s="91">
        <f>'META  EM PEÇAS'!AD26-('META  EM PEÇAS'!AD26*0.05)</f>
        <v>3929.8079999999995</v>
      </c>
      <c r="CH22" s="91">
        <v>4136.6400000000003</v>
      </c>
      <c r="CJ22" s="91">
        <v>4782.99</v>
      </c>
      <c r="CK22" s="91">
        <v>2945.31</v>
      </c>
      <c r="CL22" s="91">
        <v>7080.3689999999997</v>
      </c>
      <c r="CM22" s="91">
        <v>4355.6549999999997</v>
      </c>
      <c r="CN22" s="91">
        <v>5839.9349999999995</v>
      </c>
      <c r="CO22" s="91">
        <v>5900.8964999999989</v>
      </c>
      <c r="CP22" s="91">
        <v>5279.7959999999994</v>
      </c>
      <c r="CQ22" s="91">
        <v>4897.2404999999999</v>
      </c>
      <c r="CR22" s="91">
        <v>5018.28</v>
      </c>
      <c r="CS22" s="91">
        <v>4641.0254999999997</v>
      </c>
      <c r="CT22" s="91">
        <v>6521.1134999999995</v>
      </c>
      <c r="CU22" s="91">
        <v>3929.8079999999995</v>
      </c>
      <c r="CV22" s="91">
        <v>4136.6400000000003</v>
      </c>
    </row>
    <row r="23" spans="1:100" ht="15" hidden="1" customHeight="1" outlineLevel="1">
      <c r="A23" s="94">
        <v>2</v>
      </c>
      <c r="B23" s="1092" t="s">
        <v>57</v>
      </c>
      <c r="C23" s="1118"/>
      <c r="D23" s="313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314">
        <f t="shared" si="61"/>
        <v>0</v>
      </c>
      <c r="Q23" s="90"/>
      <c r="R23" s="313">
        <v>2909</v>
      </c>
      <c r="S23" s="91">
        <v>2545</v>
      </c>
      <c r="T23" s="91">
        <f>2727/1.2</f>
        <v>2272.5</v>
      </c>
      <c r="U23" s="91">
        <f>2*U3</f>
        <v>2</v>
      </c>
      <c r="V23" s="91">
        <v>500</v>
      </c>
      <c r="W23" s="91">
        <v>1300</v>
      </c>
      <c r="X23" s="91">
        <v>3200</v>
      </c>
      <c r="Y23" s="91">
        <v>3200</v>
      </c>
      <c r="Z23" s="91">
        <v>3600</v>
      </c>
      <c r="AA23" s="91">
        <v>3600</v>
      </c>
      <c r="AB23" s="91">
        <v>3600</v>
      </c>
      <c r="AC23" s="91">
        <v>4500</v>
      </c>
      <c r="AD23" s="315">
        <f t="shared" si="62"/>
        <v>31228.5</v>
      </c>
      <c r="AE23" s="23"/>
      <c r="AF23" s="316">
        <v>4000</v>
      </c>
      <c r="AG23" s="91">
        <v>1500</v>
      </c>
      <c r="AH23" s="91">
        <v>189</v>
      </c>
      <c r="AI23" s="91">
        <v>1842</v>
      </c>
      <c r="AJ23" s="91">
        <v>3764</v>
      </c>
      <c r="AK23" s="91">
        <v>3200</v>
      </c>
      <c r="AL23" s="91">
        <v>6000</v>
      </c>
      <c r="AM23" s="91">
        <v>5000</v>
      </c>
      <c r="AN23" s="91">
        <v>5000</v>
      </c>
      <c r="AO23" s="91">
        <v>5000</v>
      </c>
      <c r="AP23" s="91">
        <v>5000</v>
      </c>
      <c r="AQ23" s="91">
        <v>9000</v>
      </c>
      <c r="AR23" s="92">
        <f t="shared" si="63"/>
        <v>49495</v>
      </c>
      <c r="AS23" s="23"/>
      <c r="AT23" s="91">
        <v>5468</v>
      </c>
      <c r="AU23" s="91">
        <v>5468</v>
      </c>
      <c r="AV23" s="91">
        <v>6249</v>
      </c>
      <c r="AW23" s="91">
        <v>6249</v>
      </c>
      <c r="AX23" s="317">
        <v>3923</v>
      </c>
      <c r="AY23" s="317">
        <v>3923</v>
      </c>
      <c r="AZ23" s="317">
        <v>3745</v>
      </c>
      <c r="BA23" s="317">
        <v>3745</v>
      </c>
      <c r="BB23" s="317">
        <v>3923</v>
      </c>
      <c r="BC23" s="317">
        <v>4636</v>
      </c>
      <c r="BD23" s="317">
        <v>4993</v>
      </c>
      <c r="BE23" s="317">
        <v>7133</v>
      </c>
      <c r="BF23" s="91">
        <f t="shared" si="64"/>
        <v>59455</v>
      </c>
      <c r="BG23" s="93">
        <f t="shared" si="65"/>
        <v>0.20123244772199222</v>
      </c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>
        <v>40562</v>
      </c>
      <c r="BU23" s="54"/>
      <c r="BV23" s="91">
        <v>4442.6099999999997</v>
      </c>
      <c r="BW23" s="91">
        <v>3433.56</v>
      </c>
      <c r="BX23" s="91">
        <f>'META  EM PEÇAS'!U27-('META  EM PEÇAS'!U27*0.05)</f>
        <v>3860.0114999999996</v>
      </c>
      <c r="BY23" s="91">
        <f>'META  EM PEÇAS'!V27-('META  EM PEÇAS'!V27*0.05)</f>
        <v>3578.1749999999997</v>
      </c>
      <c r="BZ23" s="91">
        <f>'META  EM PEÇAS'!W27-('META  EM PEÇAS'!W27*0.05)</f>
        <v>4015.5074999999997</v>
      </c>
      <c r="CA23" s="91">
        <f>'META  EM PEÇAS'!X27-('META  EM PEÇAS'!X27*0.05)</f>
        <v>4835.3954999999996</v>
      </c>
      <c r="CB23" s="91">
        <f>'META  EM PEÇAS'!Y27-('META  EM PEÇAS'!Y27*0.05)</f>
        <v>5815.1969999999992</v>
      </c>
      <c r="CC23" s="91">
        <f>'META  EM PEÇAS'!Z27-('META  EM PEÇAS'!Z27*0.05)</f>
        <v>3888.2835</v>
      </c>
      <c r="CD23" s="91">
        <f>'META  EM PEÇAS'!AA27-('META  EM PEÇAS'!AA27*0.05)</f>
        <v>4032.2939999999994</v>
      </c>
      <c r="CE23" s="91">
        <f>'META  EM PEÇAS'!AB27-('META  EM PEÇAS'!AB27*0.05)</f>
        <v>4375.0919999999996</v>
      </c>
      <c r="CF23" s="91">
        <f>'META  EM PEÇAS'!AC27-('META  EM PEÇAS'!AC27*0.05)</f>
        <v>5604.9239999999991</v>
      </c>
      <c r="CG23" s="91">
        <f>'META  EM PEÇAS'!AD27-('META  EM PEÇAS'!AD27*0.05)</f>
        <v>7897.606499999999</v>
      </c>
      <c r="CH23" s="91">
        <f>SUM(BV23:CG23)</f>
        <v>55778.656499999997</v>
      </c>
      <c r="CJ23" s="91">
        <v>4442.6099999999997</v>
      </c>
      <c r="CK23" s="91">
        <v>3433.56</v>
      </c>
      <c r="CL23" s="91">
        <v>3860.0114999999996</v>
      </c>
      <c r="CM23" s="91">
        <v>3578.1749999999997</v>
      </c>
      <c r="CN23" s="91">
        <v>4015.5074999999997</v>
      </c>
      <c r="CO23" s="91">
        <v>4835.3954999999996</v>
      </c>
      <c r="CP23" s="91">
        <v>5815.1969999999992</v>
      </c>
      <c r="CQ23" s="91">
        <v>3888.2835</v>
      </c>
      <c r="CR23" s="91">
        <v>4032.2939999999994</v>
      </c>
      <c r="CS23" s="91">
        <v>4375.0919999999996</v>
      </c>
      <c r="CT23" s="91">
        <v>5604.9239999999991</v>
      </c>
      <c r="CU23" s="91">
        <v>7897.606499999999</v>
      </c>
      <c r="CV23" s="91">
        <v>55778.656499999997</v>
      </c>
    </row>
    <row r="24" spans="1:100" ht="15" hidden="1" customHeight="1" outlineLevel="1">
      <c r="A24" s="94">
        <v>3</v>
      </c>
      <c r="B24" s="1092" t="s">
        <v>58</v>
      </c>
      <c r="C24" s="1118"/>
      <c r="D24" s="313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314">
        <f t="shared" si="61"/>
        <v>0</v>
      </c>
      <c r="Q24" s="90"/>
      <c r="R24" s="313">
        <v>746</v>
      </c>
      <c r="S24" s="91">
        <v>653</v>
      </c>
      <c r="T24" s="91">
        <v>700</v>
      </c>
      <c r="U24" s="91">
        <v>0</v>
      </c>
      <c r="V24" s="91">
        <v>200</v>
      </c>
      <c r="W24" s="91">
        <v>400</v>
      </c>
      <c r="X24" s="91">
        <v>900</v>
      </c>
      <c r="Y24" s="91">
        <v>900</v>
      </c>
      <c r="Z24" s="91">
        <v>900</v>
      </c>
      <c r="AA24" s="91">
        <v>900</v>
      </c>
      <c r="AB24" s="91">
        <v>900</v>
      </c>
      <c r="AC24" s="91">
        <v>1200</v>
      </c>
      <c r="AD24" s="315">
        <f t="shared" si="62"/>
        <v>8399</v>
      </c>
      <c r="AE24" s="23"/>
      <c r="AF24" s="316">
        <v>1800</v>
      </c>
      <c r="AG24" s="91">
        <v>1200</v>
      </c>
      <c r="AH24" s="91">
        <v>230</v>
      </c>
      <c r="AI24" s="91">
        <v>472</v>
      </c>
      <c r="AJ24" s="91">
        <v>1495</v>
      </c>
      <c r="AK24" s="91">
        <v>1200</v>
      </c>
      <c r="AL24" s="91">
        <v>1500</v>
      </c>
      <c r="AM24" s="91">
        <v>1500</v>
      </c>
      <c r="AN24" s="91">
        <v>1500</v>
      </c>
      <c r="AO24" s="91">
        <v>1500</v>
      </c>
      <c r="AP24" s="91">
        <v>1650</v>
      </c>
      <c r="AQ24" s="91">
        <v>2400</v>
      </c>
      <c r="AR24" s="92">
        <f t="shared" si="63"/>
        <v>16447</v>
      </c>
      <c r="AS24" s="23"/>
      <c r="AT24" s="91">
        <v>2438</v>
      </c>
      <c r="AU24" s="91">
        <v>1501</v>
      </c>
      <c r="AV24" s="91">
        <v>1566</v>
      </c>
      <c r="AW24" s="91">
        <v>2127</v>
      </c>
      <c r="AX24" s="317">
        <v>1928</v>
      </c>
      <c r="AY24" s="317">
        <v>1928</v>
      </c>
      <c r="AZ24" s="317">
        <v>1840</v>
      </c>
      <c r="BA24" s="317">
        <v>1840</v>
      </c>
      <c r="BB24" s="317">
        <v>1928</v>
      </c>
      <c r="BC24" s="317">
        <v>2278</v>
      </c>
      <c r="BD24" s="317">
        <v>2454</v>
      </c>
      <c r="BE24" s="317">
        <v>3505</v>
      </c>
      <c r="BF24" s="91">
        <f t="shared" si="64"/>
        <v>25333</v>
      </c>
      <c r="BG24" s="93">
        <f t="shared" si="65"/>
        <v>0.54028090229221126</v>
      </c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>
        <v>7784</v>
      </c>
      <c r="BU24" s="54"/>
      <c r="BV24" s="91">
        <v>450.99999999999989</v>
      </c>
      <c r="BW24" s="91">
        <v>348.59999999999991</v>
      </c>
      <c r="BX24" s="91">
        <f>'META  EM PEÇAS'!U28-('META  EM PEÇAS'!U28*0.05)</f>
        <v>391.96999999999991</v>
      </c>
      <c r="BY24" s="91">
        <f>'META  EM PEÇAS'!V28-('META  EM PEÇAS'!V28*0.05)</f>
        <v>363.27999999999992</v>
      </c>
      <c r="BZ24" s="91">
        <f>'META  EM PEÇAS'!W28-('META  EM PEÇAS'!W28*0.05)</f>
        <v>407.5499999999999</v>
      </c>
      <c r="CA24" s="91">
        <f>'META  EM PEÇAS'!X28-('META  EM PEÇAS'!X28*0.05)</f>
        <v>490.76999999999992</v>
      </c>
      <c r="CB24" s="91">
        <f>'META  EM PEÇAS'!Y28-('META  EM PEÇAS'!Y28*0.05)</f>
        <v>590.32999999999993</v>
      </c>
      <c r="CC24" s="91">
        <f>'META  EM PEÇAS'!Z28-('META  EM PEÇAS'!Z28*0.05)</f>
        <v>394.62999999999994</v>
      </c>
      <c r="CD24" s="91">
        <f>'META  EM PEÇAS'!AA28-('META  EM PEÇAS'!AA28*0.05)</f>
        <v>409.25999999999988</v>
      </c>
      <c r="CE24" s="91">
        <f>'META  EM PEÇAS'!AB28-('META  EM PEÇAS'!AB28*0.05)</f>
        <v>444.21999999999991</v>
      </c>
      <c r="CF24" s="91">
        <f>'META  EM PEÇAS'!AC28-('META  EM PEÇAS'!AC28*0.05)</f>
        <v>569.04999999999984</v>
      </c>
      <c r="CG24" s="91">
        <f>'META  EM PEÇAS'!AD28-('META  EM PEÇAS'!AD28*0.05)</f>
        <v>801.79999999999973</v>
      </c>
      <c r="CH24" s="91">
        <f t="shared" ref="CH24:CH37" si="66">SUM(BV24:CG24)</f>
        <v>5662.4599999999991</v>
      </c>
      <c r="CJ24" s="91">
        <v>450.99999999999989</v>
      </c>
      <c r="CK24" s="91">
        <v>348.59999999999991</v>
      </c>
      <c r="CL24" s="91">
        <v>391.96999999999991</v>
      </c>
      <c r="CM24" s="91">
        <v>363.27999999999992</v>
      </c>
      <c r="CN24" s="91">
        <v>407.5499999999999</v>
      </c>
      <c r="CO24" s="91">
        <v>490.76999999999992</v>
      </c>
      <c r="CP24" s="91">
        <v>590.32999999999993</v>
      </c>
      <c r="CQ24" s="91">
        <v>394.62999999999994</v>
      </c>
      <c r="CR24" s="91">
        <v>409.25999999999988</v>
      </c>
      <c r="CS24" s="91">
        <v>444.21999999999991</v>
      </c>
      <c r="CT24" s="91">
        <v>569.04999999999984</v>
      </c>
      <c r="CU24" s="91">
        <v>801.79999999999973</v>
      </c>
      <c r="CV24" s="91">
        <v>5662.4599999999991</v>
      </c>
    </row>
    <row r="25" spans="1:100" ht="15" hidden="1" customHeight="1" outlineLevel="1">
      <c r="A25" s="94">
        <v>4</v>
      </c>
      <c r="B25" s="1092" t="s">
        <v>59</v>
      </c>
      <c r="C25" s="1118"/>
      <c r="D25" s="313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314">
        <f t="shared" si="61"/>
        <v>0</v>
      </c>
      <c r="Q25" s="90"/>
      <c r="R25" s="313">
        <v>1455</v>
      </c>
      <c r="S25" s="91">
        <f>2036</f>
        <v>2036</v>
      </c>
      <c r="T25" s="91">
        <f>2182/2</f>
        <v>1091</v>
      </c>
      <c r="U25" s="91">
        <v>0</v>
      </c>
      <c r="V25" s="91">
        <v>200</v>
      </c>
      <c r="W25" s="91">
        <v>900</v>
      </c>
      <c r="X25" s="91">
        <v>1600</v>
      </c>
      <c r="Y25" s="91">
        <v>1600</v>
      </c>
      <c r="Z25" s="91">
        <v>1600</v>
      </c>
      <c r="AA25" s="91">
        <v>1600</v>
      </c>
      <c r="AB25" s="91">
        <v>2200</v>
      </c>
      <c r="AC25" s="91">
        <v>2500</v>
      </c>
      <c r="AD25" s="315">
        <f t="shared" si="62"/>
        <v>16782</v>
      </c>
      <c r="AE25" s="23"/>
      <c r="AF25" s="316">
        <v>2200</v>
      </c>
      <c r="AG25" s="91">
        <v>1500</v>
      </c>
      <c r="AH25" s="91">
        <v>121</v>
      </c>
      <c r="AI25" s="91">
        <v>565</v>
      </c>
      <c r="AJ25" s="91">
        <v>1514</v>
      </c>
      <c r="AK25" s="91">
        <v>1760</v>
      </c>
      <c r="AL25" s="91">
        <v>1800</v>
      </c>
      <c r="AM25" s="91">
        <v>2200</v>
      </c>
      <c r="AN25" s="91">
        <v>2200</v>
      </c>
      <c r="AO25" s="91">
        <v>2200</v>
      </c>
      <c r="AP25" s="91">
        <v>2420</v>
      </c>
      <c r="AQ25" s="91">
        <v>3520</v>
      </c>
      <c r="AR25" s="92">
        <f t="shared" si="63"/>
        <v>22000</v>
      </c>
      <c r="AS25" s="23"/>
      <c r="AT25" s="91">
        <v>1529</v>
      </c>
      <c r="AU25" s="91">
        <v>1516</v>
      </c>
      <c r="AV25" s="91">
        <v>1586</v>
      </c>
      <c r="AW25" s="91">
        <v>1979</v>
      </c>
      <c r="AX25" s="317">
        <v>1283</v>
      </c>
      <c r="AY25" s="317">
        <v>1283</v>
      </c>
      <c r="AZ25" s="317">
        <v>1224</v>
      </c>
      <c r="BA25" s="317">
        <v>1224</v>
      </c>
      <c r="BB25" s="317">
        <v>1283</v>
      </c>
      <c r="BC25" s="317">
        <v>1516</v>
      </c>
      <c r="BD25" s="317">
        <v>1632</v>
      </c>
      <c r="BE25" s="317">
        <v>2332</v>
      </c>
      <c r="BF25" s="91">
        <f t="shared" si="64"/>
        <v>18387</v>
      </c>
      <c r="BG25" s="93">
        <f t="shared" si="65"/>
        <v>-0.16422727272727278</v>
      </c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>
        <v>9018</v>
      </c>
      <c r="BU25" s="54"/>
      <c r="BV25" s="91">
        <v>1143.8999999999999</v>
      </c>
      <c r="BW25" s="91">
        <v>884.43</v>
      </c>
      <c r="BX25" s="91">
        <f>'META  EM PEÇAS'!U29-('META  EM PEÇAS'!U29*0.05)</f>
        <v>993.9375</v>
      </c>
      <c r="BY25" s="91">
        <f>'META  EM PEÇAS'!V29-('META  EM PEÇAS'!V29*0.05)</f>
        <v>921.49049999999988</v>
      </c>
      <c r="BZ25" s="91">
        <f>'META  EM PEÇAS'!W29-('META  EM PEÇAS'!W29*0.05)</f>
        <v>1033.6949999999999</v>
      </c>
      <c r="CA25" s="91">
        <f>'META  EM PEÇAS'!X29-('META  EM PEÇAS'!X29*0.05)</f>
        <v>1244.8515</v>
      </c>
      <c r="CB25" s="91">
        <f>'META  EM PEÇAS'!Y29-('META  EM PEÇAS'!Y29*0.05)</f>
        <v>1497.5324999999998</v>
      </c>
      <c r="CC25" s="91">
        <f>'META  EM PEÇAS'!Z29-('META  EM PEÇAS'!Z29*0.05)</f>
        <v>1001.0054999999999</v>
      </c>
      <c r="CD25" s="91">
        <f>'META  EM PEÇAS'!AA29-('META  EM PEÇAS'!AA29*0.05)</f>
        <v>1038.1125</v>
      </c>
      <c r="CE25" s="91">
        <f>'META  EM PEÇAS'!AB29-('META  EM PEÇAS'!AB29*0.05)</f>
        <v>1126.4625000000001</v>
      </c>
      <c r="CF25" s="91">
        <f>'META  EM PEÇAS'!AC29-('META  EM PEÇAS'!AC29*0.05)</f>
        <v>1443.6389999999999</v>
      </c>
      <c r="CG25" s="91">
        <f>'META  EM PEÇAS'!AD29-('META  EM PEÇAS'!AD29*0.05)</f>
        <v>2033.8169999999998</v>
      </c>
      <c r="CH25" s="91">
        <f t="shared" si="66"/>
        <v>14362.873499999996</v>
      </c>
      <c r="CJ25" s="91">
        <v>1143.8999999999999</v>
      </c>
      <c r="CK25" s="91">
        <v>884.43</v>
      </c>
      <c r="CL25" s="91">
        <v>993.9375</v>
      </c>
      <c r="CM25" s="91">
        <v>921.49049999999988</v>
      </c>
      <c r="CN25" s="91">
        <v>1033.6949999999999</v>
      </c>
      <c r="CO25" s="91">
        <v>1244.8515</v>
      </c>
      <c r="CP25" s="91">
        <v>1497.5324999999998</v>
      </c>
      <c r="CQ25" s="91">
        <v>1001.0054999999999</v>
      </c>
      <c r="CR25" s="91">
        <v>1038.1125</v>
      </c>
      <c r="CS25" s="91">
        <v>1126.4625000000001</v>
      </c>
      <c r="CT25" s="91">
        <v>1443.6389999999999</v>
      </c>
      <c r="CU25" s="91">
        <v>2033.8169999999998</v>
      </c>
      <c r="CV25" s="91">
        <v>14362.873499999996</v>
      </c>
    </row>
    <row r="26" spans="1:100" ht="15" hidden="1" customHeight="1" outlineLevel="1">
      <c r="A26" s="94">
        <v>5</v>
      </c>
      <c r="B26" s="1092" t="s">
        <v>60</v>
      </c>
      <c r="C26" s="1118"/>
      <c r="D26" s="313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314">
        <f t="shared" si="61"/>
        <v>0</v>
      </c>
      <c r="Q26" s="90"/>
      <c r="R26" s="313">
        <v>1353</v>
      </c>
      <c r="S26" s="91">
        <v>1184</v>
      </c>
      <c r="T26" s="91">
        <v>1268</v>
      </c>
      <c r="U26" s="91">
        <f t="shared" ref="U26:V26" si="67">10*U3</f>
        <v>10</v>
      </c>
      <c r="V26" s="91">
        <f t="shared" si="67"/>
        <v>120</v>
      </c>
      <c r="W26" s="91">
        <v>600</v>
      </c>
      <c r="X26" s="91">
        <v>1600</v>
      </c>
      <c r="Y26" s="91">
        <v>1600</v>
      </c>
      <c r="Z26" s="91">
        <v>1600</v>
      </c>
      <c r="AA26" s="91">
        <v>1600</v>
      </c>
      <c r="AB26" s="91">
        <v>1600</v>
      </c>
      <c r="AC26" s="91">
        <v>2200</v>
      </c>
      <c r="AD26" s="315">
        <f t="shared" si="62"/>
        <v>14735</v>
      </c>
      <c r="AE26" s="23"/>
      <c r="AF26" s="316">
        <v>1800</v>
      </c>
      <c r="AG26" s="91">
        <v>1200</v>
      </c>
      <c r="AH26" s="91">
        <v>181</v>
      </c>
      <c r="AI26" s="91">
        <v>628</v>
      </c>
      <c r="AJ26" s="91">
        <v>1169</v>
      </c>
      <c r="AK26" s="91">
        <v>960</v>
      </c>
      <c r="AL26" s="91">
        <v>1500</v>
      </c>
      <c r="AM26" s="91">
        <v>1200</v>
      </c>
      <c r="AN26" s="91">
        <v>1200</v>
      </c>
      <c r="AO26" s="91">
        <v>1200</v>
      </c>
      <c r="AP26" s="91">
        <v>1320</v>
      </c>
      <c r="AQ26" s="91">
        <v>1920</v>
      </c>
      <c r="AR26" s="92">
        <f t="shared" si="63"/>
        <v>14278</v>
      </c>
      <c r="AS26" s="23"/>
      <c r="AT26" s="91">
        <v>1496</v>
      </c>
      <c r="AU26" s="91">
        <v>1200</v>
      </c>
      <c r="AV26" s="91">
        <v>1227</v>
      </c>
      <c r="AW26" s="91">
        <v>1655</v>
      </c>
      <c r="AX26" s="317">
        <v>1141</v>
      </c>
      <c r="AY26" s="317">
        <v>1141</v>
      </c>
      <c r="AZ26" s="317">
        <v>1089</v>
      </c>
      <c r="BA26" s="317">
        <v>1089</v>
      </c>
      <c r="BB26" s="317">
        <v>1141</v>
      </c>
      <c r="BC26" s="317">
        <v>1349</v>
      </c>
      <c r="BD26" s="317">
        <v>1453</v>
      </c>
      <c r="BE26" s="317">
        <v>2075</v>
      </c>
      <c r="BF26" s="91">
        <f t="shared" si="64"/>
        <v>16056</v>
      </c>
      <c r="BG26" s="93">
        <f t="shared" si="65"/>
        <v>0.1245272447121446</v>
      </c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>
        <v>10591</v>
      </c>
      <c r="BU26" s="54"/>
      <c r="BV26" s="91">
        <v>1474.9799999999998</v>
      </c>
      <c r="BW26" s="91">
        <v>1140.1799999999998</v>
      </c>
      <c r="BX26" s="91">
        <f>'META  EM PEÇAS'!U30-('META  EM PEÇAS'!U30*0.05)</f>
        <v>1281.9584999999997</v>
      </c>
      <c r="BY26" s="91">
        <f>'META  EM PEÇAS'!V30-('META  EM PEÇAS'!V30*0.05)</f>
        <v>1188.3074999999999</v>
      </c>
      <c r="BZ26" s="91">
        <f>'META  EM PEÇAS'!W30-('META  EM PEÇAS'!W30*0.05)</f>
        <v>1333.2014999999999</v>
      </c>
      <c r="CA26" s="91">
        <f>'META  EM PEÇAS'!X30-('META  EM PEÇAS'!X30*0.05)</f>
        <v>1606.2029999999997</v>
      </c>
      <c r="CB26" s="91">
        <f>'META  EM PEÇAS'!Y30-('META  EM PEÇAS'!Y30*0.05)</f>
        <v>1931.3309999999997</v>
      </c>
      <c r="CC26" s="91">
        <f>'META  EM PEÇAS'!Z30-('META  EM PEÇAS'!Z30*0.05)</f>
        <v>1291.6769999999999</v>
      </c>
      <c r="CD26" s="91">
        <f>'META  EM PEÇAS'!AA30-('META  EM PEÇAS'!AA30*0.05)</f>
        <v>1339.386</v>
      </c>
      <c r="CE26" s="91">
        <f>'META  EM PEÇAS'!AB30-('META  EM PEÇAS'!AB30*0.05)</f>
        <v>1453.3574999999998</v>
      </c>
      <c r="CF26" s="91">
        <f>'META  EM PEÇAS'!AC30-('META  EM PEÇAS'!AC30*0.05)</f>
        <v>1861.5344999999998</v>
      </c>
      <c r="CG26" s="91">
        <f>'META  EM PEÇAS'!AD30-('META  EM PEÇAS'!AD30*0.05)</f>
        <v>2623.1114999999995</v>
      </c>
      <c r="CH26" s="91">
        <f t="shared" si="66"/>
        <v>18525.227999999999</v>
      </c>
      <c r="CI26" s="450"/>
      <c r="CJ26" s="91">
        <v>1474.9799999999998</v>
      </c>
      <c r="CK26" s="91">
        <v>1140.1799999999998</v>
      </c>
      <c r="CL26" s="91">
        <v>1281.9584999999997</v>
      </c>
      <c r="CM26" s="91">
        <v>1188.3074999999999</v>
      </c>
      <c r="CN26" s="91">
        <v>1333.2014999999999</v>
      </c>
      <c r="CO26" s="91">
        <v>1606.2029999999997</v>
      </c>
      <c r="CP26" s="91">
        <v>1931.3309999999997</v>
      </c>
      <c r="CQ26" s="91">
        <v>1291.6769999999999</v>
      </c>
      <c r="CR26" s="91">
        <v>1339.386</v>
      </c>
      <c r="CS26" s="91">
        <v>1453.3574999999998</v>
      </c>
      <c r="CT26" s="91">
        <v>1861.5344999999998</v>
      </c>
      <c r="CU26" s="91">
        <v>2623.1114999999995</v>
      </c>
      <c r="CV26" s="91">
        <v>18525.227999999999</v>
      </c>
    </row>
    <row r="27" spans="1:100" ht="15" hidden="1" customHeight="1" outlineLevel="1">
      <c r="A27" s="94">
        <v>6</v>
      </c>
      <c r="B27" s="1092" t="s">
        <v>61</v>
      </c>
      <c r="C27" s="1118"/>
      <c r="D27" s="313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314">
        <f t="shared" si="61"/>
        <v>0</v>
      </c>
      <c r="Q27" s="90"/>
      <c r="R27" s="313">
        <v>1455</v>
      </c>
      <c r="S27" s="91">
        <v>1273</v>
      </c>
      <c r="T27" s="91">
        <v>1364</v>
      </c>
      <c r="U27" s="91">
        <v>0</v>
      </c>
      <c r="V27" s="91">
        <v>200</v>
      </c>
      <c r="W27" s="91">
        <v>800</v>
      </c>
      <c r="X27" s="91">
        <v>1600</v>
      </c>
      <c r="Y27" s="91">
        <v>1600</v>
      </c>
      <c r="Z27" s="91">
        <v>1600</v>
      </c>
      <c r="AA27" s="91">
        <v>1600</v>
      </c>
      <c r="AB27" s="91">
        <v>1800</v>
      </c>
      <c r="AC27" s="91">
        <v>2400</v>
      </c>
      <c r="AD27" s="315">
        <f t="shared" si="62"/>
        <v>15692</v>
      </c>
      <c r="AE27" s="23"/>
      <c r="AF27" s="316">
        <v>1500</v>
      </c>
      <c r="AG27" s="91">
        <v>1200</v>
      </c>
      <c r="AH27" s="91">
        <v>127</v>
      </c>
      <c r="AI27" s="91">
        <v>426</v>
      </c>
      <c r="AJ27" s="91">
        <v>1063</v>
      </c>
      <c r="AK27" s="91">
        <v>960</v>
      </c>
      <c r="AL27" s="91">
        <v>1500</v>
      </c>
      <c r="AM27" s="91">
        <v>1200</v>
      </c>
      <c r="AN27" s="91">
        <v>1200</v>
      </c>
      <c r="AO27" s="91">
        <v>1200</v>
      </c>
      <c r="AP27" s="91">
        <v>1320</v>
      </c>
      <c r="AQ27" s="91">
        <v>1920</v>
      </c>
      <c r="AR27" s="92">
        <f t="shared" si="63"/>
        <v>13616</v>
      </c>
      <c r="AS27" s="23"/>
      <c r="AT27" s="91">
        <v>1222</v>
      </c>
      <c r="AU27" s="91">
        <v>1200</v>
      </c>
      <c r="AV27" s="91">
        <v>1117</v>
      </c>
      <c r="AW27" s="91">
        <v>1463</v>
      </c>
      <c r="AX27" s="317">
        <v>1087</v>
      </c>
      <c r="AY27" s="317">
        <v>1087</v>
      </c>
      <c r="AZ27" s="317">
        <v>1038</v>
      </c>
      <c r="BA27" s="317">
        <v>1038</v>
      </c>
      <c r="BB27" s="317">
        <v>1087</v>
      </c>
      <c r="BC27" s="317">
        <v>1285</v>
      </c>
      <c r="BD27" s="317">
        <v>1384</v>
      </c>
      <c r="BE27" s="317">
        <v>1977</v>
      </c>
      <c r="BF27" s="91">
        <f t="shared" si="64"/>
        <v>14985</v>
      </c>
      <c r="BG27" s="93">
        <f t="shared" si="65"/>
        <v>0.10054347826086962</v>
      </c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>
        <v>10087</v>
      </c>
      <c r="BU27" s="54"/>
      <c r="BV27" s="91">
        <v>1214.58</v>
      </c>
      <c r="BW27" s="91">
        <v>939.3</v>
      </c>
      <c r="BX27" s="91">
        <f>'META  EM PEÇAS'!U31-('META  EM PEÇAS'!U31*0.05)</f>
        <v>1055.7824999999998</v>
      </c>
      <c r="BY27" s="91">
        <f>'META  EM PEÇAS'!V31-('META  EM PEÇAS'!V31*0.05)</f>
        <v>978.03449999999998</v>
      </c>
      <c r="BZ27" s="91">
        <f>'META  EM PEÇAS'!W31-('META  EM PEÇAS'!W31*0.05)</f>
        <v>1098.1904999999999</v>
      </c>
      <c r="CA27" s="91">
        <f>'META  EM PEÇAS'!X31-('META  EM PEÇAS'!X31*0.05)</f>
        <v>1322.5994999999998</v>
      </c>
      <c r="CB27" s="91">
        <f>'META  EM PEÇAS'!Y31-('META  EM PEÇAS'!Y31*0.05)</f>
        <v>1590.3</v>
      </c>
      <c r="CC27" s="91">
        <f>'META  EM PEÇAS'!Z31-('META  EM PEÇAS'!Z31*0.05)</f>
        <v>1062.8505</v>
      </c>
      <c r="CD27" s="91">
        <f>'META  EM PEÇAS'!AA31-('META  EM PEÇAS'!AA31*0.05)</f>
        <v>1102.6079999999999</v>
      </c>
      <c r="CE27" s="91">
        <f>'META  EM PEÇAS'!AB31-('META  EM PEÇAS'!AB31*0.05)</f>
        <v>1196.259</v>
      </c>
      <c r="CF27" s="91">
        <f>'META  EM PEÇAS'!AC31-('META  EM PEÇAS'!AC31*0.05)</f>
        <v>1532.8724999999999</v>
      </c>
      <c r="CG27" s="91">
        <f>'META  EM PEÇAS'!AD31-('META  EM PEÇAS'!AD31*0.05)</f>
        <v>2160.1574999999998</v>
      </c>
      <c r="CH27" s="91">
        <f t="shared" si="66"/>
        <v>15253.534499999998</v>
      </c>
      <c r="CJ27" s="91">
        <v>1214.58</v>
      </c>
      <c r="CK27" s="91">
        <v>939.3</v>
      </c>
      <c r="CL27" s="91">
        <v>1055.7824999999998</v>
      </c>
      <c r="CM27" s="91">
        <v>978.03449999999998</v>
      </c>
      <c r="CN27" s="91">
        <v>1098.1904999999999</v>
      </c>
      <c r="CO27" s="91">
        <v>1322.5994999999998</v>
      </c>
      <c r="CP27" s="91">
        <v>1590.3</v>
      </c>
      <c r="CQ27" s="91">
        <v>1062.8505</v>
      </c>
      <c r="CR27" s="91">
        <v>1102.6079999999999</v>
      </c>
      <c r="CS27" s="91">
        <v>1196.259</v>
      </c>
      <c r="CT27" s="91">
        <v>1532.8724999999999</v>
      </c>
      <c r="CU27" s="91">
        <v>2160.1574999999998</v>
      </c>
      <c r="CV27" s="91">
        <v>15253.534499999998</v>
      </c>
    </row>
    <row r="28" spans="1:100" ht="15" hidden="1" customHeight="1" outlineLevel="1">
      <c r="A28" s="94">
        <v>7</v>
      </c>
      <c r="B28" s="1092" t="s">
        <v>62</v>
      </c>
      <c r="C28" s="1118"/>
      <c r="D28" s="313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314">
        <f t="shared" si="61"/>
        <v>0</v>
      </c>
      <c r="Q28" s="90"/>
      <c r="R28" s="313">
        <v>2000</v>
      </c>
      <c r="S28" s="91">
        <f>2182</f>
        <v>2182</v>
      </c>
      <c r="T28" s="91">
        <f>2455/2</f>
        <v>1227.5</v>
      </c>
      <c r="U28" s="91">
        <f>4*U3</f>
        <v>4</v>
      </c>
      <c r="V28" s="91">
        <v>200</v>
      </c>
      <c r="W28" s="91">
        <v>700</v>
      </c>
      <c r="X28" s="91">
        <v>1600</v>
      </c>
      <c r="Y28" s="91">
        <v>1600</v>
      </c>
      <c r="Z28" s="91">
        <v>1600</v>
      </c>
      <c r="AA28" s="91">
        <v>1600</v>
      </c>
      <c r="AB28" s="91">
        <v>2500</v>
      </c>
      <c r="AC28" s="91">
        <v>3200</v>
      </c>
      <c r="AD28" s="315">
        <f t="shared" si="62"/>
        <v>18413.5</v>
      </c>
      <c r="AE28" s="23"/>
      <c r="AF28" s="316">
        <v>2600</v>
      </c>
      <c r="AG28" s="91">
        <v>1000</v>
      </c>
      <c r="AH28" s="91">
        <v>195</v>
      </c>
      <c r="AI28" s="91">
        <v>844</v>
      </c>
      <c r="AJ28" s="91">
        <v>1973</v>
      </c>
      <c r="AK28" s="91">
        <v>1840</v>
      </c>
      <c r="AL28" s="91">
        <v>2000</v>
      </c>
      <c r="AM28" s="91">
        <v>2300</v>
      </c>
      <c r="AN28" s="91">
        <v>2300</v>
      </c>
      <c r="AO28" s="91">
        <v>2300</v>
      </c>
      <c r="AP28" s="91">
        <v>2530</v>
      </c>
      <c r="AQ28" s="91">
        <v>3680</v>
      </c>
      <c r="AR28" s="92">
        <f t="shared" si="63"/>
        <v>23562</v>
      </c>
      <c r="AS28" s="23"/>
      <c r="AT28" s="91">
        <v>1888</v>
      </c>
      <c r="AU28" s="91">
        <v>1414</v>
      </c>
      <c r="AV28" s="91">
        <v>2073</v>
      </c>
      <c r="AW28" s="91">
        <v>2338</v>
      </c>
      <c r="AX28" s="317">
        <v>1857</v>
      </c>
      <c r="AY28" s="317">
        <v>1857</v>
      </c>
      <c r="AZ28" s="317">
        <v>1772</v>
      </c>
      <c r="BA28" s="317">
        <v>1772</v>
      </c>
      <c r="BB28" s="317">
        <v>1857</v>
      </c>
      <c r="BC28" s="317">
        <v>2194</v>
      </c>
      <c r="BD28" s="317">
        <v>2363</v>
      </c>
      <c r="BE28" s="317">
        <v>3376</v>
      </c>
      <c r="BF28" s="91">
        <f t="shared" si="64"/>
        <v>24761</v>
      </c>
      <c r="BG28" s="93">
        <f t="shared" si="65"/>
        <v>5.0887021475256811E-2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>
        <v>22941</v>
      </c>
      <c r="BU28" s="54"/>
      <c r="BV28" s="91">
        <v>3211.29</v>
      </c>
      <c r="BW28" s="91">
        <v>2482.1699999999996</v>
      </c>
      <c r="BX28" s="91">
        <f>'META  EM PEÇAS'!U32-('META  EM PEÇAS'!U32*0.05)</f>
        <v>2790.0929999999998</v>
      </c>
      <c r="BY28" s="91">
        <f>'META  EM PEÇAS'!V32-('META  EM PEÇAS'!V32*0.05)</f>
        <v>2586.0044999999996</v>
      </c>
      <c r="BZ28" s="91">
        <f>'META  EM PEÇAS'!W32-('META  EM PEÇAS'!W32*0.05)</f>
        <v>2902.2974999999997</v>
      </c>
      <c r="CA28" s="91">
        <f>'META  EM PEÇAS'!X32-('META  EM PEÇAS'!X32*0.05)</f>
        <v>3495.1259999999997</v>
      </c>
      <c r="CB28" s="91">
        <f>'META  EM PEÇAS'!Y32-('META  EM PEÇAS'!Y32*0.05)</f>
        <v>4203.6929999999993</v>
      </c>
      <c r="CC28" s="91">
        <f>'META  EM PEÇAS'!Z32-('META  EM PEÇAS'!Z32*0.05)</f>
        <v>2810.4135000000001</v>
      </c>
      <c r="CD28" s="91">
        <f>'META  EM PEÇAS'!AA32-('META  EM PEÇAS'!AA32*0.05)</f>
        <v>2914.6664999999998</v>
      </c>
      <c r="CE28" s="91">
        <f>'META  EM PEÇAS'!AB32-('META  EM PEÇAS'!AB32*0.05)</f>
        <v>3162.93</v>
      </c>
      <c r="CF28" s="91">
        <f>'META  EM PEÇAS'!AC32-('META  EM PEÇAS'!AC32*0.05)</f>
        <v>4051.7309999999998</v>
      </c>
      <c r="CG28" s="91">
        <f>'META  EM PEÇAS'!AD32-('META  EM PEÇAS'!AD32*0.05)</f>
        <v>5709.1769999999997</v>
      </c>
      <c r="CH28" s="91">
        <f t="shared" si="66"/>
        <v>40319.59199999999</v>
      </c>
      <c r="CJ28" s="91">
        <v>3211.29</v>
      </c>
      <c r="CK28" s="91">
        <v>2482.1699999999996</v>
      </c>
      <c r="CL28" s="91">
        <v>2790.0929999999998</v>
      </c>
      <c r="CM28" s="91">
        <v>2586.0044999999996</v>
      </c>
      <c r="CN28" s="91">
        <v>2902.2974999999997</v>
      </c>
      <c r="CO28" s="91">
        <v>3495.1259999999997</v>
      </c>
      <c r="CP28" s="91">
        <v>4203.6929999999993</v>
      </c>
      <c r="CQ28" s="91">
        <v>2810.4135000000001</v>
      </c>
      <c r="CR28" s="91">
        <v>2914.6664999999998</v>
      </c>
      <c r="CS28" s="91">
        <v>3162.93</v>
      </c>
      <c r="CT28" s="91">
        <v>4051.7309999999998</v>
      </c>
      <c r="CU28" s="91">
        <v>5709.1769999999997</v>
      </c>
      <c r="CV28" s="91">
        <v>40319.59199999999</v>
      </c>
    </row>
    <row r="29" spans="1:100" ht="15" hidden="1" customHeight="1" outlineLevel="1">
      <c r="A29" s="94">
        <v>9</v>
      </c>
      <c r="B29" s="1092" t="s">
        <v>63</v>
      </c>
      <c r="C29" s="1118"/>
      <c r="D29" s="313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314">
        <f t="shared" si="61"/>
        <v>0</v>
      </c>
      <c r="Q29" s="90"/>
      <c r="R29" s="313">
        <v>1636</v>
      </c>
      <c r="S29" s="91">
        <v>1636</v>
      </c>
      <c r="T29" s="91">
        <f t="shared" ref="T29:T30" si="68">1818/2</f>
        <v>909</v>
      </c>
      <c r="U29" s="91">
        <v>0</v>
      </c>
      <c r="V29" s="91">
        <v>200</v>
      </c>
      <c r="W29" s="91">
        <v>300</v>
      </c>
      <c r="X29" s="91">
        <v>1000</v>
      </c>
      <c r="Y29" s="91">
        <v>1200</v>
      </c>
      <c r="Z29" s="91">
        <v>1600</v>
      </c>
      <c r="AA29" s="91">
        <v>1600</v>
      </c>
      <c r="AB29" s="91">
        <v>1800</v>
      </c>
      <c r="AC29" s="91">
        <v>2300</v>
      </c>
      <c r="AD29" s="315">
        <f t="shared" si="62"/>
        <v>14181</v>
      </c>
      <c r="AE29" s="23"/>
      <c r="AF29" s="316">
        <v>1500</v>
      </c>
      <c r="AG29" s="91">
        <v>1000</v>
      </c>
      <c r="AH29" s="91">
        <v>126</v>
      </c>
      <c r="AI29" s="91">
        <v>387</v>
      </c>
      <c r="AJ29" s="91">
        <v>895</v>
      </c>
      <c r="AK29" s="91">
        <v>800</v>
      </c>
      <c r="AL29" s="91">
        <v>1500</v>
      </c>
      <c r="AM29" s="91">
        <v>1000</v>
      </c>
      <c r="AN29" s="91">
        <v>1000</v>
      </c>
      <c r="AO29" s="91">
        <v>1000</v>
      </c>
      <c r="AP29" s="91">
        <v>1100</v>
      </c>
      <c r="AQ29" s="91">
        <v>1600</v>
      </c>
      <c r="AR29" s="92">
        <f t="shared" si="63"/>
        <v>11908</v>
      </c>
      <c r="AS29" s="23"/>
      <c r="AT29" s="91">
        <v>1182</v>
      </c>
      <c r="AU29" s="91">
        <v>1200</v>
      </c>
      <c r="AV29" s="91">
        <v>932</v>
      </c>
      <c r="AW29" s="91">
        <v>1020</v>
      </c>
      <c r="AX29" s="317">
        <v>0</v>
      </c>
      <c r="AY29" s="317">
        <v>0</v>
      </c>
      <c r="AZ29" s="317">
        <v>0</v>
      </c>
      <c r="BA29" s="317">
        <v>0</v>
      </c>
      <c r="BB29" s="317">
        <v>0</v>
      </c>
      <c r="BC29" s="317">
        <v>0</v>
      </c>
      <c r="BD29" s="317">
        <v>0</v>
      </c>
      <c r="BE29" s="317">
        <v>0</v>
      </c>
      <c r="BF29" s="91">
        <f t="shared" si="64"/>
        <v>4334</v>
      </c>
      <c r="BG29" s="93">
        <f t="shared" si="65"/>
        <v>-0.63604299630500505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>
        <v>7070</v>
      </c>
      <c r="BU29" s="54"/>
      <c r="BV29" s="91">
        <v>928.14</v>
      </c>
      <c r="BW29" s="91">
        <v>717.95999999999992</v>
      </c>
      <c r="BX29" s="91">
        <f>'META  EM PEÇAS'!U37-('META  EM PEÇAS'!U37*0.05)</f>
        <v>806.63549999999987</v>
      </c>
      <c r="BY29" s="91">
        <f>'META  EM PEÇAS'!V37-('META  EM PEÇAS'!V37*0.05)</f>
        <v>747.44100000000003</v>
      </c>
      <c r="BZ29" s="91">
        <f>'META  EM PEÇAS'!W37-('META  EM PEÇAS'!W37*0.05)</f>
        <v>839.32499999999993</v>
      </c>
      <c r="CA29" s="91">
        <f>'META  EM PEÇAS'!X37-('META  EM PEÇAS'!X37*0.05)</f>
        <v>1010.7239999999998</v>
      </c>
      <c r="CB29" s="91">
        <f>'META  EM PEÇAS'!Y37-('META  EM PEÇAS'!Y37*0.05)</f>
        <v>1214.8125</v>
      </c>
      <c r="CC29" s="91">
        <f>'META  EM PEÇAS'!Z37-('META  EM PEÇAS'!Z37*0.05)</f>
        <v>812.81999999999994</v>
      </c>
      <c r="CD29" s="91">
        <f>'META  EM PEÇAS'!AA37-('META  EM PEÇAS'!AA37*0.05)</f>
        <v>842.85899999999992</v>
      </c>
      <c r="CE29" s="91">
        <f>'META  EM PEÇAS'!AB37-('META  EM PEÇAS'!AB37*0.05)</f>
        <v>914.4224999999999</v>
      </c>
      <c r="CF29" s="91">
        <f>'META  EM PEÇAS'!AC37-('META  EM PEÇAS'!AC37*0.05)</f>
        <v>1171.5209999999997</v>
      </c>
      <c r="CG29" s="91">
        <f>'META  EM PEÇAS'!AD37-('META  EM PEÇAS'!AD37*0.05)</f>
        <v>1650.3779999999997</v>
      </c>
      <c r="CH29" s="91">
        <f t="shared" si="66"/>
        <v>11657.038499999999</v>
      </c>
      <c r="CJ29" s="91">
        <v>928.14</v>
      </c>
      <c r="CK29" s="91">
        <v>717.95999999999992</v>
      </c>
      <c r="CL29" s="91">
        <v>806.63549999999987</v>
      </c>
      <c r="CM29" s="91">
        <v>747.44100000000003</v>
      </c>
      <c r="CN29" s="91">
        <v>839.32499999999993</v>
      </c>
      <c r="CO29" s="91">
        <v>1010.7239999999998</v>
      </c>
      <c r="CP29" s="91">
        <v>1214.8125</v>
      </c>
      <c r="CQ29" s="91">
        <v>812.81999999999994</v>
      </c>
      <c r="CR29" s="91">
        <v>842.85899999999992</v>
      </c>
      <c r="CS29" s="91">
        <v>914.4224999999999</v>
      </c>
      <c r="CT29" s="91">
        <v>1171.5209999999997</v>
      </c>
      <c r="CU29" s="91">
        <v>1650.3779999999997</v>
      </c>
      <c r="CV29" s="91">
        <v>11657.038499999999</v>
      </c>
    </row>
    <row r="30" spans="1:100" ht="15" hidden="1" customHeight="1" outlineLevel="1">
      <c r="A30" s="94">
        <v>10</v>
      </c>
      <c r="B30" s="1092" t="s">
        <v>64</v>
      </c>
      <c r="C30" s="1118"/>
      <c r="D30" s="313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314">
        <f t="shared" si="61"/>
        <v>0</v>
      </c>
      <c r="Q30" s="90"/>
      <c r="R30" s="313">
        <v>1636</v>
      </c>
      <c r="S30" s="91">
        <v>1636</v>
      </c>
      <c r="T30" s="91">
        <f t="shared" si="68"/>
        <v>909</v>
      </c>
      <c r="U30" s="91">
        <f>0.5*U3</f>
        <v>0.5</v>
      </c>
      <c r="V30" s="91">
        <v>200</v>
      </c>
      <c r="W30" s="91">
        <v>300</v>
      </c>
      <c r="X30" s="91">
        <v>1000</v>
      </c>
      <c r="Y30" s="91">
        <v>1200</v>
      </c>
      <c r="Z30" s="91">
        <v>1600</v>
      </c>
      <c r="AA30" s="91">
        <v>1600</v>
      </c>
      <c r="AB30" s="91">
        <v>1800</v>
      </c>
      <c r="AC30" s="91">
        <v>2300</v>
      </c>
      <c r="AD30" s="315">
        <f t="shared" si="62"/>
        <v>14181.5</v>
      </c>
      <c r="AE30" s="23"/>
      <c r="AF30" s="316">
        <v>1500</v>
      </c>
      <c r="AG30" s="91">
        <v>1000</v>
      </c>
      <c r="AH30" s="91">
        <v>764</v>
      </c>
      <c r="AI30" s="91">
        <v>561</v>
      </c>
      <c r="AJ30" s="91">
        <v>1353</v>
      </c>
      <c r="AK30" s="91">
        <v>960</v>
      </c>
      <c r="AL30" s="91">
        <v>1500</v>
      </c>
      <c r="AM30" s="91">
        <v>1200</v>
      </c>
      <c r="AN30" s="91">
        <v>1200</v>
      </c>
      <c r="AO30" s="91">
        <v>1200</v>
      </c>
      <c r="AP30" s="91">
        <v>1320</v>
      </c>
      <c r="AQ30" s="91">
        <v>1920</v>
      </c>
      <c r="AR30" s="92">
        <f t="shared" si="63"/>
        <v>14478</v>
      </c>
      <c r="AS30" s="23"/>
      <c r="AT30" s="91">
        <v>1285</v>
      </c>
      <c r="AU30" s="91">
        <v>957</v>
      </c>
      <c r="AV30" s="91">
        <v>1426</v>
      </c>
      <c r="AW30" s="91">
        <v>1595</v>
      </c>
      <c r="AX30" s="317">
        <v>1767</v>
      </c>
      <c r="AY30" s="317">
        <v>1767</v>
      </c>
      <c r="AZ30" s="317">
        <v>1686</v>
      </c>
      <c r="BA30" s="317">
        <v>1686</v>
      </c>
      <c r="BB30" s="317">
        <v>1767</v>
      </c>
      <c r="BC30" s="317">
        <v>2088</v>
      </c>
      <c r="BD30" s="317">
        <v>2248</v>
      </c>
      <c r="BE30" s="317">
        <v>3212</v>
      </c>
      <c r="BF30" s="91">
        <f t="shared" si="64"/>
        <v>21484</v>
      </c>
      <c r="BG30" s="93">
        <f t="shared" si="65"/>
        <v>0.48390661693604087</v>
      </c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>
        <v>16952</v>
      </c>
      <c r="BU30" s="54"/>
      <c r="BV30" s="91">
        <v>2631.8999999999996</v>
      </c>
      <c r="BW30" s="91">
        <v>2034.84</v>
      </c>
      <c r="BX30" s="91">
        <f>'META  EM PEÇAS'!U33-('META  EM PEÇAS'!U33*0.05)</f>
        <v>2287.3815</v>
      </c>
      <c r="BY30" s="91">
        <f>'META  EM PEÇAS'!V33-('META  EM PEÇAS'!V33*0.05)</f>
        <v>2119.5164999999997</v>
      </c>
      <c r="BZ30" s="91">
        <f>'META  EM PEÇAS'!W33-('META  EM PEÇAS'!W33*0.05)</f>
        <v>2379.2655</v>
      </c>
      <c r="CA30" s="91">
        <f>'META  EM PEÇAS'!X33-('META  EM PEÇAS'!X33*0.05)</f>
        <v>2865.1904999999997</v>
      </c>
      <c r="CB30" s="91">
        <f>'META  EM PEÇAS'!Y33-('META  EM PEÇAS'!Y33*0.05)</f>
        <v>3445.6499999999996</v>
      </c>
      <c r="CC30" s="91">
        <f>'META  EM PEÇAS'!Z33-('META  EM PEÇAS'!Z33*0.05)</f>
        <v>2303.2844999999998</v>
      </c>
      <c r="CD30" s="91">
        <f>'META  EM PEÇAS'!AA33-('META  EM PEÇAS'!AA33*0.05)</f>
        <v>2388.9839999999999</v>
      </c>
      <c r="CE30" s="91">
        <f>'META  EM PEÇAS'!AB33-('META  EM PEÇAS'!AB33*0.05)</f>
        <v>2592.1889999999999</v>
      </c>
      <c r="CF30" s="91">
        <f>'META  EM PEÇAS'!AC33-('META  EM PEÇAS'!AC33*0.05)</f>
        <v>3321.0765000000001</v>
      </c>
      <c r="CG30" s="91">
        <f>'META  EM PEÇAS'!AD33-('META  EM PEÇAS'!AD33*0.05)</f>
        <v>4679.8995000000004</v>
      </c>
      <c r="CH30" s="91">
        <f t="shared" si="66"/>
        <v>33049.177499999998</v>
      </c>
      <c r="CJ30" s="91">
        <v>2631.8999999999996</v>
      </c>
      <c r="CK30" s="91">
        <v>2034.84</v>
      </c>
      <c r="CL30" s="91">
        <v>2287.3815</v>
      </c>
      <c r="CM30" s="91">
        <v>2119.5164999999997</v>
      </c>
      <c r="CN30" s="91">
        <v>2379.2655</v>
      </c>
      <c r="CO30" s="91">
        <v>2865.1904999999997</v>
      </c>
      <c r="CP30" s="91">
        <v>3445.6499999999996</v>
      </c>
      <c r="CQ30" s="91">
        <v>2303.2844999999998</v>
      </c>
      <c r="CR30" s="91">
        <v>2388.9839999999999</v>
      </c>
      <c r="CS30" s="91">
        <v>2592.1889999999999</v>
      </c>
      <c r="CT30" s="91">
        <v>3321.0765000000001</v>
      </c>
      <c r="CU30" s="91">
        <v>4679.8995000000004</v>
      </c>
      <c r="CV30" s="91">
        <v>33049.177499999998</v>
      </c>
    </row>
    <row r="31" spans="1:100" ht="15" hidden="1" customHeight="1" outlineLevel="1">
      <c r="A31" s="94">
        <v>10</v>
      </c>
      <c r="B31" s="1092" t="s">
        <v>65</v>
      </c>
      <c r="C31" s="1118"/>
      <c r="D31" s="313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314">
        <f t="shared" si="61"/>
        <v>0</v>
      </c>
      <c r="Q31" s="90"/>
      <c r="R31" s="313">
        <v>0</v>
      </c>
      <c r="S31" s="91">
        <v>0</v>
      </c>
      <c r="T31" s="91">
        <v>0</v>
      </c>
      <c r="U31" s="91">
        <v>0</v>
      </c>
      <c r="V31" s="91">
        <v>3500</v>
      </c>
      <c r="W31" s="91">
        <v>350</v>
      </c>
      <c r="X31" s="91">
        <v>800</v>
      </c>
      <c r="Y31" s="91">
        <v>1000</v>
      </c>
      <c r="Z31" s="91">
        <v>1600</v>
      </c>
      <c r="AA31" s="91">
        <v>2000</v>
      </c>
      <c r="AB31" s="91">
        <v>2400</v>
      </c>
      <c r="AC31" s="91">
        <v>3000</v>
      </c>
      <c r="AD31" s="315">
        <f t="shared" si="62"/>
        <v>14650</v>
      </c>
      <c r="AE31" s="23"/>
      <c r="AF31" s="316">
        <v>2500</v>
      </c>
      <c r="AG31" s="91">
        <v>1000</v>
      </c>
      <c r="AH31" s="91">
        <f>2500*0.15</f>
        <v>375</v>
      </c>
      <c r="AI31" s="91">
        <v>787</v>
      </c>
      <c r="AJ31" s="91">
        <v>1569</v>
      </c>
      <c r="AK31" s="91">
        <v>2000</v>
      </c>
      <c r="AL31" s="91">
        <v>2500</v>
      </c>
      <c r="AM31" s="91">
        <v>2500</v>
      </c>
      <c r="AN31" s="91">
        <v>2500</v>
      </c>
      <c r="AO31" s="91">
        <v>2500</v>
      </c>
      <c r="AP31" s="91">
        <v>2750</v>
      </c>
      <c r="AQ31" s="91">
        <v>4000</v>
      </c>
      <c r="AR31" s="92">
        <f t="shared" si="63"/>
        <v>24981</v>
      </c>
      <c r="AS31" s="23"/>
      <c r="AT31" s="91">
        <v>1806</v>
      </c>
      <c r="AU31" s="91">
        <v>2046</v>
      </c>
      <c r="AV31" s="91">
        <v>1646</v>
      </c>
      <c r="AW31" s="91">
        <v>1902</v>
      </c>
      <c r="AX31" s="317">
        <v>1545</v>
      </c>
      <c r="AY31" s="317">
        <v>1545</v>
      </c>
      <c r="AZ31" s="317">
        <v>1475</v>
      </c>
      <c r="BA31" s="317">
        <v>1475</v>
      </c>
      <c r="BB31" s="317">
        <v>1545</v>
      </c>
      <c r="BC31" s="317">
        <v>1826</v>
      </c>
      <c r="BD31" s="317">
        <v>0</v>
      </c>
      <c r="BE31" s="317">
        <v>0</v>
      </c>
      <c r="BF31" s="91">
        <f t="shared" si="64"/>
        <v>16811</v>
      </c>
      <c r="BG31" s="93">
        <f t="shared" si="65"/>
        <v>-0.32704855690324641</v>
      </c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>
        <v>10230</v>
      </c>
      <c r="BU31" s="54"/>
      <c r="BV31" s="91">
        <v>1335.48</v>
      </c>
      <c r="BW31" s="91">
        <v>1032.3</v>
      </c>
      <c r="BX31" s="91">
        <f>'META  EM PEÇAS'!U39-('META  EM PEÇAS'!U39*0.05)</f>
        <v>1160.0355</v>
      </c>
      <c r="BY31" s="91">
        <f>'META  EM PEÇAS'!V39-('META  EM PEÇAS'!V39*0.05)</f>
        <v>1075.2194999999999</v>
      </c>
      <c r="BZ31" s="91">
        <f>'META  EM PEÇAS'!W39-('META  EM PEÇAS'!W39*0.05)</f>
        <v>1206.8609999999999</v>
      </c>
      <c r="CA31" s="91">
        <f>'META  EM PEÇAS'!X39-('META  EM PEÇAS'!X39*0.05)</f>
        <v>1453.3574999999998</v>
      </c>
      <c r="CB31" s="91">
        <f>'META  EM PEÇAS'!Y39-('META  EM PEÇAS'!Y39*0.05)</f>
        <v>1747.5629999999999</v>
      </c>
      <c r="CC31" s="91">
        <f>'META  EM PEÇAS'!Z39-('META  EM PEÇAS'!Z39*0.05)</f>
        <v>1168.8705</v>
      </c>
      <c r="CD31" s="91">
        <f>'META  EM PEÇAS'!AA39-('META  EM PEÇAS'!AA39*0.05)</f>
        <v>1212.1619999999998</v>
      </c>
      <c r="CE31" s="91">
        <f>'META  EM PEÇAS'!AB39-('META  EM PEÇAS'!AB39*0.05)</f>
        <v>1314.6479999999999</v>
      </c>
      <c r="CF31" s="91">
        <f>'META  EM PEÇAS'!AC39-('META  EM PEÇAS'!AC39*0.05)</f>
        <v>1684.8344999999999</v>
      </c>
      <c r="CG31" s="91">
        <f>'META  EM PEÇAS'!AD39-('META  EM PEÇAS'!AD39*0.05)</f>
        <v>2373.9645</v>
      </c>
      <c r="CH31" s="91">
        <f t="shared" si="66"/>
        <v>16765.295999999995</v>
      </c>
      <c r="CJ31" s="91">
        <v>1335.48</v>
      </c>
      <c r="CK31" s="91">
        <v>1032.3</v>
      </c>
      <c r="CL31" s="91">
        <v>1160.0355</v>
      </c>
      <c r="CM31" s="91">
        <v>1075.2194999999999</v>
      </c>
      <c r="CN31" s="91">
        <v>1206.8609999999999</v>
      </c>
      <c r="CO31" s="91">
        <v>1453.3574999999998</v>
      </c>
      <c r="CP31" s="91">
        <v>1747.5629999999999</v>
      </c>
      <c r="CQ31" s="91">
        <v>1168.8705</v>
      </c>
      <c r="CR31" s="91">
        <v>1212.1619999999998</v>
      </c>
      <c r="CS31" s="91">
        <v>1314.6479999999999</v>
      </c>
      <c r="CT31" s="91">
        <v>1684.8344999999999</v>
      </c>
      <c r="CU31" s="91">
        <v>2373.9645</v>
      </c>
      <c r="CV31" s="91">
        <v>16765.295999999995</v>
      </c>
    </row>
    <row r="32" spans="1:100" ht="15" hidden="1" customHeight="1" outlineLevel="1">
      <c r="A32" s="94">
        <v>11</v>
      </c>
      <c r="B32" s="210" t="s">
        <v>66</v>
      </c>
      <c r="C32" s="211"/>
      <c r="D32" s="313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314">
        <f t="shared" si="61"/>
        <v>0</v>
      </c>
      <c r="Q32" s="90"/>
      <c r="R32" s="313">
        <v>0</v>
      </c>
      <c r="S32" s="91">
        <v>0</v>
      </c>
      <c r="T32" s="91">
        <v>0</v>
      </c>
      <c r="U32" s="91">
        <v>0</v>
      </c>
      <c r="V32" s="91">
        <v>4000</v>
      </c>
      <c r="W32" s="91">
        <v>100</v>
      </c>
      <c r="X32" s="91">
        <v>800</v>
      </c>
      <c r="Y32" s="91">
        <v>800</v>
      </c>
      <c r="Z32" s="91">
        <v>1200</v>
      </c>
      <c r="AA32" s="91">
        <v>1200</v>
      </c>
      <c r="AB32" s="91">
        <v>1800</v>
      </c>
      <c r="AC32" s="91">
        <v>2300</v>
      </c>
      <c r="AD32" s="315">
        <f t="shared" si="62"/>
        <v>12200</v>
      </c>
      <c r="AE32" s="23"/>
      <c r="AF32" s="316">
        <v>1500</v>
      </c>
      <c r="AG32" s="91">
        <v>1000</v>
      </c>
      <c r="AH32" s="91">
        <f t="shared" ref="AH32:AH33" si="69">1500*0.15</f>
        <v>225</v>
      </c>
      <c r="AI32" s="91">
        <v>324</v>
      </c>
      <c r="AJ32" s="91">
        <v>869</v>
      </c>
      <c r="AK32" s="91">
        <v>800</v>
      </c>
      <c r="AL32" s="91">
        <v>1500</v>
      </c>
      <c r="AM32" s="91">
        <v>1000</v>
      </c>
      <c r="AN32" s="91">
        <v>1000</v>
      </c>
      <c r="AO32" s="91">
        <v>1000</v>
      </c>
      <c r="AP32" s="91">
        <v>1100</v>
      </c>
      <c r="AQ32" s="91">
        <v>1600</v>
      </c>
      <c r="AR32" s="92">
        <f t="shared" si="63"/>
        <v>11918</v>
      </c>
      <c r="AS32" s="23"/>
      <c r="AT32" s="91">
        <v>1191</v>
      </c>
      <c r="AU32" s="91">
        <v>1191</v>
      </c>
      <c r="AV32" s="91">
        <v>1191</v>
      </c>
      <c r="AW32" s="91">
        <v>1191</v>
      </c>
      <c r="AX32" s="317">
        <v>876</v>
      </c>
      <c r="AY32" s="317">
        <v>876</v>
      </c>
      <c r="AZ32" s="317">
        <v>836</v>
      </c>
      <c r="BA32" s="317">
        <v>836</v>
      </c>
      <c r="BB32" s="317">
        <v>876</v>
      </c>
      <c r="BC32" s="317">
        <v>1035</v>
      </c>
      <c r="BD32" s="317">
        <v>0</v>
      </c>
      <c r="BE32" s="317">
        <v>0</v>
      </c>
      <c r="BF32" s="91">
        <f t="shared" si="64"/>
        <v>10099</v>
      </c>
      <c r="BG32" s="93">
        <f t="shared" si="65"/>
        <v>-0.15262627957711028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>
        <v>7342</v>
      </c>
      <c r="BU32" s="54"/>
      <c r="BV32" s="91">
        <v>1643.31</v>
      </c>
      <c r="BW32" s="91">
        <v>1270.3799999999999</v>
      </c>
      <c r="BX32" s="91">
        <f>'META  EM PEÇAS'!U40-('META  EM PEÇAS'!U40*0.05)</f>
        <v>1427.7359999999999</v>
      </c>
      <c r="BY32" s="91">
        <f>'META  EM PEÇAS'!V40-('META  EM PEÇAS'!V40*0.05)</f>
        <v>1323.4829999999999</v>
      </c>
      <c r="BZ32" s="91">
        <f>'META  EM PEÇAS'!W40-('META  EM PEÇAS'!W40*0.05)</f>
        <v>1485.1634999999999</v>
      </c>
      <c r="CA32" s="91">
        <f>'META  EM PEÇAS'!X40-('META  EM PEÇAS'!X40*0.05)</f>
        <v>1788.204</v>
      </c>
      <c r="CB32" s="91">
        <f>'META  EM PEÇAS'!Y40-('META  EM PEÇAS'!Y40*0.05)</f>
        <v>2151.3224999999998</v>
      </c>
      <c r="CC32" s="91">
        <f>'META  EM PEÇAS'!Z40-('META  EM PEÇAS'!Z40*0.05)</f>
        <v>1438.338</v>
      </c>
      <c r="CD32" s="91">
        <f>'META  EM PEÇAS'!AA40-('META  EM PEÇAS'!AA40*0.05)</f>
        <v>1491.348</v>
      </c>
      <c r="CE32" s="91">
        <f>'META  EM PEÇAS'!AB40-('META  EM PEÇAS'!AB40*0.05)</f>
        <v>1618.5719999999999</v>
      </c>
      <c r="CF32" s="91">
        <f>'META  EM PEÇAS'!AC40-('META  EM PEÇAS'!AC40*0.05)</f>
        <v>2073.5745000000002</v>
      </c>
      <c r="CG32" s="91">
        <f>'META  EM PEÇAS'!AD40-('META  EM PEÇAS'!AD40*0.05)</f>
        <v>2921.7344999999996</v>
      </c>
      <c r="CH32" s="91">
        <f t="shared" si="66"/>
        <v>20633.165999999997</v>
      </c>
      <c r="CJ32" s="91">
        <v>1643.31</v>
      </c>
      <c r="CK32" s="91">
        <v>1270.3799999999999</v>
      </c>
      <c r="CL32" s="91">
        <v>1427.7359999999999</v>
      </c>
      <c r="CM32" s="91">
        <v>1323.4829999999999</v>
      </c>
      <c r="CN32" s="91">
        <v>1485.1634999999999</v>
      </c>
      <c r="CO32" s="91">
        <v>1788.204</v>
      </c>
      <c r="CP32" s="91">
        <v>2151.3224999999998</v>
      </c>
      <c r="CQ32" s="91">
        <v>1438.338</v>
      </c>
      <c r="CR32" s="91">
        <v>1491.348</v>
      </c>
      <c r="CS32" s="91">
        <v>1618.5719999999999</v>
      </c>
      <c r="CT32" s="91">
        <v>2073.5745000000002</v>
      </c>
      <c r="CU32" s="91">
        <v>2921.7344999999996</v>
      </c>
      <c r="CV32" s="91">
        <v>20633.165999999997</v>
      </c>
    </row>
    <row r="33" spans="1:100" ht="15" hidden="1" customHeight="1" outlineLevel="1">
      <c r="A33" s="94">
        <v>12</v>
      </c>
      <c r="B33" s="210" t="s">
        <v>67</v>
      </c>
      <c r="C33" s="211"/>
      <c r="D33" s="313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314">
        <f t="shared" si="61"/>
        <v>0</v>
      </c>
      <c r="Q33" s="90"/>
      <c r="R33" s="313">
        <v>0</v>
      </c>
      <c r="S33" s="91">
        <v>0</v>
      </c>
      <c r="T33" s="91">
        <v>0</v>
      </c>
      <c r="U33" s="91">
        <v>0</v>
      </c>
      <c r="V33" s="91">
        <v>4000</v>
      </c>
      <c r="W33" s="91">
        <v>0</v>
      </c>
      <c r="X33" s="91">
        <v>800</v>
      </c>
      <c r="Y33" s="91">
        <v>1000</v>
      </c>
      <c r="Z33" s="91">
        <v>1200</v>
      </c>
      <c r="AA33" s="91">
        <v>1200</v>
      </c>
      <c r="AB33" s="91">
        <v>1800</v>
      </c>
      <c r="AC33" s="91">
        <v>2300</v>
      </c>
      <c r="AD33" s="315">
        <f t="shared" si="62"/>
        <v>12300</v>
      </c>
      <c r="AE33" s="23"/>
      <c r="AF33" s="316">
        <v>1500</v>
      </c>
      <c r="AG33" s="91">
        <v>1200</v>
      </c>
      <c r="AH33" s="91">
        <f t="shared" si="69"/>
        <v>225</v>
      </c>
      <c r="AI33" s="91">
        <v>332</v>
      </c>
      <c r="AJ33" s="91">
        <v>945</v>
      </c>
      <c r="AK33" s="91">
        <v>960</v>
      </c>
      <c r="AL33" s="91">
        <v>1500</v>
      </c>
      <c r="AM33" s="91">
        <v>1200</v>
      </c>
      <c r="AN33" s="91">
        <v>1200</v>
      </c>
      <c r="AO33" s="91">
        <v>1200</v>
      </c>
      <c r="AP33" s="91">
        <v>1320</v>
      </c>
      <c r="AQ33" s="91">
        <v>1920</v>
      </c>
      <c r="AR33" s="92">
        <f t="shared" si="63"/>
        <v>13502</v>
      </c>
      <c r="AS33" s="23"/>
      <c r="AT33" s="91">
        <v>1254</v>
      </c>
      <c r="AU33" s="91">
        <v>1254</v>
      </c>
      <c r="AV33" s="91">
        <v>1254</v>
      </c>
      <c r="AW33" s="91">
        <v>1254</v>
      </c>
      <c r="AX33" s="317">
        <v>1236</v>
      </c>
      <c r="AY33" s="317">
        <v>1236</v>
      </c>
      <c r="AZ33" s="317">
        <v>0</v>
      </c>
      <c r="BA33" s="317">
        <v>0</v>
      </c>
      <c r="BB33" s="317">
        <v>0</v>
      </c>
      <c r="BC33" s="317">
        <v>0</v>
      </c>
      <c r="BD33" s="317">
        <v>0</v>
      </c>
      <c r="BE33" s="317">
        <v>0</v>
      </c>
      <c r="BF33" s="91">
        <f t="shared" si="64"/>
        <v>7488</v>
      </c>
      <c r="BG33" s="93">
        <f t="shared" si="65"/>
        <v>-0.44541549400088876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>
        <v>16899</v>
      </c>
      <c r="BU33" s="54"/>
      <c r="BV33" s="91">
        <v>2552.85</v>
      </c>
      <c r="BW33" s="91">
        <v>1973.4599999999998</v>
      </c>
      <c r="BX33" s="91">
        <f>'META  EM PEÇAS'!U34-('META  EM PEÇAS'!U34*0.05)</f>
        <v>2218.4684999999999</v>
      </c>
      <c r="BY33" s="91">
        <f>'META  EM PEÇAS'!V34-('META  EM PEÇAS'!V34*0.05)</f>
        <v>2056.788</v>
      </c>
      <c r="BZ33" s="91">
        <f>'META  EM PEÇAS'!W34-('META  EM PEÇAS'!W34*0.05)</f>
        <v>2307.7019999999998</v>
      </c>
      <c r="CA33" s="91">
        <f>'META  EM PEÇAS'!X34-('META  EM PEÇAS'!X34*0.05)</f>
        <v>2778.6075000000001</v>
      </c>
      <c r="CB33" s="91">
        <f>'META  EM PEÇAS'!Y34-('META  EM PEÇAS'!Y34*0.05)</f>
        <v>3342.2804999999998</v>
      </c>
      <c r="CC33" s="91">
        <f>'META  EM PEÇAS'!Z34-('META  EM PEÇAS'!Z34*0.05)</f>
        <v>2234.3714999999997</v>
      </c>
      <c r="CD33" s="91">
        <f>'META  EM PEÇAS'!AA34-('META  EM PEÇAS'!AA34*0.05)</f>
        <v>2317.4204999999997</v>
      </c>
      <c r="CE33" s="91">
        <f>'META  EM PEÇAS'!AB34-('META  EM PEÇAS'!AB34*0.05)</f>
        <v>2514.4409999999998</v>
      </c>
      <c r="CF33" s="91">
        <f>'META  EM PEÇAS'!AC34-('META  EM PEÇAS'!AC34*0.05)</f>
        <v>3221.241</v>
      </c>
      <c r="CG33" s="91">
        <f>'META  EM PEÇAS'!AD34-('META  EM PEÇAS'!AD34*0.05)</f>
        <v>4539.4229999999989</v>
      </c>
      <c r="CH33" s="91">
        <f t="shared" si="66"/>
        <v>32057.053499999998</v>
      </c>
      <c r="CJ33" s="91">
        <v>2552.85</v>
      </c>
      <c r="CK33" s="91">
        <v>1973.4599999999998</v>
      </c>
      <c r="CL33" s="91">
        <v>2218.4684999999999</v>
      </c>
      <c r="CM33" s="91">
        <v>2056.788</v>
      </c>
      <c r="CN33" s="91">
        <v>2307.7019999999998</v>
      </c>
      <c r="CO33" s="91">
        <v>2778.6075000000001</v>
      </c>
      <c r="CP33" s="91">
        <v>3342.2804999999998</v>
      </c>
      <c r="CQ33" s="91">
        <v>2234.3714999999997</v>
      </c>
      <c r="CR33" s="91">
        <v>2317.4204999999997</v>
      </c>
      <c r="CS33" s="91">
        <v>2514.4409999999998</v>
      </c>
      <c r="CT33" s="91">
        <v>3221.241</v>
      </c>
      <c r="CU33" s="91">
        <v>4539.4229999999989</v>
      </c>
      <c r="CV33" s="91">
        <v>32057.053499999998</v>
      </c>
    </row>
    <row r="34" spans="1:100" ht="15" hidden="1" customHeight="1" outlineLevel="1">
      <c r="A34" s="94">
        <v>13</v>
      </c>
      <c r="B34" s="210" t="s">
        <v>68</v>
      </c>
      <c r="C34" s="212"/>
      <c r="D34" s="313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si="61"/>
        <v>0</v>
      </c>
      <c r="Q34" s="90"/>
      <c r="R34" s="313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2000</v>
      </c>
      <c r="Y34" s="91">
        <v>800</v>
      </c>
      <c r="Z34" s="91">
        <v>800</v>
      </c>
      <c r="AA34" s="91">
        <v>1200</v>
      </c>
      <c r="AB34" s="91">
        <v>1800</v>
      </c>
      <c r="AC34" s="91">
        <v>2300</v>
      </c>
      <c r="AD34" s="315">
        <f t="shared" si="62"/>
        <v>8900</v>
      </c>
      <c r="AE34" s="23"/>
      <c r="AF34" s="316">
        <v>1800</v>
      </c>
      <c r="AG34" s="91">
        <v>1200</v>
      </c>
      <c r="AH34" s="91">
        <f>1800*0.15</f>
        <v>270</v>
      </c>
      <c r="AI34" s="91">
        <v>896</v>
      </c>
      <c r="AJ34" s="91">
        <v>1339</v>
      </c>
      <c r="AK34" s="91">
        <v>1600</v>
      </c>
      <c r="AL34" s="91">
        <v>1800</v>
      </c>
      <c r="AM34" s="91">
        <v>2000</v>
      </c>
      <c r="AN34" s="91">
        <v>2000</v>
      </c>
      <c r="AO34" s="91">
        <v>2000</v>
      </c>
      <c r="AP34" s="91">
        <v>2200</v>
      </c>
      <c r="AQ34" s="91">
        <v>3200</v>
      </c>
      <c r="AR34" s="92">
        <f t="shared" si="63"/>
        <v>20305</v>
      </c>
      <c r="AS34" s="23"/>
      <c r="AT34" s="91">
        <v>1980</v>
      </c>
      <c r="AU34" s="91">
        <v>1980</v>
      </c>
      <c r="AV34" s="91">
        <v>1980</v>
      </c>
      <c r="AW34" s="91">
        <v>1980</v>
      </c>
      <c r="AX34" s="317">
        <v>1409</v>
      </c>
      <c r="AY34" s="317">
        <v>1409</v>
      </c>
      <c r="AZ34" s="317">
        <v>1345</v>
      </c>
      <c r="BA34" s="317">
        <v>1345</v>
      </c>
      <c r="BB34" s="317">
        <v>1409</v>
      </c>
      <c r="BC34" s="317">
        <v>1665</v>
      </c>
      <c r="BD34" s="317">
        <v>1793</v>
      </c>
      <c r="BE34" s="317">
        <v>2562</v>
      </c>
      <c r="BF34" s="91">
        <f t="shared" si="64"/>
        <v>20857</v>
      </c>
      <c r="BG34" s="93">
        <f t="shared" si="65"/>
        <v>2.7185422309775831E-2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>
        <v>11555</v>
      </c>
      <c r="BU34" s="54"/>
      <c r="BV34" s="91">
        <v>1903.7099999999998</v>
      </c>
      <c r="BW34" s="91">
        <v>1471.26</v>
      </c>
      <c r="BX34" s="91">
        <f>'META  EM PEÇAS'!U35-('META  EM PEÇAS'!U35*0.05)</f>
        <v>1654.7954999999999</v>
      </c>
      <c r="BY34" s="91">
        <f>'META  EM PEÇAS'!V35-('META  EM PEÇAS'!V35*0.05)</f>
        <v>1533.7559999999999</v>
      </c>
      <c r="BZ34" s="91">
        <f>'META  EM PEÇAS'!W35-('META  EM PEÇAS'!W35*0.05)</f>
        <v>1721.058</v>
      </c>
      <c r="CA34" s="91">
        <f>'META  EM PEÇAS'!X35-('META  EM PEÇAS'!X35*0.05)</f>
        <v>2071.8074999999999</v>
      </c>
      <c r="CB34" s="91">
        <f>'META  EM PEÇAS'!Y35-('META  EM PEÇAS'!Y35*0.05)</f>
        <v>2492.3534999999997</v>
      </c>
      <c r="CC34" s="91">
        <f>'META  EM PEÇAS'!Z35-('META  EM PEÇAS'!Z35*0.05)</f>
        <v>1666.2809999999997</v>
      </c>
      <c r="CD34" s="91">
        <f>'META  EM PEÇAS'!AA35-('META  EM PEÇAS'!AA35*0.05)</f>
        <v>1728.126</v>
      </c>
      <c r="CE34" s="91">
        <f>'META  EM PEÇAS'!AB35-('META  EM PEÇAS'!AB35*0.05)</f>
        <v>1874.7869999999998</v>
      </c>
      <c r="CF34" s="91">
        <f>'META  EM PEÇAS'!AC35-('META  EM PEÇAS'!AC35*0.05)</f>
        <v>2402.2364999999995</v>
      </c>
      <c r="CG34" s="91">
        <f>'META  EM PEÇAS'!AD35-('META  EM PEÇAS'!AD35*0.05)</f>
        <v>3384.6884999999997</v>
      </c>
      <c r="CH34" s="91">
        <f t="shared" si="66"/>
        <v>23904.859499999995</v>
      </c>
      <c r="CJ34" s="91">
        <v>1903.7099999999998</v>
      </c>
      <c r="CK34" s="91">
        <v>1471.26</v>
      </c>
      <c r="CL34" s="91">
        <v>1654.7954999999999</v>
      </c>
      <c r="CM34" s="91">
        <v>1533.7559999999999</v>
      </c>
      <c r="CN34" s="91">
        <v>1721.058</v>
      </c>
      <c r="CO34" s="91">
        <v>2071.8074999999999</v>
      </c>
      <c r="CP34" s="91">
        <v>2492.3534999999997</v>
      </c>
      <c r="CQ34" s="91">
        <v>1666.2809999999997</v>
      </c>
      <c r="CR34" s="91">
        <v>1728.126</v>
      </c>
      <c r="CS34" s="91">
        <v>1874.7869999999998</v>
      </c>
      <c r="CT34" s="91">
        <v>2402.2364999999995</v>
      </c>
      <c r="CU34" s="91">
        <v>3384.6884999999997</v>
      </c>
      <c r="CV34" s="91">
        <v>23904.859499999995</v>
      </c>
    </row>
    <row r="35" spans="1:100" ht="15" hidden="1" customHeight="1" outlineLevel="1">
      <c r="A35" s="94">
        <v>14</v>
      </c>
      <c r="B35" s="210" t="s">
        <v>69</v>
      </c>
      <c r="C35" s="212"/>
      <c r="D35" s="313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/>
      <c r="Q35" s="90"/>
      <c r="R35" s="313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2000</v>
      </c>
      <c r="Z35" s="91">
        <v>800</v>
      </c>
      <c r="AA35" s="91">
        <v>800</v>
      </c>
      <c r="AB35" s="91">
        <v>1200</v>
      </c>
      <c r="AC35" s="91">
        <v>1800</v>
      </c>
      <c r="AD35" s="315">
        <f t="shared" si="62"/>
        <v>6600</v>
      </c>
      <c r="AE35" s="23"/>
      <c r="AF35" s="316">
        <v>1500</v>
      </c>
      <c r="AG35" s="91">
        <v>1200</v>
      </c>
      <c r="AH35" s="91">
        <f>1500*0.15</f>
        <v>225</v>
      </c>
      <c r="AI35" s="91">
        <v>374</v>
      </c>
      <c r="AJ35" s="91">
        <v>990</v>
      </c>
      <c r="AK35" s="91">
        <v>960</v>
      </c>
      <c r="AL35" s="91">
        <v>1800</v>
      </c>
      <c r="AM35" s="91">
        <v>1200</v>
      </c>
      <c r="AN35" s="91">
        <v>1200</v>
      </c>
      <c r="AO35" s="91">
        <v>1200</v>
      </c>
      <c r="AP35" s="91">
        <v>1320</v>
      </c>
      <c r="AQ35" s="91">
        <v>1920</v>
      </c>
      <c r="AR35" s="92">
        <f t="shared" si="63"/>
        <v>13889</v>
      </c>
      <c r="AS35" s="23"/>
      <c r="AT35" s="91">
        <v>1518</v>
      </c>
      <c r="AU35" s="91">
        <v>1518</v>
      </c>
      <c r="AV35" s="91">
        <v>1518</v>
      </c>
      <c r="AW35" s="91">
        <v>1518</v>
      </c>
      <c r="AX35" s="317">
        <v>1276</v>
      </c>
      <c r="AY35" s="317">
        <v>1276</v>
      </c>
      <c r="AZ35" s="317">
        <v>1218</v>
      </c>
      <c r="BA35" s="317">
        <v>1218</v>
      </c>
      <c r="BB35" s="317">
        <v>1276</v>
      </c>
      <c r="BC35" s="317">
        <v>1508</v>
      </c>
      <c r="BD35" s="317">
        <v>1624</v>
      </c>
      <c r="BE35" s="317">
        <v>2320</v>
      </c>
      <c r="BF35" s="91">
        <f t="shared" si="64"/>
        <v>17788</v>
      </c>
      <c r="BG35" s="93">
        <f t="shared" si="65"/>
        <v>0.2807257541939665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>
        <v>19018</v>
      </c>
      <c r="BU35" s="54"/>
      <c r="BV35" s="91">
        <v>2737.9199999999996</v>
      </c>
      <c r="BW35" s="91">
        <v>2116.6799999999998</v>
      </c>
      <c r="BX35" s="91">
        <f>'META  EM PEÇAS'!U36-('META  EM PEÇAS'!U36*0.05)</f>
        <v>2379.2655</v>
      </c>
      <c r="BY35" s="91">
        <f>'META  EM PEÇAS'!V36-('META  EM PEÇAS'!V36*0.05)</f>
        <v>2205.2159999999999</v>
      </c>
      <c r="BZ35" s="91">
        <f>'META  EM PEÇAS'!W36-('META  EM PEÇAS'!W36*0.05)</f>
        <v>2474.6834999999996</v>
      </c>
      <c r="CA35" s="91">
        <f>'META  EM PEÇAS'!X36-('META  EM PEÇAS'!X36*0.05)</f>
        <v>2980.0454999999997</v>
      </c>
      <c r="CB35" s="91">
        <f>'META  EM PEÇAS'!Y36-('META  EM PEÇAS'!Y36*0.05)</f>
        <v>3584.3594999999996</v>
      </c>
      <c r="CC35" s="91">
        <f>'META  EM PEÇAS'!Z36-('META  EM PEÇAS'!Z36*0.05)</f>
        <v>2396.0519999999997</v>
      </c>
      <c r="CD35" s="91">
        <f>'META  EM PEÇAS'!AA36-('META  EM PEÇAS'!AA36*0.05)</f>
        <v>2485.2854999999995</v>
      </c>
      <c r="CE35" s="91">
        <f>'META  EM PEÇAS'!AB36-('META  EM PEÇAS'!AB36*0.05)</f>
        <v>2696.4419999999996</v>
      </c>
      <c r="CF35" s="91">
        <f>'META  EM PEÇAS'!AC36-('META  EM PEÇAS'!AC36*0.05)</f>
        <v>3454.4849999999997</v>
      </c>
      <c r="CG35" s="91">
        <f>'META  EM PEÇAS'!AD36-('META  EM PEÇAS'!AD36*0.05)</f>
        <v>4868.0849999999991</v>
      </c>
      <c r="CH35" s="91">
        <f t="shared" si="66"/>
        <v>34378.519499999995</v>
      </c>
      <c r="CJ35" s="91">
        <v>2737.9199999999996</v>
      </c>
      <c r="CK35" s="91">
        <v>2116.6799999999998</v>
      </c>
      <c r="CL35" s="91">
        <v>2379.2655</v>
      </c>
      <c r="CM35" s="91">
        <v>2205.2159999999999</v>
      </c>
      <c r="CN35" s="91">
        <v>2474.6834999999996</v>
      </c>
      <c r="CO35" s="91">
        <v>2980.0454999999997</v>
      </c>
      <c r="CP35" s="91">
        <v>3584.3594999999996</v>
      </c>
      <c r="CQ35" s="91">
        <v>2396.0519999999997</v>
      </c>
      <c r="CR35" s="91">
        <v>2485.2854999999995</v>
      </c>
      <c r="CS35" s="91">
        <v>2696.4419999999996</v>
      </c>
      <c r="CT35" s="91">
        <v>3454.4849999999997</v>
      </c>
      <c r="CU35" s="91">
        <v>4868.0849999999991</v>
      </c>
      <c r="CV35" s="91">
        <v>34378.519499999995</v>
      </c>
    </row>
    <row r="36" spans="1:100" ht="15" hidden="1" customHeight="1" outlineLevel="1">
      <c r="A36" s="94">
        <v>15</v>
      </c>
      <c r="B36" s="210" t="s">
        <v>70</v>
      </c>
      <c r="C36" s="212"/>
      <c r="D36" s="313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/>
      <c r="Q36" s="90"/>
      <c r="R36" s="313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2000</v>
      </c>
      <c r="AA36" s="91">
        <v>800</v>
      </c>
      <c r="AB36" s="91">
        <v>800</v>
      </c>
      <c r="AC36" s="91">
        <v>1500</v>
      </c>
      <c r="AD36" s="315">
        <f t="shared" si="62"/>
        <v>5100</v>
      </c>
      <c r="AE36" s="23"/>
      <c r="AF36" s="316">
        <v>1800</v>
      </c>
      <c r="AG36" s="91">
        <v>1200</v>
      </c>
      <c r="AH36" s="91">
        <f>1800*0.4</f>
        <v>720</v>
      </c>
      <c r="AI36" s="91">
        <v>1147</v>
      </c>
      <c r="AJ36" s="91">
        <v>1155</v>
      </c>
      <c r="AK36" s="91">
        <v>1600</v>
      </c>
      <c r="AL36" s="91">
        <v>1800</v>
      </c>
      <c r="AM36" s="91">
        <v>2000</v>
      </c>
      <c r="AN36" s="91">
        <v>2000</v>
      </c>
      <c r="AO36" s="91">
        <v>2000</v>
      </c>
      <c r="AP36" s="91">
        <v>2200</v>
      </c>
      <c r="AQ36" s="91">
        <v>3200</v>
      </c>
      <c r="AR36" s="92">
        <f t="shared" si="63"/>
        <v>20822</v>
      </c>
      <c r="AS36" s="23"/>
      <c r="AT36" s="91">
        <v>1544</v>
      </c>
      <c r="AU36" s="91">
        <v>1544</v>
      </c>
      <c r="AV36" s="91">
        <v>1544</v>
      </c>
      <c r="AW36" s="91">
        <v>1544</v>
      </c>
      <c r="AX36" s="317">
        <v>862</v>
      </c>
      <c r="AY36" s="317">
        <v>862</v>
      </c>
      <c r="AZ36" s="317">
        <v>823</v>
      </c>
      <c r="BA36" s="317">
        <v>823</v>
      </c>
      <c r="BB36" s="317">
        <v>862</v>
      </c>
      <c r="BC36" s="317">
        <v>1019</v>
      </c>
      <c r="BD36" s="317">
        <v>1098</v>
      </c>
      <c r="BE36" s="317">
        <v>1568</v>
      </c>
      <c r="BF36" s="91">
        <f t="shared" si="64"/>
        <v>14093</v>
      </c>
      <c r="BG36" s="93">
        <f t="shared" si="65"/>
        <v>-0.32316780328498707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>
        <v>21133</v>
      </c>
      <c r="BU36" s="54"/>
      <c r="BV36" s="91">
        <v>3593.52</v>
      </c>
      <c r="BW36" s="91">
        <v>2776.98</v>
      </c>
      <c r="BX36" s="91">
        <f>'META  EM PEÇAS'!U38-('META  EM PEÇAS'!U38*0.05)</f>
        <v>3122.2889999999998</v>
      </c>
      <c r="BY36" s="91">
        <f>'META  EM PEÇAS'!V38-('META  EM PEÇAS'!V38*0.05)</f>
        <v>2893.4625000000001</v>
      </c>
      <c r="BZ36" s="91">
        <f>'META  EM PEÇAS'!W38-('META  EM PEÇAS'!W38*0.05)</f>
        <v>3247.7459999999996</v>
      </c>
      <c r="CA36" s="91">
        <f>'META  EM PEÇAS'!X38-('META  EM PEÇAS'!X38*0.05)</f>
        <v>3910.3709999999992</v>
      </c>
      <c r="CB36" s="91">
        <f>'META  EM PEÇAS'!Y38-('META  EM PEÇAS'!Y38*0.05)</f>
        <v>4703.7539999999999</v>
      </c>
      <c r="CC36" s="91">
        <f>'META  EM PEÇAS'!Z38-('META  EM PEÇAS'!Z38*0.05)</f>
        <v>3144.3764999999999</v>
      </c>
      <c r="CD36" s="91">
        <f>'META  EM PEÇAS'!AA38-('META  EM PEÇAS'!AA38*0.05)</f>
        <v>3260.9984999999997</v>
      </c>
      <c r="CE36" s="91">
        <f>'META  EM PEÇAS'!AB38-('META  EM PEÇAS'!AB38*0.05)</f>
        <v>3539.3009999999999</v>
      </c>
      <c r="CF36" s="91">
        <f>'META  EM PEÇAS'!AC38-('META  EM PEÇAS'!AC38*0.05)</f>
        <v>4533.2384999999995</v>
      </c>
      <c r="CG36" s="91">
        <f>'META  EM PEÇAS'!AD38-('META  EM PEÇAS'!AD38*0.05)</f>
        <v>6387.7049999999999</v>
      </c>
      <c r="CH36" s="91">
        <f t="shared" si="66"/>
        <v>45113.741999999998</v>
      </c>
      <c r="CJ36" s="91">
        <v>3593.52</v>
      </c>
      <c r="CK36" s="91">
        <v>2776.98</v>
      </c>
      <c r="CL36" s="91">
        <v>3122.2889999999998</v>
      </c>
      <c r="CM36" s="91">
        <v>2893.4625000000001</v>
      </c>
      <c r="CN36" s="91">
        <v>3247.7459999999996</v>
      </c>
      <c r="CO36" s="91">
        <v>3910.3709999999992</v>
      </c>
      <c r="CP36" s="91">
        <v>4703.7539999999999</v>
      </c>
      <c r="CQ36" s="91">
        <v>3144.3764999999999</v>
      </c>
      <c r="CR36" s="91">
        <v>3260.9984999999997</v>
      </c>
      <c r="CS36" s="91">
        <v>3539.3009999999999</v>
      </c>
      <c r="CT36" s="91">
        <v>4533.2384999999995</v>
      </c>
      <c r="CU36" s="91">
        <v>6387.7049999999999</v>
      </c>
      <c r="CV36" s="91">
        <v>45113.741999999998</v>
      </c>
    </row>
    <row r="37" spans="1:100" ht="15" hidden="1" customHeight="1" outlineLevel="1">
      <c r="A37" s="94">
        <v>16</v>
      </c>
      <c r="B37" s="216" t="s">
        <v>71</v>
      </c>
      <c r="C37" s="212"/>
      <c r="D37" s="313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/>
      <c r="Q37" s="90"/>
      <c r="R37" s="313"/>
      <c r="S37" s="91"/>
      <c r="T37" s="91"/>
      <c r="U37" s="91"/>
      <c r="V37" s="91"/>
      <c r="W37" s="91"/>
      <c r="X37" s="91"/>
      <c r="Y37" s="91"/>
      <c r="Z37" s="91"/>
      <c r="AA37" s="91">
        <v>800</v>
      </c>
      <c r="AB37" s="91">
        <v>800</v>
      </c>
      <c r="AC37" s="91">
        <v>1500</v>
      </c>
      <c r="AD37" s="315"/>
      <c r="AE37" s="23"/>
      <c r="AF37" s="316">
        <v>1500</v>
      </c>
      <c r="AG37" s="91">
        <v>1200</v>
      </c>
      <c r="AH37" s="91">
        <f>1500*0.15</f>
        <v>225</v>
      </c>
      <c r="AI37" s="91">
        <v>192</v>
      </c>
      <c r="AJ37" s="91">
        <v>663</v>
      </c>
      <c r="AK37" s="91">
        <v>800</v>
      </c>
      <c r="AL37" s="91">
        <v>1500</v>
      </c>
      <c r="AM37" s="91">
        <v>1000</v>
      </c>
      <c r="AN37" s="91">
        <v>1000</v>
      </c>
      <c r="AO37" s="91">
        <v>1000</v>
      </c>
      <c r="AP37" s="91">
        <v>1100</v>
      </c>
      <c r="AQ37" s="91">
        <v>1600</v>
      </c>
      <c r="AR37" s="92">
        <f t="shared" si="63"/>
        <v>11780</v>
      </c>
      <c r="AS37" s="23"/>
      <c r="AT37" s="91">
        <v>960</v>
      </c>
      <c r="AU37" s="91">
        <v>960</v>
      </c>
      <c r="AV37" s="91">
        <v>960</v>
      </c>
      <c r="AW37" s="91">
        <v>960</v>
      </c>
      <c r="AX37" s="317">
        <v>1414</v>
      </c>
      <c r="AY37" s="317">
        <v>1414</v>
      </c>
      <c r="AZ37" s="317">
        <v>1350</v>
      </c>
      <c r="BA37" s="317">
        <v>1350</v>
      </c>
      <c r="BB37" s="317">
        <v>1414</v>
      </c>
      <c r="BC37" s="317">
        <v>1671</v>
      </c>
      <c r="BD37" s="317">
        <v>1800</v>
      </c>
      <c r="BE37" s="317">
        <v>2571</v>
      </c>
      <c r="BF37" s="91">
        <f t="shared" si="64"/>
        <v>16824</v>
      </c>
      <c r="BG37" s="93">
        <f t="shared" si="65"/>
        <v>0.42818336162988113</v>
      </c>
      <c r="BH37" s="91">
        <v>900</v>
      </c>
      <c r="BI37" s="91">
        <v>643</v>
      </c>
      <c r="BJ37" s="91">
        <v>891</v>
      </c>
      <c r="BK37" s="91">
        <v>679</v>
      </c>
      <c r="BL37" s="91">
        <v>940</v>
      </c>
      <c r="BM37" s="91">
        <v>948</v>
      </c>
      <c r="BN37" s="91">
        <v>1124</v>
      </c>
      <c r="BO37" s="91">
        <v>913</v>
      </c>
      <c r="BP37" s="91">
        <v>911</v>
      </c>
      <c r="BQ37" s="91">
        <v>898</v>
      </c>
      <c r="BR37" s="91">
        <v>1465</v>
      </c>
      <c r="BS37" s="91">
        <v>1278</v>
      </c>
      <c r="BT37" s="91">
        <f>SUM(BH37:BS37)</f>
        <v>11590</v>
      </c>
      <c r="BU37" s="54"/>
      <c r="BV37" s="91">
        <f>'META  EM PEÇAS'!T47</f>
        <v>1749.7324726431702</v>
      </c>
      <c r="BW37" s="91">
        <f>'META  EM PEÇAS'!T48</f>
        <v>1701.1287928475265</v>
      </c>
      <c r="BX37" s="91">
        <f>'META  EM PEÇAS'!T49</f>
        <v>1846.9398322344578</v>
      </c>
      <c r="BY37" s="91">
        <f>'META  EM PEÇAS'!T50</f>
        <v>1701.1287928475265</v>
      </c>
      <c r="BZ37" s="91">
        <f>'META  EM PEÇAS'!T51</f>
        <v>1846.9398322344578</v>
      </c>
      <c r="CA37" s="91">
        <f>'META  EM PEÇAS'!T52</f>
        <v>1749.7324726431702</v>
      </c>
      <c r="CB37" s="91">
        <f>'META  EM PEÇAS'!T53</f>
        <v>2138.5619110083194</v>
      </c>
      <c r="CC37" s="91">
        <f>'META  EM PEÇAS'!T54</f>
        <v>1749.7324726431702</v>
      </c>
      <c r="CD37" s="91">
        <f>'META  EM PEÇAS'!T55</f>
        <v>1749.7324726431702</v>
      </c>
      <c r="CE37" s="91">
        <f>'META  EM PEÇAS'!T56</f>
        <v>1749.7324726431702</v>
      </c>
      <c r="CF37" s="91">
        <f>'META  EM PEÇAS'!T57</f>
        <v>2721.8060685560426</v>
      </c>
      <c r="CG37" s="91">
        <f>'META  EM PEÇAS'!T58</f>
        <v>1944.1471918257448</v>
      </c>
      <c r="CH37" s="91">
        <f t="shared" si="66"/>
        <v>22649.314784769926</v>
      </c>
      <c r="CJ37" s="91">
        <v>1749.7324726431702</v>
      </c>
      <c r="CK37" s="91">
        <v>1701.1287928475265</v>
      </c>
      <c r="CL37" s="91">
        <v>1846.9398322344578</v>
      </c>
      <c r="CM37" s="91">
        <v>1701.1287928475265</v>
      </c>
      <c r="CN37" s="91">
        <v>1846.9398322344578</v>
      </c>
      <c r="CO37" s="91">
        <v>1749.7324726431702</v>
      </c>
      <c r="CP37" s="91">
        <v>2138.5619110083194</v>
      </c>
      <c r="CQ37" s="91">
        <v>1749.7324726431702</v>
      </c>
      <c r="CR37" s="91">
        <v>1749.7324726431702</v>
      </c>
      <c r="CS37" s="91">
        <v>1749.7324726431702</v>
      </c>
      <c r="CT37" s="91">
        <v>2721.8060685560426</v>
      </c>
      <c r="CU37" s="91">
        <v>1944.1471918257448</v>
      </c>
      <c r="CV37" s="91">
        <v>22649.314784769926</v>
      </c>
    </row>
    <row r="38" spans="1:100" ht="15" hidden="1" customHeight="1" outlineLevel="1">
      <c r="A38" s="94"/>
      <c r="B38" s="210"/>
      <c r="C38" s="213"/>
      <c r="D38" s="313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/>
      <c r="Q38" s="90"/>
      <c r="R38" s="313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315"/>
      <c r="AE38" s="23"/>
      <c r="AF38" s="316">
        <v>0</v>
      </c>
      <c r="AG38" s="91">
        <v>0</v>
      </c>
      <c r="AH38" s="91">
        <v>0</v>
      </c>
      <c r="AI38" s="91">
        <v>0</v>
      </c>
      <c r="AJ38" s="91">
        <v>0</v>
      </c>
      <c r="AK38" s="91">
        <v>400</v>
      </c>
      <c r="AL38" s="91">
        <v>500</v>
      </c>
      <c r="AM38" s="91">
        <v>500</v>
      </c>
      <c r="AN38" s="91">
        <v>600</v>
      </c>
      <c r="AO38" s="91">
        <v>600</v>
      </c>
      <c r="AP38" s="91">
        <v>660</v>
      </c>
      <c r="AQ38" s="91">
        <v>960</v>
      </c>
      <c r="AR38" s="92">
        <f t="shared" si="63"/>
        <v>4220</v>
      </c>
      <c r="AS38" s="23"/>
      <c r="AT38" s="91">
        <v>960</v>
      </c>
      <c r="AU38" s="91">
        <v>960</v>
      </c>
      <c r="AV38" s="91">
        <v>960</v>
      </c>
      <c r="AW38" s="91">
        <v>960</v>
      </c>
      <c r="AX38" s="317">
        <v>580</v>
      </c>
      <c r="AY38" s="317">
        <v>580</v>
      </c>
      <c r="AZ38" s="317">
        <v>554</v>
      </c>
      <c r="BA38" s="317">
        <v>554</v>
      </c>
      <c r="BB38" s="317">
        <v>580</v>
      </c>
      <c r="BC38" s="317">
        <v>686</v>
      </c>
      <c r="BD38" s="317">
        <v>739</v>
      </c>
      <c r="BE38" s="317">
        <v>1055</v>
      </c>
      <c r="BF38" s="91">
        <f t="shared" si="64"/>
        <v>9168</v>
      </c>
      <c r="BG38" s="93">
        <f t="shared" si="65"/>
        <v>1.172511848341232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54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  <c r="CJ38" s="91"/>
      <c r="CK38" s="91"/>
      <c r="CL38" s="91"/>
      <c r="CM38" s="91"/>
      <c r="CN38" s="91"/>
      <c r="CO38" s="91"/>
      <c r="CP38" s="91"/>
      <c r="CQ38" s="91"/>
      <c r="CR38" s="91"/>
      <c r="CS38" s="91"/>
      <c r="CT38" s="91"/>
      <c r="CU38" s="91"/>
      <c r="CV38" s="91"/>
    </row>
    <row r="39" spans="1:100" ht="15" hidden="1" customHeight="1" outlineLevel="1">
      <c r="A39" s="95"/>
      <c r="B39" s="216"/>
      <c r="C39" s="420"/>
      <c r="D39" s="421"/>
      <c r="E39" s="422"/>
      <c r="F39" s="422"/>
      <c r="G39" s="422"/>
      <c r="H39" s="422"/>
      <c r="I39" s="422"/>
      <c r="J39" s="422"/>
      <c r="K39" s="422"/>
      <c r="L39" s="422"/>
      <c r="M39" s="422"/>
      <c r="N39" s="422"/>
      <c r="O39" s="422"/>
      <c r="P39" s="423"/>
      <c r="Q39" s="424"/>
      <c r="R39" s="421"/>
      <c r="S39" s="425"/>
      <c r="T39" s="425"/>
      <c r="U39" s="425"/>
      <c r="V39" s="425"/>
      <c r="W39" s="425"/>
      <c r="X39" s="425"/>
      <c r="Y39" s="425"/>
      <c r="Z39" s="425"/>
      <c r="AA39" s="425"/>
      <c r="AB39" s="425"/>
      <c r="AC39" s="425"/>
      <c r="AD39" s="426"/>
      <c r="AE39" s="427"/>
      <c r="AF39" s="428">
        <v>0</v>
      </c>
      <c r="AG39" s="425">
        <v>0</v>
      </c>
      <c r="AH39" s="425">
        <v>0</v>
      </c>
      <c r="AI39" s="425">
        <v>0</v>
      </c>
      <c r="AJ39" s="425">
        <v>0</v>
      </c>
      <c r="AK39" s="425">
        <v>0</v>
      </c>
      <c r="AL39" s="425">
        <v>2500</v>
      </c>
      <c r="AM39" s="425">
        <v>2000</v>
      </c>
      <c r="AN39" s="425">
        <v>500</v>
      </c>
      <c r="AO39" s="425">
        <v>600</v>
      </c>
      <c r="AP39" s="425">
        <v>660</v>
      </c>
      <c r="AQ39" s="425">
        <v>960</v>
      </c>
      <c r="AR39" s="429">
        <f t="shared" si="63"/>
        <v>7220</v>
      </c>
      <c r="AS39" s="23"/>
      <c r="AT39" s="425">
        <v>1518</v>
      </c>
      <c r="AU39" s="425">
        <v>1518</v>
      </c>
      <c r="AV39" s="425">
        <v>1518</v>
      </c>
      <c r="AW39" s="425">
        <v>1518</v>
      </c>
      <c r="AX39" s="317">
        <v>1943</v>
      </c>
      <c r="AY39" s="317">
        <v>1943</v>
      </c>
      <c r="AZ39" s="317">
        <v>1854</v>
      </c>
      <c r="BA39" s="317">
        <v>1854</v>
      </c>
      <c r="BB39" s="317">
        <v>1943</v>
      </c>
      <c r="BC39" s="317">
        <v>2296</v>
      </c>
      <c r="BD39" s="317">
        <v>2472</v>
      </c>
      <c r="BE39" s="317">
        <v>3532</v>
      </c>
      <c r="BF39" s="425">
        <f t="shared" si="64"/>
        <v>23909</v>
      </c>
      <c r="BG39" s="93">
        <f t="shared" si="65"/>
        <v>2.3114958448753464</v>
      </c>
      <c r="BH39" s="425"/>
      <c r="BI39" s="425"/>
      <c r="BJ39" s="425"/>
      <c r="BK39" s="425"/>
      <c r="BL39" s="91"/>
      <c r="BM39" s="91"/>
      <c r="BN39" s="91"/>
      <c r="BO39" s="91"/>
      <c r="BP39" s="91"/>
      <c r="BQ39" s="91"/>
      <c r="BR39" s="91"/>
      <c r="BS39" s="91"/>
      <c r="BT39" s="91"/>
      <c r="BU39" s="54"/>
      <c r="BV39" s="425"/>
      <c r="BW39" s="425"/>
      <c r="BX39" s="425"/>
      <c r="BY39" s="425"/>
      <c r="BZ39" s="91"/>
      <c r="CA39" s="91"/>
      <c r="CB39" s="91"/>
      <c r="CC39" s="91"/>
      <c r="CD39" s="91"/>
      <c r="CE39" s="91"/>
      <c r="CF39" s="91"/>
      <c r="CG39" s="91"/>
      <c r="CH39" s="91"/>
      <c r="CJ39" s="425"/>
      <c r="CK39" s="425"/>
      <c r="CL39" s="425"/>
      <c r="CM39" s="425"/>
      <c r="CN39" s="91"/>
      <c r="CO39" s="91"/>
      <c r="CP39" s="91"/>
      <c r="CQ39" s="91"/>
      <c r="CR39" s="91"/>
      <c r="CS39" s="91"/>
      <c r="CT39" s="91"/>
      <c r="CU39" s="91"/>
      <c r="CV39" s="91"/>
    </row>
    <row r="40" spans="1:100" ht="15" hidden="1" customHeight="1" outlineLevel="1">
      <c r="A40" s="434"/>
      <c r="B40" s="1093"/>
      <c r="C40" s="1094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6"/>
      <c r="AF40" s="437">
        <v>0</v>
      </c>
      <c r="AG40" s="437">
        <v>0</v>
      </c>
      <c r="AH40" s="437">
        <v>0</v>
      </c>
      <c r="AI40" s="437">
        <v>0</v>
      </c>
      <c r="AJ40" s="437">
        <v>0</v>
      </c>
      <c r="AK40" s="437">
        <v>0</v>
      </c>
      <c r="AL40" s="437">
        <v>0</v>
      </c>
      <c r="AM40" s="437">
        <v>0</v>
      </c>
      <c r="AN40" s="437">
        <v>0</v>
      </c>
      <c r="AO40" s="437">
        <v>0</v>
      </c>
      <c r="AP40" s="437">
        <v>0</v>
      </c>
      <c r="AQ40" s="437">
        <v>0</v>
      </c>
      <c r="AR40" s="438">
        <f t="shared" si="63"/>
        <v>0</v>
      </c>
      <c r="AS40" s="322"/>
      <c r="AT40" s="437">
        <v>0</v>
      </c>
      <c r="AU40" s="437">
        <v>0</v>
      </c>
      <c r="AV40" s="437">
        <v>0</v>
      </c>
      <c r="AW40" s="437">
        <v>0</v>
      </c>
      <c r="AX40" s="439">
        <v>800</v>
      </c>
      <c r="AY40" s="317">
        <v>800</v>
      </c>
      <c r="AZ40" s="317">
        <v>800</v>
      </c>
      <c r="BA40" s="317">
        <v>1050</v>
      </c>
      <c r="BB40" s="317">
        <v>1100</v>
      </c>
      <c r="BC40" s="317">
        <v>1300</v>
      </c>
      <c r="BD40" s="317">
        <v>1400</v>
      </c>
      <c r="BE40" s="440">
        <v>2000</v>
      </c>
      <c r="BF40" s="437">
        <f t="shared" si="64"/>
        <v>9250</v>
      </c>
      <c r="BG40" s="325" t="e">
        <f t="shared" si="65"/>
        <v>#DIV/0!</v>
      </c>
      <c r="BH40" s="437"/>
      <c r="BI40" s="437"/>
      <c r="BJ40" s="437"/>
      <c r="BK40" s="437"/>
      <c r="BL40" s="439"/>
      <c r="BM40" s="317"/>
      <c r="BN40" s="317"/>
      <c r="BO40" s="317"/>
      <c r="BP40" s="317"/>
      <c r="BQ40" s="317"/>
      <c r="BR40" s="317"/>
      <c r="BS40" s="317"/>
      <c r="BT40" s="317"/>
      <c r="BU40" s="326"/>
      <c r="BV40" s="443"/>
      <c r="BW40" s="443"/>
      <c r="BX40" s="443"/>
      <c r="BY40" s="443"/>
      <c r="BZ40" s="444"/>
      <c r="CA40" s="317"/>
      <c r="CB40" s="317"/>
      <c r="CC40" s="317"/>
      <c r="CD40" s="317"/>
      <c r="CE40" s="317"/>
      <c r="CF40" s="317"/>
      <c r="CG40" s="317"/>
      <c r="CH40" s="317"/>
      <c r="CJ40" s="443"/>
      <c r="CK40" s="443"/>
      <c r="CL40" s="443"/>
      <c r="CM40" s="443"/>
      <c r="CN40" s="444"/>
      <c r="CO40" s="317"/>
      <c r="CP40" s="317"/>
      <c r="CQ40" s="317"/>
      <c r="CR40" s="317"/>
      <c r="CS40" s="317"/>
      <c r="CT40" s="317"/>
      <c r="CU40" s="317"/>
      <c r="CV40" s="317"/>
    </row>
    <row r="41" spans="1:100" ht="15" hidden="1" customHeight="1" outlineLevel="1">
      <c r="A41" s="430"/>
      <c r="B41" s="214"/>
      <c r="C41" s="431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24"/>
      <c r="R41" s="424"/>
      <c r="S41" s="432"/>
      <c r="T41" s="432"/>
      <c r="U41" s="432"/>
      <c r="V41" s="432"/>
      <c r="W41" s="432"/>
      <c r="X41" s="432"/>
      <c r="Y41" s="432"/>
      <c r="Z41" s="432"/>
      <c r="AA41" s="432"/>
      <c r="AB41" s="432"/>
      <c r="AC41" s="432"/>
      <c r="AD41" s="432"/>
      <c r="AE41" s="427"/>
      <c r="AF41" s="432"/>
      <c r="AG41" s="432"/>
      <c r="AH41" s="432"/>
      <c r="AI41" s="432"/>
      <c r="AJ41" s="432"/>
      <c r="AK41" s="432"/>
      <c r="AL41" s="432"/>
      <c r="AM41" s="432"/>
      <c r="AN41" s="432"/>
      <c r="AO41" s="432"/>
      <c r="AP41" s="432"/>
      <c r="AQ41" s="432"/>
      <c r="AR41" s="433"/>
      <c r="AS41" s="23"/>
      <c r="AT41" s="97"/>
      <c r="AU41" s="97"/>
      <c r="AV41" s="97"/>
      <c r="AW41" s="97"/>
      <c r="AX41" s="91"/>
      <c r="AY41" s="91"/>
      <c r="AZ41" s="91"/>
      <c r="BA41" s="91"/>
      <c r="BB41" s="91"/>
      <c r="BC41" s="91"/>
      <c r="BD41" s="91">
        <v>600</v>
      </c>
      <c r="BE41" s="315">
        <v>700</v>
      </c>
      <c r="BF41" s="437">
        <f t="shared" si="64"/>
        <v>1300</v>
      </c>
      <c r="BG41" s="93"/>
      <c r="BH41" s="442"/>
      <c r="BI41" s="442"/>
      <c r="BJ41" s="442"/>
      <c r="BK41" s="442"/>
      <c r="BL41" s="316"/>
      <c r="BM41" s="91"/>
      <c r="BN41" s="91"/>
      <c r="BO41" s="91"/>
      <c r="BP41" s="91"/>
      <c r="BQ41" s="91"/>
      <c r="BR41" s="91"/>
      <c r="BS41" s="91"/>
      <c r="BT41" s="91"/>
      <c r="BU41" s="54"/>
      <c r="BV41" s="442"/>
      <c r="BW41" s="442"/>
      <c r="BX41" s="442"/>
      <c r="BY41" s="442"/>
      <c r="BZ41" s="442"/>
      <c r="CA41" s="316"/>
      <c r="CB41" s="91"/>
      <c r="CC41" s="91"/>
      <c r="CD41" s="91"/>
      <c r="CE41" s="91"/>
      <c r="CF41" s="91"/>
      <c r="CG41" s="91"/>
      <c r="CH41" s="91"/>
      <c r="CJ41" s="442"/>
      <c r="CK41" s="442"/>
      <c r="CL41" s="442"/>
      <c r="CM41" s="442"/>
      <c r="CN41" s="442"/>
      <c r="CO41" s="316"/>
      <c r="CP41" s="91"/>
      <c r="CQ41" s="91"/>
      <c r="CR41" s="91"/>
      <c r="CS41" s="91"/>
      <c r="CT41" s="91"/>
      <c r="CU41" s="91"/>
      <c r="CV41" s="91"/>
    </row>
    <row r="42" spans="1:100" ht="15" hidden="1" customHeight="1" outlineLevel="1">
      <c r="A42" s="95"/>
      <c r="B42" s="216" t="s">
        <v>71</v>
      </c>
      <c r="C42" s="211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ref="P42:P43" si="70">SUM(D42:O42)</f>
        <v>0</v>
      </c>
      <c r="Q42" s="90"/>
      <c r="R42" s="313">
        <v>350</v>
      </c>
      <c r="S42" s="91">
        <v>350</v>
      </c>
      <c r="T42" s="91">
        <v>450</v>
      </c>
      <c r="U42" s="91">
        <v>800</v>
      </c>
      <c r="V42" s="91">
        <v>531</v>
      </c>
      <c r="W42" s="91">
        <v>750</v>
      </c>
      <c r="X42" s="91">
        <v>650</v>
      </c>
      <c r="Y42" s="91">
        <v>750</v>
      </c>
      <c r="Z42" s="91">
        <v>900</v>
      </c>
      <c r="AA42" s="91">
        <v>1000</v>
      </c>
      <c r="AB42" s="91">
        <v>1200</v>
      </c>
      <c r="AC42" s="91">
        <v>1500</v>
      </c>
      <c r="AD42" s="315">
        <f t="shared" ref="AD42:AD43" si="71">SUM(R42:AC42)</f>
        <v>9231</v>
      </c>
      <c r="AE42" s="23"/>
      <c r="AF42" s="316">
        <v>1500</v>
      </c>
      <c r="AG42" s="91">
        <v>800</v>
      </c>
      <c r="AH42" s="91">
        <v>800</v>
      </c>
      <c r="AI42" s="91">
        <v>1820</v>
      </c>
      <c r="AJ42" s="91">
        <v>1630</v>
      </c>
      <c r="AK42" s="91">
        <v>1360</v>
      </c>
      <c r="AL42" s="91">
        <v>1000</v>
      </c>
      <c r="AM42" s="91">
        <v>1700</v>
      </c>
      <c r="AN42" s="91">
        <v>1700</v>
      </c>
      <c r="AO42" s="91">
        <v>1700</v>
      </c>
      <c r="AP42" s="91">
        <v>1870</v>
      </c>
      <c r="AQ42" s="91">
        <v>2720</v>
      </c>
      <c r="AR42" s="92">
        <f t="shared" ref="AR42:AR43" si="72">SUM(AF42:AQ42)</f>
        <v>18600</v>
      </c>
      <c r="AS42" s="23"/>
      <c r="AT42" s="91">
        <v>2053</v>
      </c>
      <c r="AU42" s="91">
        <v>2053</v>
      </c>
      <c r="AV42" s="91">
        <v>2053</v>
      </c>
      <c r="AW42" s="91">
        <v>2053</v>
      </c>
      <c r="AX42" s="91">
        <v>2807</v>
      </c>
      <c r="AY42" s="91">
        <v>2807</v>
      </c>
      <c r="AZ42" s="91">
        <v>2680</v>
      </c>
      <c r="BA42" s="91">
        <v>2680</v>
      </c>
      <c r="BB42" s="91">
        <v>2807</v>
      </c>
      <c r="BC42" s="91">
        <v>3318</v>
      </c>
      <c r="BD42" s="91">
        <v>5870</v>
      </c>
      <c r="BE42" s="91">
        <v>5104</v>
      </c>
      <c r="BF42" s="441">
        <f t="shared" si="64"/>
        <v>36285</v>
      </c>
      <c r="BG42" s="93">
        <f>BF42/AR42-1</f>
        <v>0.95080645161290334</v>
      </c>
      <c r="BH42" s="441"/>
      <c r="BI42" s="441"/>
      <c r="BJ42" s="441"/>
      <c r="BK42" s="441"/>
      <c r="BL42" s="91"/>
      <c r="BM42" s="91"/>
      <c r="BN42" s="91"/>
      <c r="BO42" s="91"/>
      <c r="BP42" s="91"/>
      <c r="BQ42" s="91"/>
      <c r="BR42" s="91"/>
      <c r="BS42" s="91"/>
      <c r="BT42" s="91">
        <f>SUM(BH42:BS42)</f>
        <v>0</v>
      </c>
      <c r="BU42" s="54"/>
      <c r="BV42" s="441"/>
      <c r="BW42" s="441"/>
      <c r="BX42" s="441"/>
      <c r="BY42" s="441"/>
      <c r="BZ42" s="441"/>
      <c r="CA42" s="91"/>
      <c r="CB42" s="91"/>
      <c r="CC42" s="91"/>
      <c r="CD42" s="91"/>
      <c r="CE42" s="91"/>
      <c r="CF42" s="91"/>
      <c r="CG42" s="91"/>
      <c r="CH42" s="91"/>
      <c r="CJ42" s="441"/>
      <c r="CK42" s="441"/>
      <c r="CL42" s="441"/>
      <c r="CM42" s="441"/>
      <c r="CN42" s="441"/>
      <c r="CO42" s="91"/>
      <c r="CP42" s="91"/>
      <c r="CQ42" s="91"/>
      <c r="CR42" s="91"/>
      <c r="CS42" s="91"/>
      <c r="CT42" s="91"/>
      <c r="CU42" s="91"/>
      <c r="CV42" s="91"/>
    </row>
    <row r="43" spans="1:100" ht="15.75" collapsed="1">
      <c r="A43" s="55"/>
      <c r="B43" s="56" t="s">
        <v>286</v>
      </c>
      <c r="C43" s="280"/>
      <c r="D43" s="288">
        <f t="shared" ref="D43:O43" si="73">SUM(D22:D42)</f>
        <v>0</v>
      </c>
      <c r="E43" s="57">
        <f t="shared" si="73"/>
        <v>0</v>
      </c>
      <c r="F43" s="57">
        <f t="shared" si="73"/>
        <v>0</v>
      </c>
      <c r="G43" s="57">
        <f t="shared" si="73"/>
        <v>0</v>
      </c>
      <c r="H43" s="57">
        <f t="shared" si="73"/>
        <v>0</v>
      </c>
      <c r="I43" s="57">
        <f t="shared" si="73"/>
        <v>0</v>
      </c>
      <c r="J43" s="57">
        <f t="shared" si="73"/>
        <v>0</v>
      </c>
      <c r="K43" s="57">
        <f t="shared" si="73"/>
        <v>0</v>
      </c>
      <c r="L43" s="57">
        <f t="shared" si="73"/>
        <v>0</v>
      </c>
      <c r="M43" s="57">
        <f t="shared" si="73"/>
        <v>0</v>
      </c>
      <c r="N43" s="57">
        <f t="shared" si="73"/>
        <v>0</v>
      </c>
      <c r="O43" s="57">
        <f t="shared" si="73"/>
        <v>0</v>
      </c>
      <c r="P43" s="289">
        <f t="shared" si="70"/>
        <v>0</v>
      </c>
      <c r="Q43" s="39"/>
      <c r="R43" s="288">
        <f t="shared" ref="R43:AC43" si="74">SUM(R22:R42)</f>
        <v>20557.543859649122</v>
      </c>
      <c r="S43" s="58">
        <f t="shared" si="74"/>
        <v>20512.543859649122</v>
      </c>
      <c r="T43" s="58">
        <f t="shared" si="74"/>
        <v>13699.771929824561</v>
      </c>
      <c r="U43" s="58">
        <f t="shared" si="74"/>
        <v>912.5</v>
      </c>
      <c r="V43" s="58">
        <f t="shared" si="74"/>
        <v>16851</v>
      </c>
      <c r="W43" s="290">
        <f t="shared" si="74"/>
        <v>13700</v>
      </c>
      <c r="X43" s="290">
        <f t="shared" si="74"/>
        <v>26050</v>
      </c>
      <c r="Y43" s="290">
        <f t="shared" si="74"/>
        <v>27750</v>
      </c>
      <c r="Z43" s="290">
        <f t="shared" si="74"/>
        <v>31100</v>
      </c>
      <c r="AA43" s="290">
        <f t="shared" si="74"/>
        <v>32100</v>
      </c>
      <c r="AB43" s="290">
        <f t="shared" si="74"/>
        <v>37500</v>
      </c>
      <c r="AC43" s="290">
        <f t="shared" si="74"/>
        <v>45300</v>
      </c>
      <c r="AD43" s="291">
        <f t="shared" si="71"/>
        <v>286033.35964912281</v>
      </c>
      <c r="AE43" s="59"/>
      <c r="AF43" s="292">
        <f>SUM(AF22:AF42)</f>
        <v>38500</v>
      </c>
      <c r="AG43" s="58">
        <f t="shared" ref="AG43:AQ43" si="75">SUM(AG22:AG42)</f>
        <v>22400</v>
      </c>
      <c r="AH43" s="58">
        <f t="shared" si="75"/>
        <v>10671</v>
      </c>
      <c r="AI43" s="58">
        <f t="shared" si="75"/>
        <v>16097</v>
      </c>
      <c r="AJ43" s="58">
        <f t="shared" si="75"/>
        <v>30278</v>
      </c>
      <c r="AK43" s="58">
        <f t="shared" si="75"/>
        <v>28560</v>
      </c>
      <c r="AL43" s="58">
        <f t="shared" si="75"/>
        <v>41700</v>
      </c>
      <c r="AM43" s="58">
        <f t="shared" si="75"/>
        <v>38700</v>
      </c>
      <c r="AN43" s="58">
        <f t="shared" si="75"/>
        <v>37300</v>
      </c>
      <c r="AO43" s="58">
        <f t="shared" si="75"/>
        <v>37400</v>
      </c>
      <c r="AP43" s="58">
        <f t="shared" si="75"/>
        <v>40640</v>
      </c>
      <c r="AQ43" s="58">
        <f t="shared" si="75"/>
        <v>54440</v>
      </c>
      <c r="AR43" s="58">
        <f t="shared" si="72"/>
        <v>396686</v>
      </c>
      <c r="AS43" s="59"/>
      <c r="AT43" s="58">
        <f t="shared" ref="AT43:BE43" si="76">SUM(AT22:AT42)</f>
        <v>36153</v>
      </c>
      <c r="AU43" s="58">
        <f>SUM(AU22:AU42)</f>
        <v>35289</v>
      </c>
      <c r="AV43" s="58">
        <f t="shared" si="76"/>
        <v>35872</v>
      </c>
      <c r="AW43" s="58">
        <f t="shared" si="76"/>
        <v>38031</v>
      </c>
      <c r="AX43" s="58">
        <f t="shared" si="76"/>
        <v>33566</v>
      </c>
      <c r="AY43" s="58">
        <f t="shared" si="76"/>
        <v>33566</v>
      </c>
      <c r="AZ43" s="58">
        <f t="shared" si="76"/>
        <v>30896</v>
      </c>
      <c r="BA43" s="58">
        <f t="shared" si="76"/>
        <v>31146</v>
      </c>
      <c r="BB43" s="58">
        <f t="shared" si="76"/>
        <v>32630</v>
      </c>
      <c r="BC43" s="58">
        <f t="shared" si="76"/>
        <v>38562</v>
      </c>
      <c r="BD43" s="58">
        <f t="shared" si="76"/>
        <v>41345</v>
      </c>
      <c r="BE43" s="58">
        <f t="shared" si="76"/>
        <v>49263</v>
      </c>
      <c r="BF43" s="58">
        <f>SUM(AT43:BE43)</f>
        <v>436319</v>
      </c>
      <c r="BG43" s="59">
        <f>BF43-AR43</f>
        <v>39633</v>
      </c>
      <c r="BH43" s="58">
        <v>36153</v>
      </c>
      <c r="BI43" s="58">
        <v>35289</v>
      </c>
      <c r="BJ43" s="58">
        <v>35872</v>
      </c>
      <c r="BK43" s="58">
        <v>38031</v>
      </c>
      <c r="BL43" s="58">
        <v>38570</v>
      </c>
      <c r="BM43" s="58">
        <v>39227</v>
      </c>
      <c r="BN43" s="58">
        <v>41128</v>
      </c>
      <c r="BO43" s="58">
        <v>38191</v>
      </c>
      <c r="BP43" s="58">
        <v>38191</v>
      </c>
      <c r="BQ43" s="58">
        <v>40225</v>
      </c>
      <c r="BR43" s="58">
        <v>43272</v>
      </c>
      <c r="BS43" s="58">
        <v>60327</v>
      </c>
      <c r="BT43" s="58">
        <f t="shared" ref="BT43:BT47" si="77">SUM(BH43:BS43)</f>
        <v>484476</v>
      </c>
      <c r="BU43" s="60"/>
      <c r="BV43" s="58">
        <f>SUM(BV22:BV39)</f>
        <v>35797.912472643162</v>
      </c>
      <c r="BW43" s="58">
        <f t="shared" ref="BW43:CG43" si="78">SUM(BW22:BW39)</f>
        <v>27268.538792847521</v>
      </c>
      <c r="BX43" s="58">
        <f t="shared" si="78"/>
        <v>34357.668832234456</v>
      </c>
      <c r="BY43" s="58">
        <f t="shared" si="78"/>
        <v>29626.958292847525</v>
      </c>
      <c r="BZ43" s="58">
        <f t="shared" si="78"/>
        <v>34139.121332234456</v>
      </c>
      <c r="CA43" s="58">
        <f t="shared" si="78"/>
        <v>39503.881972643161</v>
      </c>
      <c r="CB43" s="58">
        <f t="shared" si="78"/>
        <v>45728.836911008315</v>
      </c>
      <c r="CC43" s="58">
        <f t="shared" si="78"/>
        <v>32260.226972643166</v>
      </c>
      <c r="CD43" s="58">
        <f t="shared" si="78"/>
        <v>33331.522972643164</v>
      </c>
      <c r="CE43" s="58">
        <f t="shared" si="78"/>
        <v>35213.881472643166</v>
      </c>
      <c r="CF43" s="58">
        <f t="shared" si="78"/>
        <v>46168.878068556034</v>
      </c>
      <c r="CG43" s="58">
        <f t="shared" si="78"/>
        <v>57905.502691825735</v>
      </c>
      <c r="CH43" s="58">
        <f>SUM(BV43:CG43)</f>
        <v>451302.93078476982</v>
      </c>
      <c r="CI43" s="395">
        <f>(CH43-BT52)/BT52</f>
        <v>5.1833718555945915E-2</v>
      </c>
      <c r="CJ43" s="58">
        <v>35797.912472643162</v>
      </c>
      <c r="CK43" s="58">
        <v>27268.538792847521</v>
      </c>
      <c r="CL43" s="58">
        <v>34357.668832234456</v>
      </c>
      <c r="CM43" s="58">
        <v>29626.958292847525</v>
      </c>
      <c r="CN43" s="58">
        <v>34139.121332234456</v>
      </c>
      <c r="CO43" s="58">
        <v>39503.881972643161</v>
      </c>
      <c r="CP43" s="58">
        <v>45728.836911008315</v>
      </c>
      <c r="CQ43" s="58">
        <v>32260.226972643166</v>
      </c>
      <c r="CR43" s="58">
        <v>33331.522972643164</v>
      </c>
      <c r="CS43" s="58">
        <v>35213.881472643166</v>
      </c>
      <c r="CT43" s="58">
        <v>46168.878068556034</v>
      </c>
      <c r="CU43" s="58">
        <v>57905.502691825735</v>
      </c>
      <c r="CV43" s="58">
        <v>451302.93078476982</v>
      </c>
    </row>
    <row r="44" spans="1:100">
      <c r="A44" s="99"/>
      <c r="B44" s="451" t="s">
        <v>73</v>
      </c>
      <c r="C44" s="328"/>
      <c r="D44" s="301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302"/>
      <c r="Q44" s="74"/>
      <c r="R44" s="301"/>
      <c r="S44" s="69"/>
      <c r="T44" s="69"/>
      <c r="U44" s="69"/>
      <c r="V44" s="303"/>
      <c r="W44" s="304"/>
      <c r="X44" s="304"/>
      <c r="Y44" s="304"/>
      <c r="Z44" s="304"/>
      <c r="AA44" s="304"/>
      <c r="AB44" s="304"/>
      <c r="AC44" s="75"/>
      <c r="AD44" s="76"/>
      <c r="AE44" s="77"/>
      <c r="AF44" s="305"/>
      <c r="AG44" s="69"/>
      <c r="AH44" s="69"/>
      <c r="AI44" s="69"/>
      <c r="AJ44" s="303"/>
      <c r="AK44" s="303"/>
      <c r="AL44" s="303"/>
      <c r="AM44" s="303"/>
      <c r="AN44" s="69"/>
      <c r="AO44" s="69"/>
      <c r="AP44" s="69"/>
      <c r="AQ44" s="69"/>
      <c r="AR44" s="306"/>
      <c r="AS44" s="77"/>
      <c r="AT44" s="69"/>
      <c r="AU44" s="69"/>
      <c r="AV44" s="69"/>
      <c r="AW44" s="69"/>
      <c r="AX44" s="69"/>
      <c r="AY44" s="69">
        <v>15000</v>
      </c>
      <c r="AZ44" s="69">
        <v>15000</v>
      </c>
      <c r="BA44" s="69">
        <f t="shared" ref="BA44:BB44" si="79">BA43*70%</f>
        <v>21802.199999999997</v>
      </c>
      <c r="BB44" s="69">
        <f t="shared" si="79"/>
        <v>22841</v>
      </c>
      <c r="BC44" s="69">
        <v>35000</v>
      </c>
      <c r="BD44" s="69">
        <v>35000</v>
      </c>
      <c r="BE44" s="69">
        <v>42000</v>
      </c>
      <c r="BF44" s="69">
        <f t="shared" si="64"/>
        <v>186643.20000000001</v>
      </c>
      <c r="BG44" s="77"/>
      <c r="BH44" s="69">
        <f t="shared" ref="BH44:BM44" si="80">BH43*0.8</f>
        <v>28922.400000000001</v>
      </c>
      <c r="BI44" s="69">
        <f t="shared" si="80"/>
        <v>28231.200000000001</v>
      </c>
      <c r="BJ44" s="69">
        <f t="shared" si="80"/>
        <v>28697.600000000002</v>
      </c>
      <c r="BK44" s="69">
        <f t="shared" si="80"/>
        <v>30424.800000000003</v>
      </c>
      <c r="BL44" s="69">
        <f t="shared" si="80"/>
        <v>30856</v>
      </c>
      <c r="BM44" s="69">
        <f t="shared" si="80"/>
        <v>31381.600000000002</v>
      </c>
      <c r="BN44" s="69">
        <f>BN43*0.85</f>
        <v>34958.799999999996</v>
      </c>
      <c r="BO44" s="69">
        <v>29000</v>
      </c>
      <c r="BP44" s="69">
        <v>40223</v>
      </c>
      <c r="BQ44" s="69">
        <v>36735</v>
      </c>
      <c r="BR44" s="69">
        <v>36933</v>
      </c>
      <c r="BS44" s="69">
        <v>52283</v>
      </c>
      <c r="BT44" s="69">
        <f t="shared" si="77"/>
        <v>408646.40000000002</v>
      </c>
      <c r="BU44" s="28"/>
      <c r="BV44" s="69">
        <f>BV43*0.8</f>
        <v>28638.329978114532</v>
      </c>
      <c r="BW44" s="69">
        <f>BW43*0.8</f>
        <v>21814.831034278017</v>
      </c>
      <c r="BX44" s="69">
        <f t="shared" ref="BX44:CG44" si="81">BX43*0.8</f>
        <v>27486.135065787566</v>
      </c>
      <c r="BY44" s="69">
        <f t="shared" si="81"/>
        <v>23701.566634278021</v>
      </c>
      <c r="BZ44" s="69">
        <f t="shared" si="81"/>
        <v>27311.297065787567</v>
      </c>
      <c r="CA44" s="69">
        <f t="shared" si="81"/>
        <v>31603.10557811453</v>
      </c>
      <c r="CB44" s="69">
        <f t="shared" si="81"/>
        <v>36583.069528806656</v>
      </c>
      <c r="CC44" s="69">
        <f t="shared" si="81"/>
        <v>25808.181578114534</v>
      </c>
      <c r="CD44" s="69">
        <f t="shared" si="81"/>
        <v>26665.218378114532</v>
      </c>
      <c r="CE44" s="69">
        <f t="shared" si="81"/>
        <v>28171.105178114536</v>
      </c>
      <c r="CF44" s="69">
        <f t="shared" si="81"/>
        <v>36935.102454844826</v>
      </c>
      <c r="CG44" s="69">
        <f t="shared" si="81"/>
        <v>46324.402153460593</v>
      </c>
      <c r="CH44" s="69"/>
      <c r="CI44" s="395"/>
      <c r="CJ44" s="69">
        <v>28638.329978114532</v>
      </c>
      <c r="CK44" s="69">
        <v>21814.831034278017</v>
      </c>
      <c r="CL44" s="69">
        <v>27486.135065787566</v>
      </c>
      <c r="CM44" s="69">
        <v>23701.566634278021</v>
      </c>
      <c r="CN44" s="69">
        <v>27311.297065787567</v>
      </c>
      <c r="CO44" s="69">
        <v>31603.10557811453</v>
      </c>
      <c r="CP44" s="69">
        <v>36583.069528806656</v>
      </c>
      <c r="CQ44" s="69">
        <v>25808.181578114534</v>
      </c>
      <c r="CR44" s="69">
        <v>26665.218378114532</v>
      </c>
      <c r="CS44" s="69">
        <v>28171.105178114536</v>
      </c>
      <c r="CT44" s="69">
        <v>36935.102454844826</v>
      </c>
      <c r="CU44" s="69">
        <v>46324.402153460593</v>
      </c>
      <c r="CV44" s="69"/>
    </row>
    <row r="45" spans="1:100" ht="14.25" customHeight="1">
      <c r="A45" s="55" t="s">
        <v>74</v>
      </c>
      <c r="B45" s="56"/>
      <c r="C45" s="280"/>
      <c r="D45" s="288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289"/>
      <c r="Q45" s="39"/>
      <c r="R45" s="288"/>
      <c r="S45" s="58"/>
      <c r="T45" s="58"/>
      <c r="U45" s="58"/>
      <c r="V45" s="58"/>
      <c r="W45" s="290"/>
      <c r="X45" s="290"/>
      <c r="Y45" s="290"/>
      <c r="Z45" s="290"/>
      <c r="AA45" s="290"/>
      <c r="AB45" s="290"/>
      <c r="AC45" s="290"/>
      <c r="AD45" s="291"/>
      <c r="AE45" s="59"/>
      <c r="AF45" s="292"/>
      <c r="AG45" s="58"/>
      <c r="AH45" s="58"/>
      <c r="AI45" s="58"/>
      <c r="AJ45" s="58"/>
      <c r="AK45" s="58"/>
      <c r="AL45" s="58">
        <f>AL43/AVERAGE($AF$43:$AQ$43)</f>
        <v>1.2614511225503295</v>
      </c>
      <c r="AM45" s="58"/>
      <c r="AN45" s="58"/>
      <c r="AO45" s="58"/>
      <c r="AP45" s="58">
        <f t="shared" ref="AP45:AQ45" si="82">AP43/AVERAGE($AF$43:$AQ$43)</f>
        <v>1.2293854585238704</v>
      </c>
      <c r="AQ45" s="58">
        <f t="shared" si="82"/>
        <v>1.6468441033966412</v>
      </c>
      <c r="AR45" s="58"/>
      <c r="AS45" s="59"/>
      <c r="AT45" s="58">
        <v>109190</v>
      </c>
      <c r="AU45" s="58">
        <v>153667</v>
      </c>
      <c r="AV45" s="58">
        <v>178778</v>
      </c>
      <c r="AW45" s="58">
        <v>151970</v>
      </c>
      <c r="AX45" s="58">
        <v>142416</v>
      </c>
      <c r="AY45" s="58">
        <v>177335</v>
      </c>
      <c r="AZ45" s="58">
        <v>152230</v>
      </c>
      <c r="BA45" s="58">
        <v>245527</v>
      </c>
      <c r="BB45" s="58">
        <f>5261504/27</f>
        <v>194870.51851851851</v>
      </c>
      <c r="BC45" s="58">
        <f>5784000/27</f>
        <v>214222.22222222222</v>
      </c>
      <c r="BD45" s="58">
        <f>3224000/27</f>
        <v>119407.4074074074</v>
      </c>
      <c r="BE45" s="58">
        <f>909800/27</f>
        <v>33696.296296296299</v>
      </c>
      <c r="BF45" s="58">
        <f t="shared" si="64"/>
        <v>1873309.4444444445</v>
      </c>
      <c r="BG45" s="59"/>
      <c r="BH45" s="58">
        <v>156208</v>
      </c>
      <c r="BI45" s="58">
        <v>147340</v>
      </c>
      <c r="BJ45" s="58">
        <v>166759</v>
      </c>
      <c r="BK45" s="58">
        <v>152352</v>
      </c>
      <c r="BL45" s="58">
        <v>128446</v>
      </c>
      <c r="BM45" s="58">
        <v>126790</v>
      </c>
      <c r="BN45" s="58">
        <v>173761</v>
      </c>
      <c r="BO45" s="58">
        <f>144510.599073001+BO44</f>
        <v>173510.59907300101</v>
      </c>
      <c r="BP45" s="58">
        <f>162574.422556972+BP44</f>
        <v>202797.42255697199</v>
      </c>
      <c r="BQ45" s="58">
        <f>166187.186558517+BQ44</f>
        <v>202922.18655851699</v>
      </c>
      <c r="BR45" s="58">
        <f>BQ20+BR16*0.6</f>
        <v>232502.36</v>
      </c>
      <c r="BS45" s="58">
        <f>BR16*0.4+BS16*0.5</f>
        <v>116391.04000000001</v>
      </c>
      <c r="BT45" s="58">
        <f t="shared" si="77"/>
        <v>1979779.6081884899</v>
      </c>
      <c r="BU45" s="60"/>
      <c r="BV45" s="58">
        <v>98000</v>
      </c>
      <c r="BW45" s="58">
        <f>BW44+BW20</f>
        <v>147381.66148608096</v>
      </c>
      <c r="BX45" s="58">
        <f t="shared" ref="BX45" si="83">BX44+BX20</f>
        <v>188447.673527326</v>
      </c>
      <c r="BY45" s="58">
        <f t="shared" ref="BY45:CG45" si="84">BK45</f>
        <v>152352</v>
      </c>
      <c r="BZ45" s="58">
        <f t="shared" si="84"/>
        <v>128446</v>
      </c>
      <c r="CA45" s="58">
        <f t="shared" si="84"/>
        <v>126790</v>
      </c>
      <c r="CB45" s="58">
        <f t="shared" si="84"/>
        <v>173761</v>
      </c>
      <c r="CC45" s="58">
        <f t="shared" si="84"/>
        <v>173510.59907300101</v>
      </c>
      <c r="CD45" s="58">
        <f t="shared" si="84"/>
        <v>202797.42255697199</v>
      </c>
      <c r="CE45" s="58">
        <f t="shared" si="84"/>
        <v>202922.18655851699</v>
      </c>
      <c r="CF45" s="58">
        <f t="shared" si="84"/>
        <v>232502.36</v>
      </c>
      <c r="CG45" s="58">
        <f t="shared" si="84"/>
        <v>116391.04000000001</v>
      </c>
      <c r="CH45" s="58"/>
      <c r="CJ45" s="58">
        <v>98000</v>
      </c>
      <c r="CK45" s="58">
        <v>147381.66148608096</v>
      </c>
      <c r="CL45" s="58">
        <v>188447.673527326</v>
      </c>
      <c r="CM45" s="58">
        <v>152352</v>
      </c>
      <c r="CN45" s="58">
        <v>128446</v>
      </c>
      <c r="CO45" s="58">
        <v>126790</v>
      </c>
      <c r="CP45" s="58">
        <v>173761</v>
      </c>
      <c r="CQ45" s="58">
        <v>173510.59907300101</v>
      </c>
      <c r="CR45" s="58">
        <v>202797.42255697199</v>
      </c>
      <c r="CS45" s="58">
        <v>202922.18655851699</v>
      </c>
      <c r="CT45" s="58">
        <v>232502.36</v>
      </c>
      <c r="CU45" s="58">
        <v>116391.04000000001</v>
      </c>
      <c r="CV45" s="58"/>
    </row>
    <row r="46" spans="1:100">
      <c r="A46" s="101" t="s">
        <v>75</v>
      </c>
      <c r="B46" s="102"/>
      <c r="C46" s="260"/>
      <c r="D46" s="277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262"/>
      <c r="Q46" s="15"/>
      <c r="R46" s="277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263"/>
      <c r="AE46" s="16"/>
      <c r="AF46" s="261">
        <v>133791</v>
      </c>
      <c r="AG46" s="14">
        <v>166459</v>
      </c>
      <c r="AH46" s="14">
        <v>149450</v>
      </c>
      <c r="AI46" s="14">
        <v>151073</v>
      </c>
      <c r="AJ46" s="14">
        <v>192944</v>
      </c>
      <c r="AK46" s="14">
        <v>166139</v>
      </c>
      <c r="AL46" s="14">
        <v>151874</v>
      </c>
      <c r="AM46" s="14">
        <v>157771</v>
      </c>
      <c r="AN46" s="14">
        <v>200312</v>
      </c>
      <c r="AO46" s="14">
        <v>202691</v>
      </c>
      <c r="AP46" s="14">
        <v>207768</v>
      </c>
      <c r="AQ46" s="14">
        <v>113286</v>
      </c>
      <c r="AR46" s="14">
        <f>SUM(AF46:AK46)</f>
        <v>959856</v>
      </c>
      <c r="AS46" s="17"/>
      <c r="AT46" s="14">
        <v>89680</v>
      </c>
      <c r="AU46" s="14">
        <v>128308</v>
      </c>
      <c r="AV46" s="14">
        <v>144871</v>
      </c>
      <c r="AW46" s="32">
        <v>161772</v>
      </c>
      <c r="AX46" s="32">
        <v>144516</v>
      </c>
      <c r="AY46" s="32">
        <v>103667</v>
      </c>
      <c r="AZ46" s="32">
        <v>141023</v>
      </c>
      <c r="BA46" s="32">
        <v>172093</v>
      </c>
      <c r="BB46" s="32">
        <f>166606+10000</f>
        <v>176606</v>
      </c>
      <c r="BC46" s="32">
        <v>181091</v>
      </c>
      <c r="BD46" s="32">
        <v>169802</v>
      </c>
      <c r="BE46" s="32">
        <v>120406</v>
      </c>
      <c r="BF46" s="32">
        <f t="shared" si="64"/>
        <v>1733835</v>
      </c>
      <c r="BG46" s="17">
        <f>BG43/AR43</f>
        <v>9.9910256474894502E-2</v>
      </c>
      <c r="BH46" s="14">
        <v>78906</v>
      </c>
      <c r="BI46" s="14">
        <v>119296</v>
      </c>
      <c r="BJ46" s="14">
        <v>165286</v>
      </c>
      <c r="BK46" s="14">
        <v>144532</v>
      </c>
      <c r="BL46" s="32">
        <v>157691</v>
      </c>
      <c r="BM46" s="32">
        <v>129096</v>
      </c>
      <c r="BN46" s="32">
        <v>125800</v>
      </c>
      <c r="BO46" s="32">
        <v>176354</v>
      </c>
      <c r="BP46" s="32">
        <v>173554</v>
      </c>
      <c r="BQ46" s="32">
        <v>185766</v>
      </c>
      <c r="BR46" s="32"/>
      <c r="BS46" s="32"/>
      <c r="BT46" s="32">
        <f t="shared" si="77"/>
        <v>1456281</v>
      </c>
      <c r="BU46" s="28"/>
      <c r="BV46" s="14"/>
      <c r="BW46" s="14"/>
      <c r="BX46" s="14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J46" s="14"/>
      <c r="CK46" s="14"/>
      <c r="CL46" s="14"/>
      <c r="CM46" s="32"/>
      <c r="CN46" s="32"/>
      <c r="CO46" s="32"/>
      <c r="CP46" s="32"/>
      <c r="CQ46" s="32"/>
      <c r="CR46" s="32"/>
      <c r="CS46" s="32"/>
      <c r="CT46" s="32"/>
      <c r="CU46" s="32"/>
      <c r="CV46" s="32"/>
    </row>
    <row r="47" spans="1:100" ht="15.75">
      <c r="A47" s="103"/>
      <c r="B47" s="329" t="s">
        <v>76</v>
      </c>
      <c r="C47" s="330"/>
      <c r="D47" s="331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332"/>
      <c r="Q47" s="105"/>
      <c r="R47" s="333"/>
      <c r="S47" s="333"/>
      <c r="T47" s="333"/>
      <c r="U47" s="333"/>
      <c r="V47" s="333"/>
      <c r="W47" s="333"/>
      <c r="X47" s="333"/>
      <c r="Y47" s="333"/>
      <c r="Z47" s="333"/>
      <c r="AA47" s="333"/>
      <c r="AB47" s="333"/>
      <c r="AC47" s="333"/>
      <c r="AD47" s="334"/>
      <c r="AE47" s="106"/>
      <c r="AF47" s="333">
        <f t="shared" ref="AF47:AQ47" si="85">AF46-AF15</f>
        <v>133789.61233193052</v>
      </c>
      <c r="AG47" s="333">
        <f t="shared" si="85"/>
        <v>166455.18212811041</v>
      </c>
      <c r="AH47" s="333">
        <f t="shared" si="85"/>
        <v>149445.6750486806</v>
      </c>
      <c r="AI47" s="333">
        <f t="shared" si="85"/>
        <v>151069.89671180834</v>
      </c>
      <c r="AJ47" s="333">
        <f t="shared" si="85"/>
        <v>192941.30225498116</v>
      </c>
      <c r="AK47" s="333">
        <f t="shared" si="85"/>
        <v>166135.93659001941</v>
      </c>
      <c r="AL47" s="333">
        <f t="shared" si="85"/>
        <v>151872.02367906639</v>
      </c>
      <c r="AM47" s="333">
        <f t="shared" si="85"/>
        <v>157769.11460684196</v>
      </c>
      <c r="AN47" s="333">
        <f t="shared" si="85"/>
        <v>200310.23982805785</v>
      </c>
      <c r="AO47" s="333">
        <f t="shared" si="85"/>
        <v>202687.95708177862</v>
      </c>
      <c r="AP47" s="333">
        <f t="shared" si="85"/>
        <v>207764.67332379395</v>
      </c>
      <c r="AQ47" s="333">
        <f t="shared" si="85"/>
        <v>113283.89842503319</v>
      </c>
      <c r="AR47" s="107">
        <f t="shared" ref="AR47:AR55" si="86">SUM(AF47:AQ47)</f>
        <v>1993525.5120101024</v>
      </c>
      <c r="AS47" s="106"/>
      <c r="AT47" s="333">
        <f t="shared" ref="AT47:BE47" si="87">AT46-AT45</f>
        <v>-19510</v>
      </c>
      <c r="AU47" s="333">
        <f t="shared" si="87"/>
        <v>-25359</v>
      </c>
      <c r="AV47" s="333">
        <f t="shared" si="87"/>
        <v>-33907</v>
      </c>
      <c r="AW47" s="333">
        <f t="shared" si="87"/>
        <v>9802</v>
      </c>
      <c r="AX47" s="333">
        <f t="shared" si="87"/>
        <v>2100</v>
      </c>
      <c r="AY47" s="333">
        <f t="shared" si="87"/>
        <v>-73668</v>
      </c>
      <c r="AZ47" s="333">
        <f t="shared" si="87"/>
        <v>-11207</v>
      </c>
      <c r="BA47" s="333">
        <f t="shared" si="87"/>
        <v>-73434</v>
      </c>
      <c r="BB47" s="333">
        <f t="shared" si="87"/>
        <v>-18264.518518518511</v>
      </c>
      <c r="BC47" s="333">
        <f t="shared" si="87"/>
        <v>-33131.222222222219</v>
      </c>
      <c r="BD47" s="333">
        <f t="shared" si="87"/>
        <v>50394.592592592599</v>
      </c>
      <c r="BE47" s="333">
        <f t="shared" si="87"/>
        <v>86709.703703703708</v>
      </c>
      <c r="BF47" s="108">
        <f t="shared" si="64"/>
        <v>-139474.44444444444</v>
      </c>
      <c r="BG47" s="106"/>
      <c r="BH47" s="333">
        <f t="shared" ref="BH47:BQ47" si="88">BH46-BH45</f>
        <v>-77302</v>
      </c>
      <c r="BI47" s="333">
        <f t="shared" si="88"/>
        <v>-28044</v>
      </c>
      <c r="BJ47" s="333">
        <f t="shared" si="88"/>
        <v>-1473</v>
      </c>
      <c r="BK47" s="333">
        <f t="shared" si="88"/>
        <v>-7820</v>
      </c>
      <c r="BL47" s="333">
        <f t="shared" si="88"/>
        <v>29245</v>
      </c>
      <c r="BM47" s="333">
        <f t="shared" si="88"/>
        <v>2306</v>
      </c>
      <c r="BN47" s="333">
        <f t="shared" si="88"/>
        <v>-47961</v>
      </c>
      <c r="BO47" s="333">
        <f t="shared" si="88"/>
        <v>2843.4009269989911</v>
      </c>
      <c r="BP47" s="333">
        <f t="shared" si="88"/>
        <v>-29243.422556971986</v>
      </c>
      <c r="BQ47" s="333">
        <f t="shared" si="88"/>
        <v>-17156.186558516987</v>
      </c>
      <c r="BR47" s="108"/>
      <c r="BS47" s="108"/>
      <c r="BT47" s="108">
        <f t="shared" si="77"/>
        <v>-174605.20818848998</v>
      </c>
      <c r="BU47" s="28"/>
      <c r="BV47" s="333"/>
      <c r="BW47" s="333"/>
      <c r="BX47" s="333"/>
      <c r="BY47" s="333"/>
      <c r="BZ47" s="108"/>
      <c r="CA47" s="108"/>
      <c r="CB47" s="108"/>
      <c r="CC47" s="108"/>
      <c r="CD47" s="108"/>
      <c r="CE47" s="108"/>
      <c r="CF47" s="108"/>
      <c r="CG47" s="108"/>
      <c r="CH47" s="108"/>
      <c r="CJ47" s="333"/>
      <c r="CK47" s="333"/>
      <c r="CL47" s="333"/>
      <c r="CM47" s="333"/>
      <c r="CN47" s="108"/>
      <c r="CO47" s="108"/>
      <c r="CP47" s="108"/>
      <c r="CQ47" s="108"/>
      <c r="CR47" s="108"/>
      <c r="CS47" s="108"/>
      <c r="CT47" s="108"/>
      <c r="CU47" s="108"/>
      <c r="CV47" s="108"/>
    </row>
    <row r="48" spans="1:100" ht="15.75" customHeight="1">
      <c r="A48" s="94">
        <v>5</v>
      </c>
      <c r="B48" s="210" t="s">
        <v>77</v>
      </c>
      <c r="C48" s="335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>
        <v>0</v>
      </c>
      <c r="P48" s="314">
        <f>SUM(D48:O48)</f>
        <v>0</v>
      </c>
      <c r="Q48" s="90"/>
      <c r="R48" s="313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315">
        <f>SUM(R48:AC48)</f>
        <v>0</v>
      </c>
      <c r="AE48" s="23"/>
      <c r="AF48" s="316">
        <v>0</v>
      </c>
      <c r="AG48" s="91">
        <v>0</v>
      </c>
      <c r="AH48" s="91">
        <v>0</v>
      </c>
      <c r="AI48" s="91">
        <v>0</v>
      </c>
      <c r="AJ48" s="91">
        <v>0</v>
      </c>
      <c r="AK48" s="91">
        <v>0</v>
      </c>
      <c r="AL48" s="91">
        <v>0</v>
      </c>
      <c r="AM48" s="91">
        <v>0</v>
      </c>
      <c r="AN48" s="91">
        <v>0</v>
      </c>
      <c r="AO48" s="91">
        <v>0</v>
      </c>
      <c r="AP48" s="91"/>
      <c r="AQ48" s="91">
        <v>8938</v>
      </c>
      <c r="AR48" s="92">
        <f t="shared" si="86"/>
        <v>8938</v>
      </c>
      <c r="AS48" s="23"/>
      <c r="AT48" s="91">
        <v>106642</v>
      </c>
      <c r="AU48" s="91">
        <v>90699</v>
      </c>
      <c r="AV48" s="91">
        <v>89681</v>
      </c>
      <c r="AW48" s="91">
        <v>58790</v>
      </c>
      <c r="AX48" s="91">
        <v>35520</v>
      </c>
      <c r="AY48" s="91">
        <v>61551</v>
      </c>
      <c r="AZ48" s="91">
        <v>71511</v>
      </c>
      <c r="BA48" s="91">
        <v>63617</v>
      </c>
      <c r="BB48" s="91">
        <v>66748</v>
      </c>
      <c r="BC48" s="91">
        <v>75532</v>
      </c>
      <c r="BD48" s="91">
        <v>37786</v>
      </c>
      <c r="BE48" s="91">
        <v>4503</v>
      </c>
      <c r="BF48" s="91">
        <f t="shared" si="64"/>
        <v>762580</v>
      </c>
      <c r="BG48" s="27"/>
      <c r="BH48" s="91">
        <v>69404</v>
      </c>
      <c r="BI48" s="91">
        <v>80412</v>
      </c>
      <c r="BJ48" s="91">
        <v>94386</v>
      </c>
      <c r="BK48" s="91">
        <v>78313</v>
      </c>
      <c r="BL48" s="91">
        <v>47034</v>
      </c>
      <c r="BM48" s="91">
        <v>50851</v>
      </c>
      <c r="BN48" s="91">
        <v>93202</v>
      </c>
      <c r="BO48" s="91">
        <v>100687</v>
      </c>
      <c r="BP48" s="91">
        <v>127995</v>
      </c>
      <c r="BQ48" s="91">
        <v>122686</v>
      </c>
      <c r="BR48" s="91"/>
      <c r="BS48" s="91"/>
      <c r="BT48" s="91"/>
      <c r="BU48" s="28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  <c r="CJ48" s="91"/>
      <c r="CK48" s="91"/>
      <c r="CL48" s="91"/>
      <c r="CM48" s="91"/>
      <c r="CN48" s="91"/>
      <c r="CO48" s="91"/>
      <c r="CP48" s="91"/>
      <c r="CQ48" s="91"/>
      <c r="CR48" s="91"/>
      <c r="CS48" s="91"/>
      <c r="CT48" s="91"/>
      <c r="CU48" s="91"/>
      <c r="CV48" s="91"/>
    </row>
    <row r="49" spans="1:100">
      <c r="A49" s="13" t="s">
        <v>78</v>
      </c>
      <c r="B49" s="259"/>
      <c r="C49" s="260"/>
      <c r="D49" s="277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262"/>
      <c r="Q49" s="15"/>
      <c r="R49" s="277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263"/>
      <c r="AE49" s="16"/>
      <c r="AF49" s="261">
        <f t="shared" ref="AF49:AQ49" si="89">AF50+AF52</f>
        <v>118364</v>
      </c>
      <c r="AG49" s="261">
        <f t="shared" si="89"/>
        <v>173742</v>
      </c>
      <c r="AH49" s="261">
        <f t="shared" si="89"/>
        <v>73470</v>
      </c>
      <c r="AI49" s="261">
        <f t="shared" si="89"/>
        <v>87377</v>
      </c>
      <c r="AJ49" s="261">
        <f t="shared" si="89"/>
        <v>119657</v>
      </c>
      <c r="AK49" s="261">
        <f t="shared" si="89"/>
        <v>154747</v>
      </c>
      <c r="AL49" s="261">
        <f t="shared" si="89"/>
        <v>138073</v>
      </c>
      <c r="AM49" s="261">
        <f t="shared" si="89"/>
        <v>180773</v>
      </c>
      <c r="AN49" s="261">
        <f t="shared" si="89"/>
        <v>194598</v>
      </c>
      <c r="AO49" s="261">
        <f t="shared" si="89"/>
        <v>242931</v>
      </c>
      <c r="AP49" s="261">
        <f t="shared" si="89"/>
        <v>107346</v>
      </c>
      <c r="AQ49" s="261">
        <f t="shared" si="89"/>
        <v>87384</v>
      </c>
      <c r="AR49" s="14">
        <f t="shared" si="86"/>
        <v>1678462</v>
      </c>
      <c r="AS49" s="17"/>
      <c r="AT49" s="261">
        <f t="shared" ref="AT49:BE49" si="90">AT50+AT52</f>
        <v>155346</v>
      </c>
      <c r="AU49" s="261">
        <f t="shared" si="90"/>
        <v>123370</v>
      </c>
      <c r="AV49" s="261">
        <f t="shared" si="90"/>
        <v>144065</v>
      </c>
      <c r="AW49" s="261">
        <f t="shared" si="90"/>
        <v>127865</v>
      </c>
      <c r="AX49" s="261">
        <f t="shared" si="90"/>
        <v>123461</v>
      </c>
      <c r="AY49" s="261">
        <f t="shared" si="90"/>
        <v>121196</v>
      </c>
      <c r="AZ49" s="261">
        <f t="shared" si="90"/>
        <v>168029</v>
      </c>
      <c r="BA49" s="261">
        <f t="shared" si="90"/>
        <v>164268</v>
      </c>
      <c r="BB49" s="261">
        <f t="shared" si="90"/>
        <v>185112</v>
      </c>
      <c r="BC49" s="261">
        <f t="shared" si="90"/>
        <v>147235</v>
      </c>
      <c r="BD49" s="261">
        <f t="shared" si="90"/>
        <v>135608</v>
      </c>
      <c r="BE49" s="261">
        <f t="shared" si="90"/>
        <v>90194</v>
      </c>
      <c r="BF49" s="32">
        <f t="shared" si="64"/>
        <v>1685749</v>
      </c>
      <c r="BG49" s="35">
        <f t="shared" ref="BG49:BG50" si="91">BF49/AR49-1</f>
        <v>4.3414745165515356E-3</v>
      </c>
      <c r="BH49" s="261">
        <f>BH50+BH52</f>
        <v>144332</v>
      </c>
      <c r="BI49" s="261">
        <f t="shared" ref="BI49:BQ49" si="92">BI50+BI52</f>
        <v>128781</v>
      </c>
      <c r="BJ49" s="261">
        <f t="shared" si="92"/>
        <v>193129</v>
      </c>
      <c r="BK49" s="261">
        <f t="shared" si="92"/>
        <v>106092</v>
      </c>
      <c r="BL49" s="261">
        <f t="shared" si="92"/>
        <v>132638</v>
      </c>
      <c r="BM49" s="261">
        <f t="shared" si="92"/>
        <v>139193</v>
      </c>
      <c r="BN49" s="261">
        <f t="shared" si="92"/>
        <v>173703</v>
      </c>
      <c r="BO49" s="261">
        <f t="shared" si="92"/>
        <v>186902</v>
      </c>
      <c r="BP49" s="261">
        <f t="shared" si="92"/>
        <v>200686</v>
      </c>
      <c r="BQ49" s="261">
        <f t="shared" si="92"/>
        <v>191324</v>
      </c>
      <c r="BR49" s="14"/>
      <c r="BS49" s="14"/>
      <c r="BT49" s="14">
        <f t="shared" ref="BT49:BT54" si="93">SUM(BH49:BS49)</f>
        <v>1596780</v>
      </c>
      <c r="BU49" s="18"/>
      <c r="BV49" s="261"/>
      <c r="BW49" s="261"/>
      <c r="BX49" s="261"/>
      <c r="BY49" s="261"/>
      <c r="BZ49" s="14"/>
      <c r="CA49" s="14"/>
      <c r="CB49" s="14"/>
      <c r="CC49" s="14"/>
      <c r="CD49" s="14"/>
      <c r="CE49" s="14"/>
      <c r="CF49" s="14"/>
      <c r="CG49" s="14"/>
      <c r="CH49" s="14"/>
      <c r="CJ49" s="261"/>
      <c r="CK49" s="261"/>
      <c r="CL49" s="261"/>
      <c r="CM49" s="261"/>
      <c r="CN49" s="14"/>
      <c r="CO49" s="14"/>
      <c r="CP49" s="14"/>
      <c r="CQ49" s="14"/>
      <c r="CR49" s="14"/>
      <c r="CS49" s="14"/>
      <c r="CT49" s="14"/>
      <c r="CU49" s="14"/>
      <c r="CV49" s="14"/>
    </row>
    <row r="50" spans="1:100" ht="15.75" customHeight="1">
      <c r="A50" s="210"/>
      <c r="B50" s="210" t="s">
        <v>79</v>
      </c>
      <c r="C50" s="316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92193</v>
      </c>
      <c r="AG50" s="91">
        <v>152006</v>
      </c>
      <c r="AH50" s="91">
        <v>62734</v>
      </c>
      <c r="AI50" s="91">
        <v>71526</v>
      </c>
      <c r="AJ50" s="91">
        <v>89409</v>
      </c>
      <c r="AK50" s="91">
        <v>120675</v>
      </c>
      <c r="AL50" s="91">
        <v>100592</v>
      </c>
      <c r="AM50" s="91">
        <v>148128</v>
      </c>
      <c r="AN50" s="91">
        <v>164346</v>
      </c>
      <c r="AO50" s="91">
        <v>203437</v>
      </c>
      <c r="AP50" s="91">
        <v>64957</v>
      </c>
      <c r="AQ50" s="91">
        <v>31837</v>
      </c>
      <c r="AR50" s="92">
        <f t="shared" si="86"/>
        <v>1301840</v>
      </c>
      <c r="AS50" s="23"/>
      <c r="AT50" s="91">
        <v>125048</v>
      </c>
      <c r="AU50" s="91">
        <v>96006</v>
      </c>
      <c r="AV50" s="91">
        <v>111470</v>
      </c>
      <c r="AW50" s="91">
        <v>99222</v>
      </c>
      <c r="AX50" s="91">
        <v>91253</v>
      </c>
      <c r="AY50" s="91">
        <v>90595</v>
      </c>
      <c r="AZ50" s="91">
        <v>129147</v>
      </c>
      <c r="BA50" s="91">
        <v>133525</v>
      </c>
      <c r="BB50" s="91">
        <v>159291</v>
      </c>
      <c r="BC50" s="91">
        <v>115573</v>
      </c>
      <c r="BD50" s="91">
        <v>98386</v>
      </c>
      <c r="BE50" s="91">
        <v>36527</v>
      </c>
      <c r="BF50" s="91">
        <f t="shared" si="64"/>
        <v>1286043</v>
      </c>
      <c r="BG50" s="93">
        <f t="shared" si="91"/>
        <v>-1.2134363669882631E-2</v>
      </c>
      <c r="BH50" s="91">
        <v>110235</v>
      </c>
      <c r="BI50" s="91">
        <v>103047</v>
      </c>
      <c r="BJ50" s="91">
        <v>158855</v>
      </c>
      <c r="BK50" s="91">
        <v>77254</v>
      </c>
      <c r="BL50" s="91">
        <v>99853</v>
      </c>
      <c r="BM50" s="91">
        <v>100723</v>
      </c>
      <c r="BN50" s="91">
        <v>125338</v>
      </c>
      <c r="BO50" s="91">
        <v>153622</v>
      </c>
      <c r="BP50" s="91">
        <v>166483</v>
      </c>
      <c r="BQ50" s="91">
        <v>156140</v>
      </c>
      <c r="BR50" s="91">
        <v>111391</v>
      </c>
      <c r="BS50" s="91">
        <v>26768</v>
      </c>
      <c r="BT50" s="91">
        <f t="shared" si="93"/>
        <v>1389709</v>
      </c>
      <c r="BU50" s="28"/>
      <c r="BV50" s="91">
        <v>54245</v>
      </c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J50" s="91">
        <v>54245</v>
      </c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</row>
    <row r="51" spans="1:100" ht="15.75">
      <c r="A51" s="103"/>
      <c r="B51" s="329" t="s">
        <v>279</v>
      </c>
      <c r="C51" s="330"/>
      <c r="D51" s="331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332"/>
      <c r="Q51" s="105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334"/>
      <c r="AE51" s="106"/>
      <c r="AF51" s="333">
        <f t="shared" ref="AF51:AQ51" si="94">AF50-AF20</f>
        <v>2047</v>
      </c>
      <c r="AG51" s="333">
        <f t="shared" si="94"/>
        <v>-3571</v>
      </c>
      <c r="AH51" s="333">
        <f t="shared" si="94"/>
        <v>-219</v>
      </c>
      <c r="AI51" s="333">
        <f t="shared" si="94"/>
        <v>-1735</v>
      </c>
      <c r="AJ51" s="333">
        <f t="shared" si="94"/>
        <v>-2447</v>
      </c>
      <c r="AK51" s="333">
        <f t="shared" si="94"/>
        <v>675</v>
      </c>
      <c r="AL51" s="333">
        <f t="shared" si="94"/>
        <v>-9703</v>
      </c>
      <c r="AM51" s="333">
        <f t="shared" si="94"/>
        <v>-52075</v>
      </c>
      <c r="AN51" s="333">
        <f t="shared" si="94"/>
        <v>-59487.333333333343</v>
      </c>
      <c r="AO51" s="333">
        <f t="shared" si="94"/>
        <v>-15063</v>
      </c>
      <c r="AP51" s="333">
        <f t="shared" si="94"/>
        <v>-23043</v>
      </c>
      <c r="AQ51" s="333">
        <f t="shared" si="94"/>
        <v>-11563</v>
      </c>
      <c r="AR51" s="107">
        <f t="shared" si="86"/>
        <v>-176184.33333333334</v>
      </c>
      <c r="AS51" s="106"/>
      <c r="AT51" s="333">
        <f t="shared" ref="AT51:BE51" si="95">AT50-AT20</f>
        <v>8451.75</v>
      </c>
      <c r="AU51" s="333">
        <f t="shared" si="95"/>
        <v>-37227.103448275855</v>
      </c>
      <c r="AV51" s="333">
        <f t="shared" si="95"/>
        <v>-6779.1379310344782</v>
      </c>
      <c r="AW51" s="333">
        <f t="shared" si="95"/>
        <v>-22342.137931034478</v>
      </c>
      <c r="AX51" s="333">
        <f t="shared" si="95"/>
        <v>4719.0344827586232</v>
      </c>
      <c r="AY51" s="333">
        <f t="shared" si="95"/>
        <v>-14182.777777777781</v>
      </c>
      <c r="AZ51" s="333">
        <f t="shared" si="95"/>
        <v>-6630.777777777781</v>
      </c>
      <c r="BA51" s="333">
        <f t="shared" si="95"/>
        <v>-77771.296296296292</v>
      </c>
      <c r="BB51" s="333">
        <f t="shared" si="95"/>
        <v>-51486.777777777781</v>
      </c>
      <c r="BC51" s="333">
        <f t="shared" si="95"/>
        <v>-99233.290755657828</v>
      </c>
      <c r="BD51" s="333">
        <f t="shared" si="95"/>
        <v>5175.413118527038</v>
      </c>
      <c r="BE51" s="333">
        <f t="shared" si="95"/>
        <v>5840.3870349060235</v>
      </c>
      <c r="BF51" s="108">
        <f t="shared" si="64"/>
        <v>-291466.71505944064</v>
      </c>
      <c r="BG51" s="106"/>
      <c r="BH51" s="333">
        <f t="shared" ref="BH51:BQ51" si="96">BH50-BH17</f>
        <v>-6365</v>
      </c>
      <c r="BI51" s="333">
        <f t="shared" si="96"/>
        <v>-8486.3333333333285</v>
      </c>
      <c r="BJ51" s="333">
        <f t="shared" si="96"/>
        <v>23180.925925925927</v>
      </c>
      <c r="BK51" s="333">
        <f t="shared" si="96"/>
        <v>-44486.740740740745</v>
      </c>
      <c r="BL51" s="333">
        <f t="shared" si="96"/>
        <v>5926.148148148146</v>
      </c>
      <c r="BM51" s="333">
        <f t="shared" si="96"/>
        <v>10043.740740740745</v>
      </c>
      <c r="BN51" s="333">
        <f t="shared" si="96"/>
        <v>-4917.555555555562</v>
      </c>
      <c r="BO51" s="333">
        <f t="shared" si="96"/>
        <v>3071.6218888889125</v>
      </c>
      <c r="BP51" s="333">
        <f t="shared" si="96"/>
        <v>4652.2504629629548</v>
      </c>
      <c r="BQ51" s="333">
        <f t="shared" si="96"/>
        <v>29010</v>
      </c>
      <c r="BR51" s="108"/>
      <c r="BS51" s="108"/>
      <c r="BT51" s="108">
        <f t="shared" si="93"/>
        <v>11629.05753703705</v>
      </c>
      <c r="BU51" s="28"/>
      <c r="BV51" s="333"/>
      <c r="BW51" s="333"/>
      <c r="BX51" s="333"/>
      <c r="BY51" s="333"/>
      <c r="BZ51" s="108"/>
      <c r="CA51" s="108"/>
      <c r="CB51" s="108"/>
      <c r="CC51" s="108"/>
      <c r="CD51" s="108"/>
      <c r="CE51" s="108"/>
      <c r="CF51" s="108"/>
      <c r="CG51" s="108"/>
      <c r="CH51" s="108"/>
      <c r="CJ51" s="333"/>
      <c r="CK51" s="333"/>
      <c r="CL51" s="333"/>
      <c r="CM51" s="333"/>
      <c r="CN51" s="108"/>
      <c r="CO51" s="108"/>
      <c r="CP51" s="108"/>
      <c r="CQ51" s="108"/>
      <c r="CR51" s="108"/>
      <c r="CS51" s="108"/>
      <c r="CT51" s="108"/>
      <c r="CU51" s="108"/>
      <c r="CV51" s="108"/>
    </row>
    <row r="52" spans="1:100" ht="15.75" customHeight="1">
      <c r="A52" s="94"/>
      <c r="B52" s="336" t="s">
        <v>81</v>
      </c>
      <c r="C52" s="335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/>
      <c r="Q52" s="90"/>
      <c r="R52" s="316"/>
      <c r="S52" s="316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5"/>
      <c r="AE52" s="23"/>
      <c r="AF52" s="316">
        <v>26171</v>
      </c>
      <c r="AG52" s="316">
        <v>21736</v>
      </c>
      <c r="AH52" s="316">
        <v>10736</v>
      </c>
      <c r="AI52" s="316">
        <v>15851</v>
      </c>
      <c r="AJ52" s="316">
        <v>30248</v>
      </c>
      <c r="AK52" s="316">
        <v>34072</v>
      </c>
      <c r="AL52" s="316">
        <v>37481</v>
      </c>
      <c r="AM52" s="91">
        <v>32645</v>
      </c>
      <c r="AN52" s="91">
        <v>30252</v>
      </c>
      <c r="AO52" s="91">
        <v>39494</v>
      </c>
      <c r="AP52" s="91">
        <v>42389</v>
      </c>
      <c r="AQ52" s="91">
        <v>55547</v>
      </c>
      <c r="AR52" s="92">
        <f t="shared" si="86"/>
        <v>376622</v>
      </c>
      <c r="AS52" s="23"/>
      <c r="AT52" s="91">
        <v>30298</v>
      </c>
      <c r="AU52" s="91">
        <v>27364</v>
      </c>
      <c r="AV52" s="91">
        <v>32595</v>
      </c>
      <c r="AW52" s="91">
        <v>28643</v>
      </c>
      <c r="AX52" s="91">
        <v>32208</v>
      </c>
      <c r="AY52" s="91">
        <v>30601</v>
      </c>
      <c r="AZ52" s="91">
        <v>38882</v>
      </c>
      <c r="BA52" s="91">
        <v>30743</v>
      </c>
      <c r="BB52" s="91">
        <f>24621+1200</f>
        <v>25821</v>
      </c>
      <c r="BC52" s="91">
        <v>31662</v>
      </c>
      <c r="BD52" s="91">
        <v>37222</v>
      </c>
      <c r="BE52" s="91">
        <v>53667</v>
      </c>
      <c r="BF52" s="91">
        <f t="shared" si="64"/>
        <v>399706</v>
      </c>
      <c r="BG52" s="93">
        <f>BF52/AR52-1</f>
        <v>6.1292224033646425E-2</v>
      </c>
      <c r="BH52" s="91">
        <v>34097</v>
      </c>
      <c r="BI52" s="91">
        <v>25734</v>
      </c>
      <c r="BJ52" s="91">
        <v>34274</v>
      </c>
      <c r="BK52" s="91">
        <v>28838</v>
      </c>
      <c r="BL52" s="91">
        <v>32785</v>
      </c>
      <c r="BM52" s="91">
        <v>38470</v>
      </c>
      <c r="BN52" s="91">
        <v>48365</v>
      </c>
      <c r="BO52" s="91">
        <v>33280</v>
      </c>
      <c r="BP52" s="91">
        <v>34203</v>
      </c>
      <c r="BQ52" s="91">
        <v>35184</v>
      </c>
      <c r="BR52" s="91">
        <v>34873</v>
      </c>
      <c r="BS52" s="91">
        <v>48960</v>
      </c>
      <c r="BT52" s="91">
        <f t="shared" si="93"/>
        <v>429063</v>
      </c>
      <c r="BU52" s="28"/>
      <c r="BV52" s="91">
        <v>22115</v>
      </c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J52" s="91">
        <v>22115</v>
      </c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</row>
    <row r="53" spans="1:100" ht="15.75">
      <c r="A53" s="103"/>
      <c r="B53" s="329" t="s">
        <v>280</v>
      </c>
      <c r="C53" s="330"/>
      <c r="D53" s="331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332"/>
      <c r="Q53" s="105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06"/>
      <c r="AF53" s="333">
        <f t="shared" ref="AF53:AQ53" si="97">AF52-AF43</f>
        <v>-12329</v>
      </c>
      <c r="AG53" s="333">
        <f t="shared" si="97"/>
        <v>-664</v>
      </c>
      <c r="AH53" s="333">
        <f t="shared" si="97"/>
        <v>65</v>
      </c>
      <c r="AI53" s="333">
        <f t="shared" si="97"/>
        <v>-246</v>
      </c>
      <c r="AJ53" s="333">
        <f t="shared" si="97"/>
        <v>-30</v>
      </c>
      <c r="AK53" s="333">
        <f t="shared" si="97"/>
        <v>5512</v>
      </c>
      <c r="AL53" s="333">
        <f t="shared" si="97"/>
        <v>-4219</v>
      </c>
      <c r="AM53" s="333">
        <f t="shared" si="97"/>
        <v>-6055</v>
      </c>
      <c r="AN53" s="333">
        <f t="shared" si="97"/>
        <v>-7048</v>
      </c>
      <c r="AO53" s="333">
        <f t="shared" si="97"/>
        <v>2094</v>
      </c>
      <c r="AP53" s="333">
        <f t="shared" si="97"/>
        <v>1749</v>
      </c>
      <c r="AQ53" s="333">
        <f t="shared" si="97"/>
        <v>1107</v>
      </c>
      <c r="AR53" s="107">
        <f t="shared" si="86"/>
        <v>-20064</v>
      </c>
      <c r="AS53" s="106"/>
      <c r="AT53" s="333">
        <f t="shared" ref="AT53:BE53" si="98">AT52-AT43</f>
        <v>-5855</v>
      </c>
      <c r="AU53" s="333">
        <f t="shared" si="98"/>
        <v>-7925</v>
      </c>
      <c r="AV53" s="333">
        <f t="shared" si="98"/>
        <v>-3277</v>
      </c>
      <c r="AW53" s="333">
        <f t="shared" si="98"/>
        <v>-9388</v>
      </c>
      <c r="AX53" s="333">
        <f t="shared" si="98"/>
        <v>-1358</v>
      </c>
      <c r="AY53" s="333">
        <f t="shared" si="98"/>
        <v>-2965</v>
      </c>
      <c r="AZ53" s="333">
        <f t="shared" si="98"/>
        <v>7986</v>
      </c>
      <c r="BA53" s="333">
        <f t="shared" si="98"/>
        <v>-403</v>
      </c>
      <c r="BB53" s="333">
        <f t="shared" si="98"/>
        <v>-6809</v>
      </c>
      <c r="BC53" s="333">
        <f t="shared" si="98"/>
        <v>-6900</v>
      </c>
      <c r="BD53" s="333">
        <f t="shared" si="98"/>
        <v>-4123</v>
      </c>
      <c r="BE53" s="333">
        <f t="shared" si="98"/>
        <v>4404</v>
      </c>
      <c r="BF53" s="108">
        <f t="shared" si="64"/>
        <v>-36613</v>
      </c>
      <c r="BG53" s="106"/>
      <c r="BH53" s="333">
        <f t="shared" ref="BH53:BQ53" si="99">BH52-BH43</f>
        <v>-2056</v>
      </c>
      <c r="BI53" s="333">
        <f t="shared" si="99"/>
        <v>-9555</v>
      </c>
      <c r="BJ53" s="333">
        <f t="shared" si="99"/>
        <v>-1598</v>
      </c>
      <c r="BK53" s="333">
        <f t="shared" si="99"/>
        <v>-9193</v>
      </c>
      <c r="BL53" s="333">
        <f t="shared" si="99"/>
        <v>-5785</v>
      </c>
      <c r="BM53" s="333">
        <f t="shared" si="99"/>
        <v>-757</v>
      </c>
      <c r="BN53" s="333">
        <f t="shared" si="99"/>
        <v>7237</v>
      </c>
      <c r="BO53" s="333">
        <f t="shared" si="99"/>
        <v>-4911</v>
      </c>
      <c r="BP53" s="333">
        <f t="shared" si="99"/>
        <v>-3988</v>
      </c>
      <c r="BQ53" s="333">
        <f t="shared" si="99"/>
        <v>-5041</v>
      </c>
      <c r="BR53" s="108"/>
      <c r="BS53" s="108"/>
      <c r="BT53" s="108">
        <f t="shared" si="93"/>
        <v>-35647</v>
      </c>
      <c r="BU53" s="28"/>
      <c r="BV53" s="333"/>
      <c r="BW53" s="333"/>
      <c r="BX53" s="333"/>
      <c r="BY53" s="333"/>
      <c r="BZ53" s="108"/>
      <c r="CA53" s="108"/>
      <c r="CB53" s="108"/>
      <c r="CC53" s="108"/>
      <c r="CD53" s="108"/>
      <c r="CE53" s="108"/>
      <c r="CF53" s="108"/>
      <c r="CG53" s="108"/>
      <c r="CH53" s="108"/>
      <c r="CJ53" s="333"/>
      <c r="CK53" s="333"/>
      <c r="CL53" s="333"/>
      <c r="CM53" s="333"/>
      <c r="CN53" s="108"/>
      <c r="CO53" s="108"/>
      <c r="CP53" s="108"/>
      <c r="CQ53" s="108"/>
      <c r="CR53" s="108"/>
      <c r="CS53" s="108"/>
      <c r="CT53" s="108"/>
      <c r="CU53" s="108"/>
      <c r="CV53" s="108"/>
    </row>
    <row r="54" spans="1:100" ht="15.75">
      <c r="A54" s="103" t="s">
        <v>83</v>
      </c>
      <c r="B54" s="337"/>
      <c r="C54" s="330"/>
      <c r="D54" s="331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332"/>
      <c r="Q54" s="105"/>
      <c r="R54" s="333"/>
      <c r="S54" s="333"/>
      <c r="T54" s="333"/>
      <c r="U54" s="333"/>
      <c r="V54" s="333"/>
      <c r="W54" s="333"/>
      <c r="X54" s="333"/>
      <c r="Y54" s="333"/>
      <c r="Z54" s="333"/>
      <c r="AA54" s="333"/>
      <c r="AB54" s="333"/>
      <c r="AC54" s="333"/>
      <c r="AD54" s="334"/>
      <c r="AE54" s="106"/>
      <c r="AF54" s="333">
        <f t="shared" ref="AF54:AQ55" si="100">AF49-AF16</f>
        <v>-10282</v>
      </c>
      <c r="AG54" s="333">
        <f t="shared" si="100"/>
        <v>-4235</v>
      </c>
      <c r="AH54" s="333">
        <f t="shared" si="100"/>
        <v>-154</v>
      </c>
      <c r="AI54" s="333">
        <f t="shared" si="100"/>
        <v>-1981</v>
      </c>
      <c r="AJ54" s="333">
        <f t="shared" si="100"/>
        <v>-2477</v>
      </c>
      <c r="AK54" s="333">
        <f t="shared" si="100"/>
        <v>6187</v>
      </c>
      <c r="AL54" s="333">
        <f t="shared" si="100"/>
        <v>-13922</v>
      </c>
      <c r="AM54" s="333">
        <f t="shared" si="100"/>
        <v>-58130</v>
      </c>
      <c r="AN54" s="333">
        <f t="shared" si="100"/>
        <v>-66535.333333333343</v>
      </c>
      <c r="AO54" s="333">
        <f t="shared" si="100"/>
        <v>-12969</v>
      </c>
      <c r="AP54" s="333">
        <f t="shared" si="100"/>
        <v>-21294</v>
      </c>
      <c r="AQ54" s="333">
        <f t="shared" si="100"/>
        <v>-10456</v>
      </c>
      <c r="AR54" s="107">
        <f t="shared" si="86"/>
        <v>-196248.33333333334</v>
      </c>
      <c r="AS54" s="106"/>
      <c r="AT54" s="333">
        <f t="shared" ref="AT54:BE54" si="101">AT49-AT16</f>
        <v>2596.75</v>
      </c>
      <c r="AU54" s="333">
        <f t="shared" si="101"/>
        <v>-45152.103448275855</v>
      </c>
      <c r="AV54" s="333">
        <f t="shared" si="101"/>
        <v>-10056.137931034493</v>
      </c>
      <c r="AW54" s="333">
        <f t="shared" si="101"/>
        <v>-31730.137931034493</v>
      </c>
      <c r="AX54" s="333">
        <f t="shared" si="101"/>
        <v>3361.0344827586232</v>
      </c>
      <c r="AY54" s="333">
        <f t="shared" si="101"/>
        <v>-17147.777777777781</v>
      </c>
      <c r="AZ54" s="333">
        <f t="shared" si="101"/>
        <v>1355.222222222219</v>
      </c>
      <c r="BA54" s="333">
        <f t="shared" si="101"/>
        <v>-78174.296296296292</v>
      </c>
      <c r="BB54" s="333">
        <f t="shared" si="101"/>
        <v>-58295.777777777781</v>
      </c>
      <c r="BC54" s="333">
        <f t="shared" si="101"/>
        <v>-106133.29075565783</v>
      </c>
      <c r="BD54" s="333">
        <f t="shared" si="101"/>
        <v>1052.413118527038</v>
      </c>
      <c r="BE54" s="333">
        <f t="shared" si="101"/>
        <v>17507.387034906016</v>
      </c>
      <c r="BF54" s="108">
        <f t="shared" si="64"/>
        <v>-320816.71505944064</v>
      </c>
      <c r="BG54" s="106"/>
      <c r="BH54" s="333">
        <f t="shared" ref="BH54:BQ54" si="102">BH49-BH16</f>
        <v>-8421</v>
      </c>
      <c r="BI54" s="333">
        <f t="shared" si="102"/>
        <v>-18041.333333333314</v>
      </c>
      <c r="BJ54" s="333">
        <f t="shared" si="102"/>
        <v>21582.925925925927</v>
      </c>
      <c r="BK54" s="333">
        <f t="shared" si="102"/>
        <v>-53679.74074074073</v>
      </c>
      <c r="BL54" s="333">
        <f t="shared" si="102"/>
        <v>141.14814814814599</v>
      </c>
      <c r="BM54" s="333">
        <f t="shared" si="102"/>
        <v>9286.7407407407445</v>
      </c>
      <c r="BN54" s="333">
        <f t="shared" si="102"/>
        <v>2319.444444444438</v>
      </c>
      <c r="BO54" s="333">
        <f t="shared" si="102"/>
        <v>7351.6218888889125</v>
      </c>
      <c r="BP54" s="333">
        <f t="shared" si="102"/>
        <v>-1367.7495370370452</v>
      </c>
      <c r="BQ54" s="333">
        <f t="shared" si="102"/>
        <v>27459</v>
      </c>
      <c r="BR54" s="108"/>
      <c r="BS54" s="108"/>
      <c r="BT54" s="108">
        <f t="shared" si="93"/>
        <v>-13368.942462962921</v>
      </c>
      <c r="BU54" s="28"/>
      <c r="BV54" s="333"/>
      <c r="BW54" s="333"/>
      <c r="BX54" s="333"/>
      <c r="BY54" s="333"/>
      <c r="BZ54" s="108"/>
      <c r="CA54" s="108"/>
      <c r="CB54" s="108"/>
      <c r="CC54" s="108"/>
      <c r="CD54" s="108"/>
      <c r="CE54" s="108"/>
      <c r="CF54" s="108"/>
      <c r="CG54" s="108"/>
      <c r="CH54" s="108"/>
      <c r="CJ54" s="333"/>
      <c r="CK54" s="333"/>
      <c r="CL54" s="333"/>
      <c r="CM54" s="333"/>
      <c r="CN54" s="108"/>
      <c r="CO54" s="108"/>
      <c r="CP54" s="108"/>
      <c r="CQ54" s="108"/>
      <c r="CR54" s="108"/>
      <c r="CS54" s="108"/>
      <c r="CT54" s="108"/>
      <c r="CU54" s="108"/>
      <c r="CV54" s="108"/>
    </row>
    <row r="55" spans="1:100" ht="15.75">
      <c r="A55" s="103" t="s">
        <v>85</v>
      </c>
      <c r="B55" s="337"/>
      <c r="C55" s="330"/>
      <c r="D55" s="331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332"/>
      <c r="Q55" s="105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06"/>
      <c r="AF55" s="333">
        <f t="shared" si="100"/>
        <v>92193</v>
      </c>
      <c r="AG55" s="333">
        <f t="shared" si="100"/>
        <v>152006</v>
      </c>
      <c r="AH55" s="333">
        <f t="shared" si="100"/>
        <v>62734</v>
      </c>
      <c r="AI55" s="333">
        <f t="shared" si="100"/>
        <v>71526</v>
      </c>
      <c r="AJ55" s="333">
        <f t="shared" si="100"/>
        <v>89409</v>
      </c>
      <c r="AK55" s="333">
        <f t="shared" si="100"/>
        <v>120675</v>
      </c>
      <c r="AL55" s="333">
        <f t="shared" si="100"/>
        <v>100592</v>
      </c>
      <c r="AM55" s="333">
        <f t="shared" si="100"/>
        <v>148128</v>
      </c>
      <c r="AN55" s="333">
        <f t="shared" si="100"/>
        <v>164346</v>
      </c>
      <c r="AO55" s="333">
        <f t="shared" si="100"/>
        <v>203437</v>
      </c>
      <c r="AP55" s="333">
        <f t="shared" si="100"/>
        <v>64957</v>
      </c>
      <c r="AQ55" s="333">
        <f t="shared" si="100"/>
        <v>31837</v>
      </c>
      <c r="AR55" s="107">
        <f t="shared" si="86"/>
        <v>1301840</v>
      </c>
      <c r="AS55" s="106"/>
      <c r="AT55" s="338">
        <f t="shared" ref="AT55:BE55" si="103">AT54/AT16</f>
        <v>1.7000083470131603E-2</v>
      </c>
      <c r="AU55" s="338">
        <f t="shared" si="103"/>
        <v>-0.26792985919579565</v>
      </c>
      <c r="AV55" s="338">
        <f t="shared" si="103"/>
        <v>-6.5248272015318062E-2</v>
      </c>
      <c r="AW55" s="338">
        <f t="shared" si="103"/>
        <v>-0.19881644480138216</v>
      </c>
      <c r="AX55" s="338">
        <f t="shared" si="103"/>
        <v>2.798530764170884E-2</v>
      </c>
      <c r="AY55" s="338">
        <f t="shared" si="103"/>
        <v>-0.12395048084722922</v>
      </c>
      <c r="AZ55" s="338">
        <f t="shared" si="103"/>
        <v>8.1309864112464342E-3</v>
      </c>
      <c r="BA55" s="338">
        <f t="shared" si="103"/>
        <v>-0.32244495902957893</v>
      </c>
      <c r="BB55" s="338">
        <f t="shared" si="103"/>
        <v>-0.23949841829212068</v>
      </c>
      <c r="BC55" s="338">
        <f t="shared" si="103"/>
        <v>-0.41888939787658819</v>
      </c>
      <c r="BD55" s="338">
        <f t="shared" si="103"/>
        <v>7.8214003811977375E-3</v>
      </c>
      <c r="BE55" s="338">
        <f t="shared" si="103"/>
        <v>0.24086123043473662</v>
      </c>
      <c r="BF55" s="109">
        <f>AVERAGE(AT55:BE55)</f>
        <v>-0.11124823530991597</v>
      </c>
      <c r="BG55" s="106"/>
      <c r="BH55" s="338">
        <f t="shared" ref="BH55:BQ55" si="104">BH54/BH16</f>
        <v>-5.512821352117471E-2</v>
      </c>
      <c r="BI55" s="338">
        <f t="shared" si="104"/>
        <v>-0.12287867195499311</v>
      </c>
      <c r="BJ55" s="338">
        <f t="shared" si="104"/>
        <v>0.12581416416796784</v>
      </c>
      <c r="BK55" s="338">
        <f t="shared" si="104"/>
        <v>-0.33597769224938256</v>
      </c>
      <c r="BL55" s="338">
        <f t="shared" si="104"/>
        <v>1.0652943536044719E-3</v>
      </c>
      <c r="BM55" s="338">
        <f t="shared" si="104"/>
        <v>7.1488016002422286E-2</v>
      </c>
      <c r="BN55" s="338">
        <f t="shared" si="104"/>
        <v>1.3533646427895287E-2</v>
      </c>
      <c r="BO55" s="338">
        <f t="shared" si="104"/>
        <v>4.0944619366602007E-2</v>
      </c>
      <c r="BP55" s="338">
        <f t="shared" si="104"/>
        <v>-6.7692361075750926E-3</v>
      </c>
      <c r="BQ55" s="338">
        <f t="shared" si="104"/>
        <v>0.16757086626186191</v>
      </c>
      <c r="BR55" s="109"/>
      <c r="BS55" s="109"/>
      <c r="BT55" s="338">
        <f>BT54/BT16</f>
        <v>-7.1185036907011742E-3</v>
      </c>
      <c r="BU55" s="54"/>
      <c r="BV55" s="338"/>
      <c r="BW55" s="338"/>
      <c r="BX55" s="338"/>
      <c r="BY55" s="338"/>
      <c r="BZ55" s="109"/>
      <c r="CA55" s="109"/>
      <c r="CB55" s="109"/>
      <c r="CC55" s="109"/>
      <c r="CD55" s="109"/>
      <c r="CE55" s="109"/>
      <c r="CF55" s="109"/>
      <c r="CG55" s="109"/>
      <c r="CH55" s="109"/>
      <c r="CJ55" s="338"/>
      <c r="CK55" s="338"/>
      <c r="CL55" s="338"/>
      <c r="CM55" s="338"/>
      <c r="CN55" s="109"/>
      <c r="CO55" s="109"/>
      <c r="CP55" s="109"/>
      <c r="CQ55" s="109"/>
      <c r="CR55" s="109"/>
      <c r="CS55" s="109"/>
      <c r="CT55" s="109"/>
      <c r="CU55" s="109"/>
      <c r="CV55" s="109"/>
    </row>
    <row r="56" spans="1:100" ht="14.25" customHeight="1">
      <c r="A56" s="55" t="s">
        <v>86</v>
      </c>
      <c r="B56" s="56"/>
      <c r="C56" s="280"/>
      <c r="D56" s="288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289"/>
      <c r="Q56" s="39"/>
      <c r="R56" s="288"/>
      <c r="S56" s="58"/>
      <c r="T56" s="58"/>
      <c r="U56" s="58"/>
      <c r="V56" s="58"/>
      <c r="W56" s="290"/>
      <c r="X56" s="290"/>
      <c r="Y56" s="290"/>
      <c r="Z56" s="290"/>
      <c r="AA56" s="290"/>
      <c r="AB56" s="290"/>
      <c r="AC56" s="290"/>
      <c r="AD56" s="291"/>
      <c r="AE56" s="59"/>
      <c r="AF56" s="292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9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9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60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</row>
    <row r="57" spans="1:100" ht="14.25" customHeight="1">
      <c r="A57" s="55"/>
      <c r="B57" s="56" t="s">
        <v>603</v>
      </c>
      <c r="C57" s="280"/>
      <c r="D57" s="28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289"/>
      <c r="Q57" s="39"/>
      <c r="R57" s="288"/>
      <c r="S57" s="58"/>
      <c r="T57" s="58"/>
      <c r="U57" s="58"/>
      <c r="V57" s="58"/>
      <c r="W57" s="290"/>
      <c r="X57" s="290"/>
      <c r="Y57" s="290"/>
      <c r="Z57" s="290"/>
      <c r="AA57" s="290"/>
      <c r="AB57" s="290"/>
      <c r="AC57" s="290"/>
      <c r="AD57" s="291"/>
      <c r="AE57" s="59"/>
      <c r="AF57" s="292"/>
      <c r="AG57" s="292"/>
      <c r="AH57" s="292"/>
      <c r="AI57" s="292"/>
      <c r="AJ57" s="292"/>
      <c r="AK57" s="292"/>
      <c r="AL57" s="292"/>
      <c r="AM57" s="292"/>
      <c r="AN57" s="292"/>
      <c r="AO57" s="292"/>
      <c r="AP57" s="292"/>
      <c r="AQ57" s="292"/>
      <c r="AR57" s="58"/>
      <c r="AS57" s="59"/>
      <c r="AT57" s="292"/>
      <c r="AU57" s="292"/>
      <c r="AV57" s="292"/>
      <c r="AW57" s="292"/>
      <c r="AX57" s="292"/>
      <c r="AY57" s="292"/>
      <c r="AZ57" s="292"/>
      <c r="BA57" s="292"/>
      <c r="BB57" s="292"/>
      <c r="BC57" s="292"/>
      <c r="BD57" s="292"/>
      <c r="BE57" s="292"/>
      <c r="BF57" s="58"/>
      <c r="BG57" s="59"/>
      <c r="BH57" s="292"/>
      <c r="BI57" s="292"/>
      <c r="BJ57" s="292"/>
      <c r="BK57" s="292"/>
      <c r="BL57" s="292"/>
      <c r="BM57" s="292"/>
      <c r="BN57" s="292"/>
      <c r="BO57" s="292"/>
      <c r="BP57" s="292"/>
      <c r="BQ57" s="292"/>
      <c r="BR57" s="292"/>
      <c r="BS57" s="292"/>
      <c r="BT57" s="292"/>
      <c r="BU57" s="60"/>
      <c r="BV57" s="400">
        <f>BH49</f>
        <v>144332</v>
      </c>
      <c r="BW57" s="400">
        <f t="shared" ref="BW57:CA57" si="105">BI49</f>
        <v>128781</v>
      </c>
      <c r="BX57" s="400">
        <f t="shared" si="105"/>
        <v>193129</v>
      </c>
      <c r="BY57" s="400">
        <f t="shared" si="105"/>
        <v>106092</v>
      </c>
      <c r="BZ57" s="400">
        <f t="shared" si="105"/>
        <v>132638</v>
      </c>
      <c r="CA57" s="400">
        <f t="shared" si="105"/>
        <v>139193</v>
      </c>
      <c r="CB57" s="292"/>
      <c r="CC57" s="292"/>
      <c r="CD57" s="292"/>
      <c r="CE57" s="292"/>
      <c r="CF57" s="292"/>
      <c r="CG57" s="292"/>
      <c r="CH57" s="292"/>
      <c r="CJ57" s="400">
        <v>144332</v>
      </c>
      <c r="CK57" s="400">
        <v>128781</v>
      </c>
      <c r="CL57" s="400">
        <v>193129</v>
      </c>
      <c r="CM57" s="400">
        <v>106092</v>
      </c>
      <c r="CN57" s="400">
        <v>132638</v>
      </c>
      <c r="CO57" s="400">
        <v>139193</v>
      </c>
      <c r="CP57" s="292"/>
      <c r="CQ57" s="292"/>
      <c r="CR57" s="292"/>
      <c r="CS57" s="292"/>
      <c r="CT57" s="292"/>
      <c r="CU57" s="292"/>
      <c r="CV57" s="292"/>
    </row>
    <row r="58" spans="1:100" s="414" customFormat="1" ht="22.5" customHeight="1">
      <c r="A58" s="401"/>
      <c r="B58" s="402" t="s">
        <v>289</v>
      </c>
      <c r="C58" s="403"/>
      <c r="D58" s="404"/>
      <c r="E58" s="405"/>
      <c r="F58" s="405"/>
      <c r="G58" s="405"/>
      <c r="H58" s="405"/>
      <c r="I58" s="405"/>
      <c r="J58" s="405"/>
      <c r="K58" s="405"/>
      <c r="L58" s="405"/>
      <c r="M58" s="405"/>
      <c r="N58" s="405"/>
      <c r="O58" s="405"/>
      <c r="P58" s="406"/>
      <c r="Q58" s="407"/>
      <c r="R58" s="404"/>
      <c r="S58" s="408"/>
      <c r="T58" s="408"/>
      <c r="U58" s="408"/>
      <c r="V58" s="408"/>
      <c r="W58" s="409"/>
      <c r="X58" s="409"/>
      <c r="Y58" s="409"/>
      <c r="Z58" s="409"/>
      <c r="AA58" s="409"/>
      <c r="AB58" s="409"/>
      <c r="AC58" s="409"/>
      <c r="AD58" s="410"/>
      <c r="AE58" s="411"/>
      <c r="AF58" s="412"/>
      <c r="AG58" s="412"/>
      <c r="AH58" s="412"/>
      <c r="AI58" s="412"/>
      <c r="AJ58" s="412"/>
      <c r="AK58" s="412"/>
      <c r="AL58" s="412"/>
      <c r="AM58" s="412"/>
      <c r="AN58" s="412"/>
      <c r="AO58" s="412"/>
      <c r="AP58" s="412"/>
      <c r="AQ58" s="412"/>
      <c r="AR58" s="408"/>
      <c r="AS58" s="411"/>
      <c r="AT58" s="412"/>
      <c r="AU58" s="412"/>
      <c r="AV58" s="412"/>
      <c r="AW58" s="412"/>
      <c r="AX58" s="412"/>
      <c r="AY58" s="412"/>
      <c r="AZ58" s="412"/>
      <c r="BA58" s="412"/>
      <c r="BB58" s="412"/>
      <c r="BC58" s="412"/>
      <c r="BD58" s="412"/>
      <c r="BE58" s="412"/>
      <c r="BF58" s="408"/>
      <c r="BG58" s="411"/>
      <c r="BH58" s="412"/>
      <c r="BI58" s="412"/>
      <c r="BJ58" s="412"/>
      <c r="BK58" s="412"/>
      <c r="BL58" s="412"/>
      <c r="BM58" s="412"/>
      <c r="BN58" s="412"/>
      <c r="BO58" s="412"/>
      <c r="BP58" s="412"/>
      <c r="BQ58" s="412"/>
      <c r="BR58" s="412"/>
      <c r="BS58" s="412"/>
      <c r="BT58" s="412"/>
      <c r="BU58" s="60"/>
      <c r="BV58" s="413">
        <f>BV16</f>
        <v>157964.2809653038</v>
      </c>
      <c r="BW58" s="413">
        <f t="shared" ref="BW58:CA58" si="106">BW16</f>
        <v>146290.91993436706</v>
      </c>
      <c r="BX58" s="413">
        <f t="shared" si="106"/>
        <v>187073.36677403664</v>
      </c>
      <c r="BY58" s="413">
        <f t="shared" si="106"/>
        <v>151285.71907179488</v>
      </c>
      <c r="BZ58" s="413">
        <f t="shared" si="106"/>
        <v>144178.1256303548</v>
      </c>
      <c r="CA58" s="413">
        <f t="shared" si="106"/>
        <v>138215.07940017723</v>
      </c>
      <c r="CB58" s="412"/>
      <c r="CC58" s="412"/>
      <c r="CD58" s="412"/>
      <c r="CE58" s="412"/>
      <c r="CF58" s="412"/>
      <c r="CG58" s="412"/>
      <c r="CH58" s="412"/>
      <c r="CJ58" s="413">
        <v>157964.2809653038</v>
      </c>
      <c r="CK58" s="413">
        <v>146290.91993436706</v>
      </c>
      <c r="CL58" s="413">
        <v>187073.36677403664</v>
      </c>
      <c r="CM58" s="413">
        <v>151285.71907179488</v>
      </c>
      <c r="CN58" s="413">
        <v>144178.1256303548</v>
      </c>
      <c r="CO58" s="413">
        <v>138215.07940017723</v>
      </c>
      <c r="CP58" s="412"/>
      <c r="CQ58" s="412"/>
      <c r="CR58" s="412"/>
      <c r="CS58" s="412"/>
      <c r="CT58" s="412"/>
      <c r="CU58" s="412"/>
      <c r="CV58" s="412"/>
    </row>
    <row r="59" spans="1:100" ht="15.75" customHeight="1" outlineLevel="1">
      <c r="A59" s="94">
        <v>7</v>
      </c>
      <c r="B59" s="210" t="s">
        <v>90</v>
      </c>
      <c r="C59" s="335"/>
      <c r="D59" s="313">
        <v>98048</v>
      </c>
      <c r="E59" s="89">
        <v>128688</v>
      </c>
      <c r="F59" s="89">
        <v>124704</v>
      </c>
      <c r="G59" s="89">
        <v>157500</v>
      </c>
      <c r="H59" s="89">
        <v>182600</v>
      </c>
      <c r="I59" s="89">
        <v>157700</v>
      </c>
      <c r="J59" s="89">
        <v>181700</v>
      </c>
      <c r="K59" s="89">
        <v>165900</v>
      </c>
      <c r="L59" s="89">
        <v>174300</v>
      </c>
      <c r="M59" s="89">
        <v>215800</v>
      </c>
      <c r="N59" s="89">
        <v>180000</v>
      </c>
      <c r="O59" s="89">
        <v>112500</v>
      </c>
      <c r="P59" s="314">
        <f t="shared" ref="P59:P60" si="107">SUM(D59:O59)</f>
        <v>1879440</v>
      </c>
      <c r="Q59" s="90"/>
      <c r="R59" s="313">
        <v>158400</v>
      </c>
      <c r="S59" s="91">
        <v>161000</v>
      </c>
      <c r="T59" s="91">
        <v>117800</v>
      </c>
      <c r="U59" s="91">
        <v>2000</v>
      </c>
      <c r="V59" s="91">
        <v>53800</v>
      </c>
      <c r="W59" s="91">
        <v>190600</v>
      </c>
      <c r="X59" s="91">
        <v>187900</v>
      </c>
      <c r="Y59" s="91">
        <v>196800</v>
      </c>
      <c r="Z59" s="91">
        <v>192300</v>
      </c>
      <c r="AA59" s="91">
        <v>182300</v>
      </c>
      <c r="AB59" s="91">
        <v>175000</v>
      </c>
      <c r="AC59" s="91">
        <v>134100</v>
      </c>
      <c r="AD59" s="315">
        <f>SUM(R59:AC59)</f>
        <v>1752000</v>
      </c>
      <c r="AE59" s="23"/>
      <c r="AF59" s="316">
        <f t="shared" ref="AF59:AL59" si="108">SUM(AF60,AF62)</f>
        <v>161400</v>
      </c>
      <c r="AG59" s="316">
        <f t="shared" si="108"/>
        <v>166000</v>
      </c>
      <c r="AH59" s="316">
        <f t="shared" si="108"/>
        <v>150471</v>
      </c>
      <c r="AI59" s="316">
        <f t="shared" si="108"/>
        <v>149040</v>
      </c>
      <c r="AJ59" s="316">
        <f t="shared" si="108"/>
        <v>196360</v>
      </c>
      <c r="AK59" s="316">
        <f t="shared" si="108"/>
        <v>163300</v>
      </c>
      <c r="AL59" s="316">
        <f t="shared" si="108"/>
        <v>190000</v>
      </c>
      <c r="AM59" s="316">
        <f t="shared" ref="AM59:AQ59" si="109">SUM(AM60,AM62,AM63)</f>
        <v>167000</v>
      </c>
      <c r="AN59" s="316">
        <f t="shared" si="109"/>
        <v>170500</v>
      </c>
      <c r="AO59" s="316">
        <f t="shared" si="109"/>
        <v>140000</v>
      </c>
      <c r="AP59" s="316">
        <f t="shared" si="109"/>
        <v>130000</v>
      </c>
      <c r="AQ59" s="316">
        <f t="shared" si="109"/>
        <v>100000</v>
      </c>
      <c r="AR59" s="92">
        <f t="shared" ref="AR59:AR60" si="110">SUM(AF59:AQ59)</f>
        <v>1884071</v>
      </c>
      <c r="AS59" s="23"/>
      <c r="AT59" s="316">
        <f t="shared" ref="AT59:BC59" si="111">SUM(AT60,AT62,AT63)</f>
        <v>133000</v>
      </c>
      <c r="AU59" s="316">
        <f t="shared" si="111"/>
        <v>125180</v>
      </c>
      <c r="AV59" s="316">
        <f t="shared" si="111"/>
        <v>117228</v>
      </c>
      <c r="AW59" s="316">
        <f t="shared" si="111"/>
        <v>127500</v>
      </c>
      <c r="AX59" s="316">
        <f t="shared" si="111"/>
        <v>140000</v>
      </c>
      <c r="AY59" s="316">
        <f t="shared" si="111"/>
        <v>158342.99999899999</v>
      </c>
      <c r="AZ59" s="316">
        <f t="shared" si="111"/>
        <v>152409</v>
      </c>
      <c r="BA59" s="316">
        <f t="shared" si="111"/>
        <v>173520</v>
      </c>
      <c r="BB59" s="316">
        <f t="shared" si="111"/>
        <v>165000</v>
      </c>
      <c r="BC59" s="316">
        <f t="shared" si="111"/>
        <v>157500</v>
      </c>
      <c r="BD59" s="316">
        <v>129431</v>
      </c>
      <c r="BE59" s="316">
        <v>61700</v>
      </c>
      <c r="BF59" s="91">
        <f t="shared" ref="BF59:BF60" si="112">SUM(AT59:BE59)</f>
        <v>1640810.999999</v>
      </c>
      <c r="BG59" s="27">
        <f>BF59-AR59</f>
        <v>-243260.00000100001</v>
      </c>
      <c r="BH59" s="339">
        <f>SUM(BH60,BH62,BH63)</f>
        <v>139760</v>
      </c>
      <c r="BI59" s="339">
        <f t="shared" ref="BI59:BP59" si="113">SUM(BI60,BI62,BI63)</f>
        <v>116580</v>
      </c>
      <c r="BJ59" s="339">
        <f t="shared" si="113"/>
        <v>148340</v>
      </c>
      <c r="BK59" s="339">
        <f t="shared" si="113"/>
        <v>112360</v>
      </c>
      <c r="BL59" s="339">
        <f t="shared" si="113"/>
        <v>108660</v>
      </c>
      <c r="BM59" s="339">
        <f t="shared" si="113"/>
        <v>153416</v>
      </c>
      <c r="BN59" s="339">
        <f t="shared" si="113"/>
        <v>137676</v>
      </c>
      <c r="BO59" s="339">
        <f t="shared" si="113"/>
        <v>160654</v>
      </c>
      <c r="BP59" s="339">
        <f t="shared" si="113"/>
        <v>157000</v>
      </c>
      <c r="BQ59" s="339">
        <v>156725</v>
      </c>
      <c r="BR59" s="339">
        <v>182069</v>
      </c>
      <c r="BS59" s="339">
        <f>BS60+BS63</f>
        <v>156420</v>
      </c>
      <c r="BT59" s="339">
        <f t="shared" ref="BT59:BT60" si="114">SUM(BH59:BS59)</f>
        <v>1729660</v>
      </c>
      <c r="BU59" s="60"/>
      <c r="BV59" s="396">
        <f>BV3*7000</f>
        <v>133000</v>
      </c>
      <c r="BW59" s="396">
        <f t="shared" ref="BW59:CG59" si="115">BW3*7000</f>
        <v>133000</v>
      </c>
      <c r="BX59" s="396">
        <f>BX3*BX61</f>
        <v>147000</v>
      </c>
      <c r="BY59" s="396">
        <f t="shared" ref="BY59:CG59" si="116">BY3*BY61</f>
        <v>180000</v>
      </c>
      <c r="BZ59" s="396">
        <f t="shared" si="116"/>
        <v>150000</v>
      </c>
      <c r="CA59" s="396">
        <f t="shared" si="116"/>
        <v>150000</v>
      </c>
      <c r="CB59" s="396">
        <f t="shared" si="116"/>
        <v>172500</v>
      </c>
      <c r="CC59" s="396">
        <f t="shared" si="116"/>
        <v>157500</v>
      </c>
      <c r="CD59" s="396">
        <f t="shared" si="116"/>
        <v>157500</v>
      </c>
      <c r="CE59" s="396">
        <f t="shared" si="116"/>
        <v>172500</v>
      </c>
      <c r="CF59" s="396">
        <f t="shared" si="116"/>
        <v>150000</v>
      </c>
      <c r="CG59" s="396">
        <f t="shared" si="116"/>
        <v>97500</v>
      </c>
      <c r="CH59" s="339">
        <f t="shared" ref="CH59:CH60" si="117">SUM(BV59:CG59)</f>
        <v>1800500</v>
      </c>
      <c r="CJ59" s="396">
        <f>CJ3*CJ61</f>
        <v>142500</v>
      </c>
      <c r="CK59" s="396">
        <f t="shared" ref="CK59:CU59" si="118">CK3*CK61</f>
        <v>142500</v>
      </c>
      <c r="CL59" s="396">
        <f t="shared" si="118"/>
        <v>157500</v>
      </c>
      <c r="CM59" s="396">
        <f t="shared" si="118"/>
        <v>180000</v>
      </c>
      <c r="CN59" s="396">
        <f t="shared" si="118"/>
        <v>150000</v>
      </c>
      <c r="CO59" s="396">
        <f t="shared" si="118"/>
        <v>150000</v>
      </c>
      <c r="CP59" s="396">
        <f t="shared" si="118"/>
        <v>172500</v>
      </c>
      <c r="CQ59" s="396">
        <f t="shared" si="118"/>
        <v>157500</v>
      </c>
      <c r="CR59" s="396">
        <f t="shared" si="118"/>
        <v>157500</v>
      </c>
      <c r="CS59" s="396">
        <f t="shared" si="118"/>
        <v>172500</v>
      </c>
      <c r="CT59" s="396">
        <f t="shared" si="118"/>
        <v>150000</v>
      </c>
      <c r="CU59" s="396">
        <f t="shared" si="118"/>
        <v>97500</v>
      </c>
      <c r="CV59" s="339">
        <v>1800500</v>
      </c>
    </row>
    <row r="60" spans="1:100" ht="15.75" outlineLevel="1">
      <c r="A60" s="94"/>
      <c r="B60" s="210" t="s">
        <v>91</v>
      </c>
      <c r="C60" s="335"/>
      <c r="D60" s="313">
        <v>98048</v>
      </c>
      <c r="E60" s="89">
        <v>128688</v>
      </c>
      <c r="F60" s="89">
        <v>124704</v>
      </c>
      <c r="G60" s="89">
        <v>157500</v>
      </c>
      <c r="H60" s="89">
        <v>182600</v>
      </c>
      <c r="I60" s="89">
        <v>157700</v>
      </c>
      <c r="J60" s="89">
        <v>181700</v>
      </c>
      <c r="K60" s="89">
        <v>165900</v>
      </c>
      <c r="L60" s="89">
        <v>174300</v>
      </c>
      <c r="M60" s="89">
        <v>215800</v>
      </c>
      <c r="N60" s="89">
        <v>180000</v>
      </c>
      <c r="O60" s="89">
        <v>112500</v>
      </c>
      <c r="P60" s="314">
        <f t="shared" si="107"/>
        <v>1879440</v>
      </c>
      <c r="Q60" s="90"/>
      <c r="R60" s="313">
        <v>158400</v>
      </c>
      <c r="S60" s="91">
        <v>146000</v>
      </c>
      <c r="T60" s="91">
        <v>102200</v>
      </c>
      <c r="U60" s="91">
        <v>0</v>
      </c>
      <c r="V60" s="91">
        <v>43800</v>
      </c>
      <c r="W60" s="91">
        <v>160600</v>
      </c>
      <c r="X60" s="91">
        <v>167900</v>
      </c>
      <c r="Y60" s="91">
        <v>153300</v>
      </c>
      <c r="Z60" s="91">
        <v>153300</v>
      </c>
      <c r="AA60" s="91">
        <v>153300</v>
      </c>
      <c r="AB60" s="91">
        <v>146000</v>
      </c>
      <c r="AC60" s="91">
        <v>124100</v>
      </c>
      <c r="AD60" s="315"/>
      <c r="AE60" s="23"/>
      <c r="AF60" s="316">
        <v>131400</v>
      </c>
      <c r="AG60" s="91">
        <v>146000</v>
      </c>
      <c r="AH60" s="91">
        <v>125511</v>
      </c>
      <c r="AI60" s="91">
        <v>135000</v>
      </c>
      <c r="AJ60" s="91">
        <v>177320</v>
      </c>
      <c r="AK60" s="91">
        <v>151300</v>
      </c>
      <c r="AL60" s="91">
        <v>176000</v>
      </c>
      <c r="AM60" s="91">
        <f>AM61*AM3</f>
        <v>154000</v>
      </c>
      <c r="AN60" s="91">
        <f>AN61*AN3</f>
        <v>157500</v>
      </c>
      <c r="AO60" s="91">
        <f>AO61*AO3</f>
        <v>140000</v>
      </c>
      <c r="AP60" s="91">
        <f>AP61*AP3</f>
        <v>130000</v>
      </c>
      <c r="AQ60" s="91">
        <f>AQ61*AQ3+16000</f>
        <v>100000</v>
      </c>
      <c r="AR60" s="92">
        <f t="shared" si="110"/>
        <v>1724031</v>
      </c>
      <c r="AS60" s="23"/>
      <c r="AT60" s="91">
        <f>AT61*AT3</f>
        <v>133000</v>
      </c>
      <c r="AU60" s="91">
        <f>125180</f>
        <v>125180</v>
      </c>
      <c r="AV60" s="91">
        <f>AV61*AV3+7428</f>
        <v>117228</v>
      </c>
      <c r="AW60" s="91">
        <f>AW61*AW3</f>
        <v>123500</v>
      </c>
      <c r="AX60" s="91">
        <f>AX61*AX3</f>
        <v>132000</v>
      </c>
      <c r="AY60" s="91">
        <f>AY61*AY3</f>
        <v>153342.99999899999</v>
      </c>
      <c r="AZ60" s="91">
        <v>142409</v>
      </c>
      <c r="BA60" s="91">
        <v>163520</v>
      </c>
      <c r="BB60" s="91">
        <f>BB61*BB3</f>
        <v>165000</v>
      </c>
      <c r="BC60" s="91">
        <f>BC61*BC3</f>
        <v>157500</v>
      </c>
      <c r="BD60" s="316">
        <v>129431</v>
      </c>
      <c r="BE60" s="316">
        <v>61700</v>
      </c>
      <c r="BF60" s="91">
        <f t="shared" si="112"/>
        <v>1603810.999999</v>
      </c>
      <c r="BG60" s="27">
        <f>BF60+BF63-AR60-AR63</f>
        <v>-113040.00000100001</v>
      </c>
      <c r="BH60" s="91">
        <v>136760</v>
      </c>
      <c r="BI60" s="91">
        <v>116580</v>
      </c>
      <c r="BJ60" s="91">
        <v>148340</v>
      </c>
      <c r="BK60" s="91">
        <v>112360</v>
      </c>
      <c r="BL60" s="91">
        <v>108660</v>
      </c>
      <c r="BM60" s="91">
        <v>153416</v>
      </c>
      <c r="BN60" s="91">
        <v>137676</v>
      </c>
      <c r="BO60" s="91">
        <v>150654</v>
      </c>
      <c r="BP60" s="91">
        <f>7100*BP3</f>
        <v>142000</v>
      </c>
      <c r="BQ60" s="91">
        <f t="shared" ref="BQ60:BR60" si="119">BQ59-BQ63</f>
        <v>136725</v>
      </c>
      <c r="BR60" s="91">
        <f t="shared" si="119"/>
        <v>167069</v>
      </c>
      <c r="BS60" s="91">
        <v>124020</v>
      </c>
      <c r="BT60" s="91">
        <f t="shared" si="114"/>
        <v>1634260</v>
      </c>
      <c r="BU60" s="28"/>
      <c r="BV60" s="397">
        <f>BV61*BV62-24551</f>
        <v>129449</v>
      </c>
      <c r="BW60" s="397">
        <f>BW61*BW62</f>
        <v>154000</v>
      </c>
      <c r="BX60" s="397">
        <f t="shared" ref="BX60:CA60" si="120">BX61*BX62</f>
        <v>147000</v>
      </c>
      <c r="BY60" s="397">
        <f t="shared" si="120"/>
        <v>165000</v>
      </c>
      <c r="BZ60" s="397">
        <f t="shared" si="120"/>
        <v>157500</v>
      </c>
      <c r="CA60" s="397">
        <f t="shared" si="120"/>
        <v>172500</v>
      </c>
      <c r="CB60" s="397">
        <v>168760</v>
      </c>
      <c r="CC60" s="397">
        <v>194340</v>
      </c>
      <c r="CD60" s="397">
        <v>208000</v>
      </c>
      <c r="CE60" s="397">
        <v>201780</v>
      </c>
      <c r="CF60" s="397">
        <v>154060</v>
      </c>
      <c r="CG60" s="397">
        <v>96720</v>
      </c>
      <c r="CH60" s="91">
        <f t="shared" si="117"/>
        <v>1949109</v>
      </c>
      <c r="CI60" s="395">
        <f>(CH60-BT65)/BT65</f>
        <v>0.3634957544417815</v>
      </c>
      <c r="CJ60" s="397">
        <v>129449</v>
      </c>
      <c r="CK60" s="397">
        <v>154000</v>
      </c>
      <c r="CL60" s="397">
        <v>147000</v>
      </c>
      <c r="CM60" s="397">
        <v>165000</v>
      </c>
      <c r="CN60" s="397">
        <v>157500</v>
      </c>
      <c r="CO60" s="397">
        <v>172500</v>
      </c>
      <c r="CP60" s="397">
        <v>168760</v>
      </c>
      <c r="CQ60" s="397">
        <v>194340</v>
      </c>
      <c r="CR60" s="397">
        <v>208000</v>
      </c>
      <c r="CS60" s="397">
        <v>201780</v>
      </c>
      <c r="CT60" s="397">
        <v>154060</v>
      </c>
      <c r="CU60" s="397">
        <v>96720</v>
      </c>
      <c r="CV60" s="91">
        <v>1949109</v>
      </c>
    </row>
    <row r="61" spans="1:100" ht="15.75" customHeight="1" outlineLevel="1">
      <c r="A61" s="94"/>
      <c r="B61" s="210" t="s">
        <v>92</v>
      </c>
      <c r="C61" s="335"/>
      <c r="D61" s="313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/>
      <c r="Q61" s="90"/>
      <c r="R61" s="316">
        <f t="shared" ref="R61:AC61" si="121">R60/R3</f>
        <v>7200</v>
      </c>
      <c r="S61" s="316">
        <f t="shared" si="121"/>
        <v>7300</v>
      </c>
      <c r="T61" s="316">
        <f t="shared" si="121"/>
        <v>7300</v>
      </c>
      <c r="U61" s="316">
        <f t="shared" si="121"/>
        <v>0</v>
      </c>
      <c r="V61" s="316">
        <f t="shared" si="121"/>
        <v>3650</v>
      </c>
      <c r="W61" s="316">
        <f t="shared" si="121"/>
        <v>7300</v>
      </c>
      <c r="X61" s="316">
        <f t="shared" si="121"/>
        <v>7300</v>
      </c>
      <c r="Y61" s="316">
        <f t="shared" si="121"/>
        <v>7300</v>
      </c>
      <c r="Z61" s="316">
        <f t="shared" si="121"/>
        <v>7300</v>
      </c>
      <c r="AA61" s="316">
        <f t="shared" si="121"/>
        <v>7300</v>
      </c>
      <c r="AB61" s="316">
        <f t="shared" si="121"/>
        <v>7300</v>
      </c>
      <c r="AC61" s="316">
        <f t="shared" si="121"/>
        <v>7300</v>
      </c>
      <c r="AD61" s="315"/>
      <c r="AE61" s="23"/>
      <c r="AF61" s="316">
        <f t="shared" ref="AF61:AL61" si="122">AF60/AF3</f>
        <v>7300</v>
      </c>
      <c r="AG61" s="316">
        <f t="shared" si="122"/>
        <v>7300</v>
      </c>
      <c r="AH61" s="316">
        <f t="shared" si="122"/>
        <v>6275.55</v>
      </c>
      <c r="AI61" s="316">
        <f t="shared" si="122"/>
        <v>6750</v>
      </c>
      <c r="AJ61" s="316">
        <f t="shared" si="122"/>
        <v>8060</v>
      </c>
      <c r="AK61" s="316">
        <f t="shared" si="122"/>
        <v>7565</v>
      </c>
      <c r="AL61" s="316">
        <f t="shared" si="122"/>
        <v>8000</v>
      </c>
      <c r="AM61" s="91">
        <v>7000</v>
      </c>
      <c r="AN61" s="91">
        <v>7500</v>
      </c>
      <c r="AO61" s="91">
        <v>7000</v>
      </c>
      <c r="AP61" s="91">
        <v>6500</v>
      </c>
      <c r="AQ61" s="91">
        <v>7000</v>
      </c>
      <c r="AR61" s="92">
        <f>AVERAGE(AF61:AQ61)</f>
        <v>7187.5458333333336</v>
      </c>
      <c r="AS61" s="23"/>
      <c r="AT61" s="91">
        <v>7000</v>
      </c>
      <c r="AU61" s="91">
        <f>AU60/AU3</f>
        <v>6588.4210526315792</v>
      </c>
      <c r="AV61" s="91">
        <v>6100</v>
      </c>
      <c r="AW61" s="91">
        <v>6500</v>
      </c>
      <c r="AX61" s="91">
        <v>6000</v>
      </c>
      <c r="AY61" s="91">
        <v>7302.0476189999999</v>
      </c>
      <c r="AZ61" s="91">
        <v>7000</v>
      </c>
      <c r="BA61" s="91">
        <f>BA60/BA3</f>
        <v>7432.727272727273</v>
      </c>
      <c r="BB61" s="91">
        <v>7500</v>
      </c>
      <c r="BC61" s="91">
        <v>7500</v>
      </c>
      <c r="BD61" s="91">
        <f>BD60/BD3</f>
        <v>6471.55</v>
      </c>
      <c r="BE61" s="91">
        <f>BE60/BE3</f>
        <v>6170</v>
      </c>
      <c r="BF61" s="91">
        <f>AVERAGE(AT61:BE61)</f>
        <v>6797.0621620299053</v>
      </c>
      <c r="BG61" s="27"/>
      <c r="BH61" s="91">
        <f t="shared" ref="BH61:BS61" si="123">BH60/BH3</f>
        <v>6838</v>
      </c>
      <c r="BI61" s="91">
        <f t="shared" si="123"/>
        <v>6857.6470588235297</v>
      </c>
      <c r="BJ61" s="91">
        <f t="shared" si="123"/>
        <v>6449.565217391304</v>
      </c>
      <c r="BK61" s="91">
        <f t="shared" si="123"/>
        <v>6242.2222222222226</v>
      </c>
      <c r="BL61" s="91">
        <f t="shared" si="123"/>
        <v>4939.090909090909</v>
      </c>
      <c r="BM61" s="91">
        <f t="shared" si="123"/>
        <v>6670.260869565217</v>
      </c>
      <c r="BN61" s="91">
        <f t="shared" si="123"/>
        <v>6556</v>
      </c>
      <c r="BO61" s="91">
        <f t="shared" si="123"/>
        <v>7174</v>
      </c>
      <c r="BP61" s="91">
        <f t="shared" si="123"/>
        <v>7100</v>
      </c>
      <c r="BQ61" s="91">
        <f t="shared" si="123"/>
        <v>6510.7142857142853</v>
      </c>
      <c r="BR61" s="91">
        <f t="shared" si="123"/>
        <v>8353.4500000000007</v>
      </c>
      <c r="BS61" s="91">
        <f t="shared" si="123"/>
        <v>8858.5714285714294</v>
      </c>
      <c r="BT61" s="91">
        <f>AVERAGE(BH61:BS61)</f>
        <v>6879.1268326149084</v>
      </c>
      <c r="BU61" s="28"/>
      <c r="BV61" s="91">
        <v>7000</v>
      </c>
      <c r="BW61" s="91">
        <v>7000</v>
      </c>
      <c r="BX61" s="91">
        <v>7000</v>
      </c>
      <c r="BY61" s="91">
        <v>7500</v>
      </c>
      <c r="BZ61" s="91">
        <v>7500</v>
      </c>
      <c r="CA61" s="91">
        <v>7500</v>
      </c>
      <c r="CB61" s="91">
        <v>7500</v>
      </c>
      <c r="CC61" s="91">
        <v>7500</v>
      </c>
      <c r="CD61" s="91">
        <v>7500</v>
      </c>
      <c r="CE61" s="91">
        <v>7500</v>
      </c>
      <c r="CF61" s="91">
        <v>7500</v>
      </c>
      <c r="CG61" s="91">
        <v>7500</v>
      </c>
      <c r="CH61" s="91"/>
      <c r="CJ61" s="91">
        <v>7500</v>
      </c>
      <c r="CK61" s="91">
        <v>7500</v>
      </c>
      <c r="CL61" s="91">
        <v>7500</v>
      </c>
      <c r="CM61" s="91">
        <v>7500</v>
      </c>
      <c r="CN61" s="91">
        <v>7500</v>
      </c>
      <c r="CO61" s="91">
        <v>7500</v>
      </c>
      <c r="CP61" s="91">
        <v>7500</v>
      </c>
      <c r="CQ61" s="91">
        <v>7500</v>
      </c>
      <c r="CR61" s="91">
        <v>7500</v>
      </c>
      <c r="CS61" s="91">
        <v>7500</v>
      </c>
      <c r="CT61" s="91">
        <v>7500</v>
      </c>
      <c r="CU61" s="91">
        <v>7500</v>
      </c>
      <c r="CV61" s="91"/>
    </row>
    <row r="62" spans="1:100" ht="15.75" customHeight="1" outlineLevel="1">
      <c r="A62" s="94"/>
      <c r="B62" s="210" t="s">
        <v>93</v>
      </c>
      <c r="C62" s="335"/>
      <c r="D62" s="313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>
        <v>15000</v>
      </c>
      <c r="T62" s="91">
        <v>15600</v>
      </c>
      <c r="U62" s="91">
        <v>2000</v>
      </c>
      <c r="V62" s="91">
        <v>10000</v>
      </c>
      <c r="W62" s="91">
        <v>30000</v>
      </c>
      <c r="X62" s="91">
        <v>20000</v>
      </c>
      <c r="Y62" s="91">
        <v>30000</v>
      </c>
      <c r="Z62" s="91">
        <v>30000</v>
      </c>
      <c r="AA62" s="91">
        <v>20000</v>
      </c>
      <c r="AB62" s="91">
        <v>20000</v>
      </c>
      <c r="AC62" s="91">
        <v>10000</v>
      </c>
      <c r="AD62" s="315"/>
      <c r="AE62" s="23"/>
      <c r="AF62" s="316">
        <v>30000</v>
      </c>
      <c r="AG62" s="91">
        <v>20000</v>
      </c>
      <c r="AH62" s="91">
        <v>24960</v>
      </c>
      <c r="AI62" s="91">
        <v>14040</v>
      </c>
      <c r="AJ62" s="91">
        <v>19040</v>
      </c>
      <c r="AK62" s="91">
        <v>12000</v>
      </c>
      <c r="AL62" s="91">
        <v>14000</v>
      </c>
      <c r="AM62" s="91">
        <v>13000</v>
      </c>
      <c r="AN62" s="91">
        <v>13000</v>
      </c>
      <c r="AO62" s="91">
        <v>0</v>
      </c>
      <c r="AP62" s="91">
        <v>0</v>
      </c>
      <c r="AQ62" s="91">
        <v>0</v>
      </c>
      <c r="AR62" s="92">
        <f t="shared" ref="AR62:AR63" si="124">SUM(AF62:AQ62)</f>
        <v>160040</v>
      </c>
      <c r="AS62" s="23"/>
      <c r="AT62" s="91">
        <v>0</v>
      </c>
      <c r="AU62" s="91">
        <v>0</v>
      </c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>
        <f t="shared" ref="BF62:BF63" si="125">SUM(AT62:BE62)</f>
        <v>0</v>
      </c>
      <c r="BG62" s="27">
        <f>BF62-AR62</f>
        <v>-160040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>
        <f t="shared" ref="BT62" si="126">SUM(BH62:BS62)</f>
        <v>0</v>
      </c>
      <c r="BU62" s="28"/>
      <c r="BV62" s="399">
        <f>19+3</f>
        <v>22</v>
      </c>
      <c r="BW62" s="399">
        <f>19+3</f>
        <v>22</v>
      </c>
      <c r="BX62" s="399">
        <f>18+3</f>
        <v>21</v>
      </c>
      <c r="BY62" s="399">
        <v>22</v>
      </c>
      <c r="BZ62" s="399">
        <v>21</v>
      </c>
      <c r="CA62" s="399">
        <f>20+3</f>
        <v>23</v>
      </c>
      <c r="CB62" s="91"/>
      <c r="CC62" s="91"/>
      <c r="CD62" s="91"/>
      <c r="CE62" s="91"/>
      <c r="CF62" s="91"/>
      <c r="CG62" s="91"/>
      <c r="CH62" s="91">
        <f t="shared" ref="CH62" si="127">SUM(BV62:CG62)</f>
        <v>131</v>
      </c>
      <c r="CJ62" s="399">
        <v>22</v>
      </c>
      <c r="CK62" s="399">
        <v>22</v>
      </c>
      <c r="CL62" s="399">
        <v>21</v>
      </c>
      <c r="CM62" s="399">
        <v>22</v>
      </c>
      <c r="CN62" s="399">
        <v>21</v>
      </c>
      <c r="CO62" s="399">
        <v>23</v>
      </c>
      <c r="CP62" s="91"/>
      <c r="CQ62" s="91"/>
      <c r="CR62" s="91"/>
      <c r="CS62" s="91"/>
      <c r="CT62" s="91"/>
      <c r="CU62" s="91"/>
      <c r="CV62" s="91">
        <v>131</v>
      </c>
    </row>
    <row r="63" spans="1:100" ht="15.75" customHeight="1" outlineLevel="1">
      <c r="A63" s="94"/>
      <c r="B63" s="210" t="s">
        <v>282</v>
      </c>
      <c r="C63" s="335"/>
      <c r="D63" s="313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314"/>
      <c r="Q63" s="90"/>
      <c r="R63" s="313"/>
      <c r="S63" s="91"/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13500</v>
      </c>
      <c r="Z63" s="91">
        <v>9000</v>
      </c>
      <c r="AA63" s="91">
        <v>9000</v>
      </c>
      <c r="AB63" s="91">
        <v>9000</v>
      </c>
      <c r="AC63" s="91">
        <v>0</v>
      </c>
      <c r="AD63" s="315"/>
      <c r="AE63" s="23"/>
      <c r="AF63" s="91">
        <v>13500</v>
      </c>
      <c r="AG63" s="91">
        <v>13500</v>
      </c>
      <c r="AH63" s="91">
        <v>2820</v>
      </c>
      <c r="AI63" s="91">
        <v>0</v>
      </c>
      <c r="AJ63" s="91">
        <v>0</v>
      </c>
      <c r="AK63" s="91">
        <v>0</v>
      </c>
      <c r="AL63" s="91">
        <v>0</v>
      </c>
      <c r="AM63" s="91"/>
      <c r="AN63" s="91"/>
      <c r="AO63" s="91"/>
      <c r="AP63" s="91"/>
      <c r="AQ63" s="91"/>
      <c r="AR63" s="92">
        <f t="shared" si="124"/>
        <v>29820</v>
      </c>
      <c r="AS63" s="23"/>
      <c r="AT63" s="91"/>
      <c r="AU63" s="91"/>
      <c r="AV63" s="91"/>
      <c r="AW63" s="91">
        <v>4000</v>
      </c>
      <c r="AX63" s="91">
        <v>8000</v>
      </c>
      <c r="AY63" s="91">
        <v>5000</v>
      </c>
      <c r="AZ63" s="91">
        <v>10000</v>
      </c>
      <c r="BA63" s="91">
        <v>10000</v>
      </c>
      <c r="BB63" s="91">
        <v>0</v>
      </c>
      <c r="BC63" s="91">
        <v>0</v>
      </c>
      <c r="BD63" s="91">
        <v>0</v>
      </c>
      <c r="BE63" s="91"/>
      <c r="BF63" s="91">
        <f t="shared" si="125"/>
        <v>37000</v>
      </c>
      <c r="BG63" s="27"/>
      <c r="BH63" s="91">
        <v>3000</v>
      </c>
      <c r="BI63" s="91"/>
      <c r="BJ63" s="91"/>
      <c r="BK63" s="91"/>
      <c r="BL63" s="91"/>
      <c r="BM63" s="91"/>
      <c r="BN63" s="91"/>
      <c r="BO63" s="91">
        <v>10000</v>
      </c>
      <c r="BP63" s="91">
        <v>15000</v>
      </c>
      <c r="BQ63" s="91">
        <v>20000</v>
      </c>
      <c r="BR63" s="91">
        <v>15000</v>
      </c>
      <c r="BS63" s="91">
        <f>7200*9/2</f>
        <v>32400</v>
      </c>
      <c r="BT63" s="91">
        <f>SUM(BH63:BS63)</f>
        <v>95400</v>
      </c>
      <c r="BU63" s="28"/>
      <c r="BV63" s="91"/>
      <c r="BW63" s="91"/>
      <c r="BX63" s="91"/>
      <c r="BY63" s="91"/>
      <c r="BZ63" s="91"/>
      <c r="CA63" s="91"/>
      <c r="CB63" s="91"/>
      <c r="CC63" s="91"/>
      <c r="CD63" s="91"/>
      <c r="CE63" s="91"/>
      <c r="CF63" s="91"/>
      <c r="CG63" s="91"/>
      <c r="CH63" s="91">
        <f>SUM(BS63:CG63)</f>
        <v>127800</v>
      </c>
      <c r="CJ63" s="91"/>
      <c r="CK63" s="91"/>
      <c r="CL63" s="91"/>
      <c r="CM63" s="91"/>
      <c r="CN63" s="91"/>
      <c r="CO63" s="91"/>
      <c r="CP63" s="91"/>
      <c r="CQ63" s="91"/>
      <c r="CR63" s="91"/>
      <c r="CS63" s="91"/>
      <c r="CT63" s="91"/>
      <c r="CU63" s="91"/>
      <c r="CV63" s="91">
        <v>127800</v>
      </c>
    </row>
    <row r="64" spans="1:100" ht="15.75" customHeight="1" outlineLevel="1">
      <c r="A64" s="94"/>
      <c r="B64" s="210" t="s">
        <v>283</v>
      </c>
      <c r="C64" s="335"/>
      <c r="D64" s="313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314"/>
      <c r="Q64" s="90"/>
      <c r="R64" s="313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315"/>
      <c r="AE64" s="23"/>
      <c r="AF64" s="91"/>
      <c r="AG64" s="91"/>
      <c r="AH64" s="91"/>
      <c r="AI64" s="91"/>
      <c r="AJ64" s="91"/>
      <c r="AK64" s="91"/>
      <c r="AL64" s="91"/>
      <c r="AM64" s="91"/>
      <c r="AN64" s="91"/>
      <c r="AO64" s="91">
        <f t="shared" ref="AO64:AQ64" si="128">AO59*9.68</f>
        <v>1355200</v>
      </c>
      <c r="AP64" s="91">
        <f t="shared" si="128"/>
        <v>1258400</v>
      </c>
      <c r="AQ64" s="91">
        <f t="shared" si="128"/>
        <v>968000</v>
      </c>
      <c r="AR64" s="92"/>
      <c r="AS64" s="23"/>
      <c r="AT64" s="91">
        <f t="shared" ref="AT64:BF64" si="129">AT59*9.68</f>
        <v>1287440</v>
      </c>
      <c r="AU64" s="91">
        <f t="shared" si="129"/>
        <v>1211742.3999999999</v>
      </c>
      <c r="AV64" s="91">
        <f t="shared" si="129"/>
        <v>1134767.04</v>
      </c>
      <c r="AW64" s="91">
        <f t="shared" si="129"/>
        <v>1234200</v>
      </c>
      <c r="AX64" s="91">
        <f t="shared" si="129"/>
        <v>1355200</v>
      </c>
      <c r="AY64" s="91">
        <f t="shared" si="129"/>
        <v>1532760.2399903198</v>
      </c>
      <c r="AZ64" s="91">
        <f t="shared" si="129"/>
        <v>1475319.1199999999</v>
      </c>
      <c r="BA64" s="91">
        <f t="shared" si="129"/>
        <v>1679673.5999999999</v>
      </c>
      <c r="BB64" s="91">
        <f t="shared" si="129"/>
        <v>1597200</v>
      </c>
      <c r="BC64" s="91">
        <f t="shared" si="129"/>
        <v>1524600</v>
      </c>
      <c r="BD64" s="91">
        <f t="shared" si="129"/>
        <v>1252892.08</v>
      </c>
      <c r="BE64" s="91">
        <f t="shared" si="129"/>
        <v>597256</v>
      </c>
      <c r="BF64" s="91">
        <f t="shared" si="129"/>
        <v>15883050.47999032</v>
      </c>
      <c r="BG64" s="27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28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</row>
    <row r="65" spans="1:100">
      <c r="A65" s="110" t="s">
        <v>99</v>
      </c>
      <c r="B65" s="340" t="s">
        <v>100</v>
      </c>
      <c r="C65" s="341"/>
      <c r="D65" s="342">
        <v>95972</v>
      </c>
      <c r="E65" s="111">
        <v>130805</v>
      </c>
      <c r="F65" s="111">
        <v>121914</v>
      </c>
      <c r="G65" s="111">
        <v>165455</v>
      </c>
      <c r="H65" s="111">
        <v>192013</v>
      </c>
      <c r="I65" s="111">
        <v>167281</v>
      </c>
      <c r="J65" s="111">
        <v>181409</v>
      </c>
      <c r="K65" s="111">
        <v>163138</v>
      </c>
      <c r="L65" s="111">
        <v>169051</v>
      </c>
      <c r="M65" s="111">
        <v>183254</v>
      </c>
      <c r="N65" s="111"/>
      <c r="O65" s="111"/>
      <c r="P65" s="343">
        <f>SUM(D65:O65)</f>
        <v>1570292</v>
      </c>
      <c r="Q65" s="84"/>
      <c r="R65" s="342">
        <v>149582</v>
      </c>
      <c r="S65" s="112">
        <v>152735</v>
      </c>
      <c r="T65" s="112">
        <v>107681</v>
      </c>
      <c r="U65" s="112">
        <v>2974</v>
      </c>
      <c r="V65" s="112">
        <v>32639</v>
      </c>
      <c r="W65" s="112">
        <v>153121</v>
      </c>
      <c r="X65" s="112">
        <v>198635</v>
      </c>
      <c r="Y65" s="112">
        <v>160489</v>
      </c>
      <c r="Z65" s="112">
        <v>160893</v>
      </c>
      <c r="AA65" s="112">
        <v>180999</v>
      </c>
      <c r="AB65" s="112">
        <v>167265</v>
      </c>
      <c r="AC65" s="112">
        <v>135424</v>
      </c>
      <c r="AD65" s="344">
        <f>SUM(R65:AC65)</f>
        <v>1602437</v>
      </c>
      <c r="AE65" s="113"/>
      <c r="AF65" s="345">
        <v>145616</v>
      </c>
      <c r="AG65" s="112">
        <v>168450</v>
      </c>
      <c r="AH65" s="112">
        <v>153291</v>
      </c>
      <c r="AI65" s="112">
        <v>149378</v>
      </c>
      <c r="AJ65" s="112">
        <v>196360</v>
      </c>
      <c r="AK65" s="112">
        <v>170558</v>
      </c>
      <c r="AL65" s="112">
        <v>171758</v>
      </c>
      <c r="AM65" s="112">
        <f t="shared" ref="AM65:AQ65" si="130">SUM(AM66:AM67)</f>
        <v>168974</v>
      </c>
      <c r="AN65" s="112">
        <f t="shared" si="130"/>
        <v>144792</v>
      </c>
      <c r="AO65" s="112">
        <f t="shared" si="130"/>
        <v>141375</v>
      </c>
      <c r="AP65" s="112">
        <f t="shared" si="130"/>
        <v>143221</v>
      </c>
      <c r="AQ65" s="112">
        <f t="shared" si="130"/>
        <v>85543</v>
      </c>
      <c r="AR65" s="112">
        <f t="shared" ref="AR65:AR69" si="131">SUM(AF65:AQ65)</f>
        <v>1839316</v>
      </c>
      <c r="AS65" s="23"/>
      <c r="AT65" s="112">
        <f t="shared" ref="AT65:BE65" si="132">SUM(AT66:AT67)</f>
        <v>120211</v>
      </c>
      <c r="AU65" s="112">
        <f t="shared" si="132"/>
        <v>120216</v>
      </c>
      <c r="AV65" s="112">
        <f t="shared" si="132"/>
        <v>101053</v>
      </c>
      <c r="AW65" s="112">
        <f t="shared" si="132"/>
        <v>137388</v>
      </c>
      <c r="AX65" s="112">
        <f t="shared" si="132"/>
        <v>137400</v>
      </c>
      <c r="AY65" s="112">
        <f t="shared" si="132"/>
        <v>135412</v>
      </c>
      <c r="AZ65" s="112">
        <f t="shared" si="132"/>
        <v>157032</v>
      </c>
      <c r="BA65" s="112">
        <f t="shared" si="132"/>
        <v>173287</v>
      </c>
      <c r="BB65" s="114">
        <f t="shared" si="132"/>
        <v>166815</v>
      </c>
      <c r="BC65" s="114">
        <f t="shared" si="132"/>
        <v>153816</v>
      </c>
      <c r="BD65" s="114">
        <f t="shared" si="132"/>
        <v>138051</v>
      </c>
      <c r="BE65" s="114">
        <f t="shared" si="132"/>
        <v>55950</v>
      </c>
      <c r="BF65" s="114">
        <f t="shared" ref="BF65:BF69" si="133">SUM(AT65:BE65)</f>
        <v>1596631</v>
      </c>
      <c r="BG65" s="93">
        <f>BF65/AR65-1</f>
        <v>-0.1319430701412917</v>
      </c>
      <c r="BH65" s="112">
        <f t="shared" ref="BH65:BQ65" si="134">SUM(BH66:BH67)</f>
        <v>138562</v>
      </c>
      <c r="BI65" s="112">
        <f t="shared" si="134"/>
        <v>109391</v>
      </c>
      <c r="BJ65" s="112">
        <f t="shared" si="134"/>
        <v>160056</v>
      </c>
      <c r="BK65" s="112">
        <f t="shared" si="134"/>
        <v>124826</v>
      </c>
      <c r="BL65" s="112">
        <f t="shared" si="134"/>
        <v>151185</v>
      </c>
      <c r="BM65" s="112">
        <f t="shared" si="134"/>
        <v>134688</v>
      </c>
      <c r="BN65" s="112">
        <f t="shared" si="134"/>
        <v>157005</v>
      </c>
      <c r="BO65" s="112">
        <f t="shared" si="134"/>
        <v>151231</v>
      </c>
      <c r="BP65" s="112">
        <f t="shared" si="134"/>
        <v>143335</v>
      </c>
      <c r="BQ65" s="112">
        <f t="shared" si="134"/>
        <v>159215</v>
      </c>
      <c r="BR65" s="112"/>
      <c r="BS65" s="112"/>
      <c r="BT65" s="112">
        <f t="shared" ref="BT65:BT69" si="135">SUM(BH65:BS65)</f>
        <v>1429494</v>
      </c>
      <c r="BU65" s="18"/>
      <c r="BV65" s="112"/>
      <c r="BW65" s="112"/>
      <c r="BX65" s="112"/>
      <c r="BY65" s="112"/>
      <c r="BZ65" s="112"/>
      <c r="CA65" s="112"/>
      <c r="CB65" s="112"/>
      <c r="CC65" s="112"/>
      <c r="CD65" s="112"/>
      <c r="CE65" s="112"/>
      <c r="CF65" s="112"/>
      <c r="CG65" s="112"/>
      <c r="CH65" s="112"/>
      <c r="CJ65" s="112"/>
      <c r="CK65" s="112"/>
      <c r="CL65" s="112"/>
      <c r="CM65" s="112"/>
      <c r="CN65" s="112"/>
      <c r="CO65" s="112"/>
      <c r="CP65" s="112"/>
      <c r="CQ65" s="112"/>
      <c r="CR65" s="112"/>
      <c r="CS65" s="112"/>
      <c r="CT65" s="112"/>
      <c r="CU65" s="112"/>
      <c r="CV65" s="112"/>
    </row>
    <row r="66" spans="1:100" ht="15.75" customHeight="1">
      <c r="A66" s="115"/>
      <c r="B66" s="346" t="s">
        <v>101</v>
      </c>
      <c r="C66" s="347"/>
      <c r="D66" s="265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66"/>
      <c r="Q66" s="116"/>
      <c r="R66" s="265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67"/>
      <c r="AE66" s="23"/>
      <c r="AF66" s="348">
        <v>126362</v>
      </c>
      <c r="AG66" s="22">
        <v>153970</v>
      </c>
      <c r="AH66" s="22">
        <v>128331</v>
      </c>
      <c r="AI66" s="22">
        <v>135338</v>
      </c>
      <c r="AJ66" s="22">
        <v>177312</v>
      </c>
      <c r="AK66" s="22">
        <v>150818</v>
      </c>
      <c r="AL66" s="22">
        <v>158858</v>
      </c>
      <c r="AM66" s="22">
        <v>153933</v>
      </c>
      <c r="AN66" s="22">
        <v>134244</v>
      </c>
      <c r="AO66" s="22">
        <v>137435</v>
      </c>
      <c r="AP66" s="22">
        <v>143221</v>
      </c>
      <c r="AQ66" s="22">
        <v>85543</v>
      </c>
      <c r="AR66" s="117">
        <f t="shared" si="131"/>
        <v>1685365</v>
      </c>
      <c r="AS66" s="23"/>
      <c r="AT66" s="22">
        <v>120211</v>
      </c>
      <c r="AU66" s="22">
        <v>120216</v>
      </c>
      <c r="AV66" s="22">
        <v>101053</v>
      </c>
      <c r="AW66" s="22">
        <v>137388</v>
      </c>
      <c r="AX66" s="22">
        <v>137400</v>
      </c>
      <c r="AY66" s="22">
        <v>135412</v>
      </c>
      <c r="AZ66" s="22">
        <v>157032</v>
      </c>
      <c r="BA66" s="22">
        <v>172227</v>
      </c>
      <c r="BB66" s="22">
        <f>157995+8500</f>
        <v>166495</v>
      </c>
      <c r="BC66" s="22">
        <v>153816</v>
      </c>
      <c r="BD66" s="22">
        <v>138051</v>
      </c>
      <c r="BE66" s="22">
        <v>55950</v>
      </c>
      <c r="BF66" s="22">
        <f t="shared" si="133"/>
        <v>1595251</v>
      </c>
      <c r="BG66" s="27"/>
      <c r="BH66" s="22">
        <v>138562</v>
      </c>
      <c r="BI66" s="22">
        <v>109391</v>
      </c>
      <c r="BJ66" s="22">
        <v>160056</v>
      </c>
      <c r="BK66" s="22">
        <v>124826</v>
      </c>
      <c r="BL66" s="22">
        <v>151185</v>
      </c>
      <c r="BM66" s="22">
        <v>134688</v>
      </c>
      <c r="BN66" s="22">
        <v>157005</v>
      </c>
      <c r="BO66" s="22">
        <v>151231</v>
      </c>
      <c r="BP66" s="22">
        <v>143335</v>
      </c>
      <c r="BQ66" s="22">
        <v>159215</v>
      </c>
      <c r="BR66" s="22"/>
      <c r="BS66" s="22"/>
      <c r="BT66" s="22">
        <f t="shared" si="135"/>
        <v>1429494</v>
      </c>
      <c r="BU66" s="28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</row>
    <row r="67" spans="1:100" ht="15.75" customHeight="1">
      <c r="A67" s="115"/>
      <c r="B67" s="346" t="s">
        <v>102</v>
      </c>
      <c r="C67" s="347"/>
      <c r="D67" s="265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66"/>
      <c r="Q67" s="116"/>
      <c r="R67" s="265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67"/>
      <c r="AE67" s="23"/>
      <c r="AF67" s="22">
        <f t="shared" ref="AF67:AL67" si="136">AF65-AF66</f>
        <v>19254</v>
      </c>
      <c r="AG67" s="22">
        <f t="shared" si="136"/>
        <v>14480</v>
      </c>
      <c r="AH67" s="22">
        <f t="shared" si="136"/>
        <v>24960</v>
      </c>
      <c r="AI67" s="22">
        <f t="shared" si="136"/>
        <v>14040</v>
      </c>
      <c r="AJ67" s="22">
        <f t="shared" si="136"/>
        <v>19048</v>
      </c>
      <c r="AK67" s="22">
        <f t="shared" si="136"/>
        <v>19740</v>
      </c>
      <c r="AL67" s="22">
        <f t="shared" si="136"/>
        <v>12900</v>
      </c>
      <c r="AM67" s="22">
        <v>15041</v>
      </c>
      <c r="AN67" s="22">
        <v>10548</v>
      </c>
      <c r="AO67" s="22">
        <v>3940</v>
      </c>
      <c r="AP67" s="22">
        <v>0</v>
      </c>
      <c r="AQ67" s="22">
        <v>0</v>
      </c>
      <c r="AR67" s="117">
        <f t="shared" si="131"/>
        <v>153951</v>
      </c>
      <c r="AS67" s="23"/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1060</v>
      </c>
      <c r="BB67" s="22">
        <v>320</v>
      </c>
      <c r="BC67" s="22">
        <v>0</v>
      </c>
      <c r="BD67" s="22">
        <v>0</v>
      </c>
      <c r="BE67" s="22"/>
      <c r="BF67" s="22">
        <f t="shared" si="133"/>
        <v>1380</v>
      </c>
      <c r="BG67" s="27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>
        <f t="shared" si="135"/>
        <v>0</v>
      </c>
      <c r="BU67" s="28"/>
      <c r="BV67" s="22"/>
      <c r="BW67" s="22"/>
      <c r="BX67" s="22"/>
      <c r="BY67" s="22"/>
      <c r="CJ67" s="22"/>
      <c r="CK67" s="22"/>
      <c r="CL67" s="22"/>
      <c r="CM67" s="22"/>
    </row>
    <row r="68" spans="1:100" ht="15.75">
      <c r="A68" s="103" t="s">
        <v>103</v>
      </c>
      <c r="B68" s="337"/>
      <c r="C68" s="330"/>
      <c r="D68" s="331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332"/>
      <c r="Q68" s="105"/>
      <c r="R68" s="333"/>
      <c r="S68" s="333"/>
      <c r="T68" s="333"/>
      <c r="U68" s="333"/>
      <c r="V68" s="333"/>
      <c r="W68" s="333"/>
      <c r="X68" s="333"/>
      <c r="Y68" s="333"/>
      <c r="Z68" s="333"/>
      <c r="AA68" s="333"/>
      <c r="AB68" s="333"/>
      <c r="AC68" s="333"/>
      <c r="AD68" s="334"/>
      <c r="AE68" s="106"/>
      <c r="AF68" s="333">
        <f t="shared" ref="AF68:AQ68" si="137">AF65-AF59</f>
        <v>-15784</v>
      </c>
      <c r="AG68" s="333">
        <f t="shared" si="137"/>
        <v>2450</v>
      </c>
      <c r="AH68" s="333">
        <f t="shared" si="137"/>
        <v>2820</v>
      </c>
      <c r="AI68" s="333">
        <f t="shared" si="137"/>
        <v>338</v>
      </c>
      <c r="AJ68" s="333">
        <f t="shared" si="137"/>
        <v>0</v>
      </c>
      <c r="AK68" s="333">
        <f t="shared" si="137"/>
        <v>7258</v>
      </c>
      <c r="AL68" s="333">
        <f t="shared" si="137"/>
        <v>-18242</v>
      </c>
      <c r="AM68" s="333">
        <f t="shared" si="137"/>
        <v>1974</v>
      </c>
      <c r="AN68" s="333">
        <f t="shared" si="137"/>
        <v>-25708</v>
      </c>
      <c r="AO68" s="333">
        <f t="shared" si="137"/>
        <v>1375</v>
      </c>
      <c r="AP68" s="333">
        <f t="shared" si="137"/>
        <v>13221</v>
      </c>
      <c r="AQ68" s="333">
        <f t="shared" si="137"/>
        <v>-14457</v>
      </c>
      <c r="AR68" s="107">
        <f t="shared" si="131"/>
        <v>-44755</v>
      </c>
      <c r="AS68" s="106"/>
      <c r="AT68" s="333">
        <f t="shared" ref="AT68:BE68" si="138">AT65-AT59</f>
        <v>-12789</v>
      </c>
      <c r="AU68" s="333">
        <f t="shared" si="138"/>
        <v>-4964</v>
      </c>
      <c r="AV68" s="333">
        <f t="shared" si="138"/>
        <v>-16175</v>
      </c>
      <c r="AW68" s="333">
        <f t="shared" si="138"/>
        <v>9888</v>
      </c>
      <c r="AX68" s="333">
        <f t="shared" si="138"/>
        <v>-2600</v>
      </c>
      <c r="AY68" s="333">
        <f t="shared" si="138"/>
        <v>-22930.999998999992</v>
      </c>
      <c r="AZ68" s="333">
        <f t="shared" si="138"/>
        <v>4623</v>
      </c>
      <c r="BA68" s="333">
        <f t="shared" si="138"/>
        <v>-233</v>
      </c>
      <c r="BB68" s="333">
        <f t="shared" si="138"/>
        <v>1815</v>
      </c>
      <c r="BC68" s="333">
        <f t="shared" si="138"/>
        <v>-3684</v>
      </c>
      <c r="BD68" s="333">
        <f t="shared" si="138"/>
        <v>8620</v>
      </c>
      <c r="BE68" s="333">
        <f t="shared" si="138"/>
        <v>-5750</v>
      </c>
      <c r="BF68" s="108">
        <f t="shared" si="133"/>
        <v>-44179.999998999992</v>
      </c>
      <c r="BG68" s="106"/>
      <c r="BH68" s="333">
        <f t="shared" ref="BH68:BQ68" si="139">BH65-BH59</f>
        <v>-1198</v>
      </c>
      <c r="BI68" s="333">
        <f t="shared" si="139"/>
        <v>-7189</v>
      </c>
      <c r="BJ68" s="333">
        <f t="shared" si="139"/>
        <v>11716</v>
      </c>
      <c r="BK68" s="333">
        <f t="shared" si="139"/>
        <v>12466</v>
      </c>
      <c r="BL68" s="333">
        <f t="shared" si="139"/>
        <v>42525</v>
      </c>
      <c r="BM68" s="333">
        <f t="shared" si="139"/>
        <v>-18728</v>
      </c>
      <c r="BN68" s="333">
        <f t="shared" si="139"/>
        <v>19329</v>
      </c>
      <c r="BO68" s="333">
        <f t="shared" si="139"/>
        <v>-9423</v>
      </c>
      <c r="BP68" s="333">
        <f t="shared" si="139"/>
        <v>-13665</v>
      </c>
      <c r="BQ68" s="333">
        <f t="shared" si="139"/>
        <v>2490</v>
      </c>
      <c r="BR68" s="108"/>
      <c r="BS68" s="108"/>
      <c r="BT68" s="108">
        <f t="shared" si="135"/>
        <v>38323</v>
      </c>
      <c r="BU68" s="28"/>
      <c r="BV68" s="333">
        <f t="shared" ref="BV68:BY68" si="140">BV65-BV59</f>
        <v>-133000</v>
      </c>
      <c r="BW68" s="333">
        <f t="shared" si="140"/>
        <v>-133000</v>
      </c>
      <c r="BX68" s="333">
        <f t="shared" si="140"/>
        <v>-147000</v>
      </c>
      <c r="BY68" s="333">
        <f t="shared" si="140"/>
        <v>-180000</v>
      </c>
      <c r="CJ68" s="333">
        <v>-133000</v>
      </c>
      <c r="CK68" s="333">
        <v>-133000</v>
      </c>
      <c r="CL68" s="333">
        <v>-147000</v>
      </c>
      <c r="CM68" s="333">
        <v>-180000</v>
      </c>
    </row>
    <row r="69" spans="1:100" ht="14.25" customHeight="1">
      <c r="A69" s="55" t="s">
        <v>104</v>
      </c>
      <c r="B69" s="56"/>
      <c r="C69" s="280"/>
      <c r="D69" s="288" t="e">
        <f t="shared" ref="D69:F69" si="141">#REF!-#REF!</f>
        <v>#REF!</v>
      </c>
      <c r="E69" s="57" t="e">
        <f t="shared" si="141"/>
        <v>#REF!</v>
      </c>
      <c r="F69" s="57" t="e">
        <f t="shared" si="141"/>
        <v>#REF!</v>
      </c>
      <c r="G69" s="57" t="e">
        <f t="shared" ref="G69:I69" si="142">G59-#REF!</f>
        <v>#REF!</v>
      </c>
      <c r="H69" s="57" t="e">
        <f t="shared" si="142"/>
        <v>#REF!</v>
      </c>
      <c r="I69" s="57" t="e">
        <f t="shared" si="142"/>
        <v>#REF!</v>
      </c>
      <c r="J69" s="57" t="e">
        <f t="shared" ref="J69:K69" si="143">#REF!-#REF!</f>
        <v>#REF!</v>
      </c>
      <c r="K69" s="57" t="e">
        <f t="shared" si="143"/>
        <v>#REF!</v>
      </c>
      <c r="L69" s="57">
        <f>L59-L16</f>
        <v>-24911</v>
      </c>
      <c r="M69" s="57">
        <f>M59-M16</f>
        <v>-13674</v>
      </c>
      <c r="N69" s="57">
        <f>N59-N16</f>
        <v>57632</v>
      </c>
      <c r="O69" s="57">
        <f>O59-O16</f>
        <v>74079</v>
      </c>
      <c r="P69" s="289" t="e">
        <f>SUM(D69:O69)</f>
        <v>#REF!</v>
      </c>
      <c r="Q69" s="39"/>
      <c r="R69" s="288">
        <f t="shared" ref="R69:AD69" si="144">R59-R16</f>
        <v>22222.660017050745</v>
      </c>
      <c r="S69" s="58">
        <f t="shared" si="144"/>
        <v>17159.673608830723</v>
      </c>
      <c r="T69" s="58">
        <f t="shared" si="144"/>
        <v>-24753.77192982455</v>
      </c>
      <c r="U69" s="58">
        <f t="shared" si="144"/>
        <v>-17814.899999999998</v>
      </c>
      <c r="V69" s="58">
        <f t="shared" si="144"/>
        <v>1715</v>
      </c>
      <c r="W69" s="290">
        <f t="shared" si="144"/>
        <v>120430.6180497602</v>
      </c>
      <c r="X69" s="290">
        <f t="shared" si="144"/>
        <v>43436.666666667006</v>
      </c>
      <c r="Y69" s="290">
        <f t="shared" si="144"/>
        <v>-29747.083333333314</v>
      </c>
      <c r="Z69" s="290">
        <f t="shared" si="144"/>
        <v>-80887.5</v>
      </c>
      <c r="AA69" s="290">
        <f t="shared" si="144"/>
        <v>10200</v>
      </c>
      <c r="AB69" s="290">
        <f t="shared" si="144"/>
        <v>137500</v>
      </c>
      <c r="AC69" s="290">
        <f t="shared" si="144"/>
        <v>134100</v>
      </c>
      <c r="AD69" s="291">
        <f t="shared" si="144"/>
        <v>333561.36307915067</v>
      </c>
      <c r="AE69" s="59"/>
      <c r="AF69" s="292">
        <f t="shared" ref="AF69:AQ69" si="145">AF59-AF16</f>
        <v>32754</v>
      </c>
      <c r="AG69" s="58">
        <f t="shared" si="145"/>
        <v>-11977</v>
      </c>
      <c r="AH69" s="58">
        <f t="shared" si="145"/>
        <v>76847</v>
      </c>
      <c r="AI69" s="58">
        <f t="shared" si="145"/>
        <v>59682</v>
      </c>
      <c r="AJ69" s="58">
        <f t="shared" si="145"/>
        <v>74226</v>
      </c>
      <c r="AK69" s="58">
        <f t="shared" si="145"/>
        <v>14740</v>
      </c>
      <c r="AL69" s="58">
        <f t="shared" si="145"/>
        <v>38005</v>
      </c>
      <c r="AM69" s="58">
        <f t="shared" si="145"/>
        <v>-71903</v>
      </c>
      <c r="AN69" s="58">
        <f t="shared" si="145"/>
        <v>-90633.333333333343</v>
      </c>
      <c r="AO69" s="58">
        <f t="shared" si="145"/>
        <v>-115900</v>
      </c>
      <c r="AP69" s="58">
        <f t="shared" si="145"/>
        <v>1360</v>
      </c>
      <c r="AQ69" s="58">
        <f t="shared" si="145"/>
        <v>2160</v>
      </c>
      <c r="AR69" s="58">
        <f t="shared" si="131"/>
        <v>9360.666666666657</v>
      </c>
      <c r="AS69" s="59"/>
      <c r="AT69" s="58">
        <f t="shared" ref="AT69:BE69" si="146">AT59-AT16</f>
        <v>-19749.25</v>
      </c>
      <c r="AU69" s="58">
        <f t="shared" si="146"/>
        <v>-43342.103448275855</v>
      </c>
      <c r="AV69" s="58">
        <f t="shared" si="146"/>
        <v>-36893.137931034493</v>
      </c>
      <c r="AW69" s="58">
        <f t="shared" si="146"/>
        <v>-32095.137931034493</v>
      </c>
      <c r="AX69" s="58">
        <f t="shared" si="146"/>
        <v>19900.034482758623</v>
      </c>
      <c r="AY69" s="58">
        <f t="shared" si="146"/>
        <v>19999.222221222211</v>
      </c>
      <c r="AZ69" s="58">
        <f t="shared" si="146"/>
        <v>-14264.777777777781</v>
      </c>
      <c r="BA69" s="58">
        <f t="shared" si="146"/>
        <v>-68922.296296296292</v>
      </c>
      <c r="BB69" s="58">
        <f t="shared" si="146"/>
        <v>-78407.777777777781</v>
      </c>
      <c r="BC69" s="58">
        <f t="shared" si="146"/>
        <v>-95868.290755657828</v>
      </c>
      <c r="BD69" s="58">
        <f t="shared" si="146"/>
        <v>-5124.586881472962</v>
      </c>
      <c r="BE69" s="58">
        <f t="shared" si="146"/>
        <v>-10986.612965093984</v>
      </c>
      <c r="BF69" s="58">
        <f t="shared" si="133"/>
        <v>-365754.71506044065</v>
      </c>
      <c r="BG69" s="59"/>
      <c r="BH69" s="58">
        <f t="shared" ref="BH69:BQ69" si="147">BH59-BH16</f>
        <v>-12993</v>
      </c>
      <c r="BI69" s="58">
        <f t="shared" si="147"/>
        <v>-30242.333333333314</v>
      </c>
      <c r="BJ69" s="58">
        <f t="shared" si="147"/>
        <v>-23206.074074074073</v>
      </c>
      <c r="BK69" s="58">
        <f t="shared" si="147"/>
        <v>-47411.74074074073</v>
      </c>
      <c r="BL69" s="58">
        <f t="shared" si="147"/>
        <v>-23836.851851851854</v>
      </c>
      <c r="BM69" s="58">
        <f t="shared" si="147"/>
        <v>23509.740740740745</v>
      </c>
      <c r="BN69" s="58">
        <f t="shared" si="147"/>
        <v>-33707.555555555562</v>
      </c>
      <c r="BO69" s="58">
        <f t="shared" si="147"/>
        <v>-18896.378111111087</v>
      </c>
      <c r="BP69" s="58">
        <f t="shared" si="147"/>
        <v>-45053.749537037045</v>
      </c>
      <c r="BQ69" s="58">
        <f t="shared" si="147"/>
        <v>-7140</v>
      </c>
      <c r="BR69" s="58"/>
      <c r="BS69" s="58"/>
      <c r="BT69" s="58">
        <f t="shared" si="135"/>
        <v>-218977.94246296291</v>
      </c>
      <c r="BU69" s="60"/>
      <c r="BV69" s="58">
        <f>BV59-BV16</f>
        <v>-24964.280965303798</v>
      </c>
      <c r="BW69" s="58">
        <f>BW59-BW16</f>
        <v>-13290.919934367063</v>
      </c>
      <c r="BX69" s="58">
        <f>BX59-BX16</f>
        <v>-40073.366774036636</v>
      </c>
      <c r="BY69" s="58">
        <f>BY59-BY16</f>
        <v>28714.280928205117</v>
      </c>
      <c r="CJ69" s="58">
        <v>-24964.280965303798</v>
      </c>
      <c r="CK69" s="58">
        <v>-13290.919934367063</v>
      </c>
      <c r="CL69" s="58">
        <v>-40073.366774036636</v>
      </c>
      <c r="CM69" s="58">
        <v>28714.280928205117</v>
      </c>
    </row>
  </sheetData>
  <mergeCells count="24">
    <mergeCell ref="B30:C30"/>
    <mergeCell ref="B31:C31"/>
    <mergeCell ref="B40:C40"/>
    <mergeCell ref="CJ2:CU2"/>
    <mergeCell ref="B22:C22"/>
    <mergeCell ref="B23:C23"/>
    <mergeCell ref="B24:C24"/>
    <mergeCell ref="B25:C25"/>
    <mergeCell ref="B26:C26"/>
    <mergeCell ref="D2:P2"/>
    <mergeCell ref="R2:AD2"/>
    <mergeCell ref="AF2:AR2"/>
    <mergeCell ref="AT2:BF2"/>
    <mergeCell ref="BH2:BS2"/>
    <mergeCell ref="BV2:CG2"/>
    <mergeCell ref="B27:C27"/>
    <mergeCell ref="B28:C28"/>
    <mergeCell ref="B29:C29"/>
    <mergeCell ref="CJ1:CU1"/>
    <mergeCell ref="R1:AD1"/>
    <mergeCell ref="AF1:AR1"/>
    <mergeCell ref="AT1:BF1"/>
    <mergeCell ref="BH1:BS1"/>
    <mergeCell ref="BV1:CG1"/>
  </mergeCells>
  <pageMargins left="0.25" right="0.25" top="0.75" bottom="0.75" header="0" footer="0"/>
  <pageSetup paperSize="9" scale="55"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DA7C-639E-4BBA-B4C4-01A864241E1F}">
  <sheetPr>
    <tabColor rgb="FFFFFF00"/>
  </sheetPr>
  <dimension ref="A1:CV69"/>
  <sheetViews>
    <sheetView showGridLines="0" zoomScale="80" zoomScaleNormal="80" workbookViewId="0">
      <pane xSplit="3" ySplit="5" topLeftCell="CE13" activePane="bottomRight" state="frozen"/>
      <selection pane="bottomRight" activeCell="CE13" sqref="CE13"/>
      <selection pane="bottomLeft" activeCell="A6" sqref="A6"/>
      <selection pane="topRight" activeCell="D1" sqref="D1"/>
    </sheetView>
  </sheetViews>
  <sheetFormatPr defaultColWidth="14.42578125" defaultRowHeight="15" customHeight="1" outlineLevelRow="1" outlineLevelCol="1"/>
  <cols>
    <col min="1" max="1" width="16.85546875" customWidth="1"/>
    <col min="2" max="2" width="28.7109375" customWidth="1"/>
    <col min="3" max="3" width="10.140625" customWidth="1"/>
    <col min="4" max="4" width="9.140625" customWidth="1" outlineLevel="1"/>
    <col min="5" max="6" width="8.140625" customWidth="1" outlineLevel="1"/>
    <col min="7" max="7" width="9.7109375" customWidth="1" outlineLevel="1"/>
    <col min="8" max="9" width="8.140625" customWidth="1" outlineLevel="1"/>
    <col min="10" max="10" width="8.7109375" customWidth="1" outlineLevel="1"/>
    <col min="11" max="11" width="9" customWidth="1" outlineLevel="1"/>
    <col min="12" max="12" width="9.28515625" customWidth="1" outlineLevel="1"/>
    <col min="13" max="13" width="8.85546875" customWidth="1" outlineLevel="1"/>
    <col min="14" max="14" width="7.7109375" customWidth="1" outlineLevel="1"/>
    <col min="15" max="15" width="8.7109375" customWidth="1" outlineLevel="1"/>
    <col min="16" max="16" width="10.5703125" customWidth="1" outlineLevel="1"/>
    <col min="17" max="17" width="5.42578125" hidden="1" customWidth="1"/>
    <col min="18" max="18" width="12" customWidth="1" outlineLevel="1"/>
    <col min="19" max="20" width="13.140625" customWidth="1" outlineLevel="1"/>
    <col min="21" max="21" width="11.7109375" customWidth="1" outlineLevel="1"/>
    <col min="22" max="22" width="13" customWidth="1" outlineLevel="1"/>
    <col min="23" max="23" width="8.85546875" customWidth="1" outlineLevel="1"/>
    <col min="24" max="24" width="13.140625" customWidth="1" outlineLevel="1"/>
    <col min="25" max="25" width="10.7109375" customWidth="1" outlineLevel="1"/>
    <col min="26" max="26" width="11.140625" customWidth="1" outlineLevel="1"/>
    <col min="27" max="27" width="10.7109375" customWidth="1" outlineLevel="1"/>
    <col min="28" max="28" width="10.5703125" customWidth="1" outlineLevel="1"/>
    <col min="29" max="29" width="9.5703125" customWidth="1" outlineLevel="1"/>
    <col min="30" max="30" width="11.5703125" customWidth="1" outlineLevel="1"/>
    <col min="31" max="31" width="6.42578125" hidden="1" customWidth="1"/>
    <col min="32" max="33" width="12" customWidth="1" outlineLevel="1"/>
    <col min="34" max="34" width="14.7109375" customWidth="1" outlineLevel="1"/>
    <col min="35" max="40" width="15" customWidth="1" outlineLevel="1"/>
    <col min="41" max="42" width="9.140625" customWidth="1" outlineLevel="1"/>
    <col min="43" max="43" width="10.28515625" customWidth="1" outlineLevel="1"/>
    <col min="44" max="44" width="11" customWidth="1" outlineLevel="1"/>
    <col min="45" max="45" width="2.7109375" hidden="1" customWidth="1"/>
    <col min="46" max="46" width="15.140625" customWidth="1" outlineLevel="1"/>
    <col min="47" max="48" width="15" customWidth="1" outlineLevel="1"/>
    <col min="49" max="49" width="13.140625" customWidth="1" outlineLevel="1"/>
    <col min="50" max="50" width="13.42578125" customWidth="1" outlineLevel="1"/>
    <col min="51" max="51" width="12.7109375" customWidth="1" outlineLevel="1"/>
    <col min="52" max="52" width="12.85546875" customWidth="1" outlineLevel="1"/>
    <col min="53" max="53" width="12.42578125" customWidth="1" outlineLevel="1"/>
    <col min="54" max="54" width="12.85546875" customWidth="1" outlineLevel="1"/>
    <col min="55" max="55" width="14" customWidth="1" outlineLevel="1"/>
    <col min="56" max="57" width="11.7109375" customWidth="1" outlineLevel="1"/>
    <col min="58" max="58" width="17.140625" customWidth="1" outlineLevel="1"/>
    <col min="59" max="59" width="9.140625" hidden="1" customWidth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7.7109375" bestFit="1" customWidth="1" collapsed="1"/>
    <col min="74" max="85" width="13.140625" customWidth="1"/>
    <col min="86" max="86" width="16.42578125" bestFit="1" customWidth="1"/>
  </cols>
  <sheetData>
    <row r="1" spans="1:100" ht="16.5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  <c r="CJ1" s="1081" t="s">
        <v>0</v>
      </c>
      <c r="CK1" s="1113"/>
      <c r="CL1" s="1113"/>
      <c r="CM1" s="1113"/>
      <c r="CN1" s="1113"/>
      <c r="CO1" s="1113"/>
      <c r="CP1" s="1113"/>
      <c r="CQ1" s="1113"/>
      <c r="CR1" s="1113"/>
      <c r="CS1" s="1113"/>
      <c r="CT1" s="1113"/>
      <c r="CU1" s="1114"/>
    </row>
    <row r="2" spans="1:100" ht="15.75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  <c r="CJ2" s="1077">
        <v>2025</v>
      </c>
      <c r="CK2" s="1115"/>
      <c r="CL2" s="1115"/>
      <c r="CM2" s="1115"/>
      <c r="CN2" s="1115"/>
      <c r="CO2" s="1115"/>
      <c r="CP2" s="1115"/>
      <c r="CQ2" s="1115"/>
      <c r="CR2" s="1115"/>
      <c r="CS2" s="1115"/>
      <c r="CT2" s="1115"/>
      <c r="CU2" s="1116"/>
    </row>
    <row r="3" spans="1:100">
      <c r="A3" s="3" t="s">
        <v>5</v>
      </c>
      <c r="B3" s="3"/>
      <c r="C3" s="3"/>
      <c r="D3" s="252">
        <v>16</v>
      </c>
      <c r="E3" s="252">
        <v>21</v>
      </c>
      <c r="F3" s="252">
        <v>18</v>
      </c>
      <c r="G3" s="252">
        <v>21</v>
      </c>
      <c r="H3" s="252">
        <v>22</v>
      </c>
      <c r="I3" s="252">
        <v>19</v>
      </c>
      <c r="J3" s="252">
        <v>23</v>
      </c>
      <c r="K3" s="252">
        <v>21</v>
      </c>
      <c r="L3" s="252">
        <v>21</v>
      </c>
      <c r="M3" s="252">
        <v>26</v>
      </c>
      <c r="N3" s="252">
        <v>24</v>
      </c>
      <c r="O3" s="252">
        <v>15</v>
      </c>
      <c r="P3" s="4"/>
      <c r="Q3" s="247"/>
      <c r="R3" s="252">
        <v>22</v>
      </c>
      <c r="S3" s="252">
        <v>20</v>
      </c>
      <c r="T3" s="252">
        <v>14</v>
      </c>
      <c r="U3" s="252">
        <v>1</v>
      </c>
      <c r="V3" s="252">
        <v>12</v>
      </c>
      <c r="W3" s="252">
        <v>22</v>
      </c>
      <c r="X3" s="252">
        <v>23</v>
      </c>
      <c r="Y3" s="252">
        <v>21</v>
      </c>
      <c r="Z3" s="252">
        <v>21</v>
      </c>
      <c r="AA3" s="252">
        <v>21</v>
      </c>
      <c r="AB3" s="252">
        <v>20</v>
      </c>
      <c r="AC3" s="252">
        <v>17</v>
      </c>
      <c r="AD3" s="2"/>
      <c r="AE3" s="253"/>
      <c r="AF3" s="254">
        <v>18</v>
      </c>
      <c r="AG3" s="252">
        <v>20</v>
      </c>
      <c r="AH3" s="248">
        <v>20</v>
      </c>
      <c r="AI3" s="248">
        <v>20</v>
      </c>
      <c r="AJ3" s="252">
        <v>22</v>
      </c>
      <c r="AK3" s="252">
        <v>20</v>
      </c>
      <c r="AL3" s="252">
        <v>22</v>
      </c>
      <c r="AM3" s="252">
        <v>22</v>
      </c>
      <c r="AN3" s="252">
        <v>21</v>
      </c>
      <c r="AO3" s="252">
        <v>20</v>
      </c>
      <c r="AP3" s="252">
        <v>20</v>
      </c>
      <c r="AQ3" s="248">
        <v>12</v>
      </c>
      <c r="AR3" s="2"/>
      <c r="AS3" s="124"/>
      <c r="AT3" s="253">
        <v>19</v>
      </c>
      <c r="AU3" s="248">
        <v>19</v>
      </c>
      <c r="AV3" s="248">
        <v>18</v>
      </c>
      <c r="AW3" s="248">
        <v>19</v>
      </c>
      <c r="AX3" s="248">
        <v>22</v>
      </c>
      <c r="AY3" s="248">
        <v>21</v>
      </c>
      <c r="AZ3" s="248">
        <v>21</v>
      </c>
      <c r="BA3" s="248">
        <v>22</v>
      </c>
      <c r="BB3" s="248">
        <v>22</v>
      </c>
      <c r="BC3" s="248">
        <v>21</v>
      </c>
      <c r="BD3" s="248">
        <v>20</v>
      </c>
      <c r="BE3" s="248">
        <v>10</v>
      </c>
      <c r="BF3" s="2"/>
      <c r="BG3" s="125"/>
      <c r="BH3" s="253">
        <v>20</v>
      </c>
      <c r="BI3" s="248">
        <v>17</v>
      </c>
      <c r="BJ3" s="248">
        <v>23</v>
      </c>
      <c r="BK3" s="248">
        <v>18</v>
      </c>
      <c r="BL3" s="248">
        <v>22</v>
      </c>
      <c r="BM3" s="248">
        <v>23</v>
      </c>
      <c r="BN3" s="248">
        <v>21</v>
      </c>
      <c r="BO3" s="248">
        <v>21</v>
      </c>
      <c r="BP3" s="248">
        <v>20</v>
      </c>
      <c r="BQ3" s="248">
        <v>21</v>
      </c>
      <c r="BR3" s="248">
        <v>20</v>
      </c>
      <c r="BS3" s="248">
        <v>14</v>
      </c>
      <c r="BT3" s="253">
        <v>20</v>
      </c>
      <c r="BU3" s="252"/>
      <c r="BV3" s="253">
        <v>19</v>
      </c>
      <c r="BW3" s="248">
        <v>19</v>
      </c>
      <c r="BX3" s="566">
        <v>21</v>
      </c>
      <c r="BY3" s="566">
        <v>24</v>
      </c>
      <c r="BZ3" s="248">
        <v>20</v>
      </c>
      <c r="CA3" s="248">
        <v>20</v>
      </c>
      <c r="CB3" s="248">
        <v>23</v>
      </c>
      <c r="CC3" s="248">
        <v>21</v>
      </c>
      <c r="CD3" s="248">
        <v>21</v>
      </c>
      <c r="CE3" s="248">
        <v>23</v>
      </c>
      <c r="CF3" s="248">
        <v>20</v>
      </c>
      <c r="CG3" s="248">
        <v>13</v>
      </c>
      <c r="CH3" s="248"/>
      <c r="CJ3" s="253">
        <v>19</v>
      </c>
      <c r="CK3" s="248">
        <v>19</v>
      </c>
      <c r="CL3" s="566">
        <v>21</v>
      </c>
      <c r="CM3" s="566">
        <v>24</v>
      </c>
      <c r="CN3" s="248">
        <v>20</v>
      </c>
      <c r="CO3" s="248">
        <v>20</v>
      </c>
      <c r="CP3" s="248">
        <v>23</v>
      </c>
      <c r="CQ3" s="248">
        <v>21</v>
      </c>
      <c r="CR3" s="248">
        <v>21</v>
      </c>
      <c r="CS3" s="248">
        <v>23</v>
      </c>
      <c r="CT3" s="248">
        <v>20</v>
      </c>
      <c r="CU3" s="248">
        <v>13</v>
      </c>
      <c r="CV3" s="248"/>
    </row>
    <row r="4" spans="1:100">
      <c r="A4" s="8"/>
      <c r="B4" s="255"/>
      <c r="C4" s="256"/>
      <c r="D4" s="257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258" t="s">
        <v>26</v>
      </c>
      <c r="Q4" s="10"/>
      <c r="R4" s="257" t="s">
        <v>14</v>
      </c>
      <c r="S4" s="9" t="s">
        <v>15</v>
      </c>
      <c r="T4" s="9" t="s">
        <v>16</v>
      </c>
      <c r="U4" s="9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  <c r="AA4" s="9" t="s">
        <v>23</v>
      </c>
      <c r="AB4" s="9" t="s">
        <v>24</v>
      </c>
      <c r="AC4" s="9" t="s">
        <v>25</v>
      </c>
      <c r="AD4" s="258" t="s">
        <v>26</v>
      </c>
      <c r="AE4" s="11"/>
      <c r="AF4" s="257" t="s">
        <v>14</v>
      </c>
      <c r="AG4" s="9" t="s">
        <v>15</v>
      </c>
      <c r="AH4" s="9" t="s">
        <v>16</v>
      </c>
      <c r="AI4" s="9" t="s">
        <v>17</v>
      </c>
      <c r="AJ4" s="9" t="s">
        <v>18</v>
      </c>
      <c r="AK4" s="9" t="s">
        <v>19</v>
      </c>
      <c r="AL4" s="9" t="s">
        <v>20</v>
      </c>
      <c r="AM4" s="9" t="s">
        <v>21</v>
      </c>
      <c r="AN4" s="9" t="s">
        <v>22</v>
      </c>
      <c r="AO4" s="9" t="s">
        <v>23</v>
      </c>
      <c r="AP4" s="9" t="s">
        <v>24</v>
      </c>
      <c r="AQ4" s="9" t="s">
        <v>25</v>
      </c>
      <c r="AR4" s="9" t="s">
        <v>26</v>
      </c>
      <c r="AS4" s="11"/>
      <c r="AT4" s="9" t="s">
        <v>14</v>
      </c>
      <c r="AU4" s="9" t="s">
        <v>15</v>
      </c>
      <c r="AV4" s="9" t="s">
        <v>16</v>
      </c>
      <c r="AW4" s="9" t="s">
        <v>17</v>
      </c>
      <c r="AX4" s="9" t="s">
        <v>18</v>
      </c>
      <c r="AY4" s="9" t="s">
        <v>19</v>
      </c>
      <c r="AZ4" s="9" t="s">
        <v>20</v>
      </c>
      <c r="BA4" s="9" t="s">
        <v>21</v>
      </c>
      <c r="BB4" s="9" t="s">
        <v>22</v>
      </c>
      <c r="BC4" s="9" t="s">
        <v>23</v>
      </c>
      <c r="BD4" s="9" t="s">
        <v>24</v>
      </c>
      <c r="BE4" s="9" t="s">
        <v>25</v>
      </c>
      <c r="BF4" s="9" t="s">
        <v>26</v>
      </c>
      <c r="BG4" s="10"/>
      <c r="BH4" s="9" t="s">
        <v>14</v>
      </c>
      <c r="BI4" s="9" t="s">
        <v>15</v>
      </c>
      <c r="BJ4" s="9" t="s">
        <v>16</v>
      </c>
      <c r="BK4" s="9" t="s">
        <v>17</v>
      </c>
      <c r="BL4" s="9" t="s">
        <v>18</v>
      </c>
      <c r="BM4" s="9" t="s">
        <v>19</v>
      </c>
      <c r="BN4" s="9" t="s">
        <v>20</v>
      </c>
      <c r="BO4" s="9" t="s">
        <v>21</v>
      </c>
      <c r="BP4" s="9" t="s">
        <v>22</v>
      </c>
      <c r="BQ4" s="9" t="s">
        <v>23</v>
      </c>
      <c r="BR4" s="9" t="s">
        <v>24</v>
      </c>
      <c r="BS4" s="9" t="s">
        <v>25</v>
      </c>
      <c r="BT4" s="9" t="s">
        <v>26</v>
      </c>
      <c r="BU4" s="12"/>
      <c r="BV4" s="9" t="s">
        <v>14</v>
      </c>
      <c r="BW4" s="9" t="s">
        <v>15</v>
      </c>
      <c r="BX4" s="9" t="s">
        <v>16</v>
      </c>
      <c r="BY4" s="9" t="s">
        <v>17</v>
      </c>
      <c r="BZ4" s="9" t="s">
        <v>18</v>
      </c>
      <c r="CA4" s="9" t="s">
        <v>19</v>
      </c>
      <c r="CB4" s="9" t="s">
        <v>20</v>
      </c>
      <c r="CC4" s="9" t="s">
        <v>21</v>
      </c>
      <c r="CD4" s="9" t="s">
        <v>22</v>
      </c>
      <c r="CE4" s="9" t="s">
        <v>23</v>
      </c>
      <c r="CF4" s="9" t="s">
        <v>24</v>
      </c>
      <c r="CG4" s="9" t="s">
        <v>25</v>
      </c>
      <c r="CH4" s="9" t="s">
        <v>26</v>
      </c>
      <c r="CJ4" s="9" t="s">
        <v>14</v>
      </c>
      <c r="CK4" s="9" t="s">
        <v>15</v>
      </c>
      <c r="CL4" s="9" t="s">
        <v>16</v>
      </c>
      <c r="CM4" s="9" t="s">
        <v>17</v>
      </c>
      <c r="CN4" s="9" t="s">
        <v>18</v>
      </c>
      <c r="CO4" s="9" t="s">
        <v>19</v>
      </c>
      <c r="CP4" s="9" t="s">
        <v>20</v>
      </c>
      <c r="CQ4" s="9" t="s">
        <v>21</v>
      </c>
      <c r="CR4" s="9" t="s">
        <v>22</v>
      </c>
      <c r="CS4" s="9" t="s">
        <v>23</v>
      </c>
      <c r="CT4" s="9" t="s">
        <v>24</v>
      </c>
      <c r="CU4" s="9" t="s">
        <v>25</v>
      </c>
      <c r="CV4" s="9" t="s">
        <v>26</v>
      </c>
    </row>
    <row r="5" spans="1:100">
      <c r="A5" s="13"/>
      <c r="B5" s="259"/>
      <c r="C5" s="260"/>
      <c r="D5" s="261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262"/>
      <c r="Q5" s="15"/>
      <c r="R5" s="261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263"/>
      <c r="AE5" s="16"/>
      <c r="AF5" s="261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7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7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8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</row>
    <row r="6" spans="1:100">
      <c r="A6" s="13" t="s">
        <v>28</v>
      </c>
      <c r="B6" s="259" t="s">
        <v>263</v>
      </c>
      <c r="C6" s="260"/>
      <c r="D6" s="261">
        <f t="shared" ref="D6:O6" si="0">SUM(D7:D9)</f>
        <v>304786</v>
      </c>
      <c r="E6" s="14">
        <f t="shared" si="0"/>
        <v>311986</v>
      </c>
      <c r="F6" s="14">
        <f t="shared" si="0"/>
        <v>328231</v>
      </c>
      <c r="G6" s="14">
        <f t="shared" si="0"/>
        <v>317873</v>
      </c>
      <c r="H6" s="14">
        <f t="shared" si="0"/>
        <v>347196</v>
      </c>
      <c r="I6" s="14">
        <f t="shared" si="0"/>
        <v>402253</v>
      </c>
      <c r="J6" s="14">
        <f t="shared" si="0"/>
        <v>454488</v>
      </c>
      <c r="K6" s="14">
        <f t="shared" si="0"/>
        <v>447182</v>
      </c>
      <c r="L6" s="14">
        <f t="shared" si="0"/>
        <v>416931</v>
      </c>
      <c r="M6" s="14">
        <f t="shared" si="0"/>
        <v>304402</v>
      </c>
      <c r="N6" s="14">
        <f t="shared" si="0"/>
        <v>0</v>
      </c>
      <c r="O6" s="14">
        <f t="shared" si="0"/>
        <v>188264</v>
      </c>
      <c r="P6" s="262"/>
      <c r="Q6" s="15"/>
      <c r="R6" s="14">
        <f t="shared" ref="R6:AC6" si="1">SUM(R7:R9)</f>
        <v>283359</v>
      </c>
      <c r="S6" s="14">
        <f t="shared" si="1"/>
        <v>342718</v>
      </c>
      <c r="T6" s="14">
        <f t="shared" si="1"/>
        <v>313212</v>
      </c>
      <c r="U6" s="14">
        <f t="shared" si="1"/>
        <v>298093</v>
      </c>
      <c r="V6" s="14">
        <f t="shared" si="1"/>
        <v>206617</v>
      </c>
      <c r="W6" s="14">
        <f t="shared" si="1"/>
        <v>235875</v>
      </c>
      <c r="X6" s="14">
        <f t="shared" si="1"/>
        <v>360135</v>
      </c>
      <c r="Y6" s="14">
        <f t="shared" si="1"/>
        <v>361665</v>
      </c>
      <c r="Z6" s="14">
        <f t="shared" si="1"/>
        <v>353400</v>
      </c>
      <c r="AA6" s="14">
        <f t="shared" si="1"/>
        <v>272097</v>
      </c>
      <c r="AB6" s="14">
        <f t="shared" si="1"/>
        <v>170626</v>
      </c>
      <c r="AC6" s="14">
        <f t="shared" si="1"/>
        <v>197551</v>
      </c>
      <c r="AD6" s="263"/>
      <c r="AE6" s="16"/>
      <c r="AF6" s="14">
        <f t="shared" ref="AF6:AQ6" si="2">SUM(AF7:AF10)</f>
        <v>246973</v>
      </c>
      <c r="AG6" s="14">
        <f t="shared" si="2"/>
        <v>281087</v>
      </c>
      <c r="AH6" s="14">
        <f t="shared" si="2"/>
        <v>386469</v>
      </c>
      <c r="AI6" s="14">
        <f t="shared" si="2"/>
        <v>379017</v>
      </c>
      <c r="AJ6" s="14">
        <f t="shared" si="2"/>
        <v>400777</v>
      </c>
      <c r="AK6" s="14">
        <f t="shared" si="2"/>
        <v>465623</v>
      </c>
      <c r="AL6" s="14">
        <f t="shared" si="2"/>
        <v>472149</v>
      </c>
      <c r="AM6" s="14">
        <f t="shared" si="2"/>
        <v>492339</v>
      </c>
      <c r="AN6" s="14">
        <f t="shared" si="2"/>
        <v>450428</v>
      </c>
      <c r="AO6" s="14">
        <f t="shared" si="2"/>
        <v>391441</v>
      </c>
      <c r="AP6" s="14">
        <f t="shared" si="2"/>
        <v>325482</v>
      </c>
      <c r="AQ6" s="14">
        <f t="shared" si="2"/>
        <v>321014</v>
      </c>
      <c r="AR6" s="14">
        <f t="shared" ref="AR6:AR14" si="3">AQ6</f>
        <v>321014</v>
      </c>
      <c r="AS6" s="17"/>
      <c r="AT6" s="14">
        <f t="shared" ref="AT6:BE6" si="4">SUM(AT7:AT10)</f>
        <v>350303</v>
      </c>
      <c r="AU6" s="14">
        <f t="shared" si="4"/>
        <v>323931</v>
      </c>
      <c r="AV6" s="14">
        <f t="shared" si="4"/>
        <v>307980</v>
      </c>
      <c r="AW6" s="14">
        <f t="shared" si="4"/>
        <v>292777</v>
      </c>
      <c r="AX6" s="14">
        <f t="shared" si="4"/>
        <v>296754</v>
      </c>
      <c r="AY6" s="14">
        <f t="shared" si="4"/>
        <v>344037</v>
      </c>
      <c r="AZ6" s="14">
        <f t="shared" si="4"/>
        <v>367566</v>
      </c>
      <c r="BA6" s="14">
        <f t="shared" si="4"/>
        <v>372442</v>
      </c>
      <c r="BB6" s="14">
        <f t="shared" si="4"/>
        <v>375154</v>
      </c>
      <c r="BC6" s="14">
        <f t="shared" si="4"/>
        <v>340466</v>
      </c>
      <c r="BD6" s="14">
        <f t="shared" si="4"/>
        <v>314581</v>
      </c>
      <c r="BE6" s="14">
        <f t="shared" si="4"/>
        <v>253219</v>
      </c>
      <c r="BF6" s="14">
        <f t="shared" ref="BF6:BF11" si="5">BE6</f>
        <v>253219</v>
      </c>
      <c r="BG6" s="17"/>
      <c r="BH6" s="14">
        <f t="shared" ref="BH6:BQ6" si="6">SUM(BH7:BH10)</f>
        <v>307512</v>
      </c>
      <c r="BI6" s="14">
        <f t="shared" si="6"/>
        <v>302058</v>
      </c>
      <c r="BJ6" s="14">
        <f t="shared" si="6"/>
        <v>315841</v>
      </c>
      <c r="BK6" s="14">
        <f t="shared" si="6"/>
        <v>306027</v>
      </c>
      <c r="BL6" s="14">
        <f t="shared" si="6"/>
        <v>299077</v>
      </c>
      <c r="BM6" s="14">
        <f t="shared" si="6"/>
        <v>293121</v>
      </c>
      <c r="BN6" s="14">
        <f t="shared" si="6"/>
        <v>335286</v>
      </c>
      <c r="BO6" s="14">
        <f t="shared" si="6"/>
        <v>322561</v>
      </c>
      <c r="BP6" s="14">
        <f t="shared" si="6"/>
        <v>304307</v>
      </c>
      <c r="BQ6" s="14">
        <f t="shared" si="6"/>
        <v>280100</v>
      </c>
      <c r="BR6" s="14">
        <f>SUM(BR7:BR10)</f>
        <v>215852</v>
      </c>
      <c r="BS6" s="14">
        <f>BS7+BS8+BS10</f>
        <v>201165</v>
      </c>
      <c r="BT6" s="14">
        <f>BS6</f>
        <v>201165</v>
      </c>
      <c r="BU6" s="18"/>
      <c r="BV6" s="14">
        <f>BV7+BV8+BV10</f>
        <v>247713</v>
      </c>
      <c r="BW6" s="14">
        <f>BV6+BW59-BW16</f>
        <v>234422.08006563294</v>
      </c>
      <c r="BX6" s="14">
        <f>BW6+BX59-BX16</f>
        <v>194348.7132915963</v>
      </c>
      <c r="BY6" s="14">
        <f t="shared" ref="BY6:CG6" si="7">BX6+BY59-BY16</f>
        <v>223062.99421980139</v>
      </c>
      <c r="BZ6" s="14">
        <f t="shared" si="7"/>
        <v>228884.86858944659</v>
      </c>
      <c r="CA6" s="14">
        <f t="shared" si="7"/>
        <v>240669.78918926936</v>
      </c>
      <c r="CB6" s="14">
        <f t="shared" si="7"/>
        <v>234679.65868928705</v>
      </c>
      <c r="CC6" s="14">
        <f t="shared" si="7"/>
        <v>197008.01236523816</v>
      </c>
      <c r="CD6" s="14">
        <f t="shared" si="7"/>
        <v>148007.96159444697</v>
      </c>
      <c r="CE6" s="14">
        <f t="shared" si="7"/>
        <v>111276.29521213027</v>
      </c>
      <c r="CF6" s="14">
        <f t="shared" si="7"/>
        <v>93072.105643725808</v>
      </c>
      <c r="CG6" s="14">
        <f t="shared" si="7"/>
        <v>116080.10690622788</v>
      </c>
      <c r="CH6" s="14">
        <f t="shared" ref="CH6:CH14" si="8">CG6</f>
        <v>116080.10690622788</v>
      </c>
      <c r="CJ6" s="14">
        <f>CH6+CJ59-CJ16</f>
        <v>84819.397844393679</v>
      </c>
      <c r="CK6" s="14">
        <f>CJ6+CK59-CK16</f>
        <v>66399.385916589905</v>
      </c>
      <c r="CL6" s="14">
        <f>CK6+CL59-CL16</f>
        <v>18118.682465149584</v>
      </c>
      <c r="CM6" s="14">
        <f t="shared" ref="CM6" si="9">CL6+CM59-CM16</f>
        <v>31704.391486175213</v>
      </c>
      <c r="CN6" s="14">
        <f t="shared" ref="CN6" si="10">CM6+CN59-CN16</f>
        <v>23108.453292784921</v>
      </c>
      <c r="CO6" s="14">
        <f t="shared" ref="CO6" si="11">CN6+CO59-CO16</f>
        <v>21071.865952589957</v>
      </c>
      <c r="CP6" s="14">
        <f t="shared" ref="CP6" si="12">CO6+CP59-CP16</f>
        <v>-2767.2775973905809</v>
      </c>
      <c r="CQ6" s="14">
        <f t="shared" ref="CQ6" si="13">CP6+CQ59-CQ16</f>
        <v>-59956.08855384434</v>
      </c>
      <c r="CR6" s="14">
        <f t="shared" ref="CR6" si="14">CQ6+CR59-CR16</f>
        <v>-129606.14440171467</v>
      </c>
      <c r="CS6" s="14">
        <f t="shared" ref="CS6" si="15">CR6+CS59-CS16</f>
        <v>-187260.97742226307</v>
      </c>
      <c r="CT6" s="14">
        <f t="shared" ref="CT6" si="16">CS6+CT59-CT16</f>
        <v>-222285.58594750799</v>
      </c>
      <c r="CU6" s="14">
        <f t="shared" ref="CU6" si="17">CT6+CU59-CU16</f>
        <v>-206726.78455875569</v>
      </c>
      <c r="CV6" s="14">
        <v>116080.10690622788</v>
      </c>
    </row>
    <row r="7" spans="1:100">
      <c r="A7" s="19">
        <v>1</v>
      </c>
      <c r="B7" s="158" t="s">
        <v>264</v>
      </c>
      <c r="C7" s="264"/>
      <c r="D7" s="265">
        <v>197000</v>
      </c>
      <c r="E7" s="20">
        <v>223027</v>
      </c>
      <c r="F7" s="20">
        <v>230513</v>
      </c>
      <c r="G7" s="20">
        <v>231174</v>
      </c>
      <c r="H7" s="20">
        <v>255028</v>
      </c>
      <c r="I7" s="20">
        <f>316386+3241</f>
        <v>319627</v>
      </c>
      <c r="J7" s="20">
        <v>377712</v>
      </c>
      <c r="K7" s="20">
        <v>382411</v>
      </c>
      <c r="L7" s="20">
        <v>394107</v>
      </c>
      <c r="M7" s="20">
        <v>267954</v>
      </c>
      <c r="N7" s="20"/>
      <c r="O7" s="20">
        <v>143875</v>
      </c>
      <c r="P7" s="266"/>
      <c r="Q7" s="21"/>
      <c r="R7" s="265">
        <v>208084</v>
      </c>
      <c r="S7" s="22">
        <v>268431</v>
      </c>
      <c r="T7" s="22">
        <v>250616</v>
      </c>
      <c r="U7" s="22">
        <v>237088</v>
      </c>
      <c r="V7" s="22">
        <v>147777</v>
      </c>
      <c r="W7" s="22">
        <v>215818</v>
      </c>
      <c r="X7" s="22">
        <v>273510</v>
      </c>
      <c r="Y7" s="22">
        <v>299059</v>
      </c>
      <c r="Z7" s="22">
        <v>304980</v>
      </c>
      <c r="AA7" s="22">
        <v>231197</v>
      </c>
      <c r="AB7" s="22">
        <v>143086</v>
      </c>
      <c r="AC7" s="22">
        <v>172491</v>
      </c>
      <c r="AD7" s="267"/>
      <c r="AE7" s="23"/>
      <c r="AF7" s="22">
        <v>198695</v>
      </c>
      <c r="AG7" s="22">
        <v>234210</v>
      </c>
      <c r="AH7" s="22">
        <v>327560</v>
      </c>
      <c r="AI7" s="22">
        <v>332523</v>
      </c>
      <c r="AJ7" s="24">
        <v>356667</v>
      </c>
      <c r="AK7" s="22">
        <v>384165</v>
      </c>
      <c r="AL7" s="22">
        <v>317268</v>
      </c>
      <c r="AM7" s="22">
        <v>370708</v>
      </c>
      <c r="AN7" s="22">
        <v>354503</v>
      </c>
      <c r="AO7" s="22">
        <v>314605</v>
      </c>
      <c r="AP7" s="25">
        <v>90490</v>
      </c>
      <c r="AQ7" s="22">
        <v>58348</v>
      </c>
      <c r="AR7" s="22">
        <f t="shared" si="3"/>
        <v>58348</v>
      </c>
      <c r="AS7" s="23"/>
      <c r="AT7" s="22">
        <v>158701</v>
      </c>
      <c r="AU7" s="22">
        <v>115369</v>
      </c>
      <c r="AV7" s="22">
        <v>142379</v>
      </c>
      <c r="AW7" s="22">
        <v>118765</v>
      </c>
      <c r="AX7" s="22">
        <v>113246</v>
      </c>
      <c r="AY7" s="22">
        <v>106776</v>
      </c>
      <c r="AZ7" s="22">
        <v>175234</v>
      </c>
      <c r="BA7" s="22">
        <v>151553</v>
      </c>
      <c r="BB7" s="26">
        <v>167082</v>
      </c>
      <c r="BC7" s="22">
        <v>150959</v>
      </c>
      <c r="BD7" s="22">
        <v>119787</v>
      </c>
      <c r="BE7" s="22">
        <v>65426</v>
      </c>
      <c r="BF7" s="22">
        <f t="shared" si="5"/>
        <v>65426</v>
      </c>
      <c r="BG7" s="27"/>
      <c r="BH7" s="22">
        <v>166918</v>
      </c>
      <c r="BI7" s="22">
        <v>167160</v>
      </c>
      <c r="BJ7" s="22">
        <v>204571</v>
      </c>
      <c r="BK7" s="22">
        <v>153197</v>
      </c>
      <c r="BL7" s="22">
        <v>196798</v>
      </c>
      <c r="BM7" s="22">
        <v>145596</v>
      </c>
      <c r="BN7" s="22">
        <v>166021</v>
      </c>
      <c r="BO7" s="22">
        <v>211305</v>
      </c>
      <c r="BP7" s="22">
        <v>201071</v>
      </c>
      <c r="BQ7" s="22">
        <v>177743</v>
      </c>
      <c r="BR7" s="22">
        <v>144020</v>
      </c>
      <c r="BS7" s="22">
        <v>154347</v>
      </c>
      <c r="BT7" s="22">
        <f>BS7</f>
        <v>154347</v>
      </c>
      <c r="BU7" s="28"/>
      <c r="BV7" s="22">
        <v>204006</v>
      </c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>
        <f t="shared" si="8"/>
        <v>0</v>
      </c>
      <c r="CJ7" s="22">
        <v>204006</v>
      </c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>
        <v>0</v>
      </c>
    </row>
    <row r="8" spans="1:100">
      <c r="A8" s="19">
        <v>2</v>
      </c>
      <c r="B8" s="158" t="s">
        <v>265</v>
      </c>
      <c r="C8" s="264"/>
      <c r="D8" s="265">
        <v>73670</v>
      </c>
      <c r="E8" s="20">
        <v>59682</v>
      </c>
      <c r="F8" s="20">
        <v>54710</v>
      </c>
      <c r="G8" s="20">
        <v>56175</v>
      </c>
      <c r="H8" s="20">
        <v>58933</v>
      </c>
      <c r="I8" s="20">
        <v>42784</v>
      </c>
      <c r="J8" s="20">
        <v>35755</v>
      </c>
      <c r="K8" s="20">
        <v>33547</v>
      </c>
      <c r="L8" s="20">
        <v>22824</v>
      </c>
      <c r="M8" s="20">
        <v>26162</v>
      </c>
      <c r="N8" s="20"/>
      <c r="O8" s="20">
        <v>44389</v>
      </c>
      <c r="P8" s="266"/>
      <c r="Q8" s="21"/>
      <c r="R8" s="265">
        <v>39759</v>
      </c>
      <c r="S8" s="22">
        <v>38325</v>
      </c>
      <c r="T8" s="22">
        <v>26634</v>
      </c>
      <c r="U8" s="22">
        <f>14430+2754+7859</f>
        <v>25043</v>
      </c>
      <c r="V8" s="22">
        <v>23840</v>
      </c>
      <c r="W8" s="22">
        <v>20057</v>
      </c>
      <c r="X8" s="22">
        <v>80502</v>
      </c>
      <c r="Y8" s="22">
        <v>56483</v>
      </c>
      <c r="Z8" s="22">
        <v>44233</v>
      </c>
      <c r="AA8" s="22">
        <v>38155</v>
      </c>
      <c r="AB8" s="22">
        <v>27540</v>
      </c>
      <c r="AC8" s="22">
        <v>25060</v>
      </c>
      <c r="AD8" s="267"/>
      <c r="AE8" s="23"/>
      <c r="AF8" s="22">
        <v>21326</v>
      </c>
      <c r="AG8" s="22">
        <v>17804</v>
      </c>
      <c r="AH8" s="22">
        <v>27157</v>
      </c>
      <c r="AI8" s="22">
        <v>19677</v>
      </c>
      <c r="AJ8" s="22">
        <v>18817</v>
      </c>
      <c r="AK8" s="22">
        <v>25034</v>
      </c>
      <c r="AL8" s="22">
        <v>28090</v>
      </c>
      <c r="AM8" s="22">
        <v>25660</v>
      </c>
      <c r="AN8" s="22">
        <v>33752</v>
      </c>
      <c r="AO8" s="22">
        <v>24699</v>
      </c>
      <c r="AP8" s="25">
        <v>19340</v>
      </c>
      <c r="AQ8" s="22">
        <v>29842</v>
      </c>
      <c r="AR8" s="22">
        <f t="shared" si="3"/>
        <v>29842</v>
      </c>
      <c r="AS8" s="23"/>
      <c r="AT8" s="22">
        <v>46493</v>
      </c>
      <c r="AU8" s="22">
        <v>37125</v>
      </c>
      <c r="AV8" s="22">
        <v>38574</v>
      </c>
      <c r="AW8" s="22">
        <v>43626</v>
      </c>
      <c r="AX8" s="22">
        <v>39641</v>
      </c>
      <c r="AY8" s="22">
        <v>55553</v>
      </c>
      <c r="AZ8" s="22">
        <v>48023</v>
      </c>
      <c r="BA8" s="22">
        <v>55043</v>
      </c>
      <c r="BB8" s="26">
        <v>50383</v>
      </c>
      <c r="BC8" s="22">
        <v>54355</v>
      </c>
      <c r="BD8" s="22">
        <v>82473</v>
      </c>
      <c r="BE8" s="22">
        <v>65398</v>
      </c>
      <c r="BF8" s="22">
        <f t="shared" si="5"/>
        <v>65398</v>
      </c>
      <c r="BG8" s="27"/>
      <c r="BH8" s="22">
        <v>68747</v>
      </c>
      <c r="BI8" s="22">
        <v>62843</v>
      </c>
      <c r="BJ8" s="22">
        <v>62154</v>
      </c>
      <c r="BK8" s="22">
        <v>49337</v>
      </c>
      <c r="BL8" s="22">
        <v>27730</v>
      </c>
      <c r="BM8" s="22">
        <v>42459</v>
      </c>
      <c r="BN8" s="22">
        <v>44049</v>
      </c>
      <c r="BO8" s="22">
        <v>29196</v>
      </c>
      <c r="BP8" s="22">
        <v>36882</v>
      </c>
      <c r="BQ8" s="22">
        <v>35965</v>
      </c>
      <c r="BR8" s="22">
        <v>31343</v>
      </c>
      <c r="BS8" s="22">
        <v>23087</v>
      </c>
      <c r="BT8" s="22">
        <f t="shared" ref="BT8:BT14" si="18">BS8</f>
        <v>23087</v>
      </c>
      <c r="BU8" s="28"/>
      <c r="BV8" s="22">
        <v>15202</v>
      </c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>
        <f t="shared" si="8"/>
        <v>0</v>
      </c>
      <c r="CJ8" s="22">
        <v>15202</v>
      </c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>
        <v>0</v>
      </c>
    </row>
    <row r="9" spans="1:100">
      <c r="A9" s="19">
        <v>3</v>
      </c>
      <c r="B9" s="158" t="s">
        <v>266</v>
      </c>
      <c r="C9" s="264"/>
      <c r="D9" s="268">
        <v>34116</v>
      </c>
      <c r="E9" s="269">
        <v>29277</v>
      </c>
      <c r="F9" s="269">
        <v>43008</v>
      </c>
      <c r="G9" s="269">
        <v>30524</v>
      </c>
      <c r="H9" s="269">
        <v>33235</v>
      </c>
      <c r="I9" s="269">
        <v>39842</v>
      </c>
      <c r="J9" s="269">
        <v>41021</v>
      </c>
      <c r="K9" s="269">
        <v>31224</v>
      </c>
      <c r="L9" s="269"/>
      <c r="M9" s="269">
        <v>10286</v>
      </c>
      <c r="N9" s="269"/>
      <c r="O9" s="269"/>
      <c r="P9" s="266"/>
      <c r="Q9" s="21"/>
      <c r="R9" s="268">
        <v>35516</v>
      </c>
      <c r="S9" s="270">
        <v>35962</v>
      </c>
      <c r="T9" s="270">
        <v>35962</v>
      </c>
      <c r="U9" s="270">
        <v>35962</v>
      </c>
      <c r="V9" s="270">
        <v>35000</v>
      </c>
      <c r="W9" s="270"/>
      <c r="X9" s="270">
        <v>6123</v>
      </c>
      <c r="Y9" s="270">
        <v>6123</v>
      </c>
      <c r="Z9" s="270">
        <v>4187</v>
      </c>
      <c r="AA9" s="270">
        <v>2745</v>
      </c>
      <c r="AB9" s="270"/>
      <c r="AC9" s="270"/>
      <c r="AD9" s="267"/>
      <c r="AE9" s="23"/>
      <c r="AF9" s="270">
        <v>8366</v>
      </c>
      <c r="AG9" s="270">
        <v>11534</v>
      </c>
      <c r="AH9" s="270">
        <v>11507</v>
      </c>
      <c r="AI9" s="270">
        <v>9148</v>
      </c>
      <c r="AJ9" s="22">
        <v>8524</v>
      </c>
      <c r="AK9" s="270">
        <v>25290</v>
      </c>
      <c r="AL9" s="270">
        <v>91080</v>
      </c>
      <c r="AM9" s="270">
        <v>66830</v>
      </c>
      <c r="AN9" s="270">
        <v>36866</v>
      </c>
      <c r="AO9" s="270">
        <v>16173</v>
      </c>
      <c r="AP9" s="271">
        <v>178274</v>
      </c>
      <c r="AQ9" s="270">
        <v>210665</v>
      </c>
      <c r="AR9" s="22">
        <f t="shared" si="3"/>
        <v>210665</v>
      </c>
      <c r="AS9" s="23"/>
      <c r="AT9" s="270">
        <v>121075</v>
      </c>
      <c r="AU9" s="270">
        <v>149376</v>
      </c>
      <c r="AV9" s="270">
        <v>104538</v>
      </c>
      <c r="AW9" s="270">
        <v>105262</v>
      </c>
      <c r="AX9" s="270">
        <v>121073</v>
      </c>
      <c r="AY9" s="270">
        <v>163931</v>
      </c>
      <c r="AZ9" s="270">
        <v>109964</v>
      </c>
      <c r="BA9" s="270">
        <v>148266</v>
      </c>
      <c r="BB9" s="26">
        <v>130697</v>
      </c>
      <c r="BC9" s="270">
        <v>113779</v>
      </c>
      <c r="BD9" s="270">
        <v>91119</v>
      </c>
      <c r="BE9" s="270">
        <v>103286</v>
      </c>
      <c r="BF9" s="22">
        <f t="shared" si="5"/>
        <v>103286</v>
      </c>
      <c r="BG9" s="27"/>
      <c r="BH9" s="270">
        <v>49631</v>
      </c>
      <c r="BI9" s="270">
        <v>52953</v>
      </c>
      <c r="BJ9" s="270">
        <v>28440</v>
      </c>
      <c r="BK9" s="270">
        <v>83601</v>
      </c>
      <c r="BL9" s="22">
        <v>25812</v>
      </c>
      <c r="BM9" s="22">
        <v>59545</v>
      </c>
      <c r="BN9" s="22">
        <v>83435</v>
      </c>
      <c r="BO9" s="22">
        <v>34041</v>
      </c>
      <c r="BP9" s="22">
        <v>22399</v>
      </c>
      <c r="BQ9" s="22">
        <v>24887</v>
      </c>
      <c r="BR9" s="22">
        <v>12183</v>
      </c>
      <c r="BS9" s="22">
        <v>12183</v>
      </c>
      <c r="BT9" s="22">
        <f t="shared" si="18"/>
        <v>12183</v>
      </c>
      <c r="BU9" s="28"/>
      <c r="BV9" s="270">
        <v>5216</v>
      </c>
      <c r="BW9" s="270"/>
      <c r="BX9" s="270"/>
      <c r="BY9" s="270"/>
      <c r="BZ9" s="22"/>
      <c r="CA9" s="22"/>
      <c r="CB9" s="22"/>
      <c r="CC9" s="22"/>
      <c r="CD9" s="22"/>
      <c r="CE9" s="22"/>
      <c r="CF9" s="22"/>
      <c r="CG9" s="22"/>
      <c r="CH9" s="22">
        <f t="shared" si="8"/>
        <v>0</v>
      </c>
      <c r="CJ9" s="270">
        <v>5216</v>
      </c>
      <c r="CK9" s="270"/>
      <c r="CL9" s="270"/>
      <c r="CM9" s="270"/>
      <c r="CN9" s="22"/>
      <c r="CO9" s="22"/>
      <c r="CP9" s="22"/>
      <c r="CQ9" s="22"/>
      <c r="CR9" s="22"/>
      <c r="CS9" s="22"/>
      <c r="CT9" s="22"/>
      <c r="CU9" s="22"/>
      <c r="CV9" s="22">
        <v>0</v>
      </c>
    </row>
    <row r="10" spans="1:100">
      <c r="A10" s="19">
        <v>1</v>
      </c>
      <c r="B10" s="158" t="s">
        <v>267</v>
      </c>
      <c r="C10" s="159"/>
      <c r="D10" s="265">
        <v>6409</v>
      </c>
      <c r="E10" s="20">
        <v>6860</v>
      </c>
      <c r="F10" s="20">
        <v>4970</v>
      </c>
      <c r="G10" s="20">
        <v>31203</v>
      </c>
      <c r="H10" s="20">
        <v>31499</v>
      </c>
      <c r="I10" s="20">
        <v>25903</v>
      </c>
      <c r="J10" s="20">
        <v>18606</v>
      </c>
      <c r="K10" s="20">
        <v>16014</v>
      </c>
      <c r="L10" s="20">
        <v>13416</v>
      </c>
      <c r="M10" s="20">
        <v>40079</v>
      </c>
      <c r="N10" s="20"/>
      <c r="O10" s="20">
        <v>0</v>
      </c>
      <c r="P10" s="266"/>
      <c r="Q10" s="21"/>
      <c r="R10" s="265">
        <v>3376</v>
      </c>
      <c r="S10" s="22">
        <v>11736</v>
      </c>
      <c r="T10" s="22">
        <v>22454</v>
      </c>
      <c r="U10" s="22">
        <v>21384</v>
      </c>
      <c r="V10" s="22">
        <v>66870</v>
      </c>
      <c r="W10" s="22">
        <v>73769</v>
      </c>
      <c r="X10" s="22">
        <v>13944</v>
      </c>
      <c r="Y10" s="22">
        <v>32750</v>
      </c>
      <c r="Z10" s="22">
        <v>18536</v>
      </c>
      <c r="AA10" s="22">
        <v>40211</v>
      </c>
      <c r="AB10" s="22">
        <v>44457</v>
      </c>
      <c r="AC10" s="22">
        <v>24504</v>
      </c>
      <c r="AD10" s="267"/>
      <c r="AE10" s="23"/>
      <c r="AF10" s="22">
        <v>18586</v>
      </c>
      <c r="AG10" s="22">
        <v>17539</v>
      </c>
      <c r="AH10" s="22">
        <v>20245</v>
      </c>
      <c r="AI10" s="22">
        <v>17669</v>
      </c>
      <c r="AJ10" s="22">
        <v>16769</v>
      </c>
      <c r="AK10" s="22">
        <v>31134</v>
      </c>
      <c r="AL10" s="22">
        <v>35711</v>
      </c>
      <c r="AM10" s="22">
        <v>29141</v>
      </c>
      <c r="AN10" s="22">
        <v>25307</v>
      </c>
      <c r="AO10" s="22">
        <v>35964</v>
      </c>
      <c r="AP10" s="25">
        <v>37378</v>
      </c>
      <c r="AQ10" s="22">
        <v>22159</v>
      </c>
      <c r="AR10" s="22">
        <f t="shared" si="3"/>
        <v>22159</v>
      </c>
      <c r="AS10" s="23"/>
      <c r="AT10" s="22">
        <v>24034</v>
      </c>
      <c r="AU10" s="270">
        <v>22061</v>
      </c>
      <c r="AV10" s="22">
        <v>22489</v>
      </c>
      <c r="AW10" s="22">
        <v>25124</v>
      </c>
      <c r="AX10" s="22">
        <v>22794</v>
      </c>
      <c r="AY10" s="22">
        <v>17777</v>
      </c>
      <c r="AZ10" s="22">
        <v>34345</v>
      </c>
      <c r="BA10" s="22">
        <v>17580</v>
      </c>
      <c r="BB10" s="26">
        <v>26992</v>
      </c>
      <c r="BC10" s="22">
        <v>21373</v>
      </c>
      <c r="BD10" s="22">
        <v>21202</v>
      </c>
      <c r="BE10" s="22">
        <v>19109</v>
      </c>
      <c r="BF10" s="22">
        <f t="shared" si="5"/>
        <v>19109</v>
      </c>
      <c r="BG10" s="27"/>
      <c r="BH10" s="22">
        <v>22216</v>
      </c>
      <c r="BI10" s="270">
        <v>19102</v>
      </c>
      <c r="BJ10" s="22">
        <v>20676</v>
      </c>
      <c r="BK10" s="22">
        <v>19892</v>
      </c>
      <c r="BL10" s="22">
        <v>48737</v>
      </c>
      <c r="BM10" s="22">
        <v>45521</v>
      </c>
      <c r="BN10" s="22">
        <v>41781</v>
      </c>
      <c r="BO10" s="22">
        <v>48019</v>
      </c>
      <c r="BP10" s="22">
        <v>43955</v>
      </c>
      <c r="BQ10" s="22">
        <v>41505</v>
      </c>
      <c r="BR10" s="22">
        <v>28306</v>
      </c>
      <c r="BS10" s="22">
        <v>23731</v>
      </c>
      <c r="BT10" s="22">
        <f t="shared" si="18"/>
        <v>23731</v>
      </c>
      <c r="BU10" s="28"/>
      <c r="BV10" s="22">
        <v>28505</v>
      </c>
      <c r="BW10" s="270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>
        <f t="shared" si="8"/>
        <v>0</v>
      </c>
      <c r="CJ10" s="22">
        <v>28505</v>
      </c>
      <c r="CK10" s="270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>
        <v>0</v>
      </c>
    </row>
    <row r="11" spans="1:100">
      <c r="A11" s="29"/>
      <c r="B11" s="272" t="s">
        <v>41</v>
      </c>
      <c r="C11" s="273"/>
      <c r="D11" s="274">
        <f t="shared" ref="D11:O11" si="19">D6-D9</f>
        <v>270670</v>
      </c>
      <c r="E11" s="30">
        <f t="shared" si="19"/>
        <v>282709</v>
      </c>
      <c r="F11" s="30">
        <f t="shared" si="19"/>
        <v>285223</v>
      </c>
      <c r="G11" s="30">
        <f t="shared" si="19"/>
        <v>287349</v>
      </c>
      <c r="H11" s="30">
        <f t="shared" si="19"/>
        <v>313961</v>
      </c>
      <c r="I11" s="30">
        <f t="shared" si="19"/>
        <v>362411</v>
      </c>
      <c r="J11" s="30">
        <f t="shared" si="19"/>
        <v>413467</v>
      </c>
      <c r="K11" s="30">
        <f t="shared" si="19"/>
        <v>415958</v>
      </c>
      <c r="L11" s="30">
        <f t="shared" si="19"/>
        <v>416931</v>
      </c>
      <c r="M11" s="30">
        <f t="shared" si="19"/>
        <v>294116</v>
      </c>
      <c r="N11" s="30">
        <f t="shared" si="19"/>
        <v>0</v>
      </c>
      <c r="O11" s="30">
        <f t="shared" si="19"/>
        <v>188264</v>
      </c>
      <c r="P11" s="275"/>
      <c r="Q11" s="31"/>
      <c r="R11" s="274">
        <f t="shared" ref="R11:AB11" si="20">R6-R9</f>
        <v>247843</v>
      </c>
      <c r="S11" s="32">
        <f t="shared" si="20"/>
        <v>306756</v>
      </c>
      <c r="T11" s="32">
        <f t="shared" si="20"/>
        <v>277250</v>
      </c>
      <c r="U11" s="32">
        <f t="shared" si="20"/>
        <v>262131</v>
      </c>
      <c r="V11" s="32">
        <f t="shared" si="20"/>
        <v>171617</v>
      </c>
      <c r="W11" s="32">
        <f t="shared" si="20"/>
        <v>235875</v>
      </c>
      <c r="X11" s="32">
        <f t="shared" si="20"/>
        <v>354012</v>
      </c>
      <c r="Y11" s="32">
        <f t="shared" si="20"/>
        <v>355542</v>
      </c>
      <c r="Z11" s="32">
        <f t="shared" si="20"/>
        <v>349213</v>
      </c>
      <c r="AA11" s="32">
        <f t="shared" si="20"/>
        <v>269352</v>
      </c>
      <c r="AB11" s="32">
        <f t="shared" si="20"/>
        <v>170626</v>
      </c>
      <c r="AC11" s="32"/>
      <c r="AD11" s="276"/>
      <c r="AE11" s="17"/>
      <c r="AF11" s="32">
        <f t="shared" ref="AF11:AQ11" si="21">AF6-AF9</f>
        <v>238607</v>
      </c>
      <c r="AG11" s="32">
        <f t="shared" si="21"/>
        <v>269553</v>
      </c>
      <c r="AH11" s="32">
        <f t="shared" si="21"/>
        <v>374962</v>
      </c>
      <c r="AI11" s="32">
        <f t="shared" si="21"/>
        <v>369869</v>
      </c>
      <c r="AJ11" s="32">
        <f t="shared" si="21"/>
        <v>392253</v>
      </c>
      <c r="AK11" s="32">
        <f t="shared" si="21"/>
        <v>440333</v>
      </c>
      <c r="AL11" s="32">
        <f t="shared" si="21"/>
        <v>381069</v>
      </c>
      <c r="AM11" s="32">
        <f t="shared" si="21"/>
        <v>425509</v>
      </c>
      <c r="AN11" s="32">
        <f t="shared" si="21"/>
        <v>413562</v>
      </c>
      <c r="AO11" s="32">
        <f t="shared" si="21"/>
        <v>375268</v>
      </c>
      <c r="AP11" s="32">
        <f t="shared" si="21"/>
        <v>147208</v>
      </c>
      <c r="AQ11" s="32">
        <f t="shared" si="21"/>
        <v>110349</v>
      </c>
      <c r="AR11" s="32">
        <f t="shared" si="3"/>
        <v>110349</v>
      </c>
      <c r="AS11" s="17"/>
      <c r="AT11" s="32">
        <f t="shared" ref="AT11:BE11" si="22">AT6-AT9</f>
        <v>229228</v>
      </c>
      <c r="AU11" s="32">
        <f t="shared" si="22"/>
        <v>174555</v>
      </c>
      <c r="AV11" s="32">
        <f t="shared" si="22"/>
        <v>203442</v>
      </c>
      <c r="AW11" s="32">
        <f t="shared" si="22"/>
        <v>187515</v>
      </c>
      <c r="AX11" s="32">
        <f t="shared" si="22"/>
        <v>175681</v>
      </c>
      <c r="AY11" s="32">
        <f t="shared" si="22"/>
        <v>180106</v>
      </c>
      <c r="AZ11" s="32">
        <f t="shared" si="22"/>
        <v>257602</v>
      </c>
      <c r="BA11" s="32">
        <f t="shared" si="22"/>
        <v>224176</v>
      </c>
      <c r="BB11" s="32">
        <f t="shared" si="22"/>
        <v>244457</v>
      </c>
      <c r="BC11" s="32">
        <f t="shared" si="22"/>
        <v>226687</v>
      </c>
      <c r="BD11" s="32">
        <f t="shared" si="22"/>
        <v>223462</v>
      </c>
      <c r="BE11" s="32">
        <f t="shared" si="22"/>
        <v>149933</v>
      </c>
      <c r="BF11" s="32">
        <f t="shared" si="5"/>
        <v>149933</v>
      </c>
      <c r="BG11" s="17"/>
      <c r="BH11" s="32">
        <f t="shared" ref="BH11:BQ11" si="23">BH6-BH9</f>
        <v>257881</v>
      </c>
      <c r="BI11" s="32">
        <f t="shared" si="23"/>
        <v>249105</v>
      </c>
      <c r="BJ11" s="32">
        <f t="shared" si="23"/>
        <v>287401</v>
      </c>
      <c r="BK11" s="32">
        <f t="shared" si="23"/>
        <v>222426</v>
      </c>
      <c r="BL11" s="32">
        <f t="shared" si="23"/>
        <v>273265</v>
      </c>
      <c r="BM11" s="32">
        <f t="shared" si="23"/>
        <v>233576</v>
      </c>
      <c r="BN11" s="32">
        <f t="shared" si="23"/>
        <v>251851</v>
      </c>
      <c r="BO11" s="32">
        <f t="shared" si="23"/>
        <v>288520</v>
      </c>
      <c r="BP11" s="32">
        <f t="shared" si="23"/>
        <v>281908</v>
      </c>
      <c r="BQ11" s="32">
        <f t="shared" si="23"/>
        <v>255213</v>
      </c>
      <c r="BR11" s="32">
        <f>BR6-BR9</f>
        <v>203669</v>
      </c>
      <c r="BS11" s="32">
        <f>BS6-BS9</f>
        <v>188982</v>
      </c>
      <c r="BT11" s="32">
        <f>BS11</f>
        <v>188982</v>
      </c>
      <c r="BU11" s="28"/>
      <c r="BV11" s="32">
        <f>BV6-BV9</f>
        <v>242497</v>
      </c>
      <c r="BW11" s="32">
        <f t="shared" ref="BW11:CG11" si="24">BW6-BW9</f>
        <v>234422.08006563294</v>
      </c>
      <c r="BX11" s="32">
        <f t="shared" si="24"/>
        <v>194348.7132915963</v>
      </c>
      <c r="BY11" s="32">
        <f t="shared" si="24"/>
        <v>223062.99421980139</v>
      </c>
      <c r="BZ11" s="32">
        <f t="shared" si="24"/>
        <v>228884.86858944659</v>
      </c>
      <c r="CA11" s="32">
        <f t="shared" si="24"/>
        <v>240669.78918926936</v>
      </c>
      <c r="CB11" s="32">
        <f t="shared" si="24"/>
        <v>234679.65868928705</v>
      </c>
      <c r="CC11" s="32">
        <f t="shared" si="24"/>
        <v>197008.01236523816</v>
      </c>
      <c r="CD11" s="32">
        <f t="shared" si="24"/>
        <v>148007.96159444697</v>
      </c>
      <c r="CE11" s="32">
        <f t="shared" si="24"/>
        <v>111276.29521213027</v>
      </c>
      <c r="CF11" s="32">
        <f t="shared" si="24"/>
        <v>93072.105643725808</v>
      </c>
      <c r="CG11" s="32">
        <f t="shared" si="24"/>
        <v>116080.10690622788</v>
      </c>
      <c r="CH11" s="32">
        <f t="shared" si="8"/>
        <v>116080.10690622788</v>
      </c>
      <c r="CJ11" s="32">
        <v>242497</v>
      </c>
      <c r="CK11" s="32">
        <v>234422.08006563294</v>
      </c>
      <c r="CL11" s="32">
        <v>194348.7132915963</v>
      </c>
      <c r="CM11" s="32">
        <v>223062.99421980139</v>
      </c>
      <c r="CN11" s="32">
        <v>228884.86858944659</v>
      </c>
      <c r="CO11" s="32">
        <v>240669.78918926936</v>
      </c>
      <c r="CP11" s="32">
        <v>234679.65868928705</v>
      </c>
      <c r="CQ11" s="32">
        <v>197008.01236523816</v>
      </c>
      <c r="CR11" s="32">
        <v>148007.96159444697</v>
      </c>
      <c r="CS11" s="32">
        <v>111276.29521213027</v>
      </c>
      <c r="CT11" s="32">
        <v>93072.105643725808</v>
      </c>
      <c r="CU11" s="32">
        <v>116080.10690622788</v>
      </c>
      <c r="CV11" s="32">
        <v>116080.10690622788</v>
      </c>
    </row>
    <row r="12" spans="1:100">
      <c r="A12" s="13" t="s">
        <v>42</v>
      </c>
      <c r="B12" s="259"/>
      <c r="C12" s="260" t="s">
        <v>43</v>
      </c>
      <c r="D12" s="277">
        <f>D7-D9</f>
        <v>162884</v>
      </c>
      <c r="E12" s="33">
        <f t="shared" ref="E12:O12" si="25">E7+E10-E9-E48</f>
        <v>200610</v>
      </c>
      <c r="F12" s="33">
        <f t="shared" si="25"/>
        <v>192475</v>
      </c>
      <c r="G12" s="33">
        <f t="shared" si="25"/>
        <v>231853</v>
      </c>
      <c r="H12" s="33">
        <f t="shared" si="25"/>
        <v>253292</v>
      </c>
      <c r="I12" s="33">
        <f t="shared" si="25"/>
        <v>305688</v>
      </c>
      <c r="J12" s="33">
        <f t="shared" si="25"/>
        <v>355297</v>
      </c>
      <c r="K12" s="33">
        <f t="shared" si="25"/>
        <v>367201</v>
      </c>
      <c r="L12" s="33">
        <f t="shared" si="25"/>
        <v>407523</v>
      </c>
      <c r="M12" s="33">
        <f t="shared" si="25"/>
        <v>297747</v>
      </c>
      <c r="N12" s="33">
        <f t="shared" si="25"/>
        <v>0</v>
      </c>
      <c r="O12" s="33">
        <f t="shared" si="25"/>
        <v>143875</v>
      </c>
      <c r="P12" s="262">
        <f>J12</f>
        <v>355297</v>
      </c>
      <c r="Q12" s="15"/>
      <c r="R12" s="277">
        <f>R7-R9</f>
        <v>172568</v>
      </c>
      <c r="S12" s="14">
        <f t="shared" ref="S12:AC12" si="26">S7+S10-S9-S48</f>
        <v>244205</v>
      </c>
      <c r="T12" s="14">
        <f t="shared" si="26"/>
        <v>237108</v>
      </c>
      <c r="U12" s="14">
        <f t="shared" si="26"/>
        <v>222510</v>
      </c>
      <c r="V12" s="14">
        <f t="shared" si="26"/>
        <v>179647</v>
      </c>
      <c r="W12" s="14">
        <f t="shared" si="26"/>
        <v>289587</v>
      </c>
      <c r="X12" s="14">
        <f t="shared" si="26"/>
        <v>281331</v>
      </c>
      <c r="Y12" s="14">
        <f t="shared" si="26"/>
        <v>325686</v>
      </c>
      <c r="Z12" s="14">
        <f t="shared" si="26"/>
        <v>319329</v>
      </c>
      <c r="AA12" s="14">
        <f t="shared" si="26"/>
        <v>268663</v>
      </c>
      <c r="AB12" s="14">
        <f t="shared" si="26"/>
        <v>187543</v>
      </c>
      <c r="AC12" s="14">
        <f t="shared" si="26"/>
        <v>196995</v>
      </c>
      <c r="AD12" s="263">
        <f>X12</f>
        <v>281331</v>
      </c>
      <c r="AE12" s="16"/>
      <c r="AF12" s="14">
        <f t="shared" ref="AF12:AQ12" si="27">AF7+AF9+AF8</f>
        <v>228387</v>
      </c>
      <c r="AG12" s="14">
        <f t="shared" si="27"/>
        <v>263548</v>
      </c>
      <c r="AH12" s="14">
        <f t="shared" si="27"/>
        <v>366224</v>
      </c>
      <c r="AI12" s="14">
        <f t="shared" si="27"/>
        <v>361348</v>
      </c>
      <c r="AJ12" s="14">
        <f t="shared" si="27"/>
        <v>384008</v>
      </c>
      <c r="AK12" s="14">
        <f t="shared" si="27"/>
        <v>434489</v>
      </c>
      <c r="AL12" s="14">
        <f t="shared" si="27"/>
        <v>436438</v>
      </c>
      <c r="AM12" s="14">
        <f t="shared" si="27"/>
        <v>463198</v>
      </c>
      <c r="AN12" s="14">
        <f t="shared" si="27"/>
        <v>425121</v>
      </c>
      <c r="AO12" s="14">
        <f t="shared" si="27"/>
        <v>355477</v>
      </c>
      <c r="AP12" s="14">
        <f t="shared" si="27"/>
        <v>288104</v>
      </c>
      <c r="AQ12" s="14">
        <f t="shared" si="27"/>
        <v>298855</v>
      </c>
      <c r="AR12" s="14">
        <f t="shared" si="3"/>
        <v>298855</v>
      </c>
      <c r="AS12" s="17"/>
      <c r="AT12" s="14">
        <f t="shared" ref="AT12:BE12" si="28">AT7+AT9+AT8</f>
        <v>326269</v>
      </c>
      <c r="AU12" s="14">
        <f t="shared" si="28"/>
        <v>301870</v>
      </c>
      <c r="AV12" s="14">
        <f t="shared" si="28"/>
        <v>285491</v>
      </c>
      <c r="AW12" s="14">
        <f t="shared" si="28"/>
        <v>267653</v>
      </c>
      <c r="AX12" s="14">
        <f t="shared" si="28"/>
        <v>273960</v>
      </c>
      <c r="AY12" s="14">
        <f t="shared" si="28"/>
        <v>326260</v>
      </c>
      <c r="AZ12" s="14">
        <f t="shared" si="28"/>
        <v>333221</v>
      </c>
      <c r="BA12" s="14">
        <f t="shared" si="28"/>
        <v>354862</v>
      </c>
      <c r="BB12" s="14">
        <f t="shared" si="28"/>
        <v>348162</v>
      </c>
      <c r="BC12" s="14">
        <f t="shared" si="28"/>
        <v>319093</v>
      </c>
      <c r="BD12" s="14">
        <f t="shared" si="28"/>
        <v>293379</v>
      </c>
      <c r="BE12" s="14">
        <f t="shared" si="28"/>
        <v>234110</v>
      </c>
      <c r="BF12" s="32">
        <f t="shared" ref="BF12:BF13" si="29">SUM(AT12:BE12)</f>
        <v>3664330</v>
      </c>
      <c r="BG12" s="17"/>
      <c r="BH12" s="14">
        <f t="shared" ref="BH12:BS12" si="30">BH7+BH9+BH8</f>
        <v>285296</v>
      </c>
      <c r="BI12" s="14">
        <f t="shared" si="30"/>
        <v>282956</v>
      </c>
      <c r="BJ12" s="14">
        <f t="shared" si="30"/>
        <v>295165</v>
      </c>
      <c r="BK12" s="14">
        <f t="shared" si="30"/>
        <v>286135</v>
      </c>
      <c r="BL12" s="14">
        <f t="shared" si="30"/>
        <v>250340</v>
      </c>
      <c r="BM12" s="14">
        <f t="shared" si="30"/>
        <v>247600</v>
      </c>
      <c r="BN12" s="14">
        <f t="shared" si="30"/>
        <v>293505</v>
      </c>
      <c r="BO12" s="14">
        <f t="shared" si="30"/>
        <v>274542</v>
      </c>
      <c r="BP12" s="14">
        <f t="shared" si="30"/>
        <v>260352</v>
      </c>
      <c r="BQ12" s="14">
        <f>BQ7+BQ9+BQ8</f>
        <v>238595</v>
      </c>
      <c r="BR12" s="14">
        <f t="shared" si="30"/>
        <v>187546</v>
      </c>
      <c r="BS12" s="14">
        <f t="shared" si="30"/>
        <v>189617</v>
      </c>
      <c r="BT12" s="14">
        <f t="shared" si="18"/>
        <v>189617</v>
      </c>
      <c r="BU12" s="18"/>
      <c r="BV12" s="14">
        <f t="shared" ref="BV12:CG12" si="31">BV7+BV9+BV8</f>
        <v>224424</v>
      </c>
      <c r="BW12" s="14">
        <f t="shared" si="31"/>
        <v>0</v>
      </c>
      <c r="BX12" s="14">
        <f t="shared" si="31"/>
        <v>0</v>
      </c>
      <c r="BY12" s="14">
        <f t="shared" si="31"/>
        <v>0</v>
      </c>
      <c r="BZ12" s="14">
        <f t="shared" si="31"/>
        <v>0</v>
      </c>
      <c r="CA12" s="14">
        <f t="shared" si="31"/>
        <v>0</v>
      </c>
      <c r="CB12" s="14">
        <f t="shared" si="31"/>
        <v>0</v>
      </c>
      <c r="CC12" s="14">
        <f t="shared" si="31"/>
        <v>0</v>
      </c>
      <c r="CD12" s="14">
        <f t="shared" si="31"/>
        <v>0</v>
      </c>
      <c r="CE12" s="14">
        <f t="shared" si="31"/>
        <v>0</v>
      </c>
      <c r="CF12" s="14">
        <f t="shared" si="31"/>
        <v>0</v>
      </c>
      <c r="CG12" s="14">
        <f t="shared" si="31"/>
        <v>0</v>
      </c>
      <c r="CH12" s="14">
        <f t="shared" si="8"/>
        <v>0</v>
      </c>
      <c r="CJ12" s="14">
        <v>224424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</row>
    <row r="13" spans="1:100">
      <c r="A13" s="34" t="s">
        <v>44</v>
      </c>
      <c r="B13" s="278"/>
      <c r="C13" s="445" t="s">
        <v>45</v>
      </c>
      <c r="D13" s="277">
        <f t="shared" ref="D13:O13" si="32">D6-D10-D9</f>
        <v>264261</v>
      </c>
      <c r="E13" s="33">
        <f t="shared" si="32"/>
        <v>275849</v>
      </c>
      <c r="F13" s="33">
        <f t="shared" si="32"/>
        <v>280253</v>
      </c>
      <c r="G13" s="33">
        <f t="shared" si="32"/>
        <v>256146</v>
      </c>
      <c r="H13" s="33">
        <f t="shared" si="32"/>
        <v>282462</v>
      </c>
      <c r="I13" s="33">
        <f t="shared" si="32"/>
        <v>336508</v>
      </c>
      <c r="J13" s="33">
        <f t="shared" si="32"/>
        <v>394861</v>
      </c>
      <c r="K13" s="33">
        <f t="shared" si="32"/>
        <v>399944</v>
      </c>
      <c r="L13" s="33">
        <f t="shared" si="32"/>
        <v>403515</v>
      </c>
      <c r="M13" s="33">
        <f t="shared" si="32"/>
        <v>254037</v>
      </c>
      <c r="N13" s="33">
        <f t="shared" si="32"/>
        <v>0</v>
      </c>
      <c r="O13" s="33">
        <f t="shared" si="32"/>
        <v>188264</v>
      </c>
      <c r="P13" s="262">
        <f t="shared" ref="P13:P14" si="33">O13</f>
        <v>188264</v>
      </c>
      <c r="Q13" s="15"/>
      <c r="R13" s="277">
        <f t="shared" ref="R13:AC13" si="34">R6-R10-R9</f>
        <v>244467</v>
      </c>
      <c r="S13" s="14">
        <f t="shared" si="34"/>
        <v>295020</v>
      </c>
      <c r="T13" s="14">
        <f t="shared" si="34"/>
        <v>254796</v>
      </c>
      <c r="U13" s="14">
        <f t="shared" si="34"/>
        <v>240747</v>
      </c>
      <c r="V13" s="14">
        <f t="shared" si="34"/>
        <v>104747</v>
      </c>
      <c r="W13" s="14">
        <f t="shared" si="34"/>
        <v>162106</v>
      </c>
      <c r="X13" s="14">
        <f t="shared" si="34"/>
        <v>340068</v>
      </c>
      <c r="Y13" s="14">
        <f t="shared" si="34"/>
        <v>322792</v>
      </c>
      <c r="Z13" s="14">
        <f t="shared" si="34"/>
        <v>330677</v>
      </c>
      <c r="AA13" s="14">
        <f t="shared" si="34"/>
        <v>229141</v>
      </c>
      <c r="AB13" s="14">
        <f t="shared" si="34"/>
        <v>126169</v>
      </c>
      <c r="AC13" s="14">
        <f t="shared" si="34"/>
        <v>173047</v>
      </c>
      <c r="AD13" s="263">
        <f t="shared" ref="AD13:AD14" si="35">AC13</f>
        <v>173047</v>
      </c>
      <c r="AE13" s="16"/>
      <c r="AF13" s="261">
        <f t="shared" ref="AF13:AQ13" si="36">AF12-AF9</f>
        <v>220021</v>
      </c>
      <c r="AG13" s="261">
        <f t="shared" si="36"/>
        <v>252014</v>
      </c>
      <c r="AH13" s="261">
        <f t="shared" si="36"/>
        <v>354717</v>
      </c>
      <c r="AI13" s="261">
        <f t="shared" si="36"/>
        <v>352200</v>
      </c>
      <c r="AJ13" s="261">
        <f t="shared" si="36"/>
        <v>375484</v>
      </c>
      <c r="AK13" s="261">
        <f t="shared" si="36"/>
        <v>409199</v>
      </c>
      <c r="AL13" s="261">
        <f t="shared" si="36"/>
        <v>345358</v>
      </c>
      <c r="AM13" s="261">
        <f t="shared" si="36"/>
        <v>396368</v>
      </c>
      <c r="AN13" s="261">
        <f t="shared" si="36"/>
        <v>388255</v>
      </c>
      <c r="AO13" s="261">
        <f t="shared" si="36"/>
        <v>339304</v>
      </c>
      <c r="AP13" s="261">
        <f t="shared" si="36"/>
        <v>109830</v>
      </c>
      <c r="AQ13" s="261">
        <f t="shared" si="36"/>
        <v>88190</v>
      </c>
      <c r="AR13" s="14">
        <f t="shared" si="3"/>
        <v>88190</v>
      </c>
      <c r="AS13" s="17"/>
      <c r="AT13" s="261">
        <f t="shared" ref="AT13:BE13" si="37">AT12-AT9</f>
        <v>205194</v>
      </c>
      <c r="AU13" s="261">
        <f t="shared" si="37"/>
        <v>152494</v>
      </c>
      <c r="AV13" s="261">
        <f t="shared" si="37"/>
        <v>180953</v>
      </c>
      <c r="AW13" s="261">
        <f t="shared" si="37"/>
        <v>162391</v>
      </c>
      <c r="AX13" s="261">
        <f t="shared" si="37"/>
        <v>152887</v>
      </c>
      <c r="AY13" s="261">
        <f t="shared" si="37"/>
        <v>162329</v>
      </c>
      <c r="AZ13" s="261">
        <f t="shared" si="37"/>
        <v>223257</v>
      </c>
      <c r="BA13" s="261">
        <f t="shared" si="37"/>
        <v>206596</v>
      </c>
      <c r="BB13" s="261">
        <f t="shared" si="37"/>
        <v>217465</v>
      </c>
      <c r="BC13" s="261">
        <f t="shared" si="37"/>
        <v>205314</v>
      </c>
      <c r="BD13" s="261">
        <f t="shared" si="37"/>
        <v>202260</v>
      </c>
      <c r="BE13" s="261">
        <f t="shared" si="37"/>
        <v>130824</v>
      </c>
      <c r="BF13" s="32">
        <f t="shared" si="29"/>
        <v>2201964</v>
      </c>
      <c r="BG13" s="35">
        <f>SUM(AT16:AY16)/SUM(AF49:AK49)-1</f>
        <v>0.2283258050797119</v>
      </c>
      <c r="BH13" s="416">
        <f t="shared" ref="BH13:BS13" si="38">BH12-BH9</f>
        <v>235665</v>
      </c>
      <c r="BI13" s="416">
        <f t="shared" si="38"/>
        <v>230003</v>
      </c>
      <c r="BJ13" s="416">
        <f t="shared" si="38"/>
        <v>266725</v>
      </c>
      <c r="BK13" s="416">
        <f t="shared" si="38"/>
        <v>202534</v>
      </c>
      <c r="BL13" s="417">
        <f t="shared" si="38"/>
        <v>224528</v>
      </c>
      <c r="BM13" s="417">
        <f t="shared" si="38"/>
        <v>188055</v>
      </c>
      <c r="BN13" s="417">
        <f t="shared" si="38"/>
        <v>210070</v>
      </c>
      <c r="BO13" s="417">
        <f t="shared" si="38"/>
        <v>240501</v>
      </c>
      <c r="BP13" s="417">
        <f t="shared" si="38"/>
        <v>237953</v>
      </c>
      <c r="BQ13" s="417">
        <f t="shared" si="38"/>
        <v>213708</v>
      </c>
      <c r="BR13" s="417">
        <f t="shared" si="38"/>
        <v>175363</v>
      </c>
      <c r="BS13" s="417">
        <f t="shared" si="38"/>
        <v>177434</v>
      </c>
      <c r="BT13" s="417">
        <f t="shared" si="18"/>
        <v>177434</v>
      </c>
      <c r="BU13" s="18"/>
      <c r="BV13" s="261">
        <f t="shared" ref="BV13:CG13" si="39">BV12-BV9</f>
        <v>219208</v>
      </c>
      <c r="BW13" s="261">
        <f t="shared" si="39"/>
        <v>0</v>
      </c>
      <c r="BX13" s="261">
        <f t="shared" si="39"/>
        <v>0</v>
      </c>
      <c r="BY13" s="416">
        <f t="shared" si="39"/>
        <v>0</v>
      </c>
      <c r="BZ13" s="417">
        <f t="shared" si="39"/>
        <v>0</v>
      </c>
      <c r="CA13" s="417">
        <f t="shared" si="39"/>
        <v>0</v>
      </c>
      <c r="CB13" s="417">
        <f t="shared" si="39"/>
        <v>0</v>
      </c>
      <c r="CC13" s="417">
        <f t="shared" si="39"/>
        <v>0</v>
      </c>
      <c r="CD13" s="417">
        <f t="shared" si="39"/>
        <v>0</v>
      </c>
      <c r="CE13" s="417">
        <f t="shared" si="39"/>
        <v>0</v>
      </c>
      <c r="CF13" s="417">
        <f t="shared" si="39"/>
        <v>0</v>
      </c>
      <c r="CG13" s="417">
        <f t="shared" si="39"/>
        <v>0</v>
      </c>
      <c r="CH13" s="417">
        <f t="shared" si="8"/>
        <v>0</v>
      </c>
      <c r="CJ13" s="261">
        <v>219208</v>
      </c>
      <c r="CK13" s="261">
        <v>0</v>
      </c>
      <c r="CL13" s="261">
        <v>0</v>
      </c>
      <c r="CM13" s="416">
        <v>0</v>
      </c>
      <c r="CN13" s="417">
        <v>0</v>
      </c>
      <c r="CO13" s="417">
        <v>0</v>
      </c>
      <c r="CP13" s="417">
        <v>0</v>
      </c>
      <c r="CQ13" s="417">
        <v>0</v>
      </c>
      <c r="CR13" s="417">
        <v>0</v>
      </c>
      <c r="CS13" s="417">
        <v>0</v>
      </c>
      <c r="CT13" s="417">
        <v>0</v>
      </c>
      <c r="CU13" s="417">
        <v>0</v>
      </c>
      <c r="CV13" s="417">
        <v>0</v>
      </c>
    </row>
    <row r="14" spans="1:100" ht="15.75">
      <c r="A14" s="447" t="s">
        <v>46</v>
      </c>
      <c r="B14" s="448"/>
      <c r="C14" s="449" t="s">
        <v>47</v>
      </c>
      <c r="D14" s="281">
        <f t="shared" ref="D14:O14" si="40">D6</f>
        <v>304786</v>
      </c>
      <c r="E14" s="37">
        <f t="shared" si="40"/>
        <v>311986</v>
      </c>
      <c r="F14" s="37">
        <f t="shared" si="40"/>
        <v>328231</v>
      </c>
      <c r="G14" s="37">
        <f t="shared" si="40"/>
        <v>317873</v>
      </c>
      <c r="H14" s="37">
        <f t="shared" si="40"/>
        <v>347196</v>
      </c>
      <c r="I14" s="37">
        <f t="shared" si="40"/>
        <v>402253</v>
      </c>
      <c r="J14" s="37">
        <f t="shared" si="40"/>
        <v>454488</v>
      </c>
      <c r="K14" s="37">
        <f t="shared" si="40"/>
        <v>447182</v>
      </c>
      <c r="L14" s="37">
        <f t="shared" si="40"/>
        <v>416931</v>
      </c>
      <c r="M14" s="37">
        <f t="shared" si="40"/>
        <v>304402</v>
      </c>
      <c r="N14" s="37">
        <f t="shared" si="40"/>
        <v>0</v>
      </c>
      <c r="O14" s="37">
        <f t="shared" si="40"/>
        <v>188264</v>
      </c>
      <c r="P14" s="38">
        <f t="shared" si="33"/>
        <v>188264</v>
      </c>
      <c r="Q14" s="39"/>
      <c r="R14" s="40">
        <f t="shared" ref="R14:AC14" si="41">R6</f>
        <v>283359</v>
      </c>
      <c r="S14" s="41">
        <f t="shared" si="41"/>
        <v>342718</v>
      </c>
      <c r="T14" s="41">
        <f t="shared" si="41"/>
        <v>313212</v>
      </c>
      <c r="U14" s="41">
        <f t="shared" si="41"/>
        <v>298093</v>
      </c>
      <c r="V14" s="41">
        <f t="shared" si="41"/>
        <v>206617</v>
      </c>
      <c r="W14" s="41">
        <f t="shared" si="41"/>
        <v>235875</v>
      </c>
      <c r="X14" s="41">
        <f t="shared" si="41"/>
        <v>360135</v>
      </c>
      <c r="Y14" s="41">
        <f t="shared" si="41"/>
        <v>361665</v>
      </c>
      <c r="Z14" s="41">
        <f t="shared" si="41"/>
        <v>353400</v>
      </c>
      <c r="AA14" s="41">
        <f t="shared" si="41"/>
        <v>272097</v>
      </c>
      <c r="AB14" s="41">
        <f t="shared" si="41"/>
        <v>170626</v>
      </c>
      <c r="AC14" s="41">
        <f t="shared" si="41"/>
        <v>197551</v>
      </c>
      <c r="AD14" s="229">
        <f t="shared" si="35"/>
        <v>197551</v>
      </c>
      <c r="AE14" s="42"/>
      <c r="AF14" s="41">
        <f>AF6-AF48</f>
        <v>246973</v>
      </c>
      <c r="AG14" s="41">
        <f t="shared" ref="AG14:AQ14" si="42">AG6-AG48</f>
        <v>281087</v>
      </c>
      <c r="AH14" s="41">
        <f t="shared" si="42"/>
        <v>386469</v>
      </c>
      <c r="AI14" s="41">
        <f t="shared" si="42"/>
        <v>379017</v>
      </c>
      <c r="AJ14" s="41">
        <f t="shared" si="42"/>
        <v>400777</v>
      </c>
      <c r="AK14" s="41">
        <f t="shared" si="42"/>
        <v>465623</v>
      </c>
      <c r="AL14" s="41">
        <f t="shared" si="42"/>
        <v>472149</v>
      </c>
      <c r="AM14" s="41">
        <f t="shared" si="42"/>
        <v>492339</v>
      </c>
      <c r="AN14" s="41">
        <f t="shared" si="42"/>
        <v>450428</v>
      </c>
      <c r="AO14" s="41">
        <f t="shared" si="42"/>
        <v>391441</v>
      </c>
      <c r="AP14" s="41">
        <f t="shared" si="42"/>
        <v>325482</v>
      </c>
      <c r="AQ14" s="41">
        <f t="shared" si="42"/>
        <v>312076</v>
      </c>
      <c r="AR14" s="41">
        <f t="shared" si="3"/>
        <v>312076</v>
      </c>
      <c r="AS14" s="42"/>
      <c r="AT14" s="41">
        <f t="shared" ref="AT14:BB14" si="43">AT6-AT48</f>
        <v>243661</v>
      </c>
      <c r="AU14" s="41">
        <f t="shared" si="43"/>
        <v>233232</v>
      </c>
      <c r="AV14" s="41">
        <f t="shared" si="43"/>
        <v>218299</v>
      </c>
      <c r="AW14" s="41">
        <f t="shared" si="43"/>
        <v>233987</v>
      </c>
      <c r="AX14" s="41">
        <f t="shared" si="43"/>
        <v>261234</v>
      </c>
      <c r="AY14" s="41">
        <f t="shared" si="43"/>
        <v>282486</v>
      </c>
      <c r="AZ14" s="41">
        <f t="shared" si="43"/>
        <v>296055</v>
      </c>
      <c r="BA14" s="41">
        <f t="shared" si="43"/>
        <v>308825</v>
      </c>
      <c r="BB14" s="41">
        <f t="shared" si="43"/>
        <v>308406</v>
      </c>
      <c r="BC14" s="41">
        <f>BB14-BC16+BC59-BC48</f>
        <v>137005.70924434217</v>
      </c>
      <c r="BD14" s="41">
        <f>BC14-BD16+BD59-BD48</f>
        <v>94095.12236286921</v>
      </c>
      <c r="BE14" s="41">
        <f>BD14-BE16+BE59-BE48</f>
        <v>78605.509397775226</v>
      </c>
      <c r="BF14" s="41">
        <f>BE14</f>
        <v>78605.509397775226</v>
      </c>
      <c r="BG14" s="43">
        <f>BG16/AR16</f>
        <v>7.0333736034655189E-2</v>
      </c>
      <c r="BH14" s="41">
        <f t="shared" ref="BH14:BS14" si="44">BH6-BH48</f>
        <v>238108</v>
      </c>
      <c r="BI14" s="41">
        <f t="shared" si="44"/>
        <v>221646</v>
      </c>
      <c r="BJ14" s="41">
        <f t="shared" si="44"/>
        <v>221455</v>
      </c>
      <c r="BK14" s="41">
        <f t="shared" si="44"/>
        <v>227714</v>
      </c>
      <c r="BL14" s="41">
        <f t="shared" si="44"/>
        <v>252043</v>
      </c>
      <c r="BM14" s="41">
        <f t="shared" si="44"/>
        <v>242270</v>
      </c>
      <c r="BN14" s="41">
        <f t="shared" si="44"/>
        <v>242084</v>
      </c>
      <c r="BO14" s="41">
        <f t="shared" si="44"/>
        <v>221874</v>
      </c>
      <c r="BP14" s="41">
        <f t="shared" si="44"/>
        <v>176312</v>
      </c>
      <c r="BQ14" s="41">
        <f t="shared" si="44"/>
        <v>157414</v>
      </c>
      <c r="BR14" s="41">
        <f t="shared" si="44"/>
        <v>215852</v>
      </c>
      <c r="BS14" s="41">
        <f t="shared" si="44"/>
        <v>201165</v>
      </c>
      <c r="BT14" s="41">
        <f t="shared" si="18"/>
        <v>201165</v>
      </c>
      <c r="BU14" s="45"/>
      <c r="BV14" s="41">
        <f t="shared" ref="BV14:CG14" si="45">BV6-BV48</f>
        <v>247713</v>
      </c>
      <c r="BW14" s="41">
        <f t="shared" si="45"/>
        <v>234422.08006563294</v>
      </c>
      <c r="BX14" s="41">
        <f t="shared" si="45"/>
        <v>194348.7132915963</v>
      </c>
      <c r="BY14" s="41">
        <f t="shared" si="45"/>
        <v>223062.99421980139</v>
      </c>
      <c r="BZ14" s="41">
        <f t="shared" si="45"/>
        <v>228884.86858944659</v>
      </c>
      <c r="CA14" s="41">
        <f t="shared" si="45"/>
        <v>240669.78918926936</v>
      </c>
      <c r="CB14" s="41">
        <f t="shared" si="45"/>
        <v>234679.65868928705</v>
      </c>
      <c r="CC14" s="41">
        <f t="shared" si="45"/>
        <v>197008.01236523816</v>
      </c>
      <c r="CD14" s="41">
        <f t="shared" si="45"/>
        <v>148007.96159444697</v>
      </c>
      <c r="CE14" s="41">
        <f t="shared" si="45"/>
        <v>111276.29521213027</v>
      </c>
      <c r="CF14" s="41">
        <f t="shared" si="45"/>
        <v>93072.105643725808</v>
      </c>
      <c r="CG14" s="41">
        <f t="shared" si="45"/>
        <v>116080.10690622788</v>
      </c>
      <c r="CH14" s="41">
        <f t="shared" si="8"/>
        <v>116080.10690622788</v>
      </c>
      <c r="CJ14" s="41">
        <v>247713</v>
      </c>
      <c r="CK14" s="41">
        <v>234422.08006563294</v>
      </c>
      <c r="CL14" s="41">
        <v>194348.7132915963</v>
      </c>
      <c r="CM14" s="41">
        <v>223062.99421980139</v>
      </c>
      <c r="CN14" s="41">
        <v>228884.86858944659</v>
      </c>
      <c r="CO14" s="41">
        <v>240669.78918926936</v>
      </c>
      <c r="CP14" s="41">
        <v>234679.65868928705</v>
      </c>
      <c r="CQ14" s="41">
        <v>197008.01236523816</v>
      </c>
      <c r="CR14" s="41">
        <v>148007.96159444697</v>
      </c>
      <c r="CS14" s="41">
        <v>111276.29521213027</v>
      </c>
      <c r="CT14" s="41">
        <v>93072.105643725808</v>
      </c>
      <c r="CU14" s="41">
        <v>116080.10690622788</v>
      </c>
      <c r="CV14" s="41">
        <v>116080.10690622788</v>
      </c>
    </row>
    <row r="15" spans="1:100">
      <c r="A15" s="46"/>
      <c r="B15" s="47" t="s">
        <v>48</v>
      </c>
      <c r="C15" s="446"/>
      <c r="D15" s="283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284"/>
      <c r="Q15" s="49"/>
      <c r="R15" s="283"/>
      <c r="S15" s="50"/>
      <c r="T15" s="50"/>
      <c r="U15" s="50"/>
      <c r="V15" s="51"/>
      <c r="W15" s="51"/>
      <c r="X15" s="51"/>
      <c r="Y15" s="51"/>
      <c r="Z15" s="51"/>
      <c r="AA15" s="51"/>
      <c r="AB15" s="51"/>
      <c r="AC15" s="50"/>
      <c r="AD15" s="285"/>
      <c r="AE15" s="23"/>
      <c r="AF15" s="286">
        <f t="shared" ref="AF15:AP15" si="46">AF6/AG16</f>
        <v>1.3876680694696506</v>
      </c>
      <c r="AG15" s="286">
        <f t="shared" si="46"/>
        <v>3.8178718896012169</v>
      </c>
      <c r="AH15" s="286">
        <f t="shared" si="46"/>
        <v>4.3249513194118041</v>
      </c>
      <c r="AI15" s="286">
        <f t="shared" si="46"/>
        <v>3.1032881916583426</v>
      </c>
      <c r="AJ15" s="286">
        <f t="shared" si="46"/>
        <v>2.6977450188476038</v>
      </c>
      <c r="AK15" s="286">
        <f t="shared" si="46"/>
        <v>3.0634099805914667</v>
      </c>
      <c r="AL15" s="286">
        <f t="shared" si="46"/>
        <v>1.9763209336006664</v>
      </c>
      <c r="AM15" s="286">
        <f t="shared" si="46"/>
        <v>1.8853931580291039</v>
      </c>
      <c r="AN15" s="286">
        <f t="shared" si="46"/>
        <v>1.7601719421649082</v>
      </c>
      <c r="AO15" s="286">
        <f t="shared" si="46"/>
        <v>3.0429182213930348</v>
      </c>
      <c r="AP15" s="286">
        <f t="shared" si="46"/>
        <v>3.3266762060506951</v>
      </c>
      <c r="AQ15" s="286">
        <f>AQ6/AT16</f>
        <v>2.1015749668165311</v>
      </c>
      <c r="AR15" s="287">
        <f>AQ15</f>
        <v>2.1015749668165311</v>
      </c>
      <c r="AS15" s="23"/>
      <c r="AT15" s="286">
        <f>AT6/AU16</f>
        <v>2.078676878772272</v>
      </c>
      <c r="AU15" s="286">
        <f>AU6/AV16</f>
        <v>2.1017947592948043</v>
      </c>
      <c r="AV15" s="286">
        <f>AV6/AW16</f>
        <v>1.9297580364452378</v>
      </c>
      <c r="AW15" s="286">
        <f>AW6/AX16</f>
        <v>2.4377775525503322</v>
      </c>
      <c r="AX15" s="286">
        <f>AX6/AY16</f>
        <v>2.1450476831468146</v>
      </c>
      <c r="AY15" s="286">
        <f t="shared" ref="AY15:BD15" si="47">AY6/(AZ45+AZ44)</f>
        <v>2.0572684326974824</v>
      </c>
      <c r="AZ15" s="286">
        <f t="shared" si="47"/>
        <v>1.3749564207725904</v>
      </c>
      <c r="BA15" s="286">
        <f t="shared" si="47"/>
        <v>1.7107133445873244</v>
      </c>
      <c r="BB15" s="286">
        <f t="shared" si="47"/>
        <v>1.5052991529201962</v>
      </c>
      <c r="BC15" s="286">
        <f t="shared" si="47"/>
        <v>2.204984888462461</v>
      </c>
      <c r="BD15" s="286">
        <f t="shared" si="47"/>
        <v>4.1558308053625606</v>
      </c>
      <c r="BE15" s="286">
        <f>BE6/BH16</f>
        <v>1.6577023037190759</v>
      </c>
      <c r="BF15" s="52"/>
      <c r="BG15" s="27"/>
      <c r="BH15" s="418">
        <f t="shared" ref="BH15:BN15" si="48">BH6/BI16</f>
        <v>2.0944497544651477</v>
      </c>
      <c r="BI15" s="418">
        <f t="shared" si="48"/>
        <v>1.7607980924679776</v>
      </c>
      <c r="BJ15" s="418">
        <f t="shared" si="48"/>
        <v>1.9768264308549444</v>
      </c>
      <c r="BK15" s="418">
        <f t="shared" si="48"/>
        <v>2.3096926132416842</v>
      </c>
      <c r="BL15" s="418">
        <f t="shared" si="48"/>
        <v>2.3022524219030873</v>
      </c>
      <c r="BM15" s="418">
        <f t="shared" si="48"/>
        <v>1.710321617787782</v>
      </c>
      <c r="BN15" s="418">
        <f t="shared" si="48"/>
        <v>1.8673644886033884</v>
      </c>
      <c r="BO15" s="419"/>
      <c r="BP15" s="419"/>
      <c r="BQ15" s="419"/>
      <c r="BR15" s="419"/>
      <c r="BS15" s="419"/>
      <c r="BT15" s="419"/>
      <c r="BU15" s="54"/>
      <c r="BV15" s="286">
        <v>0</v>
      </c>
      <c r="BW15" s="286">
        <v>0</v>
      </c>
      <c r="BX15" s="286">
        <v>0</v>
      </c>
      <c r="BY15" s="418">
        <v>0</v>
      </c>
      <c r="BZ15" s="418">
        <v>0</v>
      </c>
      <c r="CA15" s="418">
        <v>0</v>
      </c>
      <c r="CB15" s="418">
        <v>0</v>
      </c>
      <c r="CC15" s="418">
        <v>0</v>
      </c>
      <c r="CD15" s="418">
        <v>0</v>
      </c>
      <c r="CE15" s="418">
        <v>0</v>
      </c>
      <c r="CF15" s="418">
        <v>0</v>
      </c>
      <c r="CG15" s="419"/>
      <c r="CH15" s="419"/>
      <c r="CJ15" s="286">
        <v>0</v>
      </c>
      <c r="CK15" s="286">
        <v>0</v>
      </c>
      <c r="CL15" s="286">
        <v>0</v>
      </c>
      <c r="CM15" s="418">
        <v>0</v>
      </c>
      <c r="CN15" s="418">
        <v>0</v>
      </c>
      <c r="CO15" s="418">
        <v>0</v>
      </c>
      <c r="CP15" s="418">
        <v>0</v>
      </c>
      <c r="CQ15" s="418">
        <v>0</v>
      </c>
      <c r="CR15" s="418">
        <v>0</v>
      </c>
      <c r="CS15" s="418">
        <v>0</v>
      </c>
      <c r="CT15" s="418">
        <v>0</v>
      </c>
      <c r="CU15" s="419"/>
      <c r="CV15" s="419"/>
    </row>
    <row r="16" spans="1:100" ht="15.75">
      <c r="A16" s="55">
        <v>6</v>
      </c>
      <c r="B16" s="56" t="s">
        <v>49</v>
      </c>
      <c r="C16" s="280"/>
      <c r="D16" s="288">
        <f t="shared" ref="D16:P16" si="49">SUM(D20:D42)</f>
        <v>82250</v>
      </c>
      <c r="E16" s="57">
        <f t="shared" si="49"/>
        <v>117000</v>
      </c>
      <c r="F16" s="57">
        <f t="shared" si="49"/>
        <v>121750</v>
      </c>
      <c r="G16" s="57">
        <f t="shared" si="49"/>
        <v>150000</v>
      </c>
      <c r="H16" s="57">
        <f t="shared" si="49"/>
        <v>99500</v>
      </c>
      <c r="I16" s="57">
        <f t="shared" si="49"/>
        <v>102000</v>
      </c>
      <c r="J16" s="57">
        <f t="shared" si="49"/>
        <v>177632</v>
      </c>
      <c r="K16" s="57">
        <f t="shared" si="49"/>
        <v>178158</v>
      </c>
      <c r="L16" s="57">
        <f t="shared" si="49"/>
        <v>199211</v>
      </c>
      <c r="M16" s="57">
        <f t="shared" si="49"/>
        <v>229474</v>
      </c>
      <c r="N16" s="57">
        <f t="shared" si="49"/>
        <v>122368</v>
      </c>
      <c r="O16" s="57">
        <f t="shared" si="49"/>
        <v>38421</v>
      </c>
      <c r="P16" s="289">
        <f t="shared" si="49"/>
        <v>1617764</v>
      </c>
      <c r="Q16" s="39"/>
      <c r="R16" s="288">
        <f t="shared" ref="R16:AC16" si="50">R20+R43</f>
        <v>136177.33998294926</v>
      </c>
      <c r="S16" s="58">
        <f t="shared" si="50"/>
        <v>143840.32639116928</v>
      </c>
      <c r="T16" s="58">
        <f t="shared" si="50"/>
        <v>142553.77192982455</v>
      </c>
      <c r="U16" s="58">
        <f t="shared" si="50"/>
        <v>19814.899999999998</v>
      </c>
      <c r="V16" s="58">
        <f t="shared" si="50"/>
        <v>52085</v>
      </c>
      <c r="W16" s="290">
        <f t="shared" si="50"/>
        <v>70169.381950239796</v>
      </c>
      <c r="X16" s="290">
        <f t="shared" si="50"/>
        <v>144463.33333333299</v>
      </c>
      <c r="Y16" s="290">
        <f t="shared" si="50"/>
        <v>226547.08333333331</v>
      </c>
      <c r="Z16" s="290">
        <f t="shared" si="50"/>
        <v>273187.5</v>
      </c>
      <c r="AA16" s="290">
        <f t="shared" si="50"/>
        <v>172100</v>
      </c>
      <c r="AB16" s="290">
        <f t="shared" si="50"/>
        <v>37500</v>
      </c>
      <c r="AC16" s="290">
        <f t="shared" si="50"/>
        <v>0</v>
      </c>
      <c r="AD16" s="291">
        <f>SUM(R16:AC16)</f>
        <v>1418438.6369208493</v>
      </c>
      <c r="AE16" s="59"/>
      <c r="AF16" s="292">
        <f>AF20+AF43</f>
        <v>128646</v>
      </c>
      <c r="AG16" s="58">
        <f t="shared" ref="AG16:AQ16" si="51">AG20+AG43</f>
        <v>177977</v>
      </c>
      <c r="AH16" s="58">
        <f t="shared" si="51"/>
        <v>73624</v>
      </c>
      <c r="AI16" s="58">
        <f t="shared" si="51"/>
        <v>89358</v>
      </c>
      <c r="AJ16" s="58">
        <f t="shared" si="51"/>
        <v>122134</v>
      </c>
      <c r="AK16" s="58">
        <f t="shared" si="51"/>
        <v>148560</v>
      </c>
      <c r="AL16" s="58">
        <f t="shared" si="51"/>
        <v>151995</v>
      </c>
      <c r="AM16" s="58">
        <f t="shared" si="51"/>
        <v>238903</v>
      </c>
      <c r="AN16" s="58">
        <f t="shared" si="51"/>
        <v>261133.33333333334</v>
      </c>
      <c r="AO16" s="58">
        <f t="shared" si="51"/>
        <v>255900</v>
      </c>
      <c r="AP16" s="58">
        <f t="shared" si="51"/>
        <v>128640</v>
      </c>
      <c r="AQ16" s="58">
        <f t="shared" si="51"/>
        <v>97840</v>
      </c>
      <c r="AR16" s="58">
        <f>SUM(AF16:AQ16)</f>
        <v>1874710.3333333333</v>
      </c>
      <c r="AS16" s="59"/>
      <c r="AT16" s="58">
        <f t="shared" ref="AT16:BD16" si="52">AT20+AT43</f>
        <v>152749.25</v>
      </c>
      <c r="AU16" s="58">
        <f t="shared" si="52"/>
        <v>168522.10344827586</v>
      </c>
      <c r="AV16" s="58">
        <f t="shared" si="52"/>
        <v>154121.13793103449</v>
      </c>
      <c r="AW16" s="58">
        <f t="shared" si="52"/>
        <v>159595.13793103449</v>
      </c>
      <c r="AX16" s="58">
        <f t="shared" si="52"/>
        <v>120099.96551724138</v>
      </c>
      <c r="AY16" s="58">
        <f t="shared" si="52"/>
        <v>138343.77777777778</v>
      </c>
      <c r="AZ16" s="58">
        <f t="shared" si="52"/>
        <v>166673.77777777778</v>
      </c>
      <c r="BA16" s="58">
        <f t="shared" si="52"/>
        <v>242442.29629629629</v>
      </c>
      <c r="BB16" s="58">
        <f t="shared" si="52"/>
        <v>243407.77777777778</v>
      </c>
      <c r="BC16" s="58">
        <f t="shared" si="52"/>
        <v>253368.29075565783</v>
      </c>
      <c r="BD16" s="58">
        <f t="shared" si="52"/>
        <v>134555.58688147296</v>
      </c>
      <c r="BE16" s="58">
        <f>BE20+BE44</f>
        <v>72686.612965093984</v>
      </c>
      <c r="BF16" s="58">
        <f t="shared" ref="BF16:BF18" si="53">SUM(AT16:BE16)</f>
        <v>2006565.7150594404</v>
      </c>
      <c r="BG16" s="59">
        <f>BF16-AR16</f>
        <v>131855.38172610709</v>
      </c>
      <c r="BH16" s="58">
        <f>BH17+BH43</f>
        <v>152753</v>
      </c>
      <c r="BI16" s="58">
        <f t="shared" ref="BI16:BN16" si="54">BI17+BI43</f>
        <v>146822.33333333331</v>
      </c>
      <c r="BJ16" s="58">
        <f t="shared" si="54"/>
        <v>171546.07407407407</v>
      </c>
      <c r="BK16" s="58">
        <f t="shared" si="54"/>
        <v>159771.74074074073</v>
      </c>
      <c r="BL16" s="58">
        <f t="shared" si="54"/>
        <v>132496.85185185185</v>
      </c>
      <c r="BM16" s="58">
        <f t="shared" si="54"/>
        <v>129906.25925925926</v>
      </c>
      <c r="BN16" s="58">
        <f t="shared" si="54"/>
        <v>171383.55555555556</v>
      </c>
      <c r="BO16" s="58">
        <f>BO17+BO44</f>
        <v>179550.37811111109</v>
      </c>
      <c r="BP16" s="58">
        <f>BP17+BP44</f>
        <v>202053.74953703705</v>
      </c>
      <c r="BQ16" s="58">
        <f>BQ17+BQ44</f>
        <v>163865</v>
      </c>
      <c r="BR16" s="58">
        <f>BR17+BR44</f>
        <v>175620.6</v>
      </c>
      <c r="BS16" s="58">
        <v>92285.6</v>
      </c>
      <c r="BT16" s="58">
        <f t="shared" ref="BT16:BT18" si="55">SUM(BH16:BS16)</f>
        <v>1878055.142462963</v>
      </c>
      <c r="BU16" s="60"/>
      <c r="BV16" s="58">
        <f>BV20+(BV44)*$CI$16</f>
        <v>157964.2809653038</v>
      </c>
      <c r="BW16" s="58">
        <f t="shared" ref="BW16:CG16" si="56">BW20+(BW44)*$CI$16</f>
        <v>146290.91993436706</v>
      </c>
      <c r="BX16" s="58">
        <f t="shared" si="56"/>
        <v>187073.36677403664</v>
      </c>
      <c r="BY16" s="58">
        <f t="shared" si="56"/>
        <v>151285.71907179488</v>
      </c>
      <c r="BZ16" s="58">
        <f t="shared" si="56"/>
        <v>144178.1256303548</v>
      </c>
      <c r="CA16" s="58">
        <f t="shared" si="56"/>
        <v>138215.07940017723</v>
      </c>
      <c r="CB16" s="58">
        <f t="shared" si="56"/>
        <v>178490.1304999823</v>
      </c>
      <c r="CC16" s="58">
        <f t="shared" si="56"/>
        <v>195171.64632404887</v>
      </c>
      <c r="CD16" s="58">
        <f t="shared" si="56"/>
        <v>206500.05077079119</v>
      </c>
      <c r="CE16" s="58">
        <f t="shared" si="56"/>
        <v>209231.6663823167</v>
      </c>
      <c r="CF16" s="58">
        <f t="shared" si="56"/>
        <v>168204.18956840446</v>
      </c>
      <c r="CG16" s="58">
        <f t="shared" si="56"/>
        <v>74491.998737497925</v>
      </c>
      <c r="CH16" s="58">
        <f t="shared" ref="CH16:CH17" si="57">SUM(BV16:CG16)</f>
        <v>1957097.174059076</v>
      </c>
      <c r="CI16">
        <v>0.95</v>
      </c>
      <c r="CJ16" s="58">
        <f>BV16*1.1</f>
        <v>173760.7090618342</v>
      </c>
      <c r="CK16" s="58">
        <f t="shared" ref="CK16:CU16" si="58">BW16*1.1</f>
        <v>160920.01192780377</v>
      </c>
      <c r="CL16" s="58">
        <f t="shared" si="58"/>
        <v>205780.70345144032</v>
      </c>
      <c r="CM16" s="58">
        <f t="shared" si="58"/>
        <v>166414.29097897437</v>
      </c>
      <c r="CN16" s="58">
        <f t="shared" si="58"/>
        <v>158595.93819339029</v>
      </c>
      <c r="CO16" s="58">
        <f t="shared" si="58"/>
        <v>152036.58734019496</v>
      </c>
      <c r="CP16" s="58">
        <f t="shared" si="58"/>
        <v>196339.14354998054</v>
      </c>
      <c r="CQ16" s="58">
        <f t="shared" si="58"/>
        <v>214688.81095645376</v>
      </c>
      <c r="CR16" s="58">
        <f t="shared" si="58"/>
        <v>227150.05584787033</v>
      </c>
      <c r="CS16" s="58">
        <f t="shared" si="58"/>
        <v>230154.83302054839</v>
      </c>
      <c r="CT16" s="58">
        <f t="shared" si="58"/>
        <v>185024.60852524493</v>
      </c>
      <c r="CU16" s="58">
        <f t="shared" si="58"/>
        <v>81941.198611247717</v>
      </c>
      <c r="CV16" s="58">
        <v>1957097.174059076</v>
      </c>
    </row>
    <row r="17" spans="1:100">
      <c r="A17" s="61"/>
      <c r="B17" s="62" t="s">
        <v>51</v>
      </c>
      <c r="C17" s="293"/>
      <c r="D17" s="294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295"/>
      <c r="Q17" s="64"/>
      <c r="R17" s="294"/>
      <c r="S17" s="65"/>
      <c r="T17" s="65"/>
      <c r="U17" s="65"/>
      <c r="V17" s="296"/>
      <c r="W17" s="297"/>
      <c r="X17" s="297"/>
      <c r="Y17" s="297"/>
      <c r="Z17" s="297"/>
      <c r="AA17" s="297"/>
      <c r="AB17" s="297"/>
      <c r="AC17" s="66"/>
      <c r="AD17" s="67"/>
      <c r="AE17" s="68"/>
      <c r="AF17" s="298"/>
      <c r="AG17" s="65"/>
      <c r="AH17" s="65"/>
      <c r="AI17" s="65"/>
      <c r="AJ17" s="296"/>
      <c r="AK17" s="296"/>
      <c r="AL17" s="296"/>
      <c r="AM17" s="296"/>
      <c r="AN17" s="65"/>
      <c r="AO17" s="65"/>
      <c r="AP17" s="65"/>
      <c r="AQ17" s="65"/>
      <c r="AR17" s="299"/>
      <c r="AS17" s="68"/>
      <c r="AT17" s="65"/>
      <c r="AU17" s="65"/>
      <c r="AV17" s="65"/>
      <c r="AW17" s="65"/>
      <c r="AX17" s="65"/>
      <c r="AY17" s="69">
        <f t="shared" ref="AY17:BA17" si="59">AY20+AY44</f>
        <v>119777.77777777778</v>
      </c>
      <c r="AZ17" s="69">
        <f t="shared" si="59"/>
        <v>150777.77777777778</v>
      </c>
      <c r="BA17" s="69">
        <f t="shared" si="59"/>
        <v>233098.4962962963</v>
      </c>
      <c r="BB17" s="69">
        <f>BB18/BB19</f>
        <v>210777.77777777778</v>
      </c>
      <c r="BC17" s="69">
        <f>BC20+BC44</f>
        <v>249806.29075565783</v>
      </c>
      <c r="BD17" s="69">
        <f t="shared" ref="BD17:BE17" si="60">BD20+BD44*0.85</f>
        <v>122960.58688147296</v>
      </c>
      <c r="BE17" s="69">
        <f t="shared" si="60"/>
        <v>66386.612965093984</v>
      </c>
      <c r="BF17" s="69">
        <f t="shared" si="53"/>
        <v>1153585.3202318544</v>
      </c>
      <c r="BG17" s="68"/>
      <c r="BH17" s="69">
        <f>BH18/BH19-0.1*BH18/BH19</f>
        <v>116600</v>
      </c>
      <c r="BI17" s="69">
        <f t="shared" ref="BI17" si="61">BI18/BI19-0.1*BI18/BI19</f>
        <v>111533.33333333333</v>
      </c>
      <c r="BJ17" s="69">
        <f t="shared" ref="BJ17:BP17" si="62">BJ18/BJ19-0.05*BJ18/BJ19</f>
        <v>135674.07407407407</v>
      </c>
      <c r="BK17" s="69">
        <f t="shared" si="62"/>
        <v>121740.74074074074</v>
      </c>
      <c r="BL17" s="69">
        <f t="shared" si="62"/>
        <v>93926.851851851854</v>
      </c>
      <c r="BM17" s="69">
        <f t="shared" si="62"/>
        <v>90679.259259259255</v>
      </c>
      <c r="BN17" s="69">
        <f t="shared" si="62"/>
        <v>130255.55555555556</v>
      </c>
      <c r="BO17" s="69">
        <f t="shared" si="62"/>
        <v>150550.37811111109</v>
      </c>
      <c r="BP17" s="69">
        <f t="shared" si="62"/>
        <v>161830.74953703705</v>
      </c>
      <c r="BQ17" s="69">
        <v>127130</v>
      </c>
      <c r="BR17" s="69">
        <v>138687.6</v>
      </c>
      <c r="BS17" s="69">
        <v>43639.199999999997</v>
      </c>
      <c r="BT17" s="69">
        <f t="shared" si="55"/>
        <v>1422247.7424629631</v>
      </c>
      <c r="BU17" s="54"/>
      <c r="BV17" s="69">
        <f>BV20+BV43</f>
        <v>166555.77995873816</v>
      </c>
      <c r="BW17" s="69">
        <f>BW20+BW43</f>
        <v>152835.36924465047</v>
      </c>
      <c r="BX17" s="69">
        <f t="shared" ref="BX17:CG17" si="63">BX20+BX43</f>
        <v>195319.2072937729</v>
      </c>
      <c r="BY17" s="69">
        <f t="shared" si="63"/>
        <v>158396.18906207831</v>
      </c>
      <c r="BZ17" s="69">
        <f t="shared" si="63"/>
        <v>152371.51475009107</v>
      </c>
      <c r="CA17" s="69">
        <f t="shared" si="63"/>
        <v>147696.01107361159</v>
      </c>
      <c r="CB17" s="69">
        <f t="shared" si="63"/>
        <v>189465.0513586243</v>
      </c>
      <c r="CC17" s="69">
        <f t="shared" si="63"/>
        <v>202914.10079748323</v>
      </c>
      <c r="CD17" s="69">
        <f t="shared" si="63"/>
        <v>214499.61628422557</v>
      </c>
      <c r="CE17" s="69">
        <f t="shared" si="63"/>
        <v>217682.99793575107</v>
      </c>
      <c r="CF17" s="69">
        <f t="shared" si="63"/>
        <v>179284.72030485788</v>
      </c>
      <c r="CG17" s="69">
        <f t="shared" si="63"/>
        <v>88389.319383536102</v>
      </c>
      <c r="CH17" s="69">
        <f t="shared" si="57"/>
        <v>2065409.8774474205</v>
      </c>
      <c r="CI17" s="395">
        <f>(CH17-BT50)/BT50</f>
        <v>0.48621753003500767</v>
      </c>
      <c r="CJ17" s="69">
        <v>166555.77995873816</v>
      </c>
      <c r="CK17" s="69">
        <v>152835.36924465047</v>
      </c>
      <c r="CL17" s="69">
        <v>195319.2072937729</v>
      </c>
      <c r="CM17" s="69">
        <v>158396.18906207831</v>
      </c>
      <c r="CN17" s="69">
        <v>152371.51475009107</v>
      </c>
      <c r="CO17" s="69">
        <v>147696.01107361159</v>
      </c>
      <c r="CP17" s="69">
        <v>189465.0513586243</v>
      </c>
      <c r="CQ17" s="69">
        <v>202914.10079748323</v>
      </c>
      <c r="CR17" s="69">
        <v>214499.61628422557</v>
      </c>
      <c r="CS17" s="69">
        <v>217682.99793575107</v>
      </c>
      <c r="CT17" s="69">
        <v>179284.72030485788</v>
      </c>
      <c r="CU17" s="69">
        <v>88389.319383536102</v>
      </c>
      <c r="CV17" s="69">
        <v>2065409.8774474205</v>
      </c>
    </row>
    <row r="18" spans="1:100">
      <c r="A18" s="61"/>
      <c r="B18" s="62" t="s">
        <v>52</v>
      </c>
      <c r="C18" s="293"/>
      <c r="D18" s="294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295"/>
      <c r="Q18" s="64"/>
      <c r="R18" s="294"/>
      <c r="S18" s="65"/>
      <c r="T18" s="65"/>
      <c r="U18" s="65"/>
      <c r="V18" s="296"/>
      <c r="W18" s="297"/>
      <c r="X18" s="297"/>
      <c r="Y18" s="297"/>
      <c r="Z18" s="297"/>
      <c r="AA18" s="297"/>
      <c r="AB18" s="297"/>
      <c r="AC18" s="66"/>
      <c r="AD18" s="67"/>
      <c r="AE18" s="68"/>
      <c r="AF18" s="298"/>
      <c r="AG18" s="65"/>
      <c r="AH18" s="65" t="s">
        <v>53</v>
      </c>
      <c r="AI18" s="65"/>
      <c r="AJ18" s="296"/>
      <c r="AK18" s="296"/>
      <c r="AL18" s="296"/>
      <c r="AM18" s="296"/>
      <c r="AN18" s="65">
        <v>6715000</v>
      </c>
      <c r="AO18" s="65">
        <v>6555000</v>
      </c>
      <c r="AP18" s="65">
        <v>2640000</v>
      </c>
      <c r="AQ18" s="65">
        <v>1302000</v>
      </c>
      <c r="AR18" s="299"/>
      <c r="AS18" s="68"/>
      <c r="AT18" s="65">
        <v>3264695</v>
      </c>
      <c r="AU18" s="65">
        <v>3863760</v>
      </c>
      <c r="AV18" s="65">
        <v>3429225</v>
      </c>
      <c r="AW18" s="65">
        <v>3525360</v>
      </c>
      <c r="AX18" s="65">
        <v>2509485</v>
      </c>
      <c r="AY18" s="65">
        <v>2829000</v>
      </c>
      <c r="AZ18" s="65">
        <v>3666000</v>
      </c>
      <c r="BA18" s="65">
        <v>5705000</v>
      </c>
      <c r="BB18" s="65">
        <v>5691000</v>
      </c>
      <c r="BC18" s="65">
        <v>5600000</v>
      </c>
      <c r="BD18" s="65">
        <v>2430000</v>
      </c>
      <c r="BE18" s="65">
        <v>800000</v>
      </c>
      <c r="BF18" s="69">
        <f t="shared" si="53"/>
        <v>43313525</v>
      </c>
      <c r="BG18" s="68"/>
      <c r="BH18" s="70">
        <v>3498000</v>
      </c>
      <c r="BI18" s="70">
        <v>3346000</v>
      </c>
      <c r="BJ18" s="70">
        <v>3856000</v>
      </c>
      <c r="BK18" s="70">
        <v>3460000</v>
      </c>
      <c r="BL18" s="70">
        <v>2669500</v>
      </c>
      <c r="BM18" s="70">
        <v>2577200</v>
      </c>
      <c r="BN18" s="70">
        <v>3702000</v>
      </c>
      <c r="BO18" s="70">
        <v>4278800.22</v>
      </c>
      <c r="BP18" s="70">
        <v>4599400.25</v>
      </c>
      <c r="BQ18" s="70">
        <f>BQ17*BQ19</f>
        <v>3432510</v>
      </c>
      <c r="BR18" s="70">
        <v>2954493.21</v>
      </c>
      <c r="BS18" s="70">
        <v>984831.07</v>
      </c>
      <c r="BT18" s="65">
        <f t="shared" si="55"/>
        <v>39358734.75</v>
      </c>
      <c r="BU18" s="54"/>
      <c r="BV18" s="70">
        <f>BV19*BV20</f>
        <v>3399704.5546384701</v>
      </c>
      <c r="BW18" s="70">
        <f t="shared" ref="BW18:CG18" si="64">BW19*BW20</f>
        <v>3264737.5917468769</v>
      </c>
      <c r="BX18" s="70">
        <f t="shared" si="64"/>
        <v>4184999.9999999995</v>
      </c>
      <c r="BY18" s="70">
        <f t="shared" si="64"/>
        <v>3348000.0000000005</v>
      </c>
      <c r="BZ18" s="70">
        <f t="shared" si="64"/>
        <v>3074042.2288642721</v>
      </c>
      <c r="CA18" s="70">
        <f t="shared" si="64"/>
        <v>2812995.3566251793</v>
      </c>
      <c r="CB18" s="70">
        <f t="shared" si="64"/>
        <v>3737141.5756380158</v>
      </c>
      <c r="CC18" s="70">
        <f t="shared" si="64"/>
        <v>4437000.7194458414</v>
      </c>
      <c r="CD18" s="70">
        <f t="shared" si="64"/>
        <v>4710370.4261011425</v>
      </c>
      <c r="CE18" s="70">
        <f t="shared" si="64"/>
        <v>4744197.0280408058</v>
      </c>
      <c r="CF18" s="70">
        <f t="shared" si="64"/>
        <v>3461011.8981438484</v>
      </c>
      <c r="CG18" s="70">
        <f t="shared" si="64"/>
        <v>792579.23398446955</v>
      </c>
      <c r="CH18" s="65">
        <f>SUM(BV18:CG18)</f>
        <v>41966780.613228925</v>
      </c>
      <c r="CJ18" s="70">
        <v>3399704.5546384701</v>
      </c>
      <c r="CK18" s="70">
        <v>3264737.5917468769</v>
      </c>
      <c r="CL18" s="70">
        <v>4184999.9999999995</v>
      </c>
      <c r="CM18" s="70">
        <v>3348000.0000000005</v>
      </c>
      <c r="CN18" s="70">
        <v>3074042.2288642721</v>
      </c>
      <c r="CO18" s="70">
        <v>2812995.3566251793</v>
      </c>
      <c r="CP18" s="70">
        <v>3737141.5756380158</v>
      </c>
      <c r="CQ18" s="70">
        <v>4437000.7194458414</v>
      </c>
      <c r="CR18" s="70">
        <v>4710370.4261011425</v>
      </c>
      <c r="CS18" s="70">
        <v>4744197.0280408058</v>
      </c>
      <c r="CT18" s="70">
        <v>3461011.8981438484</v>
      </c>
      <c r="CU18" s="70">
        <v>792579.23398446955</v>
      </c>
      <c r="CV18" s="65">
        <v>41966780.613228925</v>
      </c>
    </row>
    <row r="19" spans="1:100">
      <c r="A19" s="71"/>
      <c r="B19" s="72" t="s">
        <v>54</v>
      </c>
      <c r="C19" s="300"/>
      <c r="D19" s="30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302"/>
      <c r="Q19" s="74"/>
      <c r="R19" s="301"/>
      <c r="S19" s="69"/>
      <c r="T19" s="69"/>
      <c r="U19" s="69"/>
      <c r="V19" s="303"/>
      <c r="W19" s="304"/>
      <c r="X19" s="304"/>
      <c r="Y19" s="304"/>
      <c r="Z19" s="304"/>
      <c r="AA19" s="304"/>
      <c r="AB19" s="304"/>
      <c r="AC19" s="75"/>
      <c r="AD19" s="76"/>
      <c r="AE19" s="77"/>
      <c r="AF19" s="305"/>
      <c r="AG19" s="69"/>
      <c r="AH19" s="69"/>
      <c r="AI19" s="69"/>
      <c r="AJ19" s="303"/>
      <c r="AK19" s="303"/>
      <c r="AL19" s="303"/>
      <c r="AM19" s="303"/>
      <c r="AN19" s="69">
        <f t="shared" ref="AN19:AQ19" si="65">30</f>
        <v>30</v>
      </c>
      <c r="AO19" s="69">
        <f t="shared" si="65"/>
        <v>30</v>
      </c>
      <c r="AP19" s="69">
        <f t="shared" si="65"/>
        <v>30</v>
      </c>
      <c r="AQ19" s="69">
        <f t="shared" si="65"/>
        <v>30</v>
      </c>
      <c r="AR19" s="306"/>
      <c r="AS19" s="77"/>
      <c r="AT19" s="69">
        <v>28</v>
      </c>
      <c r="AU19" s="69">
        <v>29</v>
      </c>
      <c r="AV19" s="69">
        <v>29</v>
      </c>
      <c r="AW19" s="69">
        <v>29</v>
      </c>
      <c r="AX19" s="69">
        <v>29</v>
      </c>
      <c r="AY19" s="69">
        <v>27</v>
      </c>
      <c r="AZ19" s="69">
        <v>27</v>
      </c>
      <c r="BA19" s="69">
        <v>27</v>
      </c>
      <c r="BB19" s="69">
        <v>27</v>
      </c>
      <c r="BC19" s="69">
        <v>26.07</v>
      </c>
      <c r="BD19" s="69">
        <v>26.07</v>
      </c>
      <c r="BE19" s="69">
        <v>26.07</v>
      </c>
      <c r="BF19" s="305"/>
      <c r="BG19" s="78"/>
      <c r="BH19" s="69">
        <v>27</v>
      </c>
      <c r="BI19" s="69">
        <v>27</v>
      </c>
      <c r="BJ19" s="69">
        <v>27</v>
      </c>
      <c r="BK19" s="69">
        <v>27</v>
      </c>
      <c r="BL19" s="69">
        <v>27</v>
      </c>
      <c r="BM19" s="69">
        <v>27</v>
      </c>
      <c r="BN19" s="69">
        <v>27</v>
      </c>
      <c r="BO19" s="69">
        <v>27</v>
      </c>
      <c r="BP19" s="69">
        <v>27</v>
      </c>
      <c r="BQ19" s="69">
        <v>27</v>
      </c>
      <c r="BR19" s="69">
        <v>27</v>
      </c>
      <c r="BS19" s="69">
        <v>27</v>
      </c>
      <c r="BT19" s="69"/>
      <c r="BU19" s="54"/>
      <c r="BV19" s="69">
        <v>26</v>
      </c>
      <c r="BW19" s="69">
        <v>26</v>
      </c>
      <c r="BX19" s="69">
        <v>26</v>
      </c>
      <c r="BY19" s="69">
        <v>26</v>
      </c>
      <c r="BZ19" s="69">
        <v>26</v>
      </c>
      <c r="CA19" s="69">
        <v>26</v>
      </c>
      <c r="CB19" s="69">
        <v>26</v>
      </c>
      <c r="CC19" s="69">
        <v>26</v>
      </c>
      <c r="CD19" s="69">
        <v>26</v>
      </c>
      <c r="CE19" s="69">
        <v>26</v>
      </c>
      <c r="CF19" s="69">
        <v>26</v>
      </c>
      <c r="CG19" s="69">
        <v>26</v>
      </c>
      <c r="CH19" s="69"/>
      <c r="CJ19" s="69">
        <v>26</v>
      </c>
      <c r="CK19" s="69">
        <v>26</v>
      </c>
      <c r="CL19" s="69">
        <v>26</v>
      </c>
      <c r="CM19" s="69">
        <v>26</v>
      </c>
      <c r="CN19" s="69">
        <v>26</v>
      </c>
      <c r="CO19" s="69">
        <v>26</v>
      </c>
      <c r="CP19" s="69">
        <v>26</v>
      </c>
      <c r="CQ19" s="69">
        <v>26</v>
      </c>
      <c r="CR19" s="69">
        <v>26</v>
      </c>
      <c r="CS19" s="69">
        <v>26</v>
      </c>
      <c r="CT19" s="69">
        <v>26</v>
      </c>
      <c r="CU19" s="69">
        <v>26</v>
      </c>
      <c r="CV19" s="69"/>
    </row>
    <row r="20" spans="1:100" ht="15.75">
      <c r="A20" s="79"/>
      <c r="B20" s="80" t="s">
        <v>55</v>
      </c>
      <c r="C20" s="81"/>
      <c r="D20" s="288">
        <v>82250</v>
      </c>
      <c r="E20" s="57">
        <v>117000</v>
      </c>
      <c r="F20" s="57">
        <v>121750</v>
      </c>
      <c r="G20" s="57">
        <v>150000</v>
      </c>
      <c r="H20" s="57">
        <v>99500</v>
      </c>
      <c r="I20" s="57">
        <v>102000</v>
      </c>
      <c r="J20" s="57">
        <v>177632</v>
      </c>
      <c r="K20" s="57">
        <v>178158</v>
      </c>
      <c r="L20" s="57">
        <v>199211</v>
      </c>
      <c r="M20" s="57">
        <v>229474</v>
      </c>
      <c r="N20" s="57">
        <v>122368</v>
      </c>
      <c r="O20" s="57">
        <v>38421</v>
      </c>
      <c r="P20" s="289">
        <f>SUM(D20:O20)</f>
        <v>1617764</v>
      </c>
      <c r="Q20" s="39"/>
      <c r="R20" s="288">
        <v>115619.79612330014</v>
      </c>
      <c r="S20" s="58">
        <v>123327.78253152016</v>
      </c>
      <c r="T20" s="58">
        <v>128854</v>
      </c>
      <c r="U20" s="58">
        <f>126016*0.15</f>
        <v>18902.399999999998</v>
      </c>
      <c r="V20" s="58">
        <v>35234</v>
      </c>
      <c r="W20" s="290">
        <v>56469.381950239796</v>
      </c>
      <c r="X20" s="290">
        <v>118413.33333333299</v>
      </c>
      <c r="Y20" s="290">
        <v>198797.08333333331</v>
      </c>
      <c r="Z20" s="290">
        <v>242087.5</v>
      </c>
      <c r="AA20" s="290">
        <v>140000</v>
      </c>
      <c r="AB20" s="290">
        <v>0</v>
      </c>
      <c r="AC20" s="290">
        <v>-45300</v>
      </c>
      <c r="AD20" s="291">
        <f>SUM(R20:AC20)</f>
        <v>1132405.2772717264</v>
      </c>
      <c r="AE20" s="59"/>
      <c r="AF20" s="292">
        <v>90146</v>
      </c>
      <c r="AG20" s="58">
        <v>155577</v>
      </c>
      <c r="AH20" s="58">
        <v>62953</v>
      </c>
      <c r="AI20" s="58">
        <v>73261</v>
      </c>
      <c r="AJ20" s="58">
        <v>91856</v>
      </c>
      <c r="AK20" s="58">
        <v>120000</v>
      </c>
      <c r="AL20" s="58">
        <v>110295</v>
      </c>
      <c r="AM20" s="58">
        <v>200203</v>
      </c>
      <c r="AN20" s="58">
        <f t="shared" ref="AN20:AQ20" si="66">AN18/AN19</f>
        <v>223833.33333333334</v>
      </c>
      <c r="AO20" s="58">
        <f t="shared" si="66"/>
        <v>218500</v>
      </c>
      <c r="AP20" s="58">
        <f t="shared" si="66"/>
        <v>88000</v>
      </c>
      <c r="AQ20" s="58">
        <f t="shared" si="66"/>
        <v>43400</v>
      </c>
      <c r="AR20" s="58">
        <f>SUM(AF20:AQ20)</f>
        <v>1478024.3333333333</v>
      </c>
      <c r="AS20" s="59"/>
      <c r="AT20" s="58">
        <f t="shared" ref="AT20:BE20" si="67">AT18/AT19</f>
        <v>116596.25</v>
      </c>
      <c r="AU20" s="58">
        <f t="shared" si="67"/>
        <v>133233.10344827586</v>
      </c>
      <c r="AV20" s="58">
        <f t="shared" si="67"/>
        <v>118249.13793103448</v>
      </c>
      <c r="AW20" s="58">
        <f t="shared" si="67"/>
        <v>121564.13793103448</v>
      </c>
      <c r="AX20" s="58">
        <f t="shared" si="67"/>
        <v>86533.965517241377</v>
      </c>
      <c r="AY20" s="58">
        <f t="shared" si="67"/>
        <v>104777.77777777778</v>
      </c>
      <c r="AZ20" s="58">
        <f t="shared" si="67"/>
        <v>135777.77777777778</v>
      </c>
      <c r="BA20" s="58">
        <f t="shared" si="67"/>
        <v>211296.29629629629</v>
      </c>
      <c r="BB20" s="58">
        <f t="shared" si="67"/>
        <v>210777.77777777778</v>
      </c>
      <c r="BC20" s="58">
        <f t="shared" si="67"/>
        <v>214806.29075565783</v>
      </c>
      <c r="BD20" s="58">
        <f t="shared" si="67"/>
        <v>93210.586881472962</v>
      </c>
      <c r="BE20" s="58">
        <f t="shared" si="67"/>
        <v>30686.612965093977</v>
      </c>
      <c r="BF20" s="58">
        <f>SUM(AT20:BE20)</f>
        <v>1577509.7150594404</v>
      </c>
      <c r="BG20" s="59">
        <f>BF20-AR20</f>
        <v>99485.381726107094</v>
      </c>
      <c r="BH20" s="58">
        <f>BH17</f>
        <v>116600</v>
      </c>
      <c r="BI20" s="58">
        <f t="shared" ref="BI20:BT20" si="68">BI17</f>
        <v>111533.33333333333</v>
      </c>
      <c r="BJ20" s="58">
        <f t="shared" si="68"/>
        <v>135674.07407407407</v>
      </c>
      <c r="BK20" s="58">
        <f t="shared" si="68"/>
        <v>121740.74074074074</v>
      </c>
      <c r="BL20" s="58">
        <f t="shared" si="68"/>
        <v>93926.851851851854</v>
      </c>
      <c r="BM20" s="58">
        <f t="shared" si="68"/>
        <v>90679.259259259255</v>
      </c>
      <c r="BN20" s="58">
        <f t="shared" si="68"/>
        <v>130255.55555555556</v>
      </c>
      <c r="BO20" s="58">
        <f t="shared" si="68"/>
        <v>150550.37811111109</v>
      </c>
      <c r="BP20" s="58">
        <f t="shared" si="68"/>
        <v>161830.74953703705</v>
      </c>
      <c r="BQ20" s="58">
        <f t="shared" si="68"/>
        <v>127130</v>
      </c>
      <c r="BR20" s="58">
        <f>BR17</f>
        <v>138687.6</v>
      </c>
      <c r="BS20" s="58">
        <f t="shared" si="68"/>
        <v>43639.199999999997</v>
      </c>
      <c r="BT20" s="58">
        <f t="shared" si="68"/>
        <v>1422247.7424629631</v>
      </c>
      <c r="BU20" s="60"/>
      <c r="BV20" s="58">
        <f>'META  EM PEÇAS'!S73</f>
        <v>130757.867486095</v>
      </c>
      <c r="BW20" s="58">
        <f>'META  EM PEÇAS'!T73</f>
        <v>125566.83045180296</v>
      </c>
      <c r="BX20" s="58">
        <f>'META  EM PEÇAS'!U73</f>
        <v>160961.53846153844</v>
      </c>
      <c r="BY20" s="58">
        <f>'META  EM PEÇAS'!V73</f>
        <v>128769.23076923078</v>
      </c>
      <c r="BZ20" s="58">
        <f>'META  EM PEÇAS'!W73</f>
        <v>118232.39341785663</v>
      </c>
      <c r="CA20" s="58">
        <f>'META  EM PEÇAS'!X73</f>
        <v>108192.12910096844</v>
      </c>
      <c r="CB20" s="58">
        <f>'META  EM PEÇAS'!Y73</f>
        <v>143736.21444761599</v>
      </c>
      <c r="CC20" s="58">
        <f>'META  EM PEÇAS'!Z73</f>
        <v>170653.87382484006</v>
      </c>
      <c r="CD20" s="58">
        <f>'META  EM PEÇAS'!AA73</f>
        <v>181168.0933115824</v>
      </c>
      <c r="CE20" s="58">
        <f>'META  EM PEÇAS'!AB73</f>
        <v>182469.1164631079</v>
      </c>
      <c r="CF20" s="58">
        <f>'META  EM PEÇAS'!AC73</f>
        <v>133115.84223630186</v>
      </c>
      <c r="CG20" s="58">
        <f>'META  EM PEÇAS'!AD73</f>
        <v>30483.816691710366</v>
      </c>
      <c r="CH20" s="58">
        <f>SUM(BV20:CG20)</f>
        <v>1614106.9466626509</v>
      </c>
      <c r="CI20">
        <f>CH20*26</f>
        <v>41966780.613228925</v>
      </c>
      <c r="CJ20" s="58">
        <v>130757.867486095</v>
      </c>
      <c r="CK20" s="58">
        <v>125566.83045180296</v>
      </c>
      <c r="CL20" s="58">
        <v>160961.53846153844</v>
      </c>
      <c r="CM20" s="58">
        <v>128769.23076923078</v>
      </c>
      <c r="CN20" s="58">
        <v>118232.39341785663</v>
      </c>
      <c r="CO20" s="58">
        <v>108192.12910096844</v>
      </c>
      <c r="CP20" s="58">
        <v>143736.21444761599</v>
      </c>
      <c r="CQ20" s="58">
        <v>170653.87382484006</v>
      </c>
      <c r="CR20" s="58">
        <v>181168.0933115824</v>
      </c>
      <c r="CS20" s="58">
        <v>182469.1164631079</v>
      </c>
      <c r="CT20" s="58">
        <v>133115.84223630186</v>
      </c>
      <c r="CU20" s="58">
        <v>30483.816691710366</v>
      </c>
      <c r="CV20" s="58">
        <v>1614106.9466626509</v>
      </c>
    </row>
    <row r="21" spans="1:100">
      <c r="A21" s="307"/>
      <c r="B21" s="82"/>
      <c r="C21" s="308"/>
      <c r="D21" s="309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310"/>
      <c r="Q21" s="84"/>
      <c r="R21" s="309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311"/>
      <c r="AE21" s="23"/>
      <c r="AF21" s="312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6"/>
      <c r="AS21" s="23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2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54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</row>
    <row r="22" spans="1:100" ht="15" hidden="1" customHeight="1" outlineLevel="1">
      <c r="A22" s="88">
        <v>1</v>
      </c>
      <c r="B22" s="1095" t="s">
        <v>56</v>
      </c>
      <c r="C22" s="1117"/>
      <c r="D22" s="313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314">
        <f t="shared" ref="P22:P34" si="69">SUM(D22:O22)</f>
        <v>0</v>
      </c>
      <c r="Q22" s="90"/>
      <c r="R22" s="313">
        <v>7017.5438596491231</v>
      </c>
      <c r="S22" s="91">
        <v>7017.5438596491231</v>
      </c>
      <c r="T22" s="91">
        <f>7017.54385964912/2</f>
        <v>3508.7719298245602</v>
      </c>
      <c r="U22" s="91">
        <f>96*U3</f>
        <v>96</v>
      </c>
      <c r="V22" s="91">
        <v>3000</v>
      </c>
      <c r="W22" s="91">
        <v>7200</v>
      </c>
      <c r="X22" s="91">
        <v>8500</v>
      </c>
      <c r="Y22" s="91">
        <v>8500</v>
      </c>
      <c r="Z22" s="91">
        <v>8500</v>
      </c>
      <c r="AA22" s="91">
        <v>9000</v>
      </c>
      <c r="AB22" s="91">
        <v>9500</v>
      </c>
      <c r="AC22" s="91">
        <v>8500</v>
      </c>
      <c r="AD22" s="315">
        <f t="shared" ref="AD22:AD36" si="70">SUM(R22:AC22)</f>
        <v>80339.859649122809</v>
      </c>
      <c r="AE22" s="23"/>
      <c r="AF22" s="316">
        <v>8000</v>
      </c>
      <c r="AG22" s="91">
        <v>4000</v>
      </c>
      <c r="AH22" s="91">
        <v>5673</v>
      </c>
      <c r="AI22" s="91">
        <v>4500</v>
      </c>
      <c r="AJ22" s="91">
        <v>7892</v>
      </c>
      <c r="AK22" s="91">
        <v>6400</v>
      </c>
      <c r="AL22" s="91">
        <v>8000</v>
      </c>
      <c r="AM22" s="91">
        <v>8000</v>
      </c>
      <c r="AN22" s="91">
        <v>8000</v>
      </c>
      <c r="AO22" s="91">
        <v>8000</v>
      </c>
      <c r="AP22" s="91">
        <v>8800</v>
      </c>
      <c r="AQ22" s="91">
        <v>6400</v>
      </c>
      <c r="AR22" s="92">
        <f t="shared" ref="AR22:AR40" si="71">SUM(AF22:AQ22)</f>
        <v>83665</v>
      </c>
      <c r="AS22" s="23"/>
      <c r="AT22" s="91">
        <v>4861</v>
      </c>
      <c r="AU22" s="91">
        <v>5809</v>
      </c>
      <c r="AV22" s="91">
        <v>5072</v>
      </c>
      <c r="AW22" s="91">
        <v>4725</v>
      </c>
      <c r="AX22" s="317">
        <v>5832</v>
      </c>
      <c r="AY22" s="317">
        <v>5832</v>
      </c>
      <c r="AZ22" s="317">
        <v>5567</v>
      </c>
      <c r="BA22" s="317">
        <v>5567</v>
      </c>
      <c r="BB22" s="317">
        <v>5832</v>
      </c>
      <c r="BC22" s="317">
        <v>6892</v>
      </c>
      <c r="BD22" s="317">
        <v>7422</v>
      </c>
      <c r="BE22" s="317">
        <v>4241</v>
      </c>
      <c r="BF22" s="91">
        <f t="shared" ref="BF22:BF54" si="72">SUM(AT22:BE22)</f>
        <v>67652</v>
      </c>
      <c r="BG22" s="93">
        <f t="shared" ref="BG22:BG40" si="73">BF22/AR22-1</f>
        <v>-0.19139425088149165</v>
      </c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>
        <v>36051</v>
      </c>
      <c r="BU22" s="54"/>
      <c r="BV22" s="91">
        <v>4782.99</v>
      </c>
      <c r="BW22" s="91">
        <v>2945.31</v>
      </c>
      <c r="BX22" s="91">
        <f>'META  EM PEÇAS'!U26-('META  EM PEÇAS'!U26*0.05)</f>
        <v>7080.3689999999997</v>
      </c>
      <c r="BY22" s="91">
        <f>'META  EM PEÇAS'!V26-('META  EM PEÇAS'!V26*0.05)</f>
        <v>4355.6549999999997</v>
      </c>
      <c r="BZ22" s="91">
        <f>'META  EM PEÇAS'!W26-('META  EM PEÇAS'!W26*0.05)</f>
        <v>5839.9349999999995</v>
      </c>
      <c r="CA22" s="91">
        <f>'META  EM PEÇAS'!X26-('META  EM PEÇAS'!X26*0.05)</f>
        <v>5900.8964999999989</v>
      </c>
      <c r="CB22" s="91">
        <f>'META  EM PEÇAS'!Y26-('META  EM PEÇAS'!Y26*0.05)</f>
        <v>5279.7959999999994</v>
      </c>
      <c r="CC22" s="91">
        <f>'META  EM PEÇAS'!Z26-('META  EM PEÇAS'!Z26*0.05)</f>
        <v>4897.2404999999999</v>
      </c>
      <c r="CD22" s="91">
        <f>'META  EM PEÇAS'!AA26-('META  EM PEÇAS'!AA26*0.05)</f>
        <v>5018.28</v>
      </c>
      <c r="CE22" s="91">
        <f>'META  EM PEÇAS'!AB26-('META  EM PEÇAS'!AB26*0.05)</f>
        <v>4641.0254999999997</v>
      </c>
      <c r="CF22" s="91">
        <f>'META  EM PEÇAS'!AC26-('META  EM PEÇAS'!AC26*0.05)</f>
        <v>6521.1134999999995</v>
      </c>
      <c r="CG22" s="91">
        <f>'META  EM PEÇAS'!AD26-('META  EM PEÇAS'!AD26*0.05)</f>
        <v>3929.8079999999995</v>
      </c>
      <c r="CH22" s="91">
        <v>4136.6400000000003</v>
      </c>
      <c r="CJ22" s="91">
        <v>4782.99</v>
      </c>
      <c r="CK22" s="91">
        <v>2945.31</v>
      </c>
      <c r="CL22" s="91">
        <v>7080.3689999999997</v>
      </c>
      <c r="CM22" s="91">
        <v>4355.6549999999997</v>
      </c>
      <c r="CN22" s="91">
        <v>5839.9349999999995</v>
      </c>
      <c r="CO22" s="91">
        <v>5900.8964999999989</v>
      </c>
      <c r="CP22" s="91">
        <v>5279.7959999999994</v>
      </c>
      <c r="CQ22" s="91">
        <v>4897.2404999999999</v>
      </c>
      <c r="CR22" s="91">
        <v>5018.28</v>
      </c>
      <c r="CS22" s="91">
        <v>4641.0254999999997</v>
      </c>
      <c r="CT22" s="91">
        <v>6521.1134999999995</v>
      </c>
      <c r="CU22" s="91">
        <v>3929.8079999999995</v>
      </c>
      <c r="CV22" s="91">
        <v>4136.6400000000003</v>
      </c>
    </row>
    <row r="23" spans="1:100" ht="15" hidden="1" customHeight="1" outlineLevel="1">
      <c r="A23" s="94">
        <v>2</v>
      </c>
      <c r="B23" s="1092" t="s">
        <v>57</v>
      </c>
      <c r="C23" s="1118"/>
      <c r="D23" s="313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314">
        <f t="shared" si="69"/>
        <v>0</v>
      </c>
      <c r="Q23" s="90"/>
      <c r="R23" s="313">
        <v>2909</v>
      </c>
      <c r="S23" s="91">
        <v>2545</v>
      </c>
      <c r="T23" s="91">
        <f>2727/1.2</f>
        <v>2272.5</v>
      </c>
      <c r="U23" s="91">
        <f>2*U3</f>
        <v>2</v>
      </c>
      <c r="V23" s="91">
        <v>500</v>
      </c>
      <c r="W23" s="91">
        <v>1300</v>
      </c>
      <c r="X23" s="91">
        <v>3200</v>
      </c>
      <c r="Y23" s="91">
        <v>3200</v>
      </c>
      <c r="Z23" s="91">
        <v>3600</v>
      </c>
      <c r="AA23" s="91">
        <v>3600</v>
      </c>
      <c r="AB23" s="91">
        <v>3600</v>
      </c>
      <c r="AC23" s="91">
        <v>4500</v>
      </c>
      <c r="AD23" s="315">
        <f t="shared" si="70"/>
        <v>31228.5</v>
      </c>
      <c r="AE23" s="23"/>
      <c r="AF23" s="316">
        <v>4000</v>
      </c>
      <c r="AG23" s="91">
        <v>1500</v>
      </c>
      <c r="AH23" s="91">
        <v>189</v>
      </c>
      <c r="AI23" s="91">
        <v>1842</v>
      </c>
      <c r="AJ23" s="91">
        <v>3764</v>
      </c>
      <c r="AK23" s="91">
        <v>3200</v>
      </c>
      <c r="AL23" s="91">
        <v>6000</v>
      </c>
      <c r="AM23" s="91">
        <v>5000</v>
      </c>
      <c r="AN23" s="91">
        <v>5000</v>
      </c>
      <c r="AO23" s="91">
        <v>5000</v>
      </c>
      <c r="AP23" s="91">
        <v>5000</v>
      </c>
      <c r="AQ23" s="91">
        <v>9000</v>
      </c>
      <c r="AR23" s="92">
        <f t="shared" si="71"/>
        <v>49495</v>
      </c>
      <c r="AS23" s="23"/>
      <c r="AT23" s="91">
        <v>5468</v>
      </c>
      <c r="AU23" s="91">
        <v>5468</v>
      </c>
      <c r="AV23" s="91">
        <v>6249</v>
      </c>
      <c r="AW23" s="91">
        <v>6249</v>
      </c>
      <c r="AX23" s="317">
        <v>3923</v>
      </c>
      <c r="AY23" s="317">
        <v>3923</v>
      </c>
      <c r="AZ23" s="317">
        <v>3745</v>
      </c>
      <c r="BA23" s="317">
        <v>3745</v>
      </c>
      <c r="BB23" s="317">
        <v>3923</v>
      </c>
      <c r="BC23" s="317">
        <v>4636</v>
      </c>
      <c r="BD23" s="317">
        <v>4993</v>
      </c>
      <c r="BE23" s="317">
        <v>7133</v>
      </c>
      <c r="BF23" s="91">
        <f t="shared" si="72"/>
        <v>59455</v>
      </c>
      <c r="BG23" s="93">
        <f t="shared" si="73"/>
        <v>0.20123244772199222</v>
      </c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>
        <v>40562</v>
      </c>
      <c r="BU23" s="54"/>
      <c r="BV23" s="91">
        <v>4442.6099999999997</v>
      </c>
      <c r="BW23" s="91">
        <v>3433.56</v>
      </c>
      <c r="BX23" s="91">
        <f>'META  EM PEÇAS'!U27-('META  EM PEÇAS'!U27*0.05)</f>
        <v>3860.0114999999996</v>
      </c>
      <c r="BY23" s="91">
        <f>'META  EM PEÇAS'!V27-('META  EM PEÇAS'!V27*0.05)</f>
        <v>3578.1749999999997</v>
      </c>
      <c r="BZ23" s="91">
        <f>'META  EM PEÇAS'!W27-('META  EM PEÇAS'!W27*0.05)</f>
        <v>4015.5074999999997</v>
      </c>
      <c r="CA23" s="91">
        <f>'META  EM PEÇAS'!X27-('META  EM PEÇAS'!X27*0.05)</f>
        <v>4835.3954999999996</v>
      </c>
      <c r="CB23" s="91">
        <f>'META  EM PEÇAS'!Y27-('META  EM PEÇAS'!Y27*0.05)</f>
        <v>5815.1969999999992</v>
      </c>
      <c r="CC23" s="91">
        <f>'META  EM PEÇAS'!Z27-('META  EM PEÇAS'!Z27*0.05)</f>
        <v>3888.2835</v>
      </c>
      <c r="CD23" s="91">
        <f>'META  EM PEÇAS'!AA27-('META  EM PEÇAS'!AA27*0.05)</f>
        <v>4032.2939999999994</v>
      </c>
      <c r="CE23" s="91">
        <f>'META  EM PEÇAS'!AB27-('META  EM PEÇAS'!AB27*0.05)</f>
        <v>4375.0919999999996</v>
      </c>
      <c r="CF23" s="91">
        <f>'META  EM PEÇAS'!AC27-('META  EM PEÇAS'!AC27*0.05)</f>
        <v>5604.9239999999991</v>
      </c>
      <c r="CG23" s="91">
        <f>'META  EM PEÇAS'!AD27-('META  EM PEÇAS'!AD27*0.05)</f>
        <v>7897.606499999999</v>
      </c>
      <c r="CH23" s="91">
        <f>SUM(BV23:CG23)</f>
        <v>55778.656499999997</v>
      </c>
      <c r="CJ23" s="91">
        <v>4442.6099999999997</v>
      </c>
      <c r="CK23" s="91">
        <v>3433.56</v>
      </c>
      <c r="CL23" s="91">
        <v>3860.0114999999996</v>
      </c>
      <c r="CM23" s="91">
        <v>3578.1749999999997</v>
      </c>
      <c r="CN23" s="91">
        <v>4015.5074999999997</v>
      </c>
      <c r="CO23" s="91">
        <v>4835.3954999999996</v>
      </c>
      <c r="CP23" s="91">
        <v>5815.1969999999992</v>
      </c>
      <c r="CQ23" s="91">
        <v>3888.2835</v>
      </c>
      <c r="CR23" s="91">
        <v>4032.2939999999994</v>
      </c>
      <c r="CS23" s="91">
        <v>4375.0919999999996</v>
      </c>
      <c r="CT23" s="91">
        <v>5604.9239999999991</v>
      </c>
      <c r="CU23" s="91">
        <v>7897.606499999999</v>
      </c>
      <c r="CV23" s="91">
        <v>55778.656499999997</v>
      </c>
    </row>
    <row r="24" spans="1:100" ht="15" hidden="1" customHeight="1" outlineLevel="1">
      <c r="A24" s="94">
        <v>3</v>
      </c>
      <c r="B24" s="1092" t="s">
        <v>58</v>
      </c>
      <c r="C24" s="1118"/>
      <c r="D24" s="313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314">
        <f t="shared" si="69"/>
        <v>0</v>
      </c>
      <c r="Q24" s="90"/>
      <c r="R24" s="313">
        <v>746</v>
      </c>
      <c r="S24" s="91">
        <v>653</v>
      </c>
      <c r="T24" s="91">
        <v>700</v>
      </c>
      <c r="U24" s="91">
        <v>0</v>
      </c>
      <c r="V24" s="91">
        <v>200</v>
      </c>
      <c r="W24" s="91">
        <v>400</v>
      </c>
      <c r="X24" s="91">
        <v>900</v>
      </c>
      <c r="Y24" s="91">
        <v>900</v>
      </c>
      <c r="Z24" s="91">
        <v>900</v>
      </c>
      <c r="AA24" s="91">
        <v>900</v>
      </c>
      <c r="AB24" s="91">
        <v>900</v>
      </c>
      <c r="AC24" s="91">
        <v>1200</v>
      </c>
      <c r="AD24" s="315">
        <f t="shared" si="70"/>
        <v>8399</v>
      </c>
      <c r="AE24" s="23"/>
      <c r="AF24" s="316">
        <v>1800</v>
      </c>
      <c r="AG24" s="91">
        <v>1200</v>
      </c>
      <c r="AH24" s="91">
        <v>230</v>
      </c>
      <c r="AI24" s="91">
        <v>472</v>
      </c>
      <c r="AJ24" s="91">
        <v>1495</v>
      </c>
      <c r="AK24" s="91">
        <v>1200</v>
      </c>
      <c r="AL24" s="91">
        <v>1500</v>
      </c>
      <c r="AM24" s="91">
        <v>1500</v>
      </c>
      <c r="AN24" s="91">
        <v>1500</v>
      </c>
      <c r="AO24" s="91">
        <v>1500</v>
      </c>
      <c r="AP24" s="91">
        <v>1650</v>
      </c>
      <c r="AQ24" s="91">
        <v>2400</v>
      </c>
      <c r="AR24" s="92">
        <f t="shared" si="71"/>
        <v>16447</v>
      </c>
      <c r="AS24" s="23"/>
      <c r="AT24" s="91">
        <v>2438</v>
      </c>
      <c r="AU24" s="91">
        <v>1501</v>
      </c>
      <c r="AV24" s="91">
        <v>1566</v>
      </c>
      <c r="AW24" s="91">
        <v>2127</v>
      </c>
      <c r="AX24" s="317">
        <v>1928</v>
      </c>
      <c r="AY24" s="317">
        <v>1928</v>
      </c>
      <c r="AZ24" s="317">
        <v>1840</v>
      </c>
      <c r="BA24" s="317">
        <v>1840</v>
      </c>
      <c r="BB24" s="317">
        <v>1928</v>
      </c>
      <c r="BC24" s="317">
        <v>2278</v>
      </c>
      <c r="BD24" s="317">
        <v>2454</v>
      </c>
      <c r="BE24" s="317">
        <v>3505</v>
      </c>
      <c r="BF24" s="91">
        <f t="shared" si="72"/>
        <v>25333</v>
      </c>
      <c r="BG24" s="93">
        <f t="shared" si="73"/>
        <v>0.54028090229221126</v>
      </c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>
        <v>7784</v>
      </c>
      <c r="BU24" s="54"/>
      <c r="BV24" s="91">
        <v>450.99999999999989</v>
      </c>
      <c r="BW24" s="91">
        <v>348.59999999999991</v>
      </c>
      <c r="BX24" s="91">
        <f>'META  EM PEÇAS'!U28-('META  EM PEÇAS'!U28*0.05)</f>
        <v>391.96999999999991</v>
      </c>
      <c r="BY24" s="91">
        <f>'META  EM PEÇAS'!V28-('META  EM PEÇAS'!V28*0.05)</f>
        <v>363.27999999999992</v>
      </c>
      <c r="BZ24" s="91">
        <f>'META  EM PEÇAS'!W28-('META  EM PEÇAS'!W28*0.05)</f>
        <v>407.5499999999999</v>
      </c>
      <c r="CA24" s="91">
        <f>'META  EM PEÇAS'!X28-('META  EM PEÇAS'!X28*0.05)</f>
        <v>490.76999999999992</v>
      </c>
      <c r="CB24" s="91">
        <f>'META  EM PEÇAS'!Y28-('META  EM PEÇAS'!Y28*0.05)</f>
        <v>590.32999999999993</v>
      </c>
      <c r="CC24" s="91">
        <f>'META  EM PEÇAS'!Z28-('META  EM PEÇAS'!Z28*0.05)</f>
        <v>394.62999999999994</v>
      </c>
      <c r="CD24" s="91">
        <f>'META  EM PEÇAS'!AA28-('META  EM PEÇAS'!AA28*0.05)</f>
        <v>409.25999999999988</v>
      </c>
      <c r="CE24" s="91">
        <f>'META  EM PEÇAS'!AB28-('META  EM PEÇAS'!AB28*0.05)</f>
        <v>444.21999999999991</v>
      </c>
      <c r="CF24" s="91">
        <f>'META  EM PEÇAS'!AC28-('META  EM PEÇAS'!AC28*0.05)</f>
        <v>569.04999999999984</v>
      </c>
      <c r="CG24" s="91">
        <f>'META  EM PEÇAS'!AD28-('META  EM PEÇAS'!AD28*0.05)</f>
        <v>801.79999999999973</v>
      </c>
      <c r="CH24" s="91">
        <f t="shared" ref="CH24:CH37" si="74">SUM(BV24:CG24)</f>
        <v>5662.4599999999991</v>
      </c>
      <c r="CJ24" s="91">
        <v>450.99999999999989</v>
      </c>
      <c r="CK24" s="91">
        <v>348.59999999999991</v>
      </c>
      <c r="CL24" s="91">
        <v>391.96999999999991</v>
      </c>
      <c r="CM24" s="91">
        <v>363.27999999999992</v>
      </c>
      <c r="CN24" s="91">
        <v>407.5499999999999</v>
      </c>
      <c r="CO24" s="91">
        <v>490.76999999999992</v>
      </c>
      <c r="CP24" s="91">
        <v>590.32999999999993</v>
      </c>
      <c r="CQ24" s="91">
        <v>394.62999999999994</v>
      </c>
      <c r="CR24" s="91">
        <v>409.25999999999988</v>
      </c>
      <c r="CS24" s="91">
        <v>444.21999999999991</v>
      </c>
      <c r="CT24" s="91">
        <v>569.04999999999984</v>
      </c>
      <c r="CU24" s="91">
        <v>801.79999999999973</v>
      </c>
      <c r="CV24" s="91">
        <v>5662.4599999999991</v>
      </c>
    </row>
    <row r="25" spans="1:100" ht="15" hidden="1" customHeight="1" outlineLevel="1">
      <c r="A25" s="94">
        <v>4</v>
      </c>
      <c r="B25" s="1092" t="s">
        <v>59</v>
      </c>
      <c r="C25" s="1118"/>
      <c r="D25" s="313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314">
        <f t="shared" si="69"/>
        <v>0</v>
      </c>
      <c r="Q25" s="90"/>
      <c r="R25" s="313">
        <v>1455</v>
      </c>
      <c r="S25" s="91">
        <f>2036</f>
        <v>2036</v>
      </c>
      <c r="T25" s="91">
        <f>2182/2</f>
        <v>1091</v>
      </c>
      <c r="U25" s="91">
        <v>0</v>
      </c>
      <c r="V25" s="91">
        <v>200</v>
      </c>
      <c r="W25" s="91">
        <v>900</v>
      </c>
      <c r="X25" s="91">
        <v>1600</v>
      </c>
      <c r="Y25" s="91">
        <v>1600</v>
      </c>
      <c r="Z25" s="91">
        <v>1600</v>
      </c>
      <c r="AA25" s="91">
        <v>1600</v>
      </c>
      <c r="AB25" s="91">
        <v>2200</v>
      </c>
      <c r="AC25" s="91">
        <v>2500</v>
      </c>
      <c r="AD25" s="315">
        <f t="shared" si="70"/>
        <v>16782</v>
      </c>
      <c r="AE25" s="23"/>
      <c r="AF25" s="316">
        <v>2200</v>
      </c>
      <c r="AG25" s="91">
        <v>1500</v>
      </c>
      <c r="AH25" s="91">
        <v>121</v>
      </c>
      <c r="AI25" s="91">
        <v>565</v>
      </c>
      <c r="AJ25" s="91">
        <v>1514</v>
      </c>
      <c r="AK25" s="91">
        <v>1760</v>
      </c>
      <c r="AL25" s="91">
        <v>1800</v>
      </c>
      <c r="AM25" s="91">
        <v>2200</v>
      </c>
      <c r="AN25" s="91">
        <v>2200</v>
      </c>
      <c r="AO25" s="91">
        <v>2200</v>
      </c>
      <c r="AP25" s="91">
        <v>2420</v>
      </c>
      <c r="AQ25" s="91">
        <v>3520</v>
      </c>
      <c r="AR25" s="92">
        <f t="shared" si="71"/>
        <v>22000</v>
      </c>
      <c r="AS25" s="23"/>
      <c r="AT25" s="91">
        <v>1529</v>
      </c>
      <c r="AU25" s="91">
        <v>1516</v>
      </c>
      <c r="AV25" s="91">
        <v>1586</v>
      </c>
      <c r="AW25" s="91">
        <v>1979</v>
      </c>
      <c r="AX25" s="317">
        <v>1283</v>
      </c>
      <c r="AY25" s="317">
        <v>1283</v>
      </c>
      <c r="AZ25" s="317">
        <v>1224</v>
      </c>
      <c r="BA25" s="317">
        <v>1224</v>
      </c>
      <c r="BB25" s="317">
        <v>1283</v>
      </c>
      <c r="BC25" s="317">
        <v>1516</v>
      </c>
      <c r="BD25" s="317">
        <v>1632</v>
      </c>
      <c r="BE25" s="317">
        <v>2332</v>
      </c>
      <c r="BF25" s="91">
        <f t="shared" si="72"/>
        <v>18387</v>
      </c>
      <c r="BG25" s="93">
        <f t="shared" si="73"/>
        <v>-0.16422727272727278</v>
      </c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>
        <v>9018</v>
      </c>
      <c r="BU25" s="54"/>
      <c r="BV25" s="91">
        <v>1143.8999999999999</v>
      </c>
      <c r="BW25" s="91">
        <v>884.43</v>
      </c>
      <c r="BX25" s="91">
        <f>'META  EM PEÇAS'!U29-('META  EM PEÇAS'!U29*0.05)</f>
        <v>993.9375</v>
      </c>
      <c r="BY25" s="91">
        <f>'META  EM PEÇAS'!V29-('META  EM PEÇAS'!V29*0.05)</f>
        <v>921.49049999999988</v>
      </c>
      <c r="BZ25" s="91">
        <f>'META  EM PEÇAS'!W29-('META  EM PEÇAS'!W29*0.05)</f>
        <v>1033.6949999999999</v>
      </c>
      <c r="CA25" s="91">
        <f>'META  EM PEÇAS'!X29-('META  EM PEÇAS'!X29*0.05)</f>
        <v>1244.8515</v>
      </c>
      <c r="CB25" s="91">
        <f>'META  EM PEÇAS'!Y29-('META  EM PEÇAS'!Y29*0.05)</f>
        <v>1497.5324999999998</v>
      </c>
      <c r="CC25" s="91">
        <f>'META  EM PEÇAS'!Z29-('META  EM PEÇAS'!Z29*0.05)</f>
        <v>1001.0054999999999</v>
      </c>
      <c r="CD25" s="91">
        <f>'META  EM PEÇAS'!AA29-('META  EM PEÇAS'!AA29*0.05)</f>
        <v>1038.1125</v>
      </c>
      <c r="CE25" s="91">
        <f>'META  EM PEÇAS'!AB29-('META  EM PEÇAS'!AB29*0.05)</f>
        <v>1126.4625000000001</v>
      </c>
      <c r="CF25" s="91">
        <f>'META  EM PEÇAS'!AC29-('META  EM PEÇAS'!AC29*0.05)</f>
        <v>1443.6389999999999</v>
      </c>
      <c r="CG25" s="91">
        <f>'META  EM PEÇAS'!AD29-('META  EM PEÇAS'!AD29*0.05)</f>
        <v>2033.8169999999998</v>
      </c>
      <c r="CH25" s="91">
        <f t="shared" si="74"/>
        <v>14362.873499999996</v>
      </c>
      <c r="CJ25" s="91">
        <v>1143.8999999999999</v>
      </c>
      <c r="CK25" s="91">
        <v>884.43</v>
      </c>
      <c r="CL25" s="91">
        <v>993.9375</v>
      </c>
      <c r="CM25" s="91">
        <v>921.49049999999988</v>
      </c>
      <c r="CN25" s="91">
        <v>1033.6949999999999</v>
      </c>
      <c r="CO25" s="91">
        <v>1244.8515</v>
      </c>
      <c r="CP25" s="91">
        <v>1497.5324999999998</v>
      </c>
      <c r="CQ25" s="91">
        <v>1001.0054999999999</v>
      </c>
      <c r="CR25" s="91">
        <v>1038.1125</v>
      </c>
      <c r="CS25" s="91">
        <v>1126.4625000000001</v>
      </c>
      <c r="CT25" s="91">
        <v>1443.6389999999999</v>
      </c>
      <c r="CU25" s="91">
        <v>2033.8169999999998</v>
      </c>
      <c r="CV25" s="91">
        <v>14362.873499999996</v>
      </c>
    </row>
    <row r="26" spans="1:100" ht="15" hidden="1" customHeight="1" outlineLevel="1">
      <c r="A26" s="94">
        <v>5</v>
      </c>
      <c r="B26" s="1092" t="s">
        <v>60</v>
      </c>
      <c r="C26" s="1118"/>
      <c r="D26" s="313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314">
        <f t="shared" si="69"/>
        <v>0</v>
      </c>
      <c r="Q26" s="90"/>
      <c r="R26" s="313">
        <v>1353</v>
      </c>
      <c r="S26" s="91">
        <v>1184</v>
      </c>
      <c r="T26" s="91">
        <v>1268</v>
      </c>
      <c r="U26" s="91">
        <f t="shared" ref="U26:V26" si="75">10*U3</f>
        <v>10</v>
      </c>
      <c r="V26" s="91">
        <f t="shared" si="75"/>
        <v>120</v>
      </c>
      <c r="W26" s="91">
        <v>600</v>
      </c>
      <c r="X26" s="91">
        <v>1600</v>
      </c>
      <c r="Y26" s="91">
        <v>1600</v>
      </c>
      <c r="Z26" s="91">
        <v>1600</v>
      </c>
      <c r="AA26" s="91">
        <v>1600</v>
      </c>
      <c r="AB26" s="91">
        <v>1600</v>
      </c>
      <c r="AC26" s="91">
        <v>2200</v>
      </c>
      <c r="AD26" s="315">
        <f t="shared" si="70"/>
        <v>14735</v>
      </c>
      <c r="AE26" s="23"/>
      <c r="AF26" s="316">
        <v>1800</v>
      </c>
      <c r="AG26" s="91">
        <v>1200</v>
      </c>
      <c r="AH26" s="91">
        <v>181</v>
      </c>
      <c r="AI26" s="91">
        <v>628</v>
      </c>
      <c r="AJ26" s="91">
        <v>1169</v>
      </c>
      <c r="AK26" s="91">
        <v>960</v>
      </c>
      <c r="AL26" s="91">
        <v>1500</v>
      </c>
      <c r="AM26" s="91">
        <v>1200</v>
      </c>
      <c r="AN26" s="91">
        <v>1200</v>
      </c>
      <c r="AO26" s="91">
        <v>1200</v>
      </c>
      <c r="AP26" s="91">
        <v>1320</v>
      </c>
      <c r="AQ26" s="91">
        <v>1920</v>
      </c>
      <c r="AR26" s="92">
        <f t="shared" si="71"/>
        <v>14278</v>
      </c>
      <c r="AS26" s="23"/>
      <c r="AT26" s="91">
        <v>1496</v>
      </c>
      <c r="AU26" s="91">
        <v>1200</v>
      </c>
      <c r="AV26" s="91">
        <v>1227</v>
      </c>
      <c r="AW26" s="91">
        <v>1655</v>
      </c>
      <c r="AX26" s="317">
        <v>1141</v>
      </c>
      <c r="AY26" s="317">
        <v>1141</v>
      </c>
      <c r="AZ26" s="317">
        <v>1089</v>
      </c>
      <c r="BA26" s="317">
        <v>1089</v>
      </c>
      <c r="BB26" s="317">
        <v>1141</v>
      </c>
      <c r="BC26" s="317">
        <v>1349</v>
      </c>
      <c r="BD26" s="317">
        <v>1453</v>
      </c>
      <c r="BE26" s="317">
        <v>2075</v>
      </c>
      <c r="BF26" s="91">
        <f t="shared" si="72"/>
        <v>16056</v>
      </c>
      <c r="BG26" s="93">
        <f t="shared" si="73"/>
        <v>0.1245272447121446</v>
      </c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>
        <v>10591</v>
      </c>
      <c r="BU26" s="54"/>
      <c r="BV26" s="91">
        <v>1474.9799999999998</v>
      </c>
      <c r="BW26" s="91">
        <v>1140.1799999999998</v>
      </c>
      <c r="BX26" s="91">
        <f>'META  EM PEÇAS'!U30-('META  EM PEÇAS'!U30*0.05)</f>
        <v>1281.9584999999997</v>
      </c>
      <c r="BY26" s="91">
        <f>'META  EM PEÇAS'!V30-('META  EM PEÇAS'!V30*0.05)</f>
        <v>1188.3074999999999</v>
      </c>
      <c r="BZ26" s="91">
        <f>'META  EM PEÇAS'!W30-('META  EM PEÇAS'!W30*0.05)</f>
        <v>1333.2014999999999</v>
      </c>
      <c r="CA26" s="91">
        <f>'META  EM PEÇAS'!X30-('META  EM PEÇAS'!X30*0.05)</f>
        <v>1606.2029999999997</v>
      </c>
      <c r="CB26" s="91">
        <f>'META  EM PEÇAS'!Y30-('META  EM PEÇAS'!Y30*0.05)</f>
        <v>1931.3309999999997</v>
      </c>
      <c r="CC26" s="91">
        <f>'META  EM PEÇAS'!Z30-('META  EM PEÇAS'!Z30*0.05)</f>
        <v>1291.6769999999999</v>
      </c>
      <c r="CD26" s="91">
        <f>'META  EM PEÇAS'!AA30-('META  EM PEÇAS'!AA30*0.05)</f>
        <v>1339.386</v>
      </c>
      <c r="CE26" s="91">
        <f>'META  EM PEÇAS'!AB30-('META  EM PEÇAS'!AB30*0.05)</f>
        <v>1453.3574999999998</v>
      </c>
      <c r="CF26" s="91">
        <f>'META  EM PEÇAS'!AC30-('META  EM PEÇAS'!AC30*0.05)</f>
        <v>1861.5344999999998</v>
      </c>
      <c r="CG26" s="91">
        <f>'META  EM PEÇAS'!AD30-('META  EM PEÇAS'!AD30*0.05)</f>
        <v>2623.1114999999995</v>
      </c>
      <c r="CH26" s="91">
        <f t="shared" si="74"/>
        <v>18525.227999999999</v>
      </c>
      <c r="CI26" s="450"/>
      <c r="CJ26" s="91">
        <v>1474.9799999999998</v>
      </c>
      <c r="CK26" s="91">
        <v>1140.1799999999998</v>
      </c>
      <c r="CL26" s="91">
        <v>1281.9584999999997</v>
      </c>
      <c r="CM26" s="91">
        <v>1188.3074999999999</v>
      </c>
      <c r="CN26" s="91">
        <v>1333.2014999999999</v>
      </c>
      <c r="CO26" s="91">
        <v>1606.2029999999997</v>
      </c>
      <c r="CP26" s="91">
        <v>1931.3309999999997</v>
      </c>
      <c r="CQ26" s="91">
        <v>1291.6769999999999</v>
      </c>
      <c r="CR26" s="91">
        <v>1339.386</v>
      </c>
      <c r="CS26" s="91">
        <v>1453.3574999999998</v>
      </c>
      <c r="CT26" s="91">
        <v>1861.5344999999998</v>
      </c>
      <c r="CU26" s="91">
        <v>2623.1114999999995</v>
      </c>
      <c r="CV26" s="91">
        <v>18525.227999999999</v>
      </c>
    </row>
    <row r="27" spans="1:100" ht="15" hidden="1" customHeight="1" outlineLevel="1">
      <c r="A27" s="94">
        <v>6</v>
      </c>
      <c r="B27" s="1092" t="s">
        <v>61</v>
      </c>
      <c r="C27" s="1118"/>
      <c r="D27" s="313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314">
        <f t="shared" si="69"/>
        <v>0</v>
      </c>
      <c r="Q27" s="90"/>
      <c r="R27" s="313">
        <v>1455</v>
      </c>
      <c r="S27" s="91">
        <v>1273</v>
      </c>
      <c r="T27" s="91">
        <v>1364</v>
      </c>
      <c r="U27" s="91">
        <v>0</v>
      </c>
      <c r="V27" s="91">
        <v>200</v>
      </c>
      <c r="W27" s="91">
        <v>800</v>
      </c>
      <c r="X27" s="91">
        <v>1600</v>
      </c>
      <c r="Y27" s="91">
        <v>1600</v>
      </c>
      <c r="Z27" s="91">
        <v>1600</v>
      </c>
      <c r="AA27" s="91">
        <v>1600</v>
      </c>
      <c r="AB27" s="91">
        <v>1800</v>
      </c>
      <c r="AC27" s="91">
        <v>2400</v>
      </c>
      <c r="AD27" s="315">
        <f t="shared" si="70"/>
        <v>15692</v>
      </c>
      <c r="AE27" s="23"/>
      <c r="AF27" s="316">
        <v>1500</v>
      </c>
      <c r="AG27" s="91">
        <v>1200</v>
      </c>
      <c r="AH27" s="91">
        <v>127</v>
      </c>
      <c r="AI27" s="91">
        <v>426</v>
      </c>
      <c r="AJ27" s="91">
        <v>1063</v>
      </c>
      <c r="AK27" s="91">
        <v>960</v>
      </c>
      <c r="AL27" s="91">
        <v>1500</v>
      </c>
      <c r="AM27" s="91">
        <v>1200</v>
      </c>
      <c r="AN27" s="91">
        <v>1200</v>
      </c>
      <c r="AO27" s="91">
        <v>1200</v>
      </c>
      <c r="AP27" s="91">
        <v>1320</v>
      </c>
      <c r="AQ27" s="91">
        <v>1920</v>
      </c>
      <c r="AR27" s="92">
        <f t="shared" si="71"/>
        <v>13616</v>
      </c>
      <c r="AS27" s="23"/>
      <c r="AT27" s="91">
        <v>1222</v>
      </c>
      <c r="AU27" s="91">
        <v>1200</v>
      </c>
      <c r="AV27" s="91">
        <v>1117</v>
      </c>
      <c r="AW27" s="91">
        <v>1463</v>
      </c>
      <c r="AX27" s="317">
        <v>1087</v>
      </c>
      <c r="AY27" s="317">
        <v>1087</v>
      </c>
      <c r="AZ27" s="317">
        <v>1038</v>
      </c>
      <c r="BA27" s="317">
        <v>1038</v>
      </c>
      <c r="BB27" s="317">
        <v>1087</v>
      </c>
      <c r="BC27" s="317">
        <v>1285</v>
      </c>
      <c r="BD27" s="317">
        <v>1384</v>
      </c>
      <c r="BE27" s="317">
        <v>1977</v>
      </c>
      <c r="BF27" s="91">
        <f t="shared" si="72"/>
        <v>14985</v>
      </c>
      <c r="BG27" s="93">
        <f t="shared" si="73"/>
        <v>0.10054347826086962</v>
      </c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>
        <v>10087</v>
      </c>
      <c r="BU27" s="54"/>
      <c r="BV27" s="91">
        <v>1214.58</v>
      </c>
      <c r="BW27" s="91">
        <v>939.3</v>
      </c>
      <c r="BX27" s="91">
        <f>'META  EM PEÇAS'!U31-('META  EM PEÇAS'!U31*0.05)</f>
        <v>1055.7824999999998</v>
      </c>
      <c r="BY27" s="91">
        <f>'META  EM PEÇAS'!V31-('META  EM PEÇAS'!V31*0.05)</f>
        <v>978.03449999999998</v>
      </c>
      <c r="BZ27" s="91">
        <f>'META  EM PEÇAS'!W31-('META  EM PEÇAS'!W31*0.05)</f>
        <v>1098.1904999999999</v>
      </c>
      <c r="CA27" s="91">
        <f>'META  EM PEÇAS'!X31-('META  EM PEÇAS'!X31*0.05)</f>
        <v>1322.5994999999998</v>
      </c>
      <c r="CB27" s="91">
        <f>'META  EM PEÇAS'!Y31-('META  EM PEÇAS'!Y31*0.05)</f>
        <v>1590.3</v>
      </c>
      <c r="CC27" s="91">
        <f>'META  EM PEÇAS'!Z31-('META  EM PEÇAS'!Z31*0.05)</f>
        <v>1062.8505</v>
      </c>
      <c r="CD27" s="91">
        <f>'META  EM PEÇAS'!AA31-('META  EM PEÇAS'!AA31*0.05)</f>
        <v>1102.6079999999999</v>
      </c>
      <c r="CE27" s="91">
        <f>'META  EM PEÇAS'!AB31-('META  EM PEÇAS'!AB31*0.05)</f>
        <v>1196.259</v>
      </c>
      <c r="CF27" s="91">
        <f>'META  EM PEÇAS'!AC31-('META  EM PEÇAS'!AC31*0.05)</f>
        <v>1532.8724999999999</v>
      </c>
      <c r="CG27" s="91">
        <f>'META  EM PEÇAS'!AD31-('META  EM PEÇAS'!AD31*0.05)</f>
        <v>2160.1574999999998</v>
      </c>
      <c r="CH27" s="91">
        <f t="shared" si="74"/>
        <v>15253.534499999998</v>
      </c>
      <c r="CJ27" s="91">
        <v>1214.58</v>
      </c>
      <c r="CK27" s="91">
        <v>939.3</v>
      </c>
      <c r="CL27" s="91">
        <v>1055.7824999999998</v>
      </c>
      <c r="CM27" s="91">
        <v>978.03449999999998</v>
      </c>
      <c r="CN27" s="91">
        <v>1098.1904999999999</v>
      </c>
      <c r="CO27" s="91">
        <v>1322.5994999999998</v>
      </c>
      <c r="CP27" s="91">
        <v>1590.3</v>
      </c>
      <c r="CQ27" s="91">
        <v>1062.8505</v>
      </c>
      <c r="CR27" s="91">
        <v>1102.6079999999999</v>
      </c>
      <c r="CS27" s="91">
        <v>1196.259</v>
      </c>
      <c r="CT27" s="91">
        <v>1532.8724999999999</v>
      </c>
      <c r="CU27" s="91">
        <v>2160.1574999999998</v>
      </c>
      <c r="CV27" s="91">
        <v>15253.534499999998</v>
      </c>
    </row>
    <row r="28" spans="1:100" ht="15" hidden="1" customHeight="1" outlineLevel="1">
      <c r="A28" s="94">
        <v>7</v>
      </c>
      <c r="B28" s="1092" t="s">
        <v>62</v>
      </c>
      <c r="C28" s="1118"/>
      <c r="D28" s="313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314">
        <f t="shared" si="69"/>
        <v>0</v>
      </c>
      <c r="Q28" s="90"/>
      <c r="R28" s="313">
        <v>2000</v>
      </c>
      <c r="S28" s="91">
        <f>2182</f>
        <v>2182</v>
      </c>
      <c r="T28" s="91">
        <f>2455/2</f>
        <v>1227.5</v>
      </c>
      <c r="U28" s="91">
        <f>4*U3</f>
        <v>4</v>
      </c>
      <c r="V28" s="91">
        <v>200</v>
      </c>
      <c r="W28" s="91">
        <v>700</v>
      </c>
      <c r="X28" s="91">
        <v>1600</v>
      </c>
      <c r="Y28" s="91">
        <v>1600</v>
      </c>
      <c r="Z28" s="91">
        <v>1600</v>
      </c>
      <c r="AA28" s="91">
        <v>1600</v>
      </c>
      <c r="AB28" s="91">
        <v>2500</v>
      </c>
      <c r="AC28" s="91">
        <v>3200</v>
      </c>
      <c r="AD28" s="315">
        <f t="shared" si="70"/>
        <v>18413.5</v>
      </c>
      <c r="AE28" s="23"/>
      <c r="AF28" s="316">
        <v>2600</v>
      </c>
      <c r="AG28" s="91">
        <v>1000</v>
      </c>
      <c r="AH28" s="91">
        <v>195</v>
      </c>
      <c r="AI28" s="91">
        <v>844</v>
      </c>
      <c r="AJ28" s="91">
        <v>1973</v>
      </c>
      <c r="AK28" s="91">
        <v>1840</v>
      </c>
      <c r="AL28" s="91">
        <v>2000</v>
      </c>
      <c r="AM28" s="91">
        <v>2300</v>
      </c>
      <c r="AN28" s="91">
        <v>2300</v>
      </c>
      <c r="AO28" s="91">
        <v>2300</v>
      </c>
      <c r="AP28" s="91">
        <v>2530</v>
      </c>
      <c r="AQ28" s="91">
        <v>3680</v>
      </c>
      <c r="AR28" s="92">
        <f t="shared" si="71"/>
        <v>23562</v>
      </c>
      <c r="AS28" s="23"/>
      <c r="AT28" s="91">
        <v>1888</v>
      </c>
      <c r="AU28" s="91">
        <v>1414</v>
      </c>
      <c r="AV28" s="91">
        <v>2073</v>
      </c>
      <c r="AW28" s="91">
        <v>2338</v>
      </c>
      <c r="AX28" s="317">
        <v>1857</v>
      </c>
      <c r="AY28" s="317">
        <v>1857</v>
      </c>
      <c r="AZ28" s="317">
        <v>1772</v>
      </c>
      <c r="BA28" s="317">
        <v>1772</v>
      </c>
      <c r="BB28" s="317">
        <v>1857</v>
      </c>
      <c r="BC28" s="317">
        <v>2194</v>
      </c>
      <c r="BD28" s="317">
        <v>2363</v>
      </c>
      <c r="BE28" s="317">
        <v>3376</v>
      </c>
      <c r="BF28" s="91">
        <f t="shared" si="72"/>
        <v>24761</v>
      </c>
      <c r="BG28" s="93">
        <f t="shared" si="73"/>
        <v>5.0887021475256811E-2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>
        <v>22941</v>
      </c>
      <c r="BU28" s="54"/>
      <c r="BV28" s="91">
        <v>3211.29</v>
      </c>
      <c r="BW28" s="91">
        <v>2482.1699999999996</v>
      </c>
      <c r="BX28" s="91">
        <f>'META  EM PEÇAS'!U32-('META  EM PEÇAS'!U32*0.05)</f>
        <v>2790.0929999999998</v>
      </c>
      <c r="BY28" s="91">
        <f>'META  EM PEÇAS'!V32-('META  EM PEÇAS'!V32*0.05)</f>
        <v>2586.0044999999996</v>
      </c>
      <c r="BZ28" s="91">
        <f>'META  EM PEÇAS'!W32-('META  EM PEÇAS'!W32*0.05)</f>
        <v>2902.2974999999997</v>
      </c>
      <c r="CA28" s="91">
        <f>'META  EM PEÇAS'!X32-('META  EM PEÇAS'!X32*0.05)</f>
        <v>3495.1259999999997</v>
      </c>
      <c r="CB28" s="91">
        <f>'META  EM PEÇAS'!Y32-('META  EM PEÇAS'!Y32*0.05)</f>
        <v>4203.6929999999993</v>
      </c>
      <c r="CC28" s="91">
        <f>'META  EM PEÇAS'!Z32-('META  EM PEÇAS'!Z32*0.05)</f>
        <v>2810.4135000000001</v>
      </c>
      <c r="CD28" s="91">
        <f>'META  EM PEÇAS'!AA32-('META  EM PEÇAS'!AA32*0.05)</f>
        <v>2914.6664999999998</v>
      </c>
      <c r="CE28" s="91">
        <f>'META  EM PEÇAS'!AB32-('META  EM PEÇAS'!AB32*0.05)</f>
        <v>3162.93</v>
      </c>
      <c r="CF28" s="91">
        <f>'META  EM PEÇAS'!AC32-('META  EM PEÇAS'!AC32*0.05)</f>
        <v>4051.7309999999998</v>
      </c>
      <c r="CG28" s="91">
        <f>'META  EM PEÇAS'!AD32-('META  EM PEÇAS'!AD32*0.05)</f>
        <v>5709.1769999999997</v>
      </c>
      <c r="CH28" s="91">
        <f t="shared" si="74"/>
        <v>40319.59199999999</v>
      </c>
      <c r="CJ28" s="91">
        <v>3211.29</v>
      </c>
      <c r="CK28" s="91">
        <v>2482.1699999999996</v>
      </c>
      <c r="CL28" s="91">
        <v>2790.0929999999998</v>
      </c>
      <c r="CM28" s="91">
        <v>2586.0044999999996</v>
      </c>
      <c r="CN28" s="91">
        <v>2902.2974999999997</v>
      </c>
      <c r="CO28" s="91">
        <v>3495.1259999999997</v>
      </c>
      <c r="CP28" s="91">
        <v>4203.6929999999993</v>
      </c>
      <c r="CQ28" s="91">
        <v>2810.4135000000001</v>
      </c>
      <c r="CR28" s="91">
        <v>2914.6664999999998</v>
      </c>
      <c r="CS28" s="91">
        <v>3162.93</v>
      </c>
      <c r="CT28" s="91">
        <v>4051.7309999999998</v>
      </c>
      <c r="CU28" s="91">
        <v>5709.1769999999997</v>
      </c>
      <c r="CV28" s="91">
        <v>40319.59199999999</v>
      </c>
    </row>
    <row r="29" spans="1:100" ht="15" hidden="1" customHeight="1" outlineLevel="1">
      <c r="A29" s="94">
        <v>9</v>
      </c>
      <c r="B29" s="1092" t="s">
        <v>63</v>
      </c>
      <c r="C29" s="1118"/>
      <c r="D29" s="313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314">
        <f t="shared" si="69"/>
        <v>0</v>
      </c>
      <c r="Q29" s="90"/>
      <c r="R29" s="313">
        <v>1636</v>
      </c>
      <c r="S29" s="91">
        <v>1636</v>
      </c>
      <c r="T29" s="91">
        <f t="shared" ref="T29:T30" si="76">1818/2</f>
        <v>909</v>
      </c>
      <c r="U29" s="91">
        <v>0</v>
      </c>
      <c r="V29" s="91">
        <v>200</v>
      </c>
      <c r="W29" s="91">
        <v>300</v>
      </c>
      <c r="X29" s="91">
        <v>1000</v>
      </c>
      <c r="Y29" s="91">
        <v>1200</v>
      </c>
      <c r="Z29" s="91">
        <v>1600</v>
      </c>
      <c r="AA29" s="91">
        <v>1600</v>
      </c>
      <c r="AB29" s="91">
        <v>1800</v>
      </c>
      <c r="AC29" s="91">
        <v>2300</v>
      </c>
      <c r="AD29" s="315">
        <f t="shared" si="70"/>
        <v>14181</v>
      </c>
      <c r="AE29" s="23"/>
      <c r="AF29" s="316">
        <v>1500</v>
      </c>
      <c r="AG29" s="91">
        <v>1000</v>
      </c>
      <c r="AH29" s="91">
        <v>126</v>
      </c>
      <c r="AI29" s="91">
        <v>387</v>
      </c>
      <c r="AJ29" s="91">
        <v>895</v>
      </c>
      <c r="AK29" s="91">
        <v>800</v>
      </c>
      <c r="AL29" s="91">
        <v>1500</v>
      </c>
      <c r="AM29" s="91">
        <v>1000</v>
      </c>
      <c r="AN29" s="91">
        <v>1000</v>
      </c>
      <c r="AO29" s="91">
        <v>1000</v>
      </c>
      <c r="AP29" s="91">
        <v>1100</v>
      </c>
      <c r="AQ29" s="91">
        <v>1600</v>
      </c>
      <c r="AR29" s="92">
        <f t="shared" si="71"/>
        <v>11908</v>
      </c>
      <c r="AS29" s="23"/>
      <c r="AT29" s="91">
        <v>1182</v>
      </c>
      <c r="AU29" s="91">
        <v>1200</v>
      </c>
      <c r="AV29" s="91">
        <v>932</v>
      </c>
      <c r="AW29" s="91">
        <v>1020</v>
      </c>
      <c r="AX29" s="317">
        <v>0</v>
      </c>
      <c r="AY29" s="317">
        <v>0</v>
      </c>
      <c r="AZ29" s="317">
        <v>0</v>
      </c>
      <c r="BA29" s="317">
        <v>0</v>
      </c>
      <c r="BB29" s="317">
        <v>0</v>
      </c>
      <c r="BC29" s="317">
        <v>0</v>
      </c>
      <c r="BD29" s="317">
        <v>0</v>
      </c>
      <c r="BE29" s="317">
        <v>0</v>
      </c>
      <c r="BF29" s="91">
        <f t="shared" si="72"/>
        <v>4334</v>
      </c>
      <c r="BG29" s="93">
        <f t="shared" si="73"/>
        <v>-0.63604299630500505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>
        <v>7070</v>
      </c>
      <c r="BU29" s="54"/>
      <c r="BV29" s="91">
        <v>928.14</v>
      </c>
      <c r="BW29" s="91">
        <v>717.95999999999992</v>
      </c>
      <c r="BX29" s="91">
        <f>'META  EM PEÇAS'!U37-('META  EM PEÇAS'!U37*0.05)</f>
        <v>806.63549999999987</v>
      </c>
      <c r="BY29" s="91">
        <f>'META  EM PEÇAS'!V37-('META  EM PEÇAS'!V37*0.05)</f>
        <v>747.44100000000003</v>
      </c>
      <c r="BZ29" s="91">
        <f>'META  EM PEÇAS'!W37-('META  EM PEÇAS'!W37*0.05)</f>
        <v>839.32499999999993</v>
      </c>
      <c r="CA29" s="91">
        <f>'META  EM PEÇAS'!X37-('META  EM PEÇAS'!X37*0.05)</f>
        <v>1010.7239999999998</v>
      </c>
      <c r="CB29" s="91">
        <f>'META  EM PEÇAS'!Y37-('META  EM PEÇAS'!Y37*0.05)</f>
        <v>1214.8125</v>
      </c>
      <c r="CC29" s="91">
        <f>'META  EM PEÇAS'!Z37-('META  EM PEÇAS'!Z37*0.05)</f>
        <v>812.81999999999994</v>
      </c>
      <c r="CD29" s="91">
        <f>'META  EM PEÇAS'!AA37-('META  EM PEÇAS'!AA37*0.05)</f>
        <v>842.85899999999992</v>
      </c>
      <c r="CE29" s="91">
        <f>'META  EM PEÇAS'!AB37-('META  EM PEÇAS'!AB37*0.05)</f>
        <v>914.4224999999999</v>
      </c>
      <c r="CF29" s="91">
        <f>'META  EM PEÇAS'!AC37-('META  EM PEÇAS'!AC37*0.05)</f>
        <v>1171.5209999999997</v>
      </c>
      <c r="CG29" s="91">
        <f>'META  EM PEÇAS'!AD37-('META  EM PEÇAS'!AD37*0.05)</f>
        <v>1650.3779999999997</v>
      </c>
      <c r="CH29" s="91">
        <f t="shared" si="74"/>
        <v>11657.038499999999</v>
      </c>
      <c r="CJ29" s="91">
        <v>928.14</v>
      </c>
      <c r="CK29" s="91">
        <v>717.95999999999992</v>
      </c>
      <c r="CL29" s="91">
        <v>806.63549999999987</v>
      </c>
      <c r="CM29" s="91">
        <v>747.44100000000003</v>
      </c>
      <c r="CN29" s="91">
        <v>839.32499999999993</v>
      </c>
      <c r="CO29" s="91">
        <v>1010.7239999999998</v>
      </c>
      <c r="CP29" s="91">
        <v>1214.8125</v>
      </c>
      <c r="CQ29" s="91">
        <v>812.81999999999994</v>
      </c>
      <c r="CR29" s="91">
        <v>842.85899999999992</v>
      </c>
      <c r="CS29" s="91">
        <v>914.4224999999999</v>
      </c>
      <c r="CT29" s="91">
        <v>1171.5209999999997</v>
      </c>
      <c r="CU29" s="91">
        <v>1650.3779999999997</v>
      </c>
      <c r="CV29" s="91">
        <v>11657.038499999999</v>
      </c>
    </row>
    <row r="30" spans="1:100" ht="15" hidden="1" customHeight="1" outlineLevel="1">
      <c r="A30" s="94">
        <v>10</v>
      </c>
      <c r="B30" s="1092" t="s">
        <v>64</v>
      </c>
      <c r="C30" s="1118"/>
      <c r="D30" s="313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314">
        <f t="shared" si="69"/>
        <v>0</v>
      </c>
      <c r="Q30" s="90"/>
      <c r="R30" s="313">
        <v>1636</v>
      </c>
      <c r="S30" s="91">
        <v>1636</v>
      </c>
      <c r="T30" s="91">
        <f t="shared" si="76"/>
        <v>909</v>
      </c>
      <c r="U30" s="91">
        <f>0.5*U3</f>
        <v>0.5</v>
      </c>
      <c r="V30" s="91">
        <v>200</v>
      </c>
      <c r="W30" s="91">
        <v>300</v>
      </c>
      <c r="X30" s="91">
        <v>1000</v>
      </c>
      <c r="Y30" s="91">
        <v>1200</v>
      </c>
      <c r="Z30" s="91">
        <v>1600</v>
      </c>
      <c r="AA30" s="91">
        <v>1600</v>
      </c>
      <c r="AB30" s="91">
        <v>1800</v>
      </c>
      <c r="AC30" s="91">
        <v>2300</v>
      </c>
      <c r="AD30" s="315">
        <f t="shared" si="70"/>
        <v>14181.5</v>
      </c>
      <c r="AE30" s="23"/>
      <c r="AF30" s="316">
        <v>1500</v>
      </c>
      <c r="AG30" s="91">
        <v>1000</v>
      </c>
      <c r="AH30" s="91">
        <v>764</v>
      </c>
      <c r="AI30" s="91">
        <v>561</v>
      </c>
      <c r="AJ30" s="91">
        <v>1353</v>
      </c>
      <c r="AK30" s="91">
        <v>960</v>
      </c>
      <c r="AL30" s="91">
        <v>1500</v>
      </c>
      <c r="AM30" s="91">
        <v>1200</v>
      </c>
      <c r="AN30" s="91">
        <v>1200</v>
      </c>
      <c r="AO30" s="91">
        <v>1200</v>
      </c>
      <c r="AP30" s="91">
        <v>1320</v>
      </c>
      <c r="AQ30" s="91">
        <v>1920</v>
      </c>
      <c r="AR30" s="92">
        <f t="shared" si="71"/>
        <v>14478</v>
      </c>
      <c r="AS30" s="23"/>
      <c r="AT30" s="91">
        <v>1285</v>
      </c>
      <c r="AU30" s="91">
        <v>957</v>
      </c>
      <c r="AV30" s="91">
        <v>1426</v>
      </c>
      <c r="AW30" s="91">
        <v>1595</v>
      </c>
      <c r="AX30" s="317">
        <v>1767</v>
      </c>
      <c r="AY30" s="317">
        <v>1767</v>
      </c>
      <c r="AZ30" s="317">
        <v>1686</v>
      </c>
      <c r="BA30" s="317">
        <v>1686</v>
      </c>
      <c r="BB30" s="317">
        <v>1767</v>
      </c>
      <c r="BC30" s="317">
        <v>2088</v>
      </c>
      <c r="BD30" s="317">
        <v>2248</v>
      </c>
      <c r="BE30" s="317">
        <v>3212</v>
      </c>
      <c r="BF30" s="91">
        <f t="shared" si="72"/>
        <v>21484</v>
      </c>
      <c r="BG30" s="93">
        <f t="shared" si="73"/>
        <v>0.48390661693604087</v>
      </c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>
        <v>16952</v>
      </c>
      <c r="BU30" s="54"/>
      <c r="BV30" s="91">
        <v>2631.8999999999996</v>
      </c>
      <c r="BW30" s="91">
        <v>2034.84</v>
      </c>
      <c r="BX30" s="91">
        <f>'META  EM PEÇAS'!U33-('META  EM PEÇAS'!U33*0.05)</f>
        <v>2287.3815</v>
      </c>
      <c r="BY30" s="91">
        <f>'META  EM PEÇAS'!V33-('META  EM PEÇAS'!V33*0.05)</f>
        <v>2119.5164999999997</v>
      </c>
      <c r="BZ30" s="91">
        <f>'META  EM PEÇAS'!W33-('META  EM PEÇAS'!W33*0.05)</f>
        <v>2379.2655</v>
      </c>
      <c r="CA30" s="91">
        <f>'META  EM PEÇAS'!X33-('META  EM PEÇAS'!X33*0.05)</f>
        <v>2865.1904999999997</v>
      </c>
      <c r="CB30" s="91">
        <f>'META  EM PEÇAS'!Y33-('META  EM PEÇAS'!Y33*0.05)</f>
        <v>3445.6499999999996</v>
      </c>
      <c r="CC30" s="91">
        <f>'META  EM PEÇAS'!Z33-('META  EM PEÇAS'!Z33*0.05)</f>
        <v>2303.2844999999998</v>
      </c>
      <c r="CD30" s="91">
        <f>'META  EM PEÇAS'!AA33-('META  EM PEÇAS'!AA33*0.05)</f>
        <v>2388.9839999999999</v>
      </c>
      <c r="CE30" s="91">
        <f>'META  EM PEÇAS'!AB33-('META  EM PEÇAS'!AB33*0.05)</f>
        <v>2592.1889999999999</v>
      </c>
      <c r="CF30" s="91">
        <f>'META  EM PEÇAS'!AC33-('META  EM PEÇAS'!AC33*0.05)</f>
        <v>3321.0765000000001</v>
      </c>
      <c r="CG30" s="91">
        <f>'META  EM PEÇAS'!AD33-('META  EM PEÇAS'!AD33*0.05)</f>
        <v>4679.8995000000004</v>
      </c>
      <c r="CH30" s="91">
        <f t="shared" si="74"/>
        <v>33049.177499999998</v>
      </c>
      <c r="CJ30" s="91">
        <v>2631.8999999999996</v>
      </c>
      <c r="CK30" s="91">
        <v>2034.84</v>
      </c>
      <c r="CL30" s="91">
        <v>2287.3815</v>
      </c>
      <c r="CM30" s="91">
        <v>2119.5164999999997</v>
      </c>
      <c r="CN30" s="91">
        <v>2379.2655</v>
      </c>
      <c r="CO30" s="91">
        <v>2865.1904999999997</v>
      </c>
      <c r="CP30" s="91">
        <v>3445.6499999999996</v>
      </c>
      <c r="CQ30" s="91">
        <v>2303.2844999999998</v>
      </c>
      <c r="CR30" s="91">
        <v>2388.9839999999999</v>
      </c>
      <c r="CS30" s="91">
        <v>2592.1889999999999</v>
      </c>
      <c r="CT30" s="91">
        <v>3321.0765000000001</v>
      </c>
      <c r="CU30" s="91">
        <v>4679.8995000000004</v>
      </c>
      <c r="CV30" s="91">
        <v>33049.177499999998</v>
      </c>
    </row>
    <row r="31" spans="1:100" ht="15" hidden="1" customHeight="1" outlineLevel="1">
      <c r="A31" s="94">
        <v>10</v>
      </c>
      <c r="B31" s="1092" t="s">
        <v>65</v>
      </c>
      <c r="C31" s="1118"/>
      <c r="D31" s="313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314">
        <f t="shared" si="69"/>
        <v>0</v>
      </c>
      <c r="Q31" s="90"/>
      <c r="R31" s="313">
        <v>0</v>
      </c>
      <c r="S31" s="91">
        <v>0</v>
      </c>
      <c r="T31" s="91">
        <v>0</v>
      </c>
      <c r="U31" s="91">
        <v>0</v>
      </c>
      <c r="V31" s="91">
        <v>3500</v>
      </c>
      <c r="W31" s="91">
        <v>350</v>
      </c>
      <c r="X31" s="91">
        <v>800</v>
      </c>
      <c r="Y31" s="91">
        <v>1000</v>
      </c>
      <c r="Z31" s="91">
        <v>1600</v>
      </c>
      <c r="AA31" s="91">
        <v>2000</v>
      </c>
      <c r="AB31" s="91">
        <v>2400</v>
      </c>
      <c r="AC31" s="91">
        <v>3000</v>
      </c>
      <c r="AD31" s="315">
        <f t="shared" si="70"/>
        <v>14650</v>
      </c>
      <c r="AE31" s="23"/>
      <c r="AF31" s="316">
        <v>2500</v>
      </c>
      <c r="AG31" s="91">
        <v>1000</v>
      </c>
      <c r="AH31" s="91">
        <f>2500*0.15</f>
        <v>375</v>
      </c>
      <c r="AI31" s="91">
        <v>787</v>
      </c>
      <c r="AJ31" s="91">
        <v>1569</v>
      </c>
      <c r="AK31" s="91">
        <v>2000</v>
      </c>
      <c r="AL31" s="91">
        <v>2500</v>
      </c>
      <c r="AM31" s="91">
        <v>2500</v>
      </c>
      <c r="AN31" s="91">
        <v>2500</v>
      </c>
      <c r="AO31" s="91">
        <v>2500</v>
      </c>
      <c r="AP31" s="91">
        <v>2750</v>
      </c>
      <c r="AQ31" s="91">
        <v>4000</v>
      </c>
      <c r="AR31" s="92">
        <f t="shared" si="71"/>
        <v>24981</v>
      </c>
      <c r="AS31" s="23"/>
      <c r="AT31" s="91">
        <v>1806</v>
      </c>
      <c r="AU31" s="91">
        <v>2046</v>
      </c>
      <c r="AV31" s="91">
        <v>1646</v>
      </c>
      <c r="AW31" s="91">
        <v>1902</v>
      </c>
      <c r="AX31" s="317">
        <v>1545</v>
      </c>
      <c r="AY31" s="317">
        <v>1545</v>
      </c>
      <c r="AZ31" s="317">
        <v>1475</v>
      </c>
      <c r="BA31" s="317">
        <v>1475</v>
      </c>
      <c r="BB31" s="317">
        <v>1545</v>
      </c>
      <c r="BC31" s="317">
        <v>1826</v>
      </c>
      <c r="BD31" s="317">
        <v>0</v>
      </c>
      <c r="BE31" s="317">
        <v>0</v>
      </c>
      <c r="BF31" s="91">
        <f t="shared" si="72"/>
        <v>16811</v>
      </c>
      <c r="BG31" s="93">
        <f t="shared" si="73"/>
        <v>-0.32704855690324641</v>
      </c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>
        <v>10230</v>
      </c>
      <c r="BU31" s="54"/>
      <c r="BV31" s="91">
        <v>1335.48</v>
      </c>
      <c r="BW31" s="91">
        <v>1032.3</v>
      </c>
      <c r="BX31" s="91">
        <f>'META  EM PEÇAS'!U39-('META  EM PEÇAS'!U39*0.05)</f>
        <v>1160.0355</v>
      </c>
      <c r="BY31" s="91">
        <f>'META  EM PEÇAS'!V39-('META  EM PEÇAS'!V39*0.05)</f>
        <v>1075.2194999999999</v>
      </c>
      <c r="BZ31" s="91">
        <f>'META  EM PEÇAS'!W39-('META  EM PEÇAS'!W39*0.05)</f>
        <v>1206.8609999999999</v>
      </c>
      <c r="CA31" s="91">
        <f>'META  EM PEÇAS'!X39-('META  EM PEÇAS'!X39*0.05)</f>
        <v>1453.3574999999998</v>
      </c>
      <c r="CB31" s="91">
        <f>'META  EM PEÇAS'!Y39-('META  EM PEÇAS'!Y39*0.05)</f>
        <v>1747.5629999999999</v>
      </c>
      <c r="CC31" s="91">
        <f>'META  EM PEÇAS'!Z39-('META  EM PEÇAS'!Z39*0.05)</f>
        <v>1168.8705</v>
      </c>
      <c r="CD31" s="91">
        <f>'META  EM PEÇAS'!AA39-('META  EM PEÇAS'!AA39*0.05)</f>
        <v>1212.1619999999998</v>
      </c>
      <c r="CE31" s="91">
        <f>'META  EM PEÇAS'!AB39-('META  EM PEÇAS'!AB39*0.05)</f>
        <v>1314.6479999999999</v>
      </c>
      <c r="CF31" s="91">
        <f>'META  EM PEÇAS'!AC39-('META  EM PEÇAS'!AC39*0.05)</f>
        <v>1684.8344999999999</v>
      </c>
      <c r="CG31" s="91">
        <f>'META  EM PEÇAS'!AD39-('META  EM PEÇAS'!AD39*0.05)</f>
        <v>2373.9645</v>
      </c>
      <c r="CH31" s="91">
        <f t="shared" si="74"/>
        <v>16765.295999999995</v>
      </c>
      <c r="CJ31" s="91">
        <v>1335.48</v>
      </c>
      <c r="CK31" s="91">
        <v>1032.3</v>
      </c>
      <c r="CL31" s="91">
        <v>1160.0355</v>
      </c>
      <c r="CM31" s="91">
        <v>1075.2194999999999</v>
      </c>
      <c r="CN31" s="91">
        <v>1206.8609999999999</v>
      </c>
      <c r="CO31" s="91">
        <v>1453.3574999999998</v>
      </c>
      <c r="CP31" s="91">
        <v>1747.5629999999999</v>
      </c>
      <c r="CQ31" s="91">
        <v>1168.8705</v>
      </c>
      <c r="CR31" s="91">
        <v>1212.1619999999998</v>
      </c>
      <c r="CS31" s="91">
        <v>1314.6479999999999</v>
      </c>
      <c r="CT31" s="91">
        <v>1684.8344999999999</v>
      </c>
      <c r="CU31" s="91">
        <v>2373.9645</v>
      </c>
      <c r="CV31" s="91">
        <v>16765.295999999995</v>
      </c>
    </row>
    <row r="32" spans="1:100" ht="15" hidden="1" customHeight="1" outlineLevel="1">
      <c r="A32" s="94">
        <v>11</v>
      </c>
      <c r="B32" s="210" t="s">
        <v>66</v>
      </c>
      <c r="C32" s="211"/>
      <c r="D32" s="313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314">
        <f t="shared" si="69"/>
        <v>0</v>
      </c>
      <c r="Q32" s="90"/>
      <c r="R32" s="313">
        <v>0</v>
      </c>
      <c r="S32" s="91">
        <v>0</v>
      </c>
      <c r="T32" s="91">
        <v>0</v>
      </c>
      <c r="U32" s="91">
        <v>0</v>
      </c>
      <c r="V32" s="91">
        <v>4000</v>
      </c>
      <c r="W32" s="91">
        <v>100</v>
      </c>
      <c r="X32" s="91">
        <v>800</v>
      </c>
      <c r="Y32" s="91">
        <v>800</v>
      </c>
      <c r="Z32" s="91">
        <v>1200</v>
      </c>
      <c r="AA32" s="91">
        <v>1200</v>
      </c>
      <c r="AB32" s="91">
        <v>1800</v>
      </c>
      <c r="AC32" s="91">
        <v>2300</v>
      </c>
      <c r="AD32" s="315">
        <f t="shared" si="70"/>
        <v>12200</v>
      </c>
      <c r="AE32" s="23"/>
      <c r="AF32" s="316">
        <v>1500</v>
      </c>
      <c r="AG32" s="91">
        <v>1000</v>
      </c>
      <c r="AH32" s="91">
        <f t="shared" ref="AH32:AH33" si="77">1500*0.15</f>
        <v>225</v>
      </c>
      <c r="AI32" s="91">
        <v>324</v>
      </c>
      <c r="AJ32" s="91">
        <v>869</v>
      </c>
      <c r="AK32" s="91">
        <v>800</v>
      </c>
      <c r="AL32" s="91">
        <v>1500</v>
      </c>
      <c r="AM32" s="91">
        <v>1000</v>
      </c>
      <c r="AN32" s="91">
        <v>1000</v>
      </c>
      <c r="AO32" s="91">
        <v>1000</v>
      </c>
      <c r="AP32" s="91">
        <v>1100</v>
      </c>
      <c r="AQ32" s="91">
        <v>1600</v>
      </c>
      <c r="AR32" s="92">
        <f t="shared" si="71"/>
        <v>11918</v>
      </c>
      <c r="AS32" s="23"/>
      <c r="AT32" s="91">
        <v>1191</v>
      </c>
      <c r="AU32" s="91">
        <v>1191</v>
      </c>
      <c r="AV32" s="91">
        <v>1191</v>
      </c>
      <c r="AW32" s="91">
        <v>1191</v>
      </c>
      <c r="AX32" s="317">
        <v>876</v>
      </c>
      <c r="AY32" s="317">
        <v>876</v>
      </c>
      <c r="AZ32" s="317">
        <v>836</v>
      </c>
      <c r="BA32" s="317">
        <v>836</v>
      </c>
      <c r="BB32" s="317">
        <v>876</v>
      </c>
      <c r="BC32" s="317">
        <v>1035</v>
      </c>
      <c r="BD32" s="317">
        <v>0</v>
      </c>
      <c r="BE32" s="317">
        <v>0</v>
      </c>
      <c r="BF32" s="91">
        <f t="shared" si="72"/>
        <v>10099</v>
      </c>
      <c r="BG32" s="93">
        <f t="shared" si="73"/>
        <v>-0.15262627957711028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>
        <v>7342</v>
      </c>
      <c r="BU32" s="54"/>
      <c r="BV32" s="91">
        <v>1643.31</v>
      </c>
      <c r="BW32" s="91">
        <v>1270.3799999999999</v>
      </c>
      <c r="BX32" s="91">
        <f>'META  EM PEÇAS'!U40-('META  EM PEÇAS'!U40*0.05)</f>
        <v>1427.7359999999999</v>
      </c>
      <c r="BY32" s="91">
        <f>'META  EM PEÇAS'!V40-('META  EM PEÇAS'!V40*0.05)</f>
        <v>1323.4829999999999</v>
      </c>
      <c r="BZ32" s="91">
        <f>'META  EM PEÇAS'!W40-('META  EM PEÇAS'!W40*0.05)</f>
        <v>1485.1634999999999</v>
      </c>
      <c r="CA32" s="91">
        <f>'META  EM PEÇAS'!X40-('META  EM PEÇAS'!X40*0.05)</f>
        <v>1788.204</v>
      </c>
      <c r="CB32" s="91">
        <f>'META  EM PEÇAS'!Y40-('META  EM PEÇAS'!Y40*0.05)</f>
        <v>2151.3224999999998</v>
      </c>
      <c r="CC32" s="91">
        <f>'META  EM PEÇAS'!Z40-('META  EM PEÇAS'!Z40*0.05)</f>
        <v>1438.338</v>
      </c>
      <c r="CD32" s="91">
        <f>'META  EM PEÇAS'!AA40-('META  EM PEÇAS'!AA40*0.05)</f>
        <v>1491.348</v>
      </c>
      <c r="CE32" s="91">
        <f>'META  EM PEÇAS'!AB40-('META  EM PEÇAS'!AB40*0.05)</f>
        <v>1618.5719999999999</v>
      </c>
      <c r="CF32" s="91">
        <f>'META  EM PEÇAS'!AC40-('META  EM PEÇAS'!AC40*0.05)</f>
        <v>2073.5745000000002</v>
      </c>
      <c r="CG32" s="91">
        <f>'META  EM PEÇAS'!AD40-('META  EM PEÇAS'!AD40*0.05)</f>
        <v>2921.7344999999996</v>
      </c>
      <c r="CH32" s="91">
        <f t="shared" si="74"/>
        <v>20633.165999999997</v>
      </c>
      <c r="CJ32" s="91">
        <v>1643.31</v>
      </c>
      <c r="CK32" s="91">
        <v>1270.3799999999999</v>
      </c>
      <c r="CL32" s="91">
        <v>1427.7359999999999</v>
      </c>
      <c r="CM32" s="91">
        <v>1323.4829999999999</v>
      </c>
      <c r="CN32" s="91">
        <v>1485.1634999999999</v>
      </c>
      <c r="CO32" s="91">
        <v>1788.204</v>
      </c>
      <c r="CP32" s="91">
        <v>2151.3224999999998</v>
      </c>
      <c r="CQ32" s="91">
        <v>1438.338</v>
      </c>
      <c r="CR32" s="91">
        <v>1491.348</v>
      </c>
      <c r="CS32" s="91">
        <v>1618.5719999999999</v>
      </c>
      <c r="CT32" s="91">
        <v>2073.5745000000002</v>
      </c>
      <c r="CU32" s="91">
        <v>2921.7344999999996</v>
      </c>
      <c r="CV32" s="91">
        <v>20633.165999999997</v>
      </c>
    </row>
    <row r="33" spans="1:100" ht="15" hidden="1" customHeight="1" outlineLevel="1">
      <c r="A33" s="94">
        <v>12</v>
      </c>
      <c r="B33" s="210" t="s">
        <v>67</v>
      </c>
      <c r="C33" s="211"/>
      <c r="D33" s="313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314">
        <f t="shared" si="69"/>
        <v>0</v>
      </c>
      <c r="Q33" s="90"/>
      <c r="R33" s="313">
        <v>0</v>
      </c>
      <c r="S33" s="91">
        <v>0</v>
      </c>
      <c r="T33" s="91">
        <v>0</v>
      </c>
      <c r="U33" s="91">
        <v>0</v>
      </c>
      <c r="V33" s="91">
        <v>4000</v>
      </c>
      <c r="W33" s="91">
        <v>0</v>
      </c>
      <c r="X33" s="91">
        <v>800</v>
      </c>
      <c r="Y33" s="91">
        <v>1000</v>
      </c>
      <c r="Z33" s="91">
        <v>1200</v>
      </c>
      <c r="AA33" s="91">
        <v>1200</v>
      </c>
      <c r="AB33" s="91">
        <v>1800</v>
      </c>
      <c r="AC33" s="91">
        <v>2300</v>
      </c>
      <c r="AD33" s="315">
        <f t="shared" si="70"/>
        <v>12300</v>
      </c>
      <c r="AE33" s="23"/>
      <c r="AF33" s="316">
        <v>1500</v>
      </c>
      <c r="AG33" s="91">
        <v>1200</v>
      </c>
      <c r="AH33" s="91">
        <f t="shared" si="77"/>
        <v>225</v>
      </c>
      <c r="AI33" s="91">
        <v>332</v>
      </c>
      <c r="AJ33" s="91">
        <v>945</v>
      </c>
      <c r="AK33" s="91">
        <v>960</v>
      </c>
      <c r="AL33" s="91">
        <v>1500</v>
      </c>
      <c r="AM33" s="91">
        <v>1200</v>
      </c>
      <c r="AN33" s="91">
        <v>1200</v>
      </c>
      <c r="AO33" s="91">
        <v>1200</v>
      </c>
      <c r="AP33" s="91">
        <v>1320</v>
      </c>
      <c r="AQ33" s="91">
        <v>1920</v>
      </c>
      <c r="AR33" s="92">
        <f t="shared" si="71"/>
        <v>13502</v>
      </c>
      <c r="AS33" s="23"/>
      <c r="AT33" s="91">
        <v>1254</v>
      </c>
      <c r="AU33" s="91">
        <v>1254</v>
      </c>
      <c r="AV33" s="91">
        <v>1254</v>
      </c>
      <c r="AW33" s="91">
        <v>1254</v>
      </c>
      <c r="AX33" s="317">
        <v>1236</v>
      </c>
      <c r="AY33" s="317">
        <v>1236</v>
      </c>
      <c r="AZ33" s="317">
        <v>0</v>
      </c>
      <c r="BA33" s="317">
        <v>0</v>
      </c>
      <c r="BB33" s="317">
        <v>0</v>
      </c>
      <c r="BC33" s="317">
        <v>0</v>
      </c>
      <c r="BD33" s="317">
        <v>0</v>
      </c>
      <c r="BE33" s="317">
        <v>0</v>
      </c>
      <c r="BF33" s="91">
        <f t="shared" si="72"/>
        <v>7488</v>
      </c>
      <c r="BG33" s="93">
        <f t="shared" si="73"/>
        <v>-0.44541549400088876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>
        <v>16899</v>
      </c>
      <c r="BU33" s="54"/>
      <c r="BV33" s="91">
        <v>2552.85</v>
      </c>
      <c r="BW33" s="91">
        <v>1973.4599999999998</v>
      </c>
      <c r="BX33" s="91">
        <f>'META  EM PEÇAS'!U34-('META  EM PEÇAS'!U34*0.05)</f>
        <v>2218.4684999999999</v>
      </c>
      <c r="BY33" s="91">
        <f>'META  EM PEÇAS'!V34-('META  EM PEÇAS'!V34*0.05)</f>
        <v>2056.788</v>
      </c>
      <c r="BZ33" s="91">
        <f>'META  EM PEÇAS'!W34-('META  EM PEÇAS'!W34*0.05)</f>
        <v>2307.7019999999998</v>
      </c>
      <c r="CA33" s="91">
        <f>'META  EM PEÇAS'!X34-('META  EM PEÇAS'!X34*0.05)</f>
        <v>2778.6075000000001</v>
      </c>
      <c r="CB33" s="91">
        <f>'META  EM PEÇAS'!Y34-('META  EM PEÇAS'!Y34*0.05)</f>
        <v>3342.2804999999998</v>
      </c>
      <c r="CC33" s="91">
        <f>'META  EM PEÇAS'!Z34-('META  EM PEÇAS'!Z34*0.05)</f>
        <v>2234.3714999999997</v>
      </c>
      <c r="CD33" s="91">
        <f>'META  EM PEÇAS'!AA34-('META  EM PEÇAS'!AA34*0.05)</f>
        <v>2317.4204999999997</v>
      </c>
      <c r="CE33" s="91">
        <f>'META  EM PEÇAS'!AB34-('META  EM PEÇAS'!AB34*0.05)</f>
        <v>2514.4409999999998</v>
      </c>
      <c r="CF33" s="91">
        <f>'META  EM PEÇAS'!AC34-('META  EM PEÇAS'!AC34*0.05)</f>
        <v>3221.241</v>
      </c>
      <c r="CG33" s="91">
        <f>'META  EM PEÇAS'!AD34-('META  EM PEÇAS'!AD34*0.05)</f>
        <v>4539.4229999999989</v>
      </c>
      <c r="CH33" s="91">
        <f t="shared" si="74"/>
        <v>32057.053499999998</v>
      </c>
      <c r="CJ33" s="91">
        <v>2552.85</v>
      </c>
      <c r="CK33" s="91">
        <v>1973.4599999999998</v>
      </c>
      <c r="CL33" s="91">
        <v>2218.4684999999999</v>
      </c>
      <c r="CM33" s="91">
        <v>2056.788</v>
      </c>
      <c r="CN33" s="91">
        <v>2307.7019999999998</v>
      </c>
      <c r="CO33" s="91">
        <v>2778.6075000000001</v>
      </c>
      <c r="CP33" s="91">
        <v>3342.2804999999998</v>
      </c>
      <c r="CQ33" s="91">
        <v>2234.3714999999997</v>
      </c>
      <c r="CR33" s="91">
        <v>2317.4204999999997</v>
      </c>
      <c r="CS33" s="91">
        <v>2514.4409999999998</v>
      </c>
      <c r="CT33" s="91">
        <v>3221.241</v>
      </c>
      <c r="CU33" s="91">
        <v>4539.4229999999989</v>
      </c>
      <c r="CV33" s="91">
        <v>32057.053499999998</v>
      </c>
    </row>
    <row r="34" spans="1:100" ht="15" hidden="1" customHeight="1" outlineLevel="1">
      <c r="A34" s="94">
        <v>13</v>
      </c>
      <c r="B34" s="210" t="s">
        <v>68</v>
      </c>
      <c r="C34" s="212"/>
      <c r="D34" s="313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si="69"/>
        <v>0</v>
      </c>
      <c r="Q34" s="90"/>
      <c r="R34" s="313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2000</v>
      </c>
      <c r="Y34" s="91">
        <v>800</v>
      </c>
      <c r="Z34" s="91">
        <v>800</v>
      </c>
      <c r="AA34" s="91">
        <v>1200</v>
      </c>
      <c r="AB34" s="91">
        <v>1800</v>
      </c>
      <c r="AC34" s="91">
        <v>2300</v>
      </c>
      <c r="AD34" s="315">
        <f t="shared" si="70"/>
        <v>8900</v>
      </c>
      <c r="AE34" s="23"/>
      <c r="AF34" s="316">
        <v>1800</v>
      </c>
      <c r="AG34" s="91">
        <v>1200</v>
      </c>
      <c r="AH34" s="91">
        <f>1800*0.15</f>
        <v>270</v>
      </c>
      <c r="AI34" s="91">
        <v>896</v>
      </c>
      <c r="AJ34" s="91">
        <v>1339</v>
      </c>
      <c r="AK34" s="91">
        <v>1600</v>
      </c>
      <c r="AL34" s="91">
        <v>1800</v>
      </c>
      <c r="AM34" s="91">
        <v>2000</v>
      </c>
      <c r="AN34" s="91">
        <v>2000</v>
      </c>
      <c r="AO34" s="91">
        <v>2000</v>
      </c>
      <c r="AP34" s="91">
        <v>2200</v>
      </c>
      <c r="AQ34" s="91">
        <v>3200</v>
      </c>
      <c r="AR34" s="92">
        <f t="shared" si="71"/>
        <v>20305</v>
      </c>
      <c r="AS34" s="23"/>
      <c r="AT34" s="91">
        <v>1980</v>
      </c>
      <c r="AU34" s="91">
        <v>1980</v>
      </c>
      <c r="AV34" s="91">
        <v>1980</v>
      </c>
      <c r="AW34" s="91">
        <v>1980</v>
      </c>
      <c r="AX34" s="317">
        <v>1409</v>
      </c>
      <c r="AY34" s="317">
        <v>1409</v>
      </c>
      <c r="AZ34" s="317">
        <v>1345</v>
      </c>
      <c r="BA34" s="317">
        <v>1345</v>
      </c>
      <c r="BB34" s="317">
        <v>1409</v>
      </c>
      <c r="BC34" s="317">
        <v>1665</v>
      </c>
      <c r="BD34" s="317">
        <v>1793</v>
      </c>
      <c r="BE34" s="317">
        <v>2562</v>
      </c>
      <c r="BF34" s="91">
        <f t="shared" si="72"/>
        <v>20857</v>
      </c>
      <c r="BG34" s="93">
        <f t="shared" si="73"/>
        <v>2.7185422309775831E-2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>
        <v>11555</v>
      </c>
      <c r="BU34" s="54"/>
      <c r="BV34" s="91">
        <v>1903.7099999999998</v>
      </c>
      <c r="BW34" s="91">
        <v>1471.26</v>
      </c>
      <c r="BX34" s="91">
        <f>'META  EM PEÇAS'!U35-('META  EM PEÇAS'!U35*0.05)</f>
        <v>1654.7954999999999</v>
      </c>
      <c r="BY34" s="91">
        <f>'META  EM PEÇAS'!V35-('META  EM PEÇAS'!V35*0.05)</f>
        <v>1533.7559999999999</v>
      </c>
      <c r="BZ34" s="91">
        <f>'META  EM PEÇAS'!W35-('META  EM PEÇAS'!W35*0.05)</f>
        <v>1721.058</v>
      </c>
      <c r="CA34" s="91">
        <f>'META  EM PEÇAS'!X35-('META  EM PEÇAS'!X35*0.05)</f>
        <v>2071.8074999999999</v>
      </c>
      <c r="CB34" s="91">
        <f>'META  EM PEÇAS'!Y35-('META  EM PEÇAS'!Y35*0.05)</f>
        <v>2492.3534999999997</v>
      </c>
      <c r="CC34" s="91">
        <f>'META  EM PEÇAS'!Z35-('META  EM PEÇAS'!Z35*0.05)</f>
        <v>1666.2809999999997</v>
      </c>
      <c r="CD34" s="91">
        <f>'META  EM PEÇAS'!AA35-('META  EM PEÇAS'!AA35*0.05)</f>
        <v>1728.126</v>
      </c>
      <c r="CE34" s="91">
        <f>'META  EM PEÇAS'!AB35-('META  EM PEÇAS'!AB35*0.05)</f>
        <v>1874.7869999999998</v>
      </c>
      <c r="CF34" s="91">
        <f>'META  EM PEÇAS'!AC35-('META  EM PEÇAS'!AC35*0.05)</f>
        <v>2402.2364999999995</v>
      </c>
      <c r="CG34" s="91">
        <f>'META  EM PEÇAS'!AD35-('META  EM PEÇAS'!AD35*0.05)</f>
        <v>3384.6884999999997</v>
      </c>
      <c r="CH34" s="91">
        <f t="shared" si="74"/>
        <v>23904.859499999995</v>
      </c>
      <c r="CJ34" s="91">
        <v>1903.7099999999998</v>
      </c>
      <c r="CK34" s="91">
        <v>1471.26</v>
      </c>
      <c r="CL34" s="91">
        <v>1654.7954999999999</v>
      </c>
      <c r="CM34" s="91">
        <v>1533.7559999999999</v>
      </c>
      <c r="CN34" s="91">
        <v>1721.058</v>
      </c>
      <c r="CO34" s="91">
        <v>2071.8074999999999</v>
      </c>
      <c r="CP34" s="91">
        <v>2492.3534999999997</v>
      </c>
      <c r="CQ34" s="91">
        <v>1666.2809999999997</v>
      </c>
      <c r="CR34" s="91">
        <v>1728.126</v>
      </c>
      <c r="CS34" s="91">
        <v>1874.7869999999998</v>
      </c>
      <c r="CT34" s="91">
        <v>2402.2364999999995</v>
      </c>
      <c r="CU34" s="91">
        <v>3384.6884999999997</v>
      </c>
      <c r="CV34" s="91">
        <v>23904.859499999995</v>
      </c>
    </row>
    <row r="35" spans="1:100" ht="15" hidden="1" customHeight="1" outlineLevel="1">
      <c r="A35" s="94">
        <v>14</v>
      </c>
      <c r="B35" s="210" t="s">
        <v>69</v>
      </c>
      <c r="C35" s="212"/>
      <c r="D35" s="313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/>
      <c r="Q35" s="90"/>
      <c r="R35" s="313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2000</v>
      </c>
      <c r="Z35" s="91">
        <v>800</v>
      </c>
      <c r="AA35" s="91">
        <v>800</v>
      </c>
      <c r="AB35" s="91">
        <v>1200</v>
      </c>
      <c r="AC35" s="91">
        <v>1800</v>
      </c>
      <c r="AD35" s="315">
        <f t="shared" si="70"/>
        <v>6600</v>
      </c>
      <c r="AE35" s="23"/>
      <c r="AF35" s="316">
        <v>1500</v>
      </c>
      <c r="AG35" s="91">
        <v>1200</v>
      </c>
      <c r="AH35" s="91">
        <f>1500*0.15</f>
        <v>225</v>
      </c>
      <c r="AI35" s="91">
        <v>374</v>
      </c>
      <c r="AJ35" s="91">
        <v>990</v>
      </c>
      <c r="AK35" s="91">
        <v>960</v>
      </c>
      <c r="AL35" s="91">
        <v>1800</v>
      </c>
      <c r="AM35" s="91">
        <v>1200</v>
      </c>
      <c r="AN35" s="91">
        <v>1200</v>
      </c>
      <c r="AO35" s="91">
        <v>1200</v>
      </c>
      <c r="AP35" s="91">
        <v>1320</v>
      </c>
      <c r="AQ35" s="91">
        <v>1920</v>
      </c>
      <c r="AR35" s="92">
        <f t="shared" si="71"/>
        <v>13889</v>
      </c>
      <c r="AS35" s="23"/>
      <c r="AT35" s="91">
        <v>1518</v>
      </c>
      <c r="AU35" s="91">
        <v>1518</v>
      </c>
      <c r="AV35" s="91">
        <v>1518</v>
      </c>
      <c r="AW35" s="91">
        <v>1518</v>
      </c>
      <c r="AX35" s="317">
        <v>1276</v>
      </c>
      <c r="AY35" s="317">
        <v>1276</v>
      </c>
      <c r="AZ35" s="317">
        <v>1218</v>
      </c>
      <c r="BA35" s="317">
        <v>1218</v>
      </c>
      <c r="BB35" s="317">
        <v>1276</v>
      </c>
      <c r="BC35" s="317">
        <v>1508</v>
      </c>
      <c r="BD35" s="317">
        <v>1624</v>
      </c>
      <c r="BE35" s="317">
        <v>2320</v>
      </c>
      <c r="BF35" s="91">
        <f t="shared" si="72"/>
        <v>17788</v>
      </c>
      <c r="BG35" s="93">
        <f t="shared" si="73"/>
        <v>0.2807257541939665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>
        <v>19018</v>
      </c>
      <c r="BU35" s="54"/>
      <c r="BV35" s="91">
        <v>2737.9199999999996</v>
      </c>
      <c r="BW35" s="91">
        <v>2116.6799999999998</v>
      </c>
      <c r="BX35" s="91">
        <f>'META  EM PEÇAS'!U36-('META  EM PEÇAS'!U36*0.05)</f>
        <v>2379.2655</v>
      </c>
      <c r="BY35" s="91">
        <f>'META  EM PEÇAS'!V36-('META  EM PEÇAS'!V36*0.05)</f>
        <v>2205.2159999999999</v>
      </c>
      <c r="BZ35" s="91">
        <f>'META  EM PEÇAS'!W36-('META  EM PEÇAS'!W36*0.05)</f>
        <v>2474.6834999999996</v>
      </c>
      <c r="CA35" s="91">
        <f>'META  EM PEÇAS'!X36-('META  EM PEÇAS'!X36*0.05)</f>
        <v>2980.0454999999997</v>
      </c>
      <c r="CB35" s="91">
        <f>'META  EM PEÇAS'!Y36-('META  EM PEÇAS'!Y36*0.05)</f>
        <v>3584.3594999999996</v>
      </c>
      <c r="CC35" s="91">
        <f>'META  EM PEÇAS'!Z36-('META  EM PEÇAS'!Z36*0.05)</f>
        <v>2396.0519999999997</v>
      </c>
      <c r="CD35" s="91">
        <f>'META  EM PEÇAS'!AA36-('META  EM PEÇAS'!AA36*0.05)</f>
        <v>2485.2854999999995</v>
      </c>
      <c r="CE35" s="91">
        <f>'META  EM PEÇAS'!AB36-('META  EM PEÇAS'!AB36*0.05)</f>
        <v>2696.4419999999996</v>
      </c>
      <c r="CF35" s="91">
        <f>'META  EM PEÇAS'!AC36-('META  EM PEÇAS'!AC36*0.05)</f>
        <v>3454.4849999999997</v>
      </c>
      <c r="CG35" s="91">
        <f>'META  EM PEÇAS'!AD36-('META  EM PEÇAS'!AD36*0.05)</f>
        <v>4868.0849999999991</v>
      </c>
      <c r="CH35" s="91">
        <f t="shared" si="74"/>
        <v>34378.519499999995</v>
      </c>
      <c r="CJ35" s="91">
        <v>2737.9199999999996</v>
      </c>
      <c r="CK35" s="91">
        <v>2116.6799999999998</v>
      </c>
      <c r="CL35" s="91">
        <v>2379.2655</v>
      </c>
      <c r="CM35" s="91">
        <v>2205.2159999999999</v>
      </c>
      <c r="CN35" s="91">
        <v>2474.6834999999996</v>
      </c>
      <c r="CO35" s="91">
        <v>2980.0454999999997</v>
      </c>
      <c r="CP35" s="91">
        <v>3584.3594999999996</v>
      </c>
      <c r="CQ35" s="91">
        <v>2396.0519999999997</v>
      </c>
      <c r="CR35" s="91">
        <v>2485.2854999999995</v>
      </c>
      <c r="CS35" s="91">
        <v>2696.4419999999996</v>
      </c>
      <c r="CT35" s="91">
        <v>3454.4849999999997</v>
      </c>
      <c r="CU35" s="91">
        <v>4868.0849999999991</v>
      </c>
      <c r="CV35" s="91">
        <v>34378.519499999995</v>
      </c>
    </row>
    <row r="36" spans="1:100" ht="15" hidden="1" customHeight="1" outlineLevel="1">
      <c r="A36" s="94">
        <v>15</v>
      </c>
      <c r="B36" s="210" t="s">
        <v>70</v>
      </c>
      <c r="C36" s="212"/>
      <c r="D36" s="313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/>
      <c r="Q36" s="90"/>
      <c r="R36" s="313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2000</v>
      </c>
      <c r="AA36" s="91">
        <v>800</v>
      </c>
      <c r="AB36" s="91">
        <v>800</v>
      </c>
      <c r="AC36" s="91">
        <v>1500</v>
      </c>
      <c r="AD36" s="315">
        <f t="shared" si="70"/>
        <v>5100</v>
      </c>
      <c r="AE36" s="23"/>
      <c r="AF36" s="316">
        <v>1800</v>
      </c>
      <c r="AG36" s="91">
        <v>1200</v>
      </c>
      <c r="AH36" s="91">
        <f>1800*0.4</f>
        <v>720</v>
      </c>
      <c r="AI36" s="91">
        <v>1147</v>
      </c>
      <c r="AJ36" s="91">
        <v>1155</v>
      </c>
      <c r="AK36" s="91">
        <v>1600</v>
      </c>
      <c r="AL36" s="91">
        <v>1800</v>
      </c>
      <c r="AM36" s="91">
        <v>2000</v>
      </c>
      <c r="AN36" s="91">
        <v>2000</v>
      </c>
      <c r="AO36" s="91">
        <v>2000</v>
      </c>
      <c r="AP36" s="91">
        <v>2200</v>
      </c>
      <c r="AQ36" s="91">
        <v>3200</v>
      </c>
      <c r="AR36" s="92">
        <f t="shared" si="71"/>
        <v>20822</v>
      </c>
      <c r="AS36" s="23"/>
      <c r="AT36" s="91">
        <v>1544</v>
      </c>
      <c r="AU36" s="91">
        <v>1544</v>
      </c>
      <c r="AV36" s="91">
        <v>1544</v>
      </c>
      <c r="AW36" s="91">
        <v>1544</v>
      </c>
      <c r="AX36" s="317">
        <v>862</v>
      </c>
      <c r="AY36" s="317">
        <v>862</v>
      </c>
      <c r="AZ36" s="317">
        <v>823</v>
      </c>
      <c r="BA36" s="317">
        <v>823</v>
      </c>
      <c r="BB36" s="317">
        <v>862</v>
      </c>
      <c r="BC36" s="317">
        <v>1019</v>
      </c>
      <c r="BD36" s="317">
        <v>1098</v>
      </c>
      <c r="BE36" s="317">
        <v>1568</v>
      </c>
      <c r="BF36" s="91">
        <f t="shared" si="72"/>
        <v>14093</v>
      </c>
      <c r="BG36" s="93">
        <f t="shared" si="73"/>
        <v>-0.32316780328498707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>
        <v>21133</v>
      </c>
      <c r="BU36" s="54"/>
      <c r="BV36" s="91">
        <v>3593.52</v>
      </c>
      <c r="BW36" s="91">
        <v>2776.98</v>
      </c>
      <c r="BX36" s="91">
        <f>'META  EM PEÇAS'!U38-('META  EM PEÇAS'!U38*0.05)</f>
        <v>3122.2889999999998</v>
      </c>
      <c r="BY36" s="91">
        <f>'META  EM PEÇAS'!V38-('META  EM PEÇAS'!V38*0.05)</f>
        <v>2893.4625000000001</v>
      </c>
      <c r="BZ36" s="91">
        <f>'META  EM PEÇAS'!W38-('META  EM PEÇAS'!W38*0.05)</f>
        <v>3247.7459999999996</v>
      </c>
      <c r="CA36" s="91">
        <f>'META  EM PEÇAS'!X38-('META  EM PEÇAS'!X38*0.05)</f>
        <v>3910.3709999999992</v>
      </c>
      <c r="CB36" s="91">
        <f>'META  EM PEÇAS'!Y38-('META  EM PEÇAS'!Y38*0.05)</f>
        <v>4703.7539999999999</v>
      </c>
      <c r="CC36" s="91">
        <f>'META  EM PEÇAS'!Z38-('META  EM PEÇAS'!Z38*0.05)</f>
        <v>3144.3764999999999</v>
      </c>
      <c r="CD36" s="91">
        <f>'META  EM PEÇAS'!AA38-('META  EM PEÇAS'!AA38*0.05)</f>
        <v>3260.9984999999997</v>
      </c>
      <c r="CE36" s="91">
        <f>'META  EM PEÇAS'!AB38-('META  EM PEÇAS'!AB38*0.05)</f>
        <v>3539.3009999999999</v>
      </c>
      <c r="CF36" s="91">
        <f>'META  EM PEÇAS'!AC38-('META  EM PEÇAS'!AC38*0.05)</f>
        <v>4533.2384999999995</v>
      </c>
      <c r="CG36" s="91">
        <f>'META  EM PEÇAS'!AD38-('META  EM PEÇAS'!AD38*0.05)</f>
        <v>6387.7049999999999</v>
      </c>
      <c r="CH36" s="91">
        <f t="shared" si="74"/>
        <v>45113.741999999998</v>
      </c>
      <c r="CJ36" s="91">
        <v>3593.52</v>
      </c>
      <c r="CK36" s="91">
        <v>2776.98</v>
      </c>
      <c r="CL36" s="91">
        <v>3122.2889999999998</v>
      </c>
      <c r="CM36" s="91">
        <v>2893.4625000000001</v>
      </c>
      <c r="CN36" s="91">
        <v>3247.7459999999996</v>
      </c>
      <c r="CO36" s="91">
        <v>3910.3709999999992</v>
      </c>
      <c r="CP36" s="91">
        <v>4703.7539999999999</v>
      </c>
      <c r="CQ36" s="91">
        <v>3144.3764999999999</v>
      </c>
      <c r="CR36" s="91">
        <v>3260.9984999999997</v>
      </c>
      <c r="CS36" s="91">
        <v>3539.3009999999999</v>
      </c>
      <c r="CT36" s="91">
        <v>4533.2384999999995</v>
      </c>
      <c r="CU36" s="91">
        <v>6387.7049999999999</v>
      </c>
      <c r="CV36" s="91">
        <v>45113.741999999998</v>
      </c>
    </row>
    <row r="37" spans="1:100" ht="15" hidden="1" customHeight="1" outlineLevel="1">
      <c r="A37" s="94">
        <v>16</v>
      </c>
      <c r="B37" s="216" t="s">
        <v>71</v>
      </c>
      <c r="C37" s="212"/>
      <c r="D37" s="313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/>
      <c r="Q37" s="90"/>
      <c r="R37" s="313"/>
      <c r="S37" s="91"/>
      <c r="T37" s="91"/>
      <c r="U37" s="91"/>
      <c r="V37" s="91"/>
      <c r="W37" s="91"/>
      <c r="X37" s="91"/>
      <c r="Y37" s="91"/>
      <c r="Z37" s="91"/>
      <c r="AA37" s="91">
        <v>800</v>
      </c>
      <c r="AB37" s="91">
        <v>800</v>
      </c>
      <c r="AC37" s="91">
        <v>1500</v>
      </c>
      <c r="AD37" s="315"/>
      <c r="AE37" s="23"/>
      <c r="AF37" s="316">
        <v>1500</v>
      </c>
      <c r="AG37" s="91">
        <v>1200</v>
      </c>
      <c r="AH37" s="91">
        <f>1500*0.15</f>
        <v>225</v>
      </c>
      <c r="AI37" s="91">
        <v>192</v>
      </c>
      <c r="AJ37" s="91">
        <v>663</v>
      </c>
      <c r="AK37" s="91">
        <v>800</v>
      </c>
      <c r="AL37" s="91">
        <v>1500</v>
      </c>
      <c r="AM37" s="91">
        <v>1000</v>
      </c>
      <c r="AN37" s="91">
        <v>1000</v>
      </c>
      <c r="AO37" s="91">
        <v>1000</v>
      </c>
      <c r="AP37" s="91">
        <v>1100</v>
      </c>
      <c r="AQ37" s="91">
        <v>1600</v>
      </c>
      <c r="AR37" s="92">
        <f t="shared" si="71"/>
        <v>11780</v>
      </c>
      <c r="AS37" s="23"/>
      <c r="AT37" s="91">
        <v>960</v>
      </c>
      <c r="AU37" s="91">
        <v>960</v>
      </c>
      <c r="AV37" s="91">
        <v>960</v>
      </c>
      <c r="AW37" s="91">
        <v>960</v>
      </c>
      <c r="AX37" s="317">
        <v>1414</v>
      </c>
      <c r="AY37" s="317">
        <v>1414</v>
      </c>
      <c r="AZ37" s="317">
        <v>1350</v>
      </c>
      <c r="BA37" s="317">
        <v>1350</v>
      </c>
      <c r="BB37" s="317">
        <v>1414</v>
      </c>
      <c r="BC37" s="317">
        <v>1671</v>
      </c>
      <c r="BD37" s="317">
        <v>1800</v>
      </c>
      <c r="BE37" s="317">
        <v>2571</v>
      </c>
      <c r="BF37" s="91">
        <f t="shared" si="72"/>
        <v>16824</v>
      </c>
      <c r="BG37" s="93">
        <f t="shared" si="73"/>
        <v>0.42818336162988113</v>
      </c>
      <c r="BH37" s="91">
        <v>900</v>
      </c>
      <c r="BI37" s="91">
        <v>643</v>
      </c>
      <c r="BJ37" s="91">
        <v>891</v>
      </c>
      <c r="BK37" s="91">
        <v>679</v>
      </c>
      <c r="BL37" s="91">
        <v>940</v>
      </c>
      <c r="BM37" s="91">
        <v>948</v>
      </c>
      <c r="BN37" s="91">
        <v>1124</v>
      </c>
      <c r="BO37" s="91">
        <v>913</v>
      </c>
      <c r="BP37" s="91">
        <v>911</v>
      </c>
      <c r="BQ37" s="91">
        <v>898</v>
      </c>
      <c r="BR37" s="91">
        <v>1465</v>
      </c>
      <c r="BS37" s="91">
        <v>1278</v>
      </c>
      <c r="BT37" s="91">
        <f>SUM(BH37:BS37)</f>
        <v>11590</v>
      </c>
      <c r="BU37" s="54"/>
      <c r="BV37" s="91">
        <f>'META  EM PEÇAS'!T47</f>
        <v>1749.7324726431702</v>
      </c>
      <c r="BW37" s="91">
        <f>'META  EM PEÇAS'!T48</f>
        <v>1701.1287928475265</v>
      </c>
      <c r="BX37" s="91">
        <f>'META  EM PEÇAS'!T49</f>
        <v>1846.9398322344578</v>
      </c>
      <c r="BY37" s="91">
        <f>'META  EM PEÇAS'!T50</f>
        <v>1701.1287928475265</v>
      </c>
      <c r="BZ37" s="91">
        <f>'META  EM PEÇAS'!T51</f>
        <v>1846.9398322344578</v>
      </c>
      <c r="CA37" s="91">
        <f>'META  EM PEÇAS'!T52</f>
        <v>1749.7324726431702</v>
      </c>
      <c r="CB37" s="91">
        <f>'META  EM PEÇAS'!T53</f>
        <v>2138.5619110083194</v>
      </c>
      <c r="CC37" s="91">
        <f>'META  EM PEÇAS'!T54</f>
        <v>1749.7324726431702</v>
      </c>
      <c r="CD37" s="91">
        <f>'META  EM PEÇAS'!T55</f>
        <v>1749.7324726431702</v>
      </c>
      <c r="CE37" s="91">
        <f>'META  EM PEÇAS'!T56</f>
        <v>1749.7324726431702</v>
      </c>
      <c r="CF37" s="91">
        <f>'META  EM PEÇAS'!T57</f>
        <v>2721.8060685560426</v>
      </c>
      <c r="CG37" s="91">
        <f>'META  EM PEÇAS'!T58</f>
        <v>1944.1471918257448</v>
      </c>
      <c r="CH37" s="91">
        <f t="shared" si="74"/>
        <v>22649.314784769926</v>
      </c>
      <c r="CJ37" s="91">
        <v>1749.7324726431702</v>
      </c>
      <c r="CK37" s="91">
        <v>1701.1287928475265</v>
      </c>
      <c r="CL37" s="91">
        <v>1846.9398322344578</v>
      </c>
      <c r="CM37" s="91">
        <v>1701.1287928475265</v>
      </c>
      <c r="CN37" s="91">
        <v>1846.9398322344578</v>
      </c>
      <c r="CO37" s="91">
        <v>1749.7324726431702</v>
      </c>
      <c r="CP37" s="91">
        <v>2138.5619110083194</v>
      </c>
      <c r="CQ37" s="91">
        <v>1749.7324726431702</v>
      </c>
      <c r="CR37" s="91">
        <v>1749.7324726431702</v>
      </c>
      <c r="CS37" s="91">
        <v>1749.7324726431702</v>
      </c>
      <c r="CT37" s="91">
        <v>2721.8060685560426</v>
      </c>
      <c r="CU37" s="91">
        <v>1944.1471918257448</v>
      </c>
      <c r="CV37" s="91">
        <v>22649.314784769926</v>
      </c>
    </row>
    <row r="38" spans="1:100" ht="15" hidden="1" customHeight="1" outlineLevel="1">
      <c r="A38" s="94"/>
      <c r="B38" s="210"/>
      <c r="C38" s="213"/>
      <c r="D38" s="313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/>
      <c r="Q38" s="90"/>
      <c r="R38" s="313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315"/>
      <c r="AE38" s="23"/>
      <c r="AF38" s="316">
        <v>0</v>
      </c>
      <c r="AG38" s="91">
        <v>0</v>
      </c>
      <c r="AH38" s="91">
        <v>0</v>
      </c>
      <c r="AI38" s="91">
        <v>0</v>
      </c>
      <c r="AJ38" s="91">
        <v>0</v>
      </c>
      <c r="AK38" s="91">
        <v>400</v>
      </c>
      <c r="AL38" s="91">
        <v>500</v>
      </c>
      <c r="AM38" s="91">
        <v>500</v>
      </c>
      <c r="AN38" s="91">
        <v>600</v>
      </c>
      <c r="AO38" s="91">
        <v>600</v>
      </c>
      <c r="AP38" s="91">
        <v>660</v>
      </c>
      <c r="AQ38" s="91">
        <v>960</v>
      </c>
      <c r="AR38" s="92">
        <f t="shared" si="71"/>
        <v>4220</v>
      </c>
      <c r="AS38" s="23"/>
      <c r="AT38" s="91">
        <v>960</v>
      </c>
      <c r="AU38" s="91">
        <v>960</v>
      </c>
      <c r="AV38" s="91">
        <v>960</v>
      </c>
      <c r="AW38" s="91">
        <v>960</v>
      </c>
      <c r="AX38" s="317">
        <v>580</v>
      </c>
      <c r="AY38" s="317">
        <v>580</v>
      </c>
      <c r="AZ38" s="317">
        <v>554</v>
      </c>
      <c r="BA38" s="317">
        <v>554</v>
      </c>
      <c r="BB38" s="317">
        <v>580</v>
      </c>
      <c r="BC38" s="317">
        <v>686</v>
      </c>
      <c r="BD38" s="317">
        <v>739</v>
      </c>
      <c r="BE38" s="317">
        <v>1055</v>
      </c>
      <c r="BF38" s="91">
        <f t="shared" si="72"/>
        <v>9168</v>
      </c>
      <c r="BG38" s="93">
        <f t="shared" si="73"/>
        <v>1.172511848341232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54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  <c r="CJ38" s="91"/>
      <c r="CK38" s="91"/>
      <c r="CL38" s="91"/>
      <c r="CM38" s="91"/>
      <c r="CN38" s="91"/>
      <c r="CO38" s="91"/>
      <c r="CP38" s="91"/>
      <c r="CQ38" s="91"/>
      <c r="CR38" s="91"/>
      <c r="CS38" s="91"/>
      <c r="CT38" s="91"/>
      <c r="CU38" s="91"/>
      <c r="CV38" s="91"/>
    </row>
    <row r="39" spans="1:100" ht="15" hidden="1" customHeight="1" outlineLevel="1">
      <c r="A39" s="95"/>
      <c r="B39" s="216"/>
      <c r="C39" s="420"/>
      <c r="D39" s="421"/>
      <c r="E39" s="422"/>
      <c r="F39" s="422"/>
      <c r="G39" s="422"/>
      <c r="H39" s="422"/>
      <c r="I39" s="422"/>
      <c r="J39" s="422"/>
      <c r="K39" s="422"/>
      <c r="L39" s="422"/>
      <c r="M39" s="422"/>
      <c r="N39" s="422"/>
      <c r="O39" s="422"/>
      <c r="P39" s="423"/>
      <c r="Q39" s="424"/>
      <c r="R39" s="421"/>
      <c r="S39" s="425"/>
      <c r="T39" s="425"/>
      <c r="U39" s="425"/>
      <c r="V39" s="425"/>
      <c r="W39" s="425"/>
      <c r="X39" s="425"/>
      <c r="Y39" s="425"/>
      <c r="Z39" s="425"/>
      <c r="AA39" s="425"/>
      <c r="AB39" s="425"/>
      <c r="AC39" s="425"/>
      <c r="AD39" s="426"/>
      <c r="AE39" s="427"/>
      <c r="AF39" s="428">
        <v>0</v>
      </c>
      <c r="AG39" s="425">
        <v>0</v>
      </c>
      <c r="AH39" s="425">
        <v>0</v>
      </c>
      <c r="AI39" s="425">
        <v>0</v>
      </c>
      <c r="AJ39" s="425">
        <v>0</v>
      </c>
      <c r="AK39" s="425">
        <v>0</v>
      </c>
      <c r="AL39" s="425">
        <v>2500</v>
      </c>
      <c r="AM39" s="425">
        <v>2000</v>
      </c>
      <c r="AN39" s="425">
        <v>500</v>
      </c>
      <c r="AO39" s="425">
        <v>600</v>
      </c>
      <c r="AP39" s="425">
        <v>660</v>
      </c>
      <c r="AQ39" s="425">
        <v>960</v>
      </c>
      <c r="AR39" s="429">
        <f t="shared" si="71"/>
        <v>7220</v>
      </c>
      <c r="AS39" s="23"/>
      <c r="AT39" s="425">
        <v>1518</v>
      </c>
      <c r="AU39" s="425">
        <v>1518</v>
      </c>
      <c r="AV39" s="425">
        <v>1518</v>
      </c>
      <c r="AW39" s="425">
        <v>1518</v>
      </c>
      <c r="AX39" s="317">
        <v>1943</v>
      </c>
      <c r="AY39" s="317">
        <v>1943</v>
      </c>
      <c r="AZ39" s="317">
        <v>1854</v>
      </c>
      <c r="BA39" s="317">
        <v>1854</v>
      </c>
      <c r="BB39" s="317">
        <v>1943</v>
      </c>
      <c r="BC39" s="317">
        <v>2296</v>
      </c>
      <c r="BD39" s="317">
        <v>2472</v>
      </c>
      <c r="BE39" s="317">
        <v>3532</v>
      </c>
      <c r="BF39" s="425">
        <f t="shared" si="72"/>
        <v>23909</v>
      </c>
      <c r="BG39" s="93">
        <f t="shared" si="73"/>
        <v>2.3114958448753464</v>
      </c>
      <c r="BH39" s="425"/>
      <c r="BI39" s="425"/>
      <c r="BJ39" s="425"/>
      <c r="BK39" s="425"/>
      <c r="BL39" s="91"/>
      <c r="BM39" s="91"/>
      <c r="BN39" s="91"/>
      <c r="BO39" s="91"/>
      <c r="BP39" s="91"/>
      <c r="BQ39" s="91"/>
      <c r="BR39" s="91"/>
      <c r="BS39" s="91"/>
      <c r="BT39" s="91"/>
      <c r="BU39" s="54"/>
      <c r="BV39" s="425"/>
      <c r="BW39" s="425"/>
      <c r="BX39" s="425"/>
      <c r="BY39" s="425"/>
      <c r="BZ39" s="91"/>
      <c r="CA39" s="91"/>
      <c r="CB39" s="91"/>
      <c r="CC39" s="91"/>
      <c r="CD39" s="91"/>
      <c r="CE39" s="91"/>
      <c r="CF39" s="91"/>
      <c r="CG39" s="91"/>
      <c r="CH39" s="91"/>
      <c r="CJ39" s="425"/>
      <c r="CK39" s="425"/>
      <c r="CL39" s="425"/>
      <c r="CM39" s="425"/>
      <c r="CN39" s="91"/>
      <c r="CO39" s="91"/>
      <c r="CP39" s="91"/>
      <c r="CQ39" s="91"/>
      <c r="CR39" s="91"/>
      <c r="CS39" s="91"/>
      <c r="CT39" s="91"/>
      <c r="CU39" s="91"/>
      <c r="CV39" s="91"/>
    </row>
    <row r="40" spans="1:100" ht="15" hidden="1" customHeight="1" outlineLevel="1">
      <c r="A40" s="434"/>
      <c r="B40" s="1093"/>
      <c r="C40" s="1094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6"/>
      <c r="AF40" s="437">
        <v>0</v>
      </c>
      <c r="AG40" s="437">
        <v>0</v>
      </c>
      <c r="AH40" s="437">
        <v>0</v>
      </c>
      <c r="AI40" s="437">
        <v>0</v>
      </c>
      <c r="AJ40" s="437">
        <v>0</v>
      </c>
      <c r="AK40" s="437">
        <v>0</v>
      </c>
      <c r="AL40" s="437">
        <v>0</v>
      </c>
      <c r="AM40" s="437">
        <v>0</v>
      </c>
      <c r="AN40" s="437">
        <v>0</v>
      </c>
      <c r="AO40" s="437">
        <v>0</v>
      </c>
      <c r="AP40" s="437">
        <v>0</v>
      </c>
      <c r="AQ40" s="437">
        <v>0</v>
      </c>
      <c r="AR40" s="438">
        <f t="shared" si="71"/>
        <v>0</v>
      </c>
      <c r="AS40" s="322"/>
      <c r="AT40" s="437">
        <v>0</v>
      </c>
      <c r="AU40" s="437">
        <v>0</v>
      </c>
      <c r="AV40" s="437">
        <v>0</v>
      </c>
      <c r="AW40" s="437">
        <v>0</v>
      </c>
      <c r="AX40" s="439">
        <v>800</v>
      </c>
      <c r="AY40" s="317">
        <v>800</v>
      </c>
      <c r="AZ40" s="317">
        <v>800</v>
      </c>
      <c r="BA40" s="317">
        <v>1050</v>
      </c>
      <c r="BB40" s="317">
        <v>1100</v>
      </c>
      <c r="BC40" s="317">
        <v>1300</v>
      </c>
      <c r="BD40" s="317">
        <v>1400</v>
      </c>
      <c r="BE40" s="440">
        <v>2000</v>
      </c>
      <c r="BF40" s="437">
        <f t="shared" si="72"/>
        <v>9250</v>
      </c>
      <c r="BG40" s="325" t="e">
        <f t="shared" si="73"/>
        <v>#DIV/0!</v>
      </c>
      <c r="BH40" s="437"/>
      <c r="BI40" s="437"/>
      <c r="BJ40" s="437"/>
      <c r="BK40" s="437"/>
      <c r="BL40" s="439"/>
      <c r="BM40" s="317"/>
      <c r="BN40" s="317"/>
      <c r="BO40" s="317"/>
      <c r="BP40" s="317"/>
      <c r="BQ40" s="317"/>
      <c r="BR40" s="317"/>
      <c r="BS40" s="317"/>
      <c r="BT40" s="317"/>
      <c r="BU40" s="326"/>
      <c r="BV40" s="443"/>
      <c r="BW40" s="443"/>
      <c r="BX40" s="443"/>
      <c r="BY40" s="443"/>
      <c r="BZ40" s="444"/>
      <c r="CA40" s="317"/>
      <c r="CB40" s="317"/>
      <c r="CC40" s="317"/>
      <c r="CD40" s="317"/>
      <c r="CE40" s="317"/>
      <c r="CF40" s="317"/>
      <c r="CG40" s="317"/>
      <c r="CH40" s="317"/>
      <c r="CJ40" s="443"/>
      <c r="CK40" s="443"/>
      <c r="CL40" s="443"/>
      <c r="CM40" s="443"/>
      <c r="CN40" s="444"/>
      <c r="CO40" s="317"/>
      <c r="CP40" s="317"/>
      <c r="CQ40" s="317"/>
      <c r="CR40" s="317"/>
      <c r="CS40" s="317"/>
      <c r="CT40" s="317"/>
      <c r="CU40" s="317"/>
      <c r="CV40" s="317"/>
    </row>
    <row r="41" spans="1:100" ht="15" hidden="1" customHeight="1" outlineLevel="1">
      <c r="A41" s="430"/>
      <c r="B41" s="214"/>
      <c r="C41" s="431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24"/>
      <c r="R41" s="424"/>
      <c r="S41" s="432"/>
      <c r="T41" s="432"/>
      <c r="U41" s="432"/>
      <c r="V41" s="432"/>
      <c r="W41" s="432"/>
      <c r="X41" s="432"/>
      <c r="Y41" s="432"/>
      <c r="Z41" s="432"/>
      <c r="AA41" s="432"/>
      <c r="AB41" s="432"/>
      <c r="AC41" s="432"/>
      <c r="AD41" s="432"/>
      <c r="AE41" s="427"/>
      <c r="AF41" s="432"/>
      <c r="AG41" s="432"/>
      <c r="AH41" s="432"/>
      <c r="AI41" s="432"/>
      <c r="AJ41" s="432"/>
      <c r="AK41" s="432"/>
      <c r="AL41" s="432"/>
      <c r="AM41" s="432"/>
      <c r="AN41" s="432"/>
      <c r="AO41" s="432"/>
      <c r="AP41" s="432"/>
      <c r="AQ41" s="432"/>
      <c r="AR41" s="433"/>
      <c r="AS41" s="23"/>
      <c r="AT41" s="97"/>
      <c r="AU41" s="97"/>
      <c r="AV41" s="97"/>
      <c r="AW41" s="97"/>
      <c r="AX41" s="91"/>
      <c r="AY41" s="91"/>
      <c r="AZ41" s="91"/>
      <c r="BA41" s="91"/>
      <c r="BB41" s="91"/>
      <c r="BC41" s="91"/>
      <c r="BD41" s="91">
        <v>600</v>
      </c>
      <c r="BE41" s="315">
        <v>700</v>
      </c>
      <c r="BF41" s="437">
        <f t="shared" si="72"/>
        <v>1300</v>
      </c>
      <c r="BG41" s="93"/>
      <c r="BH41" s="442"/>
      <c r="BI41" s="442"/>
      <c r="BJ41" s="442"/>
      <c r="BK41" s="442"/>
      <c r="BL41" s="316"/>
      <c r="BM41" s="91"/>
      <c r="BN41" s="91"/>
      <c r="BO41" s="91"/>
      <c r="BP41" s="91"/>
      <c r="BQ41" s="91"/>
      <c r="BR41" s="91"/>
      <c r="BS41" s="91"/>
      <c r="BT41" s="91"/>
      <c r="BU41" s="54"/>
      <c r="BV41" s="442"/>
      <c r="BW41" s="442"/>
      <c r="BX41" s="442"/>
      <c r="BY41" s="442"/>
      <c r="BZ41" s="442"/>
      <c r="CA41" s="316"/>
      <c r="CB41" s="91"/>
      <c r="CC41" s="91"/>
      <c r="CD41" s="91"/>
      <c r="CE41" s="91"/>
      <c r="CF41" s="91"/>
      <c r="CG41" s="91"/>
      <c r="CH41" s="91"/>
      <c r="CJ41" s="442"/>
      <c r="CK41" s="442"/>
      <c r="CL41" s="442"/>
      <c r="CM41" s="442"/>
      <c r="CN41" s="442"/>
      <c r="CO41" s="316"/>
      <c r="CP41" s="91"/>
      <c r="CQ41" s="91"/>
      <c r="CR41" s="91"/>
      <c r="CS41" s="91"/>
      <c r="CT41" s="91"/>
      <c r="CU41" s="91"/>
      <c r="CV41" s="91"/>
    </row>
    <row r="42" spans="1:100" ht="15" hidden="1" customHeight="1" outlineLevel="1">
      <c r="A42" s="95"/>
      <c r="B42" s="216" t="s">
        <v>71</v>
      </c>
      <c r="C42" s="211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ref="P42:P43" si="78">SUM(D42:O42)</f>
        <v>0</v>
      </c>
      <c r="Q42" s="90"/>
      <c r="R42" s="313">
        <v>350</v>
      </c>
      <c r="S42" s="91">
        <v>350</v>
      </c>
      <c r="T42" s="91">
        <v>450</v>
      </c>
      <c r="U42" s="91">
        <v>800</v>
      </c>
      <c r="V42" s="91">
        <v>531</v>
      </c>
      <c r="W42" s="91">
        <v>750</v>
      </c>
      <c r="X42" s="91">
        <v>650</v>
      </c>
      <c r="Y42" s="91">
        <v>750</v>
      </c>
      <c r="Z42" s="91">
        <v>900</v>
      </c>
      <c r="AA42" s="91">
        <v>1000</v>
      </c>
      <c r="AB42" s="91">
        <v>1200</v>
      </c>
      <c r="AC42" s="91">
        <v>1500</v>
      </c>
      <c r="AD42" s="315">
        <f t="shared" ref="AD42:AD43" si="79">SUM(R42:AC42)</f>
        <v>9231</v>
      </c>
      <c r="AE42" s="23"/>
      <c r="AF42" s="316">
        <v>1500</v>
      </c>
      <c r="AG42" s="91">
        <v>800</v>
      </c>
      <c r="AH42" s="91">
        <v>800</v>
      </c>
      <c r="AI42" s="91">
        <v>1820</v>
      </c>
      <c r="AJ42" s="91">
        <v>1630</v>
      </c>
      <c r="AK42" s="91">
        <v>1360</v>
      </c>
      <c r="AL42" s="91">
        <v>1000</v>
      </c>
      <c r="AM42" s="91">
        <v>1700</v>
      </c>
      <c r="AN42" s="91">
        <v>1700</v>
      </c>
      <c r="AO42" s="91">
        <v>1700</v>
      </c>
      <c r="AP42" s="91">
        <v>1870</v>
      </c>
      <c r="AQ42" s="91">
        <v>2720</v>
      </c>
      <c r="AR42" s="92">
        <f t="shared" ref="AR42:AR43" si="80">SUM(AF42:AQ42)</f>
        <v>18600</v>
      </c>
      <c r="AS42" s="23"/>
      <c r="AT42" s="91">
        <v>2053</v>
      </c>
      <c r="AU42" s="91">
        <v>2053</v>
      </c>
      <c r="AV42" s="91">
        <v>2053</v>
      </c>
      <c r="AW42" s="91">
        <v>2053</v>
      </c>
      <c r="AX42" s="91">
        <v>2807</v>
      </c>
      <c r="AY42" s="91">
        <v>2807</v>
      </c>
      <c r="AZ42" s="91">
        <v>2680</v>
      </c>
      <c r="BA42" s="91">
        <v>2680</v>
      </c>
      <c r="BB42" s="91">
        <v>2807</v>
      </c>
      <c r="BC42" s="91">
        <v>3318</v>
      </c>
      <c r="BD42" s="91">
        <v>5870</v>
      </c>
      <c r="BE42" s="91">
        <v>5104</v>
      </c>
      <c r="BF42" s="441">
        <f t="shared" si="72"/>
        <v>36285</v>
      </c>
      <c r="BG42" s="93">
        <f>BF42/AR42-1</f>
        <v>0.95080645161290334</v>
      </c>
      <c r="BH42" s="441"/>
      <c r="BI42" s="441"/>
      <c r="BJ42" s="441"/>
      <c r="BK42" s="441"/>
      <c r="BL42" s="91"/>
      <c r="BM42" s="91"/>
      <c r="BN42" s="91"/>
      <c r="BO42" s="91"/>
      <c r="BP42" s="91"/>
      <c r="BQ42" s="91"/>
      <c r="BR42" s="91"/>
      <c r="BS42" s="91"/>
      <c r="BT42" s="91">
        <f>SUM(BH42:BS42)</f>
        <v>0</v>
      </c>
      <c r="BU42" s="54"/>
      <c r="BV42" s="441"/>
      <c r="BW42" s="441"/>
      <c r="BX42" s="441"/>
      <c r="BY42" s="441"/>
      <c r="BZ42" s="441"/>
      <c r="CA42" s="91"/>
      <c r="CB42" s="91"/>
      <c r="CC42" s="91"/>
      <c r="CD42" s="91"/>
      <c r="CE42" s="91"/>
      <c r="CF42" s="91"/>
      <c r="CG42" s="91"/>
      <c r="CH42" s="91"/>
      <c r="CJ42" s="441"/>
      <c r="CK42" s="441"/>
      <c r="CL42" s="441"/>
      <c r="CM42" s="441"/>
      <c r="CN42" s="441"/>
      <c r="CO42" s="91"/>
      <c r="CP42" s="91"/>
      <c r="CQ42" s="91"/>
      <c r="CR42" s="91"/>
      <c r="CS42" s="91"/>
      <c r="CT42" s="91"/>
      <c r="CU42" s="91"/>
      <c r="CV42" s="91"/>
    </row>
    <row r="43" spans="1:100" ht="15.75" collapsed="1">
      <c r="A43" s="55"/>
      <c r="B43" s="56" t="s">
        <v>286</v>
      </c>
      <c r="C43" s="280"/>
      <c r="D43" s="288">
        <f t="shared" ref="D43:O43" si="81">SUM(D22:D42)</f>
        <v>0</v>
      </c>
      <c r="E43" s="57">
        <f t="shared" si="81"/>
        <v>0</v>
      </c>
      <c r="F43" s="57">
        <f t="shared" si="81"/>
        <v>0</v>
      </c>
      <c r="G43" s="57">
        <f t="shared" si="81"/>
        <v>0</v>
      </c>
      <c r="H43" s="57">
        <f t="shared" si="81"/>
        <v>0</v>
      </c>
      <c r="I43" s="57">
        <f t="shared" si="81"/>
        <v>0</v>
      </c>
      <c r="J43" s="57">
        <f t="shared" si="81"/>
        <v>0</v>
      </c>
      <c r="K43" s="57">
        <f t="shared" si="81"/>
        <v>0</v>
      </c>
      <c r="L43" s="57">
        <f t="shared" si="81"/>
        <v>0</v>
      </c>
      <c r="M43" s="57">
        <f t="shared" si="81"/>
        <v>0</v>
      </c>
      <c r="N43" s="57">
        <f t="shared" si="81"/>
        <v>0</v>
      </c>
      <c r="O43" s="57">
        <f t="shared" si="81"/>
        <v>0</v>
      </c>
      <c r="P43" s="289">
        <f t="shared" si="78"/>
        <v>0</v>
      </c>
      <c r="Q43" s="39"/>
      <c r="R43" s="288">
        <f t="shared" ref="R43:AC43" si="82">SUM(R22:R42)</f>
        <v>20557.543859649122</v>
      </c>
      <c r="S43" s="58">
        <f t="shared" si="82"/>
        <v>20512.543859649122</v>
      </c>
      <c r="T43" s="58">
        <f t="shared" si="82"/>
        <v>13699.771929824561</v>
      </c>
      <c r="U43" s="58">
        <f t="shared" si="82"/>
        <v>912.5</v>
      </c>
      <c r="V43" s="58">
        <f t="shared" si="82"/>
        <v>16851</v>
      </c>
      <c r="W43" s="290">
        <f t="shared" si="82"/>
        <v>13700</v>
      </c>
      <c r="X43" s="290">
        <f t="shared" si="82"/>
        <v>26050</v>
      </c>
      <c r="Y43" s="290">
        <f t="shared" si="82"/>
        <v>27750</v>
      </c>
      <c r="Z43" s="290">
        <f t="shared" si="82"/>
        <v>31100</v>
      </c>
      <c r="AA43" s="290">
        <f t="shared" si="82"/>
        <v>32100</v>
      </c>
      <c r="AB43" s="290">
        <f t="shared" si="82"/>
        <v>37500</v>
      </c>
      <c r="AC43" s="290">
        <f t="shared" si="82"/>
        <v>45300</v>
      </c>
      <c r="AD43" s="291">
        <f t="shared" si="79"/>
        <v>286033.35964912281</v>
      </c>
      <c r="AE43" s="59"/>
      <c r="AF43" s="292">
        <f>SUM(AF22:AF42)</f>
        <v>38500</v>
      </c>
      <c r="AG43" s="58">
        <f t="shared" ref="AG43:AQ43" si="83">SUM(AG22:AG42)</f>
        <v>22400</v>
      </c>
      <c r="AH43" s="58">
        <f t="shared" si="83"/>
        <v>10671</v>
      </c>
      <c r="AI43" s="58">
        <f t="shared" si="83"/>
        <v>16097</v>
      </c>
      <c r="AJ43" s="58">
        <f t="shared" si="83"/>
        <v>30278</v>
      </c>
      <c r="AK43" s="58">
        <f t="shared" si="83"/>
        <v>28560</v>
      </c>
      <c r="AL43" s="58">
        <f t="shared" si="83"/>
        <v>41700</v>
      </c>
      <c r="AM43" s="58">
        <f t="shared" si="83"/>
        <v>38700</v>
      </c>
      <c r="AN43" s="58">
        <f t="shared" si="83"/>
        <v>37300</v>
      </c>
      <c r="AO43" s="58">
        <f t="shared" si="83"/>
        <v>37400</v>
      </c>
      <c r="AP43" s="58">
        <f t="shared" si="83"/>
        <v>40640</v>
      </c>
      <c r="AQ43" s="58">
        <f t="shared" si="83"/>
        <v>54440</v>
      </c>
      <c r="AR43" s="58">
        <f t="shared" si="80"/>
        <v>396686</v>
      </c>
      <c r="AS43" s="59"/>
      <c r="AT43" s="58">
        <f t="shared" ref="AT43:BE43" si="84">SUM(AT22:AT42)</f>
        <v>36153</v>
      </c>
      <c r="AU43" s="58">
        <f>SUM(AU22:AU42)</f>
        <v>35289</v>
      </c>
      <c r="AV43" s="58">
        <f t="shared" si="84"/>
        <v>35872</v>
      </c>
      <c r="AW43" s="58">
        <f t="shared" si="84"/>
        <v>38031</v>
      </c>
      <c r="AX43" s="58">
        <f t="shared" si="84"/>
        <v>33566</v>
      </c>
      <c r="AY43" s="58">
        <f t="shared" si="84"/>
        <v>33566</v>
      </c>
      <c r="AZ43" s="58">
        <f t="shared" si="84"/>
        <v>30896</v>
      </c>
      <c r="BA43" s="58">
        <f t="shared" si="84"/>
        <v>31146</v>
      </c>
      <c r="BB43" s="58">
        <f t="shared" si="84"/>
        <v>32630</v>
      </c>
      <c r="BC43" s="58">
        <f t="shared" si="84"/>
        <v>38562</v>
      </c>
      <c r="BD43" s="58">
        <f t="shared" si="84"/>
        <v>41345</v>
      </c>
      <c r="BE43" s="58">
        <f t="shared" si="84"/>
        <v>49263</v>
      </c>
      <c r="BF43" s="58">
        <f>SUM(AT43:BE43)</f>
        <v>436319</v>
      </c>
      <c r="BG43" s="59">
        <f>BF43-AR43</f>
        <v>39633</v>
      </c>
      <c r="BH43" s="58">
        <v>36153</v>
      </c>
      <c r="BI43" s="58">
        <v>35289</v>
      </c>
      <c r="BJ43" s="58">
        <v>35872</v>
      </c>
      <c r="BK43" s="58">
        <v>38031</v>
      </c>
      <c r="BL43" s="58">
        <v>38570</v>
      </c>
      <c r="BM43" s="58">
        <v>39227</v>
      </c>
      <c r="BN43" s="58">
        <v>41128</v>
      </c>
      <c r="BO43" s="58">
        <v>38191</v>
      </c>
      <c r="BP43" s="58">
        <v>38191</v>
      </c>
      <c r="BQ43" s="58">
        <v>40225</v>
      </c>
      <c r="BR43" s="58">
        <v>43272</v>
      </c>
      <c r="BS43" s="58">
        <v>60327</v>
      </c>
      <c r="BT43" s="58">
        <f t="shared" ref="BT43:BT47" si="85">SUM(BH43:BS43)</f>
        <v>484476</v>
      </c>
      <c r="BU43" s="60"/>
      <c r="BV43" s="58">
        <f>SUM(BV22:BV39)</f>
        <v>35797.912472643162</v>
      </c>
      <c r="BW43" s="58">
        <f t="shared" ref="BW43:CG43" si="86">SUM(BW22:BW39)</f>
        <v>27268.538792847521</v>
      </c>
      <c r="BX43" s="58">
        <f t="shared" si="86"/>
        <v>34357.668832234456</v>
      </c>
      <c r="BY43" s="58">
        <f t="shared" si="86"/>
        <v>29626.958292847525</v>
      </c>
      <c r="BZ43" s="58">
        <f t="shared" si="86"/>
        <v>34139.121332234456</v>
      </c>
      <c r="CA43" s="58">
        <f t="shared" si="86"/>
        <v>39503.881972643161</v>
      </c>
      <c r="CB43" s="58">
        <f t="shared" si="86"/>
        <v>45728.836911008315</v>
      </c>
      <c r="CC43" s="58">
        <f t="shared" si="86"/>
        <v>32260.226972643166</v>
      </c>
      <c r="CD43" s="58">
        <f t="shared" si="86"/>
        <v>33331.522972643164</v>
      </c>
      <c r="CE43" s="58">
        <f t="shared" si="86"/>
        <v>35213.881472643166</v>
      </c>
      <c r="CF43" s="58">
        <f t="shared" si="86"/>
        <v>46168.878068556034</v>
      </c>
      <c r="CG43" s="58">
        <f t="shared" si="86"/>
        <v>57905.502691825735</v>
      </c>
      <c r="CH43" s="58">
        <f>SUM(BV43:CG43)</f>
        <v>451302.93078476982</v>
      </c>
      <c r="CI43" s="395">
        <f>(CH43-BT52)/BT52</f>
        <v>5.1833718555945915E-2</v>
      </c>
      <c r="CJ43" s="58">
        <v>35797.912472643162</v>
      </c>
      <c r="CK43" s="58">
        <v>27268.538792847521</v>
      </c>
      <c r="CL43" s="58">
        <v>34357.668832234456</v>
      </c>
      <c r="CM43" s="58">
        <v>29626.958292847525</v>
      </c>
      <c r="CN43" s="58">
        <v>34139.121332234456</v>
      </c>
      <c r="CO43" s="58">
        <v>39503.881972643161</v>
      </c>
      <c r="CP43" s="58">
        <v>45728.836911008315</v>
      </c>
      <c r="CQ43" s="58">
        <v>32260.226972643166</v>
      </c>
      <c r="CR43" s="58">
        <v>33331.522972643164</v>
      </c>
      <c r="CS43" s="58">
        <v>35213.881472643166</v>
      </c>
      <c r="CT43" s="58">
        <v>46168.878068556034</v>
      </c>
      <c r="CU43" s="58">
        <v>57905.502691825735</v>
      </c>
      <c r="CV43" s="58">
        <v>451302.93078476982</v>
      </c>
    </row>
    <row r="44" spans="1:100">
      <c r="A44" s="99"/>
      <c r="B44" s="451" t="s">
        <v>73</v>
      </c>
      <c r="C44" s="328"/>
      <c r="D44" s="301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302"/>
      <c r="Q44" s="74"/>
      <c r="R44" s="301"/>
      <c r="S44" s="69"/>
      <c r="T44" s="69"/>
      <c r="U44" s="69"/>
      <c r="V44" s="303"/>
      <c r="W44" s="304"/>
      <c r="X44" s="304"/>
      <c r="Y44" s="304"/>
      <c r="Z44" s="304"/>
      <c r="AA44" s="304"/>
      <c r="AB44" s="304"/>
      <c r="AC44" s="75"/>
      <c r="AD44" s="76"/>
      <c r="AE44" s="77"/>
      <c r="AF44" s="305"/>
      <c r="AG44" s="69"/>
      <c r="AH44" s="69"/>
      <c r="AI44" s="69"/>
      <c r="AJ44" s="303"/>
      <c r="AK44" s="303"/>
      <c r="AL44" s="303"/>
      <c r="AM44" s="303"/>
      <c r="AN44" s="69"/>
      <c r="AO44" s="69"/>
      <c r="AP44" s="69"/>
      <c r="AQ44" s="69"/>
      <c r="AR44" s="306"/>
      <c r="AS44" s="77"/>
      <c r="AT44" s="69"/>
      <c r="AU44" s="69"/>
      <c r="AV44" s="69"/>
      <c r="AW44" s="69"/>
      <c r="AX44" s="69"/>
      <c r="AY44" s="69">
        <v>15000</v>
      </c>
      <c r="AZ44" s="69">
        <v>15000</v>
      </c>
      <c r="BA44" s="69">
        <f t="shared" ref="BA44:BB44" si="87">BA43*70%</f>
        <v>21802.199999999997</v>
      </c>
      <c r="BB44" s="69">
        <f t="shared" si="87"/>
        <v>22841</v>
      </c>
      <c r="BC44" s="69">
        <v>35000</v>
      </c>
      <c r="BD44" s="69">
        <v>35000</v>
      </c>
      <c r="BE44" s="69">
        <v>42000</v>
      </c>
      <c r="BF44" s="69">
        <f t="shared" si="72"/>
        <v>186643.20000000001</v>
      </c>
      <c r="BG44" s="77"/>
      <c r="BH44" s="69">
        <f t="shared" ref="BH44:BM44" si="88">BH43*0.8</f>
        <v>28922.400000000001</v>
      </c>
      <c r="BI44" s="69">
        <f t="shared" si="88"/>
        <v>28231.200000000001</v>
      </c>
      <c r="BJ44" s="69">
        <f t="shared" si="88"/>
        <v>28697.600000000002</v>
      </c>
      <c r="BK44" s="69">
        <f t="shared" si="88"/>
        <v>30424.800000000003</v>
      </c>
      <c r="BL44" s="69">
        <f t="shared" si="88"/>
        <v>30856</v>
      </c>
      <c r="BM44" s="69">
        <f t="shared" si="88"/>
        <v>31381.600000000002</v>
      </c>
      <c r="BN44" s="69">
        <f>BN43*0.85</f>
        <v>34958.799999999996</v>
      </c>
      <c r="BO44" s="69">
        <v>29000</v>
      </c>
      <c r="BP44" s="69">
        <v>40223</v>
      </c>
      <c r="BQ44" s="69">
        <v>36735</v>
      </c>
      <c r="BR44" s="69">
        <v>36933</v>
      </c>
      <c r="BS44" s="69">
        <v>52283</v>
      </c>
      <c r="BT44" s="69">
        <f t="shared" si="85"/>
        <v>408646.40000000002</v>
      </c>
      <c r="BU44" s="28"/>
      <c r="BV44" s="69">
        <f>BV43*0.8</f>
        <v>28638.329978114532</v>
      </c>
      <c r="BW44" s="69">
        <f>BW43*0.8</f>
        <v>21814.831034278017</v>
      </c>
      <c r="BX44" s="69">
        <f t="shared" ref="BX44:CG44" si="89">BX43*0.8</f>
        <v>27486.135065787566</v>
      </c>
      <c r="BY44" s="69">
        <f t="shared" si="89"/>
        <v>23701.566634278021</v>
      </c>
      <c r="BZ44" s="69">
        <f t="shared" si="89"/>
        <v>27311.297065787567</v>
      </c>
      <c r="CA44" s="69">
        <f t="shared" si="89"/>
        <v>31603.10557811453</v>
      </c>
      <c r="CB44" s="69">
        <f t="shared" si="89"/>
        <v>36583.069528806656</v>
      </c>
      <c r="CC44" s="69">
        <f t="shared" si="89"/>
        <v>25808.181578114534</v>
      </c>
      <c r="CD44" s="69">
        <f t="shared" si="89"/>
        <v>26665.218378114532</v>
      </c>
      <c r="CE44" s="69">
        <f t="shared" si="89"/>
        <v>28171.105178114536</v>
      </c>
      <c r="CF44" s="69">
        <f t="shared" si="89"/>
        <v>36935.102454844826</v>
      </c>
      <c r="CG44" s="69">
        <f t="shared" si="89"/>
        <v>46324.402153460593</v>
      </c>
      <c r="CH44" s="69"/>
      <c r="CI44" s="395"/>
      <c r="CJ44" s="69">
        <v>28638.329978114532</v>
      </c>
      <c r="CK44" s="69">
        <v>21814.831034278017</v>
      </c>
      <c r="CL44" s="69">
        <v>27486.135065787566</v>
      </c>
      <c r="CM44" s="69">
        <v>23701.566634278021</v>
      </c>
      <c r="CN44" s="69">
        <v>27311.297065787567</v>
      </c>
      <c r="CO44" s="69">
        <v>31603.10557811453</v>
      </c>
      <c r="CP44" s="69">
        <v>36583.069528806656</v>
      </c>
      <c r="CQ44" s="69">
        <v>25808.181578114534</v>
      </c>
      <c r="CR44" s="69">
        <v>26665.218378114532</v>
      </c>
      <c r="CS44" s="69">
        <v>28171.105178114536</v>
      </c>
      <c r="CT44" s="69">
        <v>36935.102454844826</v>
      </c>
      <c r="CU44" s="69">
        <v>46324.402153460593</v>
      </c>
      <c r="CV44" s="69"/>
    </row>
    <row r="45" spans="1:100" ht="14.25" customHeight="1">
      <c r="A45" s="55" t="s">
        <v>74</v>
      </c>
      <c r="B45" s="56"/>
      <c r="C45" s="280"/>
      <c r="D45" s="288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289"/>
      <c r="Q45" s="39"/>
      <c r="R45" s="288"/>
      <c r="S45" s="58"/>
      <c r="T45" s="58"/>
      <c r="U45" s="58"/>
      <c r="V45" s="58"/>
      <c r="W45" s="290"/>
      <c r="X45" s="290"/>
      <c r="Y45" s="290"/>
      <c r="Z45" s="290"/>
      <c r="AA45" s="290"/>
      <c r="AB45" s="290"/>
      <c r="AC45" s="290"/>
      <c r="AD45" s="291"/>
      <c r="AE45" s="59"/>
      <c r="AF45" s="292"/>
      <c r="AG45" s="58"/>
      <c r="AH45" s="58"/>
      <c r="AI45" s="58"/>
      <c r="AJ45" s="58"/>
      <c r="AK45" s="58"/>
      <c r="AL45" s="58">
        <f>AL43/AVERAGE($AF$43:$AQ$43)</f>
        <v>1.2614511225503295</v>
      </c>
      <c r="AM45" s="58"/>
      <c r="AN45" s="58"/>
      <c r="AO45" s="58"/>
      <c r="AP45" s="58">
        <f t="shared" ref="AP45:AQ45" si="90">AP43/AVERAGE($AF$43:$AQ$43)</f>
        <v>1.2293854585238704</v>
      </c>
      <c r="AQ45" s="58">
        <f t="shared" si="90"/>
        <v>1.6468441033966412</v>
      </c>
      <c r="AR45" s="58"/>
      <c r="AS45" s="59"/>
      <c r="AT45" s="58">
        <v>109190</v>
      </c>
      <c r="AU45" s="58">
        <v>153667</v>
      </c>
      <c r="AV45" s="58">
        <v>178778</v>
      </c>
      <c r="AW45" s="58">
        <v>151970</v>
      </c>
      <c r="AX45" s="58">
        <v>142416</v>
      </c>
      <c r="AY45" s="58">
        <v>177335</v>
      </c>
      <c r="AZ45" s="58">
        <v>152230</v>
      </c>
      <c r="BA45" s="58">
        <v>245527</v>
      </c>
      <c r="BB45" s="58">
        <f>5261504/27</f>
        <v>194870.51851851851</v>
      </c>
      <c r="BC45" s="58">
        <f>5784000/27</f>
        <v>214222.22222222222</v>
      </c>
      <c r="BD45" s="58">
        <f>3224000/27</f>
        <v>119407.4074074074</v>
      </c>
      <c r="BE45" s="58">
        <f>909800/27</f>
        <v>33696.296296296299</v>
      </c>
      <c r="BF45" s="58">
        <f t="shared" si="72"/>
        <v>1873309.4444444445</v>
      </c>
      <c r="BG45" s="59"/>
      <c r="BH45" s="58">
        <v>156208</v>
      </c>
      <c r="BI45" s="58">
        <v>147340</v>
      </c>
      <c r="BJ45" s="58">
        <v>166759</v>
      </c>
      <c r="BK45" s="58">
        <v>152352</v>
      </c>
      <c r="BL45" s="58">
        <v>128446</v>
      </c>
      <c r="BM45" s="58">
        <v>126790</v>
      </c>
      <c r="BN45" s="58">
        <v>173761</v>
      </c>
      <c r="BO45" s="58">
        <f>144510.599073001+BO44</f>
        <v>173510.59907300101</v>
      </c>
      <c r="BP45" s="58">
        <f>162574.422556972+BP44</f>
        <v>202797.42255697199</v>
      </c>
      <c r="BQ45" s="58">
        <f>166187.186558517+BQ44</f>
        <v>202922.18655851699</v>
      </c>
      <c r="BR45" s="58">
        <f>BQ20+BR16*0.6</f>
        <v>232502.36</v>
      </c>
      <c r="BS45" s="58">
        <f>BR16*0.4+BS16*0.5</f>
        <v>116391.04000000001</v>
      </c>
      <c r="BT45" s="58">
        <f t="shared" si="85"/>
        <v>1979779.6081884899</v>
      </c>
      <c r="BU45" s="60"/>
      <c r="BV45" s="58">
        <v>98000</v>
      </c>
      <c r="BW45" s="58">
        <f>BW44+BW20</f>
        <v>147381.66148608096</v>
      </c>
      <c r="BX45" s="58">
        <f t="shared" ref="BX45" si="91">BX44+BX20</f>
        <v>188447.673527326</v>
      </c>
      <c r="BY45" s="58">
        <f t="shared" ref="BY45:CG45" si="92">BK45</f>
        <v>152352</v>
      </c>
      <c r="BZ45" s="58">
        <f t="shared" si="92"/>
        <v>128446</v>
      </c>
      <c r="CA45" s="58">
        <f t="shared" si="92"/>
        <v>126790</v>
      </c>
      <c r="CB45" s="58">
        <f t="shared" si="92"/>
        <v>173761</v>
      </c>
      <c r="CC45" s="58">
        <f t="shared" si="92"/>
        <v>173510.59907300101</v>
      </c>
      <c r="CD45" s="58">
        <f t="shared" si="92"/>
        <v>202797.42255697199</v>
      </c>
      <c r="CE45" s="58">
        <f t="shared" si="92"/>
        <v>202922.18655851699</v>
      </c>
      <c r="CF45" s="58">
        <f t="shared" si="92"/>
        <v>232502.36</v>
      </c>
      <c r="CG45" s="58">
        <f t="shared" si="92"/>
        <v>116391.04000000001</v>
      </c>
      <c r="CH45" s="58"/>
      <c r="CJ45" s="58">
        <v>98000</v>
      </c>
      <c r="CK45" s="58">
        <v>147381.66148608096</v>
      </c>
      <c r="CL45" s="58">
        <v>188447.673527326</v>
      </c>
      <c r="CM45" s="58">
        <v>152352</v>
      </c>
      <c r="CN45" s="58">
        <v>128446</v>
      </c>
      <c r="CO45" s="58">
        <v>126790</v>
      </c>
      <c r="CP45" s="58">
        <v>173761</v>
      </c>
      <c r="CQ45" s="58">
        <v>173510.59907300101</v>
      </c>
      <c r="CR45" s="58">
        <v>202797.42255697199</v>
      </c>
      <c r="CS45" s="58">
        <v>202922.18655851699</v>
      </c>
      <c r="CT45" s="58">
        <v>232502.36</v>
      </c>
      <c r="CU45" s="58">
        <v>116391.04000000001</v>
      </c>
      <c r="CV45" s="58"/>
    </row>
    <row r="46" spans="1:100">
      <c r="A46" s="101" t="s">
        <v>75</v>
      </c>
      <c r="B46" s="102"/>
      <c r="C46" s="260"/>
      <c r="D46" s="277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262"/>
      <c r="Q46" s="15"/>
      <c r="R46" s="277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263"/>
      <c r="AE46" s="16"/>
      <c r="AF46" s="261">
        <v>133791</v>
      </c>
      <c r="AG46" s="14">
        <v>166459</v>
      </c>
      <c r="AH46" s="14">
        <v>149450</v>
      </c>
      <c r="AI46" s="14">
        <v>151073</v>
      </c>
      <c r="AJ46" s="14">
        <v>192944</v>
      </c>
      <c r="AK46" s="14">
        <v>166139</v>
      </c>
      <c r="AL46" s="14">
        <v>151874</v>
      </c>
      <c r="AM46" s="14">
        <v>157771</v>
      </c>
      <c r="AN46" s="14">
        <v>200312</v>
      </c>
      <c r="AO46" s="14">
        <v>202691</v>
      </c>
      <c r="AP46" s="14">
        <v>207768</v>
      </c>
      <c r="AQ46" s="14">
        <v>113286</v>
      </c>
      <c r="AR46" s="14">
        <f>SUM(AF46:AK46)</f>
        <v>959856</v>
      </c>
      <c r="AS46" s="17"/>
      <c r="AT46" s="14">
        <v>89680</v>
      </c>
      <c r="AU46" s="14">
        <v>128308</v>
      </c>
      <c r="AV46" s="14">
        <v>144871</v>
      </c>
      <c r="AW46" s="32">
        <v>161772</v>
      </c>
      <c r="AX46" s="32">
        <v>144516</v>
      </c>
      <c r="AY46" s="32">
        <v>103667</v>
      </c>
      <c r="AZ46" s="32">
        <v>141023</v>
      </c>
      <c r="BA46" s="32">
        <v>172093</v>
      </c>
      <c r="BB46" s="32">
        <f>166606+10000</f>
        <v>176606</v>
      </c>
      <c r="BC46" s="32">
        <v>181091</v>
      </c>
      <c r="BD46" s="32">
        <v>169802</v>
      </c>
      <c r="BE46" s="32">
        <v>120406</v>
      </c>
      <c r="BF46" s="32">
        <f t="shared" si="72"/>
        <v>1733835</v>
      </c>
      <c r="BG46" s="17">
        <f>BG43/AR43</f>
        <v>9.9910256474894502E-2</v>
      </c>
      <c r="BH46" s="14">
        <v>78906</v>
      </c>
      <c r="BI46" s="14">
        <v>119296</v>
      </c>
      <c r="BJ46" s="14">
        <v>165286</v>
      </c>
      <c r="BK46" s="14">
        <v>144532</v>
      </c>
      <c r="BL46" s="32">
        <v>157691</v>
      </c>
      <c r="BM46" s="32">
        <v>129096</v>
      </c>
      <c r="BN46" s="32">
        <v>125800</v>
      </c>
      <c r="BO46" s="32">
        <v>176354</v>
      </c>
      <c r="BP46" s="32">
        <v>173554</v>
      </c>
      <c r="BQ46" s="32">
        <v>185766</v>
      </c>
      <c r="BR46" s="32"/>
      <c r="BS46" s="32"/>
      <c r="BT46" s="32">
        <f t="shared" si="85"/>
        <v>1456281</v>
      </c>
      <c r="BU46" s="28"/>
      <c r="BV46" s="14"/>
      <c r="BW46" s="14"/>
      <c r="BX46" s="14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J46" s="14"/>
      <c r="CK46" s="14"/>
      <c r="CL46" s="14"/>
      <c r="CM46" s="32"/>
      <c r="CN46" s="32"/>
      <c r="CO46" s="32"/>
      <c r="CP46" s="32"/>
      <c r="CQ46" s="32"/>
      <c r="CR46" s="32"/>
      <c r="CS46" s="32"/>
      <c r="CT46" s="32"/>
      <c r="CU46" s="32"/>
      <c r="CV46" s="32"/>
    </row>
    <row r="47" spans="1:100" ht="15.75">
      <c r="A47" s="103"/>
      <c r="B47" s="329" t="s">
        <v>76</v>
      </c>
      <c r="C47" s="330"/>
      <c r="D47" s="331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332"/>
      <c r="Q47" s="105"/>
      <c r="R47" s="333"/>
      <c r="S47" s="333"/>
      <c r="T47" s="333"/>
      <c r="U47" s="333"/>
      <c r="V47" s="333"/>
      <c r="W47" s="333"/>
      <c r="X47" s="333"/>
      <c r="Y47" s="333"/>
      <c r="Z47" s="333"/>
      <c r="AA47" s="333"/>
      <c r="AB47" s="333"/>
      <c r="AC47" s="333"/>
      <c r="AD47" s="334"/>
      <c r="AE47" s="106"/>
      <c r="AF47" s="333">
        <f t="shared" ref="AF47:AQ47" si="93">AF46-AF15</f>
        <v>133789.61233193052</v>
      </c>
      <c r="AG47" s="333">
        <f t="shared" si="93"/>
        <v>166455.18212811041</v>
      </c>
      <c r="AH47" s="333">
        <f t="shared" si="93"/>
        <v>149445.6750486806</v>
      </c>
      <c r="AI47" s="333">
        <f t="shared" si="93"/>
        <v>151069.89671180834</v>
      </c>
      <c r="AJ47" s="333">
        <f t="shared" si="93"/>
        <v>192941.30225498116</v>
      </c>
      <c r="AK47" s="333">
        <f t="shared" si="93"/>
        <v>166135.93659001941</v>
      </c>
      <c r="AL47" s="333">
        <f t="shared" si="93"/>
        <v>151872.02367906639</v>
      </c>
      <c r="AM47" s="333">
        <f t="shared" si="93"/>
        <v>157769.11460684196</v>
      </c>
      <c r="AN47" s="333">
        <f t="shared" si="93"/>
        <v>200310.23982805785</v>
      </c>
      <c r="AO47" s="333">
        <f t="shared" si="93"/>
        <v>202687.95708177862</v>
      </c>
      <c r="AP47" s="333">
        <f t="shared" si="93"/>
        <v>207764.67332379395</v>
      </c>
      <c r="AQ47" s="333">
        <f t="shared" si="93"/>
        <v>113283.89842503319</v>
      </c>
      <c r="AR47" s="107">
        <f t="shared" ref="AR47:AR55" si="94">SUM(AF47:AQ47)</f>
        <v>1993525.5120101024</v>
      </c>
      <c r="AS47" s="106"/>
      <c r="AT47" s="333">
        <f t="shared" ref="AT47:BE47" si="95">AT46-AT45</f>
        <v>-19510</v>
      </c>
      <c r="AU47" s="333">
        <f t="shared" si="95"/>
        <v>-25359</v>
      </c>
      <c r="AV47" s="333">
        <f t="shared" si="95"/>
        <v>-33907</v>
      </c>
      <c r="AW47" s="333">
        <f t="shared" si="95"/>
        <v>9802</v>
      </c>
      <c r="AX47" s="333">
        <f t="shared" si="95"/>
        <v>2100</v>
      </c>
      <c r="AY47" s="333">
        <f t="shared" si="95"/>
        <v>-73668</v>
      </c>
      <c r="AZ47" s="333">
        <f t="shared" si="95"/>
        <v>-11207</v>
      </c>
      <c r="BA47" s="333">
        <f t="shared" si="95"/>
        <v>-73434</v>
      </c>
      <c r="BB47" s="333">
        <f t="shared" si="95"/>
        <v>-18264.518518518511</v>
      </c>
      <c r="BC47" s="333">
        <f t="shared" si="95"/>
        <v>-33131.222222222219</v>
      </c>
      <c r="BD47" s="333">
        <f t="shared" si="95"/>
        <v>50394.592592592599</v>
      </c>
      <c r="BE47" s="333">
        <f t="shared" si="95"/>
        <v>86709.703703703708</v>
      </c>
      <c r="BF47" s="108">
        <f t="shared" si="72"/>
        <v>-139474.44444444444</v>
      </c>
      <c r="BG47" s="106"/>
      <c r="BH47" s="333">
        <f t="shared" ref="BH47:BQ47" si="96">BH46-BH45</f>
        <v>-77302</v>
      </c>
      <c r="BI47" s="333">
        <f t="shared" si="96"/>
        <v>-28044</v>
      </c>
      <c r="BJ47" s="333">
        <f t="shared" si="96"/>
        <v>-1473</v>
      </c>
      <c r="BK47" s="333">
        <f t="shared" si="96"/>
        <v>-7820</v>
      </c>
      <c r="BL47" s="333">
        <f t="shared" si="96"/>
        <v>29245</v>
      </c>
      <c r="BM47" s="333">
        <f t="shared" si="96"/>
        <v>2306</v>
      </c>
      <c r="BN47" s="333">
        <f t="shared" si="96"/>
        <v>-47961</v>
      </c>
      <c r="BO47" s="333">
        <f t="shared" si="96"/>
        <v>2843.4009269989911</v>
      </c>
      <c r="BP47" s="333">
        <f t="shared" si="96"/>
        <v>-29243.422556971986</v>
      </c>
      <c r="BQ47" s="333">
        <f t="shared" si="96"/>
        <v>-17156.186558516987</v>
      </c>
      <c r="BR47" s="108"/>
      <c r="BS47" s="108"/>
      <c r="BT47" s="108">
        <f t="shared" si="85"/>
        <v>-174605.20818848998</v>
      </c>
      <c r="BU47" s="28"/>
      <c r="BV47" s="333"/>
      <c r="BW47" s="333"/>
      <c r="BX47" s="333"/>
      <c r="BY47" s="333"/>
      <c r="BZ47" s="108"/>
      <c r="CA47" s="108"/>
      <c r="CB47" s="108"/>
      <c r="CC47" s="108"/>
      <c r="CD47" s="108"/>
      <c r="CE47" s="108"/>
      <c r="CF47" s="108"/>
      <c r="CG47" s="108"/>
      <c r="CH47" s="108"/>
      <c r="CJ47" s="333"/>
      <c r="CK47" s="333"/>
      <c r="CL47" s="333"/>
      <c r="CM47" s="333"/>
      <c r="CN47" s="108"/>
      <c r="CO47" s="108"/>
      <c r="CP47" s="108"/>
      <c r="CQ47" s="108"/>
      <c r="CR47" s="108"/>
      <c r="CS47" s="108"/>
      <c r="CT47" s="108"/>
      <c r="CU47" s="108"/>
      <c r="CV47" s="108"/>
    </row>
    <row r="48" spans="1:100" ht="15.75" customHeight="1">
      <c r="A48" s="94">
        <v>5</v>
      </c>
      <c r="B48" s="210" t="s">
        <v>77</v>
      </c>
      <c r="C48" s="335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>
        <v>0</v>
      </c>
      <c r="P48" s="314">
        <f>SUM(D48:O48)</f>
        <v>0</v>
      </c>
      <c r="Q48" s="90"/>
      <c r="R48" s="313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315">
        <f>SUM(R48:AC48)</f>
        <v>0</v>
      </c>
      <c r="AE48" s="23"/>
      <c r="AF48" s="316">
        <v>0</v>
      </c>
      <c r="AG48" s="91">
        <v>0</v>
      </c>
      <c r="AH48" s="91">
        <v>0</v>
      </c>
      <c r="AI48" s="91">
        <v>0</v>
      </c>
      <c r="AJ48" s="91">
        <v>0</v>
      </c>
      <c r="AK48" s="91">
        <v>0</v>
      </c>
      <c r="AL48" s="91">
        <v>0</v>
      </c>
      <c r="AM48" s="91">
        <v>0</v>
      </c>
      <c r="AN48" s="91">
        <v>0</v>
      </c>
      <c r="AO48" s="91">
        <v>0</v>
      </c>
      <c r="AP48" s="91"/>
      <c r="AQ48" s="91">
        <v>8938</v>
      </c>
      <c r="AR48" s="92">
        <f t="shared" si="94"/>
        <v>8938</v>
      </c>
      <c r="AS48" s="23"/>
      <c r="AT48" s="91">
        <v>106642</v>
      </c>
      <c r="AU48" s="91">
        <v>90699</v>
      </c>
      <c r="AV48" s="91">
        <v>89681</v>
      </c>
      <c r="AW48" s="91">
        <v>58790</v>
      </c>
      <c r="AX48" s="91">
        <v>35520</v>
      </c>
      <c r="AY48" s="91">
        <v>61551</v>
      </c>
      <c r="AZ48" s="91">
        <v>71511</v>
      </c>
      <c r="BA48" s="91">
        <v>63617</v>
      </c>
      <c r="BB48" s="91">
        <v>66748</v>
      </c>
      <c r="BC48" s="91">
        <v>75532</v>
      </c>
      <c r="BD48" s="91">
        <v>37786</v>
      </c>
      <c r="BE48" s="91">
        <v>4503</v>
      </c>
      <c r="BF48" s="91">
        <f t="shared" si="72"/>
        <v>762580</v>
      </c>
      <c r="BG48" s="27"/>
      <c r="BH48" s="91">
        <v>69404</v>
      </c>
      <c r="BI48" s="91">
        <v>80412</v>
      </c>
      <c r="BJ48" s="91">
        <v>94386</v>
      </c>
      <c r="BK48" s="91">
        <v>78313</v>
      </c>
      <c r="BL48" s="91">
        <v>47034</v>
      </c>
      <c r="BM48" s="91">
        <v>50851</v>
      </c>
      <c r="BN48" s="91">
        <v>93202</v>
      </c>
      <c r="BO48" s="91">
        <v>100687</v>
      </c>
      <c r="BP48" s="91">
        <v>127995</v>
      </c>
      <c r="BQ48" s="91">
        <v>122686</v>
      </c>
      <c r="BR48" s="91"/>
      <c r="BS48" s="91"/>
      <c r="BT48" s="91"/>
      <c r="BU48" s="28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  <c r="CJ48" s="91"/>
      <c r="CK48" s="91"/>
      <c r="CL48" s="91"/>
      <c r="CM48" s="91"/>
      <c r="CN48" s="91"/>
      <c r="CO48" s="91"/>
      <c r="CP48" s="91"/>
      <c r="CQ48" s="91"/>
      <c r="CR48" s="91"/>
      <c r="CS48" s="91"/>
      <c r="CT48" s="91"/>
      <c r="CU48" s="91"/>
      <c r="CV48" s="91"/>
    </row>
    <row r="49" spans="1:100">
      <c r="A49" s="13" t="s">
        <v>78</v>
      </c>
      <c r="B49" s="259"/>
      <c r="C49" s="260"/>
      <c r="D49" s="277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262"/>
      <c r="Q49" s="15"/>
      <c r="R49" s="277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263"/>
      <c r="AE49" s="16"/>
      <c r="AF49" s="261">
        <f t="shared" ref="AF49:AQ49" si="97">AF50+AF52</f>
        <v>118364</v>
      </c>
      <c r="AG49" s="261">
        <f t="shared" si="97"/>
        <v>173742</v>
      </c>
      <c r="AH49" s="261">
        <f t="shared" si="97"/>
        <v>73470</v>
      </c>
      <c r="AI49" s="261">
        <f t="shared" si="97"/>
        <v>87377</v>
      </c>
      <c r="AJ49" s="261">
        <f t="shared" si="97"/>
        <v>119657</v>
      </c>
      <c r="AK49" s="261">
        <f t="shared" si="97"/>
        <v>154747</v>
      </c>
      <c r="AL49" s="261">
        <f t="shared" si="97"/>
        <v>138073</v>
      </c>
      <c r="AM49" s="261">
        <f t="shared" si="97"/>
        <v>180773</v>
      </c>
      <c r="AN49" s="261">
        <f t="shared" si="97"/>
        <v>194598</v>
      </c>
      <c r="AO49" s="261">
        <f t="shared" si="97"/>
        <v>242931</v>
      </c>
      <c r="AP49" s="261">
        <f t="shared" si="97"/>
        <v>107346</v>
      </c>
      <c r="AQ49" s="261">
        <f t="shared" si="97"/>
        <v>87384</v>
      </c>
      <c r="AR49" s="14">
        <f t="shared" si="94"/>
        <v>1678462</v>
      </c>
      <c r="AS49" s="17"/>
      <c r="AT49" s="261">
        <f t="shared" ref="AT49:BE49" si="98">AT50+AT52</f>
        <v>155346</v>
      </c>
      <c r="AU49" s="261">
        <f t="shared" si="98"/>
        <v>123370</v>
      </c>
      <c r="AV49" s="261">
        <f t="shared" si="98"/>
        <v>144065</v>
      </c>
      <c r="AW49" s="261">
        <f t="shared" si="98"/>
        <v>127865</v>
      </c>
      <c r="AX49" s="261">
        <f t="shared" si="98"/>
        <v>123461</v>
      </c>
      <c r="AY49" s="261">
        <f t="shared" si="98"/>
        <v>121196</v>
      </c>
      <c r="AZ49" s="261">
        <f t="shared" si="98"/>
        <v>168029</v>
      </c>
      <c r="BA49" s="261">
        <f t="shared" si="98"/>
        <v>164268</v>
      </c>
      <c r="BB49" s="261">
        <f t="shared" si="98"/>
        <v>185112</v>
      </c>
      <c r="BC49" s="261">
        <f t="shared" si="98"/>
        <v>147235</v>
      </c>
      <c r="BD49" s="261">
        <f t="shared" si="98"/>
        <v>135608</v>
      </c>
      <c r="BE49" s="261">
        <f t="shared" si="98"/>
        <v>90194</v>
      </c>
      <c r="BF49" s="32">
        <f t="shared" si="72"/>
        <v>1685749</v>
      </c>
      <c r="BG49" s="35">
        <f t="shared" ref="BG49:BG50" si="99">BF49/AR49-1</f>
        <v>4.3414745165515356E-3</v>
      </c>
      <c r="BH49" s="261">
        <f>BH50+BH52</f>
        <v>144332</v>
      </c>
      <c r="BI49" s="261">
        <f t="shared" ref="BI49:BQ49" si="100">BI50+BI52</f>
        <v>128781</v>
      </c>
      <c r="BJ49" s="261">
        <f t="shared" si="100"/>
        <v>193129</v>
      </c>
      <c r="BK49" s="261">
        <f t="shared" si="100"/>
        <v>106092</v>
      </c>
      <c r="BL49" s="261">
        <f t="shared" si="100"/>
        <v>132638</v>
      </c>
      <c r="BM49" s="261">
        <f t="shared" si="100"/>
        <v>139193</v>
      </c>
      <c r="BN49" s="261">
        <f t="shared" si="100"/>
        <v>173703</v>
      </c>
      <c r="BO49" s="261">
        <f t="shared" si="100"/>
        <v>186902</v>
      </c>
      <c r="BP49" s="261">
        <f t="shared" si="100"/>
        <v>200686</v>
      </c>
      <c r="BQ49" s="261">
        <f t="shared" si="100"/>
        <v>191324</v>
      </c>
      <c r="BR49" s="14"/>
      <c r="BS49" s="14"/>
      <c r="BT49" s="14">
        <f t="shared" ref="BT49:BT54" si="101">SUM(BH49:BS49)</f>
        <v>1596780</v>
      </c>
      <c r="BU49" s="18"/>
      <c r="BV49" s="261"/>
      <c r="BW49" s="261"/>
      <c r="BX49" s="261"/>
      <c r="BY49" s="261"/>
      <c r="BZ49" s="14"/>
      <c r="CA49" s="14"/>
      <c r="CB49" s="14"/>
      <c r="CC49" s="14"/>
      <c r="CD49" s="14"/>
      <c r="CE49" s="14"/>
      <c r="CF49" s="14"/>
      <c r="CG49" s="14"/>
      <c r="CH49" s="14"/>
      <c r="CJ49" s="261"/>
      <c r="CK49" s="261"/>
      <c r="CL49" s="261"/>
      <c r="CM49" s="261"/>
      <c r="CN49" s="14"/>
      <c r="CO49" s="14"/>
      <c r="CP49" s="14"/>
      <c r="CQ49" s="14"/>
      <c r="CR49" s="14"/>
      <c r="CS49" s="14"/>
      <c r="CT49" s="14"/>
      <c r="CU49" s="14"/>
      <c r="CV49" s="14"/>
    </row>
    <row r="50" spans="1:100" ht="15.75" customHeight="1">
      <c r="A50" s="210"/>
      <c r="B50" s="210" t="s">
        <v>79</v>
      </c>
      <c r="C50" s="316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92193</v>
      </c>
      <c r="AG50" s="91">
        <v>152006</v>
      </c>
      <c r="AH50" s="91">
        <v>62734</v>
      </c>
      <c r="AI50" s="91">
        <v>71526</v>
      </c>
      <c r="AJ50" s="91">
        <v>89409</v>
      </c>
      <c r="AK50" s="91">
        <v>120675</v>
      </c>
      <c r="AL50" s="91">
        <v>100592</v>
      </c>
      <c r="AM50" s="91">
        <v>148128</v>
      </c>
      <c r="AN50" s="91">
        <v>164346</v>
      </c>
      <c r="AO50" s="91">
        <v>203437</v>
      </c>
      <c r="AP50" s="91">
        <v>64957</v>
      </c>
      <c r="AQ50" s="91">
        <v>31837</v>
      </c>
      <c r="AR50" s="92">
        <f t="shared" si="94"/>
        <v>1301840</v>
      </c>
      <c r="AS50" s="23"/>
      <c r="AT50" s="91">
        <v>125048</v>
      </c>
      <c r="AU50" s="91">
        <v>96006</v>
      </c>
      <c r="AV50" s="91">
        <v>111470</v>
      </c>
      <c r="AW50" s="91">
        <v>99222</v>
      </c>
      <c r="AX50" s="91">
        <v>91253</v>
      </c>
      <c r="AY50" s="91">
        <v>90595</v>
      </c>
      <c r="AZ50" s="91">
        <v>129147</v>
      </c>
      <c r="BA50" s="91">
        <v>133525</v>
      </c>
      <c r="BB50" s="91">
        <v>159291</v>
      </c>
      <c r="BC50" s="91">
        <v>115573</v>
      </c>
      <c r="BD50" s="91">
        <v>98386</v>
      </c>
      <c r="BE50" s="91">
        <v>36527</v>
      </c>
      <c r="BF50" s="91">
        <f t="shared" si="72"/>
        <v>1286043</v>
      </c>
      <c r="BG50" s="93">
        <f t="shared" si="99"/>
        <v>-1.2134363669882631E-2</v>
      </c>
      <c r="BH50" s="91">
        <v>110235</v>
      </c>
      <c r="BI50" s="91">
        <v>103047</v>
      </c>
      <c r="BJ50" s="91">
        <v>158855</v>
      </c>
      <c r="BK50" s="91">
        <v>77254</v>
      </c>
      <c r="BL50" s="91">
        <v>99853</v>
      </c>
      <c r="BM50" s="91">
        <v>100723</v>
      </c>
      <c r="BN50" s="91">
        <v>125338</v>
      </c>
      <c r="BO50" s="91">
        <v>153622</v>
      </c>
      <c r="BP50" s="91">
        <v>166483</v>
      </c>
      <c r="BQ50" s="91">
        <v>156140</v>
      </c>
      <c r="BR50" s="91">
        <v>111391</v>
      </c>
      <c r="BS50" s="91">
        <v>26768</v>
      </c>
      <c r="BT50" s="91">
        <f t="shared" si="101"/>
        <v>1389709</v>
      </c>
      <c r="BU50" s="28"/>
      <c r="BV50" s="91">
        <v>54245</v>
      </c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J50" s="91">
        <v>54245</v>
      </c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</row>
    <row r="51" spans="1:100" ht="15.75">
      <c r="A51" s="103"/>
      <c r="B51" s="329" t="s">
        <v>279</v>
      </c>
      <c r="C51" s="330"/>
      <c r="D51" s="331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332"/>
      <c r="Q51" s="105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334"/>
      <c r="AE51" s="106"/>
      <c r="AF51" s="333">
        <f t="shared" ref="AF51:AQ51" si="102">AF50-AF20</f>
        <v>2047</v>
      </c>
      <c r="AG51" s="333">
        <f t="shared" si="102"/>
        <v>-3571</v>
      </c>
      <c r="AH51" s="333">
        <f t="shared" si="102"/>
        <v>-219</v>
      </c>
      <c r="AI51" s="333">
        <f t="shared" si="102"/>
        <v>-1735</v>
      </c>
      <c r="AJ51" s="333">
        <f t="shared" si="102"/>
        <v>-2447</v>
      </c>
      <c r="AK51" s="333">
        <f t="shared" si="102"/>
        <v>675</v>
      </c>
      <c r="AL51" s="333">
        <f t="shared" si="102"/>
        <v>-9703</v>
      </c>
      <c r="AM51" s="333">
        <f t="shared" si="102"/>
        <v>-52075</v>
      </c>
      <c r="AN51" s="333">
        <f t="shared" si="102"/>
        <v>-59487.333333333343</v>
      </c>
      <c r="AO51" s="333">
        <f t="shared" si="102"/>
        <v>-15063</v>
      </c>
      <c r="AP51" s="333">
        <f t="shared" si="102"/>
        <v>-23043</v>
      </c>
      <c r="AQ51" s="333">
        <f t="shared" si="102"/>
        <v>-11563</v>
      </c>
      <c r="AR51" s="107">
        <f t="shared" si="94"/>
        <v>-176184.33333333334</v>
      </c>
      <c r="AS51" s="106"/>
      <c r="AT51" s="333">
        <f t="shared" ref="AT51:BE51" si="103">AT50-AT20</f>
        <v>8451.75</v>
      </c>
      <c r="AU51" s="333">
        <f t="shared" si="103"/>
        <v>-37227.103448275855</v>
      </c>
      <c r="AV51" s="333">
        <f t="shared" si="103"/>
        <v>-6779.1379310344782</v>
      </c>
      <c r="AW51" s="333">
        <f t="shared" si="103"/>
        <v>-22342.137931034478</v>
      </c>
      <c r="AX51" s="333">
        <f t="shared" si="103"/>
        <v>4719.0344827586232</v>
      </c>
      <c r="AY51" s="333">
        <f t="shared" si="103"/>
        <v>-14182.777777777781</v>
      </c>
      <c r="AZ51" s="333">
        <f t="shared" si="103"/>
        <v>-6630.777777777781</v>
      </c>
      <c r="BA51" s="333">
        <f t="shared" si="103"/>
        <v>-77771.296296296292</v>
      </c>
      <c r="BB51" s="333">
        <f t="shared" si="103"/>
        <v>-51486.777777777781</v>
      </c>
      <c r="BC51" s="333">
        <f t="shared" si="103"/>
        <v>-99233.290755657828</v>
      </c>
      <c r="BD51" s="333">
        <f t="shared" si="103"/>
        <v>5175.413118527038</v>
      </c>
      <c r="BE51" s="333">
        <f t="shared" si="103"/>
        <v>5840.3870349060235</v>
      </c>
      <c r="BF51" s="108">
        <f t="shared" si="72"/>
        <v>-291466.71505944064</v>
      </c>
      <c r="BG51" s="106"/>
      <c r="BH51" s="333">
        <f t="shared" ref="BH51:BQ51" si="104">BH50-BH17</f>
        <v>-6365</v>
      </c>
      <c r="BI51" s="333">
        <f t="shared" si="104"/>
        <v>-8486.3333333333285</v>
      </c>
      <c r="BJ51" s="333">
        <f t="shared" si="104"/>
        <v>23180.925925925927</v>
      </c>
      <c r="BK51" s="333">
        <f t="shared" si="104"/>
        <v>-44486.740740740745</v>
      </c>
      <c r="BL51" s="333">
        <f t="shared" si="104"/>
        <v>5926.148148148146</v>
      </c>
      <c r="BM51" s="333">
        <f t="shared" si="104"/>
        <v>10043.740740740745</v>
      </c>
      <c r="BN51" s="333">
        <f t="shared" si="104"/>
        <v>-4917.555555555562</v>
      </c>
      <c r="BO51" s="333">
        <f t="shared" si="104"/>
        <v>3071.6218888889125</v>
      </c>
      <c r="BP51" s="333">
        <f t="shared" si="104"/>
        <v>4652.2504629629548</v>
      </c>
      <c r="BQ51" s="333">
        <f t="shared" si="104"/>
        <v>29010</v>
      </c>
      <c r="BR51" s="108"/>
      <c r="BS51" s="108"/>
      <c r="BT51" s="108">
        <f t="shared" si="101"/>
        <v>11629.05753703705</v>
      </c>
      <c r="BU51" s="28"/>
      <c r="BV51" s="333"/>
      <c r="BW51" s="333"/>
      <c r="BX51" s="333"/>
      <c r="BY51" s="333"/>
      <c r="BZ51" s="108"/>
      <c r="CA51" s="108"/>
      <c r="CB51" s="108"/>
      <c r="CC51" s="108"/>
      <c r="CD51" s="108"/>
      <c r="CE51" s="108"/>
      <c r="CF51" s="108"/>
      <c r="CG51" s="108"/>
      <c r="CH51" s="108"/>
      <c r="CJ51" s="333"/>
      <c r="CK51" s="333"/>
      <c r="CL51" s="333"/>
      <c r="CM51" s="333"/>
      <c r="CN51" s="108"/>
      <c r="CO51" s="108"/>
      <c r="CP51" s="108"/>
      <c r="CQ51" s="108"/>
      <c r="CR51" s="108"/>
      <c r="CS51" s="108"/>
      <c r="CT51" s="108"/>
      <c r="CU51" s="108"/>
      <c r="CV51" s="108"/>
    </row>
    <row r="52" spans="1:100" ht="15.75" customHeight="1">
      <c r="A52" s="94"/>
      <c r="B52" s="336" t="s">
        <v>81</v>
      </c>
      <c r="C52" s="335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/>
      <c r="Q52" s="90"/>
      <c r="R52" s="316"/>
      <c r="S52" s="316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5"/>
      <c r="AE52" s="23"/>
      <c r="AF52" s="316">
        <v>26171</v>
      </c>
      <c r="AG52" s="316">
        <v>21736</v>
      </c>
      <c r="AH52" s="316">
        <v>10736</v>
      </c>
      <c r="AI52" s="316">
        <v>15851</v>
      </c>
      <c r="AJ52" s="316">
        <v>30248</v>
      </c>
      <c r="AK52" s="316">
        <v>34072</v>
      </c>
      <c r="AL52" s="316">
        <v>37481</v>
      </c>
      <c r="AM52" s="91">
        <v>32645</v>
      </c>
      <c r="AN52" s="91">
        <v>30252</v>
      </c>
      <c r="AO52" s="91">
        <v>39494</v>
      </c>
      <c r="AP52" s="91">
        <v>42389</v>
      </c>
      <c r="AQ52" s="91">
        <v>55547</v>
      </c>
      <c r="AR52" s="92">
        <f t="shared" si="94"/>
        <v>376622</v>
      </c>
      <c r="AS52" s="23"/>
      <c r="AT52" s="91">
        <v>30298</v>
      </c>
      <c r="AU52" s="91">
        <v>27364</v>
      </c>
      <c r="AV52" s="91">
        <v>32595</v>
      </c>
      <c r="AW52" s="91">
        <v>28643</v>
      </c>
      <c r="AX52" s="91">
        <v>32208</v>
      </c>
      <c r="AY52" s="91">
        <v>30601</v>
      </c>
      <c r="AZ52" s="91">
        <v>38882</v>
      </c>
      <c r="BA52" s="91">
        <v>30743</v>
      </c>
      <c r="BB52" s="91">
        <f>24621+1200</f>
        <v>25821</v>
      </c>
      <c r="BC52" s="91">
        <v>31662</v>
      </c>
      <c r="BD52" s="91">
        <v>37222</v>
      </c>
      <c r="BE52" s="91">
        <v>53667</v>
      </c>
      <c r="BF52" s="91">
        <f t="shared" si="72"/>
        <v>399706</v>
      </c>
      <c r="BG52" s="93">
        <f>BF52/AR52-1</f>
        <v>6.1292224033646425E-2</v>
      </c>
      <c r="BH52" s="91">
        <v>34097</v>
      </c>
      <c r="BI52" s="91">
        <v>25734</v>
      </c>
      <c r="BJ52" s="91">
        <v>34274</v>
      </c>
      <c r="BK52" s="91">
        <v>28838</v>
      </c>
      <c r="BL52" s="91">
        <v>32785</v>
      </c>
      <c r="BM52" s="91">
        <v>38470</v>
      </c>
      <c r="BN52" s="91">
        <v>48365</v>
      </c>
      <c r="BO52" s="91">
        <v>33280</v>
      </c>
      <c r="BP52" s="91">
        <v>34203</v>
      </c>
      <c r="BQ52" s="91">
        <v>35184</v>
      </c>
      <c r="BR52" s="91">
        <v>34873</v>
      </c>
      <c r="BS52" s="91">
        <v>48960</v>
      </c>
      <c r="BT52" s="91">
        <f t="shared" si="101"/>
        <v>429063</v>
      </c>
      <c r="BU52" s="28"/>
      <c r="BV52" s="91">
        <v>22115</v>
      </c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J52" s="91">
        <v>22115</v>
      </c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</row>
    <row r="53" spans="1:100" ht="15.75">
      <c r="A53" s="103"/>
      <c r="B53" s="329" t="s">
        <v>280</v>
      </c>
      <c r="C53" s="330"/>
      <c r="D53" s="331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332"/>
      <c r="Q53" s="105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06"/>
      <c r="AF53" s="333">
        <f t="shared" ref="AF53:AQ53" si="105">AF52-AF43</f>
        <v>-12329</v>
      </c>
      <c r="AG53" s="333">
        <f t="shared" si="105"/>
        <v>-664</v>
      </c>
      <c r="AH53" s="333">
        <f t="shared" si="105"/>
        <v>65</v>
      </c>
      <c r="AI53" s="333">
        <f t="shared" si="105"/>
        <v>-246</v>
      </c>
      <c r="AJ53" s="333">
        <f t="shared" si="105"/>
        <v>-30</v>
      </c>
      <c r="AK53" s="333">
        <f t="shared" si="105"/>
        <v>5512</v>
      </c>
      <c r="AL53" s="333">
        <f t="shared" si="105"/>
        <v>-4219</v>
      </c>
      <c r="AM53" s="333">
        <f t="shared" si="105"/>
        <v>-6055</v>
      </c>
      <c r="AN53" s="333">
        <f t="shared" si="105"/>
        <v>-7048</v>
      </c>
      <c r="AO53" s="333">
        <f t="shared" si="105"/>
        <v>2094</v>
      </c>
      <c r="AP53" s="333">
        <f t="shared" si="105"/>
        <v>1749</v>
      </c>
      <c r="AQ53" s="333">
        <f t="shared" si="105"/>
        <v>1107</v>
      </c>
      <c r="AR53" s="107">
        <f t="shared" si="94"/>
        <v>-20064</v>
      </c>
      <c r="AS53" s="106"/>
      <c r="AT53" s="333">
        <f t="shared" ref="AT53:BE53" si="106">AT52-AT43</f>
        <v>-5855</v>
      </c>
      <c r="AU53" s="333">
        <f t="shared" si="106"/>
        <v>-7925</v>
      </c>
      <c r="AV53" s="333">
        <f t="shared" si="106"/>
        <v>-3277</v>
      </c>
      <c r="AW53" s="333">
        <f t="shared" si="106"/>
        <v>-9388</v>
      </c>
      <c r="AX53" s="333">
        <f t="shared" si="106"/>
        <v>-1358</v>
      </c>
      <c r="AY53" s="333">
        <f t="shared" si="106"/>
        <v>-2965</v>
      </c>
      <c r="AZ53" s="333">
        <f t="shared" si="106"/>
        <v>7986</v>
      </c>
      <c r="BA53" s="333">
        <f t="shared" si="106"/>
        <v>-403</v>
      </c>
      <c r="BB53" s="333">
        <f t="shared" si="106"/>
        <v>-6809</v>
      </c>
      <c r="BC53" s="333">
        <f t="shared" si="106"/>
        <v>-6900</v>
      </c>
      <c r="BD53" s="333">
        <f t="shared" si="106"/>
        <v>-4123</v>
      </c>
      <c r="BE53" s="333">
        <f t="shared" si="106"/>
        <v>4404</v>
      </c>
      <c r="BF53" s="108">
        <f t="shared" si="72"/>
        <v>-36613</v>
      </c>
      <c r="BG53" s="106"/>
      <c r="BH53" s="333">
        <f t="shared" ref="BH53:BQ53" si="107">BH52-BH43</f>
        <v>-2056</v>
      </c>
      <c r="BI53" s="333">
        <f t="shared" si="107"/>
        <v>-9555</v>
      </c>
      <c r="BJ53" s="333">
        <f t="shared" si="107"/>
        <v>-1598</v>
      </c>
      <c r="BK53" s="333">
        <f t="shared" si="107"/>
        <v>-9193</v>
      </c>
      <c r="BL53" s="333">
        <f t="shared" si="107"/>
        <v>-5785</v>
      </c>
      <c r="BM53" s="333">
        <f t="shared" si="107"/>
        <v>-757</v>
      </c>
      <c r="BN53" s="333">
        <f t="shared" si="107"/>
        <v>7237</v>
      </c>
      <c r="BO53" s="333">
        <f t="shared" si="107"/>
        <v>-4911</v>
      </c>
      <c r="BP53" s="333">
        <f t="shared" si="107"/>
        <v>-3988</v>
      </c>
      <c r="BQ53" s="333">
        <f t="shared" si="107"/>
        <v>-5041</v>
      </c>
      <c r="BR53" s="108"/>
      <c r="BS53" s="108"/>
      <c r="BT53" s="108">
        <f t="shared" si="101"/>
        <v>-35647</v>
      </c>
      <c r="BU53" s="28"/>
      <c r="BV53" s="333"/>
      <c r="BW53" s="333"/>
      <c r="BX53" s="333"/>
      <c r="BY53" s="333"/>
      <c r="BZ53" s="108"/>
      <c r="CA53" s="108"/>
      <c r="CB53" s="108"/>
      <c r="CC53" s="108"/>
      <c r="CD53" s="108"/>
      <c r="CE53" s="108"/>
      <c r="CF53" s="108"/>
      <c r="CG53" s="108"/>
      <c r="CH53" s="108"/>
      <c r="CJ53" s="333"/>
      <c r="CK53" s="333"/>
      <c r="CL53" s="333"/>
      <c r="CM53" s="333"/>
      <c r="CN53" s="108"/>
      <c r="CO53" s="108"/>
      <c r="CP53" s="108"/>
      <c r="CQ53" s="108"/>
      <c r="CR53" s="108"/>
      <c r="CS53" s="108"/>
      <c r="CT53" s="108"/>
      <c r="CU53" s="108"/>
      <c r="CV53" s="108"/>
    </row>
    <row r="54" spans="1:100" ht="15.75">
      <c r="A54" s="103" t="s">
        <v>83</v>
      </c>
      <c r="B54" s="337"/>
      <c r="C54" s="330"/>
      <c r="D54" s="331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332"/>
      <c r="Q54" s="105"/>
      <c r="R54" s="333"/>
      <c r="S54" s="333"/>
      <c r="T54" s="333"/>
      <c r="U54" s="333"/>
      <c r="V54" s="333"/>
      <c r="W54" s="333"/>
      <c r="X54" s="333"/>
      <c r="Y54" s="333"/>
      <c r="Z54" s="333"/>
      <c r="AA54" s="333"/>
      <c r="AB54" s="333"/>
      <c r="AC54" s="333"/>
      <c r="AD54" s="334"/>
      <c r="AE54" s="106"/>
      <c r="AF54" s="333">
        <f t="shared" ref="AF54:AQ55" si="108">AF49-AF16</f>
        <v>-10282</v>
      </c>
      <c r="AG54" s="333">
        <f t="shared" si="108"/>
        <v>-4235</v>
      </c>
      <c r="AH54" s="333">
        <f t="shared" si="108"/>
        <v>-154</v>
      </c>
      <c r="AI54" s="333">
        <f t="shared" si="108"/>
        <v>-1981</v>
      </c>
      <c r="AJ54" s="333">
        <f t="shared" si="108"/>
        <v>-2477</v>
      </c>
      <c r="AK54" s="333">
        <f t="shared" si="108"/>
        <v>6187</v>
      </c>
      <c r="AL54" s="333">
        <f t="shared" si="108"/>
        <v>-13922</v>
      </c>
      <c r="AM54" s="333">
        <f t="shared" si="108"/>
        <v>-58130</v>
      </c>
      <c r="AN54" s="333">
        <f t="shared" si="108"/>
        <v>-66535.333333333343</v>
      </c>
      <c r="AO54" s="333">
        <f t="shared" si="108"/>
        <v>-12969</v>
      </c>
      <c r="AP54" s="333">
        <f t="shared" si="108"/>
        <v>-21294</v>
      </c>
      <c r="AQ54" s="333">
        <f t="shared" si="108"/>
        <v>-10456</v>
      </c>
      <c r="AR54" s="107">
        <f t="shared" si="94"/>
        <v>-196248.33333333334</v>
      </c>
      <c r="AS54" s="106"/>
      <c r="AT54" s="333">
        <f t="shared" ref="AT54:BE54" si="109">AT49-AT16</f>
        <v>2596.75</v>
      </c>
      <c r="AU54" s="333">
        <f t="shared" si="109"/>
        <v>-45152.103448275855</v>
      </c>
      <c r="AV54" s="333">
        <f t="shared" si="109"/>
        <v>-10056.137931034493</v>
      </c>
      <c r="AW54" s="333">
        <f t="shared" si="109"/>
        <v>-31730.137931034493</v>
      </c>
      <c r="AX54" s="333">
        <f t="shared" si="109"/>
        <v>3361.0344827586232</v>
      </c>
      <c r="AY54" s="333">
        <f t="shared" si="109"/>
        <v>-17147.777777777781</v>
      </c>
      <c r="AZ54" s="333">
        <f t="shared" si="109"/>
        <v>1355.222222222219</v>
      </c>
      <c r="BA54" s="333">
        <f t="shared" si="109"/>
        <v>-78174.296296296292</v>
      </c>
      <c r="BB54" s="333">
        <f t="shared" si="109"/>
        <v>-58295.777777777781</v>
      </c>
      <c r="BC54" s="333">
        <f t="shared" si="109"/>
        <v>-106133.29075565783</v>
      </c>
      <c r="BD54" s="333">
        <f t="shared" si="109"/>
        <v>1052.413118527038</v>
      </c>
      <c r="BE54" s="333">
        <f t="shared" si="109"/>
        <v>17507.387034906016</v>
      </c>
      <c r="BF54" s="108">
        <f t="shared" si="72"/>
        <v>-320816.71505944064</v>
      </c>
      <c r="BG54" s="106"/>
      <c r="BH54" s="333">
        <f t="shared" ref="BH54:BQ54" si="110">BH49-BH16</f>
        <v>-8421</v>
      </c>
      <c r="BI54" s="333">
        <f t="shared" si="110"/>
        <v>-18041.333333333314</v>
      </c>
      <c r="BJ54" s="333">
        <f t="shared" si="110"/>
        <v>21582.925925925927</v>
      </c>
      <c r="BK54" s="333">
        <f t="shared" si="110"/>
        <v>-53679.74074074073</v>
      </c>
      <c r="BL54" s="333">
        <f t="shared" si="110"/>
        <v>141.14814814814599</v>
      </c>
      <c r="BM54" s="333">
        <f t="shared" si="110"/>
        <v>9286.7407407407445</v>
      </c>
      <c r="BN54" s="333">
        <f t="shared" si="110"/>
        <v>2319.444444444438</v>
      </c>
      <c r="BO54" s="333">
        <f t="shared" si="110"/>
        <v>7351.6218888889125</v>
      </c>
      <c r="BP54" s="333">
        <f t="shared" si="110"/>
        <v>-1367.7495370370452</v>
      </c>
      <c r="BQ54" s="333">
        <f t="shared" si="110"/>
        <v>27459</v>
      </c>
      <c r="BR54" s="108"/>
      <c r="BS54" s="108"/>
      <c r="BT54" s="108">
        <f t="shared" si="101"/>
        <v>-13368.942462962921</v>
      </c>
      <c r="BU54" s="28"/>
      <c r="BV54" s="333"/>
      <c r="BW54" s="333"/>
      <c r="BX54" s="333"/>
      <c r="BY54" s="333"/>
      <c r="BZ54" s="108"/>
      <c r="CA54" s="108"/>
      <c r="CB54" s="108"/>
      <c r="CC54" s="108"/>
      <c r="CD54" s="108"/>
      <c r="CE54" s="108"/>
      <c r="CF54" s="108"/>
      <c r="CG54" s="108"/>
      <c r="CH54" s="108"/>
      <c r="CJ54" s="333"/>
      <c r="CK54" s="333"/>
      <c r="CL54" s="333"/>
      <c r="CM54" s="333"/>
      <c r="CN54" s="108"/>
      <c r="CO54" s="108"/>
      <c r="CP54" s="108"/>
      <c r="CQ54" s="108"/>
      <c r="CR54" s="108"/>
      <c r="CS54" s="108"/>
      <c r="CT54" s="108"/>
      <c r="CU54" s="108"/>
      <c r="CV54" s="108"/>
    </row>
    <row r="55" spans="1:100" ht="15.75">
      <c r="A55" s="103" t="s">
        <v>85</v>
      </c>
      <c r="B55" s="337"/>
      <c r="C55" s="330"/>
      <c r="D55" s="331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332"/>
      <c r="Q55" s="105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06"/>
      <c r="AF55" s="333">
        <f t="shared" si="108"/>
        <v>92193</v>
      </c>
      <c r="AG55" s="333">
        <f t="shared" si="108"/>
        <v>152006</v>
      </c>
      <c r="AH55" s="333">
        <f t="shared" si="108"/>
        <v>62734</v>
      </c>
      <c r="AI55" s="333">
        <f t="shared" si="108"/>
        <v>71526</v>
      </c>
      <c r="AJ55" s="333">
        <f t="shared" si="108"/>
        <v>89409</v>
      </c>
      <c r="AK55" s="333">
        <f t="shared" si="108"/>
        <v>120675</v>
      </c>
      <c r="AL55" s="333">
        <f t="shared" si="108"/>
        <v>100592</v>
      </c>
      <c r="AM55" s="333">
        <f t="shared" si="108"/>
        <v>148128</v>
      </c>
      <c r="AN55" s="333">
        <f t="shared" si="108"/>
        <v>164346</v>
      </c>
      <c r="AO55" s="333">
        <f t="shared" si="108"/>
        <v>203437</v>
      </c>
      <c r="AP55" s="333">
        <f t="shared" si="108"/>
        <v>64957</v>
      </c>
      <c r="AQ55" s="333">
        <f t="shared" si="108"/>
        <v>31837</v>
      </c>
      <c r="AR55" s="107">
        <f t="shared" si="94"/>
        <v>1301840</v>
      </c>
      <c r="AS55" s="106"/>
      <c r="AT55" s="338">
        <f t="shared" ref="AT55:BE55" si="111">AT54/AT16</f>
        <v>1.7000083470131603E-2</v>
      </c>
      <c r="AU55" s="338">
        <f t="shared" si="111"/>
        <v>-0.26792985919579565</v>
      </c>
      <c r="AV55" s="338">
        <f t="shared" si="111"/>
        <v>-6.5248272015318062E-2</v>
      </c>
      <c r="AW55" s="338">
        <f t="shared" si="111"/>
        <v>-0.19881644480138216</v>
      </c>
      <c r="AX55" s="338">
        <f t="shared" si="111"/>
        <v>2.798530764170884E-2</v>
      </c>
      <c r="AY55" s="338">
        <f t="shared" si="111"/>
        <v>-0.12395048084722922</v>
      </c>
      <c r="AZ55" s="338">
        <f t="shared" si="111"/>
        <v>8.1309864112464342E-3</v>
      </c>
      <c r="BA55" s="338">
        <f t="shared" si="111"/>
        <v>-0.32244495902957893</v>
      </c>
      <c r="BB55" s="338">
        <f t="shared" si="111"/>
        <v>-0.23949841829212068</v>
      </c>
      <c r="BC55" s="338">
        <f t="shared" si="111"/>
        <v>-0.41888939787658819</v>
      </c>
      <c r="BD55" s="338">
        <f t="shared" si="111"/>
        <v>7.8214003811977375E-3</v>
      </c>
      <c r="BE55" s="338">
        <f t="shared" si="111"/>
        <v>0.24086123043473662</v>
      </c>
      <c r="BF55" s="109">
        <f>AVERAGE(AT55:BE55)</f>
        <v>-0.11124823530991597</v>
      </c>
      <c r="BG55" s="106"/>
      <c r="BH55" s="338">
        <f t="shared" ref="BH55:BQ55" si="112">BH54/BH16</f>
        <v>-5.512821352117471E-2</v>
      </c>
      <c r="BI55" s="338">
        <f t="shared" si="112"/>
        <v>-0.12287867195499311</v>
      </c>
      <c r="BJ55" s="338">
        <f t="shared" si="112"/>
        <v>0.12581416416796784</v>
      </c>
      <c r="BK55" s="338">
        <f t="shared" si="112"/>
        <v>-0.33597769224938256</v>
      </c>
      <c r="BL55" s="338">
        <f t="shared" si="112"/>
        <v>1.0652943536044719E-3</v>
      </c>
      <c r="BM55" s="338">
        <f t="shared" si="112"/>
        <v>7.1488016002422286E-2</v>
      </c>
      <c r="BN55" s="338">
        <f t="shared" si="112"/>
        <v>1.3533646427895287E-2</v>
      </c>
      <c r="BO55" s="338">
        <f t="shared" si="112"/>
        <v>4.0944619366602007E-2</v>
      </c>
      <c r="BP55" s="338">
        <f t="shared" si="112"/>
        <v>-6.7692361075750926E-3</v>
      </c>
      <c r="BQ55" s="338">
        <f t="shared" si="112"/>
        <v>0.16757086626186191</v>
      </c>
      <c r="BR55" s="109"/>
      <c r="BS55" s="109"/>
      <c r="BT55" s="338">
        <f>BT54/BT16</f>
        <v>-7.1185036907011742E-3</v>
      </c>
      <c r="BU55" s="54"/>
      <c r="BV55" s="338"/>
      <c r="BW55" s="338"/>
      <c r="BX55" s="338"/>
      <c r="BY55" s="338"/>
      <c r="BZ55" s="109"/>
      <c r="CA55" s="109"/>
      <c r="CB55" s="109"/>
      <c r="CC55" s="109"/>
      <c r="CD55" s="109"/>
      <c r="CE55" s="109"/>
      <c r="CF55" s="109"/>
      <c r="CG55" s="109"/>
      <c r="CH55" s="109"/>
      <c r="CJ55" s="338"/>
      <c r="CK55" s="338"/>
      <c r="CL55" s="338"/>
      <c r="CM55" s="338"/>
      <c r="CN55" s="109"/>
      <c r="CO55" s="109"/>
      <c r="CP55" s="109"/>
      <c r="CQ55" s="109"/>
      <c r="CR55" s="109"/>
      <c r="CS55" s="109"/>
      <c r="CT55" s="109"/>
      <c r="CU55" s="109"/>
      <c r="CV55" s="109"/>
    </row>
    <row r="56" spans="1:100" ht="14.25" customHeight="1">
      <c r="A56" s="55" t="s">
        <v>86</v>
      </c>
      <c r="B56" s="56"/>
      <c r="C56" s="280"/>
      <c r="D56" s="288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289"/>
      <c r="Q56" s="39"/>
      <c r="R56" s="288"/>
      <c r="S56" s="58"/>
      <c r="T56" s="58"/>
      <c r="U56" s="58"/>
      <c r="V56" s="58"/>
      <c r="W56" s="290"/>
      <c r="X56" s="290"/>
      <c r="Y56" s="290"/>
      <c r="Z56" s="290"/>
      <c r="AA56" s="290"/>
      <c r="AB56" s="290"/>
      <c r="AC56" s="290"/>
      <c r="AD56" s="291"/>
      <c r="AE56" s="59"/>
      <c r="AF56" s="292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9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9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60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</row>
    <row r="57" spans="1:100" ht="14.25" customHeight="1">
      <c r="A57" s="55"/>
      <c r="B57" s="56" t="s">
        <v>603</v>
      </c>
      <c r="C57" s="280"/>
      <c r="D57" s="28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289"/>
      <c r="Q57" s="39"/>
      <c r="R57" s="288"/>
      <c r="S57" s="58"/>
      <c r="T57" s="58"/>
      <c r="U57" s="58"/>
      <c r="V57" s="58"/>
      <c r="W57" s="290"/>
      <c r="X57" s="290"/>
      <c r="Y57" s="290"/>
      <c r="Z57" s="290"/>
      <c r="AA57" s="290"/>
      <c r="AB57" s="290"/>
      <c r="AC57" s="290"/>
      <c r="AD57" s="291"/>
      <c r="AE57" s="59"/>
      <c r="AF57" s="292"/>
      <c r="AG57" s="292"/>
      <c r="AH57" s="292"/>
      <c r="AI57" s="292"/>
      <c r="AJ57" s="292"/>
      <c r="AK57" s="292"/>
      <c r="AL57" s="292"/>
      <c r="AM57" s="292"/>
      <c r="AN57" s="292"/>
      <c r="AO57" s="292"/>
      <c r="AP57" s="292"/>
      <c r="AQ57" s="292"/>
      <c r="AR57" s="58"/>
      <c r="AS57" s="59"/>
      <c r="AT57" s="292"/>
      <c r="AU57" s="292"/>
      <c r="AV57" s="292"/>
      <c r="AW57" s="292"/>
      <c r="AX57" s="292"/>
      <c r="AY57" s="292"/>
      <c r="AZ57" s="292"/>
      <c r="BA57" s="292"/>
      <c r="BB57" s="292"/>
      <c r="BC57" s="292"/>
      <c r="BD57" s="292"/>
      <c r="BE57" s="292"/>
      <c r="BF57" s="58"/>
      <c r="BG57" s="59"/>
      <c r="BH57" s="292"/>
      <c r="BI57" s="292"/>
      <c r="BJ57" s="292"/>
      <c r="BK57" s="292"/>
      <c r="BL57" s="292"/>
      <c r="BM57" s="292"/>
      <c r="BN57" s="292"/>
      <c r="BO57" s="292"/>
      <c r="BP57" s="292"/>
      <c r="BQ57" s="292"/>
      <c r="BR57" s="292"/>
      <c r="BS57" s="292"/>
      <c r="BT57" s="292"/>
      <c r="BU57" s="60"/>
      <c r="BV57" s="400">
        <f>BH49</f>
        <v>144332</v>
      </c>
      <c r="BW57" s="400">
        <f t="shared" ref="BW57:CA57" si="113">BI49</f>
        <v>128781</v>
      </c>
      <c r="BX57" s="400">
        <f t="shared" si="113"/>
        <v>193129</v>
      </c>
      <c r="BY57" s="400">
        <f t="shared" si="113"/>
        <v>106092</v>
      </c>
      <c r="BZ57" s="400">
        <f t="shared" si="113"/>
        <v>132638</v>
      </c>
      <c r="CA57" s="400">
        <f t="shared" si="113"/>
        <v>139193</v>
      </c>
      <c r="CB57" s="292"/>
      <c r="CC57" s="292"/>
      <c r="CD57" s="292"/>
      <c r="CE57" s="292"/>
      <c r="CF57" s="292"/>
      <c r="CG57" s="292"/>
      <c r="CH57" s="292"/>
      <c r="CJ57" s="400">
        <v>144332</v>
      </c>
      <c r="CK57" s="400">
        <v>128781</v>
      </c>
      <c r="CL57" s="400">
        <v>193129</v>
      </c>
      <c r="CM57" s="400">
        <v>106092</v>
      </c>
      <c r="CN57" s="400">
        <v>132638</v>
      </c>
      <c r="CO57" s="400">
        <v>139193</v>
      </c>
      <c r="CP57" s="292"/>
      <c r="CQ57" s="292"/>
      <c r="CR57" s="292"/>
      <c r="CS57" s="292"/>
      <c r="CT57" s="292"/>
      <c r="CU57" s="292"/>
      <c r="CV57" s="292"/>
    </row>
    <row r="58" spans="1:100" s="414" customFormat="1" ht="22.5" customHeight="1">
      <c r="A58" s="401"/>
      <c r="B58" s="402" t="s">
        <v>289</v>
      </c>
      <c r="C58" s="403"/>
      <c r="D58" s="404"/>
      <c r="E58" s="405"/>
      <c r="F58" s="405"/>
      <c r="G58" s="405"/>
      <c r="H58" s="405"/>
      <c r="I58" s="405"/>
      <c r="J58" s="405"/>
      <c r="K58" s="405"/>
      <c r="L58" s="405"/>
      <c r="M58" s="405"/>
      <c r="N58" s="405"/>
      <c r="O58" s="405"/>
      <c r="P58" s="406"/>
      <c r="Q58" s="407"/>
      <c r="R58" s="404"/>
      <c r="S58" s="408"/>
      <c r="T58" s="408"/>
      <c r="U58" s="408"/>
      <c r="V58" s="408"/>
      <c r="W58" s="409"/>
      <c r="X58" s="409"/>
      <c r="Y58" s="409"/>
      <c r="Z58" s="409"/>
      <c r="AA58" s="409"/>
      <c r="AB58" s="409"/>
      <c r="AC58" s="409"/>
      <c r="AD58" s="410"/>
      <c r="AE58" s="411"/>
      <c r="AF58" s="412"/>
      <c r="AG58" s="412"/>
      <c r="AH58" s="412"/>
      <c r="AI58" s="412"/>
      <c r="AJ58" s="412"/>
      <c r="AK58" s="412"/>
      <c r="AL58" s="412"/>
      <c r="AM58" s="412"/>
      <c r="AN58" s="412"/>
      <c r="AO58" s="412"/>
      <c r="AP58" s="412"/>
      <c r="AQ58" s="412"/>
      <c r="AR58" s="408"/>
      <c r="AS58" s="411"/>
      <c r="AT58" s="412"/>
      <c r="AU58" s="412"/>
      <c r="AV58" s="412"/>
      <c r="AW58" s="412"/>
      <c r="AX58" s="412"/>
      <c r="AY58" s="412"/>
      <c r="AZ58" s="412"/>
      <c r="BA58" s="412"/>
      <c r="BB58" s="412"/>
      <c r="BC58" s="412"/>
      <c r="BD58" s="412"/>
      <c r="BE58" s="412"/>
      <c r="BF58" s="408"/>
      <c r="BG58" s="411"/>
      <c r="BH58" s="412"/>
      <c r="BI58" s="412"/>
      <c r="BJ58" s="412"/>
      <c r="BK58" s="412"/>
      <c r="BL58" s="412"/>
      <c r="BM58" s="412"/>
      <c r="BN58" s="412"/>
      <c r="BO58" s="412"/>
      <c r="BP58" s="412"/>
      <c r="BQ58" s="412"/>
      <c r="BR58" s="412"/>
      <c r="BS58" s="412"/>
      <c r="BT58" s="412"/>
      <c r="BU58" s="60"/>
      <c r="BV58" s="413">
        <f>BV16</f>
        <v>157964.2809653038</v>
      </c>
      <c r="BW58" s="413">
        <f t="shared" ref="BW58:CA58" si="114">BW16</f>
        <v>146290.91993436706</v>
      </c>
      <c r="BX58" s="413">
        <f t="shared" si="114"/>
        <v>187073.36677403664</v>
      </c>
      <c r="BY58" s="413">
        <f t="shared" si="114"/>
        <v>151285.71907179488</v>
      </c>
      <c r="BZ58" s="413">
        <f t="shared" si="114"/>
        <v>144178.1256303548</v>
      </c>
      <c r="CA58" s="413">
        <f t="shared" si="114"/>
        <v>138215.07940017723</v>
      </c>
      <c r="CB58" s="412"/>
      <c r="CC58" s="412"/>
      <c r="CD58" s="412"/>
      <c r="CE58" s="412"/>
      <c r="CF58" s="412"/>
      <c r="CG58" s="412"/>
      <c r="CH58" s="412"/>
      <c r="CJ58" s="413">
        <v>157964.2809653038</v>
      </c>
      <c r="CK58" s="413">
        <v>146290.91993436706</v>
      </c>
      <c r="CL58" s="413">
        <v>187073.36677403664</v>
      </c>
      <c r="CM58" s="413">
        <v>151285.71907179488</v>
      </c>
      <c r="CN58" s="413">
        <v>144178.1256303548</v>
      </c>
      <c r="CO58" s="413">
        <v>138215.07940017723</v>
      </c>
      <c r="CP58" s="412"/>
      <c r="CQ58" s="412"/>
      <c r="CR58" s="412"/>
      <c r="CS58" s="412"/>
      <c r="CT58" s="412"/>
      <c r="CU58" s="412"/>
      <c r="CV58" s="412"/>
    </row>
    <row r="59" spans="1:100" ht="15.75" customHeight="1" outlineLevel="1">
      <c r="A59" s="94">
        <v>7</v>
      </c>
      <c r="B59" s="210" t="s">
        <v>90</v>
      </c>
      <c r="C59" s="335"/>
      <c r="D59" s="313">
        <v>98048</v>
      </c>
      <c r="E59" s="89">
        <v>128688</v>
      </c>
      <c r="F59" s="89">
        <v>124704</v>
      </c>
      <c r="G59" s="89">
        <v>157500</v>
      </c>
      <c r="H59" s="89">
        <v>182600</v>
      </c>
      <c r="I59" s="89">
        <v>157700</v>
      </c>
      <c r="J59" s="89">
        <v>181700</v>
      </c>
      <c r="K59" s="89">
        <v>165900</v>
      </c>
      <c r="L59" s="89">
        <v>174300</v>
      </c>
      <c r="M59" s="89">
        <v>215800</v>
      </c>
      <c r="N59" s="89">
        <v>180000</v>
      </c>
      <c r="O59" s="89">
        <v>112500</v>
      </c>
      <c r="P59" s="314">
        <f t="shared" ref="P59:P60" si="115">SUM(D59:O59)</f>
        <v>1879440</v>
      </c>
      <c r="Q59" s="90"/>
      <c r="R59" s="313">
        <v>158400</v>
      </c>
      <c r="S59" s="91">
        <v>161000</v>
      </c>
      <c r="T59" s="91">
        <v>117800</v>
      </c>
      <c r="U59" s="91">
        <v>2000</v>
      </c>
      <c r="V59" s="91">
        <v>53800</v>
      </c>
      <c r="W59" s="91">
        <v>190600</v>
      </c>
      <c r="X59" s="91">
        <v>187900</v>
      </c>
      <c r="Y59" s="91">
        <v>196800</v>
      </c>
      <c r="Z59" s="91">
        <v>192300</v>
      </c>
      <c r="AA59" s="91">
        <v>182300</v>
      </c>
      <c r="AB59" s="91">
        <v>175000</v>
      </c>
      <c r="AC59" s="91">
        <v>134100</v>
      </c>
      <c r="AD59" s="315">
        <f>SUM(R59:AC59)</f>
        <v>1752000</v>
      </c>
      <c r="AE59" s="23"/>
      <c r="AF59" s="316">
        <f t="shared" ref="AF59:AL59" si="116">SUM(AF60,AF62)</f>
        <v>161400</v>
      </c>
      <c r="AG59" s="316">
        <f t="shared" si="116"/>
        <v>166000</v>
      </c>
      <c r="AH59" s="316">
        <f t="shared" si="116"/>
        <v>150471</v>
      </c>
      <c r="AI59" s="316">
        <f t="shared" si="116"/>
        <v>149040</v>
      </c>
      <c r="AJ59" s="316">
        <f t="shared" si="116"/>
        <v>196360</v>
      </c>
      <c r="AK59" s="316">
        <f t="shared" si="116"/>
        <v>163300</v>
      </c>
      <c r="AL59" s="316">
        <f t="shared" si="116"/>
        <v>190000</v>
      </c>
      <c r="AM59" s="316">
        <f t="shared" ref="AM59:AQ59" si="117">SUM(AM60,AM62,AM63)</f>
        <v>167000</v>
      </c>
      <c r="AN59" s="316">
        <f t="shared" si="117"/>
        <v>170500</v>
      </c>
      <c r="AO59" s="316">
        <f t="shared" si="117"/>
        <v>140000</v>
      </c>
      <c r="AP59" s="316">
        <f t="shared" si="117"/>
        <v>130000</v>
      </c>
      <c r="AQ59" s="316">
        <f t="shared" si="117"/>
        <v>100000</v>
      </c>
      <c r="AR59" s="92">
        <f t="shared" ref="AR59:AR60" si="118">SUM(AF59:AQ59)</f>
        <v>1884071</v>
      </c>
      <c r="AS59" s="23"/>
      <c r="AT59" s="316">
        <f t="shared" ref="AT59:BC59" si="119">SUM(AT60,AT62,AT63)</f>
        <v>133000</v>
      </c>
      <c r="AU59" s="316">
        <f t="shared" si="119"/>
        <v>125180</v>
      </c>
      <c r="AV59" s="316">
        <f t="shared" si="119"/>
        <v>117228</v>
      </c>
      <c r="AW59" s="316">
        <f t="shared" si="119"/>
        <v>127500</v>
      </c>
      <c r="AX59" s="316">
        <f t="shared" si="119"/>
        <v>140000</v>
      </c>
      <c r="AY59" s="316">
        <f t="shared" si="119"/>
        <v>158342.99999899999</v>
      </c>
      <c r="AZ59" s="316">
        <f t="shared" si="119"/>
        <v>152409</v>
      </c>
      <c r="BA59" s="316">
        <f t="shared" si="119"/>
        <v>173520</v>
      </c>
      <c r="BB59" s="316">
        <f t="shared" si="119"/>
        <v>165000</v>
      </c>
      <c r="BC59" s="316">
        <f t="shared" si="119"/>
        <v>157500</v>
      </c>
      <c r="BD59" s="316">
        <v>129431</v>
      </c>
      <c r="BE59" s="316">
        <v>61700</v>
      </c>
      <c r="BF59" s="91">
        <f t="shared" ref="BF59:BF60" si="120">SUM(AT59:BE59)</f>
        <v>1640810.999999</v>
      </c>
      <c r="BG59" s="27">
        <f>BF59-AR59</f>
        <v>-243260.00000100001</v>
      </c>
      <c r="BH59" s="339">
        <f>SUM(BH60,BH62,BH63)</f>
        <v>139760</v>
      </c>
      <c r="BI59" s="339">
        <f t="shared" ref="BI59:BP59" si="121">SUM(BI60,BI62,BI63)</f>
        <v>116580</v>
      </c>
      <c r="BJ59" s="339">
        <f t="shared" si="121"/>
        <v>148340</v>
      </c>
      <c r="BK59" s="339">
        <f t="shared" si="121"/>
        <v>112360</v>
      </c>
      <c r="BL59" s="339">
        <f t="shared" si="121"/>
        <v>108660</v>
      </c>
      <c r="BM59" s="339">
        <f t="shared" si="121"/>
        <v>153416</v>
      </c>
      <c r="BN59" s="339">
        <f t="shared" si="121"/>
        <v>137676</v>
      </c>
      <c r="BO59" s="339">
        <f t="shared" si="121"/>
        <v>160654</v>
      </c>
      <c r="BP59" s="339">
        <f t="shared" si="121"/>
        <v>157000</v>
      </c>
      <c r="BQ59" s="339">
        <v>156725</v>
      </c>
      <c r="BR59" s="339">
        <v>182069</v>
      </c>
      <c r="BS59" s="339">
        <f>BS60+BS63</f>
        <v>156420</v>
      </c>
      <c r="BT59" s="339">
        <f t="shared" ref="BT59:BT60" si="122">SUM(BH59:BS59)</f>
        <v>1729660</v>
      </c>
      <c r="BU59" s="60"/>
      <c r="BV59" s="396">
        <f>BV3*7000</f>
        <v>133000</v>
      </c>
      <c r="BW59" s="396">
        <f t="shared" ref="BW59:CG59" si="123">BW3*7000</f>
        <v>133000</v>
      </c>
      <c r="BX59" s="396">
        <f>BX3*BX61</f>
        <v>147000</v>
      </c>
      <c r="BY59" s="396">
        <f t="shared" ref="BY59:CG59" si="124">BY3*BY61</f>
        <v>180000</v>
      </c>
      <c r="BZ59" s="396">
        <f t="shared" si="124"/>
        <v>150000</v>
      </c>
      <c r="CA59" s="396">
        <f t="shared" si="124"/>
        <v>150000</v>
      </c>
      <c r="CB59" s="396">
        <f t="shared" si="124"/>
        <v>172500</v>
      </c>
      <c r="CC59" s="396">
        <f t="shared" si="124"/>
        <v>157500</v>
      </c>
      <c r="CD59" s="396">
        <f t="shared" si="124"/>
        <v>157500</v>
      </c>
      <c r="CE59" s="396">
        <f t="shared" si="124"/>
        <v>172500</v>
      </c>
      <c r="CF59" s="396">
        <f t="shared" si="124"/>
        <v>150000</v>
      </c>
      <c r="CG59" s="396">
        <f t="shared" si="124"/>
        <v>97500</v>
      </c>
      <c r="CH59" s="339">
        <f t="shared" ref="CH59:CH60" si="125">SUM(BV59:CG59)</f>
        <v>1800500</v>
      </c>
      <c r="CJ59" s="396">
        <f>CJ3*CJ61</f>
        <v>142500</v>
      </c>
      <c r="CK59" s="396">
        <f t="shared" ref="CK59:CU59" si="126">CK3*CK61</f>
        <v>142500</v>
      </c>
      <c r="CL59" s="396">
        <f t="shared" si="126"/>
        <v>157500</v>
      </c>
      <c r="CM59" s="396">
        <f t="shared" si="126"/>
        <v>180000</v>
      </c>
      <c r="CN59" s="396">
        <f t="shared" si="126"/>
        <v>150000</v>
      </c>
      <c r="CO59" s="396">
        <f t="shared" si="126"/>
        <v>150000</v>
      </c>
      <c r="CP59" s="396">
        <f t="shared" si="126"/>
        <v>172500</v>
      </c>
      <c r="CQ59" s="396">
        <f t="shared" si="126"/>
        <v>157500</v>
      </c>
      <c r="CR59" s="396">
        <f t="shared" si="126"/>
        <v>157500</v>
      </c>
      <c r="CS59" s="396">
        <f t="shared" si="126"/>
        <v>172500</v>
      </c>
      <c r="CT59" s="396">
        <f t="shared" si="126"/>
        <v>150000</v>
      </c>
      <c r="CU59" s="396">
        <f t="shared" si="126"/>
        <v>97500</v>
      </c>
      <c r="CV59" s="339">
        <v>1800500</v>
      </c>
    </row>
    <row r="60" spans="1:100" ht="15.75" outlineLevel="1">
      <c r="A60" s="94"/>
      <c r="B60" s="210" t="s">
        <v>91</v>
      </c>
      <c r="C60" s="335"/>
      <c r="D60" s="313">
        <v>98048</v>
      </c>
      <c r="E60" s="89">
        <v>128688</v>
      </c>
      <c r="F60" s="89">
        <v>124704</v>
      </c>
      <c r="G60" s="89">
        <v>157500</v>
      </c>
      <c r="H60" s="89">
        <v>182600</v>
      </c>
      <c r="I60" s="89">
        <v>157700</v>
      </c>
      <c r="J60" s="89">
        <v>181700</v>
      </c>
      <c r="K60" s="89">
        <v>165900</v>
      </c>
      <c r="L60" s="89">
        <v>174300</v>
      </c>
      <c r="M60" s="89">
        <v>215800</v>
      </c>
      <c r="N60" s="89">
        <v>180000</v>
      </c>
      <c r="O60" s="89">
        <v>112500</v>
      </c>
      <c r="P60" s="314">
        <f t="shared" si="115"/>
        <v>1879440</v>
      </c>
      <c r="Q60" s="90"/>
      <c r="R60" s="313">
        <v>158400</v>
      </c>
      <c r="S60" s="91">
        <v>146000</v>
      </c>
      <c r="T60" s="91">
        <v>102200</v>
      </c>
      <c r="U60" s="91">
        <v>0</v>
      </c>
      <c r="V60" s="91">
        <v>43800</v>
      </c>
      <c r="W60" s="91">
        <v>160600</v>
      </c>
      <c r="X60" s="91">
        <v>167900</v>
      </c>
      <c r="Y60" s="91">
        <v>153300</v>
      </c>
      <c r="Z60" s="91">
        <v>153300</v>
      </c>
      <c r="AA60" s="91">
        <v>153300</v>
      </c>
      <c r="AB60" s="91">
        <v>146000</v>
      </c>
      <c r="AC60" s="91">
        <v>124100</v>
      </c>
      <c r="AD60" s="315"/>
      <c r="AE60" s="23"/>
      <c r="AF60" s="316">
        <v>131400</v>
      </c>
      <c r="AG60" s="91">
        <v>146000</v>
      </c>
      <c r="AH60" s="91">
        <v>125511</v>
      </c>
      <c r="AI60" s="91">
        <v>135000</v>
      </c>
      <c r="AJ60" s="91">
        <v>177320</v>
      </c>
      <c r="AK60" s="91">
        <v>151300</v>
      </c>
      <c r="AL60" s="91">
        <v>176000</v>
      </c>
      <c r="AM60" s="91">
        <f>AM61*AM3</f>
        <v>154000</v>
      </c>
      <c r="AN60" s="91">
        <f>AN61*AN3</f>
        <v>157500</v>
      </c>
      <c r="AO60" s="91">
        <f>AO61*AO3</f>
        <v>140000</v>
      </c>
      <c r="AP60" s="91">
        <f>AP61*AP3</f>
        <v>130000</v>
      </c>
      <c r="AQ60" s="91">
        <f>AQ61*AQ3+16000</f>
        <v>100000</v>
      </c>
      <c r="AR60" s="92">
        <f t="shared" si="118"/>
        <v>1724031</v>
      </c>
      <c r="AS60" s="23"/>
      <c r="AT60" s="91">
        <f>AT61*AT3</f>
        <v>133000</v>
      </c>
      <c r="AU60" s="91">
        <f>125180</f>
        <v>125180</v>
      </c>
      <c r="AV60" s="91">
        <f>AV61*AV3+7428</f>
        <v>117228</v>
      </c>
      <c r="AW60" s="91">
        <f>AW61*AW3</f>
        <v>123500</v>
      </c>
      <c r="AX60" s="91">
        <f>AX61*AX3</f>
        <v>132000</v>
      </c>
      <c r="AY60" s="91">
        <f>AY61*AY3</f>
        <v>153342.99999899999</v>
      </c>
      <c r="AZ60" s="91">
        <v>142409</v>
      </c>
      <c r="BA60" s="91">
        <v>163520</v>
      </c>
      <c r="BB60" s="91">
        <f>BB61*BB3</f>
        <v>165000</v>
      </c>
      <c r="BC60" s="91">
        <f>BC61*BC3</f>
        <v>157500</v>
      </c>
      <c r="BD60" s="316">
        <v>129431</v>
      </c>
      <c r="BE60" s="316">
        <v>61700</v>
      </c>
      <c r="BF60" s="91">
        <f t="shared" si="120"/>
        <v>1603810.999999</v>
      </c>
      <c r="BG60" s="27">
        <f>BF60+BF63-AR60-AR63</f>
        <v>-113040.00000100001</v>
      </c>
      <c r="BH60" s="91">
        <v>136760</v>
      </c>
      <c r="BI60" s="91">
        <v>116580</v>
      </c>
      <c r="BJ60" s="91">
        <v>148340</v>
      </c>
      <c r="BK60" s="91">
        <v>112360</v>
      </c>
      <c r="BL60" s="91">
        <v>108660</v>
      </c>
      <c r="BM60" s="91">
        <v>153416</v>
      </c>
      <c r="BN60" s="91">
        <v>137676</v>
      </c>
      <c r="BO60" s="91">
        <v>150654</v>
      </c>
      <c r="BP60" s="91">
        <f>7100*BP3</f>
        <v>142000</v>
      </c>
      <c r="BQ60" s="91">
        <f t="shared" ref="BQ60:BR60" si="127">BQ59-BQ63</f>
        <v>136725</v>
      </c>
      <c r="BR60" s="91">
        <f t="shared" si="127"/>
        <v>167069</v>
      </c>
      <c r="BS60" s="91">
        <v>124020</v>
      </c>
      <c r="BT60" s="91">
        <f t="shared" si="122"/>
        <v>1634260</v>
      </c>
      <c r="BU60" s="28"/>
      <c r="BV60" s="397">
        <f>BV61*BV62-24551</f>
        <v>129449</v>
      </c>
      <c r="BW60" s="397">
        <f>BW61*BW62</f>
        <v>154000</v>
      </c>
      <c r="BX60" s="397">
        <f t="shared" ref="BX60:CA60" si="128">BX61*BX62</f>
        <v>147000</v>
      </c>
      <c r="BY60" s="397">
        <f t="shared" si="128"/>
        <v>165000</v>
      </c>
      <c r="BZ60" s="397">
        <f t="shared" si="128"/>
        <v>157500</v>
      </c>
      <c r="CA60" s="397">
        <f t="shared" si="128"/>
        <v>172500</v>
      </c>
      <c r="CB60" s="397">
        <v>168760</v>
      </c>
      <c r="CC60" s="397">
        <v>194340</v>
      </c>
      <c r="CD60" s="397">
        <v>208000</v>
      </c>
      <c r="CE60" s="397">
        <v>201780</v>
      </c>
      <c r="CF60" s="397">
        <v>154060</v>
      </c>
      <c r="CG60" s="397">
        <v>96720</v>
      </c>
      <c r="CH60" s="91">
        <f t="shared" si="125"/>
        <v>1949109</v>
      </c>
      <c r="CI60" s="395">
        <f>(CH60-BT65)/BT65</f>
        <v>0.3634957544417815</v>
      </c>
      <c r="CJ60" s="397">
        <v>129449</v>
      </c>
      <c r="CK60" s="397">
        <v>154000</v>
      </c>
      <c r="CL60" s="397">
        <v>147000</v>
      </c>
      <c r="CM60" s="397">
        <v>165000</v>
      </c>
      <c r="CN60" s="397">
        <v>157500</v>
      </c>
      <c r="CO60" s="397">
        <v>172500</v>
      </c>
      <c r="CP60" s="397">
        <v>168760</v>
      </c>
      <c r="CQ60" s="397">
        <v>194340</v>
      </c>
      <c r="CR60" s="397">
        <v>208000</v>
      </c>
      <c r="CS60" s="397">
        <v>201780</v>
      </c>
      <c r="CT60" s="397">
        <v>154060</v>
      </c>
      <c r="CU60" s="397">
        <v>96720</v>
      </c>
      <c r="CV60" s="91">
        <v>1949109</v>
      </c>
    </row>
    <row r="61" spans="1:100" ht="15.75" customHeight="1" outlineLevel="1">
      <c r="A61" s="94"/>
      <c r="B61" s="210" t="s">
        <v>92</v>
      </c>
      <c r="C61" s="335"/>
      <c r="D61" s="313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/>
      <c r="Q61" s="90"/>
      <c r="R61" s="316">
        <f t="shared" ref="R61:AC61" si="129">R60/R3</f>
        <v>7200</v>
      </c>
      <c r="S61" s="316">
        <f t="shared" si="129"/>
        <v>7300</v>
      </c>
      <c r="T61" s="316">
        <f t="shared" si="129"/>
        <v>7300</v>
      </c>
      <c r="U61" s="316">
        <f t="shared" si="129"/>
        <v>0</v>
      </c>
      <c r="V61" s="316">
        <f t="shared" si="129"/>
        <v>3650</v>
      </c>
      <c r="W61" s="316">
        <f t="shared" si="129"/>
        <v>7300</v>
      </c>
      <c r="X61" s="316">
        <f t="shared" si="129"/>
        <v>7300</v>
      </c>
      <c r="Y61" s="316">
        <f t="shared" si="129"/>
        <v>7300</v>
      </c>
      <c r="Z61" s="316">
        <f t="shared" si="129"/>
        <v>7300</v>
      </c>
      <c r="AA61" s="316">
        <f t="shared" si="129"/>
        <v>7300</v>
      </c>
      <c r="AB61" s="316">
        <f t="shared" si="129"/>
        <v>7300</v>
      </c>
      <c r="AC61" s="316">
        <f t="shared" si="129"/>
        <v>7300</v>
      </c>
      <c r="AD61" s="315"/>
      <c r="AE61" s="23"/>
      <c r="AF61" s="316">
        <f t="shared" ref="AF61:AL61" si="130">AF60/AF3</f>
        <v>7300</v>
      </c>
      <c r="AG61" s="316">
        <f t="shared" si="130"/>
        <v>7300</v>
      </c>
      <c r="AH61" s="316">
        <f t="shared" si="130"/>
        <v>6275.55</v>
      </c>
      <c r="AI61" s="316">
        <f t="shared" si="130"/>
        <v>6750</v>
      </c>
      <c r="AJ61" s="316">
        <f t="shared" si="130"/>
        <v>8060</v>
      </c>
      <c r="AK61" s="316">
        <f t="shared" si="130"/>
        <v>7565</v>
      </c>
      <c r="AL61" s="316">
        <f t="shared" si="130"/>
        <v>8000</v>
      </c>
      <c r="AM61" s="91">
        <v>7000</v>
      </c>
      <c r="AN61" s="91">
        <v>7500</v>
      </c>
      <c r="AO61" s="91">
        <v>7000</v>
      </c>
      <c r="AP61" s="91">
        <v>6500</v>
      </c>
      <c r="AQ61" s="91">
        <v>7000</v>
      </c>
      <c r="AR61" s="92">
        <f>AVERAGE(AF61:AQ61)</f>
        <v>7187.5458333333336</v>
      </c>
      <c r="AS61" s="23"/>
      <c r="AT61" s="91">
        <v>7000</v>
      </c>
      <c r="AU61" s="91">
        <f>AU60/AU3</f>
        <v>6588.4210526315792</v>
      </c>
      <c r="AV61" s="91">
        <v>6100</v>
      </c>
      <c r="AW61" s="91">
        <v>6500</v>
      </c>
      <c r="AX61" s="91">
        <v>6000</v>
      </c>
      <c r="AY61" s="91">
        <v>7302.0476189999999</v>
      </c>
      <c r="AZ61" s="91">
        <v>7000</v>
      </c>
      <c r="BA61" s="91">
        <f>BA60/BA3</f>
        <v>7432.727272727273</v>
      </c>
      <c r="BB61" s="91">
        <v>7500</v>
      </c>
      <c r="BC61" s="91">
        <v>7500</v>
      </c>
      <c r="BD61" s="91">
        <f>BD60/BD3</f>
        <v>6471.55</v>
      </c>
      <c r="BE61" s="91">
        <f>BE60/BE3</f>
        <v>6170</v>
      </c>
      <c r="BF61" s="91">
        <f>AVERAGE(AT61:BE61)</f>
        <v>6797.0621620299053</v>
      </c>
      <c r="BG61" s="27"/>
      <c r="BH61" s="91">
        <f t="shared" ref="BH61:BS61" si="131">BH60/BH3</f>
        <v>6838</v>
      </c>
      <c r="BI61" s="91">
        <f t="shared" si="131"/>
        <v>6857.6470588235297</v>
      </c>
      <c r="BJ61" s="91">
        <f t="shared" si="131"/>
        <v>6449.565217391304</v>
      </c>
      <c r="BK61" s="91">
        <f t="shared" si="131"/>
        <v>6242.2222222222226</v>
      </c>
      <c r="BL61" s="91">
        <f t="shared" si="131"/>
        <v>4939.090909090909</v>
      </c>
      <c r="BM61" s="91">
        <f t="shared" si="131"/>
        <v>6670.260869565217</v>
      </c>
      <c r="BN61" s="91">
        <f t="shared" si="131"/>
        <v>6556</v>
      </c>
      <c r="BO61" s="91">
        <f t="shared" si="131"/>
        <v>7174</v>
      </c>
      <c r="BP61" s="91">
        <f t="shared" si="131"/>
        <v>7100</v>
      </c>
      <c r="BQ61" s="91">
        <f t="shared" si="131"/>
        <v>6510.7142857142853</v>
      </c>
      <c r="BR61" s="91">
        <f t="shared" si="131"/>
        <v>8353.4500000000007</v>
      </c>
      <c r="BS61" s="91">
        <f t="shared" si="131"/>
        <v>8858.5714285714294</v>
      </c>
      <c r="BT61" s="91">
        <f>AVERAGE(BH61:BS61)</f>
        <v>6879.1268326149084</v>
      </c>
      <c r="BU61" s="28"/>
      <c r="BV61" s="91">
        <v>7000</v>
      </c>
      <c r="BW61" s="91">
        <v>7000</v>
      </c>
      <c r="BX61" s="91">
        <v>7000</v>
      </c>
      <c r="BY61" s="91">
        <v>7500</v>
      </c>
      <c r="BZ61" s="91">
        <v>7500</v>
      </c>
      <c r="CA61" s="91">
        <v>7500</v>
      </c>
      <c r="CB61" s="91">
        <v>7500</v>
      </c>
      <c r="CC61" s="91">
        <v>7500</v>
      </c>
      <c r="CD61" s="91">
        <v>7500</v>
      </c>
      <c r="CE61" s="91">
        <v>7500</v>
      </c>
      <c r="CF61" s="91">
        <v>7500</v>
      </c>
      <c r="CG61" s="91">
        <v>7500</v>
      </c>
      <c r="CH61" s="91"/>
      <c r="CJ61" s="91">
        <v>7500</v>
      </c>
      <c r="CK61" s="91">
        <v>7500</v>
      </c>
      <c r="CL61" s="91">
        <v>7500</v>
      </c>
      <c r="CM61" s="91">
        <v>7500</v>
      </c>
      <c r="CN61" s="91">
        <v>7500</v>
      </c>
      <c r="CO61" s="91">
        <v>7500</v>
      </c>
      <c r="CP61" s="91">
        <v>7500</v>
      </c>
      <c r="CQ61" s="91">
        <v>7500</v>
      </c>
      <c r="CR61" s="91">
        <v>7500</v>
      </c>
      <c r="CS61" s="91">
        <v>7500</v>
      </c>
      <c r="CT61" s="91">
        <v>7500</v>
      </c>
      <c r="CU61" s="91">
        <v>7500</v>
      </c>
      <c r="CV61" s="91"/>
    </row>
    <row r="62" spans="1:100" ht="15.75" customHeight="1" outlineLevel="1">
      <c r="A62" s="94"/>
      <c r="B62" s="210" t="s">
        <v>93</v>
      </c>
      <c r="C62" s="335"/>
      <c r="D62" s="313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>
        <v>15000</v>
      </c>
      <c r="T62" s="91">
        <v>15600</v>
      </c>
      <c r="U62" s="91">
        <v>2000</v>
      </c>
      <c r="V62" s="91">
        <v>10000</v>
      </c>
      <c r="W62" s="91">
        <v>30000</v>
      </c>
      <c r="X62" s="91">
        <v>20000</v>
      </c>
      <c r="Y62" s="91">
        <v>30000</v>
      </c>
      <c r="Z62" s="91">
        <v>30000</v>
      </c>
      <c r="AA62" s="91">
        <v>20000</v>
      </c>
      <c r="AB62" s="91">
        <v>20000</v>
      </c>
      <c r="AC62" s="91">
        <v>10000</v>
      </c>
      <c r="AD62" s="315"/>
      <c r="AE62" s="23"/>
      <c r="AF62" s="316">
        <v>30000</v>
      </c>
      <c r="AG62" s="91">
        <v>20000</v>
      </c>
      <c r="AH62" s="91">
        <v>24960</v>
      </c>
      <c r="AI62" s="91">
        <v>14040</v>
      </c>
      <c r="AJ62" s="91">
        <v>19040</v>
      </c>
      <c r="AK62" s="91">
        <v>12000</v>
      </c>
      <c r="AL62" s="91">
        <v>14000</v>
      </c>
      <c r="AM62" s="91">
        <v>13000</v>
      </c>
      <c r="AN62" s="91">
        <v>13000</v>
      </c>
      <c r="AO62" s="91">
        <v>0</v>
      </c>
      <c r="AP62" s="91">
        <v>0</v>
      </c>
      <c r="AQ62" s="91">
        <v>0</v>
      </c>
      <c r="AR62" s="92">
        <f t="shared" ref="AR62:AR63" si="132">SUM(AF62:AQ62)</f>
        <v>160040</v>
      </c>
      <c r="AS62" s="23"/>
      <c r="AT62" s="91">
        <v>0</v>
      </c>
      <c r="AU62" s="91">
        <v>0</v>
      </c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>
        <f t="shared" ref="BF62:BF63" si="133">SUM(AT62:BE62)</f>
        <v>0</v>
      </c>
      <c r="BG62" s="27">
        <f>BF62-AR62</f>
        <v>-160040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>
        <f t="shared" ref="BT62" si="134">SUM(BH62:BS62)</f>
        <v>0</v>
      </c>
      <c r="BU62" s="28"/>
      <c r="BV62" s="399">
        <f>19+3</f>
        <v>22</v>
      </c>
      <c r="BW62" s="399">
        <f>19+3</f>
        <v>22</v>
      </c>
      <c r="BX62" s="399">
        <f>18+3</f>
        <v>21</v>
      </c>
      <c r="BY62" s="399">
        <v>22</v>
      </c>
      <c r="BZ62" s="399">
        <v>21</v>
      </c>
      <c r="CA62" s="399">
        <f>20+3</f>
        <v>23</v>
      </c>
      <c r="CB62" s="91"/>
      <c r="CC62" s="91"/>
      <c r="CD62" s="91"/>
      <c r="CE62" s="91"/>
      <c r="CF62" s="91"/>
      <c r="CG62" s="91"/>
      <c r="CH62" s="91">
        <f t="shared" ref="CH62" si="135">SUM(BV62:CG62)</f>
        <v>131</v>
      </c>
      <c r="CJ62" s="399">
        <v>22</v>
      </c>
      <c r="CK62" s="399">
        <v>22</v>
      </c>
      <c r="CL62" s="399">
        <v>21</v>
      </c>
      <c r="CM62" s="399">
        <v>22</v>
      </c>
      <c r="CN62" s="399">
        <v>21</v>
      </c>
      <c r="CO62" s="399">
        <v>23</v>
      </c>
      <c r="CP62" s="91"/>
      <c r="CQ62" s="91"/>
      <c r="CR62" s="91"/>
      <c r="CS62" s="91"/>
      <c r="CT62" s="91"/>
      <c r="CU62" s="91"/>
      <c r="CV62" s="91">
        <v>131</v>
      </c>
    </row>
    <row r="63" spans="1:100" ht="15.75" customHeight="1" outlineLevel="1">
      <c r="A63" s="94"/>
      <c r="B63" s="210" t="s">
        <v>282</v>
      </c>
      <c r="C63" s="335"/>
      <c r="D63" s="313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314"/>
      <c r="Q63" s="90"/>
      <c r="R63" s="313"/>
      <c r="S63" s="91"/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13500</v>
      </c>
      <c r="Z63" s="91">
        <v>9000</v>
      </c>
      <c r="AA63" s="91">
        <v>9000</v>
      </c>
      <c r="AB63" s="91">
        <v>9000</v>
      </c>
      <c r="AC63" s="91">
        <v>0</v>
      </c>
      <c r="AD63" s="315"/>
      <c r="AE63" s="23"/>
      <c r="AF63" s="91">
        <v>13500</v>
      </c>
      <c r="AG63" s="91">
        <v>13500</v>
      </c>
      <c r="AH63" s="91">
        <v>2820</v>
      </c>
      <c r="AI63" s="91">
        <v>0</v>
      </c>
      <c r="AJ63" s="91">
        <v>0</v>
      </c>
      <c r="AK63" s="91">
        <v>0</v>
      </c>
      <c r="AL63" s="91">
        <v>0</v>
      </c>
      <c r="AM63" s="91"/>
      <c r="AN63" s="91"/>
      <c r="AO63" s="91"/>
      <c r="AP63" s="91"/>
      <c r="AQ63" s="91"/>
      <c r="AR63" s="92">
        <f t="shared" si="132"/>
        <v>29820</v>
      </c>
      <c r="AS63" s="23"/>
      <c r="AT63" s="91"/>
      <c r="AU63" s="91"/>
      <c r="AV63" s="91"/>
      <c r="AW63" s="91">
        <v>4000</v>
      </c>
      <c r="AX63" s="91">
        <v>8000</v>
      </c>
      <c r="AY63" s="91">
        <v>5000</v>
      </c>
      <c r="AZ63" s="91">
        <v>10000</v>
      </c>
      <c r="BA63" s="91">
        <v>10000</v>
      </c>
      <c r="BB63" s="91">
        <v>0</v>
      </c>
      <c r="BC63" s="91">
        <v>0</v>
      </c>
      <c r="BD63" s="91">
        <v>0</v>
      </c>
      <c r="BE63" s="91"/>
      <c r="BF63" s="91">
        <f t="shared" si="133"/>
        <v>37000</v>
      </c>
      <c r="BG63" s="27"/>
      <c r="BH63" s="91">
        <v>3000</v>
      </c>
      <c r="BI63" s="91"/>
      <c r="BJ63" s="91"/>
      <c r="BK63" s="91"/>
      <c r="BL63" s="91"/>
      <c r="BM63" s="91"/>
      <c r="BN63" s="91"/>
      <c r="BO63" s="91">
        <v>10000</v>
      </c>
      <c r="BP63" s="91">
        <v>15000</v>
      </c>
      <c r="BQ63" s="91">
        <v>20000</v>
      </c>
      <c r="BR63" s="91">
        <v>15000</v>
      </c>
      <c r="BS63" s="91">
        <f>7200*9/2</f>
        <v>32400</v>
      </c>
      <c r="BT63" s="91">
        <f>SUM(BH63:BS63)</f>
        <v>95400</v>
      </c>
      <c r="BU63" s="28"/>
      <c r="BV63" s="91"/>
      <c r="BW63" s="91"/>
      <c r="BX63" s="91"/>
      <c r="BY63" s="91"/>
      <c r="BZ63" s="91"/>
      <c r="CA63" s="91"/>
      <c r="CB63" s="91"/>
      <c r="CC63" s="91"/>
      <c r="CD63" s="91"/>
      <c r="CE63" s="91"/>
      <c r="CF63" s="91"/>
      <c r="CG63" s="91"/>
      <c r="CH63" s="91">
        <f>SUM(BS63:CG63)</f>
        <v>127800</v>
      </c>
      <c r="CJ63" s="91"/>
      <c r="CK63" s="91"/>
      <c r="CL63" s="91"/>
      <c r="CM63" s="91"/>
      <c r="CN63" s="91"/>
      <c r="CO63" s="91"/>
      <c r="CP63" s="91"/>
      <c r="CQ63" s="91"/>
      <c r="CR63" s="91"/>
      <c r="CS63" s="91"/>
      <c r="CT63" s="91"/>
      <c r="CU63" s="91"/>
      <c r="CV63" s="91">
        <v>127800</v>
      </c>
    </row>
    <row r="64" spans="1:100" ht="15.75" customHeight="1" outlineLevel="1">
      <c r="A64" s="94"/>
      <c r="B64" s="210" t="s">
        <v>283</v>
      </c>
      <c r="C64" s="335"/>
      <c r="D64" s="313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314"/>
      <c r="Q64" s="90"/>
      <c r="R64" s="313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315"/>
      <c r="AE64" s="23"/>
      <c r="AF64" s="91"/>
      <c r="AG64" s="91"/>
      <c r="AH64" s="91"/>
      <c r="AI64" s="91"/>
      <c r="AJ64" s="91"/>
      <c r="AK64" s="91"/>
      <c r="AL64" s="91"/>
      <c r="AM64" s="91"/>
      <c r="AN64" s="91"/>
      <c r="AO64" s="91">
        <f t="shared" ref="AO64:AQ64" si="136">AO59*9.68</f>
        <v>1355200</v>
      </c>
      <c r="AP64" s="91">
        <f t="shared" si="136"/>
        <v>1258400</v>
      </c>
      <c r="AQ64" s="91">
        <f t="shared" si="136"/>
        <v>968000</v>
      </c>
      <c r="AR64" s="92"/>
      <c r="AS64" s="23"/>
      <c r="AT64" s="91">
        <f t="shared" ref="AT64:BF64" si="137">AT59*9.68</f>
        <v>1287440</v>
      </c>
      <c r="AU64" s="91">
        <f t="shared" si="137"/>
        <v>1211742.3999999999</v>
      </c>
      <c r="AV64" s="91">
        <f t="shared" si="137"/>
        <v>1134767.04</v>
      </c>
      <c r="AW64" s="91">
        <f t="shared" si="137"/>
        <v>1234200</v>
      </c>
      <c r="AX64" s="91">
        <f t="shared" si="137"/>
        <v>1355200</v>
      </c>
      <c r="AY64" s="91">
        <f t="shared" si="137"/>
        <v>1532760.2399903198</v>
      </c>
      <c r="AZ64" s="91">
        <f t="shared" si="137"/>
        <v>1475319.1199999999</v>
      </c>
      <c r="BA64" s="91">
        <f t="shared" si="137"/>
        <v>1679673.5999999999</v>
      </c>
      <c r="BB64" s="91">
        <f t="shared" si="137"/>
        <v>1597200</v>
      </c>
      <c r="BC64" s="91">
        <f t="shared" si="137"/>
        <v>1524600</v>
      </c>
      <c r="BD64" s="91">
        <f t="shared" si="137"/>
        <v>1252892.08</v>
      </c>
      <c r="BE64" s="91">
        <f t="shared" si="137"/>
        <v>597256</v>
      </c>
      <c r="BF64" s="91">
        <f t="shared" si="137"/>
        <v>15883050.47999032</v>
      </c>
      <c r="BG64" s="27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28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</row>
    <row r="65" spans="1:100">
      <c r="A65" s="110" t="s">
        <v>99</v>
      </c>
      <c r="B65" s="340" t="s">
        <v>100</v>
      </c>
      <c r="C65" s="341"/>
      <c r="D65" s="342">
        <v>95972</v>
      </c>
      <c r="E65" s="111">
        <v>130805</v>
      </c>
      <c r="F65" s="111">
        <v>121914</v>
      </c>
      <c r="G65" s="111">
        <v>165455</v>
      </c>
      <c r="H65" s="111">
        <v>192013</v>
      </c>
      <c r="I65" s="111">
        <v>167281</v>
      </c>
      <c r="J65" s="111">
        <v>181409</v>
      </c>
      <c r="K65" s="111">
        <v>163138</v>
      </c>
      <c r="L65" s="111">
        <v>169051</v>
      </c>
      <c r="M65" s="111">
        <v>183254</v>
      </c>
      <c r="N65" s="111"/>
      <c r="O65" s="111"/>
      <c r="P65" s="343">
        <f>SUM(D65:O65)</f>
        <v>1570292</v>
      </c>
      <c r="Q65" s="84"/>
      <c r="R65" s="342">
        <v>149582</v>
      </c>
      <c r="S65" s="112">
        <v>152735</v>
      </c>
      <c r="T65" s="112">
        <v>107681</v>
      </c>
      <c r="U65" s="112">
        <v>2974</v>
      </c>
      <c r="V65" s="112">
        <v>32639</v>
      </c>
      <c r="W65" s="112">
        <v>153121</v>
      </c>
      <c r="X65" s="112">
        <v>198635</v>
      </c>
      <c r="Y65" s="112">
        <v>160489</v>
      </c>
      <c r="Z65" s="112">
        <v>160893</v>
      </c>
      <c r="AA65" s="112">
        <v>180999</v>
      </c>
      <c r="AB65" s="112">
        <v>167265</v>
      </c>
      <c r="AC65" s="112">
        <v>135424</v>
      </c>
      <c r="AD65" s="344">
        <f>SUM(R65:AC65)</f>
        <v>1602437</v>
      </c>
      <c r="AE65" s="113"/>
      <c r="AF65" s="345">
        <v>145616</v>
      </c>
      <c r="AG65" s="112">
        <v>168450</v>
      </c>
      <c r="AH65" s="112">
        <v>153291</v>
      </c>
      <c r="AI65" s="112">
        <v>149378</v>
      </c>
      <c r="AJ65" s="112">
        <v>196360</v>
      </c>
      <c r="AK65" s="112">
        <v>170558</v>
      </c>
      <c r="AL65" s="112">
        <v>171758</v>
      </c>
      <c r="AM65" s="112">
        <f t="shared" ref="AM65:AQ65" si="138">SUM(AM66:AM67)</f>
        <v>168974</v>
      </c>
      <c r="AN65" s="112">
        <f t="shared" si="138"/>
        <v>144792</v>
      </c>
      <c r="AO65" s="112">
        <f t="shared" si="138"/>
        <v>141375</v>
      </c>
      <c r="AP65" s="112">
        <f t="shared" si="138"/>
        <v>143221</v>
      </c>
      <c r="AQ65" s="112">
        <f t="shared" si="138"/>
        <v>85543</v>
      </c>
      <c r="AR65" s="112">
        <f t="shared" ref="AR65:AR69" si="139">SUM(AF65:AQ65)</f>
        <v>1839316</v>
      </c>
      <c r="AS65" s="23"/>
      <c r="AT65" s="112">
        <f t="shared" ref="AT65:BE65" si="140">SUM(AT66:AT67)</f>
        <v>120211</v>
      </c>
      <c r="AU65" s="112">
        <f t="shared" si="140"/>
        <v>120216</v>
      </c>
      <c r="AV65" s="112">
        <f t="shared" si="140"/>
        <v>101053</v>
      </c>
      <c r="AW65" s="112">
        <f t="shared" si="140"/>
        <v>137388</v>
      </c>
      <c r="AX65" s="112">
        <f t="shared" si="140"/>
        <v>137400</v>
      </c>
      <c r="AY65" s="112">
        <f t="shared" si="140"/>
        <v>135412</v>
      </c>
      <c r="AZ65" s="112">
        <f t="shared" si="140"/>
        <v>157032</v>
      </c>
      <c r="BA65" s="112">
        <f t="shared" si="140"/>
        <v>173287</v>
      </c>
      <c r="BB65" s="114">
        <f t="shared" si="140"/>
        <v>166815</v>
      </c>
      <c r="BC65" s="114">
        <f t="shared" si="140"/>
        <v>153816</v>
      </c>
      <c r="BD65" s="114">
        <f t="shared" si="140"/>
        <v>138051</v>
      </c>
      <c r="BE65" s="114">
        <f t="shared" si="140"/>
        <v>55950</v>
      </c>
      <c r="BF65" s="114">
        <f t="shared" ref="BF65:BF69" si="141">SUM(AT65:BE65)</f>
        <v>1596631</v>
      </c>
      <c r="BG65" s="93">
        <f>BF65/AR65-1</f>
        <v>-0.1319430701412917</v>
      </c>
      <c r="BH65" s="112">
        <f t="shared" ref="BH65:BQ65" si="142">SUM(BH66:BH67)</f>
        <v>138562</v>
      </c>
      <c r="BI65" s="112">
        <f t="shared" si="142"/>
        <v>109391</v>
      </c>
      <c r="BJ65" s="112">
        <f t="shared" si="142"/>
        <v>160056</v>
      </c>
      <c r="BK65" s="112">
        <f t="shared" si="142"/>
        <v>124826</v>
      </c>
      <c r="BL65" s="112">
        <f t="shared" si="142"/>
        <v>151185</v>
      </c>
      <c r="BM65" s="112">
        <f t="shared" si="142"/>
        <v>134688</v>
      </c>
      <c r="BN65" s="112">
        <f t="shared" si="142"/>
        <v>157005</v>
      </c>
      <c r="BO65" s="112">
        <f t="shared" si="142"/>
        <v>151231</v>
      </c>
      <c r="BP65" s="112">
        <f t="shared" si="142"/>
        <v>143335</v>
      </c>
      <c r="BQ65" s="112">
        <f t="shared" si="142"/>
        <v>159215</v>
      </c>
      <c r="BR65" s="112"/>
      <c r="BS65" s="112"/>
      <c r="BT65" s="112">
        <f t="shared" ref="BT65:BT69" si="143">SUM(BH65:BS65)</f>
        <v>1429494</v>
      </c>
      <c r="BU65" s="18"/>
      <c r="BV65" s="112"/>
      <c r="BW65" s="112"/>
      <c r="BX65" s="112"/>
      <c r="BY65" s="112"/>
      <c r="BZ65" s="112"/>
      <c r="CA65" s="112"/>
      <c r="CB65" s="112"/>
      <c r="CC65" s="112"/>
      <c r="CD65" s="112"/>
      <c r="CE65" s="112"/>
      <c r="CF65" s="112"/>
      <c r="CG65" s="112"/>
      <c r="CH65" s="112"/>
      <c r="CJ65" s="112"/>
      <c r="CK65" s="112"/>
      <c r="CL65" s="112"/>
      <c r="CM65" s="112"/>
      <c r="CN65" s="112"/>
      <c r="CO65" s="112"/>
      <c r="CP65" s="112"/>
      <c r="CQ65" s="112"/>
      <c r="CR65" s="112"/>
      <c r="CS65" s="112"/>
      <c r="CT65" s="112"/>
      <c r="CU65" s="112"/>
      <c r="CV65" s="112"/>
    </row>
    <row r="66" spans="1:100" ht="15.75" customHeight="1">
      <c r="A66" s="115"/>
      <c r="B66" s="346" t="s">
        <v>101</v>
      </c>
      <c r="C66" s="347"/>
      <c r="D66" s="265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66"/>
      <c r="Q66" s="116"/>
      <c r="R66" s="265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67"/>
      <c r="AE66" s="23"/>
      <c r="AF66" s="348">
        <v>126362</v>
      </c>
      <c r="AG66" s="22">
        <v>153970</v>
      </c>
      <c r="AH66" s="22">
        <v>128331</v>
      </c>
      <c r="AI66" s="22">
        <v>135338</v>
      </c>
      <c r="AJ66" s="22">
        <v>177312</v>
      </c>
      <c r="AK66" s="22">
        <v>150818</v>
      </c>
      <c r="AL66" s="22">
        <v>158858</v>
      </c>
      <c r="AM66" s="22">
        <v>153933</v>
      </c>
      <c r="AN66" s="22">
        <v>134244</v>
      </c>
      <c r="AO66" s="22">
        <v>137435</v>
      </c>
      <c r="AP66" s="22">
        <v>143221</v>
      </c>
      <c r="AQ66" s="22">
        <v>85543</v>
      </c>
      <c r="AR66" s="117">
        <f t="shared" si="139"/>
        <v>1685365</v>
      </c>
      <c r="AS66" s="23"/>
      <c r="AT66" s="22">
        <v>120211</v>
      </c>
      <c r="AU66" s="22">
        <v>120216</v>
      </c>
      <c r="AV66" s="22">
        <v>101053</v>
      </c>
      <c r="AW66" s="22">
        <v>137388</v>
      </c>
      <c r="AX66" s="22">
        <v>137400</v>
      </c>
      <c r="AY66" s="22">
        <v>135412</v>
      </c>
      <c r="AZ66" s="22">
        <v>157032</v>
      </c>
      <c r="BA66" s="22">
        <v>172227</v>
      </c>
      <c r="BB66" s="22">
        <f>157995+8500</f>
        <v>166495</v>
      </c>
      <c r="BC66" s="22">
        <v>153816</v>
      </c>
      <c r="BD66" s="22">
        <v>138051</v>
      </c>
      <c r="BE66" s="22">
        <v>55950</v>
      </c>
      <c r="BF66" s="22">
        <f t="shared" si="141"/>
        <v>1595251</v>
      </c>
      <c r="BG66" s="27"/>
      <c r="BH66" s="22">
        <v>138562</v>
      </c>
      <c r="BI66" s="22">
        <v>109391</v>
      </c>
      <c r="BJ66" s="22">
        <v>160056</v>
      </c>
      <c r="BK66" s="22">
        <v>124826</v>
      </c>
      <c r="BL66" s="22">
        <v>151185</v>
      </c>
      <c r="BM66" s="22">
        <v>134688</v>
      </c>
      <c r="BN66" s="22">
        <v>157005</v>
      </c>
      <c r="BO66" s="22">
        <v>151231</v>
      </c>
      <c r="BP66" s="22">
        <v>143335</v>
      </c>
      <c r="BQ66" s="22">
        <v>159215</v>
      </c>
      <c r="BR66" s="22"/>
      <c r="BS66" s="22"/>
      <c r="BT66" s="22">
        <f t="shared" si="143"/>
        <v>1429494</v>
      </c>
      <c r="BU66" s="28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</row>
    <row r="67" spans="1:100" ht="15.75" customHeight="1">
      <c r="A67" s="115"/>
      <c r="B67" s="346" t="s">
        <v>102</v>
      </c>
      <c r="C67" s="347"/>
      <c r="D67" s="265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66"/>
      <c r="Q67" s="116"/>
      <c r="R67" s="265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67"/>
      <c r="AE67" s="23"/>
      <c r="AF67" s="22">
        <f t="shared" ref="AF67:AL67" si="144">AF65-AF66</f>
        <v>19254</v>
      </c>
      <c r="AG67" s="22">
        <f t="shared" si="144"/>
        <v>14480</v>
      </c>
      <c r="AH67" s="22">
        <f t="shared" si="144"/>
        <v>24960</v>
      </c>
      <c r="AI67" s="22">
        <f t="shared" si="144"/>
        <v>14040</v>
      </c>
      <c r="AJ67" s="22">
        <f t="shared" si="144"/>
        <v>19048</v>
      </c>
      <c r="AK67" s="22">
        <f t="shared" si="144"/>
        <v>19740</v>
      </c>
      <c r="AL67" s="22">
        <f t="shared" si="144"/>
        <v>12900</v>
      </c>
      <c r="AM67" s="22">
        <v>15041</v>
      </c>
      <c r="AN67" s="22">
        <v>10548</v>
      </c>
      <c r="AO67" s="22">
        <v>3940</v>
      </c>
      <c r="AP67" s="22">
        <v>0</v>
      </c>
      <c r="AQ67" s="22">
        <v>0</v>
      </c>
      <c r="AR67" s="117">
        <f t="shared" si="139"/>
        <v>153951</v>
      </c>
      <c r="AS67" s="23"/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1060</v>
      </c>
      <c r="BB67" s="22">
        <v>320</v>
      </c>
      <c r="BC67" s="22">
        <v>0</v>
      </c>
      <c r="BD67" s="22">
        <v>0</v>
      </c>
      <c r="BE67" s="22"/>
      <c r="BF67" s="22">
        <f t="shared" si="141"/>
        <v>1380</v>
      </c>
      <c r="BG67" s="27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>
        <f t="shared" si="143"/>
        <v>0</v>
      </c>
      <c r="BU67" s="28"/>
      <c r="BV67" s="22"/>
      <c r="BW67" s="22"/>
      <c r="BX67" s="22"/>
      <c r="BY67" s="22"/>
      <c r="CJ67" s="22"/>
      <c r="CK67" s="22"/>
      <c r="CL67" s="22"/>
      <c r="CM67" s="22"/>
    </row>
    <row r="68" spans="1:100" ht="15.75">
      <c r="A68" s="103" t="s">
        <v>103</v>
      </c>
      <c r="B68" s="337"/>
      <c r="C68" s="330"/>
      <c r="D68" s="331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332"/>
      <c r="Q68" s="105"/>
      <c r="R68" s="333"/>
      <c r="S68" s="333"/>
      <c r="T68" s="333"/>
      <c r="U68" s="333"/>
      <c r="V68" s="333"/>
      <c r="W68" s="333"/>
      <c r="X68" s="333"/>
      <c r="Y68" s="333"/>
      <c r="Z68" s="333"/>
      <c r="AA68" s="333"/>
      <c r="AB68" s="333"/>
      <c r="AC68" s="333"/>
      <c r="AD68" s="334"/>
      <c r="AE68" s="106"/>
      <c r="AF68" s="333">
        <f t="shared" ref="AF68:AQ68" si="145">AF65-AF59</f>
        <v>-15784</v>
      </c>
      <c r="AG68" s="333">
        <f t="shared" si="145"/>
        <v>2450</v>
      </c>
      <c r="AH68" s="333">
        <f t="shared" si="145"/>
        <v>2820</v>
      </c>
      <c r="AI68" s="333">
        <f t="shared" si="145"/>
        <v>338</v>
      </c>
      <c r="AJ68" s="333">
        <f t="shared" si="145"/>
        <v>0</v>
      </c>
      <c r="AK68" s="333">
        <f t="shared" si="145"/>
        <v>7258</v>
      </c>
      <c r="AL68" s="333">
        <f t="shared" si="145"/>
        <v>-18242</v>
      </c>
      <c r="AM68" s="333">
        <f t="shared" si="145"/>
        <v>1974</v>
      </c>
      <c r="AN68" s="333">
        <f t="shared" si="145"/>
        <v>-25708</v>
      </c>
      <c r="AO68" s="333">
        <f t="shared" si="145"/>
        <v>1375</v>
      </c>
      <c r="AP68" s="333">
        <f t="shared" si="145"/>
        <v>13221</v>
      </c>
      <c r="AQ68" s="333">
        <f t="shared" si="145"/>
        <v>-14457</v>
      </c>
      <c r="AR68" s="107">
        <f t="shared" si="139"/>
        <v>-44755</v>
      </c>
      <c r="AS68" s="106"/>
      <c r="AT68" s="333">
        <f t="shared" ref="AT68:BE68" si="146">AT65-AT59</f>
        <v>-12789</v>
      </c>
      <c r="AU68" s="333">
        <f t="shared" si="146"/>
        <v>-4964</v>
      </c>
      <c r="AV68" s="333">
        <f t="shared" si="146"/>
        <v>-16175</v>
      </c>
      <c r="AW68" s="333">
        <f t="shared" si="146"/>
        <v>9888</v>
      </c>
      <c r="AX68" s="333">
        <f t="shared" si="146"/>
        <v>-2600</v>
      </c>
      <c r="AY68" s="333">
        <f t="shared" si="146"/>
        <v>-22930.999998999992</v>
      </c>
      <c r="AZ68" s="333">
        <f t="shared" si="146"/>
        <v>4623</v>
      </c>
      <c r="BA68" s="333">
        <f t="shared" si="146"/>
        <v>-233</v>
      </c>
      <c r="BB68" s="333">
        <f t="shared" si="146"/>
        <v>1815</v>
      </c>
      <c r="BC68" s="333">
        <f t="shared" si="146"/>
        <v>-3684</v>
      </c>
      <c r="BD68" s="333">
        <f t="shared" si="146"/>
        <v>8620</v>
      </c>
      <c r="BE68" s="333">
        <f t="shared" si="146"/>
        <v>-5750</v>
      </c>
      <c r="BF68" s="108">
        <f t="shared" si="141"/>
        <v>-44179.999998999992</v>
      </c>
      <c r="BG68" s="106"/>
      <c r="BH68" s="333">
        <f t="shared" ref="BH68:BQ68" si="147">BH65-BH59</f>
        <v>-1198</v>
      </c>
      <c r="BI68" s="333">
        <f t="shared" si="147"/>
        <v>-7189</v>
      </c>
      <c r="BJ68" s="333">
        <f t="shared" si="147"/>
        <v>11716</v>
      </c>
      <c r="BK68" s="333">
        <f t="shared" si="147"/>
        <v>12466</v>
      </c>
      <c r="BL68" s="333">
        <f t="shared" si="147"/>
        <v>42525</v>
      </c>
      <c r="BM68" s="333">
        <f t="shared" si="147"/>
        <v>-18728</v>
      </c>
      <c r="BN68" s="333">
        <f t="shared" si="147"/>
        <v>19329</v>
      </c>
      <c r="BO68" s="333">
        <f t="shared" si="147"/>
        <v>-9423</v>
      </c>
      <c r="BP68" s="333">
        <f t="shared" si="147"/>
        <v>-13665</v>
      </c>
      <c r="BQ68" s="333">
        <f t="shared" si="147"/>
        <v>2490</v>
      </c>
      <c r="BR68" s="108"/>
      <c r="BS68" s="108"/>
      <c r="BT68" s="108">
        <f t="shared" si="143"/>
        <v>38323</v>
      </c>
      <c r="BU68" s="28"/>
      <c r="BV68" s="333">
        <f t="shared" ref="BV68:BY68" si="148">BV65-BV59</f>
        <v>-133000</v>
      </c>
      <c r="BW68" s="333">
        <f t="shared" si="148"/>
        <v>-133000</v>
      </c>
      <c r="BX68" s="333">
        <f t="shared" si="148"/>
        <v>-147000</v>
      </c>
      <c r="BY68" s="333">
        <f t="shared" si="148"/>
        <v>-180000</v>
      </c>
      <c r="CJ68" s="333">
        <v>-133000</v>
      </c>
      <c r="CK68" s="333">
        <v>-133000</v>
      </c>
      <c r="CL68" s="333">
        <v>-147000</v>
      </c>
      <c r="CM68" s="333">
        <v>-180000</v>
      </c>
    </row>
    <row r="69" spans="1:100" ht="14.25" customHeight="1">
      <c r="A69" s="55" t="s">
        <v>104</v>
      </c>
      <c r="B69" s="56"/>
      <c r="C69" s="280"/>
      <c r="D69" s="288" t="e">
        <f t="shared" ref="D69:F69" si="149">#REF!-#REF!</f>
        <v>#REF!</v>
      </c>
      <c r="E69" s="57" t="e">
        <f t="shared" si="149"/>
        <v>#REF!</v>
      </c>
      <c r="F69" s="57" t="e">
        <f t="shared" si="149"/>
        <v>#REF!</v>
      </c>
      <c r="G69" s="57" t="e">
        <f t="shared" ref="G69:I69" si="150">G59-#REF!</f>
        <v>#REF!</v>
      </c>
      <c r="H69" s="57" t="e">
        <f t="shared" si="150"/>
        <v>#REF!</v>
      </c>
      <c r="I69" s="57" t="e">
        <f t="shared" si="150"/>
        <v>#REF!</v>
      </c>
      <c r="J69" s="57" t="e">
        <f t="shared" ref="J69:K69" si="151">#REF!-#REF!</f>
        <v>#REF!</v>
      </c>
      <c r="K69" s="57" t="e">
        <f t="shared" si="151"/>
        <v>#REF!</v>
      </c>
      <c r="L69" s="57">
        <f>L59-L16</f>
        <v>-24911</v>
      </c>
      <c r="M69" s="57">
        <f>M59-M16</f>
        <v>-13674</v>
      </c>
      <c r="N69" s="57">
        <f>N59-N16</f>
        <v>57632</v>
      </c>
      <c r="O69" s="57">
        <f>O59-O16</f>
        <v>74079</v>
      </c>
      <c r="P69" s="289" t="e">
        <f>SUM(D69:O69)</f>
        <v>#REF!</v>
      </c>
      <c r="Q69" s="39"/>
      <c r="R69" s="288">
        <f t="shared" ref="R69:AD69" si="152">R59-R16</f>
        <v>22222.660017050745</v>
      </c>
      <c r="S69" s="58">
        <f t="shared" si="152"/>
        <v>17159.673608830723</v>
      </c>
      <c r="T69" s="58">
        <f t="shared" si="152"/>
        <v>-24753.77192982455</v>
      </c>
      <c r="U69" s="58">
        <f t="shared" si="152"/>
        <v>-17814.899999999998</v>
      </c>
      <c r="V69" s="58">
        <f t="shared" si="152"/>
        <v>1715</v>
      </c>
      <c r="W69" s="290">
        <f t="shared" si="152"/>
        <v>120430.6180497602</v>
      </c>
      <c r="X69" s="290">
        <f t="shared" si="152"/>
        <v>43436.666666667006</v>
      </c>
      <c r="Y69" s="290">
        <f t="shared" si="152"/>
        <v>-29747.083333333314</v>
      </c>
      <c r="Z69" s="290">
        <f t="shared" si="152"/>
        <v>-80887.5</v>
      </c>
      <c r="AA69" s="290">
        <f t="shared" si="152"/>
        <v>10200</v>
      </c>
      <c r="AB69" s="290">
        <f t="shared" si="152"/>
        <v>137500</v>
      </c>
      <c r="AC69" s="290">
        <f t="shared" si="152"/>
        <v>134100</v>
      </c>
      <c r="AD69" s="291">
        <f t="shared" si="152"/>
        <v>333561.36307915067</v>
      </c>
      <c r="AE69" s="59"/>
      <c r="AF69" s="292">
        <f t="shared" ref="AF69:AQ69" si="153">AF59-AF16</f>
        <v>32754</v>
      </c>
      <c r="AG69" s="58">
        <f t="shared" si="153"/>
        <v>-11977</v>
      </c>
      <c r="AH69" s="58">
        <f t="shared" si="153"/>
        <v>76847</v>
      </c>
      <c r="AI69" s="58">
        <f t="shared" si="153"/>
        <v>59682</v>
      </c>
      <c r="AJ69" s="58">
        <f t="shared" si="153"/>
        <v>74226</v>
      </c>
      <c r="AK69" s="58">
        <f t="shared" si="153"/>
        <v>14740</v>
      </c>
      <c r="AL69" s="58">
        <f t="shared" si="153"/>
        <v>38005</v>
      </c>
      <c r="AM69" s="58">
        <f t="shared" si="153"/>
        <v>-71903</v>
      </c>
      <c r="AN69" s="58">
        <f t="shared" si="153"/>
        <v>-90633.333333333343</v>
      </c>
      <c r="AO69" s="58">
        <f t="shared" si="153"/>
        <v>-115900</v>
      </c>
      <c r="AP69" s="58">
        <f t="shared" si="153"/>
        <v>1360</v>
      </c>
      <c r="AQ69" s="58">
        <f t="shared" si="153"/>
        <v>2160</v>
      </c>
      <c r="AR69" s="58">
        <f t="shared" si="139"/>
        <v>9360.666666666657</v>
      </c>
      <c r="AS69" s="59"/>
      <c r="AT69" s="58">
        <f t="shared" ref="AT69:BE69" si="154">AT59-AT16</f>
        <v>-19749.25</v>
      </c>
      <c r="AU69" s="58">
        <f t="shared" si="154"/>
        <v>-43342.103448275855</v>
      </c>
      <c r="AV69" s="58">
        <f t="shared" si="154"/>
        <v>-36893.137931034493</v>
      </c>
      <c r="AW69" s="58">
        <f t="shared" si="154"/>
        <v>-32095.137931034493</v>
      </c>
      <c r="AX69" s="58">
        <f t="shared" si="154"/>
        <v>19900.034482758623</v>
      </c>
      <c r="AY69" s="58">
        <f t="shared" si="154"/>
        <v>19999.222221222211</v>
      </c>
      <c r="AZ69" s="58">
        <f t="shared" si="154"/>
        <v>-14264.777777777781</v>
      </c>
      <c r="BA69" s="58">
        <f t="shared" si="154"/>
        <v>-68922.296296296292</v>
      </c>
      <c r="BB69" s="58">
        <f t="shared" si="154"/>
        <v>-78407.777777777781</v>
      </c>
      <c r="BC69" s="58">
        <f t="shared" si="154"/>
        <v>-95868.290755657828</v>
      </c>
      <c r="BD69" s="58">
        <f t="shared" si="154"/>
        <v>-5124.586881472962</v>
      </c>
      <c r="BE69" s="58">
        <f t="shared" si="154"/>
        <v>-10986.612965093984</v>
      </c>
      <c r="BF69" s="58">
        <f t="shared" si="141"/>
        <v>-365754.71506044065</v>
      </c>
      <c r="BG69" s="59"/>
      <c r="BH69" s="58">
        <f t="shared" ref="BH69:BQ69" si="155">BH59-BH16</f>
        <v>-12993</v>
      </c>
      <c r="BI69" s="58">
        <f t="shared" si="155"/>
        <v>-30242.333333333314</v>
      </c>
      <c r="BJ69" s="58">
        <f t="shared" si="155"/>
        <v>-23206.074074074073</v>
      </c>
      <c r="BK69" s="58">
        <f t="shared" si="155"/>
        <v>-47411.74074074073</v>
      </c>
      <c r="BL69" s="58">
        <f t="shared" si="155"/>
        <v>-23836.851851851854</v>
      </c>
      <c r="BM69" s="58">
        <f t="shared" si="155"/>
        <v>23509.740740740745</v>
      </c>
      <c r="BN69" s="58">
        <f t="shared" si="155"/>
        <v>-33707.555555555562</v>
      </c>
      <c r="BO69" s="58">
        <f t="shared" si="155"/>
        <v>-18896.378111111087</v>
      </c>
      <c r="BP69" s="58">
        <f t="shared" si="155"/>
        <v>-45053.749537037045</v>
      </c>
      <c r="BQ69" s="58">
        <f t="shared" si="155"/>
        <v>-7140</v>
      </c>
      <c r="BR69" s="58"/>
      <c r="BS69" s="58"/>
      <c r="BT69" s="58">
        <f t="shared" si="143"/>
        <v>-218977.94246296291</v>
      </c>
      <c r="BU69" s="60"/>
      <c r="BV69" s="58">
        <f>BV59-BV16</f>
        <v>-24964.280965303798</v>
      </c>
      <c r="BW69" s="58">
        <f>BW59-BW16</f>
        <v>-13290.919934367063</v>
      </c>
      <c r="BX69" s="58">
        <f>BX59-BX16</f>
        <v>-40073.366774036636</v>
      </c>
      <c r="BY69" s="58">
        <f>BY59-BY16</f>
        <v>28714.280928205117</v>
      </c>
      <c r="CJ69" s="58">
        <v>-24964.280965303798</v>
      </c>
      <c r="CK69" s="58">
        <v>-13290.919934367063</v>
      </c>
      <c r="CL69" s="58">
        <v>-40073.366774036636</v>
      </c>
      <c r="CM69" s="58">
        <v>28714.280928205117</v>
      </c>
    </row>
  </sheetData>
  <mergeCells count="24">
    <mergeCell ref="CJ1:CU1"/>
    <mergeCell ref="CJ2:CU2"/>
    <mergeCell ref="B27:C27"/>
    <mergeCell ref="B28:C28"/>
    <mergeCell ref="B29:C29"/>
    <mergeCell ref="R1:AD1"/>
    <mergeCell ref="AF1:AR1"/>
    <mergeCell ref="AT1:BF1"/>
    <mergeCell ref="BH1:BS1"/>
    <mergeCell ref="BV1:CG1"/>
    <mergeCell ref="B30:C30"/>
    <mergeCell ref="B31:C31"/>
    <mergeCell ref="B40:C40"/>
    <mergeCell ref="BV2:CG2"/>
    <mergeCell ref="B22:C22"/>
    <mergeCell ref="B23:C23"/>
    <mergeCell ref="B24:C24"/>
    <mergeCell ref="B25:C25"/>
    <mergeCell ref="B26:C26"/>
    <mergeCell ref="D2:P2"/>
    <mergeCell ref="R2:AD2"/>
    <mergeCell ref="AF2:AR2"/>
    <mergeCell ref="AT2:BF2"/>
    <mergeCell ref="BH2:BS2"/>
  </mergeCells>
  <pageMargins left="0.25" right="0.25" top="0.75" bottom="0.75" header="0" footer="0"/>
  <pageSetup paperSize="9" scale="55"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033C-7B01-4240-A671-10CCAA40193C}">
  <sheetPr>
    <tabColor rgb="FFFFFF00"/>
  </sheetPr>
  <dimension ref="A1:CI69"/>
  <sheetViews>
    <sheetView showGridLines="0" zoomScale="80" zoomScaleNormal="80" workbookViewId="0">
      <pane xSplit="3" ySplit="5" topLeftCell="BX61" activePane="bottomRight" state="frozen"/>
      <selection pane="bottomRight" activeCell="BX61" sqref="BX61"/>
      <selection pane="bottomLeft" activeCell="A6" sqref="A6"/>
      <selection pane="topRight" activeCell="D1" sqref="D1"/>
    </sheetView>
  </sheetViews>
  <sheetFormatPr defaultColWidth="14.42578125" defaultRowHeight="15" customHeight="1" outlineLevelRow="1" outlineLevelCol="1"/>
  <cols>
    <col min="1" max="1" width="16.85546875" customWidth="1"/>
    <col min="2" max="2" width="28.7109375" customWidth="1"/>
    <col min="3" max="3" width="10.14062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collapsed="1"/>
    <col min="18" max="18" width="12" hidden="1" customWidth="1" outlineLevel="1"/>
    <col min="19" max="20" width="13.140625" hidden="1" customWidth="1" outlineLevel="1"/>
    <col min="21" max="21" width="11.7109375" hidden="1" customWidth="1" outlineLevel="1"/>
    <col min="22" max="22" width="13" hidden="1" customWidth="1" outlineLevel="1"/>
    <col min="23" max="23" width="8.85546875" hidden="1" customWidth="1" outlineLevel="1"/>
    <col min="24" max="24" width="13.140625" hidden="1" customWidth="1" outlineLevel="1"/>
    <col min="25" max="25" width="10.7109375" hidden="1" customWidth="1" outlineLevel="1"/>
    <col min="26" max="26" width="11.140625" hidden="1" customWidth="1" outlineLevel="1"/>
    <col min="27" max="27" width="10.7109375" hidden="1" customWidth="1" outlineLevel="1"/>
    <col min="28" max="28" width="10.5703125" hidden="1" customWidth="1" outlineLevel="1"/>
    <col min="29" max="29" width="9.5703125" hidden="1" customWidth="1" outlineLevel="1"/>
    <col min="30" max="30" width="11.5703125" hidden="1" customWidth="1" outlineLevel="1"/>
    <col min="31" max="31" width="6.42578125" hidden="1" customWidth="1" collapsed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collapsed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collapsed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7.7109375" bestFit="1" customWidth="1" collapsed="1"/>
    <col min="74" max="85" width="13.140625" customWidth="1"/>
    <col min="86" max="86" width="16.42578125" bestFit="1" customWidth="1"/>
  </cols>
  <sheetData>
    <row r="1" spans="1:87" ht="16.5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</row>
    <row r="2" spans="1:87" ht="15.75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</row>
    <row r="3" spans="1:87">
      <c r="A3" s="3" t="s">
        <v>5</v>
      </c>
      <c r="B3" s="3"/>
      <c r="C3" s="3"/>
      <c r="D3" s="252">
        <v>16</v>
      </c>
      <c r="E3" s="252">
        <v>21</v>
      </c>
      <c r="F3" s="252">
        <v>18</v>
      </c>
      <c r="G3" s="252">
        <v>21</v>
      </c>
      <c r="H3" s="252">
        <v>22</v>
      </c>
      <c r="I3" s="252">
        <v>19</v>
      </c>
      <c r="J3" s="252">
        <v>23</v>
      </c>
      <c r="K3" s="252">
        <v>21</v>
      </c>
      <c r="L3" s="252">
        <v>21</v>
      </c>
      <c r="M3" s="252">
        <v>26</v>
      </c>
      <c r="N3" s="252">
        <v>24</v>
      </c>
      <c r="O3" s="252">
        <v>15</v>
      </c>
      <c r="P3" s="4"/>
      <c r="Q3" s="247"/>
      <c r="R3" s="252">
        <v>22</v>
      </c>
      <c r="S3" s="252">
        <v>20</v>
      </c>
      <c r="T3" s="252">
        <v>14</v>
      </c>
      <c r="U3" s="252">
        <v>1</v>
      </c>
      <c r="V3" s="252">
        <v>12</v>
      </c>
      <c r="W3" s="252">
        <v>22</v>
      </c>
      <c r="X3" s="252">
        <v>23</v>
      </c>
      <c r="Y3" s="252">
        <v>21</v>
      </c>
      <c r="Z3" s="252">
        <v>21</v>
      </c>
      <c r="AA3" s="252">
        <v>21</v>
      </c>
      <c r="AB3" s="252">
        <v>20</v>
      </c>
      <c r="AC3" s="252">
        <v>17</v>
      </c>
      <c r="AD3" s="2"/>
      <c r="AE3" s="253"/>
      <c r="AF3" s="254">
        <v>18</v>
      </c>
      <c r="AG3" s="252">
        <v>20</v>
      </c>
      <c r="AH3" s="248">
        <v>20</v>
      </c>
      <c r="AI3" s="248">
        <v>20</v>
      </c>
      <c r="AJ3" s="252">
        <v>22</v>
      </c>
      <c r="AK3" s="252">
        <v>20</v>
      </c>
      <c r="AL3" s="252">
        <v>22</v>
      </c>
      <c r="AM3" s="252">
        <v>22</v>
      </c>
      <c r="AN3" s="252">
        <v>21</v>
      </c>
      <c r="AO3" s="252">
        <v>20</v>
      </c>
      <c r="AP3" s="252">
        <v>20</v>
      </c>
      <c r="AQ3" s="248">
        <v>12</v>
      </c>
      <c r="AR3" s="2"/>
      <c r="AS3" s="124"/>
      <c r="AT3" s="253">
        <v>19</v>
      </c>
      <c r="AU3" s="248">
        <v>19</v>
      </c>
      <c r="AV3" s="248">
        <v>18</v>
      </c>
      <c r="AW3" s="248">
        <v>19</v>
      </c>
      <c r="AX3" s="248">
        <v>22</v>
      </c>
      <c r="AY3" s="248">
        <v>21</v>
      </c>
      <c r="AZ3" s="248">
        <v>21</v>
      </c>
      <c r="BA3" s="248">
        <v>22</v>
      </c>
      <c r="BB3" s="248">
        <v>22</v>
      </c>
      <c r="BC3" s="248">
        <v>21</v>
      </c>
      <c r="BD3" s="248">
        <v>20</v>
      </c>
      <c r="BE3" s="248">
        <v>10</v>
      </c>
      <c r="BF3" s="2"/>
      <c r="BG3" s="125"/>
      <c r="BH3" s="253">
        <v>20</v>
      </c>
      <c r="BI3" s="248">
        <v>17</v>
      </c>
      <c r="BJ3" s="248">
        <v>23</v>
      </c>
      <c r="BK3" s="248">
        <v>18</v>
      </c>
      <c r="BL3" s="248">
        <v>22</v>
      </c>
      <c r="BM3" s="248">
        <v>23</v>
      </c>
      <c r="BN3" s="248">
        <v>21</v>
      </c>
      <c r="BO3" s="248">
        <v>21</v>
      </c>
      <c r="BP3" s="248">
        <v>20</v>
      </c>
      <c r="BQ3" s="248">
        <v>21</v>
      </c>
      <c r="BR3" s="248">
        <v>20</v>
      </c>
      <c r="BS3" s="248">
        <v>14</v>
      </c>
      <c r="BT3" s="253">
        <v>20</v>
      </c>
      <c r="BU3" s="252"/>
      <c r="BV3" s="253">
        <v>19</v>
      </c>
      <c r="BW3" s="248">
        <v>19</v>
      </c>
      <c r="BX3" s="248">
        <v>19</v>
      </c>
      <c r="BY3" s="248">
        <v>22</v>
      </c>
      <c r="BZ3" s="248">
        <v>20</v>
      </c>
      <c r="CA3" s="248">
        <v>20</v>
      </c>
      <c r="CB3" s="248">
        <v>23</v>
      </c>
      <c r="CC3" s="248">
        <v>21</v>
      </c>
      <c r="CD3" s="248">
        <v>21</v>
      </c>
      <c r="CE3" s="248">
        <v>23</v>
      </c>
      <c r="CF3" s="248">
        <v>20</v>
      </c>
      <c r="CG3" s="248">
        <v>13</v>
      </c>
      <c r="CH3" s="248"/>
    </row>
    <row r="4" spans="1:87">
      <c r="A4" s="8"/>
      <c r="B4" s="255"/>
      <c r="C4" s="256"/>
      <c r="D4" s="257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258" t="s">
        <v>26</v>
      </c>
      <c r="Q4" s="10"/>
      <c r="R4" s="257" t="s">
        <v>14</v>
      </c>
      <c r="S4" s="9" t="s">
        <v>15</v>
      </c>
      <c r="T4" s="9" t="s">
        <v>16</v>
      </c>
      <c r="U4" s="9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  <c r="AA4" s="9" t="s">
        <v>23</v>
      </c>
      <c r="AB4" s="9" t="s">
        <v>24</v>
      </c>
      <c r="AC4" s="9" t="s">
        <v>25</v>
      </c>
      <c r="AD4" s="258" t="s">
        <v>26</v>
      </c>
      <c r="AE4" s="11"/>
      <c r="AF4" s="257" t="s">
        <v>14</v>
      </c>
      <c r="AG4" s="9" t="s">
        <v>15</v>
      </c>
      <c r="AH4" s="9" t="s">
        <v>16</v>
      </c>
      <c r="AI4" s="9" t="s">
        <v>17</v>
      </c>
      <c r="AJ4" s="9" t="s">
        <v>18</v>
      </c>
      <c r="AK4" s="9" t="s">
        <v>19</v>
      </c>
      <c r="AL4" s="9" t="s">
        <v>20</v>
      </c>
      <c r="AM4" s="9" t="s">
        <v>21</v>
      </c>
      <c r="AN4" s="9" t="s">
        <v>22</v>
      </c>
      <c r="AO4" s="9" t="s">
        <v>23</v>
      </c>
      <c r="AP4" s="9" t="s">
        <v>24</v>
      </c>
      <c r="AQ4" s="9" t="s">
        <v>25</v>
      </c>
      <c r="AR4" s="9" t="s">
        <v>26</v>
      </c>
      <c r="AS4" s="11"/>
      <c r="AT4" s="9" t="s">
        <v>14</v>
      </c>
      <c r="AU4" s="9" t="s">
        <v>15</v>
      </c>
      <c r="AV4" s="9" t="s">
        <v>16</v>
      </c>
      <c r="AW4" s="9" t="s">
        <v>17</v>
      </c>
      <c r="AX4" s="9" t="s">
        <v>18</v>
      </c>
      <c r="AY4" s="9" t="s">
        <v>19</v>
      </c>
      <c r="AZ4" s="9" t="s">
        <v>20</v>
      </c>
      <c r="BA4" s="9" t="s">
        <v>21</v>
      </c>
      <c r="BB4" s="9" t="s">
        <v>22</v>
      </c>
      <c r="BC4" s="9" t="s">
        <v>23</v>
      </c>
      <c r="BD4" s="9" t="s">
        <v>24</v>
      </c>
      <c r="BE4" s="9" t="s">
        <v>25</v>
      </c>
      <c r="BF4" s="9" t="s">
        <v>26</v>
      </c>
      <c r="BG4" s="10"/>
      <c r="BH4" s="9" t="s">
        <v>14</v>
      </c>
      <c r="BI4" s="9" t="s">
        <v>15</v>
      </c>
      <c r="BJ4" s="9" t="s">
        <v>16</v>
      </c>
      <c r="BK4" s="9" t="s">
        <v>17</v>
      </c>
      <c r="BL4" s="9" t="s">
        <v>18</v>
      </c>
      <c r="BM4" s="9" t="s">
        <v>19</v>
      </c>
      <c r="BN4" s="9" t="s">
        <v>20</v>
      </c>
      <c r="BO4" s="9" t="s">
        <v>21</v>
      </c>
      <c r="BP4" s="9" t="s">
        <v>22</v>
      </c>
      <c r="BQ4" s="9" t="s">
        <v>23</v>
      </c>
      <c r="BR4" s="9" t="s">
        <v>24</v>
      </c>
      <c r="BS4" s="9" t="s">
        <v>25</v>
      </c>
      <c r="BT4" s="9" t="s">
        <v>26</v>
      </c>
      <c r="BU4" s="12"/>
      <c r="BV4" s="9" t="s">
        <v>14</v>
      </c>
      <c r="BW4" s="9" t="s">
        <v>15</v>
      </c>
      <c r="BX4" s="9" t="s">
        <v>16</v>
      </c>
      <c r="BY4" s="9" t="s">
        <v>17</v>
      </c>
      <c r="BZ4" s="9" t="s">
        <v>18</v>
      </c>
      <c r="CA4" s="9" t="s">
        <v>19</v>
      </c>
      <c r="CB4" s="9" t="s">
        <v>20</v>
      </c>
      <c r="CC4" s="9" t="s">
        <v>21</v>
      </c>
      <c r="CD4" s="9" t="s">
        <v>22</v>
      </c>
      <c r="CE4" s="9" t="s">
        <v>23</v>
      </c>
      <c r="CF4" s="9" t="s">
        <v>24</v>
      </c>
      <c r="CG4" s="9" t="s">
        <v>25</v>
      </c>
      <c r="CH4" s="9" t="s">
        <v>26</v>
      </c>
    </row>
    <row r="5" spans="1:87">
      <c r="A5" s="13"/>
      <c r="B5" s="259"/>
      <c r="C5" s="260"/>
      <c r="D5" s="261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262"/>
      <c r="Q5" s="15"/>
      <c r="R5" s="261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263"/>
      <c r="AE5" s="16"/>
      <c r="AF5" s="261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7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7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8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</row>
    <row r="6" spans="1:87">
      <c r="A6" s="13" t="s">
        <v>28</v>
      </c>
      <c r="B6" s="259" t="s">
        <v>263</v>
      </c>
      <c r="C6" s="260"/>
      <c r="D6" s="261">
        <f t="shared" ref="D6:O6" si="0">SUM(D7:D9)</f>
        <v>304786</v>
      </c>
      <c r="E6" s="14">
        <f t="shared" si="0"/>
        <v>311986</v>
      </c>
      <c r="F6" s="14">
        <f t="shared" si="0"/>
        <v>328231</v>
      </c>
      <c r="G6" s="14">
        <f t="shared" si="0"/>
        <v>317873</v>
      </c>
      <c r="H6" s="14">
        <f t="shared" si="0"/>
        <v>347196</v>
      </c>
      <c r="I6" s="14">
        <f t="shared" si="0"/>
        <v>402253</v>
      </c>
      <c r="J6" s="14">
        <f t="shared" si="0"/>
        <v>454488</v>
      </c>
      <c r="K6" s="14">
        <f t="shared" si="0"/>
        <v>447182</v>
      </c>
      <c r="L6" s="14">
        <f t="shared" si="0"/>
        <v>416931</v>
      </c>
      <c r="M6" s="14">
        <f t="shared" si="0"/>
        <v>304402</v>
      </c>
      <c r="N6" s="14">
        <f t="shared" si="0"/>
        <v>0</v>
      </c>
      <c r="O6" s="14">
        <f t="shared" si="0"/>
        <v>188264</v>
      </c>
      <c r="P6" s="262"/>
      <c r="Q6" s="15"/>
      <c r="R6" s="14">
        <f t="shared" ref="R6:AC6" si="1">SUM(R7:R9)</f>
        <v>283359</v>
      </c>
      <c r="S6" s="14">
        <f t="shared" si="1"/>
        <v>342718</v>
      </c>
      <c r="T6" s="14">
        <f t="shared" si="1"/>
        <v>313212</v>
      </c>
      <c r="U6" s="14">
        <f t="shared" si="1"/>
        <v>298093</v>
      </c>
      <c r="V6" s="14">
        <f t="shared" si="1"/>
        <v>206617</v>
      </c>
      <c r="W6" s="14">
        <f t="shared" si="1"/>
        <v>235875</v>
      </c>
      <c r="X6" s="14">
        <f t="shared" si="1"/>
        <v>360135</v>
      </c>
      <c r="Y6" s="14">
        <f t="shared" si="1"/>
        <v>361665</v>
      </c>
      <c r="Z6" s="14">
        <f t="shared" si="1"/>
        <v>353400</v>
      </c>
      <c r="AA6" s="14">
        <f t="shared" si="1"/>
        <v>272097</v>
      </c>
      <c r="AB6" s="14">
        <f t="shared" si="1"/>
        <v>170626</v>
      </c>
      <c r="AC6" s="14">
        <f t="shared" si="1"/>
        <v>197551</v>
      </c>
      <c r="AD6" s="263"/>
      <c r="AE6" s="16"/>
      <c r="AF6" s="14">
        <f t="shared" ref="AF6:AQ6" si="2">SUM(AF7:AF10)</f>
        <v>246973</v>
      </c>
      <c r="AG6" s="14">
        <f t="shared" si="2"/>
        <v>281087</v>
      </c>
      <c r="AH6" s="14">
        <f t="shared" si="2"/>
        <v>386469</v>
      </c>
      <c r="AI6" s="14">
        <f t="shared" si="2"/>
        <v>379017</v>
      </c>
      <c r="AJ6" s="14">
        <f t="shared" si="2"/>
        <v>400777</v>
      </c>
      <c r="AK6" s="14">
        <f t="shared" si="2"/>
        <v>465623</v>
      </c>
      <c r="AL6" s="14">
        <f t="shared" si="2"/>
        <v>472149</v>
      </c>
      <c r="AM6" s="14">
        <f t="shared" si="2"/>
        <v>492339</v>
      </c>
      <c r="AN6" s="14">
        <f t="shared" si="2"/>
        <v>450428</v>
      </c>
      <c r="AO6" s="14">
        <f t="shared" si="2"/>
        <v>391441</v>
      </c>
      <c r="AP6" s="14">
        <f t="shared" si="2"/>
        <v>325482</v>
      </c>
      <c r="AQ6" s="14">
        <f t="shared" si="2"/>
        <v>321014</v>
      </c>
      <c r="AR6" s="14">
        <f t="shared" ref="AR6:AR14" si="3">AQ6</f>
        <v>321014</v>
      </c>
      <c r="AS6" s="17"/>
      <c r="AT6" s="14">
        <f t="shared" ref="AT6:BE6" si="4">SUM(AT7:AT10)</f>
        <v>350303</v>
      </c>
      <c r="AU6" s="14">
        <f t="shared" si="4"/>
        <v>323931</v>
      </c>
      <c r="AV6" s="14">
        <f t="shared" si="4"/>
        <v>307980</v>
      </c>
      <c r="AW6" s="14">
        <f t="shared" si="4"/>
        <v>292777</v>
      </c>
      <c r="AX6" s="14">
        <f t="shared" si="4"/>
        <v>296754</v>
      </c>
      <c r="AY6" s="14">
        <f t="shared" si="4"/>
        <v>344037</v>
      </c>
      <c r="AZ6" s="14">
        <f t="shared" si="4"/>
        <v>367566</v>
      </c>
      <c r="BA6" s="14">
        <f t="shared" si="4"/>
        <v>372442</v>
      </c>
      <c r="BB6" s="14">
        <f t="shared" si="4"/>
        <v>375154</v>
      </c>
      <c r="BC6" s="14">
        <f t="shared" si="4"/>
        <v>340466</v>
      </c>
      <c r="BD6" s="14">
        <f t="shared" si="4"/>
        <v>314581</v>
      </c>
      <c r="BE6" s="14">
        <f t="shared" si="4"/>
        <v>253219</v>
      </c>
      <c r="BF6" s="14">
        <f t="shared" ref="BF6:BF11" si="5">BE6</f>
        <v>253219</v>
      </c>
      <c r="BG6" s="17"/>
      <c r="BH6" s="14">
        <f t="shared" ref="BH6:BQ6" si="6">SUM(BH7:BH10)</f>
        <v>307512</v>
      </c>
      <c r="BI6" s="14">
        <f t="shared" si="6"/>
        <v>302058</v>
      </c>
      <c r="BJ6" s="14">
        <f t="shared" si="6"/>
        <v>315841</v>
      </c>
      <c r="BK6" s="14">
        <f t="shared" si="6"/>
        <v>306027</v>
      </c>
      <c r="BL6" s="14">
        <f t="shared" si="6"/>
        <v>299077</v>
      </c>
      <c r="BM6" s="14">
        <f t="shared" si="6"/>
        <v>293121</v>
      </c>
      <c r="BN6" s="14">
        <f t="shared" si="6"/>
        <v>335286</v>
      </c>
      <c r="BO6" s="14">
        <f t="shared" si="6"/>
        <v>322561</v>
      </c>
      <c r="BP6" s="14">
        <f t="shared" si="6"/>
        <v>304307</v>
      </c>
      <c r="BQ6" s="14">
        <f t="shared" si="6"/>
        <v>280100</v>
      </c>
      <c r="BR6" s="14">
        <f>SUM(BR7:BR10)</f>
        <v>215852</v>
      </c>
      <c r="BS6" s="14">
        <f>BS7+BS8+BS10</f>
        <v>201165</v>
      </c>
      <c r="BT6" s="14">
        <f>BS6</f>
        <v>201165</v>
      </c>
      <c r="BU6" s="18"/>
      <c r="BV6" s="14">
        <f>BV7+BV8+BV10</f>
        <v>247713</v>
      </c>
      <c r="BW6" s="14">
        <f>BV6+BW59-BW16</f>
        <v>235512.82161734681</v>
      </c>
      <c r="BX6" s="14">
        <f>BW6+BX59-BX16</f>
        <v>182813.76159659959</v>
      </c>
      <c r="BY6" s="14">
        <f t="shared" ref="BY6:CG6" si="7">BX6+BY59-BY16</f>
        <v>186713.1208565186</v>
      </c>
      <c r="BZ6" s="14">
        <f t="shared" si="7"/>
        <v>183900.56007945319</v>
      </c>
      <c r="CA6" s="14">
        <f t="shared" si="7"/>
        <v>187265.63595818164</v>
      </c>
      <c r="CB6" s="14">
        <f t="shared" si="7"/>
        <v>171604.65893463965</v>
      </c>
      <c r="CC6" s="14">
        <f t="shared" si="7"/>
        <v>124723.42168949649</v>
      </c>
      <c r="CD6" s="14">
        <f t="shared" si="7"/>
        <v>66556.631837610999</v>
      </c>
      <c r="CE6" s="14">
        <f t="shared" si="7"/>
        <v>19733.520714200014</v>
      </c>
      <c r="CF6" s="14">
        <f t="shared" si="7"/>
        <v>-6623.9137314621767</v>
      </c>
      <c r="CG6" s="14">
        <f t="shared" si="7"/>
        <v>12200.307638712926</v>
      </c>
      <c r="CH6" s="14">
        <f t="shared" ref="CH6:CH14" si="8">CG6</f>
        <v>12200.307638712926</v>
      </c>
    </row>
    <row r="7" spans="1:87">
      <c r="A7" s="19">
        <v>1</v>
      </c>
      <c r="B7" s="158" t="s">
        <v>264</v>
      </c>
      <c r="C7" s="264"/>
      <c r="D7" s="265">
        <v>197000</v>
      </c>
      <c r="E7" s="20">
        <v>223027</v>
      </c>
      <c r="F7" s="20">
        <v>230513</v>
      </c>
      <c r="G7" s="20">
        <v>231174</v>
      </c>
      <c r="H7" s="20">
        <v>255028</v>
      </c>
      <c r="I7" s="20">
        <f>316386+3241</f>
        <v>319627</v>
      </c>
      <c r="J7" s="20">
        <v>377712</v>
      </c>
      <c r="K7" s="20">
        <v>382411</v>
      </c>
      <c r="L7" s="20">
        <v>394107</v>
      </c>
      <c r="M7" s="20">
        <v>267954</v>
      </c>
      <c r="N7" s="20"/>
      <c r="O7" s="20">
        <v>143875</v>
      </c>
      <c r="P7" s="266"/>
      <c r="Q7" s="21"/>
      <c r="R7" s="265">
        <v>208084</v>
      </c>
      <c r="S7" s="22">
        <v>268431</v>
      </c>
      <c r="T7" s="22">
        <v>250616</v>
      </c>
      <c r="U7" s="22">
        <v>237088</v>
      </c>
      <c r="V7" s="22">
        <v>147777</v>
      </c>
      <c r="W7" s="22">
        <v>215818</v>
      </c>
      <c r="X7" s="22">
        <v>273510</v>
      </c>
      <c r="Y7" s="22">
        <v>299059</v>
      </c>
      <c r="Z7" s="22">
        <v>304980</v>
      </c>
      <c r="AA7" s="22">
        <v>231197</v>
      </c>
      <c r="AB7" s="22">
        <v>143086</v>
      </c>
      <c r="AC7" s="22">
        <v>172491</v>
      </c>
      <c r="AD7" s="267"/>
      <c r="AE7" s="23"/>
      <c r="AF7" s="22">
        <v>198695</v>
      </c>
      <c r="AG7" s="22">
        <v>234210</v>
      </c>
      <c r="AH7" s="22">
        <v>327560</v>
      </c>
      <c r="AI7" s="22">
        <v>332523</v>
      </c>
      <c r="AJ7" s="24">
        <v>356667</v>
      </c>
      <c r="AK7" s="22">
        <v>384165</v>
      </c>
      <c r="AL7" s="22">
        <v>317268</v>
      </c>
      <c r="AM7" s="22">
        <v>370708</v>
      </c>
      <c r="AN7" s="22">
        <v>354503</v>
      </c>
      <c r="AO7" s="22">
        <v>314605</v>
      </c>
      <c r="AP7" s="25">
        <v>90490</v>
      </c>
      <c r="AQ7" s="22">
        <v>58348</v>
      </c>
      <c r="AR7" s="22">
        <f t="shared" si="3"/>
        <v>58348</v>
      </c>
      <c r="AS7" s="23"/>
      <c r="AT7" s="22">
        <v>158701</v>
      </c>
      <c r="AU7" s="22">
        <v>115369</v>
      </c>
      <c r="AV7" s="22">
        <v>142379</v>
      </c>
      <c r="AW7" s="22">
        <v>118765</v>
      </c>
      <c r="AX7" s="22">
        <v>113246</v>
      </c>
      <c r="AY7" s="22">
        <v>106776</v>
      </c>
      <c r="AZ7" s="22">
        <v>175234</v>
      </c>
      <c r="BA7" s="22">
        <v>151553</v>
      </c>
      <c r="BB7" s="26">
        <v>167082</v>
      </c>
      <c r="BC7" s="22">
        <v>150959</v>
      </c>
      <c r="BD7" s="22">
        <v>119787</v>
      </c>
      <c r="BE7" s="22">
        <v>65426</v>
      </c>
      <c r="BF7" s="22">
        <f t="shared" si="5"/>
        <v>65426</v>
      </c>
      <c r="BG7" s="27"/>
      <c r="BH7" s="22">
        <v>166918</v>
      </c>
      <c r="BI7" s="22">
        <v>167160</v>
      </c>
      <c r="BJ7" s="22">
        <v>204571</v>
      </c>
      <c r="BK7" s="22">
        <v>153197</v>
      </c>
      <c r="BL7" s="22">
        <v>196798</v>
      </c>
      <c r="BM7" s="22">
        <v>145596</v>
      </c>
      <c r="BN7" s="22">
        <v>166021</v>
      </c>
      <c r="BO7" s="22">
        <v>211305</v>
      </c>
      <c r="BP7" s="22">
        <v>201071</v>
      </c>
      <c r="BQ7" s="22">
        <v>177743</v>
      </c>
      <c r="BR7" s="22">
        <v>144020</v>
      </c>
      <c r="BS7" s="22">
        <v>154347</v>
      </c>
      <c r="BT7" s="22">
        <f>BS7</f>
        <v>154347</v>
      </c>
      <c r="BU7" s="28"/>
      <c r="BV7" s="22">
        <v>204006</v>
      </c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>
        <f t="shared" si="8"/>
        <v>0</v>
      </c>
    </row>
    <row r="8" spans="1:87">
      <c r="A8" s="19">
        <v>2</v>
      </c>
      <c r="B8" s="158" t="s">
        <v>265</v>
      </c>
      <c r="C8" s="264"/>
      <c r="D8" s="265">
        <v>73670</v>
      </c>
      <c r="E8" s="20">
        <v>59682</v>
      </c>
      <c r="F8" s="20">
        <v>54710</v>
      </c>
      <c r="G8" s="20">
        <v>56175</v>
      </c>
      <c r="H8" s="20">
        <v>58933</v>
      </c>
      <c r="I8" s="20">
        <v>42784</v>
      </c>
      <c r="J8" s="20">
        <v>35755</v>
      </c>
      <c r="K8" s="20">
        <v>33547</v>
      </c>
      <c r="L8" s="20">
        <v>22824</v>
      </c>
      <c r="M8" s="20">
        <v>26162</v>
      </c>
      <c r="N8" s="20"/>
      <c r="O8" s="20">
        <v>44389</v>
      </c>
      <c r="P8" s="266"/>
      <c r="Q8" s="21"/>
      <c r="R8" s="265">
        <v>39759</v>
      </c>
      <c r="S8" s="22">
        <v>38325</v>
      </c>
      <c r="T8" s="22">
        <v>26634</v>
      </c>
      <c r="U8" s="22">
        <f>14430+2754+7859</f>
        <v>25043</v>
      </c>
      <c r="V8" s="22">
        <v>23840</v>
      </c>
      <c r="W8" s="22">
        <v>20057</v>
      </c>
      <c r="X8" s="22">
        <v>80502</v>
      </c>
      <c r="Y8" s="22">
        <v>56483</v>
      </c>
      <c r="Z8" s="22">
        <v>44233</v>
      </c>
      <c r="AA8" s="22">
        <v>38155</v>
      </c>
      <c r="AB8" s="22">
        <v>27540</v>
      </c>
      <c r="AC8" s="22">
        <v>25060</v>
      </c>
      <c r="AD8" s="267"/>
      <c r="AE8" s="23"/>
      <c r="AF8" s="22">
        <v>21326</v>
      </c>
      <c r="AG8" s="22">
        <v>17804</v>
      </c>
      <c r="AH8" s="22">
        <v>27157</v>
      </c>
      <c r="AI8" s="22">
        <v>19677</v>
      </c>
      <c r="AJ8" s="22">
        <v>18817</v>
      </c>
      <c r="AK8" s="22">
        <v>25034</v>
      </c>
      <c r="AL8" s="22">
        <v>28090</v>
      </c>
      <c r="AM8" s="22">
        <v>25660</v>
      </c>
      <c r="AN8" s="22">
        <v>33752</v>
      </c>
      <c r="AO8" s="22">
        <v>24699</v>
      </c>
      <c r="AP8" s="25">
        <v>19340</v>
      </c>
      <c r="AQ8" s="22">
        <v>29842</v>
      </c>
      <c r="AR8" s="22">
        <f t="shared" si="3"/>
        <v>29842</v>
      </c>
      <c r="AS8" s="23"/>
      <c r="AT8" s="22">
        <v>46493</v>
      </c>
      <c r="AU8" s="22">
        <v>37125</v>
      </c>
      <c r="AV8" s="22">
        <v>38574</v>
      </c>
      <c r="AW8" s="22">
        <v>43626</v>
      </c>
      <c r="AX8" s="22">
        <v>39641</v>
      </c>
      <c r="AY8" s="22">
        <v>55553</v>
      </c>
      <c r="AZ8" s="22">
        <v>48023</v>
      </c>
      <c r="BA8" s="22">
        <v>55043</v>
      </c>
      <c r="BB8" s="26">
        <v>50383</v>
      </c>
      <c r="BC8" s="22">
        <v>54355</v>
      </c>
      <c r="BD8" s="22">
        <v>82473</v>
      </c>
      <c r="BE8" s="22">
        <v>65398</v>
      </c>
      <c r="BF8" s="22">
        <f t="shared" si="5"/>
        <v>65398</v>
      </c>
      <c r="BG8" s="27"/>
      <c r="BH8" s="22">
        <v>68747</v>
      </c>
      <c r="BI8" s="22">
        <v>62843</v>
      </c>
      <c r="BJ8" s="22">
        <v>62154</v>
      </c>
      <c r="BK8" s="22">
        <v>49337</v>
      </c>
      <c r="BL8" s="22">
        <v>27730</v>
      </c>
      <c r="BM8" s="22">
        <v>42459</v>
      </c>
      <c r="BN8" s="22">
        <v>44049</v>
      </c>
      <c r="BO8" s="22">
        <v>29196</v>
      </c>
      <c r="BP8" s="22">
        <v>36882</v>
      </c>
      <c r="BQ8" s="22">
        <v>35965</v>
      </c>
      <c r="BR8" s="22">
        <v>31343</v>
      </c>
      <c r="BS8" s="22">
        <v>23087</v>
      </c>
      <c r="BT8" s="22">
        <f t="shared" ref="BT8:BT14" si="9">BS8</f>
        <v>23087</v>
      </c>
      <c r="BU8" s="28"/>
      <c r="BV8" s="22">
        <v>15202</v>
      </c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>
        <f t="shared" si="8"/>
        <v>0</v>
      </c>
    </row>
    <row r="9" spans="1:87">
      <c r="A9" s="19">
        <v>3</v>
      </c>
      <c r="B9" s="158" t="s">
        <v>266</v>
      </c>
      <c r="C9" s="264"/>
      <c r="D9" s="268">
        <v>34116</v>
      </c>
      <c r="E9" s="269">
        <v>29277</v>
      </c>
      <c r="F9" s="269">
        <v>43008</v>
      </c>
      <c r="G9" s="269">
        <v>30524</v>
      </c>
      <c r="H9" s="269">
        <v>33235</v>
      </c>
      <c r="I9" s="269">
        <v>39842</v>
      </c>
      <c r="J9" s="269">
        <v>41021</v>
      </c>
      <c r="K9" s="269">
        <v>31224</v>
      </c>
      <c r="L9" s="269"/>
      <c r="M9" s="269">
        <v>10286</v>
      </c>
      <c r="N9" s="269"/>
      <c r="O9" s="269"/>
      <c r="P9" s="266"/>
      <c r="Q9" s="21"/>
      <c r="R9" s="268">
        <v>35516</v>
      </c>
      <c r="S9" s="270">
        <v>35962</v>
      </c>
      <c r="T9" s="270">
        <v>35962</v>
      </c>
      <c r="U9" s="270">
        <v>35962</v>
      </c>
      <c r="V9" s="270">
        <v>35000</v>
      </c>
      <c r="W9" s="270"/>
      <c r="X9" s="270">
        <v>6123</v>
      </c>
      <c r="Y9" s="270">
        <v>6123</v>
      </c>
      <c r="Z9" s="270">
        <v>4187</v>
      </c>
      <c r="AA9" s="270">
        <v>2745</v>
      </c>
      <c r="AB9" s="270"/>
      <c r="AC9" s="270"/>
      <c r="AD9" s="267"/>
      <c r="AE9" s="23"/>
      <c r="AF9" s="270">
        <v>8366</v>
      </c>
      <c r="AG9" s="270">
        <v>11534</v>
      </c>
      <c r="AH9" s="270">
        <v>11507</v>
      </c>
      <c r="AI9" s="270">
        <v>9148</v>
      </c>
      <c r="AJ9" s="22">
        <v>8524</v>
      </c>
      <c r="AK9" s="270">
        <v>25290</v>
      </c>
      <c r="AL9" s="270">
        <v>91080</v>
      </c>
      <c r="AM9" s="270">
        <v>66830</v>
      </c>
      <c r="AN9" s="270">
        <v>36866</v>
      </c>
      <c r="AO9" s="270">
        <v>16173</v>
      </c>
      <c r="AP9" s="271">
        <v>178274</v>
      </c>
      <c r="AQ9" s="270">
        <v>210665</v>
      </c>
      <c r="AR9" s="22">
        <f t="shared" si="3"/>
        <v>210665</v>
      </c>
      <c r="AS9" s="23"/>
      <c r="AT9" s="270">
        <v>121075</v>
      </c>
      <c r="AU9" s="270">
        <v>149376</v>
      </c>
      <c r="AV9" s="270">
        <v>104538</v>
      </c>
      <c r="AW9" s="270">
        <v>105262</v>
      </c>
      <c r="AX9" s="270">
        <v>121073</v>
      </c>
      <c r="AY9" s="270">
        <v>163931</v>
      </c>
      <c r="AZ9" s="270">
        <v>109964</v>
      </c>
      <c r="BA9" s="270">
        <v>148266</v>
      </c>
      <c r="BB9" s="26">
        <v>130697</v>
      </c>
      <c r="BC9" s="270">
        <v>113779</v>
      </c>
      <c r="BD9" s="270">
        <v>91119</v>
      </c>
      <c r="BE9" s="270">
        <v>103286</v>
      </c>
      <c r="BF9" s="22">
        <f t="shared" si="5"/>
        <v>103286</v>
      </c>
      <c r="BG9" s="27"/>
      <c r="BH9" s="270">
        <v>49631</v>
      </c>
      <c r="BI9" s="270">
        <v>52953</v>
      </c>
      <c r="BJ9" s="270">
        <v>28440</v>
      </c>
      <c r="BK9" s="270">
        <v>83601</v>
      </c>
      <c r="BL9" s="22">
        <v>25812</v>
      </c>
      <c r="BM9" s="22">
        <v>59545</v>
      </c>
      <c r="BN9" s="22">
        <v>83435</v>
      </c>
      <c r="BO9" s="22">
        <v>34041</v>
      </c>
      <c r="BP9" s="22">
        <v>22399</v>
      </c>
      <c r="BQ9" s="22">
        <v>24887</v>
      </c>
      <c r="BR9" s="22">
        <v>12183</v>
      </c>
      <c r="BS9" s="22">
        <v>12183</v>
      </c>
      <c r="BT9" s="22">
        <f t="shared" si="9"/>
        <v>12183</v>
      </c>
      <c r="BU9" s="28"/>
      <c r="BV9" s="270">
        <v>5216</v>
      </c>
      <c r="BW9" s="270"/>
      <c r="BX9" s="270"/>
      <c r="BY9" s="270"/>
      <c r="BZ9" s="22"/>
      <c r="CA9" s="22"/>
      <c r="CB9" s="22"/>
      <c r="CC9" s="22"/>
      <c r="CD9" s="22"/>
      <c r="CE9" s="22"/>
      <c r="CF9" s="22"/>
      <c r="CG9" s="22"/>
      <c r="CH9" s="22">
        <f t="shared" si="8"/>
        <v>0</v>
      </c>
    </row>
    <row r="10" spans="1:87">
      <c r="A10" s="19">
        <v>1</v>
      </c>
      <c r="B10" s="158" t="s">
        <v>267</v>
      </c>
      <c r="C10" s="159"/>
      <c r="D10" s="265">
        <v>6409</v>
      </c>
      <c r="E10" s="20">
        <v>6860</v>
      </c>
      <c r="F10" s="20">
        <v>4970</v>
      </c>
      <c r="G10" s="20">
        <v>31203</v>
      </c>
      <c r="H10" s="20">
        <v>31499</v>
      </c>
      <c r="I10" s="20">
        <v>25903</v>
      </c>
      <c r="J10" s="20">
        <v>18606</v>
      </c>
      <c r="K10" s="20">
        <v>16014</v>
      </c>
      <c r="L10" s="20">
        <v>13416</v>
      </c>
      <c r="M10" s="20">
        <v>40079</v>
      </c>
      <c r="N10" s="20"/>
      <c r="O10" s="20">
        <v>0</v>
      </c>
      <c r="P10" s="266"/>
      <c r="Q10" s="21"/>
      <c r="R10" s="265">
        <v>3376</v>
      </c>
      <c r="S10" s="22">
        <v>11736</v>
      </c>
      <c r="T10" s="22">
        <v>22454</v>
      </c>
      <c r="U10" s="22">
        <v>21384</v>
      </c>
      <c r="V10" s="22">
        <v>66870</v>
      </c>
      <c r="W10" s="22">
        <v>73769</v>
      </c>
      <c r="X10" s="22">
        <v>13944</v>
      </c>
      <c r="Y10" s="22">
        <v>32750</v>
      </c>
      <c r="Z10" s="22">
        <v>18536</v>
      </c>
      <c r="AA10" s="22">
        <v>40211</v>
      </c>
      <c r="AB10" s="22">
        <v>44457</v>
      </c>
      <c r="AC10" s="22">
        <v>24504</v>
      </c>
      <c r="AD10" s="267"/>
      <c r="AE10" s="23"/>
      <c r="AF10" s="22">
        <v>18586</v>
      </c>
      <c r="AG10" s="22">
        <v>17539</v>
      </c>
      <c r="AH10" s="22">
        <v>20245</v>
      </c>
      <c r="AI10" s="22">
        <v>17669</v>
      </c>
      <c r="AJ10" s="22">
        <v>16769</v>
      </c>
      <c r="AK10" s="22">
        <v>31134</v>
      </c>
      <c r="AL10" s="22">
        <v>35711</v>
      </c>
      <c r="AM10" s="22">
        <v>29141</v>
      </c>
      <c r="AN10" s="22">
        <v>25307</v>
      </c>
      <c r="AO10" s="22">
        <v>35964</v>
      </c>
      <c r="AP10" s="25">
        <v>37378</v>
      </c>
      <c r="AQ10" s="22">
        <v>22159</v>
      </c>
      <c r="AR10" s="22">
        <f t="shared" si="3"/>
        <v>22159</v>
      </c>
      <c r="AS10" s="23"/>
      <c r="AT10" s="22">
        <v>24034</v>
      </c>
      <c r="AU10" s="270">
        <v>22061</v>
      </c>
      <c r="AV10" s="22">
        <v>22489</v>
      </c>
      <c r="AW10" s="22">
        <v>25124</v>
      </c>
      <c r="AX10" s="22">
        <v>22794</v>
      </c>
      <c r="AY10" s="22">
        <v>17777</v>
      </c>
      <c r="AZ10" s="22">
        <v>34345</v>
      </c>
      <c r="BA10" s="22">
        <v>17580</v>
      </c>
      <c r="BB10" s="26">
        <v>26992</v>
      </c>
      <c r="BC10" s="22">
        <v>21373</v>
      </c>
      <c r="BD10" s="22">
        <v>21202</v>
      </c>
      <c r="BE10" s="22">
        <v>19109</v>
      </c>
      <c r="BF10" s="22">
        <f t="shared" si="5"/>
        <v>19109</v>
      </c>
      <c r="BG10" s="27"/>
      <c r="BH10" s="22">
        <v>22216</v>
      </c>
      <c r="BI10" s="270">
        <v>19102</v>
      </c>
      <c r="BJ10" s="22">
        <v>20676</v>
      </c>
      <c r="BK10" s="22">
        <v>19892</v>
      </c>
      <c r="BL10" s="22">
        <v>48737</v>
      </c>
      <c r="BM10" s="22">
        <v>45521</v>
      </c>
      <c r="BN10" s="22">
        <v>41781</v>
      </c>
      <c r="BO10" s="22">
        <v>48019</v>
      </c>
      <c r="BP10" s="22">
        <v>43955</v>
      </c>
      <c r="BQ10" s="22">
        <v>41505</v>
      </c>
      <c r="BR10" s="22">
        <v>28306</v>
      </c>
      <c r="BS10" s="22">
        <v>23731</v>
      </c>
      <c r="BT10" s="22">
        <f t="shared" si="9"/>
        <v>23731</v>
      </c>
      <c r="BU10" s="28"/>
      <c r="BV10" s="22">
        <v>28505</v>
      </c>
      <c r="BW10" s="270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>
        <f t="shared" si="8"/>
        <v>0</v>
      </c>
    </row>
    <row r="11" spans="1:87">
      <c r="A11" s="29"/>
      <c r="B11" s="272" t="s">
        <v>41</v>
      </c>
      <c r="C11" s="273"/>
      <c r="D11" s="274">
        <f t="shared" ref="D11:O11" si="10">D6-D9</f>
        <v>270670</v>
      </c>
      <c r="E11" s="30">
        <f t="shared" si="10"/>
        <v>282709</v>
      </c>
      <c r="F11" s="30">
        <f t="shared" si="10"/>
        <v>285223</v>
      </c>
      <c r="G11" s="30">
        <f t="shared" si="10"/>
        <v>287349</v>
      </c>
      <c r="H11" s="30">
        <f t="shared" si="10"/>
        <v>313961</v>
      </c>
      <c r="I11" s="30">
        <f t="shared" si="10"/>
        <v>362411</v>
      </c>
      <c r="J11" s="30">
        <f t="shared" si="10"/>
        <v>413467</v>
      </c>
      <c r="K11" s="30">
        <f t="shared" si="10"/>
        <v>415958</v>
      </c>
      <c r="L11" s="30">
        <f t="shared" si="10"/>
        <v>416931</v>
      </c>
      <c r="M11" s="30">
        <f t="shared" si="10"/>
        <v>294116</v>
      </c>
      <c r="N11" s="30">
        <f t="shared" si="10"/>
        <v>0</v>
      </c>
      <c r="O11" s="30">
        <f t="shared" si="10"/>
        <v>188264</v>
      </c>
      <c r="P11" s="275"/>
      <c r="Q11" s="31"/>
      <c r="R11" s="274">
        <f t="shared" ref="R11:AB11" si="11">R6-R9</f>
        <v>247843</v>
      </c>
      <c r="S11" s="32">
        <f t="shared" si="11"/>
        <v>306756</v>
      </c>
      <c r="T11" s="32">
        <f t="shared" si="11"/>
        <v>277250</v>
      </c>
      <c r="U11" s="32">
        <f t="shared" si="11"/>
        <v>262131</v>
      </c>
      <c r="V11" s="32">
        <f t="shared" si="11"/>
        <v>171617</v>
      </c>
      <c r="W11" s="32">
        <f t="shared" si="11"/>
        <v>235875</v>
      </c>
      <c r="X11" s="32">
        <f t="shared" si="11"/>
        <v>354012</v>
      </c>
      <c r="Y11" s="32">
        <f t="shared" si="11"/>
        <v>355542</v>
      </c>
      <c r="Z11" s="32">
        <f t="shared" si="11"/>
        <v>349213</v>
      </c>
      <c r="AA11" s="32">
        <f t="shared" si="11"/>
        <v>269352</v>
      </c>
      <c r="AB11" s="32">
        <f t="shared" si="11"/>
        <v>170626</v>
      </c>
      <c r="AC11" s="32"/>
      <c r="AD11" s="276"/>
      <c r="AE11" s="17"/>
      <c r="AF11" s="32">
        <f t="shared" ref="AF11:AQ11" si="12">AF6-AF9</f>
        <v>238607</v>
      </c>
      <c r="AG11" s="32">
        <f t="shared" si="12"/>
        <v>269553</v>
      </c>
      <c r="AH11" s="32">
        <f t="shared" si="12"/>
        <v>374962</v>
      </c>
      <c r="AI11" s="32">
        <f t="shared" si="12"/>
        <v>369869</v>
      </c>
      <c r="AJ11" s="32">
        <f t="shared" si="12"/>
        <v>392253</v>
      </c>
      <c r="AK11" s="32">
        <f t="shared" si="12"/>
        <v>440333</v>
      </c>
      <c r="AL11" s="32">
        <f t="shared" si="12"/>
        <v>381069</v>
      </c>
      <c r="AM11" s="32">
        <f t="shared" si="12"/>
        <v>425509</v>
      </c>
      <c r="AN11" s="32">
        <f t="shared" si="12"/>
        <v>413562</v>
      </c>
      <c r="AO11" s="32">
        <f t="shared" si="12"/>
        <v>375268</v>
      </c>
      <c r="AP11" s="32">
        <f t="shared" si="12"/>
        <v>147208</v>
      </c>
      <c r="AQ11" s="32">
        <f t="shared" si="12"/>
        <v>110349</v>
      </c>
      <c r="AR11" s="32">
        <f t="shared" si="3"/>
        <v>110349</v>
      </c>
      <c r="AS11" s="17"/>
      <c r="AT11" s="32">
        <f t="shared" ref="AT11:BE11" si="13">AT6-AT9</f>
        <v>229228</v>
      </c>
      <c r="AU11" s="32">
        <f t="shared" si="13"/>
        <v>174555</v>
      </c>
      <c r="AV11" s="32">
        <f t="shared" si="13"/>
        <v>203442</v>
      </c>
      <c r="AW11" s="32">
        <f t="shared" si="13"/>
        <v>187515</v>
      </c>
      <c r="AX11" s="32">
        <f t="shared" si="13"/>
        <v>175681</v>
      </c>
      <c r="AY11" s="32">
        <f t="shared" si="13"/>
        <v>180106</v>
      </c>
      <c r="AZ11" s="32">
        <f t="shared" si="13"/>
        <v>257602</v>
      </c>
      <c r="BA11" s="32">
        <f t="shared" si="13"/>
        <v>224176</v>
      </c>
      <c r="BB11" s="32">
        <f t="shared" si="13"/>
        <v>244457</v>
      </c>
      <c r="BC11" s="32">
        <f t="shared" si="13"/>
        <v>226687</v>
      </c>
      <c r="BD11" s="32">
        <f t="shared" si="13"/>
        <v>223462</v>
      </c>
      <c r="BE11" s="32">
        <f t="shared" si="13"/>
        <v>149933</v>
      </c>
      <c r="BF11" s="32">
        <f t="shared" si="5"/>
        <v>149933</v>
      </c>
      <c r="BG11" s="17"/>
      <c r="BH11" s="32">
        <f t="shared" ref="BH11:BQ11" si="14">BH6-BH9</f>
        <v>257881</v>
      </c>
      <c r="BI11" s="32">
        <f t="shared" si="14"/>
        <v>249105</v>
      </c>
      <c r="BJ11" s="32">
        <f t="shared" si="14"/>
        <v>287401</v>
      </c>
      <c r="BK11" s="32">
        <f t="shared" si="14"/>
        <v>222426</v>
      </c>
      <c r="BL11" s="32">
        <f t="shared" si="14"/>
        <v>273265</v>
      </c>
      <c r="BM11" s="32">
        <f t="shared" si="14"/>
        <v>233576</v>
      </c>
      <c r="BN11" s="32">
        <f t="shared" si="14"/>
        <v>251851</v>
      </c>
      <c r="BO11" s="32">
        <f t="shared" si="14"/>
        <v>288520</v>
      </c>
      <c r="BP11" s="32">
        <f t="shared" si="14"/>
        <v>281908</v>
      </c>
      <c r="BQ11" s="32">
        <f t="shared" si="14"/>
        <v>255213</v>
      </c>
      <c r="BR11" s="32">
        <f>BR6-BR9</f>
        <v>203669</v>
      </c>
      <c r="BS11" s="32">
        <f>BS6-BS9</f>
        <v>188982</v>
      </c>
      <c r="BT11" s="32">
        <f>BS11</f>
        <v>188982</v>
      </c>
      <c r="BU11" s="28"/>
      <c r="BV11" s="32">
        <f>BV6-BV9</f>
        <v>242497</v>
      </c>
      <c r="BW11" s="32">
        <f t="shared" ref="BW11:CG11" si="15">BW6-BW9</f>
        <v>235512.82161734681</v>
      </c>
      <c r="BX11" s="32">
        <f t="shared" si="15"/>
        <v>182813.76159659959</v>
      </c>
      <c r="BY11" s="32">
        <f t="shared" si="15"/>
        <v>186713.1208565186</v>
      </c>
      <c r="BZ11" s="32">
        <f t="shared" si="15"/>
        <v>183900.56007945319</v>
      </c>
      <c r="CA11" s="32">
        <f t="shared" si="15"/>
        <v>187265.63595818164</v>
      </c>
      <c r="CB11" s="32">
        <f t="shared" si="15"/>
        <v>171604.65893463965</v>
      </c>
      <c r="CC11" s="32">
        <f t="shared" si="15"/>
        <v>124723.42168949649</v>
      </c>
      <c r="CD11" s="32">
        <f t="shared" si="15"/>
        <v>66556.631837610999</v>
      </c>
      <c r="CE11" s="32">
        <f t="shared" si="15"/>
        <v>19733.520714200014</v>
      </c>
      <c r="CF11" s="32">
        <f t="shared" si="15"/>
        <v>-6623.9137314621767</v>
      </c>
      <c r="CG11" s="32">
        <f t="shared" si="15"/>
        <v>12200.307638712926</v>
      </c>
      <c r="CH11" s="32">
        <f t="shared" si="8"/>
        <v>12200.307638712926</v>
      </c>
    </row>
    <row r="12" spans="1:87">
      <c r="A12" s="13" t="s">
        <v>42</v>
      </c>
      <c r="B12" s="259"/>
      <c r="C12" s="260" t="s">
        <v>43</v>
      </c>
      <c r="D12" s="277">
        <f>D7-D9</f>
        <v>162884</v>
      </c>
      <c r="E12" s="33">
        <f t="shared" ref="E12:O12" si="16">E7+E10-E9-E48</f>
        <v>200610</v>
      </c>
      <c r="F12" s="33">
        <f t="shared" si="16"/>
        <v>192475</v>
      </c>
      <c r="G12" s="33">
        <f t="shared" si="16"/>
        <v>231853</v>
      </c>
      <c r="H12" s="33">
        <f t="shared" si="16"/>
        <v>253292</v>
      </c>
      <c r="I12" s="33">
        <f t="shared" si="16"/>
        <v>305688</v>
      </c>
      <c r="J12" s="33">
        <f t="shared" si="16"/>
        <v>355297</v>
      </c>
      <c r="K12" s="33">
        <f t="shared" si="16"/>
        <v>367201</v>
      </c>
      <c r="L12" s="33">
        <f t="shared" si="16"/>
        <v>407523</v>
      </c>
      <c r="M12" s="33">
        <f t="shared" si="16"/>
        <v>297747</v>
      </c>
      <c r="N12" s="33">
        <f t="shared" si="16"/>
        <v>0</v>
      </c>
      <c r="O12" s="33">
        <f t="shared" si="16"/>
        <v>143875</v>
      </c>
      <c r="P12" s="262">
        <f>J12</f>
        <v>355297</v>
      </c>
      <c r="Q12" s="15"/>
      <c r="R12" s="277">
        <f>R7-R9</f>
        <v>172568</v>
      </c>
      <c r="S12" s="14">
        <f t="shared" ref="S12:AC12" si="17">S7+S10-S9-S48</f>
        <v>244205</v>
      </c>
      <c r="T12" s="14">
        <f t="shared" si="17"/>
        <v>237108</v>
      </c>
      <c r="U12" s="14">
        <f t="shared" si="17"/>
        <v>222510</v>
      </c>
      <c r="V12" s="14">
        <f t="shared" si="17"/>
        <v>179647</v>
      </c>
      <c r="W12" s="14">
        <f t="shared" si="17"/>
        <v>289587</v>
      </c>
      <c r="X12" s="14">
        <f t="shared" si="17"/>
        <v>281331</v>
      </c>
      <c r="Y12" s="14">
        <f t="shared" si="17"/>
        <v>325686</v>
      </c>
      <c r="Z12" s="14">
        <f t="shared" si="17"/>
        <v>319329</v>
      </c>
      <c r="AA12" s="14">
        <f t="shared" si="17"/>
        <v>268663</v>
      </c>
      <c r="AB12" s="14">
        <f t="shared" si="17"/>
        <v>187543</v>
      </c>
      <c r="AC12" s="14">
        <f t="shared" si="17"/>
        <v>196995</v>
      </c>
      <c r="AD12" s="263">
        <f>X12</f>
        <v>281331</v>
      </c>
      <c r="AE12" s="16"/>
      <c r="AF12" s="14">
        <f t="shared" ref="AF12:AQ12" si="18">AF7+AF9+AF8</f>
        <v>228387</v>
      </c>
      <c r="AG12" s="14">
        <f t="shared" si="18"/>
        <v>263548</v>
      </c>
      <c r="AH12" s="14">
        <f t="shared" si="18"/>
        <v>366224</v>
      </c>
      <c r="AI12" s="14">
        <f t="shared" si="18"/>
        <v>361348</v>
      </c>
      <c r="AJ12" s="14">
        <f t="shared" si="18"/>
        <v>384008</v>
      </c>
      <c r="AK12" s="14">
        <f t="shared" si="18"/>
        <v>434489</v>
      </c>
      <c r="AL12" s="14">
        <f t="shared" si="18"/>
        <v>436438</v>
      </c>
      <c r="AM12" s="14">
        <f t="shared" si="18"/>
        <v>463198</v>
      </c>
      <c r="AN12" s="14">
        <f t="shared" si="18"/>
        <v>425121</v>
      </c>
      <c r="AO12" s="14">
        <f t="shared" si="18"/>
        <v>355477</v>
      </c>
      <c r="AP12" s="14">
        <f t="shared" si="18"/>
        <v>288104</v>
      </c>
      <c r="AQ12" s="14">
        <f t="shared" si="18"/>
        <v>298855</v>
      </c>
      <c r="AR12" s="14">
        <f t="shared" si="3"/>
        <v>298855</v>
      </c>
      <c r="AS12" s="17"/>
      <c r="AT12" s="14">
        <f t="shared" ref="AT12:BE12" si="19">AT7+AT9+AT8</f>
        <v>326269</v>
      </c>
      <c r="AU12" s="14">
        <f t="shared" si="19"/>
        <v>301870</v>
      </c>
      <c r="AV12" s="14">
        <f t="shared" si="19"/>
        <v>285491</v>
      </c>
      <c r="AW12" s="14">
        <f t="shared" si="19"/>
        <v>267653</v>
      </c>
      <c r="AX12" s="14">
        <f t="shared" si="19"/>
        <v>273960</v>
      </c>
      <c r="AY12" s="14">
        <f t="shared" si="19"/>
        <v>326260</v>
      </c>
      <c r="AZ12" s="14">
        <f t="shared" si="19"/>
        <v>333221</v>
      </c>
      <c r="BA12" s="14">
        <f t="shared" si="19"/>
        <v>354862</v>
      </c>
      <c r="BB12" s="14">
        <f t="shared" si="19"/>
        <v>348162</v>
      </c>
      <c r="BC12" s="14">
        <f t="shared" si="19"/>
        <v>319093</v>
      </c>
      <c r="BD12" s="14">
        <f t="shared" si="19"/>
        <v>293379</v>
      </c>
      <c r="BE12" s="14">
        <f t="shared" si="19"/>
        <v>234110</v>
      </c>
      <c r="BF12" s="32">
        <f t="shared" ref="BF12:BF13" si="20">SUM(AT12:BE12)</f>
        <v>3664330</v>
      </c>
      <c r="BG12" s="17"/>
      <c r="BH12" s="14">
        <f t="shared" ref="BH12:BS12" si="21">BH7+BH9+BH8</f>
        <v>285296</v>
      </c>
      <c r="BI12" s="14">
        <f t="shared" si="21"/>
        <v>282956</v>
      </c>
      <c r="BJ12" s="14">
        <f t="shared" si="21"/>
        <v>295165</v>
      </c>
      <c r="BK12" s="14">
        <f t="shared" si="21"/>
        <v>286135</v>
      </c>
      <c r="BL12" s="14">
        <f t="shared" si="21"/>
        <v>250340</v>
      </c>
      <c r="BM12" s="14">
        <f t="shared" si="21"/>
        <v>247600</v>
      </c>
      <c r="BN12" s="14">
        <f t="shared" si="21"/>
        <v>293505</v>
      </c>
      <c r="BO12" s="14">
        <f t="shared" si="21"/>
        <v>274542</v>
      </c>
      <c r="BP12" s="14">
        <f t="shared" si="21"/>
        <v>260352</v>
      </c>
      <c r="BQ12" s="14">
        <f>BQ7+BQ9+BQ8</f>
        <v>238595</v>
      </c>
      <c r="BR12" s="14">
        <f t="shared" si="21"/>
        <v>187546</v>
      </c>
      <c r="BS12" s="14">
        <f t="shared" si="21"/>
        <v>189617</v>
      </c>
      <c r="BT12" s="14">
        <f t="shared" si="9"/>
        <v>189617</v>
      </c>
      <c r="BU12" s="18"/>
      <c r="BV12" s="14">
        <f t="shared" ref="BV12:CG12" si="22">BV7+BV9+BV8</f>
        <v>224424</v>
      </c>
      <c r="BW12" s="14">
        <f t="shared" si="22"/>
        <v>0</v>
      </c>
      <c r="BX12" s="14">
        <f t="shared" si="22"/>
        <v>0</v>
      </c>
      <c r="BY12" s="14">
        <f t="shared" si="22"/>
        <v>0</v>
      </c>
      <c r="BZ12" s="14">
        <f t="shared" si="22"/>
        <v>0</v>
      </c>
      <c r="CA12" s="14">
        <f t="shared" si="22"/>
        <v>0</v>
      </c>
      <c r="CB12" s="14">
        <f t="shared" si="22"/>
        <v>0</v>
      </c>
      <c r="CC12" s="14">
        <f t="shared" si="22"/>
        <v>0</v>
      </c>
      <c r="CD12" s="14">
        <f t="shared" si="22"/>
        <v>0</v>
      </c>
      <c r="CE12" s="14">
        <f t="shared" si="22"/>
        <v>0</v>
      </c>
      <c r="CF12" s="14">
        <f t="shared" si="22"/>
        <v>0</v>
      </c>
      <c r="CG12" s="14">
        <f t="shared" si="22"/>
        <v>0</v>
      </c>
      <c r="CH12" s="14">
        <f t="shared" si="8"/>
        <v>0</v>
      </c>
    </row>
    <row r="13" spans="1:87">
      <c r="A13" s="34" t="s">
        <v>44</v>
      </c>
      <c r="B13" s="278"/>
      <c r="C13" s="445" t="s">
        <v>45</v>
      </c>
      <c r="D13" s="277">
        <f t="shared" ref="D13:O13" si="23">D6-D10-D9</f>
        <v>264261</v>
      </c>
      <c r="E13" s="33">
        <f t="shared" si="23"/>
        <v>275849</v>
      </c>
      <c r="F13" s="33">
        <f t="shared" si="23"/>
        <v>280253</v>
      </c>
      <c r="G13" s="33">
        <f t="shared" si="23"/>
        <v>256146</v>
      </c>
      <c r="H13" s="33">
        <f t="shared" si="23"/>
        <v>282462</v>
      </c>
      <c r="I13" s="33">
        <f t="shared" si="23"/>
        <v>336508</v>
      </c>
      <c r="J13" s="33">
        <f t="shared" si="23"/>
        <v>394861</v>
      </c>
      <c r="K13" s="33">
        <f t="shared" si="23"/>
        <v>399944</v>
      </c>
      <c r="L13" s="33">
        <f t="shared" si="23"/>
        <v>403515</v>
      </c>
      <c r="M13" s="33">
        <f t="shared" si="23"/>
        <v>254037</v>
      </c>
      <c r="N13" s="33">
        <f t="shared" si="23"/>
        <v>0</v>
      </c>
      <c r="O13" s="33">
        <f t="shared" si="23"/>
        <v>188264</v>
      </c>
      <c r="P13" s="262">
        <f t="shared" ref="P13:P14" si="24">O13</f>
        <v>188264</v>
      </c>
      <c r="Q13" s="15"/>
      <c r="R13" s="277">
        <f t="shared" ref="R13:AC13" si="25">R6-R10-R9</f>
        <v>244467</v>
      </c>
      <c r="S13" s="14">
        <f t="shared" si="25"/>
        <v>295020</v>
      </c>
      <c r="T13" s="14">
        <f t="shared" si="25"/>
        <v>254796</v>
      </c>
      <c r="U13" s="14">
        <f t="shared" si="25"/>
        <v>240747</v>
      </c>
      <c r="V13" s="14">
        <f t="shared" si="25"/>
        <v>104747</v>
      </c>
      <c r="W13" s="14">
        <f t="shared" si="25"/>
        <v>162106</v>
      </c>
      <c r="X13" s="14">
        <f t="shared" si="25"/>
        <v>340068</v>
      </c>
      <c r="Y13" s="14">
        <f t="shared" si="25"/>
        <v>322792</v>
      </c>
      <c r="Z13" s="14">
        <f t="shared" si="25"/>
        <v>330677</v>
      </c>
      <c r="AA13" s="14">
        <f t="shared" si="25"/>
        <v>229141</v>
      </c>
      <c r="AB13" s="14">
        <f t="shared" si="25"/>
        <v>126169</v>
      </c>
      <c r="AC13" s="14">
        <f t="shared" si="25"/>
        <v>173047</v>
      </c>
      <c r="AD13" s="263">
        <f t="shared" ref="AD13:AD14" si="26">AC13</f>
        <v>173047</v>
      </c>
      <c r="AE13" s="16"/>
      <c r="AF13" s="261">
        <f t="shared" ref="AF13:AQ13" si="27">AF12-AF9</f>
        <v>220021</v>
      </c>
      <c r="AG13" s="261">
        <f t="shared" si="27"/>
        <v>252014</v>
      </c>
      <c r="AH13" s="261">
        <f t="shared" si="27"/>
        <v>354717</v>
      </c>
      <c r="AI13" s="261">
        <f t="shared" si="27"/>
        <v>352200</v>
      </c>
      <c r="AJ13" s="261">
        <f t="shared" si="27"/>
        <v>375484</v>
      </c>
      <c r="AK13" s="261">
        <f t="shared" si="27"/>
        <v>409199</v>
      </c>
      <c r="AL13" s="261">
        <f t="shared" si="27"/>
        <v>345358</v>
      </c>
      <c r="AM13" s="261">
        <f t="shared" si="27"/>
        <v>396368</v>
      </c>
      <c r="AN13" s="261">
        <f t="shared" si="27"/>
        <v>388255</v>
      </c>
      <c r="AO13" s="261">
        <f t="shared" si="27"/>
        <v>339304</v>
      </c>
      <c r="AP13" s="261">
        <f t="shared" si="27"/>
        <v>109830</v>
      </c>
      <c r="AQ13" s="261">
        <f t="shared" si="27"/>
        <v>88190</v>
      </c>
      <c r="AR13" s="14">
        <f t="shared" si="3"/>
        <v>88190</v>
      </c>
      <c r="AS13" s="17"/>
      <c r="AT13" s="261">
        <f t="shared" ref="AT13:BE13" si="28">AT12-AT9</f>
        <v>205194</v>
      </c>
      <c r="AU13" s="261">
        <f t="shared" si="28"/>
        <v>152494</v>
      </c>
      <c r="AV13" s="261">
        <f t="shared" si="28"/>
        <v>180953</v>
      </c>
      <c r="AW13" s="261">
        <f t="shared" si="28"/>
        <v>162391</v>
      </c>
      <c r="AX13" s="261">
        <f t="shared" si="28"/>
        <v>152887</v>
      </c>
      <c r="AY13" s="261">
        <f t="shared" si="28"/>
        <v>162329</v>
      </c>
      <c r="AZ13" s="261">
        <f t="shared" si="28"/>
        <v>223257</v>
      </c>
      <c r="BA13" s="261">
        <f t="shared" si="28"/>
        <v>206596</v>
      </c>
      <c r="BB13" s="261">
        <f t="shared" si="28"/>
        <v>217465</v>
      </c>
      <c r="BC13" s="261">
        <f t="shared" si="28"/>
        <v>205314</v>
      </c>
      <c r="BD13" s="261">
        <f t="shared" si="28"/>
        <v>202260</v>
      </c>
      <c r="BE13" s="261">
        <f t="shared" si="28"/>
        <v>130824</v>
      </c>
      <c r="BF13" s="32">
        <f t="shared" si="20"/>
        <v>2201964</v>
      </c>
      <c r="BG13" s="35">
        <f>SUM(AT16:AY16)/SUM(AF49:AK49)-1</f>
        <v>0.2283258050797119</v>
      </c>
      <c r="BH13" s="416">
        <f t="shared" ref="BH13:BS13" si="29">BH12-BH9</f>
        <v>235665</v>
      </c>
      <c r="BI13" s="416">
        <f t="shared" si="29"/>
        <v>230003</v>
      </c>
      <c r="BJ13" s="416">
        <f t="shared" si="29"/>
        <v>266725</v>
      </c>
      <c r="BK13" s="416">
        <f t="shared" si="29"/>
        <v>202534</v>
      </c>
      <c r="BL13" s="417">
        <f t="shared" si="29"/>
        <v>224528</v>
      </c>
      <c r="BM13" s="417">
        <f t="shared" si="29"/>
        <v>188055</v>
      </c>
      <c r="BN13" s="417">
        <f t="shared" si="29"/>
        <v>210070</v>
      </c>
      <c r="BO13" s="417">
        <f t="shared" si="29"/>
        <v>240501</v>
      </c>
      <c r="BP13" s="417">
        <f t="shared" si="29"/>
        <v>237953</v>
      </c>
      <c r="BQ13" s="417">
        <f t="shared" si="29"/>
        <v>213708</v>
      </c>
      <c r="BR13" s="417">
        <f t="shared" si="29"/>
        <v>175363</v>
      </c>
      <c r="BS13" s="417">
        <f t="shared" si="29"/>
        <v>177434</v>
      </c>
      <c r="BT13" s="417">
        <f t="shared" si="9"/>
        <v>177434</v>
      </c>
      <c r="BU13" s="18"/>
      <c r="BV13" s="261">
        <f t="shared" ref="BV13:CG13" si="30">BV12-BV9</f>
        <v>219208</v>
      </c>
      <c r="BW13" s="261">
        <f t="shared" si="30"/>
        <v>0</v>
      </c>
      <c r="BX13" s="261">
        <f t="shared" si="30"/>
        <v>0</v>
      </c>
      <c r="BY13" s="416">
        <f t="shared" si="30"/>
        <v>0</v>
      </c>
      <c r="BZ13" s="417">
        <f t="shared" si="30"/>
        <v>0</v>
      </c>
      <c r="CA13" s="417">
        <f t="shared" si="30"/>
        <v>0</v>
      </c>
      <c r="CB13" s="417">
        <f t="shared" si="30"/>
        <v>0</v>
      </c>
      <c r="CC13" s="417">
        <f t="shared" si="30"/>
        <v>0</v>
      </c>
      <c r="CD13" s="417">
        <f t="shared" si="30"/>
        <v>0</v>
      </c>
      <c r="CE13" s="417">
        <f t="shared" si="30"/>
        <v>0</v>
      </c>
      <c r="CF13" s="417">
        <f t="shared" si="30"/>
        <v>0</v>
      </c>
      <c r="CG13" s="417">
        <f t="shared" si="30"/>
        <v>0</v>
      </c>
      <c r="CH13" s="417">
        <f t="shared" si="8"/>
        <v>0</v>
      </c>
    </row>
    <row r="14" spans="1:87" ht="15.75">
      <c r="A14" s="447" t="s">
        <v>46</v>
      </c>
      <c r="B14" s="448"/>
      <c r="C14" s="449" t="s">
        <v>47</v>
      </c>
      <c r="D14" s="281">
        <f t="shared" ref="D14:O14" si="31">D6</f>
        <v>304786</v>
      </c>
      <c r="E14" s="37">
        <f t="shared" si="31"/>
        <v>311986</v>
      </c>
      <c r="F14" s="37">
        <f t="shared" si="31"/>
        <v>328231</v>
      </c>
      <c r="G14" s="37">
        <f t="shared" si="31"/>
        <v>317873</v>
      </c>
      <c r="H14" s="37">
        <f t="shared" si="31"/>
        <v>347196</v>
      </c>
      <c r="I14" s="37">
        <f t="shared" si="31"/>
        <v>402253</v>
      </c>
      <c r="J14" s="37">
        <f t="shared" si="31"/>
        <v>454488</v>
      </c>
      <c r="K14" s="37">
        <f t="shared" si="31"/>
        <v>447182</v>
      </c>
      <c r="L14" s="37">
        <f t="shared" si="31"/>
        <v>416931</v>
      </c>
      <c r="M14" s="37">
        <f t="shared" si="31"/>
        <v>304402</v>
      </c>
      <c r="N14" s="37">
        <f t="shared" si="31"/>
        <v>0</v>
      </c>
      <c r="O14" s="37">
        <f t="shared" si="31"/>
        <v>188264</v>
      </c>
      <c r="P14" s="38">
        <f t="shared" si="24"/>
        <v>188264</v>
      </c>
      <c r="Q14" s="39"/>
      <c r="R14" s="40">
        <f t="shared" ref="R14:AC14" si="32">R6</f>
        <v>283359</v>
      </c>
      <c r="S14" s="41">
        <f t="shared" si="32"/>
        <v>342718</v>
      </c>
      <c r="T14" s="41">
        <f t="shared" si="32"/>
        <v>313212</v>
      </c>
      <c r="U14" s="41">
        <f t="shared" si="32"/>
        <v>298093</v>
      </c>
      <c r="V14" s="41">
        <f t="shared" si="32"/>
        <v>206617</v>
      </c>
      <c r="W14" s="41">
        <f t="shared" si="32"/>
        <v>235875</v>
      </c>
      <c r="X14" s="41">
        <f t="shared" si="32"/>
        <v>360135</v>
      </c>
      <c r="Y14" s="41">
        <f t="shared" si="32"/>
        <v>361665</v>
      </c>
      <c r="Z14" s="41">
        <f t="shared" si="32"/>
        <v>353400</v>
      </c>
      <c r="AA14" s="41">
        <f t="shared" si="32"/>
        <v>272097</v>
      </c>
      <c r="AB14" s="41">
        <f t="shared" si="32"/>
        <v>170626</v>
      </c>
      <c r="AC14" s="41">
        <f t="shared" si="32"/>
        <v>197551</v>
      </c>
      <c r="AD14" s="229">
        <f t="shared" si="26"/>
        <v>197551</v>
      </c>
      <c r="AE14" s="42"/>
      <c r="AF14" s="41">
        <f>AF6-AF48</f>
        <v>246973</v>
      </c>
      <c r="AG14" s="41">
        <f t="shared" ref="AG14:AQ14" si="33">AG6-AG48</f>
        <v>281087</v>
      </c>
      <c r="AH14" s="41">
        <f t="shared" si="33"/>
        <v>386469</v>
      </c>
      <c r="AI14" s="41">
        <f t="shared" si="33"/>
        <v>379017</v>
      </c>
      <c r="AJ14" s="41">
        <f t="shared" si="33"/>
        <v>400777</v>
      </c>
      <c r="AK14" s="41">
        <f t="shared" si="33"/>
        <v>465623</v>
      </c>
      <c r="AL14" s="41">
        <f t="shared" si="33"/>
        <v>472149</v>
      </c>
      <c r="AM14" s="41">
        <f t="shared" si="33"/>
        <v>492339</v>
      </c>
      <c r="AN14" s="41">
        <f t="shared" si="33"/>
        <v>450428</v>
      </c>
      <c r="AO14" s="41">
        <f t="shared" si="33"/>
        <v>391441</v>
      </c>
      <c r="AP14" s="41">
        <f t="shared" si="33"/>
        <v>325482</v>
      </c>
      <c r="AQ14" s="41">
        <f t="shared" si="33"/>
        <v>312076</v>
      </c>
      <c r="AR14" s="41">
        <f t="shared" si="3"/>
        <v>312076</v>
      </c>
      <c r="AS14" s="42"/>
      <c r="AT14" s="41">
        <f t="shared" ref="AT14:BB14" si="34">AT6-AT48</f>
        <v>243661</v>
      </c>
      <c r="AU14" s="41">
        <f t="shared" si="34"/>
        <v>233232</v>
      </c>
      <c r="AV14" s="41">
        <f t="shared" si="34"/>
        <v>218299</v>
      </c>
      <c r="AW14" s="41">
        <f t="shared" si="34"/>
        <v>233987</v>
      </c>
      <c r="AX14" s="41">
        <f t="shared" si="34"/>
        <v>261234</v>
      </c>
      <c r="AY14" s="41">
        <f t="shared" si="34"/>
        <v>282486</v>
      </c>
      <c r="AZ14" s="41">
        <f t="shared" si="34"/>
        <v>296055</v>
      </c>
      <c r="BA14" s="41">
        <f t="shared" si="34"/>
        <v>308825</v>
      </c>
      <c r="BB14" s="41">
        <f t="shared" si="34"/>
        <v>308406</v>
      </c>
      <c r="BC14" s="41">
        <f>BB14-BC16+BC59-BC48</f>
        <v>137005.70924434217</v>
      </c>
      <c r="BD14" s="41">
        <f>BC14-BD16+BD59-BD48</f>
        <v>94095.12236286921</v>
      </c>
      <c r="BE14" s="41">
        <f>BD14-BE16+BE59-BE48</f>
        <v>78605.509397775226</v>
      </c>
      <c r="BF14" s="41">
        <f>BE14</f>
        <v>78605.509397775226</v>
      </c>
      <c r="BG14" s="43">
        <f>BG16/AR16</f>
        <v>7.0333736034655189E-2</v>
      </c>
      <c r="BH14" s="41">
        <f t="shared" ref="BH14:BS14" si="35">BH6-BH48</f>
        <v>238108</v>
      </c>
      <c r="BI14" s="41">
        <f t="shared" si="35"/>
        <v>221646</v>
      </c>
      <c r="BJ14" s="41">
        <f t="shared" si="35"/>
        <v>221455</v>
      </c>
      <c r="BK14" s="41">
        <f t="shared" si="35"/>
        <v>227714</v>
      </c>
      <c r="BL14" s="41">
        <f t="shared" si="35"/>
        <v>252043</v>
      </c>
      <c r="BM14" s="41">
        <f t="shared" si="35"/>
        <v>242270</v>
      </c>
      <c r="BN14" s="41">
        <f t="shared" si="35"/>
        <v>242084</v>
      </c>
      <c r="BO14" s="41">
        <f t="shared" si="35"/>
        <v>221874</v>
      </c>
      <c r="BP14" s="41">
        <f t="shared" si="35"/>
        <v>176312</v>
      </c>
      <c r="BQ14" s="41">
        <f t="shared" si="35"/>
        <v>157414</v>
      </c>
      <c r="BR14" s="41">
        <f t="shared" si="35"/>
        <v>215852</v>
      </c>
      <c r="BS14" s="41">
        <f t="shared" si="35"/>
        <v>201165</v>
      </c>
      <c r="BT14" s="41">
        <f t="shared" si="9"/>
        <v>201165</v>
      </c>
      <c r="BU14" s="45"/>
      <c r="BV14" s="41">
        <f t="shared" ref="BV14:CG14" si="36">BV6-BV48</f>
        <v>247713</v>
      </c>
      <c r="BW14" s="41">
        <f t="shared" si="36"/>
        <v>235512.82161734681</v>
      </c>
      <c r="BX14" s="41">
        <f t="shared" si="36"/>
        <v>182813.76159659959</v>
      </c>
      <c r="BY14" s="41">
        <f t="shared" si="36"/>
        <v>186713.1208565186</v>
      </c>
      <c r="BZ14" s="41">
        <f t="shared" si="36"/>
        <v>183900.56007945319</v>
      </c>
      <c r="CA14" s="41">
        <f t="shared" si="36"/>
        <v>187265.63595818164</v>
      </c>
      <c r="CB14" s="41">
        <f t="shared" si="36"/>
        <v>171604.65893463965</v>
      </c>
      <c r="CC14" s="41">
        <f t="shared" si="36"/>
        <v>124723.42168949649</v>
      </c>
      <c r="CD14" s="41">
        <f t="shared" si="36"/>
        <v>66556.631837610999</v>
      </c>
      <c r="CE14" s="41">
        <f t="shared" si="36"/>
        <v>19733.520714200014</v>
      </c>
      <c r="CF14" s="41">
        <f t="shared" si="36"/>
        <v>-6623.9137314621767</v>
      </c>
      <c r="CG14" s="41">
        <f t="shared" si="36"/>
        <v>12200.307638712926</v>
      </c>
      <c r="CH14" s="41">
        <f t="shared" si="8"/>
        <v>12200.307638712926</v>
      </c>
    </row>
    <row r="15" spans="1:87">
      <c r="A15" s="46"/>
      <c r="B15" s="47" t="s">
        <v>48</v>
      </c>
      <c r="C15" s="446"/>
      <c r="D15" s="283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284"/>
      <c r="Q15" s="49"/>
      <c r="R15" s="283"/>
      <c r="S15" s="50"/>
      <c r="T15" s="50"/>
      <c r="U15" s="50"/>
      <c r="V15" s="51"/>
      <c r="W15" s="51"/>
      <c r="X15" s="51"/>
      <c r="Y15" s="51"/>
      <c r="Z15" s="51"/>
      <c r="AA15" s="51"/>
      <c r="AB15" s="51"/>
      <c r="AC15" s="50"/>
      <c r="AD15" s="285"/>
      <c r="AE15" s="23"/>
      <c r="AF15" s="286">
        <f t="shared" ref="AF15:AP15" si="37">AF6/AG16</f>
        <v>1.3876680694696506</v>
      </c>
      <c r="AG15" s="286">
        <f t="shared" si="37"/>
        <v>3.8178718896012169</v>
      </c>
      <c r="AH15" s="286">
        <f t="shared" si="37"/>
        <v>4.3249513194118041</v>
      </c>
      <c r="AI15" s="286">
        <f t="shared" si="37"/>
        <v>3.1032881916583426</v>
      </c>
      <c r="AJ15" s="286">
        <f t="shared" si="37"/>
        <v>2.6977450188476038</v>
      </c>
      <c r="AK15" s="286">
        <f t="shared" si="37"/>
        <v>3.0634099805914667</v>
      </c>
      <c r="AL15" s="286">
        <f t="shared" si="37"/>
        <v>1.9763209336006664</v>
      </c>
      <c r="AM15" s="286">
        <f t="shared" si="37"/>
        <v>1.8853931580291039</v>
      </c>
      <c r="AN15" s="286">
        <f t="shared" si="37"/>
        <v>1.7601719421649082</v>
      </c>
      <c r="AO15" s="286">
        <f t="shared" si="37"/>
        <v>3.0429182213930348</v>
      </c>
      <c r="AP15" s="286">
        <f t="shared" si="37"/>
        <v>3.3266762060506951</v>
      </c>
      <c r="AQ15" s="286">
        <f>AQ6/AT16</f>
        <v>2.1015749668165311</v>
      </c>
      <c r="AR15" s="287">
        <f>AQ15</f>
        <v>2.1015749668165311</v>
      </c>
      <c r="AS15" s="23"/>
      <c r="AT15" s="286">
        <f>AT6/AU16</f>
        <v>2.078676878772272</v>
      </c>
      <c r="AU15" s="286">
        <f>AU6/AV16</f>
        <v>2.1017947592948043</v>
      </c>
      <c r="AV15" s="286">
        <f>AV6/AW16</f>
        <v>1.9297580364452378</v>
      </c>
      <c r="AW15" s="286">
        <f>AW6/AX16</f>
        <v>2.4377775525503322</v>
      </c>
      <c r="AX15" s="286">
        <f>AX6/AY16</f>
        <v>2.1450476831468146</v>
      </c>
      <c r="AY15" s="286">
        <f t="shared" ref="AY15:BD15" si="38">AY6/(AZ45+AZ44)</f>
        <v>2.0572684326974824</v>
      </c>
      <c r="AZ15" s="286">
        <f t="shared" si="38"/>
        <v>1.3749564207725904</v>
      </c>
      <c r="BA15" s="286">
        <f t="shared" si="38"/>
        <v>1.7107133445873244</v>
      </c>
      <c r="BB15" s="286">
        <f t="shared" si="38"/>
        <v>1.5052991529201962</v>
      </c>
      <c r="BC15" s="286">
        <f t="shared" si="38"/>
        <v>2.204984888462461</v>
      </c>
      <c r="BD15" s="286">
        <f t="shared" si="38"/>
        <v>4.1558308053625606</v>
      </c>
      <c r="BE15" s="286">
        <f>BE6/BH16</f>
        <v>1.6577023037190759</v>
      </c>
      <c r="BF15" s="52"/>
      <c r="BG15" s="27"/>
      <c r="BH15" s="418">
        <f t="shared" ref="BH15:BN15" si="39">BH6/BI16</f>
        <v>2.0944497544651477</v>
      </c>
      <c r="BI15" s="418">
        <f t="shared" si="39"/>
        <v>1.7607980924679776</v>
      </c>
      <c r="BJ15" s="418">
        <f t="shared" si="39"/>
        <v>1.9768264308549444</v>
      </c>
      <c r="BK15" s="418">
        <f t="shared" si="39"/>
        <v>2.3096926132416842</v>
      </c>
      <c r="BL15" s="418">
        <f t="shared" si="39"/>
        <v>2.3022524219030873</v>
      </c>
      <c r="BM15" s="418">
        <f t="shared" si="39"/>
        <v>1.710321617787782</v>
      </c>
      <c r="BN15" s="418">
        <f t="shared" si="39"/>
        <v>1.8673644886033884</v>
      </c>
      <c r="BO15" s="419"/>
      <c r="BP15" s="419"/>
      <c r="BQ15" s="419"/>
      <c r="BR15" s="419"/>
      <c r="BS15" s="419"/>
      <c r="BT15" s="419"/>
      <c r="BU15" s="54"/>
      <c r="BV15" s="286">
        <v>0</v>
      </c>
      <c r="BW15" s="286">
        <v>0</v>
      </c>
      <c r="BX15" s="286">
        <v>0</v>
      </c>
      <c r="BY15" s="418">
        <v>0</v>
      </c>
      <c r="BZ15" s="418">
        <v>0</v>
      </c>
      <c r="CA15" s="418">
        <v>0</v>
      </c>
      <c r="CB15" s="418">
        <v>0</v>
      </c>
      <c r="CC15" s="418">
        <v>0</v>
      </c>
      <c r="CD15" s="418">
        <v>0</v>
      </c>
      <c r="CE15" s="418">
        <v>0</v>
      </c>
      <c r="CF15" s="418">
        <v>0</v>
      </c>
      <c r="CG15" s="419"/>
      <c r="CH15" s="419"/>
    </row>
    <row r="16" spans="1:87" ht="15.75">
      <c r="A16" s="55">
        <v>6</v>
      </c>
      <c r="B16" s="56" t="s">
        <v>49</v>
      </c>
      <c r="C16" s="280"/>
      <c r="D16" s="288">
        <f t="shared" ref="D16:P16" si="40">SUM(D20:D42)</f>
        <v>82250</v>
      </c>
      <c r="E16" s="57">
        <f t="shared" si="40"/>
        <v>117000</v>
      </c>
      <c r="F16" s="57">
        <f t="shared" si="40"/>
        <v>121750</v>
      </c>
      <c r="G16" s="57">
        <f t="shared" si="40"/>
        <v>150000</v>
      </c>
      <c r="H16" s="57">
        <f t="shared" si="40"/>
        <v>99500</v>
      </c>
      <c r="I16" s="57">
        <f t="shared" si="40"/>
        <v>102000</v>
      </c>
      <c r="J16" s="57">
        <f t="shared" si="40"/>
        <v>177632</v>
      </c>
      <c r="K16" s="57">
        <f t="shared" si="40"/>
        <v>178158</v>
      </c>
      <c r="L16" s="57">
        <f t="shared" si="40"/>
        <v>199211</v>
      </c>
      <c r="M16" s="57">
        <f t="shared" si="40"/>
        <v>229474</v>
      </c>
      <c r="N16" s="57">
        <f t="shared" si="40"/>
        <v>122368</v>
      </c>
      <c r="O16" s="57">
        <f t="shared" si="40"/>
        <v>38421</v>
      </c>
      <c r="P16" s="289">
        <f t="shared" si="40"/>
        <v>1617764</v>
      </c>
      <c r="Q16" s="39"/>
      <c r="R16" s="288">
        <f t="shared" ref="R16:AC16" si="41">R20+R43</f>
        <v>136177.33998294926</v>
      </c>
      <c r="S16" s="58">
        <f t="shared" si="41"/>
        <v>143840.32639116928</v>
      </c>
      <c r="T16" s="58">
        <f t="shared" si="41"/>
        <v>142553.77192982455</v>
      </c>
      <c r="U16" s="58">
        <f t="shared" si="41"/>
        <v>19814.899999999998</v>
      </c>
      <c r="V16" s="58">
        <f t="shared" si="41"/>
        <v>52085</v>
      </c>
      <c r="W16" s="290">
        <f t="shared" si="41"/>
        <v>70169.381950239796</v>
      </c>
      <c r="X16" s="290">
        <f t="shared" si="41"/>
        <v>144463.33333333299</v>
      </c>
      <c r="Y16" s="290">
        <f t="shared" si="41"/>
        <v>226547.08333333331</v>
      </c>
      <c r="Z16" s="290">
        <f t="shared" si="41"/>
        <v>273187.5</v>
      </c>
      <c r="AA16" s="290">
        <f t="shared" si="41"/>
        <v>172100</v>
      </c>
      <c r="AB16" s="290">
        <f t="shared" si="41"/>
        <v>37500</v>
      </c>
      <c r="AC16" s="290">
        <f t="shared" si="41"/>
        <v>0</v>
      </c>
      <c r="AD16" s="291">
        <f>SUM(R16:AC16)</f>
        <v>1418438.6369208493</v>
      </c>
      <c r="AE16" s="59"/>
      <c r="AF16" s="292">
        <f>AF20+AF43</f>
        <v>128646</v>
      </c>
      <c r="AG16" s="58">
        <f t="shared" ref="AG16:AQ16" si="42">AG20+AG43</f>
        <v>177977</v>
      </c>
      <c r="AH16" s="58">
        <f t="shared" si="42"/>
        <v>73624</v>
      </c>
      <c r="AI16" s="58">
        <f t="shared" si="42"/>
        <v>89358</v>
      </c>
      <c r="AJ16" s="58">
        <f t="shared" si="42"/>
        <v>122134</v>
      </c>
      <c r="AK16" s="58">
        <f t="shared" si="42"/>
        <v>148560</v>
      </c>
      <c r="AL16" s="58">
        <f t="shared" si="42"/>
        <v>151995</v>
      </c>
      <c r="AM16" s="58">
        <f t="shared" si="42"/>
        <v>238903</v>
      </c>
      <c r="AN16" s="58">
        <f t="shared" si="42"/>
        <v>261133.33333333334</v>
      </c>
      <c r="AO16" s="58">
        <f t="shared" si="42"/>
        <v>255900</v>
      </c>
      <c r="AP16" s="58">
        <f t="shared" si="42"/>
        <v>128640</v>
      </c>
      <c r="AQ16" s="58">
        <f t="shared" si="42"/>
        <v>97840</v>
      </c>
      <c r="AR16" s="58">
        <f>SUM(AF16:AQ16)</f>
        <v>1874710.3333333333</v>
      </c>
      <c r="AS16" s="59"/>
      <c r="AT16" s="58">
        <f t="shared" ref="AT16:BD16" si="43">AT20+AT43</f>
        <v>152749.25</v>
      </c>
      <c r="AU16" s="58">
        <f t="shared" si="43"/>
        <v>168522.10344827586</v>
      </c>
      <c r="AV16" s="58">
        <f t="shared" si="43"/>
        <v>154121.13793103449</v>
      </c>
      <c r="AW16" s="58">
        <f t="shared" si="43"/>
        <v>159595.13793103449</v>
      </c>
      <c r="AX16" s="58">
        <f t="shared" si="43"/>
        <v>120099.96551724138</v>
      </c>
      <c r="AY16" s="58">
        <f t="shared" si="43"/>
        <v>138343.77777777778</v>
      </c>
      <c r="AZ16" s="58">
        <f t="shared" si="43"/>
        <v>166673.77777777778</v>
      </c>
      <c r="BA16" s="58">
        <f t="shared" si="43"/>
        <v>242442.29629629629</v>
      </c>
      <c r="BB16" s="58">
        <f t="shared" si="43"/>
        <v>243407.77777777778</v>
      </c>
      <c r="BC16" s="58">
        <f t="shared" si="43"/>
        <v>253368.29075565783</v>
      </c>
      <c r="BD16" s="58">
        <f t="shared" si="43"/>
        <v>134555.58688147296</v>
      </c>
      <c r="BE16" s="58">
        <f>BE20+BE44</f>
        <v>72686.612965093984</v>
      </c>
      <c r="BF16" s="58">
        <f t="shared" ref="BF16:BF18" si="44">SUM(AT16:BE16)</f>
        <v>2006565.7150594404</v>
      </c>
      <c r="BG16" s="59">
        <f>BF16-AR16</f>
        <v>131855.38172610709</v>
      </c>
      <c r="BH16" s="58">
        <f>BH17+BH43</f>
        <v>152753</v>
      </c>
      <c r="BI16" s="58">
        <f t="shared" ref="BI16:BN16" si="45">BI17+BI43</f>
        <v>146822.33333333331</v>
      </c>
      <c r="BJ16" s="58">
        <f t="shared" si="45"/>
        <v>171546.07407407407</v>
      </c>
      <c r="BK16" s="58">
        <f t="shared" si="45"/>
        <v>159771.74074074073</v>
      </c>
      <c r="BL16" s="58">
        <f t="shared" si="45"/>
        <v>132496.85185185185</v>
      </c>
      <c r="BM16" s="58">
        <f t="shared" si="45"/>
        <v>129906.25925925926</v>
      </c>
      <c r="BN16" s="58">
        <f t="shared" si="45"/>
        <v>171383.55555555556</v>
      </c>
      <c r="BO16" s="58">
        <f>BO17+BO44</f>
        <v>179550.37811111109</v>
      </c>
      <c r="BP16" s="58">
        <f>BP17+BP44</f>
        <v>202053.74953703705</v>
      </c>
      <c r="BQ16" s="58">
        <f>BQ17+BQ44</f>
        <v>163865</v>
      </c>
      <c r="BR16" s="58">
        <f>BR17+BR44</f>
        <v>175620.6</v>
      </c>
      <c r="BS16" s="58">
        <v>92285.6</v>
      </c>
      <c r="BT16" s="58">
        <f t="shared" ref="BT16:BT18" si="46">SUM(BH16:BS16)</f>
        <v>1878055.142462963</v>
      </c>
      <c r="BU16" s="60"/>
      <c r="BV16" s="58">
        <f>BV20+(BV44)*$CI$16</f>
        <v>156532.36446639808</v>
      </c>
      <c r="BW16" s="58">
        <f t="shared" ref="BW16:CG16" si="47">BW20+(BW44)*$CI$16</f>
        <v>145200.17838265319</v>
      </c>
      <c r="BX16" s="58">
        <f t="shared" si="47"/>
        <v>185699.06002074725</v>
      </c>
      <c r="BY16" s="58">
        <f t="shared" si="47"/>
        <v>150100.640740081</v>
      </c>
      <c r="BZ16" s="58">
        <f t="shared" si="47"/>
        <v>142812.56077706543</v>
      </c>
      <c r="CA16" s="58">
        <f t="shared" si="47"/>
        <v>136634.92412127153</v>
      </c>
      <c r="CB16" s="58">
        <f t="shared" si="47"/>
        <v>176660.97702354199</v>
      </c>
      <c r="CC16" s="58">
        <f t="shared" si="47"/>
        <v>193881.23724514316</v>
      </c>
      <c r="CD16" s="58">
        <f t="shared" si="47"/>
        <v>205166.78985188549</v>
      </c>
      <c r="CE16" s="58">
        <f t="shared" si="47"/>
        <v>207823.11112341098</v>
      </c>
      <c r="CF16" s="58">
        <f t="shared" si="47"/>
        <v>166357.43444566219</v>
      </c>
      <c r="CG16" s="58">
        <f t="shared" si="47"/>
        <v>72175.778629824898</v>
      </c>
      <c r="CH16" s="58">
        <f t="shared" ref="CH16:CH17" si="48">SUM(BV16:CG16)</f>
        <v>1939045.0568276853</v>
      </c>
      <c r="CI16">
        <v>0.9</v>
      </c>
    </row>
    <row r="17" spans="1:87">
      <c r="A17" s="61"/>
      <c r="B17" s="62" t="s">
        <v>51</v>
      </c>
      <c r="C17" s="293"/>
      <c r="D17" s="294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295"/>
      <c r="Q17" s="64"/>
      <c r="R17" s="294"/>
      <c r="S17" s="65"/>
      <c r="T17" s="65"/>
      <c r="U17" s="65"/>
      <c r="V17" s="296"/>
      <c r="W17" s="297"/>
      <c r="X17" s="297"/>
      <c r="Y17" s="297"/>
      <c r="Z17" s="297"/>
      <c r="AA17" s="297"/>
      <c r="AB17" s="297"/>
      <c r="AC17" s="66"/>
      <c r="AD17" s="67"/>
      <c r="AE17" s="68"/>
      <c r="AF17" s="298"/>
      <c r="AG17" s="65"/>
      <c r="AH17" s="65"/>
      <c r="AI17" s="65"/>
      <c r="AJ17" s="296"/>
      <c r="AK17" s="296"/>
      <c r="AL17" s="296"/>
      <c r="AM17" s="296"/>
      <c r="AN17" s="65"/>
      <c r="AO17" s="65"/>
      <c r="AP17" s="65"/>
      <c r="AQ17" s="65"/>
      <c r="AR17" s="299"/>
      <c r="AS17" s="68"/>
      <c r="AT17" s="65"/>
      <c r="AU17" s="65"/>
      <c r="AV17" s="65"/>
      <c r="AW17" s="65"/>
      <c r="AX17" s="65"/>
      <c r="AY17" s="69">
        <f t="shared" ref="AY17:BA17" si="49">AY20+AY44</f>
        <v>119777.77777777778</v>
      </c>
      <c r="AZ17" s="69">
        <f t="shared" si="49"/>
        <v>150777.77777777778</v>
      </c>
      <c r="BA17" s="69">
        <f t="shared" si="49"/>
        <v>233098.4962962963</v>
      </c>
      <c r="BB17" s="69">
        <f>BB18/BB19</f>
        <v>210777.77777777778</v>
      </c>
      <c r="BC17" s="69">
        <f>BC20+BC44</f>
        <v>249806.29075565783</v>
      </c>
      <c r="BD17" s="69">
        <f t="shared" ref="BD17:BE17" si="50">BD20+BD44*0.85</f>
        <v>122960.58688147296</v>
      </c>
      <c r="BE17" s="69">
        <f t="shared" si="50"/>
        <v>66386.612965093984</v>
      </c>
      <c r="BF17" s="69">
        <f t="shared" si="44"/>
        <v>1153585.3202318544</v>
      </c>
      <c r="BG17" s="68"/>
      <c r="BH17" s="69">
        <f>BH18/BH19-0.1*BH18/BH19</f>
        <v>116600</v>
      </c>
      <c r="BI17" s="69">
        <f t="shared" ref="BI17" si="51">BI18/BI19-0.1*BI18/BI19</f>
        <v>111533.33333333333</v>
      </c>
      <c r="BJ17" s="69">
        <f t="shared" ref="BJ17:BP17" si="52">BJ18/BJ19-0.05*BJ18/BJ19</f>
        <v>135674.07407407407</v>
      </c>
      <c r="BK17" s="69">
        <f t="shared" si="52"/>
        <v>121740.74074074074</v>
      </c>
      <c r="BL17" s="69">
        <f t="shared" si="52"/>
        <v>93926.851851851854</v>
      </c>
      <c r="BM17" s="69">
        <f t="shared" si="52"/>
        <v>90679.259259259255</v>
      </c>
      <c r="BN17" s="69">
        <f t="shared" si="52"/>
        <v>130255.55555555556</v>
      </c>
      <c r="BO17" s="69">
        <f t="shared" si="52"/>
        <v>150550.37811111109</v>
      </c>
      <c r="BP17" s="69">
        <f t="shared" si="52"/>
        <v>161830.74953703705</v>
      </c>
      <c r="BQ17" s="69">
        <v>127130</v>
      </c>
      <c r="BR17" s="69">
        <v>138687.6</v>
      </c>
      <c r="BS17" s="69">
        <v>43639.199999999997</v>
      </c>
      <c r="BT17" s="69">
        <f t="shared" si="46"/>
        <v>1422247.7424629631</v>
      </c>
      <c r="BU17" s="54"/>
      <c r="BV17" s="69">
        <f>BV20+BV43</f>
        <v>166555.77995873816</v>
      </c>
      <c r="BW17" s="69">
        <f>BW20+BW43</f>
        <v>152835.36924465047</v>
      </c>
      <c r="BX17" s="69">
        <f t="shared" ref="BX17:CG17" si="53">BX20+BX43</f>
        <v>195319.2072937729</v>
      </c>
      <c r="BY17" s="69">
        <f t="shared" si="53"/>
        <v>158396.18906207831</v>
      </c>
      <c r="BZ17" s="69">
        <f t="shared" si="53"/>
        <v>152371.51475009107</v>
      </c>
      <c r="CA17" s="69">
        <f t="shared" si="53"/>
        <v>147696.01107361159</v>
      </c>
      <c r="CB17" s="69">
        <f t="shared" si="53"/>
        <v>189465.0513586243</v>
      </c>
      <c r="CC17" s="69">
        <f t="shared" si="53"/>
        <v>202914.10079748323</v>
      </c>
      <c r="CD17" s="69">
        <f t="shared" si="53"/>
        <v>214499.61628422557</v>
      </c>
      <c r="CE17" s="69">
        <f t="shared" si="53"/>
        <v>217682.99793575107</v>
      </c>
      <c r="CF17" s="69">
        <f t="shared" si="53"/>
        <v>179284.72030485788</v>
      </c>
      <c r="CG17" s="69">
        <f t="shared" si="53"/>
        <v>88389.319383536102</v>
      </c>
      <c r="CH17" s="69">
        <f t="shared" si="48"/>
        <v>2065409.8774474205</v>
      </c>
      <c r="CI17" s="395">
        <f>(CH17-BT50)/BT50</f>
        <v>0.48621753003500767</v>
      </c>
    </row>
    <row r="18" spans="1:87">
      <c r="A18" s="61"/>
      <c r="B18" s="62" t="s">
        <v>52</v>
      </c>
      <c r="C18" s="293"/>
      <c r="D18" s="294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295"/>
      <c r="Q18" s="64"/>
      <c r="R18" s="294"/>
      <c r="S18" s="65"/>
      <c r="T18" s="65"/>
      <c r="U18" s="65"/>
      <c r="V18" s="296"/>
      <c r="W18" s="297"/>
      <c r="X18" s="297"/>
      <c r="Y18" s="297"/>
      <c r="Z18" s="297"/>
      <c r="AA18" s="297"/>
      <c r="AB18" s="297"/>
      <c r="AC18" s="66"/>
      <c r="AD18" s="67"/>
      <c r="AE18" s="68"/>
      <c r="AF18" s="298"/>
      <c r="AG18" s="65"/>
      <c r="AH18" s="65" t="s">
        <v>53</v>
      </c>
      <c r="AI18" s="65"/>
      <c r="AJ18" s="296"/>
      <c r="AK18" s="296"/>
      <c r="AL18" s="296"/>
      <c r="AM18" s="296"/>
      <c r="AN18" s="65">
        <v>6715000</v>
      </c>
      <c r="AO18" s="65">
        <v>6555000</v>
      </c>
      <c r="AP18" s="65">
        <v>2640000</v>
      </c>
      <c r="AQ18" s="65">
        <v>1302000</v>
      </c>
      <c r="AR18" s="299"/>
      <c r="AS18" s="68"/>
      <c r="AT18" s="65">
        <v>3264695</v>
      </c>
      <c r="AU18" s="65">
        <v>3863760</v>
      </c>
      <c r="AV18" s="65">
        <v>3429225</v>
      </c>
      <c r="AW18" s="65">
        <v>3525360</v>
      </c>
      <c r="AX18" s="65">
        <v>2509485</v>
      </c>
      <c r="AY18" s="65">
        <v>2829000</v>
      </c>
      <c r="AZ18" s="65">
        <v>3666000</v>
      </c>
      <c r="BA18" s="65">
        <v>5705000</v>
      </c>
      <c r="BB18" s="65">
        <v>5691000</v>
      </c>
      <c r="BC18" s="65">
        <v>5600000</v>
      </c>
      <c r="BD18" s="65">
        <v>2430000</v>
      </c>
      <c r="BE18" s="65">
        <v>800000</v>
      </c>
      <c r="BF18" s="69">
        <f t="shared" si="44"/>
        <v>43313525</v>
      </c>
      <c r="BG18" s="68"/>
      <c r="BH18" s="70">
        <v>3498000</v>
      </c>
      <c r="BI18" s="70">
        <v>3346000</v>
      </c>
      <c r="BJ18" s="70">
        <v>3856000</v>
      </c>
      <c r="BK18" s="70">
        <v>3460000</v>
      </c>
      <c r="BL18" s="70">
        <v>2669500</v>
      </c>
      <c r="BM18" s="70">
        <v>2577200</v>
      </c>
      <c r="BN18" s="70">
        <v>3702000</v>
      </c>
      <c r="BO18" s="70">
        <v>4278800.22</v>
      </c>
      <c r="BP18" s="70">
        <v>4599400.25</v>
      </c>
      <c r="BQ18" s="70">
        <f>BQ17*BQ19</f>
        <v>3432510</v>
      </c>
      <c r="BR18" s="70">
        <v>2954493.21</v>
      </c>
      <c r="BS18" s="70">
        <v>984831.07</v>
      </c>
      <c r="BT18" s="65">
        <f t="shared" si="46"/>
        <v>39358734.75</v>
      </c>
      <c r="BU18" s="54"/>
      <c r="BV18" s="70">
        <f>BV19*BV20</f>
        <v>3399704.5546384701</v>
      </c>
      <c r="BW18" s="70">
        <f t="shared" ref="BW18:CG18" si="54">BW19*BW20</f>
        <v>3264737.5917468769</v>
      </c>
      <c r="BX18" s="70">
        <f t="shared" si="54"/>
        <v>4184999.9999999995</v>
      </c>
      <c r="BY18" s="70">
        <f t="shared" si="54"/>
        <v>3348000.0000000005</v>
      </c>
      <c r="BZ18" s="70">
        <f t="shared" si="54"/>
        <v>3074042.2288642721</v>
      </c>
      <c r="CA18" s="70">
        <f t="shared" si="54"/>
        <v>2812995.3566251793</v>
      </c>
      <c r="CB18" s="70">
        <f t="shared" si="54"/>
        <v>3737141.5756380158</v>
      </c>
      <c r="CC18" s="70">
        <f t="shared" si="54"/>
        <v>4437000.7194458414</v>
      </c>
      <c r="CD18" s="70">
        <f t="shared" si="54"/>
        <v>4710370.4261011425</v>
      </c>
      <c r="CE18" s="70">
        <f t="shared" si="54"/>
        <v>4744197.0280408058</v>
      </c>
      <c r="CF18" s="70">
        <f t="shared" si="54"/>
        <v>3461011.8981438484</v>
      </c>
      <c r="CG18" s="70">
        <f t="shared" si="54"/>
        <v>792579.23398446955</v>
      </c>
      <c r="CH18" s="65">
        <f>SUM(BV18:CG18)</f>
        <v>41966780.613228925</v>
      </c>
    </row>
    <row r="19" spans="1:87">
      <c r="A19" s="71"/>
      <c r="B19" s="72" t="s">
        <v>54</v>
      </c>
      <c r="C19" s="300"/>
      <c r="D19" s="30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302"/>
      <c r="Q19" s="74"/>
      <c r="R19" s="301"/>
      <c r="S19" s="69"/>
      <c r="T19" s="69"/>
      <c r="U19" s="69"/>
      <c r="V19" s="303"/>
      <c r="W19" s="304"/>
      <c r="X19" s="304"/>
      <c r="Y19" s="304"/>
      <c r="Z19" s="304"/>
      <c r="AA19" s="304"/>
      <c r="AB19" s="304"/>
      <c r="AC19" s="75"/>
      <c r="AD19" s="76"/>
      <c r="AE19" s="77"/>
      <c r="AF19" s="305"/>
      <c r="AG19" s="69"/>
      <c r="AH19" s="69"/>
      <c r="AI19" s="69"/>
      <c r="AJ19" s="303"/>
      <c r="AK19" s="303"/>
      <c r="AL19" s="303"/>
      <c r="AM19" s="303"/>
      <c r="AN19" s="69">
        <f t="shared" ref="AN19:AQ19" si="55">30</f>
        <v>30</v>
      </c>
      <c r="AO19" s="69">
        <f t="shared" si="55"/>
        <v>30</v>
      </c>
      <c r="AP19" s="69">
        <f t="shared" si="55"/>
        <v>30</v>
      </c>
      <c r="AQ19" s="69">
        <f t="shared" si="55"/>
        <v>30</v>
      </c>
      <c r="AR19" s="306"/>
      <c r="AS19" s="77"/>
      <c r="AT19" s="69">
        <v>28</v>
      </c>
      <c r="AU19" s="69">
        <v>29</v>
      </c>
      <c r="AV19" s="69">
        <v>29</v>
      </c>
      <c r="AW19" s="69">
        <v>29</v>
      </c>
      <c r="AX19" s="69">
        <v>29</v>
      </c>
      <c r="AY19" s="69">
        <v>27</v>
      </c>
      <c r="AZ19" s="69">
        <v>27</v>
      </c>
      <c r="BA19" s="69">
        <v>27</v>
      </c>
      <c r="BB19" s="69">
        <v>27</v>
      </c>
      <c r="BC19" s="69">
        <v>26.07</v>
      </c>
      <c r="BD19" s="69">
        <v>26.07</v>
      </c>
      <c r="BE19" s="69">
        <v>26.07</v>
      </c>
      <c r="BF19" s="305"/>
      <c r="BG19" s="78"/>
      <c r="BH19" s="69">
        <v>27</v>
      </c>
      <c r="BI19" s="69">
        <v>27</v>
      </c>
      <c r="BJ19" s="69">
        <v>27</v>
      </c>
      <c r="BK19" s="69">
        <v>27</v>
      </c>
      <c r="BL19" s="69">
        <v>27</v>
      </c>
      <c r="BM19" s="69">
        <v>27</v>
      </c>
      <c r="BN19" s="69">
        <v>27</v>
      </c>
      <c r="BO19" s="69">
        <v>27</v>
      </c>
      <c r="BP19" s="69">
        <v>27</v>
      </c>
      <c r="BQ19" s="69">
        <v>27</v>
      </c>
      <c r="BR19" s="69">
        <v>27</v>
      </c>
      <c r="BS19" s="69">
        <v>27</v>
      </c>
      <c r="BT19" s="69"/>
      <c r="BU19" s="54"/>
      <c r="BV19" s="69">
        <v>26</v>
      </c>
      <c r="BW19" s="69">
        <v>26</v>
      </c>
      <c r="BX19" s="69">
        <v>26</v>
      </c>
      <c r="BY19" s="69">
        <v>26</v>
      </c>
      <c r="BZ19" s="69">
        <v>26</v>
      </c>
      <c r="CA19" s="69">
        <v>26</v>
      </c>
      <c r="CB19" s="69">
        <v>26</v>
      </c>
      <c r="CC19" s="69">
        <v>26</v>
      </c>
      <c r="CD19" s="69">
        <v>26</v>
      </c>
      <c r="CE19" s="69">
        <v>26</v>
      </c>
      <c r="CF19" s="69">
        <v>26</v>
      </c>
      <c r="CG19" s="69">
        <v>26</v>
      </c>
      <c r="CH19" s="69"/>
    </row>
    <row r="20" spans="1:87" ht="15.75">
      <c r="A20" s="79"/>
      <c r="B20" s="80" t="s">
        <v>55</v>
      </c>
      <c r="C20" s="81"/>
      <c r="D20" s="288">
        <v>82250</v>
      </c>
      <c r="E20" s="57">
        <v>117000</v>
      </c>
      <c r="F20" s="57">
        <v>121750</v>
      </c>
      <c r="G20" s="57">
        <v>150000</v>
      </c>
      <c r="H20" s="57">
        <v>99500</v>
      </c>
      <c r="I20" s="57">
        <v>102000</v>
      </c>
      <c r="J20" s="57">
        <v>177632</v>
      </c>
      <c r="K20" s="57">
        <v>178158</v>
      </c>
      <c r="L20" s="57">
        <v>199211</v>
      </c>
      <c r="M20" s="57">
        <v>229474</v>
      </c>
      <c r="N20" s="57">
        <v>122368</v>
      </c>
      <c r="O20" s="57">
        <v>38421</v>
      </c>
      <c r="P20" s="289">
        <f>SUM(D20:O20)</f>
        <v>1617764</v>
      </c>
      <c r="Q20" s="39"/>
      <c r="R20" s="288">
        <v>115619.79612330014</v>
      </c>
      <c r="S20" s="58">
        <v>123327.78253152016</v>
      </c>
      <c r="T20" s="58">
        <v>128854</v>
      </c>
      <c r="U20" s="58">
        <f>126016*0.15</f>
        <v>18902.399999999998</v>
      </c>
      <c r="V20" s="58">
        <v>35234</v>
      </c>
      <c r="W20" s="290">
        <v>56469.381950239796</v>
      </c>
      <c r="X20" s="290">
        <v>118413.33333333299</v>
      </c>
      <c r="Y20" s="290">
        <v>198797.08333333331</v>
      </c>
      <c r="Z20" s="290">
        <v>242087.5</v>
      </c>
      <c r="AA20" s="290">
        <v>140000</v>
      </c>
      <c r="AB20" s="290">
        <v>0</v>
      </c>
      <c r="AC20" s="290">
        <v>-45300</v>
      </c>
      <c r="AD20" s="291">
        <f>SUM(R20:AC20)</f>
        <v>1132405.2772717264</v>
      </c>
      <c r="AE20" s="59"/>
      <c r="AF20" s="292">
        <v>90146</v>
      </c>
      <c r="AG20" s="58">
        <v>155577</v>
      </c>
      <c r="AH20" s="58">
        <v>62953</v>
      </c>
      <c r="AI20" s="58">
        <v>73261</v>
      </c>
      <c r="AJ20" s="58">
        <v>91856</v>
      </c>
      <c r="AK20" s="58">
        <v>120000</v>
      </c>
      <c r="AL20" s="58">
        <v>110295</v>
      </c>
      <c r="AM20" s="58">
        <v>200203</v>
      </c>
      <c r="AN20" s="58">
        <f t="shared" ref="AN20:AQ20" si="56">AN18/AN19</f>
        <v>223833.33333333334</v>
      </c>
      <c r="AO20" s="58">
        <f t="shared" si="56"/>
        <v>218500</v>
      </c>
      <c r="AP20" s="58">
        <f t="shared" si="56"/>
        <v>88000</v>
      </c>
      <c r="AQ20" s="58">
        <f t="shared" si="56"/>
        <v>43400</v>
      </c>
      <c r="AR20" s="58">
        <f>SUM(AF20:AQ20)</f>
        <v>1478024.3333333333</v>
      </c>
      <c r="AS20" s="59"/>
      <c r="AT20" s="58">
        <f t="shared" ref="AT20:BE20" si="57">AT18/AT19</f>
        <v>116596.25</v>
      </c>
      <c r="AU20" s="58">
        <f t="shared" si="57"/>
        <v>133233.10344827586</v>
      </c>
      <c r="AV20" s="58">
        <f t="shared" si="57"/>
        <v>118249.13793103448</v>
      </c>
      <c r="AW20" s="58">
        <f t="shared" si="57"/>
        <v>121564.13793103448</v>
      </c>
      <c r="AX20" s="58">
        <f t="shared" si="57"/>
        <v>86533.965517241377</v>
      </c>
      <c r="AY20" s="58">
        <f t="shared" si="57"/>
        <v>104777.77777777778</v>
      </c>
      <c r="AZ20" s="58">
        <f t="shared" si="57"/>
        <v>135777.77777777778</v>
      </c>
      <c r="BA20" s="58">
        <f t="shared" si="57"/>
        <v>211296.29629629629</v>
      </c>
      <c r="BB20" s="58">
        <f t="shared" si="57"/>
        <v>210777.77777777778</v>
      </c>
      <c r="BC20" s="58">
        <f t="shared" si="57"/>
        <v>214806.29075565783</v>
      </c>
      <c r="BD20" s="58">
        <f t="shared" si="57"/>
        <v>93210.586881472962</v>
      </c>
      <c r="BE20" s="58">
        <f t="shared" si="57"/>
        <v>30686.612965093977</v>
      </c>
      <c r="BF20" s="58">
        <f>SUM(AT20:BE20)</f>
        <v>1577509.7150594404</v>
      </c>
      <c r="BG20" s="59">
        <f>BF20-AR20</f>
        <v>99485.381726107094</v>
      </c>
      <c r="BH20" s="58">
        <f>BH17</f>
        <v>116600</v>
      </c>
      <c r="BI20" s="58">
        <f t="shared" ref="BI20:BT20" si="58">BI17</f>
        <v>111533.33333333333</v>
      </c>
      <c r="BJ20" s="58">
        <f t="shared" si="58"/>
        <v>135674.07407407407</v>
      </c>
      <c r="BK20" s="58">
        <f t="shared" si="58"/>
        <v>121740.74074074074</v>
      </c>
      <c r="BL20" s="58">
        <f t="shared" si="58"/>
        <v>93926.851851851854</v>
      </c>
      <c r="BM20" s="58">
        <f t="shared" si="58"/>
        <v>90679.259259259255</v>
      </c>
      <c r="BN20" s="58">
        <f t="shared" si="58"/>
        <v>130255.55555555556</v>
      </c>
      <c r="BO20" s="58">
        <f t="shared" si="58"/>
        <v>150550.37811111109</v>
      </c>
      <c r="BP20" s="58">
        <f t="shared" si="58"/>
        <v>161830.74953703705</v>
      </c>
      <c r="BQ20" s="58">
        <f t="shared" si="58"/>
        <v>127130</v>
      </c>
      <c r="BR20" s="58">
        <f>BR17</f>
        <v>138687.6</v>
      </c>
      <c r="BS20" s="58">
        <f t="shared" si="58"/>
        <v>43639.199999999997</v>
      </c>
      <c r="BT20" s="58">
        <f t="shared" si="58"/>
        <v>1422247.7424629631</v>
      </c>
      <c r="BU20" s="60"/>
      <c r="BV20" s="58">
        <f>'META  EM PEÇAS'!S73</f>
        <v>130757.867486095</v>
      </c>
      <c r="BW20" s="58">
        <f>'META  EM PEÇAS'!T73</f>
        <v>125566.83045180296</v>
      </c>
      <c r="BX20" s="58">
        <f>'META  EM PEÇAS'!U73</f>
        <v>160961.53846153844</v>
      </c>
      <c r="BY20" s="58">
        <f>'META  EM PEÇAS'!V73</f>
        <v>128769.23076923078</v>
      </c>
      <c r="BZ20" s="58">
        <f>'META  EM PEÇAS'!W73</f>
        <v>118232.39341785663</v>
      </c>
      <c r="CA20" s="58">
        <f>'META  EM PEÇAS'!X73</f>
        <v>108192.12910096844</v>
      </c>
      <c r="CB20" s="58">
        <f>'META  EM PEÇAS'!Y73</f>
        <v>143736.21444761599</v>
      </c>
      <c r="CC20" s="58">
        <f>'META  EM PEÇAS'!Z73</f>
        <v>170653.87382484006</v>
      </c>
      <c r="CD20" s="58">
        <f>'META  EM PEÇAS'!AA73</f>
        <v>181168.0933115824</v>
      </c>
      <c r="CE20" s="58">
        <f>'META  EM PEÇAS'!AB73</f>
        <v>182469.1164631079</v>
      </c>
      <c r="CF20" s="58">
        <f>'META  EM PEÇAS'!AC73</f>
        <v>133115.84223630186</v>
      </c>
      <c r="CG20" s="58">
        <f>'META  EM PEÇAS'!AD73</f>
        <v>30483.816691710366</v>
      </c>
      <c r="CH20" s="58">
        <f>SUM(BV20:CG20)</f>
        <v>1614106.9466626509</v>
      </c>
      <c r="CI20">
        <f>CH20*26</f>
        <v>41966780.613228925</v>
      </c>
    </row>
    <row r="21" spans="1:87">
      <c r="A21" s="307"/>
      <c r="B21" s="82"/>
      <c r="C21" s="308"/>
      <c r="D21" s="309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310"/>
      <c r="Q21" s="84"/>
      <c r="R21" s="309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311"/>
      <c r="AE21" s="23"/>
      <c r="AF21" s="312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6"/>
      <c r="AS21" s="23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2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54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</row>
    <row r="22" spans="1:87" hidden="1" outlineLevel="1">
      <c r="A22" s="88">
        <v>1</v>
      </c>
      <c r="B22" s="1095" t="s">
        <v>56</v>
      </c>
      <c r="C22" s="1117"/>
      <c r="D22" s="313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314">
        <f t="shared" ref="P22:P34" si="59">SUM(D22:O22)</f>
        <v>0</v>
      </c>
      <c r="Q22" s="90"/>
      <c r="R22" s="313">
        <v>7017.5438596491231</v>
      </c>
      <c r="S22" s="91">
        <v>7017.5438596491231</v>
      </c>
      <c r="T22" s="91">
        <f>7017.54385964912/2</f>
        <v>3508.7719298245602</v>
      </c>
      <c r="U22" s="91">
        <f>96*U3</f>
        <v>96</v>
      </c>
      <c r="V22" s="91">
        <v>3000</v>
      </c>
      <c r="W22" s="91">
        <v>7200</v>
      </c>
      <c r="X22" s="91">
        <v>8500</v>
      </c>
      <c r="Y22" s="91">
        <v>8500</v>
      </c>
      <c r="Z22" s="91">
        <v>8500</v>
      </c>
      <c r="AA22" s="91">
        <v>9000</v>
      </c>
      <c r="AB22" s="91">
        <v>9500</v>
      </c>
      <c r="AC22" s="91">
        <v>8500</v>
      </c>
      <c r="AD22" s="315">
        <f t="shared" ref="AD22:AD36" si="60">SUM(R22:AC22)</f>
        <v>80339.859649122809</v>
      </c>
      <c r="AE22" s="23"/>
      <c r="AF22" s="316">
        <v>8000</v>
      </c>
      <c r="AG22" s="91">
        <v>4000</v>
      </c>
      <c r="AH22" s="91">
        <v>5673</v>
      </c>
      <c r="AI22" s="91">
        <v>4500</v>
      </c>
      <c r="AJ22" s="91">
        <v>7892</v>
      </c>
      <c r="AK22" s="91">
        <v>6400</v>
      </c>
      <c r="AL22" s="91">
        <v>8000</v>
      </c>
      <c r="AM22" s="91">
        <v>8000</v>
      </c>
      <c r="AN22" s="91">
        <v>8000</v>
      </c>
      <c r="AO22" s="91">
        <v>8000</v>
      </c>
      <c r="AP22" s="91">
        <v>8800</v>
      </c>
      <c r="AQ22" s="91">
        <v>6400</v>
      </c>
      <c r="AR22" s="92">
        <f t="shared" ref="AR22:AR40" si="61">SUM(AF22:AQ22)</f>
        <v>83665</v>
      </c>
      <c r="AS22" s="23"/>
      <c r="AT22" s="91">
        <v>4861</v>
      </c>
      <c r="AU22" s="91">
        <v>5809</v>
      </c>
      <c r="AV22" s="91">
        <v>5072</v>
      </c>
      <c r="AW22" s="91">
        <v>4725</v>
      </c>
      <c r="AX22" s="317">
        <v>5832</v>
      </c>
      <c r="AY22" s="317">
        <v>5832</v>
      </c>
      <c r="AZ22" s="317">
        <v>5567</v>
      </c>
      <c r="BA22" s="317">
        <v>5567</v>
      </c>
      <c r="BB22" s="317">
        <v>5832</v>
      </c>
      <c r="BC22" s="317">
        <v>6892</v>
      </c>
      <c r="BD22" s="317">
        <v>7422</v>
      </c>
      <c r="BE22" s="317">
        <v>4241</v>
      </c>
      <c r="BF22" s="91">
        <f t="shared" ref="BF22:BF54" si="62">SUM(AT22:BE22)</f>
        <v>67652</v>
      </c>
      <c r="BG22" s="93">
        <f t="shared" ref="BG22:BG40" si="63">BF22/AR22-1</f>
        <v>-0.19139425088149165</v>
      </c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>
        <v>36051</v>
      </c>
      <c r="BU22" s="54"/>
      <c r="BV22" s="91">
        <v>4782.99</v>
      </c>
      <c r="BW22" s="91">
        <v>2945.31</v>
      </c>
      <c r="BX22" s="91">
        <f>'META  EM PEÇAS'!U26-('META  EM PEÇAS'!U26*0.05)</f>
        <v>7080.3689999999997</v>
      </c>
      <c r="BY22" s="91">
        <f>'META  EM PEÇAS'!V26-('META  EM PEÇAS'!V26*0.05)</f>
        <v>4355.6549999999997</v>
      </c>
      <c r="BZ22" s="91">
        <f>'META  EM PEÇAS'!W26-('META  EM PEÇAS'!W26*0.05)</f>
        <v>5839.9349999999995</v>
      </c>
      <c r="CA22" s="91">
        <f>'META  EM PEÇAS'!X26-('META  EM PEÇAS'!X26*0.05)</f>
        <v>5900.8964999999989</v>
      </c>
      <c r="CB22" s="91">
        <f>'META  EM PEÇAS'!Y26-('META  EM PEÇAS'!Y26*0.05)</f>
        <v>5279.7959999999994</v>
      </c>
      <c r="CC22" s="91">
        <f>'META  EM PEÇAS'!Z26-('META  EM PEÇAS'!Z26*0.05)</f>
        <v>4897.2404999999999</v>
      </c>
      <c r="CD22" s="91">
        <f>'META  EM PEÇAS'!AA26-('META  EM PEÇAS'!AA26*0.05)</f>
        <v>5018.28</v>
      </c>
      <c r="CE22" s="91">
        <f>'META  EM PEÇAS'!AB26-('META  EM PEÇAS'!AB26*0.05)</f>
        <v>4641.0254999999997</v>
      </c>
      <c r="CF22" s="91">
        <f>'META  EM PEÇAS'!AC26-('META  EM PEÇAS'!AC26*0.05)</f>
        <v>6521.1134999999995</v>
      </c>
      <c r="CG22" s="91">
        <f>'META  EM PEÇAS'!AD26-('META  EM PEÇAS'!AD26*0.05)</f>
        <v>3929.8079999999995</v>
      </c>
      <c r="CH22" s="91">
        <v>4136.6400000000003</v>
      </c>
    </row>
    <row r="23" spans="1:87" hidden="1" outlineLevel="1">
      <c r="A23" s="94">
        <v>2</v>
      </c>
      <c r="B23" s="1092" t="s">
        <v>57</v>
      </c>
      <c r="C23" s="1118"/>
      <c r="D23" s="313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314">
        <f t="shared" si="59"/>
        <v>0</v>
      </c>
      <c r="Q23" s="90"/>
      <c r="R23" s="313">
        <v>2909</v>
      </c>
      <c r="S23" s="91">
        <v>2545</v>
      </c>
      <c r="T23" s="91">
        <f>2727/1.2</f>
        <v>2272.5</v>
      </c>
      <c r="U23" s="91">
        <f>2*U3</f>
        <v>2</v>
      </c>
      <c r="V23" s="91">
        <v>500</v>
      </c>
      <c r="W23" s="91">
        <v>1300</v>
      </c>
      <c r="X23" s="91">
        <v>3200</v>
      </c>
      <c r="Y23" s="91">
        <v>3200</v>
      </c>
      <c r="Z23" s="91">
        <v>3600</v>
      </c>
      <c r="AA23" s="91">
        <v>3600</v>
      </c>
      <c r="AB23" s="91">
        <v>3600</v>
      </c>
      <c r="AC23" s="91">
        <v>4500</v>
      </c>
      <c r="AD23" s="315">
        <f t="shared" si="60"/>
        <v>31228.5</v>
      </c>
      <c r="AE23" s="23"/>
      <c r="AF23" s="316">
        <v>4000</v>
      </c>
      <c r="AG23" s="91">
        <v>1500</v>
      </c>
      <c r="AH23" s="91">
        <v>189</v>
      </c>
      <c r="AI23" s="91">
        <v>1842</v>
      </c>
      <c r="AJ23" s="91">
        <v>3764</v>
      </c>
      <c r="AK23" s="91">
        <v>3200</v>
      </c>
      <c r="AL23" s="91">
        <v>6000</v>
      </c>
      <c r="AM23" s="91">
        <v>5000</v>
      </c>
      <c r="AN23" s="91">
        <v>5000</v>
      </c>
      <c r="AO23" s="91">
        <v>5000</v>
      </c>
      <c r="AP23" s="91">
        <v>5000</v>
      </c>
      <c r="AQ23" s="91">
        <v>9000</v>
      </c>
      <c r="AR23" s="92">
        <f t="shared" si="61"/>
        <v>49495</v>
      </c>
      <c r="AS23" s="23"/>
      <c r="AT23" s="91">
        <v>5468</v>
      </c>
      <c r="AU23" s="91">
        <v>5468</v>
      </c>
      <c r="AV23" s="91">
        <v>6249</v>
      </c>
      <c r="AW23" s="91">
        <v>6249</v>
      </c>
      <c r="AX23" s="317">
        <v>3923</v>
      </c>
      <c r="AY23" s="317">
        <v>3923</v>
      </c>
      <c r="AZ23" s="317">
        <v>3745</v>
      </c>
      <c r="BA23" s="317">
        <v>3745</v>
      </c>
      <c r="BB23" s="317">
        <v>3923</v>
      </c>
      <c r="BC23" s="317">
        <v>4636</v>
      </c>
      <c r="BD23" s="317">
        <v>4993</v>
      </c>
      <c r="BE23" s="317">
        <v>7133</v>
      </c>
      <c r="BF23" s="91">
        <f t="shared" si="62"/>
        <v>59455</v>
      </c>
      <c r="BG23" s="93">
        <f t="shared" si="63"/>
        <v>0.20123244772199222</v>
      </c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>
        <v>40562</v>
      </c>
      <c r="BU23" s="54"/>
      <c r="BV23" s="91">
        <v>4442.6099999999997</v>
      </c>
      <c r="BW23" s="91">
        <v>3433.56</v>
      </c>
      <c r="BX23" s="91">
        <f>'META  EM PEÇAS'!U27-('META  EM PEÇAS'!U27*0.05)</f>
        <v>3860.0114999999996</v>
      </c>
      <c r="BY23" s="91">
        <f>'META  EM PEÇAS'!V27-('META  EM PEÇAS'!V27*0.05)</f>
        <v>3578.1749999999997</v>
      </c>
      <c r="BZ23" s="91">
        <f>'META  EM PEÇAS'!W27-('META  EM PEÇAS'!W27*0.05)</f>
        <v>4015.5074999999997</v>
      </c>
      <c r="CA23" s="91">
        <f>'META  EM PEÇAS'!X27-('META  EM PEÇAS'!X27*0.05)</f>
        <v>4835.3954999999996</v>
      </c>
      <c r="CB23" s="91">
        <f>'META  EM PEÇAS'!Y27-('META  EM PEÇAS'!Y27*0.05)</f>
        <v>5815.1969999999992</v>
      </c>
      <c r="CC23" s="91">
        <f>'META  EM PEÇAS'!Z27-('META  EM PEÇAS'!Z27*0.05)</f>
        <v>3888.2835</v>
      </c>
      <c r="CD23" s="91">
        <f>'META  EM PEÇAS'!AA27-('META  EM PEÇAS'!AA27*0.05)</f>
        <v>4032.2939999999994</v>
      </c>
      <c r="CE23" s="91">
        <f>'META  EM PEÇAS'!AB27-('META  EM PEÇAS'!AB27*0.05)</f>
        <v>4375.0919999999996</v>
      </c>
      <c r="CF23" s="91">
        <f>'META  EM PEÇAS'!AC27-('META  EM PEÇAS'!AC27*0.05)</f>
        <v>5604.9239999999991</v>
      </c>
      <c r="CG23" s="91">
        <f>'META  EM PEÇAS'!AD27-('META  EM PEÇAS'!AD27*0.05)</f>
        <v>7897.606499999999</v>
      </c>
      <c r="CH23" s="91">
        <f>SUM(BV23:CG23)</f>
        <v>55778.656499999997</v>
      </c>
    </row>
    <row r="24" spans="1:87" hidden="1" outlineLevel="1">
      <c r="A24" s="94">
        <v>3</v>
      </c>
      <c r="B24" s="1092" t="s">
        <v>58</v>
      </c>
      <c r="C24" s="1118"/>
      <c r="D24" s="313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314">
        <f t="shared" si="59"/>
        <v>0</v>
      </c>
      <c r="Q24" s="90"/>
      <c r="R24" s="313">
        <v>746</v>
      </c>
      <c r="S24" s="91">
        <v>653</v>
      </c>
      <c r="T24" s="91">
        <v>700</v>
      </c>
      <c r="U24" s="91">
        <v>0</v>
      </c>
      <c r="V24" s="91">
        <v>200</v>
      </c>
      <c r="W24" s="91">
        <v>400</v>
      </c>
      <c r="X24" s="91">
        <v>900</v>
      </c>
      <c r="Y24" s="91">
        <v>900</v>
      </c>
      <c r="Z24" s="91">
        <v>900</v>
      </c>
      <c r="AA24" s="91">
        <v>900</v>
      </c>
      <c r="AB24" s="91">
        <v>900</v>
      </c>
      <c r="AC24" s="91">
        <v>1200</v>
      </c>
      <c r="AD24" s="315">
        <f t="shared" si="60"/>
        <v>8399</v>
      </c>
      <c r="AE24" s="23"/>
      <c r="AF24" s="316">
        <v>1800</v>
      </c>
      <c r="AG24" s="91">
        <v>1200</v>
      </c>
      <c r="AH24" s="91">
        <v>230</v>
      </c>
      <c r="AI24" s="91">
        <v>472</v>
      </c>
      <c r="AJ24" s="91">
        <v>1495</v>
      </c>
      <c r="AK24" s="91">
        <v>1200</v>
      </c>
      <c r="AL24" s="91">
        <v>1500</v>
      </c>
      <c r="AM24" s="91">
        <v>1500</v>
      </c>
      <c r="AN24" s="91">
        <v>1500</v>
      </c>
      <c r="AO24" s="91">
        <v>1500</v>
      </c>
      <c r="AP24" s="91">
        <v>1650</v>
      </c>
      <c r="AQ24" s="91">
        <v>2400</v>
      </c>
      <c r="AR24" s="92">
        <f t="shared" si="61"/>
        <v>16447</v>
      </c>
      <c r="AS24" s="23"/>
      <c r="AT24" s="91">
        <v>2438</v>
      </c>
      <c r="AU24" s="91">
        <v>1501</v>
      </c>
      <c r="AV24" s="91">
        <v>1566</v>
      </c>
      <c r="AW24" s="91">
        <v>2127</v>
      </c>
      <c r="AX24" s="317">
        <v>1928</v>
      </c>
      <c r="AY24" s="317">
        <v>1928</v>
      </c>
      <c r="AZ24" s="317">
        <v>1840</v>
      </c>
      <c r="BA24" s="317">
        <v>1840</v>
      </c>
      <c r="BB24" s="317">
        <v>1928</v>
      </c>
      <c r="BC24" s="317">
        <v>2278</v>
      </c>
      <c r="BD24" s="317">
        <v>2454</v>
      </c>
      <c r="BE24" s="317">
        <v>3505</v>
      </c>
      <c r="BF24" s="91">
        <f t="shared" si="62"/>
        <v>25333</v>
      </c>
      <c r="BG24" s="93">
        <f t="shared" si="63"/>
        <v>0.54028090229221126</v>
      </c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>
        <v>7784</v>
      </c>
      <c r="BU24" s="54"/>
      <c r="BV24" s="91">
        <v>450.99999999999989</v>
      </c>
      <c r="BW24" s="91">
        <v>348.59999999999991</v>
      </c>
      <c r="BX24" s="91">
        <f>'META  EM PEÇAS'!U28-('META  EM PEÇAS'!U28*0.05)</f>
        <v>391.96999999999991</v>
      </c>
      <c r="BY24" s="91">
        <f>'META  EM PEÇAS'!V28-('META  EM PEÇAS'!V28*0.05)</f>
        <v>363.27999999999992</v>
      </c>
      <c r="BZ24" s="91">
        <f>'META  EM PEÇAS'!W28-('META  EM PEÇAS'!W28*0.05)</f>
        <v>407.5499999999999</v>
      </c>
      <c r="CA24" s="91">
        <f>'META  EM PEÇAS'!X28-('META  EM PEÇAS'!X28*0.05)</f>
        <v>490.76999999999992</v>
      </c>
      <c r="CB24" s="91">
        <f>'META  EM PEÇAS'!Y28-('META  EM PEÇAS'!Y28*0.05)</f>
        <v>590.32999999999993</v>
      </c>
      <c r="CC24" s="91">
        <f>'META  EM PEÇAS'!Z28-('META  EM PEÇAS'!Z28*0.05)</f>
        <v>394.62999999999994</v>
      </c>
      <c r="CD24" s="91">
        <f>'META  EM PEÇAS'!AA28-('META  EM PEÇAS'!AA28*0.05)</f>
        <v>409.25999999999988</v>
      </c>
      <c r="CE24" s="91">
        <f>'META  EM PEÇAS'!AB28-('META  EM PEÇAS'!AB28*0.05)</f>
        <v>444.21999999999991</v>
      </c>
      <c r="CF24" s="91">
        <f>'META  EM PEÇAS'!AC28-('META  EM PEÇAS'!AC28*0.05)</f>
        <v>569.04999999999984</v>
      </c>
      <c r="CG24" s="91">
        <f>'META  EM PEÇAS'!AD28-('META  EM PEÇAS'!AD28*0.05)</f>
        <v>801.79999999999973</v>
      </c>
      <c r="CH24" s="91">
        <f t="shared" ref="CH24:CH37" si="64">SUM(BV24:CG24)</f>
        <v>5662.4599999999991</v>
      </c>
    </row>
    <row r="25" spans="1:87" hidden="1" outlineLevel="1">
      <c r="A25" s="94">
        <v>4</v>
      </c>
      <c r="B25" s="1092" t="s">
        <v>59</v>
      </c>
      <c r="C25" s="1118"/>
      <c r="D25" s="313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314">
        <f t="shared" si="59"/>
        <v>0</v>
      </c>
      <c r="Q25" s="90"/>
      <c r="R25" s="313">
        <v>1455</v>
      </c>
      <c r="S25" s="91">
        <f>2036</f>
        <v>2036</v>
      </c>
      <c r="T25" s="91">
        <f>2182/2</f>
        <v>1091</v>
      </c>
      <c r="U25" s="91">
        <v>0</v>
      </c>
      <c r="V25" s="91">
        <v>200</v>
      </c>
      <c r="W25" s="91">
        <v>900</v>
      </c>
      <c r="X25" s="91">
        <v>1600</v>
      </c>
      <c r="Y25" s="91">
        <v>1600</v>
      </c>
      <c r="Z25" s="91">
        <v>1600</v>
      </c>
      <c r="AA25" s="91">
        <v>1600</v>
      </c>
      <c r="AB25" s="91">
        <v>2200</v>
      </c>
      <c r="AC25" s="91">
        <v>2500</v>
      </c>
      <c r="AD25" s="315">
        <f t="shared" si="60"/>
        <v>16782</v>
      </c>
      <c r="AE25" s="23"/>
      <c r="AF25" s="316">
        <v>2200</v>
      </c>
      <c r="AG25" s="91">
        <v>1500</v>
      </c>
      <c r="AH25" s="91">
        <v>121</v>
      </c>
      <c r="AI25" s="91">
        <v>565</v>
      </c>
      <c r="AJ25" s="91">
        <v>1514</v>
      </c>
      <c r="AK25" s="91">
        <v>1760</v>
      </c>
      <c r="AL25" s="91">
        <v>1800</v>
      </c>
      <c r="AM25" s="91">
        <v>2200</v>
      </c>
      <c r="AN25" s="91">
        <v>2200</v>
      </c>
      <c r="AO25" s="91">
        <v>2200</v>
      </c>
      <c r="AP25" s="91">
        <v>2420</v>
      </c>
      <c r="AQ25" s="91">
        <v>3520</v>
      </c>
      <c r="AR25" s="92">
        <f t="shared" si="61"/>
        <v>22000</v>
      </c>
      <c r="AS25" s="23"/>
      <c r="AT25" s="91">
        <v>1529</v>
      </c>
      <c r="AU25" s="91">
        <v>1516</v>
      </c>
      <c r="AV25" s="91">
        <v>1586</v>
      </c>
      <c r="AW25" s="91">
        <v>1979</v>
      </c>
      <c r="AX25" s="317">
        <v>1283</v>
      </c>
      <c r="AY25" s="317">
        <v>1283</v>
      </c>
      <c r="AZ25" s="317">
        <v>1224</v>
      </c>
      <c r="BA25" s="317">
        <v>1224</v>
      </c>
      <c r="BB25" s="317">
        <v>1283</v>
      </c>
      <c r="BC25" s="317">
        <v>1516</v>
      </c>
      <c r="BD25" s="317">
        <v>1632</v>
      </c>
      <c r="BE25" s="317">
        <v>2332</v>
      </c>
      <c r="BF25" s="91">
        <f t="shared" si="62"/>
        <v>18387</v>
      </c>
      <c r="BG25" s="93">
        <f t="shared" si="63"/>
        <v>-0.16422727272727278</v>
      </c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>
        <v>9018</v>
      </c>
      <c r="BU25" s="54"/>
      <c r="BV25" s="91">
        <v>1143.8999999999999</v>
      </c>
      <c r="BW25" s="91">
        <v>884.43</v>
      </c>
      <c r="BX25" s="91">
        <f>'META  EM PEÇAS'!U29-('META  EM PEÇAS'!U29*0.05)</f>
        <v>993.9375</v>
      </c>
      <c r="BY25" s="91">
        <f>'META  EM PEÇAS'!V29-('META  EM PEÇAS'!V29*0.05)</f>
        <v>921.49049999999988</v>
      </c>
      <c r="BZ25" s="91">
        <f>'META  EM PEÇAS'!W29-('META  EM PEÇAS'!W29*0.05)</f>
        <v>1033.6949999999999</v>
      </c>
      <c r="CA25" s="91">
        <f>'META  EM PEÇAS'!X29-('META  EM PEÇAS'!X29*0.05)</f>
        <v>1244.8515</v>
      </c>
      <c r="CB25" s="91">
        <f>'META  EM PEÇAS'!Y29-('META  EM PEÇAS'!Y29*0.05)</f>
        <v>1497.5324999999998</v>
      </c>
      <c r="CC25" s="91">
        <f>'META  EM PEÇAS'!Z29-('META  EM PEÇAS'!Z29*0.05)</f>
        <v>1001.0054999999999</v>
      </c>
      <c r="CD25" s="91">
        <f>'META  EM PEÇAS'!AA29-('META  EM PEÇAS'!AA29*0.05)</f>
        <v>1038.1125</v>
      </c>
      <c r="CE25" s="91">
        <f>'META  EM PEÇAS'!AB29-('META  EM PEÇAS'!AB29*0.05)</f>
        <v>1126.4625000000001</v>
      </c>
      <c r="CF25" s="91">
        <f>'META  EM PEÇAS'!AC29-('META  EM PEÇAS'!AC29*0.05)</f>
        <v>1443.6389999999999</v>
      </c>
      <c r="CG25" s="91">
        <f>'META  EM PEÇAS'!AD29-('META  EM PEÇAS'!AD29*0.05)</f>
        <v>2033.8169999999998</v>
      </c>
      <c r="CH25" s="91">
        <f t="shared" si="64"/>
        <v>14362.873499999996</v>
      </c>
    </row>
    <row r="26" spans="1:87" hidden="1" outlineLevel="1">
      <c r="A26" s="94">
        <v>5</v>
      </c>
      <c r="B26" s="1092" t="s">
        <v>60</v>
      </c>
      <c r="C26" s="1118"/>
      <c r="D26" s="313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314">
        <f t="shared" si="59"/>
        <v>0</v>
      </c>
      <c r="Q26" s="90"/>
      <c r="R26" s="313">
        <v>1353</v>
      </c>
      <c r="S26" s="91">
        <v>1184</v>
      </c>
      <c r="T26" s="91">
        <v>1268</v>
      </c>
      <c r="U26" s="91">
        <f t="shared" ref="U26:V26" si="65">10*U3</f>
        <v>10</v>
      </c>
      <c r="V26" s="91">
        <f t="shared" si="65"/>
        <v>120</v>
      </c>
      <c r="W26" s="91">
        <v>600</v>
      </c>
      <c r="X26" s="91">
        <v>1600</v>
      </c>
      <c r="Y26" s="91">
        <v>1600</v>
      </c>
      <c r="Z26" s="91">
        <v>1600</v>
      </c>
      <c r="AA26" s="91">
        <v>1600</v>
      </c>
      <c r="AB26" s="91">
        <v>1600</v>
      </c>
      <c r="AC26" s="91">
        <v>2200</v>
      </c>
      <c r="AD26" s="315">
        <f t="shared" si="60"/>
        <v>14735</v>
      </c>
      <c r="AE26" s="23"/>
      <c r="AF26" s="316">
        <v>1800</v>
      </c>
      <c r="AG26" s="91">
        <v>1200</v>
      </c>
      <c r="AH26" s="91">
        <v>181</v>
      </c>
      <c r="AI26" s="91">
        <v>628</v>
      </c>
      <c r="AJ26" s="91">
        <v>1169</v>
      </c>
      <c r="AK26" s="91">
        <v>960</v>
      </c>
      <c r="AL26" s="91">
        <v>1500</v>
      </c>
      <c r="AM26" s="91">
        <v>1200</v>
      </c>
      <c r="AN26" s="91">
        <v>1200</v>
      </c>
      <c r="AO26" s="91">
        <v>1200</v>
      </c>
      <c r="AP26" s="91">
        <v>1320</v>
      </c>
      <c r="AQ26" s="91">
        <v>1920</v>
      </c>
      <c r="AR26" s="92">
        <f t="shared" si="61"/>
        <v>14278</v>
      </c>
      <c r="AS26" s="23"/>
      <c r="AT26" s="91">
        <v>1496</v>
      </c>
      <c r="AU26" s="91">
        <v>1200</v>
      </c>
      <c r="AV26" s="91">
        <v>1227</v>
      </c>
      <c r="AW26" s="91">
        <v>1655</v>
      </c>
      <c r="AX26" s="317">
        <v>1141</v>
      </c>
      <c r="AY26" s="317">
        <v>1141</v>
      </c>
      <c r="AZ26" s="317">
        <v>1089</v>
      </c>
      <c r="BA26" s="317">
        <v>1089</v>
      </c>
      <c r="BB26" s="317">
        <v>1141</v>
      </c>
      <c r="BC26" s="317">
        <v>1349</v>
      </c>
      <c r="BD26" s="317">
        <v>1453</v>
      </c>
      <c r="BE26" s="317">
        <v>2075</v>
      </c>
      <c r="BF26" s="91">
        <f t="shared" si="62"/>
        <v>16056</v>
      </c>
      <c r="BG26" s="93">
        <f t="shared" si="63"/>
        <v>0.1245272447121446</v>
      </c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>
        <v>10591</v>
      </c>
      <c r="BU26" s="54"/>
      <c r="BV26" s="91">
        <v>1474.9799999999998</v>
      </c>
      <c r="BW26" s="91">
        <v>1140.1799999999998</v>
      </c>
      <c r="BX26" s="91">
        <f>'META  EM PEÇAS'!U30-('META  EM PEÇAS'!U30*0.05)</f>
        <v>1281.9584999999997</v>
      </c>
      <c r="BY26" s="91">
        <f>'META  EM PEÇAS'!V30-('META  EM PEÇAS'!V30*0.05)</f>
        <v>1188.3074999999999</v>
      </c>
      <c r="BZ26" s="91">
        <f>'META  EM PEÇAS'!W30-('META  EM PEÇAS'!W30*0.05)</f>
        <v>1333.2014999999999</v>
      </c>
      <c r="CA26" s="91">
        <f>'META  EM PEÇAS'!X30-('META  EM PEÇAS'!X30*0.05)</f>
        <v>1606.2029999999997</v>
      </c>
      <c r="CB26" s="91">
        <f>'META  EM PEÇAS'!Y30-('META  EM PEÇAS'!Y30*0.05)</f>
        <v>1931.3309999999997</v>
      </c>
      <c r="CC26" s="91">
        <f>'META  EM PEÇAS'!Z30-('META  EM PEÇAS'!Z30*0.05)</f>
        <v>1291.6769999999999</v>
      </c>
      <c r="CD26" s="91">
        <f>'META  EM PEÇAS'!AA30-('META  EM PEÇAS'!AA30*0.05)</f>
        <v>1339.386</v>
      </c>
      <c r="CE26" s="91">
        <f>'META  EM PEÇAS'!AB30-('META  EM PEÇAS'!AB30*0.05)</f>
        <v>1453.3574999999998</v>
      </c>
      <c r="CF26" s="91">
        <f>'META  EM PEÇAS'!AC30-('META  EM PEÇAS'!AC30*0.05)</f>
        <v>1861.5344999999998</v>
      </c>
      <c r="CG26" s="91">
        <f>'META  EM PEÇAS'!AD30-('META  EM PEÇAS'!AD30*0.05)</f>
        <v>2623.1114999999995</v>
      </c>
      <c r="CH26" s="91">
        <f t="shared" si="64"/>
        <v>18525.227999999999</v>
      </c>
      <c r="CI26" s="450"/>
    </row>
    <row r="27" spans="1:87" hidden="1" outlineLevel="1">
      <c r="A27" s="94">
        <v>6</v>
      </c>
      <c r="B27" s="1092" t="s">
        <v>61</v>
      </c>
      <c r="C27" s="1118"/>
      <c r="D27" s="313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314">
        <f t="shared" si="59"/>
        <v>0</v>
      </c>
      <c r="Q27" s="90"/>
      <c r="R27" s="313">
        <v>1455</v>
      </c>
      <c r="S27" s="91">
        <v>1273</v>
      </c>
      <c r="T27" s="91">
        <v>1364</v>
      </c>
      <c r="U27" s="91">
        <v>0</v>
      </c>
      <c r="V27" s="91">
        <v>200</v>
      </c>
      <c r="W27" s="91">
        <v>800</v>
      </c>
      <c r="X27" s="91">
        <v>1600</v>
      </c>
      <c r="Y27" s="91">
        <v>1600</v>
      </c>
      <c r="Z27" s="91">
        <v>1600</v>
      </c>
      <c r="AA27" s="91">
        <v>1600</v>
      </c>
      <c r="AB27" s="91">
        <v>1800</v>
      </c>
      <c r="AC27" s="91">
        <v>2400</v>
      </c>
      <c r="AD27" s="315">
        <f t="shared" si="60"/>
        <v>15692</v>
      </c>
      <c r="AE27" s="23"/>
      <c r="AF27" s="316">
        <v>1500</v>
      </c>
      <c r="AG27" s="91">
        <v>1200</v>
      </c>
      <c r="AH27" s="91">
        <v>127</v>
      </c>
      <c r="AI27" s="91">
        <v>426</v>
      </c>
      <c r="AJ27" s="91">
        <v>1063</v>
      </c>
      <c r="AK27" s="91">
        <v>960</v>
      </c>
      <c r="AL27" s="91">
        <v>1500</v>
      </c>
      <c r="AM27" s="91">
        <v>1200</v>
      </c>
      <c r="AN27" s="91">
        <v>1200</v>
      </c>
      <c r="AO27" s="91">
        <v>1200</v>
      </c>
      <c r="AP27" s="91">
        <v>1320</v>
      </c>
      <c r="AQ27" s="91">
        <v>1920</v>
      </c>
      <c r="AR27" s="92">
        <f t="shared" si="61"/>
        <v>13616</v>
      </c>
      <c r="AS27" s="23"/>
      <c r="AT27" s="91">
        <v>1222</v>
      </c>
      <c r="AU27" s="91">
        <v>1200</v>
      </c>
      <c r="AV27" s="91">
        <v>1117</v>
      </c>
      <c r="AW27" s="91">
        <v>1463</v>
      </c>
      <c r="AX27" s="317">
        <v>1087</v>
      </c>
      <c r="AY27" s="317">
        <v>1087</v>
      </c>
      <c r="AZ27" s="317">
        <v>1038</v>
      </c>
      <c r="BA27" s="317">
        <v>1038</v>
      </c>
      <c r="BB27" s="317">
        <v>1087</v>
      </c>
      <c r="BC27" s="317">
        <v>1285</v>
      </c>
      <c r="BD27" s="317">
        <v>1384</v>
      </c>
      <c r="BE27" s="317">
        <v>1977</v>
      </c>
      <c r="BF27" s="91">
        <f t="shared" si="62"/>
        <v>14985</v>
      </c>
      <c r="BG27" s="93">
        <f t="shared" si="63"/>
        <v>0.10054347826086962</v>
      </c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>
        <v>10087</v>
      </c>
      <c r="BU27" s="54"/>
      <c r="BV27" s="91">
        <v>1214.58</v>
      </c>
      <c r="BW27" s="91">
        <v>939.3</v>
      </c>
      <c r="BX27" s="91">
        <f>'META  EM PEÇAS'!U31-('META  EM PEÇAS'!U31*0.05)</f>
        <v>1055.7824999999998</v>
      </c>
      <c r="BY27" s="91">
        <f>'META  EM PEÇAS'!V31-('META  EM PEÇAS'!V31*0.05)</f>
        <v>978.03449999999998</v>
      </c>
      <c r="BZ27" s="91">
        <f>'META  EM PEÇAS'!W31-('META  EM PEÇAS'!W31*0.05)</f>
        <v>1098.1904999999999</v>
      </c>
      <c r="CA27" s="91">
        <f>'META  EM PEÇAS'!X31-('META  EM PEÇAS'!X31*0.05)</f>
        <v>1322.5994999999998</v>
      </c>
      <c r="CB27" s="91">
        <f>'META  EM PEÇAS'!Y31-('META  EM PEÇAS'!Y31*0.05)</f>
        <v>1590.3</v>
      </c>
      <c r="CC27" s="91">
        <f>'META  EM PEÇAS'!Z31-('META  EM PEÇAS'!Z31*0.05)</f>
        <v>1062.8505</v>
      </c>
      <c r="CD27" s="91">
        <f>'META  EM PEÇAS'!AA31-('META  EM PEÇAS'!AA31*0.05)</f>
        <v>1102.6079999999999</v>
      </c>
      <c r="CE27" s="91">
        <f>'META  EM PEÇAS'!AB31-('META  EM PEÇAS'!AB31*0.05)</f>
        <v>1196.259</v>
      </c>
      <c r="CF27" s="91">
        <f>'META  EM PEÇAS'!AC31-('META  EM PEÇAS'!AC31*0.05)</f>
        <v>1532.8724999999999</v>
      </c>
      <c r="CG27" s="91">
        <f>'META  EM PEÇAS'!AD31-('META  EM PEÇAS'!AD31*0.05)</f>
        <v>2160.1574999999998</v>
      </c>
      <c r="CH27" s="91">
        <f t="shared" si="64"/>
        <v>15253.534499999998</v>
      </c>
    </row>
    <row r="28" spans="1:87" hidden="1" outlineLevel="1">
      <c r="A28" s="94">
        <v>7</v>
      </c>
      <c r="B28" s="1092" t="s">
        <v>62</v>
      </c>
      <c r="C28" s="1118"/>
      <c r="D28" s="313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314">
        <f t="shared" si="59"/>
        <v>0</v>
      </c>
      <c r="Q28" s="90"/>
      <c r="R28" s="313">
        <v>2000</v>
      </c>
      <c r="S28" s="91">
        <f>2182</f>
        <v>2182</v>
      </c>
      <c r="T28" s="91">
        <f>2455/2</f>
        <v>1227.5</v>
      </c>
      <c r="U28" s="91">
        <f>4*U3</f>
        <v>4</v>
      </c>
      <c r="V28" s="91">
        <v>200</v>
      </c>
      <c r="W28" s="91">
        <v>700</v>
      </c>
      <c r="X28" s="91">
        <v>1600</v>
      </c>
      <c r="Y28" s="91">
        <v>1600</v>
      </c>
      <c r="Z28" s="91">
        <v>1600</v>
      </c>
      <c r="AA28" s="91">
        <v>1600</v>
      </c>
      <c r="AB28" s="91">
        <v>2500</v>
      </c>
      <c r="AC28" s="91">
        <v>3200</v>
      </c>
      <c r="AD28" s="315">
        <f t="shared" si="60"/>
        <v>18413.5</v>
      </c>
      <c r="AE28" s="23"/>
      <c r="AF28" s="316">
        <v>2600</v>
      </c>
      <c r="AG28" s="91">
        <v>1000</v>
      </c>
      <c r="AH28" s="91">
        <v>195</v>
      </c>
      <c r="AI28" s="91">
        <v>844</v>
      </c>
      <c r="AJ28" s="91">
        <v>1973</v>
      </c>
      <c r="AK28" s="91">
        <v>1840</v>
      </c>
      <c r="AL28" s="91">
        <v>2000</v>
      </c>
      <c r="AM28" s="91">
        <v>2300</v>
      </c>
      <c r="AN28" s="91">
        <v>2300</v>
      </c>
      <c r="AO28" s="91">
        <v>2300</v>
      </c>
      <c r="AP28" s="91">
        <v>2530</v>
      </c>
      <c r="AQ28" s="91">
        <v>3680</v>
      </c>
      <c r="AR28" s="92">
        <f t="shared" si="61"/>
        <v>23562</v>
      </c>
      <c r="AS28" s="23"/>
      <c r="AT28" s="91">
        <v>1888</v>
      </c>
      <c r="AU28" s="91">
        <v>1414</v>
      </c>
      <c r="AV28" s="91">
        <v>2073</v>
      </c>
      <c r="AW28" s="91">
        <v>2338</v>
      </c>
      <c r="AX28" s="317">
        <v>1857</v>
      </c>
      <c r="AY28" s="317">
        <v>1857</v>
      </c>
      <c r="AZ28" s="317">
        <v>1772</v>
      </c>
      <c r="BA28" s="317">
        <v>1772</v>
      </c>
      <c r="BB28" s="317">
        <v>1857</v>
      </c>
      <c r="BC28" s="317">
        <v>2194</v>
      </c>
      <c r="BD28" s="317">
        <v>2363</v>
      </c>
      <c r="BE28" s="317">
        <v>3376</v>
      </c>
      <c r="BF28" s="91">
        <f t="shared" si="62"/>
        <v>24761</v>
      </c>
      <c r="BG28" s="93">
        <f t="shared" si="63"/>
        <v>5.0887021475256811E-2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>
        <v>22941</v>
      </c>
      <c r="BU28" s="54"/>
      <c r="BV28" s="91">
        <v>3211.29</v>
      </c>
      <c r="BW28" s="91">
        <v>2482.1699999999996</v>
      </c>
      <c r="BX28" s="91">
        <f>'META  EM PEÇAS'!U32-('META  EM PEÇAS'!U32*0.05)</f>
        <v>2790.0929999999998</v>
      </c>
      <c r="BY28" s="91">
        <f>'META  EM PEÇAS'!V32-('META  EM PEÇAS'!V32*0.05)</f>
        <v>2586.0044999999996</v>
      </c>
      <c r="BZ28" s="91">
        <f>'META  EM PEÇAS'!W32-('META  EM PEÇAS'!W32*0.05)</f>
        <v>2902.2974999999997</v>
      </c>
      <c r="CA28" s="91">
        <f>'META  EM PEÇAS'!X32-('META  EM PEÇAS'!X32*0.05)</f>
        <v>3495.1259999999997</v>
      </c>
      <c r="CB28" s="91">
        <f>'META  EM PEÇAS'!Y32-('META  EM PEÇAS'!Y32*0.05)</f>
        <v>4203.6929999999993</v>
      </c>
      <c r="CC28" s="91">
        <f>'META  EM PEÇAS'!Z32-('META  EM PEÇAS'!Z32*0.05)</f>
        <v>2810.4135000000001</v>
      </c>
      <c r="CD28" s="91">
        <f>'META  EM PEÇAS'!AA32-('META  EM PEÇAS'!AA32*0.05)</f>
        <v>2914.6664999999998</v>
      </c>
      <c r="CE28" s="91">
        <f>'META  EM PEÇAS'!AB32-('META  EM PEÇAS'!AB32*0.05)</f>
        <v>3162.93</v>
      </c>
      <c r="CF28" s="91">
        <f>'META  EM PEÇAS'!AC32-('META  EM PEÇAS'!AC32*0.05)</f>
        <v>4051.7309999999998</v>
      </c>
      <c r="CG28" s="91">
        <f>'META  EM PEÇAS'!AD32-('META  EM PEÇAS'!AD32*0.05)</f>
        <v>5709.1769999999997</v>
      </c>
      <c r="CH28" s="91">
        <f t="shared" si="64"/>
        <v>40319.59199999999</v>
      </c>
    </row>
    <row r="29" spans="1:87" hidden="1" outlineLevel="1">
      <c r="A29" s="94">
        <v>9</v>
      </c>
      <c r="B29" s="1092" t="s">
        <v>63</v>
      </c>
      <c r="C29" s="1118"/>
      <c r="D29" s="313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314">
        <f t="shared" si="59"/>
        <v>0</v>
      </c>
      <c r="Q29" s="90"/>
      <c r="R29" s="313">
        <v>1636</v>
      </c>
      <c r="S29" s="91">
        <v>1636</v>
      </c>
      <c r="T29" s="91">
        <f t="shared" ref="T29:T30" si="66">1818/2</f>
        <v>909</v>
      </c>
      <c r="U29" s="91">
        <v>0</v>
      </c>
      <c r="V29" s="91">
        <v>200</v>
      </c>
      <c r="W29" s="91">
        <v>300</v>
      </c>
      <c r="X29" s="91">
        <v>1000</v>
      </c>
      <c r="Y29" s="91">
        <v>1200</v>
      </c>
      <c r="Z29" s="91">
        <v>1600</v>
      </c>
      <c r="AA29" s="91">
        <v>1600</v>
      </c>
      <c r="AB29" s="91">
        <v>1800</v>
      </c>
      <c r="AC29" s="91">
        <v>2300</v>
      </c>
      <c r="AD29" s="315">
        <f t="shared" si="60"/>
        <v>14181</v>
      </c>
      <c r="AE29" s="23"/>
      <c r="AF29" s="316">
        <v>1500</v>
      </c>
      <c r="AG29" s="91">
        <v>1000</v>
      </c>
      <c r="AH29" s="91">
        <v>126</v>
      </c>
      <c r="AI29" s="91">
        <v>387</v>
      </c>
      <c r="AJ29" s="91">
        <v>895</v>
      </c>
      <c r="AK29" s="91">
        <v>800</v>
      </c>
      <c r="AL29" s="91">
        <v>1500</v>
      </c>
      <c r="AM29" s="91">
        <v>1000</v>
      </c>
      <c r="AN29" s="91">
        <v>1000</v>
      </c>
      <c r="AO29" s="91">
        <v>1000</v>
      </c>
      <c r="AP29" s="91">
        <v>1100</v>
      </c>
      <c r="AQ29" s="91">
        <v>1600</v>
      </c>
      <c r="AR29" s="92">
        <f t="shared" si="61"/>
        <v>11908</v>
      </c>
      <c r="AS29" s="23"/>
      <c r="AT29" s="91">
        <v>1182</v>
      </c>
      <c r="AU29" s="91">
        <v>1200</v>
      </c>
      <c r="AV29" s="91">
        <v>932</v>
      </c>
      <c r="AW29" s="91">
        <v>1020</v>
      </c>
      <c r="AX29" s="317">
        <v>0</v>
      </c>
      <c r="AY29" s="317">
        <v>0</v>
      </c>
      <c r="AZ29" s="317">
        <v>0</v>
      </c>
      <c r="BA29" s="317">
        <v>0</v>
      </c>
      <c r="BB29" s="317">
        <v>0</v>
      </c>
      <c r="BC29" s="317">
        <v>0</v>
      </c>
      <c r="BD29" s="317">
        <v>0</v>
      </c>
      <c r="BE29" s="317">
        <v>0</v>
      </c>
      <c r="BF29" s="91">
        <f t="shared" si="62"/>
        <v>4334</v>
      </c>
      <c r="BG29" s="93">
        <f t="shared" si="63"/>
        <v>-0.63604299630500505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>
        <v>7070</v>
      </c>
      <c r="BU29" s="54"/>
      <c r="BV29" s="91">
        <v>928.14</v>
      </c>
      <c r="BW29" s="91">
        <v>717.95999999999992</v>
      </c>
      <c r="BX29" s="91">
        <f>'META  EM PEÇAS'!U37-('META  EM PEÇAS'!U37*0.05)</f>
        <v>806.63549999999987</v>
      </c>
      <c r="BY29" s="91">
        <f>'META  EM PEÇAS'!V37-('META  EM PEÇAS'!V37*0.05)</f>
        <v>747.44100000000003</v>
      </c>
      <c r="BZ29" s="91">
        <f>'META  EM PEÇAS'!W37-('META  EM PEÇAS'!W37*0.05)</f>
        <v>839.32499999999993</v>
      </c>
      <c r="CA29" s="91">
        <f>'META  EM PEÇAS'!X37-('META  EM PEÇAS'!X37*0.05)</f>
        <v>1010.7239999999998</v>
      </c>
      <c r="CB29" s="91">
        <f>'META  EM PEÇAS'!Y37-('META  EM PEÇAS'!Y37*0.05)</f>
        <v>1214.8125</v>
      </c>
      <c r="CC29" s="91">
        <f>'META  EM PEÇAS'!Z37-('META  EM PEÇAS'!Z37*0.05)</f>
        <v>812.81999999999994</v>
      </c>
      <c r="CD29" s="91">
        <f>'META  EM PEÇAS'!AA37-('META  EM PEÇAS'!AA37*0.05)</f>
        <v>842.85899999999992</v>
      </c>
      <c r="CE29" s="91">
        <f>'META  EM PEÇAS'!AB37-('META  EM PEÇAS'!AB37*0.05)</f>
        <v>914.4224999999999</v>
      </c>
      <c r="CF29" s="91">
        <f>'META  EM PEÇAS'!AC37-('META  EM PEÇAS'!AC37*0.05)</f>
        <v>1171.5209999999997</v>
      </c>
      <c r="CG29" s="91">
        <f>'META  EM PEÇAS'!AD37-('META  EM PEÇAS'!AD37*0.05)</f>
        <v>1650.3779999999997</v>
      </c>
      <c r="CH29" s="91">
        <f t="shared" si="64"/>
        <v>11657.038499999999</v>
      </c>
    </row>
    <row r="30" spans="1:87" hidden="1" outlineLevel="1">
      <c r="A30" s="94">
        <v>10</v>
      </c>
      <c r="B30" s="1092" t="s">
        <v>64</v>
      </c>
      <c r="C30" s="1118"/>
      <c r="D30" s="313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314">
        <f t="shared" si="59"/>
        <v>0</v>
      </c>
      <c r="Q30" s="90"/>
      <c r="R30" s="313">
        <v>1636</v>
      </c>
      <c r="S30" s="91">
        <v>1636</v>
      </c>
      <c r="T30" s="91">
        <f t="shared" si="66"/>
        <v>909</v>
      </c>
      <c r="U30" s="91">
        <f>0.5*U3</f>
        <v>0.5</v>
      </c>
      <c r="V30" s="91">
        <v>200</v>
      </c>
      <c r="W30" s="91">
        <v>300</v>
      </c>
      <c r="X30" s="91">
        <v>1000</v>
      </c>
      <c r="Y30" s="91">
        <v>1200</v>
      </c>
      <c r="Z30" s="91">
        <v>1600</v>
      </c>
      <c r="AA30" s="91">
        <v>1600</v>
      </c>
      <c r="AB30" s="91">
        <v>1800</v>
      </c>
      <c r="AC30" s="91">
        <v>2300</v>
      </c>
      <c r="AD30" s="315">
        <f t="shared" si="60"/>
        <v>14181.5</v>
      </c>
      <c r="AE30" s="23"/>
      <c r="AF30" s="316">
        <v>1500</v>
      </c>
      <c r="AG30" s="91">
        <v>1000</v>
      </c>
      <c r="AH30" s="91">
        <v>764</v>
      </c>
      <c r="AI30" s="91">
        <v>561</v>
      </c>
      <c r="AJ30" s="91">
        <v>1353</v>
      </c>
      <c r="AK30" s="91">
        <v>960</v>
      </c>
      <c r="AL30" s="91">
        <v>1500</v>
      </c>
      <c r="AM30" s="91">
        <v>1200</v>
      </c>
      <c r="AN30" s="91">
        <v>1200</v>
      </c>
      <c r="AO30" s="91">
        <v>1200</v>
      </c>
      <c r="AP30" s="91">
        <v>1320</v>
      </c>
      <c r="AQ30" s="91">
        <v>1920</v>
      </c>
      <c r="AR30" s="92">
        <f t="shared" si="61"/>
        <v>14478</v>
      </c>
      <c r="AS30" s="23"/>
      <c r="AT30" s="91">
        <v>1285</v>
      </c>
      <c r="AU30" s="91">
        <v>957</v>
      </c>
      <c r="AV30" s="91">
        <v>1426</v>
      </c>
      <c r="AW30" s="91">
        <v>1595</v>
      </c>
      <c r="AX30" s="317">
        <v>1767</v>
      </c>
      <c r="AY30" s="317">
        <v>1767</v>
      </c>
      <c r="AZ30" s="317">
        <v>1686</v>
      </c>
      <c r="BA30" s="317">
        <v>1686</v>
      </c>
      <c r="BB30" s="317">
        <v>1767</v>
      </c>
      <c r="BC30" s="317">
        <v>2088</v>
      </c>
      <c r="BD30" s="317">
        <v>2248</v>
      </c>
      <c r="BE30" s="317">
        <v>3212</v>
      </c>
      <c r="BF30" s="91">
        <f t="shared" si="62"/>
        <v>21484</v>
      </c>
      <c r="BG30" s="93">
        <f t="shared" si="63"/>
        <v>0.48390661693604087</v>
      </c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>
        <v>16952</v>
      </c>
      <c r="BU30" s="54"/>
      <c r="BV30" s="91">
        <v>2631.8999999999996</v>
      </c>
      <c r="BW30" s="91">
        <v>2034.84</v>
      </c>
      <c r="BX30" s="91">
        <f>'META  EM PEÇAS'!U33-('META  EM PEÇAS'!U33*0.05)</f>
        <v>2287.3815</v>
      </c>
      <c r="BY30" s="91">
        <f>'META  EM PEÇAS'!V33-('META  EM PEÇAS'!V33*0.05)</f>
        <v>2119.5164999999997</v>
      </c>
      <c r="BZ30" s="91">
        <f>'META  EM PEÇAS'!W33-('META  EM PEÇAS'!W33*0.05)</f>
        <v>2379.2655</v>
      </c>
      <c r="CA30" s="91">
        <f>'META  EM PEÇAS'!X33-('META  EM PEÇAS'!X33*0.05)</f>
        <v>2865.1904999999997</v>
      </c>
      <c r="CB30" s="91">
        <f>'META  EM PEÇAS'!Y33-('META  EM PEÇAS'!Y33*0.05)</f>
        <v>3445.6499999999996</v>
      </c>
      <c r="CC30" s="91">
        <f>'META  EM PEÇAS'!Z33-('META  EM PEÇAS'!Z33*0.05)</f>
        <v>2303.2844999999998</v>
      </c>
      <c r="CD30" s="91">
        <f>'META  EM PEÇAS'!AA33-('META  EM PEÇAS'!AA33*0.05)</f>
        <v>2388.9839999999999</v>
      </c>
      <c r="CE30" s="91">
        <f>'META  EM PEÇAS'!AB33-('META  EM PEÇAS'!AB33*0.05)</f>
        <v>2592.1889999999999</v>
      </c>
      <c r="CF30" s="91">
        <f>'META  EM PEÇAS'!AC33-('META  EM PEÇAS'!AC33*0.05)</f>
        <v>3321.0765000000001</v>
      </c>
      <c r="CG30" s="91">
        <f>'META  EM PEÇAS'!AD33-('META  EM PEÇAS'!AD33*0.05)</f>
        <v>4679.8995000000004</v>
      </c>
      <c r="CH30" s="91">
        <f t="shared" si="64"/>
        <v>33049.177499999998</v>
      </c>
    </row>
    <row r="31" spans="1:87" hidden="1" outlineLevel="1">
      <c r="A31" s="94">
        <v>10</v>
      </c>
      <c r="B31" s="1092" t="s">
        <v>65</v>
      </c>
      <c r="C31" s="1118"/>
      <c r="D31" s="313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314">
        <f t="shared" si="59"/>
        <v>0</v>
      </c>
      <c r="Q31" s="90"/>
      <c r="R31" s="313">
        <v>0</v>
      </c>
      <c r="S31" s="91">
        <v>0</v>
      </c>
      <c r="T31" s="91">
        <v>0</v>
      </c>
      <c r="U31" s="91">
        <v>0</v>
      </c>
      <c r="V31" s="91">
        <v>3500</v>
      </c>
      <c r="W31" s="91">
        <v>350</v>
      </c>
      <c r="X31" s="91">
        <v>800</v>
      </c>
      <c r="Y31" s="91">
        <v>1000</v>
      </c>
      <c r="Z31" s="91">
        <v>1600</v>
      </c>
      <c r="AA31" s="91">
        <v>2000</v>
      </c>
      <c r="AB31" s="91">
        <v>2400</v>
      </c>
      <c r="AC31" s="91">
        <v>3000</v>
      </c>
      <c r="AD31" s="315">
        <f t="shared" si="60"/>
        <v>14650</v>
      </c>
      <c r="AE31" s="23"/>
      <c r="AF31" s="316">
        <v>2500</v>
      </c>
      <c r="AG31" s="91">
        <v>1000</v>
      </c>
      <c r="AH31" s="91">
        <f>2500*0.15</f>
        <v>375</v>
      </c>
      <c r="AI31" s="91">
        <v>787</v>
      </c>
      <c r="AJ31" s="91">
        <v>1569</v>
      </c>
      <c r="AK31" s="91">
        <v>2000</v>
      </c>
      <c r="AL31" s="91">
        <v>2500</v>
      </c>
      <c r="AM31" s="91">
        <v>2500</v>
      </c>
      <c r="AN31" s="91">
        <v>2500</v>
      </c>
      <c r="AO31" s="91">
        <v>2500</v>
      </c>
      <c r="AP31" s="91">
        <v>2750</v>
      </c>
      <c r="AQ31" s="91">
        <v>4000</v>
      </c>
      <c r="AR31" s="92">
        <f t="shared" si="61"/>
        <v>24981</v>
      </c>
      <c r="AS31" s="23"/>
      <c r="AT31" s="91">
        <v>1806</v>
      </c>
      <c r="AU31" s="91">
        <v>2046</v>
      </c>
      <c r="AV31" s="91">
        <v>1646</v>
      </c>
      <c r="AW31" s="91">
        <v>1902</v>
      </c>
      <c r="AX31" s="317">
        <v>1545</v>
      </c>
      <c r="AY31" s="317">
        <v>1545</v>
      </c>
      <c r="AZ31" s="317">
        <v>1475</v>
      </c>
      <c r="BA31" s="317">
        <v>1475</v>
      </c>
      <c r="BB31" s="317">
        <v>1545</v>
      </c>
      <c r="BC31" s="317">
        <v>1826</v>
      </c>
      <c r="BD31" s="317">
        <v>0</v>
      </c>
      <c r="BE31" s="317">
        <v>0</v>
      </c>
      <c r="BF31" s="91">
        <f t="shared" si="62"/>
        <v>16811</v>
      </c>
      <c r="BG31" s="93">
        <f t="shared" si="63"/>
        <v>-0.32704855690324641</v>
      </c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>
        <v>10230</v>
      </c>
      <c r="BU31" s="54"/>
      <c r="BV31" s="91">
        <v>1335.48</v>
      </c>
      <c r="BW31" s="91">
        <v>1032.3</v>
      </c>
      <c r="BX31" s="91">
        <f>'META  EM PEÇAS'!U39-('META  EM PEÇAS'!U39*0.05)</f>
        <v>1160.0355</v>
      </c>
      <c r="BY31" s="91">
        <f>'META  EM PEÇAS'!V39-('META  EM PEÇAS'!V39*0.05)</f>
        <v>1075.2194999999999</v>
      </c>
      <c r="BZ31" s="91">
        <f>'META  EM PEÇAS'!W39-('META  EM PEÇAS'!W39*0.05)</f>
        <v>1206.8609999999999</v>
      </c>
      <c r="CA31" s="91">
        <f>'META  EM PEÇAS'!X39-('META  EM PEÇAS'!X39*0.05)</f>
        <v>1453.3574999999998</v>
      </c>
      <c r="CB31" s="91">
        <f>'META  EM PEÇAS'!Y39-('META  EM PEÇAS'!Y39*0.05)</f>
        <v>1747.5629999999999</v>
      </c>
      <c r="CC31" s="91">
        <f>'META  EM PEÇAS'!Z39-('META  EM PEÇAS'!Z39*0.05)</f>
        <v>1168.8705</v>
      </c>
      <c r="CD31" s="91">
        <f>'META  EM PEÇAS'!AA39-('META  EM PEÇAS'!AA39*0.05)</f>
        <v>1212.1619999999998</v>
      </c>
      <c r="CE31" s="91">
        <f>'META  EM PEÇAS'!AB39-('META  EM PEÇAS'!AB39*0.05)</f>
        <v>1314.6479999999999</v>
      </c>
      <c r="CF31" s="91">
        <f>'META  EM PEÇAS'!AC39-('META  EM PEÇAS'!AC39*0.05)</f>
        <v>1684.8344999999999</v>
      </c>
      <c r="CG31" s="91">
        <f>'META  EM PEÇAS'!AD39-('META  EM PEÇAS'!AD39*0.05)</f>
        <v>2373.9645</v>
      </c>
      <c r="CH31" s="91">
        <f t="shared" si="64"/>
        <v>16765.295999999995</v>
      </c>
    </row>
    <row r="32" spans="1:87" hidden="1" outlineLevel="1">
      <c r="A32" s="94">
        <v>11</v>
      </c>
      <c r="B32" s="210" t="s">
        <v>66</v>
      </c>
      <c r="C32" s="211"/>
      <c r="D32" s="313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314">
        <f t="shared" si="59"/>
        <v>0</v>
      </c>
      <c r="Q32" s="90"/>
      <c r="R32" s="313">
        <v>0</v>
      </c>
      <c r="S32" s="91">
        <v>0</v>
      </c>
      <c r="T32" s="91">
        <v>0</v>
      </c>
      <c r="U32" s="91">
        <v>0</v>
      </c>
      <c r="V32" s="91">
        <v>4000</v>
      </c>
      <c r="W32" s="91">
        <v>100</v>
      </c>
      <c r="X32" s="91">
        <v>800</v>
      </c>
      <c r="Y32" s="91">
        <v>800</v>
      </c>
      <c r="Z32" s="91">
        <v>1200</v>
      </c>
      <c r="AA32" s="91">
        <v>1200</v>
      </c>
      <c r="AB32" s="91">
        <v>1800</v>
      </c>
      <c r="AC32" s="91">
        <v>2300</v>
      </c>
      <c r="AD32" s="315">
        <f t="shared" si="60"/>
        <v>12200</v>
      </c>
      <c r="AE32" s="23"/>
      <c r="AF32" s="316">
        <v>1500</v>
      </c>
      <c r="AG32" s="91">
        <v>1000</v>
      </c>
      <c r="AH32" s="91">
        <f t="shared" ref="AH32:AH33" si="67">1500*0.15</f>
        <v>225</v>
      </c>
      <c r="AI32" s="91">
        <v>324</v>
      </c>
      <c r="AJ32" s="91">
        <v>869</v>
      </c>
      <c r="AK32" s="91">
        <v>800</v>
      </c>
      <c r="AL32" s="91">
        <v>1500</v>
      </c>
      <c r="AM32" s="91">
        <v>1000</v>
      </c>
      <c r="AN32" s="91">
        <v>1000</v>
      </c>
      <c r="AO32" s="91">
        <v>1000</v>
      </c>
      <c r="AP32" s="91">
        <v>1100</v>
      </c>
      <c r="AQ32" s="91">
        <v>1600</v>
      </c>
      <c r="AR32" s="92">
        <f t="shared" si="61"/>
        <v>11918</v>
      </c>
      <c r="AS32" s="23"/>
      <c r="AT32" s="91">
        <v>1191</v>
      </c>
      <c r="AU32" s="91">
        <v>1191</v>
      </c>
      <c r="AV32" s="91">
        <v>1191</v>
      </c>
      <c r="AW32" s="91">
        <v>1191</v>
      </c>
      <c r="AX32" s="317">
        <v>876</v>
      </c>
      <c r="AY32" s="317">
        <v>876</v>
      </c>
      <c r="AZ32" s="317">
        <v>836</v>
      </c>
      <c r="BA32" s="317">
        <v>836</v>
      </c>
      <c r="BB32" s="317">
        <v>876</v>
      </c>
      <c r="BC32" s="317">
        <v>1035</v>
      </c>
      <c r="BD32" s="317">
        <v>0</v>
      </c>
      <c r="BE32" s="317">
        <v>0</v>
      </c>
      <c r="BF32" s="91">
        <f t="shared" si="62"/>
        <v>10099</v>
      </c>
      <c r="BG32" s="93">
        <f t="shared" si="63"/>
        <v>-0.15262627957711028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>
        <v>7342</v>
      </c>
      <c r="BU32" s="54"/>
      <c r="BV32" s="91">
        <v>1643.31</v>
      </c>
      <c r="BW32" s="91">
        <v>1270.3799999999999</v>
      </c>
      <c r="BX32" s="91">
        <f>'META  EM PEÇAS'!U40-('META  EM PEÇAS'!U40*0.05)</f>
        <v>1427.7359999999999</v>
      </c>
      <c r="BY32" s="91">
        <f>'META  EM PEÇAS'!V40-('META  EM PEÇAS'!V40*0.05)</f>
        <v>1323.4829999999999</v>
      </c>
      <c r="BZ32" s="91">
        <f>'META  EM PEÇAS'!W40-('META  EM PEÇAS'!W40*0.05)</f>
        <v>1485.1634999999999</v>
      </c>
      <c r="CA32" s="91">
        <f>'META  EM PEÇAS'!X40-('META  EM PEÇAS'!X40*0.05)</f>
        <v>1788.204</v>
      </c>
      <c r="CB32" s="91">
        <f>'META  EM PEÇAS'!Y40-('META  EM PEÇAS'!Y40*0.05)</f>
        <v>2151.3224999999998</v>
      </c>
      <c r="CC32" s="91">
        <f>'META  EM PEÇAS'!Z40-('META  EM PEÇAS'!Z40*0.05)</f>
        <v>1438.338</v>
      </c>
      <c r="CD32" s="91">
        <f>'META  EM PEÇAS'!AA40-('META  EM PEÇAS'!AA40*0.05)</f>
        <v>1491.348</v>
      </c>
      <c r="CE32" s="91">
        <f>'META  EM PEÇAS'!AB40-('META  EM PEÇAS'!AB40*0.05)</f>
        <v>1618.5719999999999</v>
      </c>
      <c r="CF32" s="91">
        <f>'META  EM PEÇAS'!AC40-('META  EM PEÇAS'!AC40*0.05)</f>
        <v>2073.5745000000002</v>
      </c>
      <c r="CG32" s="91">
        <f>'META  EM PEÇAS'!AD40-('META  EM PEÇAS'!AD40*0.05)</f>
        <v>2921.7344999999996</v>
      </c>
      <c r="CH32" s="91">
        <f t="shared" si="64"/>
        <v>20633.165999999997</v>
      </c>
    </row>
    <row r="33" spans="1:87" hidden="1" outlineLevel="1">
      <c r="A33" s="94">
        <v>12</v>
      </c>
      <c r="B33" s="210" t="s">
        <v>67</v>
      </c>
      <c r="C33" s="211"/>
      <c r="D33" s="313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314">
        <f t="shared" si="59"/>
        <v>0</v>
      </c>
      <c r="Q33" s="90"/>
      <c r="R33" s="313">
        <v>0</v>
      </c>
      <c r="S33" s="91">
        <v>0</v>
      </c>
      <c r="T33" s="91">
        <v>0</v>
      </c>
      <c r="U33" s="91">
        <v>0</v>
      </c>
      <c r="V33" s="91">
        <v>4000</v>
      </c>
      <c r="W33" s="91">
        <v>0</v>
      </c>
      <c r="X33" s="91">
        <v>800</v>
      </c>
      <c r="Y33" s="91">
        <v>1000</v>
      </c>
      <c r="Z33" s="91">
        <v>1200</v>
      </c>
      <c r="AA33" s="91">
        <v>1200</v>
      </c>
      <c r="AB33" s="91">
        <v>1800</v>
      </c>
      <c r="AC33" s="91">
        <v>2300</v>
      </c>
      <c r="AD33" s="315">
        <f t="shared" si="60"/>
        <v>12300</v>
      </c>
      <c r="AE33" s="23"/>
      <c r="AF33" s="316">
        <v>1500</v>
      </c>
      <c r="AG33" s="91">
        <v>1200</v>
      </c>
      <c r="AH33" s="91">
        <f t="shared" si="67"/>
        <v>225</v>
      </c>
      <c r="AI33" s="91">
        <v>332</v>
      </c>
      <c r="AJ33" s="91">
        <v>945</v>
      </c>
      <c r="AK33" s="91">
        <v>960</v>
      </c>
      <c r="AL33" s="91">
        <v>1500</v>
      </c>
      <c r="AM33" s="91">
        <v>1200</v>
      </c>
      <c r="AN33" s="91">
        <v>1200</v>
      </c>
      <c r="AO33" s="91">
        <v>1200</v>
      </c>
      <c r="AP33" s="91">
        <v>1320</v>
      </c>
      <c r="AQ33" s="91">
        <v>1920</v>
      </c>
      <c r="AR33" s="92">
        <f t="shared" si="61"/>
        <v>13502</v>
      </c>
      <c r="AS33" s="23"/>
      <c r="AT33" s="91">
        <v>1254</v>
      </c>
      <c r="AU33" s="91">
        <v>1254</v>
      </c>
      <c r="AV33" s="91">
        <v>1254</v>
      </c>
      <c r="AW33" s="91">
        <v>1254</v>
      </c>
      <c r="AX33" s="317">
        <v>1236</v>
      </c>
      <c r="AY33" s="317">
        <v>1236</v>
      </c>
      <c r="AZ33" s="317">
        <v>0</v>
      </c>
      <c r="BA33" s="317">
        <v>0</v>
      </c>
      <c r="BB33" s="317">
        <v>0</v>
      </c>
      <c r="BC33" s="317">
        <v>0</v>
      </c>
      <c r="BD33" s="317">
        <v>0</v>
      </c>
      <c r="BE33" s="317">
        <v>0</v>
      </c>
      <c r="BF33" s="91">
        <f t="shared" si="62"/>
        <v>7488</v>
      </c>
      <c r="BG33" s="93">
        <f t="shared" si="63"/>
        <v>-0.44541549400088876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>
        <v>16899</v>
      </c>
      <c r="BU33" s="54"/>
      <c r="BV33" s="91">
        <v>2552.85</v>
      </c>
      <c r="BW33" s="91">
        <v>1973.4599999999998</v>
      </c>
      <c r="BX33" s="91">
        <f>'META  EM PEÇAS'!U34-('META  EM PEÇAS'!U34*0.05)</f>
        <v>2218.4684999999999</v>
      </c>
      <c r="BY33" s="91">
        <f>'META  EM PEÇAS'!V34-('META  EM PEÇAS'!V34*0.05)</f>
        <v>2056.788</v>
      </c>
      <c r="BZ33" s="91">
        <f>'META  EM PEÇAS'!W34-('META  EM PEÇAS'!W34*0.05)</f>
        <v>2307.7019999999998</v>
      </c>
      <c r="CA33" s="91">
        <f>'META  EM PEÇAS'!X34-('META  EM PEÇAS'!X34*0.05)</f>
        <v>2778.6075000000001</v>
      </c>
      <c r="CB33" s="91">
        <f>'META  EM PEÇAS'!Y34-('META  EM PEÇAS'!Y34*0.05)</f>
        <v>3342.2804999999998</v>
      </c>
      <c r="CC33" s="91">
        <f>'META  EM PEÇAS'!Z34-('META  EM PEÇAS'!Z34*0.05)</f>
        <v>2234.3714999999997</v>
      </c>
      <c r="CD33" s="91">
        <f>'META  EM PEÇAS'!AA34-('META  EM PEÇAS'!AA34*0.05)</f>
        <v>2317.4204999999997</v>
      </c>
      <c r="CE33" s="91">
        <f>'META  EM PEÇAS'!AB34-('META  EM PEÇAS'!AB34*0.05)</f>
        <v>2514.4409999999998</v>
      </c>
      <c r="CF33" s="91">
        <f>'META  EM PEÇAS'!AC34-('META  EM PEÇAS'!AC34*0.05)</f>
        <v>3221.241</v>
      </c>
      <c r="CG33" s="91">
        <f>'META  EM PEÇAS'!AD34-('META  EM PEÇAS'!AD34*0.05)</f>
        <v>4539.4229999999989</v>
      </c>
      <c r="CH33" s="91">
        <f t="shared" si="64"/>
        <v>32057.053499999998</v>
      </c>
    </row>
    <row r="34" spans="1:87" hidden="1" outlineLevel="1">
      <c r="A34" s="94">
        <v>13</v>
      </c>
      <c r="B34" s="210" t="s">
        <v>68</v>
      </c>
      <c r="C34" s="212"/>
      <c r="D34" s="313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si="59"/>
        <v>0</v>
      </c>
      <c r="Q34" s="90"/>
      <c r="R34" s="313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2000</v>
      </c>
      <c r="Y34" s="91">
        <v>800</v>
      </c>
      <c r="Z34" s="91">
        <v>800</v>
      </c>
      <c r="AA34" s="91">
        <v>1200</v>
      </c>
      <c r="AB34" s="91">
        <v>1800</v>
      </c>
      <c r="AC34" s="91">
        <v>2300</v>
      </c>
      <c r="AD34" s="315">
        <f t="shared" si="60"/>
        <v>8900</v>
      </c>
      <c r="AE34" s="23"/>
      <c r="AF34" s="316">
        <v>1800</v>
      </c>
      <c r="AG34" s="91">
        <v>1200</v>
      </c>
      <c r="AH34" s="91">
        <f>1800*0.15</f>
        <v>270</v>
      </c>
      <c r="AI34" s="91">
        <v>896</v>
      </c>
      <c r="AJ34" s="91">
        <v>1339</v>
      </c>
      <c r="AK34" s="91">
        <v>1600</v>
      </c>
      <c r="AL34" s="91">
        <v>1800</v>
      </c>
      <c r="AM34" s="91">
        <v>2000</v>
      </c>
      <c r="AN34" s="91">
        <v>2000</v>
      </c>
      <c r="AO34" s="91">
        <v>2000</v>
      </c>
      <c r="AP34" s="91">
        <v>2200</v>
      </c>
      <c r="AQ34" s="91">
        <v>3200</v>
      </c>
      <c r="AR34" s="92">
        <f t="shared" si="61"/>
        <v>20305</v>
      </c>
      <c r="AS34" s="23"/>
      <c r="AT34" s="91">
        <v>1980</v>
      </c>
      <c r="AU34" s="91">
        <v>1980</v>
      </c>
      <c r="AV34" s="91">
        <v>1980</v>
      </c>
      <c r="AW34" s="91">
        <v>1980</v>
      </c>
      <c r="AX34" s="317">
        <v>1409</v>
      </c>
      <c r="AY34" s="317">
        <v>1409</v>
      </c>
      <c r="AZ34" s="317">
        <v>1345</v>
      </c>
      <c r="BA34" s="317">
        <v>1345</v>
      </c>
      <c r="BB34" s="317">
        <v>1409</v>
      </c>
      <c r="BC34" s="317">
        <v>1665</v>
      </c>
      <c r="BD34" s="317">
        <v>1793</v>
      </c>
      <c r="BE34" s="317">
        <v>2562</v>
      </c>
      <c r="BF34" s="91">
        <f t="shared" si="62"/>
        <v>20857</v>
      </c>
      <c r="BG34" s="93">
        <f t="shared" si="63"/>
        <v>2.7185422309775831E-2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>
        <v>11555</v>
      </c>
      <c r="BU34" s="54"/>
      <c r="BV34" s="91">
        <v>1903.7099999999998</v>
      </c>
      <c r="BW34" s="91">
        <v>1471.26</v>
      </c>
      <c r="BX34" s="91">
        <f>'META  EM PEÇAS'!U35-('META  EM PEÇAS'!U35*0.05)</f>
        <v>1654.7954999999999</v>
      </c>
      <c r="BY34" s="91">
        <f>'META  EM PEÇAS'!V35-('META  EM PEÇAS'!V35*0.05)</f>
        <v>1533.7559999999999</v>
      </c>
      <c r="BZ34" s="91">
        <f>'META  EM PEÇAS'!W35-('META  EM PEÇAS'!W35*0.05)</f>
        <v>1721.058</v>
      </c>
      <c r="CA34" s="91">
        <f>'META  EM PEÇAS'!X35-('META  EM PEÇAS'!X35*0.05)</f>
        <v>2071.8074999999999</v>
      </c>
      <c r="CB34" s="91">
        <f>'META  EM PEÇAS'!Y35-('META  EM PEÇAS'!Y35*0.05)</f>
        <v>2492.3534999999997</v>
      </c>
      <c r="CC34" s="91">
        <f>'META  EM PEÇAS'!Z35-('META  EM PEÇAS'!Z35*0.05)</f>
        <v>1666.2809999999997</v>
      </c>
      <c r="CD34" s="91">
        <f>'META  EM PEÇAS'!AA35-('META  EM PEÇAS'!AA35*0.05)</f>
        <v>1728.126</v>
      </c>
      <c r="CE34" s="91">
        <f>'META  EM PEÇAS'!AB35-('META  EM PEÇAS'!AB35*0.05)</f>
        <v>1874.7869999999998</v>
      </c>
      <c r="CF34" s="91">
        <f>'META  EM PEÇAS'!AC35-('META  EM PEÇAS'!AC35*0.05)</f>
        <v>2402.2364999999995</v>
      </c>
      <c r="CG34" s="91">
        <f>'META  EM PEÇAS'!AD35-('META  EM PEÇAS'!AD35*0.05)</f>
        <v>3384.6884999999997</v>
      </c>
      <c r="CH34" s="91">
        <f t="shared" si="64"/>
        <v>23904.859499999995</v>
      </c>
    </row>
    <row r="35" spans="1:87" hidden="1" outlineLevel="1">
      <c r="A35" s="94">
        <v>14</v>
      </c>
      <c r="B35" s="210" t="s">
        <v>69</v>
      </c>
      <c r="C35" s="212"/>
      <c r="D35" s="313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/>
      <c r="Q35" s="90"/>
      <c r="R35" s="313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2000</v>
      </c>
      <c r="Z35" s="91">
        <v>800</v>
      </c>
      <c r="AA35" s="91">
        <v>800</v>
      </c>
      <c r="AB35" s="91">
        <v>1200</v>
      </c>
      <c r="AC35" s="91">
        <v>1800</v>
      </c>
      <c r="AD35" s="315">
        <f t="shared" si="60"/>
        <v>6600</v>
      </c>
      <c r="AE35" s="23"/>
      <c r="AF35" s="316">
        <v>1500</v>
      </c>
      <c r="AG35" s="91">
        <v>1200</v>
      </c>
      <c r="AH35" s="91">
        <f>1500*0.15</f>
        <v>225</v>
      </c>
      <c r="AI35" s="91">
        <v>374</v>
      </c>
      <c r="AJ35" s="91">
        <v>990</v>
      </c>
      <c r="AK35" s="91">
        <v>960</v>
      </c>
      <c r="AL35" s="91">
        <v>1800</v>
      </c>
      <c r="AM35" s="91">
        <v>1200</v>
      </c>
      <c r="AN35" s="91">
        <v>1200</v>
      </c>
      <c r="AO35" s="91">
        <v>1200</v>
      </c>
      <c r="AP35" s="91">
        <v>1320</v>
      </c>
      <c r="AQ35" s="91">
        <v>1920</v>
      </c>
      <c r="AR35" s="92">
        <f t="shared" si="61"/>
        <v>13889</v>
      </c>
      <c r="AS35" s="23"/>
      <c r="AT35" s="91">
        <v>1518</v>
      </c>
      <c r="AU35" s="91">
        <v>1518</v>
      </c>
      <c r="AV35" s="91">
        <v>1518</v>
      </c>
      <c r="AW35" s="91">
        <v>1518</v>
      </c>
      <c r="AX35" s="317">
        <v>1276</v>
      </c>
      <c r="AY35" s="317">
        <v>1276</v>
      </c>
      <c r="AZ35" s="317">
        <v>1218</v>
      </c>
      <c r="BA35" s="317">
        <v>1218</v>
      </c>
      <c r="BB35" s="317">
        <v>1276</v>
      </c>
      <c r="BC35" s="317">
        <v>1508</v>
      </c>
      <c r="BD35" s="317">
        <v>1624</v>
      </c>
      <c r="BE35" s="317">
        <v>2320</v>
      </c>
      <c r="BF35" s="91">
        <f t="shared" si="62"/>
        <v>17788</v>
      </c>
      <c r="BG35" s="93">
        <f t="shared" si="63"/>
        <v>0.2807257541939665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>
        <v>19018</v>
      </c>
      <c r="BU35" s="54"/>
      <c r="BV35" s="91">
        <v>2737.9199999999996</v>
      </c>
      <c r="BW35" s="91">
        <v>2116.6799999999998</v>
      </c>
      <c r="BX35" s="91">
        <f>'META  EM PEÇAS'!U36-('META  EM PEÇAS'!U36*0.05)</f>
        <v>2379.2655</v>
      </c>
      <c r="BY35" s="91">
        <f>'META  EM PEÇAS'!V36-('META  EM PEÇAS'!V36*0.05)</f>
        <v>2205.2159999999999</v>
      </c>
      <c r="BZ35" s="91">
        <f>'META  EM PEÇAS'!W36-('META  EM PEÇAS'!W36*0.05)</f>
        <v>2474.6834999999996</v>
      </c>
      <c r="CA35" s="91">
        <f>'META  EM PEÇAS'!X36-('META  EM PEÇAS'!X36*0.05)</f>
        <v>2980.0454999999997</v>
      </c>
      <c r="CB35" s="91">
        <f>'META  EM PEÇAS'!Y36-('META  EM PEÇAS'!Y36*0.05)</f>
        <v>3584.3594999999996</v>
      </c>
      <c r="CC35" s="91">
        <f>'META  EM PEÇAS'!Z36-('META  EM PEÇAS'!Z36*0.05)</f>
        <v>2396.0519999999997</v>
      </c>
      <c r="CD35" s="91">
        <f>'META  EM PEÇAS'!AA36-('META  EM PEÇAS'!AA36*0.05)</f>
        <v>2485.2854999999995</v>
      </c>
      <c r="CE35" s="91">
        <f>'META  EM PEÇAS'!AB36-('META  EM PEÇAS'!AB36*0.05)</f>
        <v>2696.4419999999996</v>
      </c>
      <c r="CF35" s="91">
        <f>'META  EM PEÇAS'!AC36-('META  EM PEÇAS'!AC36*0.05)</f>
        <v>3454.4849999999997</v>
      </c>
      <c r="CG35" s="91">
        <f>'META  EM PEÇAS'!AD36-('META  EM PEÇAS'!AD36*0.05)</f>
        <v>4868.0849999999991</v>
      </c>
      <c r="CH35" s="91">
        <f t="shared" si="64"/>
        <v>34378.519499999995</v>
      </c>
    </row>
    <row r="36" spans="1:87" hidden="1" outlineLevel="1">
      <c r="A36" s="94">
        <v>15</v>
      </c>
      <c r="B36" s="210" t="s">
        <v>70</v>
      </c>
      <c r="C36" s="212"/>
      <c r="D36" s="313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/>
      <c r="Q36" s="90"/>
      <c r="R36" s="313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2000</v>
      </c>
      <c r="AA36" s="91">
        <v>800</v>
      </c>
      <c r="AB36" s="91">
        <v>800</v>
      </c>
      <c r="AC36" s="91">
        <v>1500</v>
      </c>
      <c r="AD36" s="315">
        <f t="shared" si="60"/>
        <v>5100</v>
      </c>
      <c r="AE36" s="23"/>
      <c r="AF36" s="316">
        <v>1800</v>
      </c>
      <c r="AG36" s="91">
        <v>1200</v>
      </c>
      <c r="AH36" s="91">
        <f>1800*0.4</f>
        <v>720</v>
      </c>
      <c r="AI36" s="91">
        <v>1147</v>
      </c>
      <c r="AJ36" s="91">
        <v>1155</v>
      </c>
      <c r="AK36" s="91">
        <v>1600</v>
      </c>
      <c r="AL36" s="91">
        <v>1800</v>
      </c>
      <c r="AM36" s="91">
        <v>2000</v>
      </c>
      <c r="AN36" s="91">
        <v>2000</v>
      </c>
      <c r="AO36" s="91">
        <v>2000</v>
      </c>
      <c r="AP36" s="91">
        <v>2200</v>
      </c>
      <c r="AQ36" s="91">
        <v>3200</v>
      </c>
      <c r="AR36" s="92">
        <f t="shared" si="61"/>
        <v>20822</v>
      </c>
      <c r="AS36" s="23"/>
      <c r="AT36" s="91">
        <v>1544</v>
      </c>
      <c r="AU36" s="91">
        <v>1544</v>
      </c>
      <c r="AV36" s="91">
        <v>1544</v>
      </c>
      <c r="AW36" s="91">
        <v>1544</v>
      </c>
      <c r="AX36" s="317">
        <v>862</v>
      </c>
      <c r="AY36" s="317">
        <v>862</v>
      </c>
      <c r="AZ36" s="317">
        <v>823</v>
      </c>
      <c r="BA36" s="317">
        <v>823</v>
      </c>
      <c r="BB36" s="317">
        <v>862</v>
      </c>
      <c r="BC36" s="317">
        <v>1019</v>
      </c>
      <c r="BD36" s="317">
        <v>1098</v>
      </c>
      <c r="BE36" s="317">
        <v>1568</v>
      </c>
      <c r="BF36" s="91">
        <f t="shared" si="62"/>
        <v>14093</v>
      </c>
      <c r="BG36" s="93">
        <f t="shared" si="63"/>
        <v>-0.32316780328498707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>
        <v>21133</v>
      </c>
      <c r="BU36" s="54"/>
      <c r="BV36" s="91">
        <v>3593.52</v>
      </c>
      <c r="BW36" s="91">
        <v>2776.98</v>
      </c>
      <c r="BX36" s="91">
        <f>'META  EM PEÇAS'!U38-('META  EM PEÇAS'!U38*0.05)</f>
        <v>3122.2889999999998</v>
      </c>
      <c r="BY36" s="91">
        <f>'META  EM PEÇAS'!V38-('META  EM PEÇAS'!V38*0.05)</f>
        <v>2893.4625000000001</v>
      </c>
      <c r="BZ36" s="91">
        <f>'META  EM PEÇAS'!W38-('META  EM PEÇAS'!W38*0.05)</f>
        <v>3247.7459999999996</v>
      </c>
      <c r="CA36" s="91">
        <f>'META  EM PEÇAS'!X38-('META  EM PEÇAS'!X38*0.05)</f>
        <v>3910.3709999999992</v>
      </c>
      <c r="CB36" s="91">
        <f>'META  EM PEÇAS'!Y38-('META  EM PEÇAS'!Y38*0.05)</f>
        <v>4703.7539999999999</v>
      </c>
      <c r="CC36" s="91">
        <f>'META  EM PEÇAS'!Z38-('META  EM PEÇAS'!Z38*0.05)</f>
        <v>3144.3764999999999</v>
      </c>
      <c r="CD36" s="91">
        <f>'META  EM PEÇAS'!AA38-('META  EM PEÇAS'!AA38*0.05)</f>
        <v>3260.9984999999997</v>
      </c>
      <c r="CE36" s="91">
        <f>'META  EM PEÇAS'!AB38-('META  EM PEÇAS'!AB38*0.05)</f>
        <v>3539.3009999999999</v>
      </c>
      <c r="CF36" s="91">
        <f>'META  EM PEÇAS'!AC38-('META  EM PEÇAS'!AC38*0.05)</f>
        <v>4533.2384999999995</v>
      </c>
      <c r="CG36" s="91">
        <f>'META  EM PEÇAS'!AD38-('META  EM PEÇAS'!AD38*0.05)</f>
        <v>6387.7049999999999</v>
      </c>
      <c r="CH36" s="91">
        <f t="shared" si="64"/>
        <v>45113.741999999998</v>
      </c>
    </row>
    <row r="37" spans="1:87" hidden="1" outlineLevel="1">
      <c r="A37" s="94">
        <v>16</v>
      </c>
      <c r="B37" s="216" t="s">
        <v>71</v>
      </c>
      <c r="C37" s="212"/>
      <c r="D37" s="313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/>
      <c r="Q37" s="90"/>
      <c r="R37" s="313"/>
      <c r="S37" s="91"/>
      <c r="T37" s="91"/>
      <c r="U37" s="91"/>
      <c r="V37" s="91"/>
      <c r="W37" s="91"/>
      <c r="X37" s="91"/>
      <c r="Y37" s="91"/>
      <c r="Z37" s="91"/>
      <c r="AA37" s="91">
        <v>800</v>
      </c>
      <c r="AB37" s="91">
        <v>800</v>
      </c>
      <c r="AC37" s="91">
        <v>1500</v>
      </c>
      <c r="AD37" s="315"/>
      <c r="AE37" s="23"/>
      <c r="AF37" s="316">
        <v>1500</v>
      </c>
      <c r="AG37" s="91">
        <v>1200</v>
      </c>
      <c r="AH37" s="91">
        <f>1500*0.15</f>
        <v>225</v>
      </c>
      <c r="AI37" s="91">
        <v>192</v>
      </c>
      <c r="AJ37" s="91">
        <v>663</v>
      </c>
      <c r="AK37" s="91">
        <v>800</v>
      </c>
      <c r="AL37" s="91">
        <v>1500</v>
      </c>
      <c r="AM37" s="91">
        <v>1000</v>
      </c>
      <c r="AN37" s="91">
        <v>1000</v>
      </c>
      <c r="AO37" s="91">
        <v>1000</v>
      </c>
      <c r="AP37" s="91">
        <v>1100</v>
      </c>
      <c r="AQ37" s="91">
        <v>1600</v>
      </c>
      <c r="AR37" s="92">
        <f t="shared" si="61"/>
        <v>11780</v>
      </c>
      <c r="AS37" s="23"/>
      <c r="AT37" s="91">
        <v>960</v>
      </c>
      <c r="AU37" s="91">
        <v>960</v>
      </c>
      <c r="AV37" s="91">
        <v>960</v>
      </c>
      <c r="AW37" s="91">
        <v>960</v>
      </c>
      <c r="AX37" s="317">
        <v>1414</v>
      </c>
      <c r="AY37" s="317">
        <v>1414</v>
      </c>
      <c r="AZ37" s="317">
        <v>1350</v>
      </c>
      <c r="BA37" s="317">
        <v>1350</v>
      </c>
      <c r="BB37" s="317">
        <v>1414</v>
      </c>
      <c r="BC37" s="317">
        <v>1671</v>
      </c>
      <c r="BD37" s="317">
        <v>1800</v>
      </c>
      <c r="BE37" s="317">
        <v>2571</v>
      </c>
      <c r="BF37" s="91">
        <f t="shared" si="62"/>
        <v>16824</v>
      </c>
      <c r="BG37" s="93">
        <f t="shared" si="63"/>
        <v>0.42818336162988113</v>
      </c>
      <c r="BH37" s="91">
        <v>900</v>
      </c>
      <c r="BI37" s="91">
        <v>643</v>
      </c>
      <c r="BJ37" s="91">
        <v>891</v>
      </c>
      <c r="BK37" s="91">
        <v>679</v>
      </c>
      <c r="BL37" s="91">
        <v>940</v>
      </c>
      <c r="BM37" s="91">
        <v>948</v>
      </c>
      <c r="BN37" s="91">
        <v>1124</v>
      </c>
      <c r="BO37" s="91">
        <v>913</v>
      </c>
      <c r="BP37" s="91">
        <v>911</v>
      </c>
      <c r="BQ37" s="91">
        <v>898</v>
      </c>
      <c r="BR37" s="91">
        <v>1465</v>
      </c>
      <c r="BS37" s="91">
        <v>1278</v>
      </c>
      <c r="BT37" s="91">
        <f>SUM(BH37:BS37)</f>
        <v>11590</v>
      </c>
      <c r="BU37" s="54"/>
      <c r="BV37" s="91">
        <f>'META  EM PEÇAS'!T47</f>
        <v>1749.7324726431702</v>
      </c>
      <c r="BW37" s="91">
        <f>'META  EM PEÇAS'!T48</f>
        <v>1701.1287928475265</v>
      </c>
      <c r="BX37" s="91">
        <f>'META  EM PEÇAS'!T49</f>
        <v>1846.9398322344578</v>
      </c>
      <c r="BY37" s="91">
        <f>'META  EM PEÇAS'!T50</f>
        <v>1701.1287928475265</v>
      </c>
      <c r="BZ37" s="91">
        <f>'META  EM PEÇAS'!T51</f>
        <v>1846.9398322344578</v>
      </c>
      <c r="CA37" s="91">
        <f>'META  EM PEÇAS'!T52</f>
        <v>1749.7324726431702</v>
      </c>
      <c r="CB37" s="91">
        <f>'META  EM PEÇAS'!T53</f>
        <v>2138.5619110083194</v>
      </c>
      <c r="CC37" s="91">
        <f>'META  EM PEÇAS'!T54</f>
        <v>1749.7324726431702</v>
      </c>
      <c r="CD37" s="91">
        <f>'META  EM PEÇAS'!T55</f>
        <v>1749.7324726431702</v>
      </c>
      <c r="CE37" s="91">
        <f>'META  EM PEÇAS'!T56</f>
        <v>1749.7324726431702</v>
      </c>
      <c r="CF37" s="91">
        <f>'META  EM PEÇAS'!T57</f>
        <v>2721.8060685560426</v>
      </c>
      <c r="CG37" s="91">
        <f>'META  EM PEÇAS'!T58</f>
        <v>1944.1471918257448</v>
      </c>
      <c r="CH37" s="91">
        <f t="shared" si="64"/>
        <v>22649.314784769926</v>
      </c>
    </row>
    <row r="38" spans="1:87" hidden="1" outlineLevel="1">
      <c r="A38" s="94"/>
      <c r="B38" s="210"/>
      <c r="C38" s="213"/>
      <c r="D38" s="313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/>
      <c r="Q38" s="90"/>
      <c r="R38" s="313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315"/>
      <c r="AE38" s="23"/>
      <c r="AF38" s="316">
        <v>0</v>
      </c>
      <c r="AG38" s="91">
        <v>0</v>
      </c>
      <c r="AH38" s="91">
        <v>0</v>
      </c>
      <c r="AI38" s="91">
        <v>0</v>
      </c>
      <c r="AJ38" s="91">
        <v>0</v>
      </c>
      <c r="AK38" s="91">
        <v>400</v>
      </c>
      <c r="AL38" s="91">
        <v>500</v>
      </c>
      <c r="AM38" s="91">
        <v>500</v>
      </c>
      <c r="AN38" s="91">
        <v>600</v>
      </c>
      <c r="AO38" s="91">
        <v>600</v>
      </c>
      <c r="AP38" s="91">
        <v>660</v>
      </c>
      <c r="AQ38" s="91">
        <v>960</v>
      </c>
      <c r="AR38" s="92">
        <f t="shared" si="61"/>
        <v>4220</v>
      </c>
      <c r="AS38" s="23"/>
      <c r="AT38" s="91">
        <v>960</v>
      </c>
      <c r="AU38" s="91">
        <v>960</v>
      </c>
      <c r="AV38" s="91">
        <v>960</v>
      </c>
      <c r="AW38" s="91">
        <v>960</v>
      </c>
      <c r="AX38" s="317">
        <v>580</v>
      </c>
      <c r="AY38" s="317">
        <v>580</v>
      </c>
      <c r="AZ38" s="317">
        <v>554</v>
      </c>
      <c r="BA38" s="317">
        <v>554</v>
      </c>
      <c r="BB38" s="317">
        <v>580</v>
      </c>
      <c r="BC38" s="317">
        <v>686</v>
      </c>
      <c r="BD38" s="317">
        <v>739</v>
      </c>
      <c r="BE38" s="317">
        <v>1055</v>
      </c>
      <c r="BF38" s="91">
        <f t="shared" si="62"/>
        <v>9168</v>
      </c>
      <c r="BG38" s="93">
        <f t="shared" si="63"/>
        <v>1.172511848341232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54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</row>
    <row r="39" spans="1:87" hidden="1" outlineLevel="1">
      <c r="A39" s="95"/>
      <c r="B39" s="216"/>
      <c r="C39" s="420"/>
      <c r="D39" s="421"/>
      <c r="E39" s="422"/>
      <c r="F39" s="422"/>
      <c r="G39" s="422"/>
      <c r="H39" s="422"/>
      <c r="I39" s="422"/>
      <c r="J39" s="422"/>
      <c r="K39" s="422"/>
      <c r="L39" s="422"/>
      <c r="M39" s="422"/>
      <c r="N39" s="422"/>
      <c r="O39" s="422"/>
      <c r="P39" s="423"/>
      <c r="Q39" s="424"/>
      <c r="R39" s="421"/>
      <c r="S39" s="425"/>
      <c r="T39" s="425"/>
      <c r="U39" s="425"/>
      <c r="V39" s="425"/>
      <c r="W39" s="425"/>
      <c r="X39" s="425"/>
      <c r="Y39" s="425"/>
      <c r="Z39" s="425"/>
      <c r="AA39" s="425"/>
      <c r="AB39" s="425"/>
      <c r="AC39" s="425"/>
      <c r="AD39" s="426"/>
      <c r="AE39" s="427"/>
      <c r="AF39" s="428">
        <v>0</v>
      </c>
      <c r="AG39" s="425">
        <v>0</v>
      </c>
      <c r="AH39" s="425">
        <v>0</v>
      </c>
      <c r="AI39" s="425">
        <v>0</v>
      </c>
      <c r="AJ39" s="425">
        <v>0</v>
      </c>
      <c r="AK39" s="425">
        <v>0</v>
      </c>
      <c r="AL39" s="425">
        <v>2500</v>
      </c>
      <c r="AM39" s="425">
        <v>2000</v>
      </c>
      <c r="AN39" s="425">
        <v>500</v>
      </c>
      <c r="AO39" s="425">
        <v>600</v>
      </c>
      <c r="AP39" s="425">
        <v>660</v>
      </c>
      <c r="AQ39" s="425">
        <v>960</v>
      </c>
      <c r="AR39" s="429">
        <f t="shared" si="61"/>
        <v>7220</v>
      </c>
      <c r="AS39" s="23"/>
      <c r="AT39" s="425">
        <v>1518</v>
      </c>
      <c r="AU39" s="425">
        <v>1518</v>
      </c>
      <c r="AV39" s="425">
        <v>1518</v>
      </c>
      <c r="AW39" s="425">
        <v>1518</v>
      </c>
      <c r="AX39" s="317">
        <v>1943</v>
      </c>
      <c r="AY39" s="317">
        <v>1943</v>
      </c>
      <c r="AZ39" s="317">
        <v>1854</v>
      </c>
      <c r="BA39" s="317">
        <v>1854</v>
      </c>
      <c r="BB39" s="317">
        <v>1943</v>
      </c>
      <c r="BC39" s="317">
        <v>2296</v>
      </c>
      <c r="BD39" s="317">
        <v>2472</v>
      </c>
      <c r="BE39" s="317">
        <v>3532</v>
      </c>
      <c r="BF39" s="425">
        <f t="shared" si="62"/>
        <v>23909</v>
      </c>
      <c r="BG39" s="93">
        <f t="shared" si="63"/>
        <v>2.3114958448753464</v>
      </c>
      <c r="BH39" s="425"/>
      <c r="BI39" s="425"/>
      <c r="BJ39" s="425"/>
      <c r="BK39" s="425"/>
      <c r="BL39" s="91"/>
      <c r="BM39" s="91"/>
      <c r="BN39" s="91"/>
      <c r="BO39" s="91"/>
      <c r="BP39" s="91"/>
      <c r="BQ39" s="91"/>
      <c r="BR39" s="91"/>
      <c r="BS39" s="91"/>
      <c r="BT39" s="91"/>
      <c r="BU39" s="54"/>
      <c r="BV39" s="425"/>
      <c r="BW39" s="425"/>
      <c r="BX39" s="425"/>
      <c r="BY39" s="425"/>
      <c r="BZ39" s="91"/>
      <c r="CA39" s="91"/>
      <c r="CB39" s="91"/>
      <c r="CC39" s="91"/>
      <c r="CD39" s="91"/>
      <c r="CE39" s="91"/>
      <c r="CF39" s="91"/>
      <c r="CG39" s="91"/>
      <c r="CH39" s="91"/>
    </row>
    <row r="40" spans="1:87" hidden="1" outlineLevel="1">
      <c r="A40" s="434"/>
      <c r="B40" s="1093"/>
      <c r="C40" s="1094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6"/>
      <c r="AF40" s="437">
        <v>0</v>
      </c>
      <c r="AG40" s="437">
        <v>0</v>
      </c>
      <c r="AH40" s="437">
        <v>0</v>
      </c>
      <c r="AI40" s="437">
        <v>0</v>
      </c>
      <c r="AJ40" s="437">
        <v>0</v>
      </c>
      <c r="AK40" s="437">
        <v>0</v>
      </c>
      <c r="AL40" s="437">
        <v>0</v>
      </c>
      <c r="AM40" s="437">
        <v>0</v>
      </c>
      <c r="AN40" s="437">
        <v>0</v>
      </c>
      <c r="AO40" s="437">
        <v>0</v>
      </c>
      <c r="AP40" s="437">
        <v>0</v>
      </c>
      <c r="AQ40" s="437">
        <v>0</v>
      </c>
      <c r="AR40" s="438">
        <f t="shared" si="61"/>
        <v>0</v>
      </c>
      <c r="AS40" s="322"/>
      <c r="AT40" s="437">
        <v>0</v>
      </c>
      <c r="AU40" s="437">
        <v>0</v>
      </c>
      <c r="AV40" s="437">
        <v>0</v>
      </c>
      <c r="AW40" s="437">
        <v>0</v>
      </c>
      <c r="AX40" s="439">
        <v>800</v>
      </c>
      <c r="AY40" s="317">
        <v>800</v>
      </c>
      <c r="AZ40" s="317">
        <v>800</v>
      </c>
      <c r="BA40" s="317">
        <v>1050</v>
      </c>
      <c r="BB40" s="317">
        <v>1100</v>
      </c>
      <c r="BC40" s="317">
        <v>1300</v>
      </c>
      <c r="BD40" s="317">
        <v>1400</v>
      </c>
      <c r="BE40" s="440">
        <v>2000</v>
      </c>
      <c r="BF40" s="437">
        <f t="shared" si="62"/>
        <v>9250</v>
      </c>
      <c r="BG40" s="325" t="e">
        <f t="shared" si="63"/>
        <v>#DIV/0!</v>
      </c>
      <c r="BH40" s="437"/>
      <c r="BI40" s="437"/>
      <c r="BJ40" s="437"/>
      <c r="BK40" s="437"/>
      <c r="BL40" s="439"/>
      <c r="BM40" s="317"/>
      <c r="BN40" s="317"/>
      <c r="BO40" s="317"/>
      <c r="BP40" s="317"/>
      <c r="BQ40" s="317"/>
      <c r="BR40" s="317"/>
      <c r="BS40" s="317"/>
      <c r="BT40" s="317"/>
      <c r="BU40" s="326"/>
      <c r="BV40" s="443"/>
      <c r="BW40" s="443"/>
      <c r="BX40" s="443"/>
      <c r="BY40" s="443"/>
      <c r="BZ40" s="444"/>
      <c r="CA40" s="317"/>
      <c r="CB40" s="317"/>
      <c r="CC40" s="317"/>
      <c r="CD40" s="317"/>
      <c r="CE40" s="317"/>
      <c r="CF40" s="317"/>
      <c r="CG40" s="317"/>
      <c r="CH40" s="317"/>
    </row>
    <row r="41" spans="1:87" hidden="1" outlineLevel="1">
      <c r="A41" s="430"/>
      <c r="B41" s="214"/>
      <c r="C41" s="431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24"/>
      <c r="R41" s="424"/>
      <c r="S41" s="432"/>
      <c r="T41" s="432"/>
      <c r="U41" s="432"/>
      <c r="V41" s="432"/>
      <c r="W41" s="432"/>
      <c r="X41" s="432"/>
      <c r="Y41" s="432"/>
      <c r="Z41" s="432"/>
      <c r="AA41" s="432"/>
      <c r="AB41" s="432"/>
      <c r="AC41" s="432"/>
      <c r="AD41" s="432"/>
      <c r="AE41" s="427"/>
      <c r="AF41" s="432"/>
      <c r="AG41" s="432"/>
      <c r="AH41" s="432"/>
      <c r="AI41" s="432"/>
      <c r="AJ41" s="432"/>
      <c r="AK41" s="432"/>
      <c r="AL41" s="432"/>
      <c r="AM41" s="432"/>
      <c r="AN41" s="432"/>
      <c r="AO41" s="432"/>
      <c r="AP41" s="432"/>
      <c r="AQ41" s="432"/>
      <c r="AR41" s="433"/>
      <c r="AS41" s="23"/>
      <c r="AT41" s="97"/>
      <c r="AU41" s="97"/>
      <c r="AV41" s="97"/>
      <c r="AW41" s="97"/>
      <c r="AX41" s="91"/>
      <c r="AY41" s="91"/>
      <c r="AZ41" s="91"/>
      <c r="BA41" s="91"/>
      <c r="BB41" s="91"/>
      <c r="BC41" s="91"/>
      <c r="BD41" s="91">
        <v>600</v>
      </c>
      <c r="BE41" s="315">
        <v>700</v>
      </c>
      <c r="BF41" s="437">
        <f t="shared" si="62"/>
        <v>1300</v>
      </c>
      <c r="BG41" s="93"/>
      <c r="BH41" s="442"/>
      <c r="BI41" s="442"/>
      <c r="BJ41" s="442"/>
      <c r="BK41" s="442"/>
      <c r="BL41" s="316"/>
      <c r="BM41" s="91"/>
      <c r="BN41" s="91"/>
      <c r="BO41" s="91"/>
      <c r="BP41" s="91"/>
      <c r="BQ41" s="91"/>
      <c r="BR41" s="91"/>
      <c r="BS41" s="91"/>
      <c r="BT41" s="91"/>
      <c r="BU41" s="54"/>
      <c r="BV41" s="442"/>
      <c r="BW41" s="442"/>
      <c r="BX41" s="442"/>
      <c r="BY41" s="442"/>
      <c r="BZ41" s="442"/>
      <c r="CA41" s="316"/>
      <c r="CB41" s="91"/>
      <c r="CC41" s="91"/>
      <c r="CD41" s="91"/>
      <c r="CE41" s="91"/>
      <c r="CF41" s="91"/>
      <c r="CG41" s="91"/>
      <c r="CH41" s="91"/>
    </row>
    <row r="42" spans="1:87" hidden="1" outlineLevel="1">
      <c r="A42" s="95"/>
      <c r="B42" s="216" t="s">
        <v>71</v>
      </c>
      <c r="C42" s="211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ref="P42:P43" si="68">SUM(D42:O42)</f>
        <v>0</v>
      </c>
      <c r="Q42" s="90"/>
      <c r="R42" s="313">
        <v>350</v>
      </c>
      <c r="S42" s="91">
        <v>350</v>
      </c>
      <c r="T42" s="91">
        <v>450</v>
      </c>
      <c r="U42" s="91">
        <v>800</v>
      </c>
      <c r="V42" s="91">
        <v>531</v>
      </c>
      <c r="W42" s="91">
        <v>750</v>
      </c>
      <c r="X42" s="91">
        <v>650</v>
      </c>
      <c r="Y42" s="91">
        <v>750</v>
      </c>
      <c r="Z42" s="91">
        <v>900</v>
      </c>
      <c r="AA42" s="91">
        <v>1000</v>
      </c>
      <c r="AB42" s="91">
        <v>1200</v>
      </c>
      <c r="AC42" s="91">
        <v>1500</v>
      </c>
      <c r="AD42" s="315">
        <f t="shared" ref="AD42:AD43" si="69">SUM(R42:AC42)</f>
        <v>9231</v>
      </c>
      <c r="AE42" s="23"/>
      <c r="AF42" s="316">
        <v>1500</v>
      </c>
      <c r="AG42" s="91">
        <v>800</v>
      </c>
      <c r="AH42" s="91">
        <v>800</v>
      </c>
      <c r="AI42" s="91">
        <v>1820</v>
      </c>
      <c r="AJ42" s="91">
        <v>1630</v>
      </c>
      <c r="AK42" s="91">
        <v>1360</v>
      </c>
      <c r="AL42" s="91">
        <v>1000</v>
      </c>
      <c r="AM42" s="91">
        <v>1700</v>
      </c>
      <c r="AN42" s="91">
        <v>1700</v>
      </c>
      <c r="AO42" s="91">
        <v>1700</v>
      </c>
      <c r="AP42" s="91">
        <v>1870</v>
      </c>
      <c r="AQ42" s="91">
        <v>2720</v>
      </c>
      <c r="AR42" s="92">
        <f t="shared" ref="AR42:AR43" si="70">SUM(AF42:AQ42)</f>
        <v>18600</v>
      </c>
      <c r="AS42" s="23"/>
      <c r="AT42" s="91">
        <v>2053</v>
      </c>
      <c r="AU42" s="91">
        <v>2053</v>
      </c>
      <c r="AV42" s="91">
        <v>2053</v>
      </c>
      <c r="AW42" s="91">
        <v>2053</v>
      </c>
      <c r="AX42" s="91">
        <v>2807</v>
      </c>
      <c r="AY42" s="91">
        <v>2807</v>
      </c>
      <c r="AZ42" s="91">
        <v>2680</v>
      </c>
      <c r="BA42" s="91">
        <v>2680</v>
      </c>
      <c r="BB42" s="91">
        <v>2807</v>
      </c>
      <c r="BC42" s="91">
        <v>3318</v>
      </c>
      <c r="BD42" s="91">
        <v>5870</v>
      </c>
      <c r="BE42" s="91">
        <v>5104</v>
      </c>
      <c r="BF42" s="441">
        <f t="shared" si="62"/>
        <v>36285</v>
      </c>
      <c r="BG42" s="93">
        <f>BF42/AR42-1</f>
        <v>0.95080645161290334</v>
      </c>
      <c r="BH42" s="441"/>
      <c r="BI42" s="441"/>
      <c r="BJ42" s="441"/>
      <c r="BK42" s="441"/>
      <c r="BL42" s="91"/>
      <c r="BM42" s="91"/>
      <c r="BN42" s="91"/>
      <c r="BO42" s="91"/>
      <c r="BP42" s="91"/>
      <c r="BQ42" s="91"/>
      <c r="BR42" s="91"/>
      <c r="BS42" s="91"/>
      <c r="BT42" s="91">
        <f>SUM(BH42:BS42)</f>
        <v>0</v>
      </c>
      <c r="BU42" s="54"/>
      <c r="BV42" s="441"/>
      <c r="BW42" s="441"/>
      <c r="BX42" s="441"/>
      <c r="BY42" s="441"/>
      <c r="BZ42" s="441"/>
      <c r="CA42" s="91"/>
      <c r="CB42" s="91"/>
      <c r="CC42" s="91"/>
      <c r="CD42" s="91"/>
      <c r="CE42" s="91"/>
      <c r="CF42" s="91"/>
      <c r="CG42" s="91"/>
      <c r="CH42" s="91"/>
    </row>
    <row r="43" spans="1:87" ht="15.75" collapsed="1">
      <c r="A43" s="55"/>
      <c r="B43" s="56" t="s">
        <v>286</v>
      </c>
      <c r="C43" s="280"/>
      <c r="D43" s="288">
        <f t="shared" ref="D43:O43" si="71">SUM(D22:D42)</f>
        <v>0</v>
      </c>
      <c r="E43" s="57">
        <f t="shared" si="71"/>
        <v>0</v>
      </c>
      <c r="F43" s="57">
        <f t="shared" si="71"/>
        <v>0</v>
      </c>
      <c r="G43" s="57">
        <f t="shared" si="71"/>
        <v>0</v>
      </c>
      <c r="H43" s="57">
        <f t="shared" si="71"/>
        <v>0</v>
      </c>
      <c r="I43" s="57">
        <f t="shared" si="71"/>
        <v>0</v>
      </c>
      <c r="J43" s="57">
        <f t="shared" si="71"/>
        <v>0</v>
      </c>
      <c r="K43" s="57">
        <f t="shared" si="71"/>
        <v>0</v>
      </c>
      <c r="L43" s="57">
        <f t="shared" si="71"/>
        <v>0</v>
      </c>
      <c r="M43" s="57">
        <f t="shared" si="71"/>
        <v>0</v>
      </c>
      <c r="N43" s="57">
        <f t="shared" si="71"/>
        <v>0</v>
      </c>
      <c r="O43" s="57">
        <f t="shared" si="71"/>
        <v>0</v>
      </c>
      <c r="P43" s="289">
        <f t="shared" si="68"/>
        <v>0</v>
      </c>
      <c r="Q43" s="39"/>
      <c r="R43" s="288">
        <f t="shared" ref="R43:AC43" si="72">SUM(R22:R42)</f>
        <v>20557.543859649122</v>
      </c>
      <c r="S43" s="58">
        <f t="shared" si="72"/>
        <v>20512.543859649122</v>
      </c>
      <c r="T43" s="58">
        <f t="shared" si="72"/>
        <v>13699.771929824561</v>
      </c>
      <c r="U43" s="58">
        <f t="shared" si="72"/>
        <v>912.5</v>
      </c>
      <c r="V43" s="58">
        <f t="shared" si="72"/>
        <v>16851</v>
      </c>
      <c r="W43" s="290">
        <f t="shared" si="72"/>
        <v>13700</v>
      </c>
      <c r="X43" s="290">
        <f t="shared" si="72"/>
        <v>26050</v>
      </c>
      <c r="Y43" s="290">
        <f t="shared" si="72"/>
        <v>27750</v>
      </c>
      <c r="Z43" s="290">
        <f t="shared" si="72"/>
        <v>31100</v>
      </c>
      <c r="AA43" s="290">
        <f t="shared" si="72"/>
        <v>32100</v>
      </c>
      <c r="AB43" s="290">
        <f t="shared" si="72"/>
        <v>37500</v>
      </c>
      <c r="AC43" s="290">
        <f t="shared" si="72"/>
        <v>45300</v>
      </c>
      <c r="AD43" s="291">
        <f t="shared" si="69"/>
        <v>286033.35964912281</v>
      </c>
      <c r="AE43" s="59"/>
      <c r="AF43" s="292">
        <f>SUM(AF22:AF42)</f>
        <v>38500</v>
      </c>
      <c r="AG43" s="58">
        <f t="shared" ref="AG43:AQ43" si="73">SUM(AG22:AG42)</f>
        <v>22400</v>
      </c>
      <c r="AH43" s="58">
        <f t="shared" si="73"/>
        <v>10671</v>
      </c>
      <c r="AI43" s="58">
        <f t="shared" si="73"/>
        <v>16097</v>
      </c>
      <c r="AJ43" s="58">
        <f t="shared" si="73"/>
        <v>30278</v>
      </c>
      <c r="AK43" s="58">
        <f t="shared" si="73"/>
        <v>28560</v>
      </c>
      <c r="AL43" s="58">
        <f t="shared" si="73"/>
        <v>41700</v>
      </c>
      <c r="AM43" s="58">
        <f t="shared" si="73"/>
        <v>38700</v>
      </c>
      <c r="AN43" s="58">
        <f t="shared" si="73"/>
        <v>37300</v>
      </c>
      <c r="AO43" s="58">
        <f t="shared" si="73"/>
        <v>37400</v>
      </c>
      <c r="AP43" s="58">
        <f t="shared" si="73"/>
        <v>40640</v>
      </c>
      <c r="AQ43" s="58">
        <f t="shared" si="73"/>
        <v>54440</v>
      </c>
      <c r="AR43" s="58">
        <f t="shared" si="70"/>
        <v>396686</v>
      </c>
      <c r="AS43" s="59"/>
      <c r="AT43" s="58">
        <f t="shared" ref="AT43:BE43" si="74">SUM(AT22:AT42)</f>
        <v>36153</v>
      </c>
      <c r="AU43" s="58">
        <f>SUM(AU22:AU42)</f>
        <v>35289</v>
      </c>
      <c r="AV43" s="58">
        <f t="shared" si="74"/>
        <v>35872</v>
      </c>
      <c r="AW43" s="58">
        <f t="shared" si="74"/>
        <v>38031</v>
      </c>
      <c r="AX43" s="58">
        <f t="shared" si="74"/>
        <v>33566</v>
      </c>
      <c r="AY43" s="58">
        <f t="shared" si="74"/>
        <v>33566</v>
      </c>
      <c r="AZ43" s="58">
        <f t="shared" si="74"/>
        <v>30896</v>
      </c>
      <c r="BA43" s="58">
        <f t="shared" si="74"/>
        <v>31146</v>
      </c>
      <c r="BB43" s="58">
        <f t="shared" si="74"/>
        <v>32630</v>
      </c>
      <c r="BC43" s="58">
        <f t="shared" si="74"/>
        <v>38562</v>
      </c>
      <c r="BD43" s="58">
        <f t="shared" si="74"/>
        <v>41345</v>
      </c>
      <c r="BE43" s="58">
        <f t="shared" si="74"/>
        <v>49263</v>
      </c>
      <c r="BF43" s="58">
        <f>SUM(AT43:BE43)</f>
        <v>436319</v>
      </c>
      <c r="BG43" s="59">
        <f>BF43-AR43</f>
        <v>39633</v>
      </c>
      <c r="BH43" s="58">
        <v>36153</v>
      </c>
      <c r="BI43" s="58">
        <v>35289</v>
      </c>
      <c r="BJ43" s="58">
        <v>35872</v>
      </c>
      <c r="BK43" s="58">
        <v>38031</v>
      </c>
      <c r="BL43" s="58">
        <v>38570</v>
      </c>
      <c r="BM43" s="58">
        <v>39227</v>
      </c>
      <c r="BN43" s="58">
        <v>41128</v>
      </c>
      <c r="BO43" s="58">
        <v>38191</v>
      </c>
      <c r="BP43" s="58">
        <v>38191</v>
      </c>
      <c r="BQ43" s="58">
        <v>40225</v>
      </c>
      <c r="BR43" s="58">
        <v>43272</v>
      </c>
      <c r="BS43" s="58">
        <v>60327</v>
      </c>
      <c r="BT43" s="58">
        <f t="shared" ref="BT43:BT47" si="75">SUM(BH43:BS43)</f>
        <v>484476</v>
      </c>
      <c r="BU43" s="60"/>
      <c r="BV43" s="58">
        <f>SUM(BV22:BV39)</f>
        <v>35797.912472643162</v>
      </c>
      <c r="BW43" s="58">
        <f t="shared" ref="BW43:CG43" si="76">SUM(BW22:BW39)</f>
        <v>27268.538792847521</v>
      </c>
      <c r="BX43" s="58">
        <f t="shared" si="76"/>
        <v>34357.668832234456</v>
      </c>
      <c r="BY43" s="58">
        <f t="shared" si="76"/>
        <v>29626.958292847525</v>
      </c>
      <c r="BZ43" s="58">
        <f t="shared" si="76"/>
        <v>34139.121332234456</v>
      </c>
      <c r="CA43" s="58">
        <f t="shared" si="76"/>
        <v>39503.881972643161</v>
      </c>
      <c r="CB43" s="58">
        <f t="shared" si="76"/>
        <v>45728.836911008315</v>
      </c>
      <c r="CC43" s="58">
        <f t="shared" si="76"/>
        <v>32260.226972643166</v>
      </c>
      <c r="CD43" s="58">
        <f t="shared" si="76"/>
        <v>33331.522972643164</v>
      </c>
      <c r="CE43" s="58">
        <f t="shared" si="76"/>
        <v>35213.881472643166</v>
      </c>
      <c r="CF43" s="58">
        <f t="shared" si="76"/>
        <v>46168.878068556034</v>
      </c>
      <c r="CG43" s="58">
        <f t="shared" si="76"/>
        <v>57905.502691825735</v>
      </c>
      <c r="CH43" s="58">
        <f>SUM(BV43:CG43)</f>
        <v>451302.93078476982</v>
      </c>
      <c r="CI43" s="395">
        <f>(CH43-BT52)/BT52</f>
        <v>5.1833718555945915E-2</v>
      </c>
    </row>
    <row r="44" spans="1:87">
      <c r="A44" s="99"/>
      <c r="B44" s="451" t="s">
        <v>73</v>
      </c>
      <c r="C44" s="328"/>
      <c r="D44" s="301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302"/>
      <c r="Q44" s="74"/>
      <c r="R44" s="301"/>
      <c r="S44" s="69"/>
      <c r="T44" s="69"/>
      <c r="U44" s="69"/>
      <c r="V44" s="303"/>
      <c r="W44" s="304"/>
      <c r="X44" s="304"/>
      <c r="Y44" s="304"/>
      <c r="Z44" s="304"/>
      <c r="AA44" s="304"/>
      <c r="AB44" s="304"/>
      <c r="AC44" s="75"/>
      <c r="AD44" s="76"/>
      <c r="AE44" s="77"/>
      <c r="AF44" s="305"/>
      <c r="AG44" s="69"/>
      <c r="AH44" s="69"/>
      <c r="AI44" s="69"/>
      <c r="AJ44" s="303"/>
      <c r="AK44" s="303"/>
      <c r="AL44" s="303"/>
      <c r="AM44" s="303"/>
      <c r="AN44" s="69"/>
      <c r="AO44" s="69"/>
      <c r="AP44" s="69"/>
      <c r="AQ44" s="69"/>
      <c r="AR44" s="306"/>
      <c r="AS44" s="77"/>
      <c r="AT44" s="69"/>
      <c r="AU44" s="69"/>
      <c r="AV44" s="69"/>
      <c r="AW44" s="69"/>
      <c r="AX44" s="69"/>
      <c r="AY44" s="69">
        <v>15000</v>
      </c>
      <c r="AZ44" s="69">
        <v>15000</v>
      </c>
      <c r="BA44" s="69">
        <f t="shared" ref="BA44:BB44" si="77">BA43*70%</f>
        <v>21802.199999999997</v>
      </c>
      <c r="BB44" s="69">
        <f t="shared" si="77"/>
        <v>22841</v>
      </c>
      <c r="BC44" s="69">
        <v>35000</v>
      </c>
      <c r="BD44" s="69">
        <v>35000</v>
      </c>
      <c r="BE44" s="69">
        <v>42000</v>
      </c>
      <c r="BF44" s="69">
        <f t="shared" si="62"/>
        <v>186643.20000000001</v>
      </c>
      <c r="BG44" s="77"/>
      <c r="BH44" s="69">
        <f t="shared" ref="BH44:BM44" si="78">BH43*0.8</f>
        <v>28922.400000000001</v>
      </c>
      <c r="BI44" s="69">
        <f t="shared" si="78"/>
        <v>28231.200000000001</v>
      </c>
      <c r="BJ44" s="69">
        <f t="shared" si="78"/>
        <v>28697.600000000002</v>
      </c>
      <c r="BK44" s="69">
        <f t="shared" si="78"/>
        <v>30424.800000000003</v>
      </c>
      <c r="BL44" s="69">
        <f t="shared" si="78"/>
        <v>30856</v>
      </c>
      <c r="BM44" s="69">
        <f t="shared" si="78"/>
        <v>31381.600000000002</v>
      </c>
      <c r="BN44" s="69">
        <f>BN43*0.85</f>
        <v>34958.799999999996</v>
      </c>
      <c r="BO44" s="69">
        <v>29000</v>
      </c>
      <c r="BP44" s="69">
        <v>40223</v>
      </c>
      <c r="BQ44" s="69">
        <v>36735</v>
      </c>
      <c r="BR44" s="69">
        <v>36933</v>
      </c>
      <c r="BS44" s="69">
        <v>52283</v>
      </c>
      <c r="BT44" s="69">
        <f t="shared" si="75"/>
        <v>408646.40000000002</v>
      </c>
      <c r="BU44" s="28"/>
      <c r="BV44" s="69">
        <f>BV43*0.8</f>
        <v>28638.329978114532</v>
      </c>
      <c r="BW44" s="69">
        <f>BW43*0.8</f>
        <v>21814.831034278017</v>
      </c>
      <c r="BX44" s="69">
        <f t="shared" ref="BX44:CG44" si="79">BX43*0.8</f>
        <v>27486.135065787566</v>
      </c>
      <c r="BY44" s="69">
        <f t="shared" si="79"/>
        <v>23701.566634278021</v>
      </c>
      <c r="BZ44" s="69">
        <f t="shared" si="79"/>
        <v>27311.297065787567</v>
      </c>
      <c r="CA44" s="69">
        <f t="shared" si="79"/>
        <v>31603.10557811453</v>
      </c>
      <c r="CB44" s="69">
        <f t="shared" si="79"/>
        <v>36583.069528806656</v>
      </c>
      <c r="CC44" s="69">
        <f t="shared" si="79"/>
        <v>25808.181578114534</v>
      </c>
      <c r="CD44" s="69">
        <f t="shared" si="79"/>
        <v>26665.218378114532</v>
      </c>
      <c r="CE44" s="69">
        <f t="shared" si="79"/>
        <v>28171.105178114536</v>
      </c>
      <c r="CF44" s="69">
        <f t="shared" si="79"/>
        <v>36935.102454844826</v>
      </c>
      <c r="CG44" s="69">
        <f t="shared" si="79"/>
        <v>46324.402153460593</v>
      </c>
      <c r="CH44" s="69"/>
      <c r="CI44" s="395"/>
    </row>
    <row r="45" spans="1:87" ht="14.25" customHeight="1">
      <c r="A45" s="55" t="s">
        <v>74</v>
      </c>
      <c r="B45" s="56"/>
      <c r="C45" s="280"/>
      <c r="D45" s="288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289"/>
      <c r="Q45" s="39"/>
      <c r="R45" s="288"/>
      <c r="S45" s="58"/>
      <c r="T45" s="58"/>
      <c r="U45" s="58"/>
      <c r="V45" s="58"/>
      <c r="W45" s="290"/>
      <c r="X45" s="290"/>
      <c r="Y45" s="290"/>
      <c r="Z45" s="290"/>
      <c r="AA45" s="290"/>
      <c r="AB45" s="290"/>
      <c r="AC45" s="290"/>
      <c r="AD45" s="291"/>
      <c r="AE45" s="59"/>
      <c r="AF45" s="292"/>
      <c r="AG45" s="58"/>
      <c r="AH45" s="58"/>
      <c r="AI45" s="58"/>
      <c r="AJ45" s="58"/>
      <c r="AK45" s="58"/>
      <c r="AL45" s="58">
        <f>AL43/AVERAGE($AF$43:$AQ$43)</f>
        <v>1.2614511225503295</v>
      </c>
      <c r="AM45" s="58"/>
      <c r="AN45" s="58"/>
      <c r="AO45" s="58"/>
      <c r="AP45" s="58">
        <f t="shared" ref="AP45:AQ45" si="80">AP43/AVERAGE($AF$43:$AQ$43)</f>
        <v>1.2293854585238704</v>
      </c>
      <c r="AQ45" s="58">
        <f t="shared" si="80"/>
        <v>1.6468441033966412</v>
      </c>
      <c r="AR45" s="58"/>
      <c r="AS45" s="59"/>
      <c r="AT45" s="58">
        <v>109190</v>
      </c>
      <c r="AU45" s="58">
        <v>153667</v>
      </c>
      <c r="AV45" s="58">
        <v>178778</v>
      </c>
      <c r="AW45" s="58">
        <v>151970</v>
      </c>
      <c r="AX45" s="58">
        <v>142416</v>
      </c>
      <c r="AY45" s="58">
        <v>177335</v>
      </c>
      <c r="AZ45" s="58">
        <v>152230</v>
      </c>
      <c r="BA45" s="58">
        <v>245527</v>
      </c>
      <c r="BB45" s="58">
        <f>5261504/27</f>
        <v>194870.51851851851</v>
      </c>
      <c r="BC45" s="58">
        <f>5784000/27</f>
        <v>214222.22222222222</v>
      </c>
      <c r="BD45" s="58">
        <f>3224000/27</f>
        <v>119407.4074074074</v>
      </c>
      <c r="BE45" s="58">
        <f>909800/27</f>
        <v>33696.296296296299</v>
      </c>
      <c r="BF45" s="58">
        <f t="shared" si="62"/>
        <v>1873309.4444444445</v>
      </c>
      <c r="BG45" s="59"/>
      <c r="BH45" s="58">
        <v>156208</v>
      </c>
      <c r="BI45" s="58">
        <v>147340</v>
      </c>
      <c r="BJ45" s="58">
        <v>166759</v>
      </c>
      <c r="BK45" s="58">
        <v>152352</v>
      </c>
      <c r="BL45" s="58">
        <v>128446</v>
      </c>
      <c r="BM45" s="58">
        <v>126790</v>
      </c>
      <c r="BN45" s="58">
        <v>173761</v>
      </c>
      <c r="BO45" s="58">
        <f>144510.599073001+BO44</f>
        <v>173510.59907300101</v>
      </c>
      <c r="BP45" s="58">
        <f>162574.422556972+BP44</f>
        <v>202797.42255697199</v>
      </c>
      <c r="BQ45" s="58">
        <f>166187.186558517+BQ44</f>
        <v>202922.18655851699</v>
      </c>
      <c r="BR45" s="58">
        <f>BQ20+BR16*0.6</f>
        <v>232502.36</v>
      </c>
      <c r="BS45" s="58">
        <f>BR16*0.4+BS16*0.5</f>
        <v>116391.04000000001</v>
      </c>
      <c r="BT45" s="58">
        <f t="shared" si="75"/>
        <v>1979779.6081884899</v>
      </c>
      <c r="BU45" s="60"/>
      <c r="BV45" s="58">
        <v>98000</v>
      </c>
      <c r="BW45" s="58">
        <f>BW44+BW20</f>
        <v>147381.66148608096</v>
      </c>
      <c r="BX45" s="58">
        <f t="shared" ref="BX45" si="81">BX44+BX20</f>
        <v>188447.673527326</v>
      </c>
      <c r="BY45" s="58">
        <f t="shared" ref="BY45:CG45" si="82">BK45</f>
        <v>152352</v>
      </c>
      <c r="BZ45" s="58">
        <f t="shared" si="82"/>
        <v>128446</v>
      </c>
      <c r="CA45" s="58">
        <f t="shared" si="82"/>
        <v>126790</v>
      </c>
      <c r="CB45" s="58">
        <f t="shared" si="82"/>
        <v>173761</v>
      </c>
      <c r="CC45" s="58">
        <f t="shared" si="82"/>
        <v>173510.59907300101</v>
      </c>
      <c r="CD45" s="58">
        <f t="shared" si="82"/>
        <v>202797.42255697199</v>
      </c>
      <c r="CE45" s="58">
        <f t="shared" si="82"/>
        <v>202922.18655851699</v>
      </c>
      <c r="CF45" s="58">
        <f t="shared" si="82"/>
        <v>232502.36</v>
      </c>
      <c r="CG45" s="58">
        <f t="shared" si="82"/>
        <v>116391.04000000001</v>
      </c>
      <c r="CH45" s="58"/>
    </row>
    <row r="46" spans="1:87">
      <c r="A46" s="101" t="s">
        <v>75</v>
      </c>
      <c r="B46" s="102"/>
      <c r="C46" s="260"/>
      <c r="D46" s="277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262"/>
      <c r="Q46" s="15"/>
      <c r="R46" s="277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263"/>
      <c r="AE46" s="16"/>
      <c r="AF46" s="261">
        <v>133791</v>
      </c>
      <c r="AG46" s="14">
        <v>166459</v>
      </c>
      <c r="AH46" s="14">
        <v>149450</v>
      </c>
      <c r="AI46" s="14">
        <v>151073</v>
      </c>
      <c r="AJ46" s="14">
        <v>192944</v>
      </c>
      <c r="AK46" s="14">
        <v>166139</v>
      </c>
      <c r="AL46" s="14">
        <v>151874</v>
      </c>
      <c r="AM46" s="14">
        <v>157771</v>
      </c>
      <c r="AN46" s="14">
        <v>200312</v>
      </c>
      <c r="AO46" s="14">
        <v>202691</v>
      </c>
      <c r="AP46" s="14">
        <v>207768</v>
      </c>
      <c r="AQ46" s="14">
        <v>113286</v>
      </c>
      <c r="AR46" s="14">
        <f>SUM(AF46:AK46)</f>
        <v>959856</v>
      </c>
      <c r="AS46" s="17"/>
      <c r="AT46" s="14">
        <v>89680</v>
      </c>
      <c r="AU46" s="14">
        <v>128308</v>
      </c>
      <c r="AV46" s="14">
        <v>144871</v>
      </c>
      <c r="AW46" s="32">
        <v>161772</v>
      </c>
      <c r="AX46" s="32">
        <v>144516</v>
      </c>
      <c r="AY46" s="32">
        <v>103667</v>
      </c>
      <c r="AZ46" s="32">
        <v>141023</v>
      </c>
      <c r="BA46" s="32">
        <v>172093</v>
      </c>
      <c r="BB46" s="32">
        <f>166606+10000</f>
        <v>176606</v>
      </c>
      <c r="BC46" s="32">
        <v>181091</v>
      </c>
      <c r="BD46" s="32">
        <v>169802</v>
      </c>
      <c r="BE46" s="32">
        <v>120406</v>
      </c>
      <c r="BF46" s="32">
        <f t="shared" si="62"/>
        <v>1733835</v>
      </c>
      <c r="BG46" s="17">
        <f>BG43/AR43</f>
        <v>9.9910256474894502E-2</v>
      </c>
      <c r="BH46" s="14">
        <v>78906</v>
      </c>
      <c r="BI46" s="14">
        <v>119296</v>
      </c>
      <c r="BJ46" s="14">
        <v>165286</v>
      </c>
      <c r="BK46" s="14">
        <v>144532</v>
      </c>
      <c r="BL46" s="32">
        <v>157691</v>
      </c>
      <c r="BM46" s="32">
        <v>129096</v>
      </c>
      <c r="BN46" s="32">
        <v>125800</v>
      </c>
      <c r="BO46" s="32">
        <v>176354</v>
      </c>
      <c r="BP46" s="32">
        <v>173554</v>
      </c>
      <c r="BQ46" s="32">
        <v>185766</v>
      </c>
      <c r="BR46" s="32"/>
      <c r="BS46" s="32"/>
      <c r="BT46" s="32">
        <f t="shared" si="75"/>
        <v>1456281</v>
      </c>
      <c r="BU46" s="28"/>
      <c r="BV46" s="14"/>
      <c r="BW46" s="14"/>
      <c r="BX46" s="14"/>
      <c r="BY46" s="32"/>
      <c r="BZ46" s="32"/>
      <c r="CA46" s="32"/>
      <c r="CB46" s="32"/>
      <c r="CC46" s="32"/>
      <c r="CD46" s="32"/>
      <c r="CE46" s="32"/>
      <c r="CF46" s="32"/>
      <c r="CG46" s="32"/>
      <c r="CH46" s="32"/>
    </row>
    <row r="47" spans="1:87" ht="15.75" customHeight="1">
      <c r="A47" s="103"/>
      <c r="B47" s="329" t="s">
        <v>76</v>
      </c>
      <c r="C47" s="330"/>
      <c r="D47" s="331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332"/>
      <c r="Q47" s="105"/>
      <c r="R47" s="333"/>
      <c r="S47" s="333"/>
      <c r="T47" s="333"/>
      <c r="U47" s="333"/>
      <c r="V47" s="333"/>
      <c r="W47" s="333"/>
      <c r="X47" s="333"/>
      <c r="Y47" s="333"/>
      <c r="Z47" s="333"/>
      <c r="AA47" s="333"/>
      <c r="AB47" s="333"/>
      <c r="AC47" s="333"/>
      <c r="AD47" s="334"/>
      <c r="AE47" s="106"/>
      <c r="AF47" s="333">
        <f t="shared" ref="AF47:AQ47" si="83">AF46-AF15</f>
        <v>133789.61233193052</v>
      </c>
      <c r="AG47" s="333">
        <f t="shared" si="83"/>
        <v>166455.18212811041</v>
      </c>
      <c r="AH47" s="333">
        <f t="shared" si="83"/>
        <v>149445.6750486806</v>
      </c>
      <c r="AI47" s="333">
        <f t="shared" si="83"/>
        <v>151069.89671180834</v>
      </c>
      <c r="AJ47" s="333">
        <f t="shared" si="83"/>
        <v>192941.30225498116</v>
      </c>
      <c r="AK47" s="333">
        <f t="shared" si="83"/>
        <v>166135.93659001941</v>
      </c>
      <c r="AL47" s="333">
        <f t="shared" si="83"/>
        <v>151872.02367906639</v>
      </c>
      <c r="AM47" s="333">
        <f t="shared" si="83"/>
        <v>157769.11460684196</v>
      </c>
      <c r="AN47" s="333">
        <f t="shared" si="83"/>
        <v>200310.23982805785</v>
      </c>
      <c r="AO47" s="333">
        <f t="shared" si="83"/>
        <v>202687.95708177862</v>
      </c>
      <c r="AP47" s="333">
        <f t="shared" si="83"/>
        <v>207764.67332379395</v>
      </c>
      <c r="AQ47" s="333">
        <f t="shared" si="83"/>
        <v>113283.89842503319</v>
      </c>
      <c r="AR47" s="107">
        <f t="shared" ref="AR47:AR55" si="84">SUM(AF47:AQ47)</f>
        <v>1993525.5120101024</v>
      </c>
      <c r="AS47" s="106"/>
      <c r="AT47" s="333">
        <f t="shared" ref="AT47:BE47" si="85">AT46-AT45</f>
        <v>-19510</v>
      </c>
      <c r="AU47" s="333">
        <f t="shared" si="85"/>
        <v>-25359</v>
      </c>
      <c r="AV47" s="333">
        <f t="shared" si="85"/>
        <v>-33907</v>
      </c>
      <c r="AW47" s="333">
        <f t="shared" si="85"/>
        <v>9802</v>
      </c>
      <c r="AX47" s="333">
        <f t="shared" si="85"/>
        <v>2100</v>
      </c>
      <c r="AY47" s="333">
        <f t="shared" si="85"/>
        <v>-73668</v>
      </c>
      <c r="AZ47" s="333">
        <f t="shared" si="85"/>
        <v>-11207</v>
      </c>
      <c r="BA47" s="333">
        <f t="shared" si="85"/>
        <v>-73434</v>
      </c>
      <c r="BB47" s="333">
        <f t="shared" si="85"/>
        <v>-18264.518518518511</v>
      </c>
      <c r="BC47" s="333">
        <f t="shared" si="85"/>
        <v>-33131.222222222219</v>
      </c>
      <c r="BD47" s="333">
        <f t="shared" si="85"/>
        <v>50394.592592592599</v>
      </c>
      <c r="BE47" s="333">
        <f t="shared" si="85"/>
        <v>86709.703703703708</v>
      </c>
      <c r="BF47" s="108">
        <f t="shared" si="62"/>
        <v>-139474.44444444444</v>
      </c>
      <c r="BG47" s="106"/>
      <c r="BH47" s="333">
        <f t="shared" ref="BH47:BQ47" si="86">BH46-BH45</f>
        <v>-77302</v>
      </c>
      <c r="BI47" s="333">
        <f t="shared" si="86"/>
        <v>-28044</v>
      </c>
      <c r="BJ47" s="333">
        <f t="shared" si="86"/>
        <v>-1473</v>
      </c>
      <c r="BK47" s="333">
        <f t="shared" si="86"/>
        <v>-7820</v>
      </c>
      <c r="BL47" s="333">
        <f t="shared" si="86"/>
        <v>29245</v>
      </c>
      <c r="BM47" s="333">
        <f t="shared" si="86"/>
        <v>2306</v>
      </c>
      <c r="BN47" s="333">
        <f t="shared" si="86"/>
        <v>-47961</v>
      </c>
      <c r="BO47" s="333">
        <f t="shared" si="86"/>
        <v>2843.4009269989911</v>
      </c>
      <c r="BP47" s="333">
        <f t="shared" si="86"/>
        <v>-29243.422556971986</v>
      </c>
      <c r="BQ47" s="333">
        <f t="shared" si="86"/>
        <v>-17156.186558516987</v>
      </c>
      <c r="BR47" s="108"/>
      <c r="BS47" s="108"/>
      <c r="BT47" s="108">
        <f t="shared" si="75"/>
        <v>-174605.20818848998</v>
      </c>
      <c r="BU47" s="28"/>
      <c r="BV47" s="333"/>
      <c r="BW47" s="333"/>
      <c r="BX47" s="333"/>
      <c r="BY47" s="333"/>
      <c r="BZ47" s="108"/>
      <c r="CA47" s="108"/>
      <c r="CB47" s="108"/>
      <c r="CC47" s="108"/>
      <c r="CD47" s="108"/>
      <c r="CE47" s="108"/>
      <c r="CF47" s="108"/>
      <c r="CG47" s="108"/>
      <c r="CH47" s="108"/>
    </row>
    <row r="48" spans="1:87" ht="15.75" customHeight="1">
      <c r="A48" s="94">
        <v>5</v>
      </c>
      <c r="B48" s="210" t="s">
        <v>77</v>
      </c>
      <c r="C48" s="335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>
        <v>0</v>
      </c>
      <c r="P48" s="314">
        <f>SUM(D48:O48)</f>
        <v>0</v>
      </c>
      <c r="Q48" s="90"/>
      <c r="R48" s="313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315">
        <f>SUM(R48:AC48)</f>
        <v>0</v>
      </c>
      <c r="AE48" s="23"/>
      <c r="AF48" s="316">
        <v>0</v>
      </c>
      <c r="AG48" s="91">
        <v>0</v>
      </c>
      <c r="AH48" s="91">
        <v>0</v>
      </c>
      <c r="AI48" s="91">
        <v>0</v>
      </c>
      <c r="AJ48" s="91">
        <v>0</v>
      </c>
      <c r="AK48" s="91">
        <v>0</v>
      </c>
      <c r="AL48" s="91">
        <v>0</v>
      </c>
      <c r="AM48" s="91">
        <v>0</v>
      </c>
      <c r="AN48" s="91">
        <v>0</v>
      </c>
      <c r="AO48" s="91">
        <v>0</v>
      </c>
      <c r="AP48" s="91"/>
      <c r="AQ48" s="91">
        <v>8938</v>
      </c>
      <c r="AR48" s="92">
        <f t="shared" si="84"/>
        <v>8938</v>
      </c>
      <c r="AS48" s="23"/>
      <c r="AT48" s="91">
        <v>106642</v>
      </c>
      <c r="AU48" s="91">
        <v>90699</v>
      </c>
      <c r="AV48" s="91">
        <v>89681</v>
      </c>
      <c r="AW48" s="91">
        <v>58790</v>
      </c>
      <c r="AX48" s="91">
        <v>35520</v>
      </c>
      <c r="AY48" s="91">
        <v>61551</v>
      </c>
      <c r="AZ48" s="91">
        <v>71511</v>
      </c>
      <c r="BA48" s="91">
        <v>63617</v>
      </c>
      <c r="BB48" s="91">
        <v>66748</v>
      </c>
      <c r="BC48" s="91">
        <v>75532</v>
      </c>
      <c r="BD48" s="91">
        <v>37786</v>
      </c>
      <c r="BE48" s="91">
        <v>4503</v>
      </c>
      <c r="BF48" s="91">
        <f t="shared" si="62"/>
        <v>762580</v>
      </c>
      <c r="BG48" s="27"/>
      <c r="BH48" s="91">
        <v>69404</v>
      </c>
      <c r="BI48" s="91">
        <v>80412</v>
      </c>
      <c r="BJ48" s="91">
        <v>94386</v>
      </c>
      <c r="BK48" s="91">
        <v>78313</v>
      </c>
      <c r="BL48" s="91">
        <v>47034</v>
      </c>
      <c r="BM48" s="91">
        <v>50851</v>
      </c>
      <c r="BN48" s="91">
        <v>93202</v>
      </c>
      <c r="BO48" s="91">
        <v>100687</v>
      </c>
      <c r="BP48" s="91">
        <v>127995</v>
      </c>
      <c r="BQ48" s="91">
        <v>122686</v>
      </c>
      <c r="BR48" s="91"/>
      <c r="BS48" s="91"/>
      <c r="BT48" s="91"/>
      <c r="BU48" s="28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</row>
    <row r="49" spans="1:87">
      <c r="A49" s="13" t="s">
        <v>78</v>
      </c>
      <c r="B49" s="259"/>
      <c r="C49" s="260"/>
      <c r="D49" s="277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262"/>
      <c r="Q49" s="15"/>
      <c r="R49" s="277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263"/>
      <c r="AE49" s="16"/>
      <c r="AF49" s="261">
        <f t="shared" ref="AF49:AQ49" si="87">AF50+AF52</f>
        <v>118364</v>
      </c>
      <c r="AG49" s="261">
        <f t="shared" si="87"/>
        <v>173742</v>
      </c>
      <c r="AH49" s="261">
        <f t="shared" si="87"/>
        <v>73470</v>
      </c>
      <c r="AI49" s="261">
        <f t="shared" si="87"/>
        <v>87377</v>
      </c>
      <c r="AJ49" s="261">
        <f t="shared" si="87"/>
        <v>119657</v>
      </c>
      <c r="AK49" s="261">
        <f t="shared" si="87"/>
        <v>154747</v>
      </c>
      <c r="AL49" s="261">
        <f t="shared" si="87"/>
        <v>138073</v>
      </c>
      <c r="AM49" s="261">
        <f t="shared" si="87"/>
        <v>180773</v>
      </c>
      <c r="AN49" s="261">
        <f t="shared" si="87"/>
        <v>194598</v>
      </c>
      <c r="AO49" s="261">
        <f t="shared" si="87"/>
        <v>242931</v>
      </c>
      <c r="AP49" s="261">
        <f t="shared" si="87"/>
        <v>107346</v>
      </c>
      <c r="AQ49" s="261">
        <f t="shared" si="87"/>
        <v>87384</v>
      </c>
      <c r="AR49" s="14">
        <f t="shared" si="84"/>
        <v>1678462</v>
      </c>
      <c r="AS49" s="17"/>
      <c r="AT49" s="261">
        <f t="shared" ref="AT49:BE49" si="88">AT50+AT52</f>
        <v>155346</v>
      </c>
      <c r="AU49" s="261">
        <f t="shared" si="88"/>
        <v>123370</v>
      </c>
      <c r="AV49" s="261">
        <f t="shared" si="88"/>
        <v>144065</v>
      </c>
      <c r="AW49" s="261">
        <f t="shared" si="88"/>
        <v>127865</v>
      </c>
      <c r="AX49" s="261">
        <f t="shared" si="88"/>
        <v>123461</v>
      </c>
      <c r="AY49" s="261">
        <f t="shared" si="88"/>
        <v>121196</v>
      </c>
      <c r="AZ49" s="261">
        <f t="shared" si="88"/>
        <v>168029</v>
      </c>
      <c r="BA49" s="261">
        <f t="shared" si="88"/>
        <v>164268</v>
      </c>
      <c r="BB49" s="261">
        <f t="shared" si="88"/>
        <v>185112</v>
      </c>
      <c r="BC49" s="261">
        <f t="shared" si="88"/>
        <v>147235</v>
      </c>
      <c r="BD49" s="261">
        <f t="shared" si="88"/>
        <v>135608</v>
      </c>
      <c r="BE49" s="261">
        <f t="shared" si="88"/>
        <v>90194</v>
      </c>
      <c r="BF49" s="32">
        <f t="shared" si="62"/>
        <v>1685749</v>
      </c>
      <c r="BG49" s="35">
        <f t="shared" ref="BG49:BG50" si="89">BF49/AR49-1</f>
        <v>4.3414745165515356E-3</v>
      </c>
      <c r="BH49" s="261">
        <f>BH50+BH52</f>
        <v>144332</v>
      </c>
      <c r="BI49" s="261">
        <f t="shared" ref="BI49:BQ49" si="90">BI50+BI52</f>
        <v>128781</v>
      </c>
      <c r="BJ49" s="261">
        <f t="shared" si="90"/>
        <v>193129</v>
      </c>
      <c r="BK49" s="261">
        <f t="shared" si="90"/>
        <v>106092</v>
      </c>
      <c r="BL49" s="261">
        <f t="shared" si="90"/>
        <v>132638</v>
      </c>
      <c r="BM49" s="261">
        <f t="shared" si="90"/>
        <v>139193</v>
      </c>
      <c r="BN49" s="261">
        <f t="shared" si="90"/>
        <v>173703</v>
      </c>
      <c r="BO49" s="261">
        <f t="shared" si="90"/>
        <v>186902</v>
      </c>
      <c r="BP49" s="261">
        <f t="shared" si="90"/>
        <v>200686</v>
      </c>
      <c r="BQ49" s="261">
        <f t="shared" si="90"/>
        <v>191324</v>
      </c>
      <c r="BR49" s="14"/>
      <c r="BS49" s="14"/>
      <c r="BT49" s="14">
        <f t="shared" ref="BT49:BT54" si="91">SUM(BH49:BS49)</f>
        <v>1596780</v>
      </c>
      <c r="BU49" s="18"/>
      <c r="BV49" s="261"/>
      <c r="BW49" s="261"/>
      <c r="BX49" s="261"/>
      <c r="BY49" s="261"/>
      <c r="BZ49" s="14"/>
      <c r="CA49" s="14"/>
      <c r="CB49" s="14"/>
      <c r="CC49" s="14"/>
      <c r="CD49" s="14"/>
      <c r="CE49" s="14"/>
      <c r="CF49" s="14"/>
      <c r="CG49" s="14"/>
      <c r="CH49" s="14"/>
    </row>
    <row r="50" spans="1:87" ht="15.75" customHeight="1">
      <c r="A50" s="210"/>
      <c r="B50" s="210" t="s">
        <v>79</v>
      </c>
      <c r="C50" s="316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92193</v>
      </c>
      <c r="AG50" s="91">
        <v>152006</v>
      </c>
      <c r="AH50" s="91">
        <v>62734</v>
      </c>
      <c r="AI50" s="91">
        <v>71526</v>
      </c>
      <c r="AJ50" s="91">
        <v>89409</v>
      </c>
      <c r="AK50" s="91">
        <v>120675</v>
      </c>
      <c r="AL50" s="91">
        <v>100592</v>
      </c>
      <c r="AM50" s="91">
        <v>148128</v>
      </c>
      <c r="AN50" s="91">
        <v>164346</v>
      </c>
      <c r="AO50" s="91">
        <v>203437</v>
      </c>
      <c r="AP50" s="91">
        <v>64957</v>
      </c>
      <c r="AQ50" s="91">
        <v>31837</v>
      </c>
      <c r="AR50" s="92">
        <f t="shared" si="84"/>
        <v>1301840</v>
      </c>
      <c r="AS50" s="23"/>
      <c r="AT50" s="91">
        <v>125048</v>
      </c>
      <c r="AU50" s="91">
        <v>96006</v>
      </c>
      <c r="AV50" s="91">
        <v>111470</v>
      </c>
      <c r="AW50" s="91">
        <v>99222</v>
      </c>
      <c r="AX50" s="91">
        <v>91253</v>
      </c>
      <c r="AY50" s="91">
        <v>90595</v>
      </c>
      <c r="AZ50" s="91">
        <v>129147</v>
      </c>
      <c r="BA50" s="91">
        <v>133525</v>
      </c>
      <c r="BB50" s="91">
        <v>159291</v>
      </c>
      <c r="BC50" s="91">
        <v>115573</v>
      </c>
      <c r="BD50" s="91">
        <v>98386</v>
      </c>
      <c r="BE50" s="91">
        <v>36527</v>
      </c>
      <c r="BF50" s="91">
        <f t="shared" si="62"/>
        <v>1286043</v>
      </c>
      <c r="BG50" s="93">
        <f t="shared" si="89"/>
        <v>-1.2134363669882631E-2</v>
      </c>
      <c r="BH50" s="91">
        <v>110235</v>
      </c>
      <c r="BI50" s="91">
        <v>103047</v>
      </c>
      <c r="BJ50" s="91">
        <v>158855</v>
      </c>
      <c r="BK50" s="91">
        <v>77254</v>
      </c>
      <c r="BL50" s="91">
        <v>99853</v>
      </c>
      <c r="BM50" s="91">
        <v>100723</v>
      </c>
      <c r="BN50" s="91">
        <v>125338</v>
      </c>
      <c r="BO50" s="91">
        <v>153622</v>
      </c>
      <c r="BP50" s="91">
        <v>166483</v>
      </c>
      <c r="BQ50" s="91">
        <v>156140</v>
      </c>
      <c r="BR50" s="91">
        <v>111391</v>
      </c>
      <c r="BS50" s="91">
        <v>26768</v>
      </c>
      <c r="BT50" s="91">
        <f t="shared" si="91"/>
        <v>1389709</v>
      </c>
      <c r="BU50" s="28"/>
      <c r="BV50" s="91">
        <v>54245</v>
      </c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</row>
    <row r="51" spans="1:87" ht="15.75" customHeight="1">
      <c r="A51" s="103"/>
      <c r="B51" s="329" t="s">
        <v>279</v>
      </c>
      <c r="C51" s="330"/>
      <c r="D51" s="331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332"/>
      <c r="Q51" s="105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334"/>
      <c r="AE51" s="106"/>
      <c r="AF51" s="333">
        <f t="shared" ref="AF51:AQ51" si="92">AF50-AF20</f>
        <v>2047</v>
      </c>
      <c r="AG51" s="333">
        <f t="shared" si="92"/>
        <v>-3571</v>
      </c>
      <c r="AH51" s="333">
        <f t="shared" si="92"/>
        <v>-219</v>
      </c>
      <c r="AI51" s="333">
        <f t="shared" si="92"/>
        <v>-1735</v>
      </c>
      <c r="AJ51" s="333">
        <f t="shared" si="92"/>
        <v>-2447</v>
      </c>
      <c r="AK51" s="333">
        <f t="shared" si="92"/>
        <v>675</v>
      </c>
      <c r="AL51" s="333">
        <f t="shared" si="92"/>
        <v>-9703</v>
      </c>
      <c r="AM51" s="333">
        <f t="shared" si="92"/>
        <v>-52075</v>
      </c>
      <c r="AN51" s="333">
        <f t="shared" si="92"/>
        <v>-59487.333333333343</v>
      </c>
      <c r="AO51" s="333">
        <f t="shared" si="92"/>
        <v>-15063</v>
      </c>
      <c r="AP51" s="333">
        <f t="shared" si="92"/>
        <v>-23043</v>
      </c>
      <c r="AQ51" s="333">
        <f t="shared" si="92"/>
        <v>-11563</v>
      </c>
      <c r="AR51" s="107">
        <f t="shared" si="84"/>
        <v>-176184.33333333334</v>
      </c>
      <c r="AS51" s="106"/>
      <c r="AT51" s="333">
        <f t="shared" ref="AT51:BE51" si="93">AT50-AT20</f>
        <v>8451.75</v>
      </c>
      <c r="AU51" s="333">
        <f t="shared" si="93"/>
        <v>-37227.103448275855</v>
      </c>
      <c r="AV51" s="333">
        <f t="shared" si="93"/>
        <v>-6779.1379310344782</v>
      </c>
      <c r="AW51" s="333">
        <f t="shared" si="93"/>
        <v>-22342.137931034478</v>
      </c>
      <c r="AX51" s="333">
        <f t="shared" si="93"/>
        <v>4719.0344827586232</v>
      </c>
      <c r="AY51" s="333">
        <f t="shared" si="93"/>
        <v>-14182.777777777781</v>
      </c>
      <c r="AZ51" s="333">
        <f t="shared" si="93"/>
        <v>-6630.777777777781</v>
      </c>
      <c r="BA51" s="333">
        <f t="shared" si="93"/>
        <v>-77771.296296296292</v>
      </c>
      <c r="BB51" s="333">
        <f t="shared" si="93"/>
        <v>-51486.777777777781</v>
      </c>
      <c r="BC51" s="333">
        <f t="shared" si="93"/>
        <v>-99233.290755657828</v>
      </c>
      <c r="BD51" s="333">
        <f t="shared" si="93"/>
        <v>5175.413118527038</v>
      </c>
      <c r="BE51" s="333">
        <f t="shared" si="93"/>
        <v>5840.3870349060235</v>
      </c>
      <c r="BF51" s="108">
        <f t="shared" si="62"/>
        <v>-291466.71505944064</v>
      </c>
      <c r="BG51" s="106"/>
      <c r="BH51" s="333">
        <f t="shared" ref="BH51:BQ51" si="94">BH50-BH17</f>
        <v>-6365</v>
      </c>
      <c r="BI51" s="333">
        <f t="shared" si="94"/>
        <v>-8486.3333333333285</v>
      </c>
      <c r="BJ51" s="333">
        <f t="shared" si="94"/>
        <v>23180.925925925927</v>
      </c>
      <c r="BK51" s="333">
        <f t="shared" si="94"/>
        <v>-44486.740740740745</v>
      </c>
      <c r="BL51" s="333">
        <f t="shared" si="94"/>
        <v>5926.148148148146</v>
      </c>
      <c r="BM51" s="333">
        <f t="shared" si="94"/>
        <v>10043.740740740745</v>
      </c>
      <c r="BN51" s="333">
        <f t="shared" si="94"/>
        <v>-4917.555555555562</v>
      </c>
      <c r="BO51" s="333">
        <f t="shared" si="94"/>
        <v>3071.6218888889125</v>
      </c>
      <c r="BP51" s="333">
        <f t="shared" si="94"/>
        <v>4652.2504629629548</v>
      </c>
      <c r="BQ51" s="333">
        <f t="shared" si="94"/>
        <v>29010</v>
      </c>
      <c r="BR51" s="108"/>
      <c r="BS51" s="108"/>
      <c r="BT51" s="108">
        <f t="shared" si="91"/>
        <v>11629.05753703705</v>
      </c>
      <c r="BU51" s="28"/>
      <c r="BV51" s="333"/>
      <c r="BW51" s="333"/>
      <c r="BX51" s="333"/>
      <c r="BY51" s="333"/>
      <c r="BZ51" s="108"/>
      <c r="CA51" s="108"/>
      <c r="CB51" s="108"/>
      <c r="CC51" s="108"/>
      <c r="CD51" s="108"/>
      <c r="CE51" s="108"/>
      <c r="CF51" s="108"/>
      <c r="CG51" s="108"/>
      <c r="CH51" s="108"/>
    </row>
    <row r="52" spans="1:87" ht="15.75" customHeight="1">
      <c r="A52" s="94"/>
      <c r="B52" s="336" t="s">
        <v>81</v>
      </c>
      <c r="C52" s="335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/>
      <c r="Q52" s="90"/>
      <c r="R52" s="316"/>
      <c r="S52" s="316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5"/>
      <c r="AE52" s="23"/>
      <c r="AF52" s="316">
        <v>26171</v>
      </c>
      <c r="AG52" s="316">
        <v>21736</v>
      </c>
      <c r="AH52" s="316">
        <v>10736</v>
      </c>
      <c r="AI52" s="316">
        <v>15851</v>
      </c>
      <c r="AJ52" s="316">
        <v>30248</v>
      </c>
      <c r="AK52" s="316">
        <v>34072</v>
      </c>
      <c r="AL52" s="316">
        <v>37481</v>
      </c>
      <c r="AM52" s="91">
        <v>32645</v>
      </c>
      <c r="AN52" s="91">
        <v>30252</v>
      </c>
      <c r="AO52" s="91">
        <v>39494</v>
      </c>
      <c r="AP52" s="91">
        <v>42389</v>
      </c>
      <c r="AQ52" s="91">
        <v>55547</v>
      </c>
      <c r="AR52" s="92">
        <f t="shared" si="84"/>
        <v>376622</v>
      </c>
      <c r="AS52" s="23"/>
      <c r="AT52" s="91">
        <v>30298</v>
      </c>
      <c r="AU52" s="91">
        <v>27364</v>
      </c>
      <c r="AV52" s="91">
        <v>32595</v>
      </c>
      <c r="AW52" s="91">
        <v>28643</v>
      </c>
      <c r="AX52" s="91">
        <v>32208</v>
      </c>
      <c r="AY52" s="91">
        <v>30601</v>
      </c>
      <c r="AZ52" s="91">
        <v>38882</v>
      </c>
      <c r="BA52" s="91">
        <v>30743</v>
      </c>
      <c r="BB52" s="91">
        <f>24621+1200</f>
        <v>25821</v>
      </c>
      <c r="BC52" s="91">
        <v>31662</v>
      </c>
      <c r="BD52" s="91">
        <v>37222</v>
      </c>
      <c r="BE52" s="91">
        <v>53667</v>
      </c>
      <c r="BF52" s="91">
        <f t="shared" si="62"/>
        <v>399706</v>
      </c>
      <c r="BG52" s="93">
        <f>BF52/AR52-1</f>
        <v>6.1292224033646425E-2</v>
      </c>
      <c r="BH52" s="91">
        <v>34097</v>
      </c>
      <c r="BI52" s="91">
        <v>25734</v>
      </c>
      <c r="BJ52" s="91">
        <v>34274</v>
      </c>
      <c r="BK52" s="91">
        <v>28838</v>
      </c>
      <c r="BL52" s="91">
        <v>32785</v>
      </c>
      <c r="BM52" s="91">
        <v>38470</v>
      </c>
      <c r="BN52" s="91">
        <v>48365</v>
      </c>
      <c r="BO52" s="91">
        <v>33280</v>
      </c>
      <c r="BP52" s="91">
        <v>34203</v>
      </c>
      <c r="BQ52" s="91">
        <v>35184</v>
      </c>
      <c r="BR52" s="91">
        <v>34873</v>
      </c>
      <c r="BS52" s="91">
        <v>48960</v>
      </c>
      <c r="BT52" s="91">
        <f t="shared" si="91"/>
        <v>429063</v>
      </c>
      <c r="BU52" s="28"/>
      <c r="BV52" s="91">
        <v>22115</v>
      </c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</row>
    <row r="53" spans="1:87" ht="15.75" customHeight="1">
      <c r="A53" s="103"/>
      <c r="B53" s="329" t="s">
        <v>280</v>
      </c>
      <c r="C53" s="330"/>
      <c r="D53" s="331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332"/>
      <c r="Q53" s="105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06"/>
      <c r="AF53" s="333">
        <f t="shared" ref="AF53:AQ53" si="95">AF52-AF43</f>
        <v>-12329</v>
      </c>
      <c r="AG53" s="333">
        <f t="shared" si="95"/>
        <v>-664</v>
      </c>
      <c r="AH53" s="333">
        <f t="shared" si="95"/>
        <v>65</v>
      </c>
      <c r="AI53" s="333">
        <f t="shared" si="95"/>
        <v>-246</v>
      </c>
      <c r="AJ53" s="333">
        <f t="shared" si="95"/>
        <v>-30</v>
      </c>
      <c r="AK53" s="333">
        <f t="shared" si="95"/>
        <v>5512</v>
      </c>
      <c r="AL53" s="333">
        <f t="shared" si="95"/>
        <v>-4219</v>
      </c>
      <c r="AM53" s="333">
        <f t="shared" si="95"/>
        <v>-6055</v>
      </c>
      <c r="AN53" s="333">
        <f t="shared" si="95"/>
        <v>-7048</v>
      </c>
      <c r="AO53" s="333">
        <f t="shared" si="95"/>
        <v>2094</v>
      </c>
      <c r="AP53" s="333">
        <f t="shared" si="95"/>
        <v>1749</v>
      </c>
      <c r="AQ53" s="333">
        <f t="shared" si="95"/>
        <v>1107</v>
      </c>
      <c r="AR53" s="107">
        <f t="shared" si="84"/>
        <v>-20064</v>
      </c>
      <c r="AS53" s="106"/>
      <c r="AT53" s="333">
        <f t="shared" ref="AT53:BE53" si="96">AT52-AT43</f>
        <v>-5855</v>
      </c>
      <c r="AU53" s="333">
        <f t="shared" si="96"/>
        <v>-7925</v>
      </c>
      <c r="AV53" s="333">
        <f t="shared" si="96"/>
        <v>-3277</v>
      </c>
      <c r="AW53" s="333">
        <f t="shared" si="96"/>
        <v>-9388</v>
      </c>
      <c r="AX53" s="333">
        <f t="shared" si="96"/>
        <v>-1358</v>
      </c>
      <c r="AY53" s="333">
        <f t="shared" si="96"/>
        <v>-2965</v>
      </c>
      <c r="AZ53" s="333">
        <f t="shared" si="96"/>
        <v>7986</v>
      </c>
      <c r="BA53" s="333">
        <f t="shared" si="96"/>
        <v>-403</v>
      </c>
      <c r="BB53" s="333">
        <f t="shared" si="96"/>
        <v>-6809</v>
      </c>
      <c r="BC53" s="333">
        <f t="shared" si="96"/>
        <v>-6900</v>
      </c>
      <c r="BD53" s="333">
        <f t="shared" si="96"/>
        <v>-4123</v>
      </c>
      <c r="BE53" s="333">
        <f t="shared" si="96"/>
        <v>4404</v>
      </c>
      <c r="BF53" s="108">
        <f t="shared" si="62"/>
        <v>-36613</v>
      </c>
      <c r="BG53" s="106"/>
      <c r="BH53" s="333">
        <f t="shared" ref="BH53:BQ53" si="97">BH52-BH43</f>
        <v>-2056</v>
      </c>
      <c r="BI53" s="333">
        <f t="shared" si="97"/>
        <v>-9555</v>
      </c>
      <c r="BJ53" s="333">
        <f t="shared" si="97"/>
        <v>-1598</v>
      </c>
      <c r="BK53" s="333">
        <f t="shared" si="97"/>
        <v>-9193</v>
      </c>
      <c r="BL53" s="333">
        <f t="shared" si="97"/>
        <v>-5785</v>
      </c>
      <c r="BM53" s="333">
        <f t="shared" si="97"/>
        <v>-757</v>
      </c>
      <c r="BN53" s="333">
        <f t="shared" si="97"/>
        <v>7237</v>
      </c>
      <c r="BO53" s="333">
        <f t="shared" si="97"/>
        <v>-4911</v>
      </c>
      <c r="BP53" s="333">
        <f t="shared" si="97"/>
        <v>-3988</v>
      </c>
      <c r="BQ53" s="333">
        <f t="shared" si="97"/>
        <v>-5041</v>
      </c>
      <c r="BR53" s="108"/>
      <c r="BS53" s="108"/>
      <c r="BT53" s="108">
        <f t="shared" si="91"/>
        <v>-35647</v>
      </c>
      <c r="BU53" s="28"/>
      <c r="BV53" s="333"/>
      <c r="BW53" s="333"/>
      <c r="BX53" s="333"/>
      <c r="BY53" s="333"/>
      <c r="BZ53" s="108"/>
      <c r="CA53" s="108"/>
      <c r="CB53" s="108"/>
      <c r="CC53" s="108"/>
      <c r="CD53" s="108"/>
      <c r="CE53" s="108"/>
      <c r="CF53" s="108"/>
      <c r="CG53" s="108"/>
      <c r="CH53" s="108"/>
    </row>
    <row r="54" spans="1:87" ht="15.75" customHeight="1">
      <c r="A54" s="103" t="s">
        <v>83</v>
      </c>
      <c r="B54" s="337"/>
      <c r="C54" s="330"/>
      <c r="D54" s="331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332"/>
      <c r="Q54" s="105"/>
      <c r="R54" s="333"/>
      <c r="S54" s="333"/>
      <c r="T54" s="333"/>
      <c r="U54" s="333"/>
      <c r="V54" s="333"/>
      <c r="W54" s="333"/>
      <c r="X54" s="333"/>
      <c r="Y54" s="333"/>
      <c r="Z54" s="333"/>
      <c r="AA54" s="333"/>
      <c r="AB54" s="333"/>
      <c r="AC54" s="333"/>
      <c r="AD54" s="334"/>
      <c r="AE54" s="106"/>
      <c r="AF54" s="333">
        <f t="shared" ref="AF54:AQ55" si="98">AF49-AF16</f>
        <v>-10282</v>
      </c>
      <c r="AG54" s="333">
        <f t="shared" si="98"/>
        <v>-4235</v>
      </c>
      <c r="AH54" s="333">
        <f t="shared" si="98"/>
        <v>-154</v>
      </c>
      <c r="AI54" s="333">
        <f t="shared" si="98"/>
        <v>-1981</v>
      </c>
      <c r="AJ54" s="333">
        <f t="shared" si="98"/>
        <v>-2477</v>
      </c>
      <c r="AK54" s="333">
        <f t="shared" si="98"/>
        <v>6187</v>
      </c>
      <c r="AL54" s="333">
        <f t="shared" si="98"/>
        <v>-13922</v>
      </c>
      <c r="AM54" s="333">
        <f t="shared" si="98"/>
        <v>-58130</v>
      </c>
      <c r="AN54" s="333">
        <f t="shared" si="98"/>
        <v>-66535.333333333343</v>
      </c>
      <c r="AO54" s="333">
        <f t="shared" si="98"/>
        <v>-12969</v>
      </c>
      <c r="AP54" s="333">
        <f t="shared" si="98"/>
        <v>-21294</v>
      </c>
      <c r="AQ54" s="333">
        <f t="shared" si="98"/>
        <v>-10456</v>
      </c>
      <c r="AR54" s="107">
        <f t="shared" si="84"/>
        <v>-196248.33333333334</v>
      </c>
      <c r="AS54" s="106"/>
      <c r="AT54" s="333">
        <f t="shared" ref="AT54:BE54" si="99">AT49-AT16</f>
        <v>2596.75</v>
      </c>
      <c r="AU54" s="333">
        <f t="shared" si="99"/>
        <v>-45152.103448275855</v>
      </c>
      <c r="AV54" s="333">
        <f t="shared" si="99"/>
        <v>-10056.137931034493</v>
      </c>
      <c r="AW54" s="333">
        <f t="shared" si="99"/>
        <v>-31730.137931034493</v>
      </c>
      <c r="AX54" s="333">
        <f t="shared" si="99"/>
        <v>3361.0344827586232</v>
      </c>
      <c r="AY54" s="333">
        <f t="shared" si="99"/>
        <v>-17147.777777777781</v>
      </c>
      <c r="AZ54" s="333">
        <f t="shared" si="99"/>
        <v>1355.222222222219</v>
      </c>
      <c r="BA54" s="333">
        <f t="shared" si="99"/>
        <v>-78174.296296296292</v>
      </c>
      <c r="BB54" s="333">
        <f t="shared" si="99"/>
        <v>-58295.777777777781</v>
      </c>
      <c r="BC54" s="333">
        <f t="shared" si="99"/>
        <v>-106133.29075565783</v>
      </c>
      <c r="BD54" s="333">
        <f t="shared" si="99"/>
        <v>1052.413118527038</v>
      </c>
      <c r="BE54" s="333">
        <f t="shared" si="99"/>
        <v>17507.387034906016</v>
      </c>
      <c r="BF54" s="108">
        <f t="shared" si="62"/>
        <v>-320816.71505944064</v>
      </c>
      <c r="BG54" s="106"/>
      <c r="BH54" s="333">
        <f t="shared" ref="BH54:BQ54" si="100">BH49-BH16</f>
        <v>-8421</v>
      </c>
      <c r="BI54" s="333">
        <f t="shared" si="100"/>
        <v>-18041.333333333314</v>
      </c>
      <c r="BJ54" s="333">
        <f t="shared" si="100"/>
        <v>21582.925925925927</v>
      </c>
      <c r="BK54" s="333">
        <f t="shared" si="100"/>
        <v>-53679.74074074073</v>
      </c>
      <c r="BL54" s="333">
        <f t="shared" si="100"/>
        <v>141.14814814814599</v>
      </c>
      <c r="BM54" s="333">
        <f t="shared" si="100"/>
        <v>9286.7407407407445</v>
      </c>
      <c r="BN54" s="333">
        <f t="shared" si="100"/>
        <v>2319.444444444438</v>
      </c>
      <c r="BO54" s="333">
        <f t="shared" si="100"/>
        <v>7351.6218888889125</v>
      </c>
      <c r="BP54" s="333">
        <f t="shared" si="100"/>
        <v>-1367.7495370370452</v>
      </c>
      <c r="BQ54" s="333">
        <f t="shared" si="100"/>
        <v>27459</v>
      </c>
      <c r="BR54" s="108"/>
      <c r="BS54" s="108"/>
      <c r="BT54" s="108">
        <f t="shared" si="91"/>
        <v>-13368.942462962921</v>
      </c>
      <c r="BU54" s="28"/>
      <c r="BV54" s="333"/>
      <c r="BW54" s="333"/>
      <c r="BX54" s="333"/>
      <c r="BY54" s="333"/>
      <c r="BZ54" s="108"/>
      <c r="CA54" s="108"/>
      <c r="CB54" s="108"/>
      <c r="CC54" s="108"/>
      <c r="CD54" s="108"/>
      <c r="CE54" s="108"/>
      <c r="CF54" s="108"/>
      <c r="CG54" s="108"/>
      <c r="CH54" s="108"/>
    </row>
    <row r="55" spans="1:87" ht="15.75" customHeight="1">
      <c r="A55" s="103" t="s">
        <v>85</v>
      </c>
      <c r="B55" s="337"/>
      <c r="C55" s="330"/>
      <c r="D55" s="331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332"/>
      <c r="Q55" s="105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06"/>
      <c r="AF55" s="333">
        <f t="shared" si="98"/>
        <v>92193</v>
      </c>
      <c r="AG55" s="333">
        <f t="shared" si="98"/>
        <v>152006</v>
      </c>
      <c r="AH55" s="333">
        <f t="shared" si="98"/>
        <v>62734</v>
      </c>
      <c r="AI55" s="333">
        <f t="shared" si="98"/>
        <v>71526</v>
      </c>
      <c r="AJ55" s="333">
        <f t="shared" si="98"/>
        <v>89409</v>
      </c>
      <c r="AK55" s="333">
        <f t="shared" si="98"/>
        <v>120675</v>
      </c>
      <c r="AL55" s="333">
        <f t="shared" si="98"/>
        <v>100592</v>
      </c>
      <c r="AM55" s="333">
        <f t="shared" si="98"/>
        <v>148128</v>
      </c>
      <c r="AN55" s="333">
        <f t="shared" si="98"/>
        <v>164346</v>
      </c>
      <c r="AO55" s="333">
        <f t="shared" si="98"/>
        <v>203437</v>
      </c>
      <c r="AP55" s="333">
        <f t="shared" si="98"/>
        <v>64957</v>
      </c>
      <c r="AQ55" s="333">
        <f t="shared" si="98"/>
        <v>31837</v>
      </c>
      <c r="AR55" s="107">
        <f t="shared" si="84"/>
        <v>1301840</v>
      </c>
      <c r="AS55" s="106"/>
      <c r="AT55" s="338">
        <f t="shared" ref="AT55:BE55" si="101">AT54/AT16</f>
        <v>1.7000083470131603E-2</v>
      </c>
      <c r="AU55" s="338">
        <f t="shared" si="101"/>
        <v>-0.26792985919579565</v>
      </c>
      <c r="AV55" s="338">
        <f t="shared" si="101"/>
        <v>-6.5248272015318062E-2</v>
      </c>
      <c r="AW55" s="338">
        <f t="shared" si="101"/>
        <v>-0.19881644480138216</v>
      </c>
      <c r="AX55" s="338">
        <f t="shared" si="101"/>
        <v>2.798530764170884E-2</v>
      </c>
      <c r="AY55" s="338">
        <f t="shared" si="101"/>
        <v>-0.12395048084722922</v>
      </c>
      <c r="AZ55" s="338">
        <f t="shared" si="101"/>
        <v>8.1309864112464342E-3</v>
      </c>
      <c r="BA55" s="338">
        <f t="shared" si="101"/>
        <v>-0.32244495902957893</v>
      </c>
      <c r="BB55" s="338">
        <f t="shared" si="101"/>
        <v>-0.23949841829212068</v>
      </c>
      <c r="BC55" s="338">
        <f t="shared" si="101"/>
        <v>-0.41888939787658819</v>
      </c>
      <c r="BD55" s="338">
        <f t="shared" si="101"/>
        <v>7.8214003811977375E-3</v>
      </c>
      <c r="BE55" s="338">
        <f t="shared" si="101"/>
        <v>0.24086123043473662</v>
      </c>
      <c r="BF55" s="109">
        <f>AVERAGE(AT55:BE55)</f>
        <v>-0.11124823530991597</v>
      </c>
      <c r="BG55" s="106"/>
      <c r="BH55" s="338">
        <f t="shared" ref="BH55:BQ55" si="102">BH54/BH16</f>
        <v>-5.512821352117471E-2</v>
      </c>
      <c r="BI55" s="338">
        <f t="shared" si="102"/>
        <v>-0.12287867195499311</v>
      </c>
      <c r="BJ55" s="338">
        <f t="shared" si="102"/>
        <v>0.12581416416796784</v>
      </c>
      <c r="BK55" s="338">
        <f t="shared" si="102"/>
        <v>-0.33597769224938256</v>
      </c>
      <c r="BL55" s="338">
        <f t="shared" si="102"/>
        <v>1.0652943536044719E-3</v>
      </c>
      <c r="BM55" s="338">
        <f t="shared" si="102"/>
        <v>7.1488016002422286E-2</v>
      </c>
      <c r="BN55" s="338">
        <f t="shared" si="102"/>
        <v>1.3533646427895287E-2</v>
      </c>
      <c r="BO55" s="338">
        <f t="shared" si="102"/>
        <v>4.0944619366602007E-2</v>
      </c>
      <c r="BP55" s="338">
        <f t="shared" si="102"/>
        <v>-6.7692361075750926E-3</v>
      </c>
      <c r="BQ55" s="338">
        <f t="shared" si="102"/>
        <v>0.16757086626186191</v>
      </c>
      <c r="BR55" s="109"/>
      <c r="BS55" s="109"/>
      <c r="BT55" s="338">
        <f>BT54/BT16</f>
        <v>-7.1185036907011742E-3</v>
      </c>
      <c r="BU55" s="54"/>
      <c r="BV55" s="338"/>
      <c r="BW55" s="338"/>
      <c r="BX55" s="338"/>
      <c r="BY55" s="338"/>
      <c r="BZ55" s="109"/>
      <c r="CA55" s="109"/>
      <c r="CB55" s="109"/>
      <c r="CC55" s="109"/>
      <c r="CD55" s="109"/>
      <c r="CE55" s="109"/>
      <c r="CF55" s="109"/>
      <c r="CG55" s="109"/>
      <c r="CH55" s="109"/>
    </row>
    <row r="56" spans="1:87" ht="14.25" customHeight="1">
      <c r="A56" s="55" t="s">
        <v>86</v>
      </c>
      <c r="B56" s="56"/>
      <c r="C56" s="280"/>
      <c r="D56" s="288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289"/>
      <c r="Q56" s="39"/>
      <c r="R56" s="288"/>
      <c r="S56" s="58"/>
      <c r="T56" s="58"/>
      <c r="U56" s="58"/>
      <c r="V56" s="58"/>
      <c r="W56" s="290"/>
      <c r="X56" s="290"/>
      <c r="Y56" s="290"/>
      <c r="Z56" s="290"/>
      <c r="AA56" s="290"/>
      <c r="AB56" s="290"/>
      <c r="AC56" s="290"/>
      <c r="AD56" s="291"/>
      <c r="AE56" s="59"/>
      <c r="AF56" s="292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9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9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60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</row>
    <row r="57" spans="1:87" ht="14.25" customHeight="1">
      <c r="A57" s="55"/>
      <c r="B57" s="56" t="s">
        <v>603</v>
      </c>
      <c r="C57" s="280"/>
      <c r="D57" s="28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289"/>
      <c r="Q57" s="39"/>
      <c r="R57" s="288"/>
      <c r="S57" s="58"/>
      <c r="T57" s="58"/>
      <c r="U57" s="58"/>
      <c r="V57" s="58"/>
      <c r="W57" s="290"/>
      <c r="X57" s="290"/>
      <c r="Y57" s="290"/>
      <c r="Z57" s="290"/>
      <c r="AA57" s="290"/>
      <c r="AB57" s="290"/>
      <c r="AC57" s="290"/>
      <c r="AD57" s="291"/>
      <c r="AE57" s="59"/>
      <c r="AF57" s="292"/>
      <c r="AG57" s="292"/>
      <c r="AH57" s="292"/>
      <c r="AI57" s="292"/>
      <c r="AJ57" s="292"/>
      <c r="AK57" s="292"/>
      <c r="AL57" s="292"/>
      <c r="AM57" s="292"/>
      <c r="AN57" s="292"/>
      <c r="AO57" s="292"/>
      <c r="AP57" s="292"/>
      <c r="AQ57" s="292"/>
      <c r="AR57" s="58"/>
      <c r="AS57" s="59"/>
      <c r="AT57" s="292"/>
      <c r="AU57" s="292"/>
      <c r="AV57" s="292"/>
      <c r="AW57" s="292"/>
      <c r="AX57" s="292"/>
      <c r="AY57" s="292"/>
      <c r="AZ57" s="292"/>
      <c r="BA57" s="292"/>
      <c r="BB57" s="292"/>
      <c r="BC57" s="292"/>
      <c r="BD57" s="292"/>
      <c r="BE57" s="292"/>
      <c r="BF57" s="58"/>
      <c r="BG57" s="59"/>
      <c r="BH57" s="292"/>
      <c r="BI57" s="292"/>
      <c r="BJ57" s="292"/>
      <c r="BK57" s="292"/>
      <c r="BL57" s="292"/>
      <c r="BM57" s="292"/>
      <c r="BN57" s="292"/>
      <c r="BO57" s="292"/>
      <c r="BP57" s="292"/>
      <c r="BQ57" s="292"/>
      <c r="BR57" s="292"/>
      <c r="BS57" s="292"/>
      <c r="BT57" s="292"/>
      <c r="BU57" s="60"/>
      <c r="BV57" s="400">
        <f>BH49</f>
        <v>144332</v>
      </c>
      <c r="BW57" s="400">
        <f t="shared" ref="BW57:CA57" si="103">BI49</f>
        <v>128781</v>
      </c>
      <c r="BX57" s="400">
        <f t="shared" si="103"/>
        <v>193129</v>
      </c>
      <c r="BY57" s="400">
        <f t="shared" si="103"/>
        <v>106092</v>
      </c>
      <c r="BZ57" s="400">
        <f t="shared" si="103"/>
        <v>132638</v>
      </c>
      <c r="CA57" s="400">
        <f t="shared" si="103"/>
        <v>139193</v>
      </c>
      <c r="CB57" s="292"/>
      <c r="CC57" s="292"/>
      <c r="CD57" s="292"/>
      <c r="CE57" s="292"/>
      <c r="CF57" s="292"/>
      <c r="CG57" s="292"/>
      <c r="CH57" s="292"/>
    </row>
    <row r="58" spans="1:87" s="414" customFormat="1" ht="22.5" customHeight="1">
      <c r="A58" s="401"/>
      <c r="B58" s="402" t="s">
        <v>289</v>
      </c>
      <c r="C58" s="403"/>
      <c r="D58" s="404"/>
      <c r="E58" s="405"/>
      <c r="F58" s="405"/>
      <c r="G58" s="405"/>
      <c r="H58" s="405"/>
      <c r="I58" s="405"/>
      <c r="J58" s="405"/>
      <c r="K58" s="405"/>
      <c r="L58" s="405"/>
      <c r="M58" s="405"/>
      <c r="N58" s="405"/>
      <c r="O58" s="405"/>
      <c r="P58" s="406"/>
      <c r="Q58" s="407"/>
      <c r="R58" s="404"/>
      <c r="S58" s="408"/>
      <c r="T58" s="408"/>
      <c r="U58" s="408"/>
      <c r="V58" s="408"/>
      <c r="W58" s="409"/>
      <c r="X58" s="409"/>
      <c r="Y58" s="409"/>
      <c r="Z58" s="409"/>
      <c r="AA58" s="409"/>
      <c r="AB58" s="409"/>
      <c r="AC58" s="409"/>
      <c r="AD58" s="410"/>
      <c r="AE58" s="411"/>
      <c r="AF58" s="412"/>
      <c r="AG58" s="412"/>
      <c r="AH58" s="412"/>
      <c r="AI58" s="412"/>
      <c r="AJ58" s="412"/>
      <c r="AK58" s="412"/>
      <c r="AL58" s="412"/>
      <c r="AM58" s="412"/>
      <c r="AN58" s="412"/>
      <c r="AO58" s="412"/>
      <c r="AP58" s="412"/>
      <c r="AQ58" s="412"/>
      <c r="AR58" s="408"/>
      <c r="AS58" s="411"/>
      <c r="AT58" s="412"/>
      <c r="AU58" s="412"/>
      <c r="AV58" s="412"/>
      <c r="AW58" s="412"/>
      <c r="AX58" s="412"/>
      <c r="AY58" s="412"/>
      <c r="AZ58" s="412"/>
      <c r="BA58" s="412"/>
      <c r="BB58" s="412"/>
      <c r="BC58" s="412"/>
      <c r="BD58" s="412"/>
      <c r="BE58" s="412"/>
      <c r="BF58" s="408"/>
      <c r="BG58" s="411"/>
      <c r="BH58" s="412"/>
      <c r="BI58" s="412"/>
      <c r="BJ58" s="412"/>
      <c r="BK58" s="412"/>
      <c r="BL58" s="412"/>
      <c r="BM58" s="412"/>
      <c r="BN58" s="412"/>
      <c r="BO58" s="412"/>
      <c r="BP58" s="412"/>
      <c r="BQ58" s="412"/>
      <c r="BR58" s="412"/>
      <c r="BS58" s="412"/>
      <c r="BT58" s="412"/>
      <c r="BU58" s="60"/>
      <c r="BV58" s="413">
        <f>BV16</f>
        <v>156532.36446639808</v>
      </c>
      <c r="BW58" s="413">
        <f t="shared" ref="BW58:CA58" si="104">BW16</f>
        <v>145200.17838265319</v>
      </c>
      <c r="BX58" s="413">
        <f t="shared" si="104"/>
        <v>185699.06002074725</v>
      </c>
      <c r="BY58" s="413">
        <f t="shared" si="104"/>
        <v>150100.640740081</v>
      </c>
      <c r="BZ58" s="413">
        <f t="shared" si="104"/>
        <v>142812.56077706543</v>
      </c>
      <c r="CA58" s="413">
        <f t="shared" si="104"/>
        <v>136634.92412127153</v>
      </c>
      <c r="CB58" s="412"/>
      <c r="CC58" s="412"/>
      <c r="CD58" s="412"/>
      <c r="CE58" s="412"/>
      <c r="CF58" s="412"/>
      <c r="CG58" s="412"/>
      <c r="CH58" s="412"/>
    </row>
    <row r="59" spans="1:87" ht="15.75" customHeight="1" outlineLevel="1">
      <c r="A59" s="94">
        <v>7</v>
      </c>
      <c r="B59" s="210" t="s">
        <v>90</v>
      </c>
      <c r="C59" s="335"/>
      <c r="D59" s="313">
        <v>98048</v>
      </c>
      <c r="E59" s="89">
        <v>128688</v>
      </c>
      <c r="F59" s="89">
        <v>124704</v>
      </c>
      <c r="G59" s="89">
        <v>157500</v>
      </c>
      <c r="H59" s="89">
        <v>182600</v>
      </c>
      <c r="I59" s="89">
        <v>157700</v>
      </c>
      <c r="J59" s="89">
        <v>181700</v>
      </c>
      <c r="K59" s="89">
        <v>165900</v>
      </c>
      <c r="L59" s="89">
        <v>174300</v>
      </c>
      <c r="M59" s="89">
        <v>215800</v>
      </c>
      <c r="N59" s="89">
        <v>180000</v>
      </c>
      <c r="O59" s="89">
        <v>112500</v>
      </c>
      <c r="P59" s="314">
        <f t="shared" ref="P59:P60" si="105">SUM(D59:O59)</f>
        <v>1879440</v>
      </c>
      <c r="Q59" s="90"/>
      <c r="R59" s="313">
        <v>158400</v>
      </c>
      <c r="S59" s="91">
        <v>161000</v>
      </c>
      <c r="T59" s="91">
        <v>117800</v>
      </c>
      <c r="U59" s="91">
        <v>2000</v>
      </c>
      <c r="V59" s="91">
        <v>53800</v>
      </c>
      <c r="W59" s="91">
        <v>190600</v>
      </c>
      <c r="X59" s="91">
        <v>187900</v>
      </c>
      <c r="Y59" s="91">
        <v>196800</v>
      </c>
      <c r="Z59" s="91">
        <v>192300</v>
      </c>
      <c r="AA59" s="91">
        <v>182300</v>
      </c>
      <c r="AB59" s="91">
        <v>175000</v>
      </c>
      <c r="AC59" s="91">
        <v>134100</v>
      </c>
      <c r="AD59" s="315">
        <f>SUM(R59:AC59)</f>
        <v>1752000</v>
      </c>
      <c r="AE59" s="23"/>
      <c r="AF59" s="316">
        <f t="shared" ref="AF59:AL59" si="106">SUM(AF60,AF62)</f>
        <v>161400</v>
      </c>
      <c r="AG59" s="316">
        <f t="shared" si="106"/>
        <v>166000</v>
      </c>
      <c r="AH59" s="316">
        <f t="shared" si="106"/>
        <v>150471</v>
      </c>
      <c r="AI59" s="316">
        <f t="shared" si="106"/>
        <v>149040</v>
      </c>
      <c r="AJ59" s="316">
        <f t="shared" si="106"/>
        <v>196360</v>
      </c>
      <c r="AK59" s="316">
        <f t="shared" si="106"/>
        <v>163300</v>
      </c>
      <c r="AL59" s="316">
        <f t="shared" si="106"/>
        <v>190000</v>
      </c>
      <c r="AM59" s="316">
        <f t="shared" ref="AM59:AQ59" si="107">SUM(AM60,AM62,AM63)</f>
        <v>167000</v>
      </c>
      <c r="AN59" s="316">
        <f t="shared" si="107"/>
        <v>170500</v>
      </c>
      <c r="AO59" s="316">
        <f t="shared" si="107"/>
        <v>140000</v>
      </c>
      <c r="AP59" s="316">
        <f t="shared" si="107"/>
        <v>130000</v>
      </c>
      <c r="AQ59" s="316">
        <f t="shared" si="107"/>
        <v>100000</v>
      </c>
      <c r="AR59" s="92">
        <f t="shared" ref="AR59:AR60" si="108">SUM(AF59:AQ59)</f>
        <v>1884071</v>
      </c>
      <c r="AS59" s="23"/>
      <c r="AT59" s="316">
        <f t="shared" ref="AT59:BC59" si="109">SUM(AT60,AT62,AT63)</f>
        <v>133000</v>
      </c>
      <c r="AU59" s="316">
        <f t="shared" si="109"/>
        <v>125180</v>
      </c>
      <c r="AV59" s="316">
        <f t="shared" si="109"/>
        <v>117228</v>
      </c>
      <c r="AW59" s="316">
        <f t="shared" si="109"/>
        <v>127500</v>
      </c>
      <c r="AX59" s="316">
        <f t="shared" si="109"/>
        <v>140000</v>
      </c>
      <c r="AY59" s="316">
        <f t="shared" si="109"/>
        <v>158342.99999899999</v>
      </c>
      <c r="AZ59" s="316">
        <f t="shared" si="109"/>
        <v>152409</v>
      </c>
      <c r="BA59" s="316">
        <f t="shared" si="109"/>
        <v>173520</v>
      </c>
      <c r="BB59" s="316">
        <f t="shared" si="109"/>
        <v>165000</v>
      </c>
      <c r="BC59" s="316">
        <f t="shared" si="109"/>
        <v>157500</v>
      </c>
      <c r="BD59" s="316">
        <v>129431</v>
      </c>
      <c r="BE59" s="316">
        <v>61700</v>
      </c>
      <c r="BF59" s="91">
        <f t="shared" ref="BF59:BF60" si="110">SUM(AT59:BE59)</f>
        <v>1640810.999999</v>
      </c>
      <c r="BG59" s="27">
        <f>BF59-AR59</f>
        <v>-243260.00000100001</v>
      </c>
      <c r="BH59" s="339">
        <f>SUM(BH60,BH62,BH63)</f>
        <v>139760</v>
      </c>
      <c r="BI59" s="339">
        <f t="shared" ref="BI59:BP59" si="111">SUM(BI60,BI62,BI63)</f>
        <v>116580</v>
      </c>
      <c r="BJ59" s="339">
        <f t="shared" si="111"/>
        <v>148340</v>
      </c>
      <c r="BK59" s="339">
        <f t="shared" si="111"/>
        <v>112360</v>
      </c>
      <c r="BL59" s="339">
        <f t="shared" si="111"/>
        <v>108660</v>
      </c>
      <c r="BM59" s="339">
        <f t="shared" si="111"/>
        <v>153416</v>
      </c>
      <c r="BN59" s="339">
        <f t="shared" si="111"/>
        <v>137676</v>
      </c>
      <c r="BO59" s="339">
        <f t="shared" si="111"/>
        <v>160654</v>
      </c>
      <c r="BP59" s="339">
        <f t="shared" si="111"/>
        <v>157000</v>
      </c>
      <c r="BQ59" s="339">
        <v>156725</v>
      </c>
      <c r="BR59" s="339">
        <v>182069</v>
      </c>
      <c r="BS59" s="339">
        <f>BS60+BS63</f>
        <v>156420</v>
      </c>
      <c r="BT59" s="339">
        <f t="shared" ref="BT59:BT60" si="112">SUM(BH59:BS59)</f>
        <v>1729660</v>
      </c>
      <c r="BU59" s="60"/>
      <c r="BV59" s="396">
        <f>BV3*7000</f>
        <v>133000</v>
      </c>
      <c r="BW59" s="396">
        <f t="shared" ref="BW59:CG59" si="113">BW3*7000</f>
        <v>133000</v>
      </c>
      <c r="BX59" s="396">
        <f t="shared" si="113"/>
        <v>133000</v>
      </c>
      <c r="BY59" s="396">
        <f t="shared" si="113"/>
        <v>154000</v>
      </c>
      <c r="BZ59" s="396">
        <f t="shared" si="113"/>
        <v>140000</v>
      </c>
      <c r="CA59" s="396">
        <f t="shared" si="113"/>
        <v>140000</v>
      </c>
      <c r="CB59" s="396">
        <f t="shared" si="113"/>
        <v>161000</v>
      </c>
      <c r="CC59" s="396">
        <f t="shared" si="113"/>
        <v>147000</v>
      </c>
      <c r="CD59" s="396">
        <f t="shared" si="113"/>
        <v>147000</v>
      </c>
      <c r="CE59" s="396">
        <f t="shared" si="113"/>
        <v>161000</v>
      </c>
      <c r="CF59" s="396">
        <f t="shared" si="113"/>
        <v>140000</v>
      </c>
      <c r="CG59" s="396">
        <f t="shared" si="113"/>
        <v>91000</v>
      </c>
      <c r="CH59" s="339">
        <f t="shared" ref="CH59:CH60" si="114">SUM(BV59:CG59)</f>
        <v>1680000</v>
      </c>
    </row>
    <row r="60" spans="1:87" ht="15.75" customHeight="1" outlineLevel="1">
      <c r="A60" s="94"/>
      <c r="B60" s="210" t="s">
        <v>91</v>
      </c>
      <c r="C60" s="335"/>
      <c r="D60" s="313">
        <v>98048</v>
      </c>
      <c r="E60" s="89">
        <v>128688</v>
      </c>
      <c r="F60" s="89">
        <v>124704</v>
      </c>
      <c r="G60" s="89">
        <v>157500</v>
      </c>
      <c r="H60" s="89">
        <v>182600</v>
      </c>
      <c r="I60" s="89">
        <v>157700</v>
      </c>
      <c r="J60" s="89">
        <v>181700</v>
      </c>
      <c r="K60" s="89">
        <v>165900</v>
      </c>
      <c r="L60" s="89">
        <v>174300</v>
      </c>
      <c r="M60" s="89">
        <v>215800</v>
      </c>
      <c r="N60" s="89">
        <v>180000</v>
      </c>
      <c r="O60" s="89">
        <v>112500</v>
      </c>
      <c r="P60" s="314">
        <f t="shared" si="105"/>
        <v>1879440</v>
      </c>
      <c r="Q60" s="90"/>
      <c r="R60" s="313">
        <v>158400</v>
      </c>
      <c r="S60" s="91">
        <v>146000</v>
      </c>
      <c r="T60" s="91">
        <v>102200</v>
      </c>
      <c r="U60" s="91">
        <v>0</v>
      </c>
      <c r="V60" s="91">
        <v>43800</v>
      </c>
      <c r="W60" s="91">
        <v>160600</v>
      </c>
      <c r="X60" s="91">
        <v>167900</v>
      </c>
      <c r="Y60" s="91">
        <v>153300</v>
      </c>
      <c r="Z60" s="91">
        <v>153300</v>
      </c>
      <c r="AA60" s="91">
        <v>153300</v>
      </c>
      <c r="AB60" s="91">
        <v>146000</v>
      </c>
      <c r="AC60" s="91">
        <v>124100</v>
      </c>
      <c r="AD60" s="315"/>
      <c r="AE60" s="23"/>
      <c r="AF60" s="316">
        <v>131400</v>
      </c>
      <c r="AG60" s="91">
        <v>146000</v>
      </c>
      <c r="AH60" s="91">
        <v>125511</v>
      </c>
      <c r="AI60" s="91">
        <v>135000</v>
      </c>
      <c r="AJ60" s="91">
        <v>177320</v>
      </c>
      <c r="AK60" s="91">
        <v>151300</v>
      </c>
      <c r="AL60" s="91">
        <v>176000</v>
      </c>
      <c r="AM60" s="91">
        <f>AM61*AM3</f>
        <v>154000</v>
      </c>
      <c r="AN60" s="91">
        <f>AN61*AN3</f>
        <v>157500</v>
      </c>
      <c r="AO60" s="91">
        <f>AO61*AO3</f>
        <v>140000</v>
      </c>
      <c r="AP60" s="91">
        <f>AP61*AP3</f>
        <v>130000</v>
      </c>
      <c r="AQ60" s="91">
        <f>AQ61*AQ3+16000</f>
        <v>100000</v>
      </c>
      <c r="AR60" s="92">
        <f t="shared" si="108"/>
        <v>1724031</v>
      </c>
      <c r="AS60" s="23"/>
      <c r="AT60" s="91">
        <f>AT61*AT3</f>
        <v>133000</v>
      </c>
      <c r="AU60" s="91">
        <f>125180</f>
        <v>125180</v>
      </c>
      <c r="AV60" s="91">
        <f>AV61*AV3+7428</f>
        <v>117228</v>
      </c>
      <c r="AW60" s="91">
        <f>AW61*AW3</f>
        <v>123500</v>
      </c>
      <c r="AX60" s="91">
        <f>AX61*AX3</f>
        <v>132000</v>
      </c>
      <c r="AY60" s="91">
        <f>AY61*AY3</f>
        <v>153342.99999899999</v>
      </c>
      <c r="AZ60" s="91">
        <v>142409</v>
      </c>
      <c r="BA60" s="91">
        <v>163520</v>
      </c>
      <c r="BB60" s="91">
        <f>BB61*BB3</f>
        <v>165000</v>
      </c>
      <c r="BC60" s="91">
        <f>BC61*BC3</f>
        <v>157500</v>
      </c>
      <c r="BD60" s="316">
        <v>129431</v>
      </c>
      <c r="BE60" s="316">
        <v>61700</v>
      </c>
      <c r="BF60" s="91">
        <f t="shared" si="110"/>
        <v>1603810.999999</v>
      </c>
      <c r="BG60" s="27">
        <f>BF60+BF63-AR60-AR63</f>
        <v>-113040.00000100001</v>
      </c>
      <c r="BH60" s="91">
        <v>136760</v>
      </c>
      <c r="BI60" s="91">
        <v>116580</v>
      </c>
      <c r="BJ60" s="91">
        <v>148340</v>
      </c>
      <c r="BK60" s="91">
        <v>112360</v>
      </c>
      <c r="BL60" s="91">
        <v>108660</v>
      </c>
      <c r="BM60" s="91">
        <v>153416</v>
      </c>
      <c r="BN60" s="91">
        <v>137676</v>
      </c>
      <c r="BO60" s="91">
        <v>150654</v>
      </c>
      <c r="BP60" s="91">
        <f>7100*BP3</f>
        <v>142000</v>
      </c>
      <c r="BQ60" s="91">
        <f t="shared" ref="BQ60:BR60" si="115">BQ59-BQ63</f>
        <v>136725</v>
      </c>
      <c r="BR60" s="91">
        <f t="shared" si="115"/>
        <v>167069</v>
      </c>
      <c r="BS60" s="91">
        <v>124020</v>
      </c>
      <c r="BT60" s="91">
        <f t="shared" si="112"/>
        <v>1634260</v>
      </c>
      <c r="BU60" s="28"/>
      <c r="BV60" s="397">
        <f>BV61*BV62-24551</f>
        <v>129449</v>
      </c>
      <c r="BW60" s="397">
        <f>BW61*BW62</f>
        <v>154000</v>
      </c>
      <c r="BX60" s="397">
        <f t="shared" ref="BX60:CA60" si="116">BX61*BX62</f>
        <v>147000</v>
      </c>
      <c r="BY60" s="397">
        <f t="shared" si="116"/>
        <v>154000</v>
      </c>
      <c r="BZ60" s="397">
        <f t="shared" si="116"/>
        <v>147000</v>
      </c>
      <c r="CA60" s="397">
        <f t="shared" si="116"/>
        <v>161000</v>
      </c>
      <c r="CB60" s="397">
        <v>168760</v>
      </c>
      <c r="CC60" s="397">
        <v>194340</v>
      </c>
      <c r="CD60" s="397">
        <v>208000</v>
      </c>
      <c r="CE60" s="397">
        <v>201780</v>
      </c>
      <c r="CF60" s="397">
        <v>154060</v>
      </c>
      <c r="CG60" s="397">
        <v>96720</v>
      </c>
      <c r="CH60" s="91">
        <f t="shared" si="114"/>
        <v>1916109</v>
      </c>
      <c r="CI60" s="395">
        <f>(CH60-BT65)/BT65</f>
        <v>0.34041066279396764</v>
      </c>
    </row>
    <row r="61" spans="1:87" ht="15.75" customHeight="1" outlineLevel="1">
      <c r="A61" s="94"/>
      <c r="B61" s="210" t="s">
        <v>92</v>
      </c>
      <c r="C61" s="335"/>
      <c r="D61" s="313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/>
      <c r="Q61" s="90"/>
      <c r="R61" s="316">
        <f t="shared" ref="R61:AC61" si="117">R60/R3</f>
        <v>7200</v>
      </c>
      <c r="S61" s="316">
        <f t="shared" si="117"/>
        <v>7300</v>
      </c>
      <c r="T61" s="316">
        <f t="shared" si="117"/>
        <v>7300</v>
      </c>
      <c r="U61" s="316">
        <f t="shared" si="117"/>
        <v>0</v>
      </c>
      <c r="V61" s="316">
        <f t="shared" si="117"/>
        <v>3650</v>
      </c>
      <c r="W61" s="316">
        <f t="shared" si="117"/>
        <v>7300</v>
      </c>
      <c r="X61" s="316">
        <f t="shared" si="117"/>
        <v>7300</v>
      </c>
      <c r="Y61" s="316">
        <f t="shared" si="117"/>
        <v>7300</v>
      </c>
      <c r="Z61" s="316">
        <f t="shared" si="117"/>
        <v>7300</v>
      </c>
      <c r="AA61" s="316">
        <f t="shared" si="117"/>
        <v>7300</v>
      </c>
      <c r="AB61" s="316">
        <f t="shared" si="117"/>
        <v>7300</v>
      </c>
      <c r="AC61" s="316">
        <f t="shared" si="117"/>
        <v>7300</v>
      </c>
      <c r="AD61" s="315"/>
      <c r="AE61" s="23"/>
      <c r="AF61" s="316">
        <f t="shared" ref="AF61:AL61" si="118">AF60/AF3</f>
        <v>7300</v>
      </c>
      <c r="AG61" s="316">
        <f t="shared" si="118"/>
        <v>7300</v>
      </c>
      <c r="AH61" s="316">
        <f t="shared" si="118"/>
        <v>6275.55</v>
      </c>
      <c r="AI61" s="316">
        <f t="shared" si="118"/>
        <v>6750</v>
      </c>
      <c r="AJ61" s="316">
        <f t="shared" si="118"/>
        <v>8060</v>
      </c>
      <c r="AK61" s="316">
        <f t="shared" si="118"/>
        <v>7565</v>
      </c>
      <c r="AL61" s="316">
        <f t="shared" si="118"/>
        <v>8000</v>
      </c>
      <c r="AM61" s="91">
        <v>7000</v>
      </c>
      <c r="AN61" s="91">
        <v>7500</v>
      </c>
      <c r="AO61" s="91">
        <v>7000</v>
      </c>
      <c r="AP61" s="91">
        <v>6500</v>
      </c>
      <c r="AQ61" s="91">
        <v>7000</v>
      </c>
      <c r="AR61" s="92">
        <f>AVERAGE(AF61:AQ61)</f>
        <v>7187.5458333333336</v>
      </c>
      <c r="AS61" s="23"/>
      <c r="AT61" s="91">
        <v>7000</v>
      </c>
      <c r="AU61" s="91">
        <f>AU60/AU3</f>
        <v>6588.4210526315792</v>
      </c>
      <c r="AV61" s="91">
        <v>6100</v>
      </c>
      <c r="AW61" s="91">
        <v>6500</v>
      </c>
      <c r="AX61" s="91">
        <v>6000</v>
      </c>
      <c r="AY61" s="91">
        <v>7302.0476189999999</v>
      </c>
      <c r="AZ61" s="91">
        <v>7000</v>
      </c>
      <c r="BA61" s="91">
        <f>BA60/BA3</f>
        <v>7432.727272727273</v>
      </c>
      <c r="BB61" s="91">
        <v>7500</v>
      </c>
      <c r="BC61" s="91">
        <v>7500</v>
      </c>
      <c r="BD61" s="91">
        <f>BD60/BD3</f>
        <v>6471.55</v>
      </c>
      <c r="BE61" s="91">
        <f>BE60/BE3</f>
        <v>6170</v>
      </c>
      <c r="BF61" s="91">
        <f>AVERAGE(AT61:BE61)</f>
        <v>6797.0621620299053</v>
      </c>
      <c r="BG61" s="27"/>
      <c r="BH61" s="91">
        <f t="shared" ref="BH61:BS61" si="119">BH60/BH3</f>
        <v>6838</v>
      </c>
      <c r="BI61" s="91">
        <f t="shared" si="119"/>
        <v>6857.6470588235297</v>
      </c>
      <c r="BJ61" s="91">
        <f t="shared" si="119"/>
        <v>6449.565217391304</v>
      </c>
      <c r="BK61" s="91">
        <f t="shared" si="119"/>
        <v>6242.2222222222226</v>
      </c>
      <c r="BL61" s="91">
        <f t="shared" si="119"/>
        <v>4939.090909090909</v>
      </c>
      <c r="BM61" s="91">
        <f t="shared" si="119"/>
        <v>6670.260869565217</v>
      </c>
      <c r="BN61" s="91">
        <f t="shared" si="119"/>
        <v>6556</v>
      </c>
      <c r="BO61" s="91">
        <f t="shared" si="119"/>
        <v>7174</v>
      </c>
      <c r="BP61" s="91">
        <f t="shared" si="119"/>
        <v>7100</v>
      </c>
      <c r="BQ61" s="91">
        <f t="shared" si="119"/>
        <v>6510.7142857142853</v>
      </c>
      <c r="BR61" s="91">
        <f t="shared" si="119"/>
        <v>8353.4500000000007</v>
      </c>
      <c r="BS61" s="91">
        <f t="shared" si="119"/>
        <v>8858.5714285714294</v>
      </c>
      <c r="BT61" s="91">
        <f>AVERAGE(BH61:BS61)</f>
        <v>6879.1268326149084</v>
      </c>
      <c r="BU61" s="28"/>
      <c r="BV61" s="91">
        <v>7000</v>
      </c>
      <c r="BW61" s="91">
        <v>7000</v>
      </c>
      <c r="BX61" s="91">
        <v>7000</v>
      </c>
      <c r="BY61" s="91">
        <v>7000</v>
      </c>
      <c r="BZ61" s="91">
        <v>7000</v>
      </c>
      <c r="CA61" s="91">
        <v>7000</v>
      </c>
      <c r="CB61" s="91">
        <v>7000</v>
      </c>
      <c r="CC61" s="91">
        <v>7000</v>
      </c>
      <c r="CD61" s="91">
        <v>7000</v>
      </c>
      <c r="CE61" s="91">
        <v>7000</v>
      </c>
      <c r="CF61" s="91">
        <v>7000</v>
      </c>
      <c r="CG61" s="91">
        <v>7000</v>
      </c>
      <c r="CH61" s="91"/>
    </row>
    <row r="62" spans="1:87" ht="15.75" customHeight="1" outlineLevel="1">
      <c r="A62" s="94"/>
      <c r="B62" s="210" t="s">
        <v>93</v>
      </c>
      <c r="C62" s="335"/>
      <c r="D62" s="313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>
        <v>15000</v>
      </c>
      <c r="T62" s="91">
        <v>15600</v>
      </c>
      <c r="U62" s="91">
        <v>2000</v>
      </c>
      <c r="V62" s="91">
        <v>10000</v>
      </c>
      <c r="W62" s="91">
        <v>30000</v>
      </c>
      <c r="X62" s="91">
        <v>20000</v>
      </c>
      <c r="Y62" s="91">
        <v>30000</v>
      </c>
      <c r="Z62" s="91">
        <v>30000</v>
      </c>
      <c r="AA62" s="91">
        <v>20000</v>
      </c>
      <c r="AB62" s="91">
        <v>20000</v>
      </c>
      <c r="AC62" s="91">
        <v>10000</v>
      </c>
      <c r="AD62" s="315"/>
      <c r="AE62" s="23"/>
      <c r="AF62" s="316">
        <v>30000</v>
      </c>
      <c r="AG62" s="91">
        <v>20000</v>
      </c>
      <c r="AH62" s="91">
        <v>24960</v>
      </c>
      <c r="AI62" s="91">
        <v>14040</v>
      </c>
      <c r="AJ62" s="91">
        <v>19040</v>
      </c>
      <c r="AK62" s="91">
        <v>12000</v>
      </c>
      <c r="AL62" s="91">
        <v>14000</v>
      </c>
      <c r="AM62" s="91">
        <v>13000</v>
      </c>
      <c r="AN62" s="91">
        <v>13000</v>
      </c>
      <c r="AO62" s="91">
        <v>0</v>
      </c>
      <c r="AP62" s="91">
        <v>0</v>
      </c>
      <c r="AQ62" s="91">
        <v>0</v>
      </c>
      <c r="AR62" s="92">
        <f t="shared" ref="AR62:AR63" si="120">SUM(AF62:AQ62)</f>
        <v>160040</v>
      </c>
      <c r="AS62" s="23"/>
      <c r="AT62" s="91">
        <v>0</v>
      </c>
      <c r="AU62" s="91">
        <v>0</v>
      </c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>
        <f t="shared" ref="BF62:BF63" si="121">SUM(AT62:BE62)</f>
        <v>0</v>
      </c>
      <c r="BG62" s="27">
        <f>BF62-AR62</f>
        <v>-160040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>
        <f t="shared" ref="BT62" si="122">SUM(BH62:BS62)</f>
        <v>0</v>
      </c>
      <c r="BU62" s="28"/>
      <c r="BV62" s="399">
        <f>19+3</f>
        <v>22</v>
      </c>
      <c r="BW62" s="399">
        <f>19+3</f>
        <v>22</v>
      </c>
      <c r="BX62" s="399">
        <f>18+3</f>
        <v>21</v>
      </c>
      <c r="BY62" s="399">
        <v>22</v>
      </c>
      <c r="BZ62" s="399">
        <v>21</v>
      </c>
      <c r="CA62" s="399">
        <f>20+3</f>
        <v>23</v>
      </c>
      <c r="CB62" s="91"/>
      <c r="CC62" s="91"/>
      <c r="CD62" s="91"/>
      <c r="CE62" s="91"/>
      <c r="CF62" s="91"/>
      <c r="CG62" s="91"/>
      <c r="CH62" s="91">
        <f t="shared" ref="CH62" si="123">SUM(BV62:CG62)</f>
        <v>131</v>
      </c>
    </row>
    <row r="63" spans="1:87" ht="15.75" customHeight="1" outlineLevel="1">
      <c r="A63" s="94"/>
      <c r="B63" s="210" t="s">
        <v>282</v>
      </c>
      <c r="C63" s="335"/>
      <c r="D63" s="313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314"/>
      <c r="Q63" s="90"/>
      <c r="R63" s="313"/>
      <c r="S63" s="91"/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13500</v>
      </c>
      <c r="Z63" s="91">
        <v>9000</v>
      </c>
      <c r="AA63" s="91">
        <v>9000</v>
      </c>
      <c r="AB63" s="91">
        <v>9000</v>
      </c>
      <c r="AC63" s="91">
        <v>0</v>
      </c>
      <c r="AD63" s="315"/>
      <c r="AE63" s="23"/>
      <c r="AF63" s="91">
        <v>13500</v>
      </c>
      <c r="AG63" s="91">
        <v>13500</v>
      </c>
      <c r="AH63" s="91">
        <v>2820</v>
      </c>
      <c r="AI63" s="91">
        <v>0</v>
      </c>
      <c r="AJ63" s="91">
        <v>0</v>
      </c>
      <c r="AK63" s="91">
        <v>0</v>
      </c>
      <c r="AL63" s="91">
        <v>0</v>
      </c>
      <c r="AM63" s="91"/>
      <c r="AN63" s="91"/>
      <c r="AO63" s="91"/>
      <c r="AP63" s="91"/>
      <c r="AQ63" s="91"/>
      <c r="AR63" s="92">
        <f t="shared" si="120"/>
        <v>29820</v>
      </c>
      <c r="AS63" s="23"/>
      <c r="AT63" s="91"/>
      <c r="AU63" s="91"/>
      <c r="AV63" s="91"/>
      <c r="AW63" s="91">
        <v>4000</v>
      </c>
      <c r="AX63" s="91">
        <v>8000</v>
      </c>
      <c r="AY63" s="91">
        <v>5000</v>
      </c>
      <c r="AZ63" s="91">
        <v>10000</v>
      </c>
      <c r="BA63" s="91">
        <v>10000</v>
      </c>
      <c r="BB63" s="91">
        <v>0</v>
      </c>
      <c r="BC63" s="91">
        <v>0</v>
      </c>
      <c r="BD63" s="91">
        <v>0</v>
      </c>
      <c r="BE63" s="91"/>
      <c r="BF63" s="91">
        <f t="shared" si="121"/>
        <v>37000</v>
      </c>
      <c r="BG63" s="27"/>
      <c r="BH63" s="91">
        <v>3000</v>
      </c>
      <c r="BI63" s="91"/>
      <c r="BJ63" s="91"/>
      <c r="BK63" s="91"/>
      <c r="BL63" s="91"/>
      <c r="BM63" s="91"/>
      <c r="BN63" s="91"/>
      <c r="BO63" s="91">
        <v>10000</v>
      </c>
      <c r="BP63" s="91">
        <v>15000</v>
      </c>
      <c r="BQ63" s="91">
        <v>20000</v>
      </c>
      <c r="BR63" s="91">
        <v>15000</v>
      </c>
      <c r="BS63" s="91">
        <f>7200*9/2</f>
        <v>32400</v>
      </c>
      <c r="BT63" s="91">
        <f>SUM(BH63:BS63)</f>
        <v>95400</v>
      </c>
      <c r="BU63" s="28"/>
      <c r="BV63" s="91"/>
      <c r="BW63" s="91"/>
      <c r="BX63" s="91"/>
      <c r="BY63" s="91"/>
      <c r="BZ63" s="91"/>
      <c r="CA63" s="91"/>
      <c r="CB63" s="91"/>
      <c r="CC63" s="91"/>
      <c r="CD63" s="91"/>
      <c r="CE63" s="91"/>
      <c r="CF63" s="91"/>
      <c r="CG63" s="91"/>
      <c r="CH63" s="91">
        <f>SUM(BS63:CG63)</f>
        <v>127800</v>
      </c>
    </row>
    <row r="64" spans="1:87" ht="15.75" customHeight="1" outlineLevel="1">
      <c r="A64" s="94"/>
      <c r="B64" s="210" t="s">
        <v>283</v>
      </c>
      <c r="C64" s="335"/>
      <c r="D64" s="313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314"/>
      <c r="Q64" s="90"/>
      <c r="R64" s="313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315"/>
      <c r="AE64" s="23"/>
      <c r="AF64" s="91"/>
      <c r="AG64" s="91"/>
      <c r="AH64" s="91"/>
      <c r="AI64" s="91"/>
      <c r="AJ64" s="91"/>
      <c r="AK64" s="91"/>
      <c r="AL64" s="91"/>
      <c r="AM64" s="91"/>
      <c r="AN64" s="91"/>
      <c r="AO64" s="91">
        <f t="shared" ref="AO64:AQ64" si="124">AO59*9.68</f>
        <v>1355200</v>
      </c>
      <c r="AP64" s="91">
        <f t="shared" si="124"/>
        <v>1258400</v>
      </c>
      <c r="AQ64" s="91">
        <f t="shared" si="124"/>
        <v>968000</v>
      </c>
      <c r="AR64" s="92"/>
      <c r="AS64" s="23"/>
      <c r="AT64" s="91">
        <f t="shared" ref="AT64:BF64" si="125">AT59*9.68</f>
        <v>1287440</v>
      </c>
      <c r="AU64" s="91">
        <f t="shared" si="125"/>
        <v>1211742.3999999999</v>
      </c>
      <c r="AV64" s="91">
        <f t="shared" si="125"/>
        <v>1134767.04</v>
      </c>
      <c r="AW64" s="91">
        <f t="shared" si="125"/>
        <v>1234200</v>
      </c>
      <c r="AX64" s="91">
        <f t="shared" si="125"/>
        <v>1355200</v>
      </c>
      <c r="AY64" s="91">
        <f t="shared" si="125"/>
        <v>1532760.2399903198</v>
      </c>
      <c r="AZ64" s="91">
        <f t="shared" si="125"/>
        <v>1475319.1199999999</v>
      </c>
      <c r="BA64" s="91">
        <f t="shared" si="125"/>
        <v>1679673.5999999999</v>
      </c>
      <c r="BB64" s="91">
        <f t="shared" si="125"/>
        <v>1597200</v>
      </c>
      <c r="BC64" s="91">
        <f t="shared" si="125"/>
        <v>1524600</v>
      </c>
      <c r="BD64" s="91">
        <f t="shared" si="125"/>
        <v>1252892.08</v>
      </c>
      <c r="BE64" s="91">
        <f t="shared" si="125"/>
        <v>597256</v>
      </c>
      <c r="BF64" s="91">
        <f t="shared" si="125"/>
        <v>15883050.47999032</v>
      </c>
      <c r="BG64" s="27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28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</row>
    <row r="65" spans="1:86">
      <c r="A65" s="110" t="s">
        <v>99</v>
      </c>
      <c r="B65" s="340" t="s">
        <v>100</v>
      </c>
      <c r="C65" s="341"/>
      <c r="D65" s="342">
        <v>95972</v>
      </c>
      <c r="E65" s="111">
        <v>130805</v>
      </c>
      <c r="F65" s="111">
        <v>121914</v>
      </c>
      <c r="G65" s="111">
        <v>165455</v>
      </c>
      <c r="H65" s="111">
        <v>192013</v>
      </c>
      <c r="I65" s="111">
        <v>167281</v>
      </c>
      <c r="J65" s="111">
        <v>181409</v>
      </c>
      <c r="K65" s="111">
        <v>163138</v>
      </c>
      <c r="L65" s="111">
        <v>169051</v>
      </c>
      <c r="M65" s="111">
        <v>183254</v>
      </c>
      <c r="N65" s="111"/>
      <c r="O65" s="111"/>
      <c r="P65" s="343">
        <f>SUM(D65:O65)</f>
        <v>1570292</v>
      </c>
      <c r="Q65" s="84"/>
      <c r="R65" s="342">
        <v>149582</v>
      </c>
      <c r="S65" s="112">
        <v>152735</v>
      </c>
      <c r="T65" s="112">
        <v>107681</v>
      </c>
      <c r="U65" s="112">
        <v>2974</v>
      </c>
      <c r="V65" s="112">
        <v>32639</v>
      </c>
      <c r="W65" s="112">
        <v>153121</v>
      </c>
      <c r="X65" s="112">
        <v>198635</v>
      </c>
      <c r="Y65" s="112">
        <v>160489</v>
      </c>
      <c r="Z65" s="112">
        <v>160893</v>
      </c>
      <c r="AA65" s="112">
        <v>180999</v>
      </c>
      <c r="AB65" s="112">
        <v>167265</v>
      </c>
      <c r="AC65" s="112">
        <v>135424</v>
      </c>
      <c r="AD65" s="344">
        <f>SUM(R65:AC65)</f>
        <v>1602437</v>
      </c>
      <c r="AE65" s="113"/>
      <c r="AF65" s="345">
        <v>145616</v>
      </c>
      <c r="AG65" s="112">
        <v>168450</v>
      </c>
      <c r="AH65" s="112">
        <v>153291</v>
      </c>
      <c r="AI65" s="112">
        <v>149378</v>
      </c>
      <c r="AJ65" s="112">
        <v>196360</v>
      </c>
      <c r="AK65" s="112">
        <v>170558</v>
      </c>
      <c r="AL65" s="112">
        <v>171758</v>
      </c>
      <c r="AM65" s="112">
        <f t="shared" ref="AM65:AQ65" si="126">SUM(AM66:AM67)</f>
        <v>168974</v>
      </c>
      <c r="AN65" s="112">
        <f t="shared" si="126"/>
        <v>144792</v>
      </c>
      <c r="AO65" s="112">
        <f t="shared" si="126"/>
        <v>141375</v>
      </c>
      <c r="AP65" s="112">
        <f t="shared" si="126"/>
        <v>143221</v>
      </c>
      <c r="AQ65" s="112">
        <f t="shared" si="126"/>
        <v>85543</v>
      </c>
      <c r="AR65" s="112">
        <f t="shared" ref="AR65:AR69" si="127">SUM(AF65:AQ65)</f>
        <v>1839316</v>
      </c>
      <c r="AS65" s="23"/>
      <c r="AT65" s="112">
        <f t="shared" ref="AT65:BE65" si="128">SUM(AT66:AT67)</f>
        <v>120211</v>
      </c>
      <c r="AU65" s="112">
        <f t="shared" si="128"/>
        <v>120216</v>
      </c>
      <c r="AV65" s="112">
        <f t="shared" si="128"/>
        <v>101053</v>
      </c>
      <c r="AW65" s="112">
        <f t="shared" si="128"/>
        <v>137388</v>
      </c>
      <c r="AX65" s="112">
        <f t="shared" si="128"/>
        <v>137400</v>
      </c>
      <c r="AY65" s="112">
        <f t="shared" si="128"/>
        <v>135412</v>
      </c>
      <c r="AZ65" s="112">
        <f t="shared" si="128"/>
        <v>157032</v>
      </c>
      <c r="BA65" s="112">
        <f t="shared" si="128"/>
        <v>173287</v>
      </c>
      <c r="BB65" s="114">
        <f t="shared" si="128"/>
        <v>166815</v>
      </c>
      <c r="BC65" s="114">
        <f t="shared" si="128"/>
        <v>153816</v>
      </c>
      <c r="BD65" s="114">
        <f t="shared" si="128"/>
        <v>138051</v>
      </c>
      <c r="BE65" s="114">
        <f t="shared" si="128"/>
        <v>55950</v>
      </c>
      <c r="BF65" s="114">
        <f t="shared" ref="BF65:BF69" si="129">SUM(AT65:BE65)</f>
        <v>1596631</v>
      </c>
      <c r="BG65" s="93">
        <f>BF65/AR65-1</f>
        <v>-0.1319430701412917</v>
      </c>
      <c r="BH65" s="112">
        <f t="shared" ref="BH65:BQ65" si="130">SUM(BH66:BH67)</f>
        <v>138562</v>
      </c>
      <c r="BI65" s="112">
        <f t="shared" si="130"/>
        <v>109391</v>
      </c>
      <c r="BJ65" s="112">
        <f t="shared" si="130"/>
        <v>160056</v>
      </c>
      <c r="BK65" s="112">
        <f t="shared" si="130"/>
        <v>124826</v>
      </c>
      <c r="BL65" s="112">
        <f t="shared" si="130"/>
        <v>151185</v>
      </c>
      <c r="BM65" s="112">
        <f t="shared" si="130"/>
        <v>134688</v>
      </c>
      <c r="BN65" s="112">
        <f t="shared" si="130"/>
        <v>157005</v>
      </c>
      <c r="BO65" s="112">
        <f t="shared" si="130"/>
        <v>151231</v>
      </c>
      <c r="BP65" s="112">
        <f t="shared" si="130"/>
        <v>143335</v>
      </c>
      <c r="BQ65" s="112">
        <f t="shared" si="130"/>
        <v>159215</v>
      </c>
      <c r="BR65" s="112"/>
      <c r="BS65" s="112"/>
      <c r="BT65" s="112">
        <f t="shared" ref="BT65:BT69" si="131">SUM(BH65:BS65)</f>
        <v>1429494</v>
      </c>
      <c r="BU65" s="18"/>
      <c r="BV65" s="112"/>
      <c r="BW65" s="112"/>
      <c r="BX65" s="112"/>
      <c r="BY65" s="112"/>
      <c r="BZ65" s="112"/>
      <c r="CA65" s="112"/>
      <c r="CB65" s="112"/>
      <c r="CC65" s="112"/>
      <c r="CD65" s="112"/>
      <c r="CE65" s="112"/>
      <c r="CF65" s="112"/>
      <c r="CG65" s="112"/>
      <c r="CH65" s="112"/>
    </row>
    <row r="66" spans="1:86" ht="15.75" customHeight="1">
      <c r="A66" s="115"/>
      <c r="B66" s="346" t="s">
        <v>101</v>
      </c>
      <c r="C66" s="347"/>
      <c r="D66" s="265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66"/>
      <c r="Q66" s="116"/>
      <c r="R66" s="265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67"/>
      <c r="AE66" s="23"/>
      <c r="AF66" s="348">
        <v>126362</v>
      </c>
      <c r="AG66" s="22">
        <v>153970</v>
      </c>
      <c r="AH66" s="22">
        <v>128331</v>
      </c>
      <c r="AI66" s="22">
        <v>135338</v>
      </c>
      <c r="AJ66" s="22">
        <v>177312</v>
      </c>
      <c r="AK66" s="22">
        <v>150818</v>
      </c>
      <c r="AL66" s="22">
        <v>158858</v>
      </c>
      <c r="AM66" s="22">
        <v>153933</v>
      </c>
      <c r="AN66" s="22">
        <v>134244</v>
      </c>
      <c r="AO66" s="22">
        <v>137435</v>
      </c>
      <c r="AP66" s="22">
        <v>143221</v>
      </c>
      <c r="AQ66" s="22">
        <v>85543</v>
      </c>
      <c r="AR66" s="117">
        <f t="shared" si="127"/>
        <v>1685365</v>
      </c>
      <c r="AS66" s="23"/>
      <c r="AT66" s="22">
        <v>120211</v>
      </c>
      <c r="AU66" s="22">
        <v>120216</v>
      </c>
      <c r="AV66" s="22">
        <v>101053</v>
      </c>
      <c r="AW66" s="22">
        <v>137388</v>
      </c>
      <c r="AX66" s="22">
        <v>137400</v>
      </c>
      <c r="AY66" s="22">
        <v>135412</v>
      </c>
      <c r="AZ66" s="22">
        <v>157032</v>
      </c>
      <c r="BA66" s="22">
        <v>172227</v>
      </c>
      <c r="BB66" s="22">
        <f>157995+8500</f>
        <v>166495</v>
      </c>
      <c r="BC66" s="22">
        <v>153816</v>
      </c>
      <c r="BD66" s="22">
        <v>138051</v>
      </c>
      <c r="BE66" s="22">
        <v>55950</v>
      </c>
      <c r="BF66" s="22">
        <f t="shared" si="129"/>
        <v>1595251</v>
      </c>
      <c r="BG66" s="27"/>
      <c r="BH66" s="22">
        <v>138562</v>
      </c>
      <c r="BI66" s="22">
        <v>109391</v>
      </c>
      <c r="BJ66" s="22">
        <v>160056</v>
      </c>
      <c r="BK66" s="22">
        <v>124826</v>
      </c>
      <c r="BL66" s="22">
        <v>151185</v>
      </c>
      <c r="BM66" s="22">
        <v>134688</v>
      </c>
      <c r="BN66" s="22">
        <v>157005</v>
      </c>
      <c r="BO66" s="22">
        <v>151231</v>
      </c>
      <c r="BP66" s="22">
        <v>143335</v>
      </c>
      <c r="BQ66" s="22">
        <v>159215</v>
      </c>
      <c r="BR66" s="22"/>
      <c r="BS66" s="22"/>
      <c r="BT66" s="22">
        <f t="shared" si="131"/>
        <v>1429494</v>
      </c>
      <c r="BU66" s="28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</row>
    <row r="67" spans="1:86" ht="15.75" customHeight="1">
      <c r="A67" s="115"/>
      <c r="B67" s="346" t="s">
        <v>102</v>
      </c>
      <c r="C67" s="347"/>
      <c r="D67" s="265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66"/>
      <c r="Q67" s="116"/>
      <c r="R67" s="265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67"/>
      <c r="AE67" s="23"/>
      <c r="AF67" s="22">
        <f t="shared" ref="AF67:AL67" si="132">AF65-AF66</f>
        <v>19254</v>
      </c>
      <c r="AG67" s="22">
        <f t="shared" si="132"/>
        <v>14480</v>
      </c>
      <c r="AH67" s="22">
        <f t="shared" si="132"/>
        <v>24960</v>
      </c>
      <c r="AI67" s="22">
        <f t="shared" si="132"/>
        <v>14040</v>
      </c>
      <c r="AJ67" s="22">
        <f t="shared" si="132"/>
        <v>19048</v>
      </c>
      <c r="AK67" s="22">
        <f t="shared" si="132"/>
        <v>19740</v>
      </c>
      <c r="AL67" s="22">
        <f t="shared" si="132"/>
        <v>12900</v>
      </c>
      <c r="AM67" s="22">
        <v>15041</v>
      </c>
      <c r="AN67" s="22">
        <v>10548</v>
      </c>
      <c r="AO67" s="22">
        <v>3940</v>
      </c>
      <c r="AP67" s="22">
        <v>0</v>
      </c>
      <c r="AQ67" s="22">
        <v>0</v>
      </c>
      <c r="AR67" s="117">
        <f t="shared" si="127"/>
        <v>153951</v>
      </c>
      <c r="AS67" s="23"/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1060</v>
      </c>
      <c r="BB67" s="22">
        <v>320</v>
      </c>
      <c r="BC67" s="22">
        <v>0</v>
      </c>
      <c r="BD67" s="22">
        <v>0</v>
      </c>
      <c r="BE67" s="22"/>
      <c r="BF67" s="22">
        <f t="shared" si="129"/>
        <v>1380</v>
      </c>
      <c r="BG67" s="27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>
        <f t="shared" si="131"/>
        <v>0</v>
      </c>
      <c r="BU67" s="28"/>
      <c r="BV67" s="22"/>
      <c r="BW67" s="22"/>
      <c r="BX67" s="22"/>
      <c r="BY67" s="22"/>
    </row>
    <row r="68" spans="1:86" ht="15.75" customHeight="1">
      <c r="A68" s="103" t="s">
        <v>103</v>
      </c>
      <c r="B68" s="337"/>
      <c r="C68" s="330"/>
      <c r="D68" s="331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332"/>
      <c r="Q68" s="105"/>
      <c r="R68" s="333"/>
      <c r="S68" s="333"/>
      <c r="T68" s="333"/>
      <c r="U68" s="333"/>
      <c r="V68" s="333"/>
      <c r="W68" s="333"/>
      <c r="X68" s="333"/>
      <c r="Y68" s="333"/>
      <c r="Z68" s="333"/>
      <c r="AA68" s="333"/>
      <c r="AB68" s="333"/>
      <c r="AC68" s="333"/>
      <c r="AD68" s="334"/>
      <c r="AE68" s="106"/>
      <c r="AF68" s="333">
        <f t="shared" ref="AF68:AQ68" si="133">AF65-AF59</f>
        <v>-15784</v>
      </c>
      <c r="AG68" s="333">
        <f t="shared" si="133"/>
        <v>2450</v>
      </c>
      <c r="AH68" s="333">
        <f t="shared" si="133"/>
        <v>2820</v>
      </c>
      <c r="AI68" s="333">
        <f t="shared" si="133"/>
        <v>338</v>
      </c>
      <c r="AJ68" s="333">
        <f t="shared" si="133"/>
        <v>0</v>
      </c>
      <c r="AK68" s="333">
        <f t="shared" si="133"/>
        <v>7258</v>
      </c>
      <c r="AL68" s="333">
        <f t="shared" si="133"/>
        <v>-18242</v>
      </c>
      <c r="AM68" s="333">
        <f t="shared" si="133"/>
        <v>1974</v>
      </c>
      <c r="AN68" s="333">
        <f t="shared" si="133"/>
        <v>-25708</v>
      </c>
      <c r="AO68" s="333">
        <f t="shared" si="133"/>
        <v>1375</v>
      </c>
      <c r="AP68" s="333">
        <f t="shared" si="133"/>
        <v>13221</v>
      </c>
      <c r="AQ68" s="333">
        <f t="shared" si="133"/>
        <v>-14457</v>
      </c>
      <c r="AR68" s="107">
        <f t="shared" si="127"/>
        <v>-44755</v>
      </c>
      <c r="AS68" s="106"/>
      <c r="AT68" s="333">
        <f t="shared" ref="AT68:BE68" si="134">AT65-AT59</f>
        <v>-12789</v>
      </c>
      <c r="AU68" s="333">
        <f t="shared" si="134"/>
        <v>-4964</v>
      </c>
      <c r="AV68" s="333">
        <f t="shared" si="134"/>
        <v>-16175</v>
      </c>
      <c r="AW68" s="333">
        <f t="shared" si="134"/>
        <v>9888</v>
      </c>
      <c r="AX68" s="333">
        <f t="shared" si="134"/>
        <v>-2600</v>
      </c>
      <c r="AY68" s="333">
        <f t="shared" si="134"/>
        <v>-22930.999998999992</v>
      </c>
      <c r="AZ68" s="333">
        <f t="shared" si="134"/>
        <v>4623</v>
      </c>
      <c r="BA68" s="333">
        <f t="shared" si="134"/>
        <v>-233</v>
      </c>
      <c r="BB68" s="333">
        <f t="shared" si="134"/>
        <v>1815</v>
      </c>
      <c r="BC68" s="333">
        <f t="shared" si="134"/>
        <v>-3684</v>
      </c>
      <c r="BD68" s="333">
        <f t="shared" si="134"/>
        <v>8620</v>
      </c>
      <c r="BE68" s="333">
        <f t="shared" si="134"/>
        <v>-5750</v>
      </c>
      <c r="BF68" s="108">
        <f t="shared" si="129"/>
        <v>-44179.999998999992</v>
      </c>
      <c r="BG68" s="106"/>
      <c r="BH68" s="333">
        <f t="shared" ref="BH68:BQ68" si="135">BH65-BH59</f>
        <v>-1198</v>
      </c>
      <c r="BI68" s="333">
        <f t="shared" si="135"/>
        <v>-7189</v>
      </c>
      <c r="BJ68" s="333">
        <f t="shared" si="135"/>
        <v>11716</v>
      </c>
      <c r="BK68" s="333">
        <f t="shared" si="135"/>
        <v>12466</v>
      </c>
      <c r="BL68" s="333">
        <f t="shared" si="135"/>
        <v>42525</v>
      </c>
      <c r="BM68" s="333">
        <f t="shared" si="135"/>
        <v>-18728</v>
      </c>
      <c r="BN68" s="333">
        <f t="shared" si="135"/>
        <v>19329</v>
      </c>
      <c r="BO68" s="333">
        <f t="shared" si="135"/>
        <v>-9423</v>
      </c>
      <c r="BP68" s="333">
        <f t="shared" si="135"/>
        <v>-13665</v>
      </c>
      <c r="BQ68" s="333">
        <f t="shared" si="135"/>
        <v>2490</v>
      </c>
      <c r="BR68" s="108"/>
      <c r="BS68" s="108"/>
      <c r="BT68" s="108">
        <f t="shared" si="131"/>
        <v>38323</v>
      </c>
      <c r="BU68" s="28"/>
      <c r="BV68" s="333">
        <f t="shared" ref="BV68:BY68" si="136">BV65-BV59</f>
        <v>-133000</v>
      </c>
      <c r="BW68" s="333">
        <f t="shared" si="136"/>
        <v>-133000</v>
      </c>
      <c r="BX68" s="333">
        <f t="shared" si="136"/>
        <v>-133000</v>
      </c>
      <c r="BY68" s="333">
        <f t="shared" si="136"/>
        <v>-154000</v>
      </c>
    </row>
    <row r="69" spans="1:86" ht="14.25" customHeight="1">
      <c r="A69" s="55" t="s">
        <v>104</v>
      </c>
      <c r="B69" s="56"/>
      <c r="C69" s="280"/>
      <c r="D69" s="288" t="e">
        <f t="shared" ref="D69:F69" si="137">#REF!-#REF!</f>
        <v>#REF!</v>
      </c>
      <c r="E69" s="57" t="e">
        <f t="shared" si="137"/>
        <v>#REF!</v>
      </c>
      <c r="F69" s="57" t="e">
        <f t="shared" si="137"/>
        <v>#REF!</v>
      </c>
      <c r="G69" s="57" t="e">
        <f t="shared" ref="G69:I69" si="138">G59-#REF!</f>
        <v>#REF!</v>
      </c>
      <c r="H69" s="57" t="e">
        <f t="shared" si="138"/>
        <v>#REF!</v>
      </c>
      <c r="I69" s="57" t="e">
        <f t="shared" si="138"/>
        <v>#REF!</v>
      </c>
      <c r="J69" s="57" t="e">
        <f t="shared" ref="J69:K69" si="139">#REF!-#REF!</f>
        <v>#REF!</v>
      </c>
      <c r="K69" s="57" t="e">
        <f t="shared" si="139"/>
        <v>#REF!</v>
      </c>
      <c r="L69" s="57">
        <f>L59-L16</f>
        <v>-24911</v>
      </c>
      <c r="M69" s="57">
        <f>M59-M16</f>
        <v>-13674</v>
      </c>
      <c r="N69" s="57">
        <f>N59-N16</f>
        <v>57632</v>
      </c>
      <c r="O69" s="57">
        <f>O59-O16</f>
        <v>74079</v>
      </c>
      <c r="P69" s="289" t="e">
        <f>SUM(D69:O69)</f>
        <v>#REF!</v>
      </c>
      <c r="Q69" s="39"/>
      <c r="R69" s="288">
        <f t="shared" ref="R69:AD69" si="140">R59-R16</f>
        <v>22222.660017050745</v>
      </c>
      <c r="S69" s="58">
        <f t="shared" si="140"/>
        <v>17159.673608830723</v>
      </c>
      <c r="T69" s="58">
        <f t="shared" si="140"/>
        <v>-24753.77192982455</v>
      </c>
      <c r="U69" s="58">
        <f t="shared" si="140"/>
        <v>-17814.899999999998</v>
      </c>
      <c r="V69" s="58">
        <f t="shared" si="140"/>
        <v>1715</v>
      </c>
      <c r="W69" s="290">
        <f t="shared" si="140"/>
        <v>120430.6180497602</v>
      </c>
      <c r="X69" s="290">
        <f t="shared" si="140"/>
        <v>43436.666666667006</v>
      </c>
      <c r="Y69" s="290">
        <f t="shared" si="140"/>
        <v>-29747.083333333314</v>
      </c>
      <c r="Z69" s="290">
        <f t="shared" si="140"/>
        <v>-80887.5</v>
      </c>
      <c r="AA69" s="290">
        <f t="shared" si="140"/>
        <v>10200</v>
      </c>
      <c r="AB69" s="290">
        <f t="shared" si="140"/>
        <v>137500</v>
      </c>
      <c r="AC69" s="290">
        <f t="shared" si="140"/>
        <v>134100</v>
      </c>
      <c r="AD69" s="291">
        <f t="shared" si="140"/>
        <v>333561.36307915067</v>
      </c>
      <c r="AE69" s="59"/>
      <c r="AF69" s="292">
        <f t="shared" ref="AF69:AQ69" si="141">AF59-AF16</f>
        <v>32754</v>
      </c>
      <c r="AG69" s="58">
        <f t="shared" si="141"/>
        <v>-11977</v>
      </c>
      <c r="AH69" s="58">
        <f t="shared" si="141"/>
        <v>76847</v>
      </c>
      <c r="AI69" s="58">
        <f t="shared" si="141"/>
        <v>59682</v>
      </c>
      <c r="AJ69" s="58">
        <f t="shared" si="141"/>
        <v>74226</v>
      </c>
      <c r="AK69" s="58">
        <f t="shared" si="141"/>
        <v>14740</v>
      </c>
      <c r="AL69" s="58">
        <f t="shared" si="141"/>
        <v>38005</v>
      </c>
      <c r="AM69" s="58">
        <f t="shared" si="141"/>
        <v>-71903</v>
      </c>
      <c r="AN69" s="58">
        <f t="shared" si="141"/>
        <v>-90633.333333333343</v>
      </c>
      <c r="AO69" s="58">
        <f t="shared" si="141"/>
        <v>-115900</v>
      </c>
      <c r="AP69" s="58">
        <f t="shared" si="141"/>
        <v>1360</v>
      </c>
      <c r="AQ69" s="58">
        <f t="shared" si="141"/>
        <v>2160</v>
      </c>
      <c r="AR69" s="58">
        <f t="shared" si="127"/>
        <v>9360.666666666657</v>
      </c>
      <c r="AS69" s="59"/>
      <c r="AT69" s="58">
        <f t="shared" ref="AT69:BE69" si="142">AT59-AT16</f>
        <v>-19749.25</v>
      </c>
      <c r="AU69" s="58">
        <f t="shared" si="142"/>
        <v>-43342.103448275855</v>
      </c>
      <c r="AV69" s="58">
        <f t="shared" si="142"/>
        <v>-36893.137931034493</v>
      </c>
      <c r="AW69" s="58">
        <f t="shared" si="142"/>
        <v>-32095.137931034493</v>
      </c>
      <c r="AX69" s="58">
        <f t="shared" si="142"/>
        <v>19900.034482758623</v>
      </c>
      <c r="AY69" s="58">
        <f t="shared" si="142"/>
        <v>19999.222221222211</v>
      </c>
      <c r="AZ69" s="58">
        <f t="shared" si="142"/>
        <v>-14264.777777777781</v>
      </c>
      <c r="BA69" s="58">
        <f t="shared" si="142"/>
        <v>-68922.296296296292</v>
      </c>
      <c r="BB69" s="58">
        <f t="shared" si="142"/>
        <v>-78407.777777777781</v>
      </c>
      <c r="BC69" s="58">
        <f t="shared" si="142"/>
        <v>-95868.290755657828</v>
      </c>
      <c r="BD69" s="58">
        <f t="shared" si="142"/>
        <v>-5124.586881472962</v>
      </c>
      <c r="BE69" s="58">
        <f t="shared" si="142"/>
        <v>-10986.612965093984</v>
      </c>
      <c r="BF69" s="58">
        <f t="shared" si="129"/>
        <v>-365754.71506044065</v>
      </c>
      <c r="BG69" s="59"/>
      <c r="BH69" s="58">
        <f t="shared" ref="BH69:BQ69" si="143">BH59-BH16</f>
        <v>-12993</v>
      </c>
      <c r="BI69" s="58">
        <f t="shared" si="143"/>
        <v>-30242.333333333314</v>
      </c>
      <c r="BJ69" s="58">
        <f t="shared" si="143"/>
        <v>-23206.074074074073</v>
      </c>
      <c r="BK69" s="58">
        <f t="shared" si="143"/>
        <v>-47411.74074074073</v>
      </c>
      <c r="BL69" s="58">
        <f t="shared" si="143"/>
        <v>-23836.851851851854</v>
      </c>
      <c r="BM69" s="58">
        <f t="shared" si="143"/>
        <v>23509.740740740745</v>
      </c>
      <c r="BN69" s="58">
        <f t="shared" si="143"/>
        <v>-33707.555555555562</v>
      </c>
      <c r="BO69" s="58">
        <f t="shared" si="143"/>
        <v>-18896.378111111087</v>
      </c>
      <c r="BP69" s="58">
        <f t="shared" si="143"/>
        <v>-45053.749537037045</v>
      </c>
      <c r="BQ69" s="58">
        <f t="shared" si="143"/>
        <v>-7140</v>
      </c>
      <c r="BR69" s="58"/>
      <c r="BS69" s="58"/>
      <c r="BT69" s="58">
        <f t="shared" si="131"/>
        <v>-218977.94246296291</v>
      </c>
      <c r="BU69" s="60"/>
      <c r="BV69" s="58">
        <f>BV59-BV16</f>
        <v>-23532.364466398081</v>
      </c>
      <c r="BW69" s="58">
        <f>BW59-BW16</f>
        <v>-12200.17838265319</v>
      </c>
      <c r="BX69" s="58">
        <f>BX59-BX16</f>
        <v>-52699.060020747245</v>
      </c>
      <c r="BY69" s="58">
        <f>BY59-BY16</f>
        <v>3899.3592599190015</v>
      </c>
    </row>
  </sheetData>
  <mergeCells count="22">
    <mergeCell ref="B31:C31"/>
    <mergeCell ref="B40:C40"/>
    <mergeCell ref="BV2:CG2"/>
    <mergeCell ref="B22:C22"/>
    <mergeCell ref="B23:C23"/>
    <mergeCell ref="B24:C24"/>
    <mergeCell ref="B25:C25"/>
    <mergeCell ref="B26:C26"/>
    <mergeCell ref="D2:P2"/>
    <mergeCell ref="R2:AD2"/>
    <mergeCell ref="AF2:AR2"/>
    <mergeCell ref="AT2:BF2"/>
    <mergeCell ref="BH2:BS2"/>
    <mergeCell ref="B27:C27"/>
    <mergeCell ref="B28:C28"/>
    <mergeCell ref="B29:C29"/>
    <mergeCell ref="BV1:CG1"/>
    <mergeCell ref="B30:C30"/>
    <mergeCell ref="R1:AD1"/>
    <mergeCell ref="AF1:AR1"/>
    <mergeCell ref="AT1:BF1"/>
    <mergeCell ref="BH1:BS1"/>
  </mergeCells>
  <pageMargins left="0.25" right="0.25" top="0.75" bottom="0.75" header="0" footer="0"/>
  <pageSetup paperSize="9" scale="55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4A73-FE42-457B-9A1F-F7FF5305F03C}">
  <sheetPr>
    <tabColor rgb="FFFFFF00"/>
  </sheetPr>
  <dimension ref="A1:CI69"/>
  <sheetViews>
    <sheetView showGridLines="0" zoomScale="80" zoomScaleNormal="80" workbookViewId="0">
      <pane xSplit="3" ySplit="5" topLeftCell="CH6" activePane="bottomRight" state="frozen"/>
      <selection pane="bottomRight" activeCell="CH6" sqref="CH6"/>
      <selection pane="bottomLeft" activeCell="A6" sqref="A6"/>
      <selection pane="topRight" activeCell="D1" sqref="D1"/>
    </sheetView>
  </sheetViews>
  <sheetFormatPr defaultColWidth="14.42578125" defaultRowHeight="15" customHeight="1" outlineLevelRow="1" outlineLevelCol="1"/>
  <cols>
    <col min="1" max="1" width="16.85546875" customWidth="1"/>
    <col min="2" max="2" width="28.7109375" customWidth="1"/>
    <col min="3" max="3" width="10.140625" customWidth="1"/>
    <col min="4" max="4" width="9.140625" customWidth="1" outlineLevel="1"/>
    <col min="5" max="6" width="8.140625" customWidth="1" outlineLevel="1"/>
    <col min="7" max="7" width="9.7109375" customWidth="1" outlineLevel="1"/>
    <col min="8" max="9" width="8.140625" customWidth="1" outlineLevel="1"/>
    <col min="10" max="10" width="8.7109375" customWidth="1" outlineLevel="1"/>
    <col min="11" max="11" width="9" customWidth="1" outlineLevel="1"/>
    <col min="12" max="12" width="9.28515625" customWidth="1" outlineLevel="1"/>
    <col min="13" max="13" width="8.85546875" customWidth="1" outlineLevel="1"/>
    <col min="14" max="14" width="7.7109375" customWidth="1" outlineLevel="1"/>
    <col min="15" max="15" width="8.7109375" customWidth="1" outlineLevel="1"/>
    <col min="16" max="16" width="10.5703125" customWidth="1" outlineLevel="1"/>
    <col min="17" max="17" width="5.42578125" hidden="1" customWidth="1"/>
    <col min="18" max="18" width="12" customWidth="1" outlineLevel="1"/>
    <col min="19" max="20" width="13.140625" customWidth="1" outlineLevel="1"/>
    <col min="21" max="21" width="11.7109375" customWidth="1" outlineLevel="1"/>
    <col min="22" max="22" width="13" customWidth="1" outlineLevel="1"/>
    <col min="23" max="23" width="8.85546875" customWidth="1" outlineLevel="1"/>
    <col min="24" max="24" width="13.140625" customWidth="1" outlineLevel="1"/>
    <col min="25" max="25" width="10.7109375" customWidth="1" outlineLevel="1"/>
    <col min="26" max="26" width="11.140625" customWidth="1" outlineLevel="1"/>
    <col min="27" max="27" width="10.7109375" customWidth="1" outlineLevel="1"/>
    <col min="28" max="28" width="10.5703125" customWidth="1" outlineLevel="1"/>
    <col min="29" max="29" width="9.5703125" customWidth="1" outlineLevel="1"/>
    <col min="30" max="30" width="11.5703125" customWidth="1" outlineLevel="1"/>
    <col min="31" max="31" width="6.42578125" hidden="1" customWidth="1"/>
    <col min="32" max="33" width="12" customWidth="1" outlineLevel="1"/>
    <col min="34" max="34" width="14.7109375" customWidth="1" outlineLevel="1"/>
    <col min="35" max="40" width="15" customWidth="1" outlineLevel="1"/>
    <col min="41" max="42" width="9.140625" customWidth="1" outlineLevel="1"/>
    <col min="43" max="43" width="10.28515625" customWidth="1" outlineLevel="1"/>
    <col min="44" max="44" width="11" customWidth="1" outlineLevel="1"/>
    <col min="45" max="45" width="2.7109375" hidden="1" customWidth="1"/>
    <col min="46" max="46" width="15.140625" customWidth="1" outlineLevel="1"/>
    <col min="47" max="48" width="15" customWidth="1" outlineLevel="1"/>
    <col min="49" max="49" width="13.140625" customWidth="1" outlineLevel="1"/>
    <col min="50" max="50" width="13.42578125" customWidth="1" outlineLevel="1"/>
    <col min="51" max="51" width="12.7109375" customWidth="1" outlineLevel="1"/>
    <col min="52" max="52" width="12.85546875" customWidth="1" outlineLevel="1"/>
    <col min="53" max="53" width="12.42578125" customWidth="1" outlineLevel="1"/>
    <col min="54" max="54" width="12.85546875" customWidth="1" outlineLevel="1"/>
    <col min="55" max="55" width="14" customWidth="1" outlineLevel="1"/>
    <col min="56" max="57" width="11.7109375" customWidth="1" outlineLevel="1"/>
    <col min="58" max="58" width="17.140625" customWidth="1" outlineLevel="1"/>
    <col min="59" max="59" width="9.140625" hidden="1" customWidth="1"/>
    <col min="60" max="60" width="15.140625" customWidth="1" outlineLevel="1" collapsed="1"/>
    <col min="61" max="62" width="15" customWidth="1" outlineLevel="1"/>
    <col min="63" max="63" width="13.140625" customWidth="1" outlineLevel="1"/>
    <col min="64" max="64" width="17.42578125" customWidth="1" outlineLevel="1"/>
    <col min="65" max="65" width="15.5703125" customWidth="1" outlineLevel="1"/>
    <col min="66" max="66" width="15" customWidth="1" outlineLevel="1"/>
    <col min="67" max="71" width="13.140625" customWidth="1" outlineLevel="1"/>
    <col min="72" max="72" width="16.42578125" customWidth="1" outlineLevel="1"/>
    <col min="73" max="73" width="7.7109375" bestFit="1" customWidth="1"/>
    <col min="74" max="85" width="13.140625" customWidth="1"/>
    <col min="86" max="86" width="16.42578125" bestFit="1" customWidth="1"/>
  </cols>
  <sheetData>
    <row r="1" spans="1:86" ht="16.5" customHeight="1" thickBo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</row>
    <row r="2" spans="1:86" ht="16.5" thickBot="1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1082">
        <v>2021</v>
      </c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4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</row>
    <row r="3" spans="1:86">
      <c r="A3" s="3" t="s">
        <v>5</v>
      </c>
      <c r="B3" s="3"/>
      <c r="C3" s="3"/>
      <c r="D3" s="252">
        <v>16</v>
      </c>
      <c r="E3" s="252">
        <v>21</v>
      </c>
      <c r="F3" s="252">
        <v>18</v>
      </c>
      <c r="G3" s="252">
        <v>21</v>
      </c>
      <c r="H3" s="252">
        <v>22</v>
      </c>
      <c r="I3" s="252">
        <v>19</v>
      </c>
      <c r="J3" s="252">
        <v>23</v>
      </c>
      <c r="K3" s="252">
        <v>21</v>
      </c>
      <c r="L3" s="252">
        <v>21</v>
      </c>
      <c r="M3" s="252">
        <v>26</v>
      </c>
      <c r="N3" s="252">
        <v>24</v>
      </c>
      <c r="O3" s="252">
        <v>15</v>
      </c>
      <c r="P3" s="4"/>
      <c r="Q3" s="247"/>
      <c r="R3" s="252">
        <v>22</v>
      </c>
      <c r="S3" s="252">
        <v>20</v>
      </c>
      <c r="T3" s="252">
        <v>14</v>
      </c>
      <c r="U3" s="252">
        <v>1</v>
      </c>
      <c r="V3" s="252">
        <v>12</v>
      </c>
      <c r="W3" s="252">
        <v>22</v>
      </c>
      <c r="X3" s="252">
        <v>23</v>
      </c>
      <c r="Y3" s="252">
        <v>21</v>
      </c>
      <c r="Z3" s="252">
        <v>21</v>
      </c>
      <c r="AA3" s="252">
        <v>21</v>
      </c>
      <c r="AB3" s="252">
        <v>20</v>
      </c>
      <c r="AC3" s="252">
        <v>17</v>
      </c>
      <c r="AD3" s="2"/>
      <c r="AE3" s="253"/>
      <c r="AF3" s="254">
        <v>18</v>
      </c>
      <c r="AG3" s="252">
        <v>20</v>
      </c>
      <c r="AH3" s="248">
        <v>20</v>
      </c>
      <c r="AI3" s="248">
        <v>20</v>
      </c>
      <c r="AJ3" s="252">
        <v>22</v>
      </c>
      <c r="AK3" s="252">
        <v>20</v>
      </c>
      <c r="AL3" s="252">
        <v>22</v>
      </c>
      <c r="AM3" s="252">
        <v>22</v>
      </c>
      <c r="AN3" s="252">
        <v>21</v>
      </c>
      <c r="AO3" s="252">
        <v>20</v>
      </c>
      <c r="AP3" s="252">
        <v>20</v>
      </c>
      <c r="AQ3" s="248">
        <v>12</v>
      </c>
      <c r="AR3" s="2"/>
      <c r="AS3" s="124"/>
      <c r="AT3" s="253">
        <v>19</v>
      </c>
      <c r="AU3" s="248">
        <v>19</v>
      </c>
      <c r="AV3" s="248">
        <v>18</v>
      </c>
      <c r="AW3" s="248">
        <v>19</v>
      </c>
      <c r="AX3" s="248">
        <v>22</v>
      </c>
      <c r="AY3" s="248">
        <v>21</v>
      </c>
      <c r="AZ3" s="248">
        <v>21</v>
      </c>
      <c r="BA3" s="248">
        <v>22</v>
      </c>
      <c r="BB3" s="248">
        <v>22</v>
      </c>
      <c r="BC3" s="248">
        <v>21</v>
      </c>
      <c r="BD3" s="248">
        <v>20</v>
      </c>
      <c r="BE3" s="248">
        <v>10</v>
      </c>
      <c r="BF3" s="2"/>
      <c r="BG3" s="125"/>
      <c r="BH3" s="253">
        <v>20</v>
      </c>
      <c r="BI3" s="248">
        <v>17</v>
      </c>
      <c r="BJ3" s="248">
        <v>23</v>
      </c>
      <c r="BK3" s="248">
        <v>18</v>
      </c>
      <c r="BL3" s="248">
        <v>22</v>
      </c>
      <c r="BM3" s="248">
        <v>23</v>
      </c>
      <c r="BN3" s="248">
        <v>21</v>
      </c>
      <c r="BO3" s="248">
        <v>21</v>
      </c>
      <c r="BP3" s="248">
        <v>20</v>
      </c>
      <c r="BQ3" s="248">
        <v>21</v>
      </c>
      <c r="BR3" s="248">
        <v>20</v>
      </c>
      <c r="BS3" s="248">
        <v>14</v>
      </c>
      <c r="BT3" s="253">
        <v>20</v>
      </c>
      <c r="BU3" s="252"/>
      <c r="BV3" s="253">
        <v>19</v>
      </c>
      <c r="BW3" s="248">
        <v>19</v>
      </c>
      <c r="BX3" s="248">
        <v>19</v>
      </c>
      <c r="BY3" s="248">
        <v>22</v>
      </c>
      <c r="BZ3" s="248">
        <v>20</v>
      </c>
      <c r="CA3" s="248">
        <v>20</v>
      </c>
      <c r="CB3" s="248">
        <v>23</v>
      </c>
      <c r="CC3" s="248">
        <v>21</v>
      </c>
      <c r="CD3" s="248">
        <v>21</v>
      </c>
      <c r="CE3" s="248">
        <v>23</v>
      </c>
      <c r="CF3" s="248">
        <v>20</v>
      </c>
      <c r="CG3" s="248">
        <v>13</v>
      </c>
      <c r="CH3" s="248"/>
    </row>
    <row r="4" spans="1:86">
      <c r="A4" s="8"/>
      <c r="B4" s="255"/>
      <c r="C4" s="256"/>
      <c r="D4" s="257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258" t="s">
        <v>26</v>
      </c>
      <c r="Q4" s="10"/>
      <c r="R4" s="257" t="s">
        <v>14</v>
      </c>
      <c r="S4" s="9" t="s">
        <v>15</v>
      </c>
      <c r="T4" s="9" t="s">
        <v>16</v>
      </c>
      <c r="U4" s="9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  <c r="AA4" s="9" t="s">
        <v>23</v>
      </c>
      <c r="AB4" s="9" t="s">
        <v>24</v>
      </c>
      <c r="AC4" s="9" t="s">
        <v>25</v>
      </c>
      <c r="AD4" s="258" t="s">
        <v>26</v>
      </c>
      <c r="AE4" s="11"/>
      <c r="AF4" s="257" t="s">
        <v>14</v>
      </c>
      <c r="AG4" s="9" t="s">
        <v>15</v>
      </c>
      <c r="AH4" s="9" t="s">
        <v>16</v>
      </c>
      <c r="AI4" s="9" t="s">
        <v>17</v>
      </c>
      <c r="AJ4" s="9" t="s">
        <v>18</v>
      </c>
      <c r="AK4" s="9" t="s">
        <v>19</v>
      </c>
      <c r="AL4" s="9" t="s">
        <v>20</v>
      </c>
      <c r="AM4" s="9" t="s">
        <v>21</v>
      </c>
      <c r="AN4" s="9" t="s">
        <v>22</v>
      </c>
      <c r="AO4" s="9" t="s">
        <v>23</v>
      </c>
      <c r="AP4" s="9" t="s">
        <v>24</v>
      </c>
      <c r="AQ4" s="9" t="s">
        <v>25</v>
      </c>
      <c r="AR4" s="9" t="s">
        <v>26</v>
      </c>
      <c r="AS4" s="11"/>
      <c r="AT4" s="9" t="s">
        <v>14</v>
      </c>
      <c r="AU4" s="9" t="s">
        <v>15</v>
      </c>
      <c r="AV4" s="9" t="s">
        <v>16</v>
      </c>
      <c r="AW4" s="9" t="s">
        <v>17</v>
      </c>
      <c r="AX4" s="9" t="s">
        <v>18</v>
      </c>
      <c r="AY4" s="9" t="s">
        <v>19</v>
      </c>
      <c r="AZ4" s="9" t="s">
        <v>20</v>
      </c>
      <c r="BA4" s="9" t="s">
        <v>21</v>
      </c>
      <c r="BB4" s="9" t="s">
        <v>22</v>
      </c>
      <c r="BC4" s="9" t="s">
        <v>23</v>
      </c>
      <c r="BD4" s="9" t="s">
        <v>24</v>
      </c>
      <c r="BE4" s="9" t="s">
        <v>25</v>
      </c>
      <c r="BF4" s="9" t="s">
        <v>26</v>
      </c>
      <c r="BG4" s="10"/>
      <c r="BH4" s="9" t="s">
        <v>14</v>
      </c>
      <c r="BI4" s="9" t="s">
        <v>15</v>
      </c>
      <c r="BJ4" s="9" t="s">
        <v>16</v>
      </c>
      <c r="BK4" s="9" t="s">
        <v>17</v>
      </c>
      <c r="BL4" s="9" t="s">
        <v>18</v>
      </c>
      <c r="BM4" s="9" t="s">
        <v>19</v>
      </c>
      <c r="BN4" s="9" t="s">
        <v>20</v>
      </c>
      <c r="BO4" s="9" t="s">
        <v>21</v>
      </c>
      <c r="BP4" s="9" t="s">
        <v>22</v>
      </c>
      <c r="BQ4" s="9" t="s">
        <v>23</v>
      </c>
      <c r="BR4" s="9" t="s">
        <v>24</v>
      </c>
      <c r="BS4" s="9" t="s">
        <v>25</v>
      </c>
      <c r="BT4" s="9" t="s">
        <v>26</v>
      </c>
      <c r="BU4" s="12"/>
      <c r="BV4" s="9" t="s">
        <v>14</v>
      </c>
      <c r="BW4" s="9" t="s">
        <v>15</v>
      </c>
      <c r="BX4" s="9" t="s">
        <v>16</v>
      </c>
      <c r="BY4" s="9" t="s">
        <v>17</v>
      </c>
      <c r="BZ4" s="9" t="s">
        <v>18</v>
      </c>
      <c r="CA4" s="9" t="s">
        <v>19</v>
      </c>
      <c r="CB4" s="9" t="s">
        <v>20</v>
      </c>
      <c r="CC4" s="9" t="s">
        <v>21</v>
      </c>
      <c r="CD4" s="9" t="s">
        <v>22</v>
      </c>
      <c r="CE4" s="9" t="s">
        <v>23</v>
      </c>
      <c r="CF4" s="9" t="s">
        <v>24</v>
      </c>
      <c r="CG4" s="9" t="s">
        <v>25</v>
      </c>
      <c r="CH4" s="9" t="s">
        <v>26</v>
      </c>
    </row>
    <row r="5" spans="1:86">
      <c r="A5" s="13"/>
      <c r="B5" s="259"/>
      <c r="C5" s="260"/>
      <c r="D5" s="261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262"/>
      <c r="Q5" s="15"/>
      <c r="R5" s="261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263"/>
      <c r="AE5" s="16"/>
      <c r="AF5" s="261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7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7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8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</row>
    <row r="6" spans="1:86">
      <c r="A6" s="13" t="s">
        <v>28</v>
      </c>
      <c r="B6" s="259" t="s">
        <v>263</v>
      </c>
      <c r="C6" s="260"/>
      <c r="D6" s="261">
        <f t="shared" ref="D6:O6" si="0">SUM(D7:D9)</f>
        <v>304786</v>
      </c>
      <c r="E6" s="14">
        <f t="shared" si="0"/>
        <v>311986</v>
      </c>
      <c r="F6" s="14">
        <f t="shared" si="0"/>
        <v>328231</v>
      </c>
      <c r="G6" s="14">
        <f t="shared" si="0"/>
        <v>317873</v>
      </c>
      <c r="H6" s="14">
        <f t="shared" si="0"/>
        <v>347196</v>
      </c>
      <c r="I6" s="14">
        <f t="shared" si="0"/>
        <v>402253</v>
      </c>
      <c r="J6" s="14">
        <f t="shared" si="0"/>
        <v>454488</v>
      </c>
      <c r="K6" s="14">
        <f t="shared" si="0"/>
        <v>447182</v>
      </c>
      <c r="L6" s="14">
        <f t="shared" si="0"/>
        <v>416931</v>
      </c>
      <c r="M6" s="14">
        <f t="shared" si="0"/>
        <v>304402</v>
      </c>
      <c r="N6" s="14">
        <f t="shared" si="0"/>
        <v>0</v>
      </c>
      <c r="O6" s="14">
        <f t="shared" si="0"/>
        <v>188264</v>
      </c>
      <c r="P6" s="262"/>
      <c r="Q6" s="15"/>
      <c r="R6" s="14">
        <f t="shared" ref="R6:AC6" si="1">SUM(R7:R9)</f>
        <v>283359</v>
      </c>
      <c r="S6" s="14">
        <f t="shared" si="1"/>
        <v>342718</v>
      </c>
      <c r="T6" s="14">
        <f t="shared" si="1"/>
        <v>313212</v>
      </c>
      <c r="U6" s="14">
        <f t="shared" si="1"/>
        <v>298093</v>
      </c>
      <c r="V6" s="14">
        <f t="shared" si="1"/>
        <v>206617</v>
      </c>
      <c r="W6" s="14">
        <f t="shared" si="1"/>
        <v>235875</v>
      </c>
      <c r="X6" s="14">
        <f t="shared" si="1"/>
        <v>360135</v>
      </c>
      <c r="Y6" s="14">
        <f t="shared" si="1"/>
        <v>361665</v>
      </c>
      <c r="Z6" s="14">
        <f t="shared" si="1"/>
        <v>353400</v>
      </c>
      <c r="AA6" s="14">
        <f t="shared" si="1"/>
        <v>272097</v>
      </c>
      <c r="AB6" s="14">
        <f t="shared" si="1"/>
        <v>170626</v>
      </c>
      <c r="AC6" s="14">
        <f t="shared" si="1"/>
        <v>197551</v>
      </c>
      <c r="AD6" s="263"/>
      <c r="AE6" s="16"/>
      <c r="AF6" s="14">
        <f t="shared" ref="AF6:AQ6" si="2">SUM(AF7:AF10)</f>
        <v>246973</v>
      </c>
      <c r="AG6" s="14">
        <f t="shared" si="2"/>
        <v>281087</v>
      </c>
      <c r="AH6" s="14">
        <f t="shared" si="2"/>
        <v>386469</v>
      </c>
      <c r="AI6" s="14">
        <f t="shared" si="2"/>
        <v>379017</v>
      </c>
      <c r="AJ6" s="14">
        <f t="shared" si="2"/>
        <v>400777</v>
      </c>
      <c r="AK6" s="14">
        <f t="shared" si="2"/>
        <v>465623</v>
      </c>
      <c r="AL6" s="14">
        <f t="shared" si="2"/>
        <v>472149</v>
      </c>
      <c r="AM6" s="14">
        <f t="shared" si="2"/>
        <v>492339</v>
      </c>
      <c r="AN6" s="14">
        <f t="shared" si="2"/>
        <v>450428</v>
      </c>
      <c r="AO6" s="14">
        <f t="shared" si="2"/>
        <v>391441</v>
      </c>
      <c r="AP6" s="14">
        <f t="shared" si="2"/>
        <v>325482</v>
      </c>
      <c r="AQ6" s="14">
        <f t="shared" si="2"/>
        <v>321014</v>
      </c>
      <c r="AR6" s="14">
        <f t="shared" ref="AR6:AR14" si="3">AQ6</f>
        <v>321014</v>
      </c>
      <c r="AS6" s="17"/>
      <c r="AT6" s="14">
        <f t="shared" ref="AT6:BE6" si="4">SUM(AT7:AT10)</f>
        <v>350303</v>
      </c>
      <c r="AU6" s="14">
        <f t="shared" si="4"/>
        <v>323931</v>
      </c>
      <c r="AV6" s="14">
        <f t="shared" si="4"/>
        <v>307980</v>
      </c>
      <c r="AW6" s="14">
        <f t="shared" si="4"/>
        <v>292777</v>
      </c>
      <c r="AX6" s="14">
        <f t="shared" si="4"/>
        <v>296754</v>
      </c>
      <c r="AY6" s="14">
        <f t="shared" si="4"/>
        <v>344037</v>
      </c>
      <c r="AZ6" s="14">
        <f t="shared" si="4"/>
        <v>367566</v>
      </c>
      <c r="BA6" s="14">
        <f t="shared" si="4"/>
        <v>372442</v>
      </c>
      <c r="BB6" s="14">
        <f t="shared" si="4"/>
        <v>375154</v>
      </c>
      <c r="BC6" s="14">
        <f t="shared" si="4"/>
        <v>340466</v>
      </c>
      <c r="BD6" s="14">
        <f t="shared" si="4"/>
        <v>314581</v>
      </c>
      <c r="BE6" s="14">
        <f t="shared" si="4"/>
        <v>253219</v>
      </c>
      <c r="BF6" s="14">
        <f t="shared" ref="BF6:BF11" si="5">BE6</f>
        <v>253219</v>
      </c>
      <c r="BG6" s="17"/>
      <c r="BH6" s="14">
        <f t="shared" ref="BH6:BQ6" si="6">SUM(BH7:BH10)</f>
        <v>307512</v>
      </c>
      <c r="BI6" s="14">
        <f t="shared" si="6"/>
        <v>302058</v>
      </c>
      <c r="BJ6" s="14">
        <f t="shared" si="6"/>
        <v>315841</v>
      </c>
      <c r="BK6" s="14">
        <f t="shared" si="6"/>
        <v>306027</v>
      </c>
      <c r="BL6" s="14">
        <f t="shared" si="6"/>
        <v>299077</v>
      </c>
      <c r="BM6" s="14">
        <f t="shared" si="6"/>
        <v>293121</v>
      </c>
      <c r="BN6" s="14">
        <f t="shared" si="6"/>
        <v>335286</v>
      </c>
      <c r="BO6" s="14">
        <f t="shared" si="6"/>
        <v>322561</v>
      </c>
      <c r="BP6" s="14">
        <f t="shared" si="6"/>
        <v>304307</v>
      </c>
      <c r="BQ6" s="14">
        <f t="shared" si="6"/>
        <v>280100</v>
      </c>
      <c r="BR6" s="14">
        <f>SUM(BR7:BR10)</f>
        <v>215852</v>
      </c>
      <c r="BS6" s="14">
        <f>BS7+BS8+BS10</f>
        <v>201165</v>
      </c>
      <c r="BT6" s="14">
        <f>BS6</f>
        <v>201165</v>
      </c>
      <c r="BU6" s="18"/>
      <c r="BV6" s="14">
        <f>BV7+BV8+BV10</f>
        <v>247713</v>
      </c>
      <c r="BW6" s="14">
        <f>BV6+BW59-BW16</f>
        <v>233331.33851391904</v>
      </c>
      <c r="BX6" s="14">
        <f>BW6+BX59-BX16</f>
        <v>177883.66498659304</v>
      </c>
      <c r="BY6" s="14">
        <f t="shared" ref="BW6:CG6" si="7">BX6+BY59-BY16</f>
        <v>179412.86758308427</v>
      </c>
      <c r="BZ6" s="14">
        <f t="shared" si="7"/>
        <v>173869.17709944007</v>
      </c>
      <c r="CA6" s="14">
        <f t="shared" si="7"/>
        <v>174073.94242035711</v>
      </c>
      <c r="CB6" s="14">
        <f t="shared" si="7"/>
        <v>154754.65844393449</v>
      </c>
      <c r="CC6" s="14">
        <f t="shared" si="7"/>
        <v>105292.60304097991</v>
      </c>
      <c r="CD6" s="14">
        <f t="shared" si="7"/>
        <v>44459.291351282969</v>
      </c>
      <c r="CE6" s="14">
        <f t="shared" si="7"/>
        <v>-5180.9302899394534</v>
      </c>
      <c r="CF6" s="14">
        <f t="shared" si="7"/>
        <v>-35231.874981086148</v>
      </c>
      <c r="CG6" s="14">
        <f t="shared" si="7"/>
        <v>-21040.0938262571</v>
      </c>
      <c r="CH6" s="14">
        <f t="shared" ref="CH6:CH14" si="8">CG6</f>
        <v>-21040.0938262571</v>
      </c>
    </row>
    <row r="7" spans="1:86">
      <c r="A7" s="19">
        <v>1</v>
      </c>
      <c r="B7" s="158" t="s">
        <v>264</v>
      </c>
      <c r="C7" s="264"/>
      <c r="D7" s="265">
        <v>197000</v>
      </c>
      <c r="E7" s="20">
        <v>223027</v>
      </c>
      <c r="F7" s="20">
        <v>230513</v>
      </c>
      <c r="G7" s="20">
        <v>231174</v>
      </c>
      <c r="H7" s="20">
        <v>255028</v>
      </c>
      <c r="I7" s="20">
        <f>316386+3241</f>
        <v>319627</v>
      </c>
      <c r="J7" s="20">
        <v>377712</v>
      </c>
      <c r="K7" s="20">
        <v>382411</v>
      </c>
      <c r="L7" s="20">
        <v>394107</v>
      </c>
      <c r="M7" s="20">
        <v>267954</v>
      </c>
      <c r="N7" s="20"/>
      <c r="O7" s="20">
        <v>143875</v>
      </c>
      <c r="P7" s="266"/>
      <c r="Q7" s="21"/>
      <c r="R7" s="265">
        <v>208084</v>
      </c>
      <c r="S7" s="22">
        <v>268431</v>
      </c>
      <c r="T7" s="22">
        <v>250616</v>
      </c>
      <c r="U7" s="22">
        <v>237088</v>
      </c>
      <c r="V7" s="22">
        <v>147777</v>
      </c>
      <c r="W7" s="22">
        <v>215818</v>
      </c>
      <c r="X7" s="22">
        <v>273510</v>
      </c>
      <c r="Y7" s="22">
        <v>299059</v>
      </c>
      <c r="Z7" s="22">
        <v>304980</v>
      </c>
      <c r="AA7" s="22">
        <v>231197</v>
      </c>
      <c r="AB7" s="22">
        <v>143086</v>
      </c>
      <c r="AC7" s="22">
        <v>172491</v>
      </c>
      <c r="AD7" s="267"/>
      <c r="AE7" s="23"/>
      <c r="AF7" s="22">
        <v>198695</v>
      </c>
      <c r="AG7" s="22">
        <v>234210</v>
      </c>
      <c r="AH7" s="22">
        <v>327560</v>
      </c>
      <c r="AI7" s="22">
        <v>332523</v>
      </c>
      <c r="AJ7" s="24">
        <v>356667</v>
      </c>
      <c r="AK7" s="22">
        <v>384165</v>
      </c>
      <c r="AL7" s="22">
        <v>317268</v>
      </c>
      <c r="AM7" s="22">
        <v>370708</v>
      </c>
      <c r="AN7" s="22">
        <v>354503</v>
      </c>
      <c r="AO7" s="22">
        <v>314605</v>
      </c>
      <c r="AP7" s="25">
        <v>90490</v>
      </c>
      <c r="AQ7" s="22">
        <v>58348</v>
      </c>
      <c r="AR7" s="22">
        <f t="shared" si="3"/>
        <v>58348</v>
      </c>
      <c r="AS7" s="23"/>
      <c r="AT7" s="22">
        <v>158701</v>
      </c>
      <c r="AU7" s="22">
        <v>115369</v>
      </c>
      <c r="AV7" s="22">
        <v>142379</v>
      </c>
      <c r="AW7" s="22">
        <v>118765</v>
      </c>
      <c r="AX7" s="22">
        <v>113246</v>
      </c>
      <c r="AY7" s="22">
        <v>106776</v>
      </c>
      <c r="AZ7" s="22">
        <v>175234</v>
      </c>
      <c r="BA7" s="22">
        <v>151553</v>
      </c>
      <c r="BB7" s="26">
        <v>167082</v>
      </c>
      <c r="BC7" s="22">
        <v>150959</v>
      </c>
      <c r="BD7" s="22">
        <v>119787</v>
      </c>
      <c r="BE7" s="22">
        <v>65426</v>
      </c>
      <c r="BF7" s="22">
        <f t="shared" si="5"/>
        <v>65426</v>
      </c>
      <c r="BG7" s="27"/>
      <c r="BH7" s="22">
        <v>166918</v>
      </c>
      <c r="BI7" s="22">
        <v>167160</v>
      </c>
      <c r="BJ7" s="22">
        <v>204571</v>
      </c>
      <c r="BK7" s="22">
        <v>153197</v>
      </c>
      <c r="BL7" s="22">
        <v>196798</v>
      </c>
      <c r="BM7" s="22">
        <v>145596</v>
      </c>
      <c r="BN7" s="22">
        <v>166021</v>
      </c>
      <c r="BO7" s="22">
        <v>211305</v>
      </c>
      <c r="BP7" s="22">
        <v>201071</v>
      </c>
      <c r="BQ7" s="22">
        <v>177743</v>
      </c>
      <c r="BR7" s="22">
        <v>144020</v>
      </c>
      <c r="BS7" s="22">
        <v>154347</v>
      </c>
      <c r="BT7" s="22">
        <f>BS7</f>
        <v>154347</v>
      </c>
      <c r="BU7" s="28"/>
      <c r="BV7" s="22">
        <v>204006</v>
      </c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>
        <f t="shared" si="8"/>
        <v>0</v>
      </c>
    </row>
    <row r="8" spans="1:86">
      <c r="A8" s="19">
        <v>2</v>
      </c>
      <c r="B8" s="158" t="s">
        <v>265</v>
      </c>
      <c r="C8" s="264"/>
      <c r="D8" s="265">
        <v>73670</v>
      </c>
      <c r="E8" s="20">
        <v>59682</v>
      </c>
      <c r="F8" s="20">
        <v>54710</v>
      </c>
      <c r="G8" s="20">
        <v>56175</v>
      </c>
      <c r="H8" s="20">
        <v>58933</v>
      </c>
      <c r="I8" s="20">
        <v>42784</v>
      </c>
      <c r="J8" s="20">
        <v>35755</v>
      </c>
      <c r="K8" s="20">
        <v>33547</v>
      </c>
      <c r="L8" s="20">
        <v>22824</v>
      </c>
      <c r="M8" s="20">
        <v>26162</v>
      </c>
      <c r="N8" s="20"/>
      <c r="O8" s="20">
        <v>44389</v>
      </c>
      <c r="P8" s="266"/>
      <c r="Q8" s="21"/>
      <c r="R8" s="265">
        <v>39759</v>
      </c>
      <c r="S8" s="22">
        <v>38325</v>
      </c>
      <c r="T8" s="22">
        <v>26634</v>
      </c>
      <c r="U8" s="22">
        <f>14430+2754+7859</f>
        <v>25043</v>
      </c>
      <c r="V8" s="22">
        <v>23840</v>
      </c>
      <c r="W8" s="22">
        <v>20057</v>
      </c>
      <c r="X8" s="22">
        <v>80502</v>
      </c>
      <c r="Y8" s="22">
        <v>56483</v>
      </c>
      <c r="Z8" s="22">
        <v>44233</v>
      </c>
      <c r="AA8" s="22">
        <v>38155</v>
      </c>
      <c r="AB8" s="22">
        <v>27540</v>
      </c>
      <c r="AC8" s="22">
        <v>25060</v>
      </c>
      <c r="AD8" s="267"/>
      <c r="AE8" s="23"/>
      <c r="AF8" s="22">
        <v>21326</v>
      </c>
      <c r="AG8" s="22">
        <v>17804</v>
      </c>
      <c r="AH8" s="22">
        <v>27157</v>
      </c>
      <c r="AI8" s="22">
        <v>19677</v>
      </c>
      <c r="AJ8" s="22">
        <v>18817</v>
      </c>
      <c r="AK8" s="22">
        <v>25034</v>
      </c>
      <c r="AL8" s="22">
        <v>28090</v>
      </c>
      <c r="AM8" s="22">
        <v>25660</v>
      </c>
      <c r="AN8" s="22">
        <v>33752</v>
      </c>
      <c r="AO8" s="22">
        <v>24699</v>
      </c>
      <c r="AP8" s="25">
        <v>19340</v>
      </c>
      <c r="AQ8" s="22">
        <v>29842</v>
      </c>
      <c r="AR8" s="22">
        <f t="shared" si="3"/>
        <v>29842</v>
      </c>
      <c r="AS8" s="23"/>
      <c r="AT8" s="22">
        <v>46493</v>
      </c>
      <c r="AU8" s="22">
        <v>37125</v>
      </c>
      <c r="AV8" s="22">
        <v>38574</v>
      </c>
      <c r="AW8" s="22">
        <v>43626</v>
      </c>
      <c r="AX8" s="22">
        <v>39641</v>
      </c>
      <c r="AY8" s="22">
        <v>55553</v>
      </c>
      <c r="AZ8" s="22">
        <v>48023</v>
      </c>
      <c r="BA8" s="22">
        <v>55043</v>
      </c>
      <c r="BB8" s="26">
        <v>50383</v>
      </c>
      <c r="BC8" s="22">
        <v>54355</v>
      </c>
      <c r="BD8" s="22">
        <v>82473</v>
      </c>
      <c r="BE8" s="22">
        <v>65398</v>
      </c>
      <c r="BF8" s="22">
        <f t="shared" si="5"/>
        <v>65398</v>
      </c>
      <c r="BG8" s="27"/>
      <c r="BH8" s="22">
        <v>68747</v>
      </c>
      <c r="BI8" s="22">
        <v>62843</v>
      </c>
      <c r="BJ8" s="22">
        <v>62154</v>
      </c>
      <c r="BK8" s="22">
        <v>49337</v>
      </c>
      <c r="BL8" s="22">
        <v>27730</v>
      </c>
      <c r="BM8" s="22">
        <v>42459</v>
      </c>
      <c r="BN8" s="22">
        <v>44049</v>
      </c>
      <c r="BO8" s="22">
        <v>29196</v>
      </c>
      <c r="BP8" s="22">
        <v>36882</v>
      </c>
      <c r="BQ8" s="22">
        <v>35965</v>
      </c>
      <c r="BR8" s="22">
        <v>31343</v>
      </c>
      <c r="BS8" s="22">
        <v>23087</v>
      </c>
      <c r="BT8" s="22">
        <f t="shared" ref="BT8:BT14" si="9">BS8</f>
        <v>23087</v>
      </c>
      <c r="BU8" s="28"/>
      <c r="BV8" s="22">
        <v>15202</v>
      </c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>
        <f t="shared" si="8"/>
        <v>0</v>
      </c>
    </row>
    <row r="9" spans="1:86">
      <c r="A9" s="19">
        <v>3</v>
      </c>
      <c r="B9" s="158" t="s">
        <v>266</v>
      </c>
      <c r="C9" s="264"/>
      <c r="D9" s="268">
        <v>34116</v>
      </c>
      <c r="E9" s="269">
        <v>29277</v>
      </c>
      <c r="F9" s="269">
        <v>43008</v>
      </c>
      <c r="G9" s="269">
        <v>30524</v>
      </c>
      <c r="H9" s="269">
        <v>33235</v>
      </c>
      <c r="I9" s="269">
        <v>39842</v>
      </c>
      <c r="J9" s="269">
        <v>41021</v>
      </c>
      <c r="K9" s="269">
        <v>31224</v>
      </c>
      <c r="L9" s="269"/>
      <c r="M9" s="269">
        <v>10286</v>
      </c>
      <c r="N9" s="269"/>
      <c r="O9" s="269"/>
      <c r="P9" s="266"/>
      <c r="Q9" s="21"/>
      <c r="R9" s="268">
        <v>35516</v>
      </c>
      <c r="S9" s="270">
        <v>35962</v>
      </c>
      <c r="T9" s="270">
        <v>35962</v>
      </c>
      <c r="U9" s="270">
        <v>35962</v>
      </c>
      <c r="V9" s="270">
        <v>35000</v>
      </c>
      <c r="W9" s="270"/>
      <c r="X9" s="270">
        <v>6123</v>
      </c>
      <c r="Y9" s="270">
        <v>6123</v>
      </c>
      <c r="Z9" s="270">
        <v>4187</v>
      </c>
      <c r="AA9" s="270">
        <v>2745</v>
      </c>
      <c r="AB9" s="270"/>
      <c r="AC9" s="270"/>
      <c r="AD9" s="267"/>
      <c r="AE9" s="23"/>
      <c r="AF9" s="270">
        <v>8366</v>
      </c>
      <c r="AG9" s="270">
        <v>11534</v>
      </c>
      <c r="AH9" s="270">
        <v>11507</v>
      </c>
      <c r="AI9" s="270">
        <v>9148</v>
      </c>
      <c r="AJ9" s="22">
        <v>8524</v>
      </c>
      <c r="AK9" s="270">
        <v>25290</v>
      </c>
      <c r="AL9" s="270">
        <v>91080</v>
      </c>
      <c r="AM9" s="270">
        <v>66830</v>
      </c>
      <c r="AN9" s="270">
        <v>36866</v>
      </c>
      <c r="AO9" s="270">
        <v>16173</v>
      </c>
      <c r="AP9" s="271">
        <v>178274</v>
      </c>
      <c r="AQ9" s="270">
        <v>210665</v>
      </c>
      <c r="AR9" s="22">
        <f t="shared" si="3"/>
        <v>210665</v>
      </c>
      <c r="AS9" s="23"/>
      <c r="AT9" s="270">
        <v>121075</v>
      </c>
      <c r="AU9" s="270">
        <v>149376</v>
      </c>
      <c r="AV9" s="270">
        <v>104538</v>
      </c>
      <c r="AW9" s="270">
        <v>105262</v>
      </c>
      <c r="AX9" s="270">
        <v>121073</v>
      </c>
      <c r="AY9" s="270">
        <v>163931</v>
      </c>
      <c r="AZ9" s="270">
        <v>109964</v>
      </c>
      <c r="BA9" s="270">
        <v>148266</v>
      </c>
      <c r="BB9" s="26">
        <v>130697</v>
      </c>
      <c r="BC9" s="270">
        <v>113779</v>
      </c>
      <c r="BD9" s="270">
        <v>91119</v>
      </c>
      <c r="BE9" s="270">
        <v>103286</v>
      </c>
      <c r="BF9" s="22">
        <f t="shared" si="5"/>
        <v>103286</v>
      </c>
      <c r="BG9" s="27"/>
      <c r="BH9" s="270">
        <v>49631</v>
      </c>
      <c r="BI9" s="270">
        <v>52953</v>
      </c>
      <c r="BJ9" s="270">
        <v>28440</v>
      </c>
      <c r="BK9" s="270">
        <v>83601</v>
      </c>
      <c r="BL9" s="22">
        <v>25812</v>
      </c>
      <c r="BM9" s="22">
        <v>59545</v>
      </c>
      <c r="BN9" s="22">
        <v>83435</v>
      </c>
      <c r="BO9" s="22">
        <v>34041</v>
      </c>
      <c r="BP9" s="22">
        <v>22399</v>
      </c>
      <c r="BQ9" s="22">
        <v>24887</v>
      </c>
      <c r="BR9" s="22">
        <v>12183</v>
      </c>
      <c r="BS9" s="22">
        <v>12183</v>
      </c>
      <c r="BT9" s="22">
        <f t="shared" si="9"/>
        <v>12183</v>
      </c>
      <c r="BU9" s="28"/>
      <c r="BV9" s="270">
        <v>5216</v>
      </c>
      <c r="BW9" s="270"/>
      <c r="BX9" s="270"/>
      <c r="BY9" s="270"/>
      <c r="BZ9" s="22"/>
      <c r="CA9" s="22"/>
      <c r="CB9" s="22"/>
      <c r="CC9" s="22"/>
      <c r="CD9" s="22"/>
      <c r="CE9" s="22"/>
      <c r="CF9" s="22"/>
      <c r="CG9" s="22"/>
      <c r="CH9" s="22">
        <f t="shared" si="8"/>
        <v>0</v>
      </c>
    </row>
    <row r="10" spans="1:86">
      <c r="A10" s="19">
        <v>1</v>
      </c>
      <c r="B10" s="158" t="s">
        <v>267</v>
      </c>
      <c r="C10" s="159"/>
      <c r="D10" s="265">
        <v>6409</v>
      </c>
      <c r="E10" s="20">
        <v>6860</v>
      </c>
      <c r="F10" s="20">
        <v>4970</v>
      </c>
      <c r="G10" s="20">
        <v>31203</v>
      </c>
      <c r="H10" s="20">
        <v>31499</v>
      </c>
      <c r="I10" s="20">
        <v>25903</v>
      </c>
      <c r="J10" s="20">
        <v>18606</v>
      </c>
      <c r="K10" s="20">
        <v>16014</v>
      </c>
      <c r="L10" s="20">
        <v>13416</v>
      </c>
      <c r="M10" s="20">
        <v>40079</v>
      </c>
      <c r="N10" s="20"/>
      <c r="O10" s="20">
        <v>0</v>
      </c>
      <c r="P10" s="266"/>
      <c r="Q10" s="21"/>
      <c r="R10" s="265">
        <v>3376</v>
      </c>
      <c r="S10" s="22">
        <v>11736</v>
      </c>
      <c r="T10" s="22">
        <v>22454</v>
      </c>
      <c r="U10" s="22">
        <v>21384</v>
      </c>
      <c r="V10" s="22">
        <v>66870</v>
      </c>
      <c r="W10" s="22">
        <v>73769</v>
      </c>
      <c r="X10" s="22">
        <v>13944</v>
      </c>
      <c r="Y10" s="22">
        <v>32750</v>
      </c>
      <c r="Z10" s="22">
        <v>18536</v>
      </c>
      <c r="AA10" s="22">
        <v>40211</v>
      </c>
      <c r="AB10" s="22">
        <v>44457</v>
      </c>
      <c r="AC10" s="22">
        <v>24504</v>
      </c>
      <c r="AD10" s="267"/>
      <c r="AE10" s="23"/>
      <c r="AF10" s="22">
        <v>18586</v>
      </c>
      <c r="AG10" s="22">
        <v>17539</v>
      </c>
      <c r="AH10" s="22">
        <v>20245</v>
      </c>
      <c r="AI10" s="22">
        <v>17669</v>
      </c>
      <c r="AJ10" s="22">
        <v>16769</v>
      </c>
      <c r="AK10" s="22">
        <v>31134</v>
      </c>
      <c r="AL10" s="22">
        <v>35711</v>
      </c>
      <c r="AM10" s="22">
        <v>29141</v>
      </c>
      <c r="AN10" s="22">
        <v>25307</v>
      </c>
      <c r="AO10" s="22">
        <v>35964</v>
      </c>
      <c r="AP10" s="25">
        <v>37378</v>
      </c>
      <c r="AQ10" s="22">
        <v>22159</v>
      </c>
      <c r="AR10" s="22">
        <f t="shared" si="3"/>
        <v>22159</v>
      </c>
      <c r="AS10" s="23"/>
      <c r="AT10" s="22">
        <v>24034</v>
      </c>
      <c r="AU10" s="270">
        <v>22061</v>
      </c>
      <c r="AV10" s="22">
        <v>22489</v>
      </c>
      <c r="AW10" s="22">
        <v>25124</v>
      </c>
      <c r="AX10" s="22">
        <v>22794</v>
      </c>
      <c r="AY10" s="22">
        <v>17777</v>
      </c>
      <c r="AZ10" s="22">
        <v>34345</v>
      </c>
      <c r="BA10" s="22">
        <v>17580</v>
      </c>
      <c r="BB10" s="26">
        <v>26992</v>
      </c>
      <c r="BC10" s="22">
        <v>21373</v>
      </c>
      <c r="BD10" s="22">
        <v>21202</v>
      </c>
      <c r="BE10" s="22">
        <v>19109</v>
      </c>
      <c r="BF10" s="22">
        <f t="shared" si="5"/>
        <v>19109</v>
      </c>
      <c r="BG10" s="27"/>
      <c r="BH10" s="22">
        <v>22216</v>
      </c>
      <c r="BI10" s="270">
        <v>19102</v>
      </c>
      <c r="BJ10" s="22">
        <v>20676</v>
      </c>
      <c r="BK10" s="22">
        <v>19892</v>
      </c>
      <c r="BL10" s="22">
        <v>48737</v>
      </c>
      <c r="BM10" s="22">
        <v>45521</v>
      </c>
      <c r="BN10" s="22">
        <v>41781</v>
      </c>
      <c r="BO10" s="22">
        <v>48019</v>
      </c>
      <c r="BP10" s="22">
        <v>43955</v>
      </c>
      <c r="BQ10" s="22">
        <v>41505</v>
      </c>
      <c r="BR10" s="22">
        <v>28306</v>
      </c>
      <c r="BS10" s="22">
        <v>23731</v>
      </c>
      <c r="BT10" s="22">
        <f t="shared" si="9"/>
        <v>23731</v>
      </c>
      <c r="BU10" s="28"/>
      <c r="BV10" s="22">
        <v>28505</v>
      </c>
      <c r="BW10" s="270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>
        <f t="shared" si="8"/>
        <v>0</v>
      </c>
    </row>
    <row r="11" spans="1:86">
      <c r="A11" s="29"/>
      <c r="B11" s="272" t="s">
        <v>41</v>
      </c>
      <c r="C11" s="273"/>
      <c r="D11" s="274">
        <f t="shared" ref="D11:O11" si="10">D6-D9</f>
        <v>270670</v>
      </c>
      <c r="E11" s="30">
        <f t="shared" si="10"/>
        <v>282709</v>
      </c>
      <c r="F11" s="30">
        <f t="shared" si="10"/>
        <v>285223</v>
      </c>
      <c r="G11" s="30">
        <f t="shared" si="10"/>
        <v>287349</v>
      </c>
      <c r="H11" s="30">
        <f t="shared" si="10"/>
        <v>313961</v>
      </c>
      <c r="I11" s="30">
        <f t="shared" si="10"/>
        <v>362411</v>
      </c>
      <c r="J11" s="30">
        <f t="shared" si="10"/>
        <v>413467</v>
      </c>
      <c r="K11" s="30">
        <f t="shared" si="10"/>
        <v>415958</v>
      </c>
      <c r="L11" s="30">
        <f t="shared" si="10"/>
        <v>416931</v>
      </c>
      <c r="M11" s="30">
        <f t="shared" si="10"/>
        <v>294116</v>
      </c>
      <c r="N11" s="30">
        <f t="shared" si="10"/>
        <v>0</v>
      </c>
      <c r="O11" s="30">
        <f t="shared" si="10"/>
        <v>188264</v>
      </c>
      <c r="P11" s="275"/>
      <c r="Q11" s="31"/>
      <c r="R11" s="274">
        <f t="shared" ref="R11:AB11" si="11">R6-R9</f>
        <v>247843</v>
      </c>
      <c r="S11" s="32">
        <f t="shared" si="11"/>
        <v>306756</v>
      </c>
      <c r="T11" s="32">
        <f t="shared" si="11"/>
        <v>277250</v>
      </c>
      <c r="U11" s="32">
        <f t="shared" si="11"/>
        <v>262131</v>
      </c>
      <c r="V11" s="32">
        <f t="shared" si="11"/>
        <v>171617</v>
      </c>
      <c r="W11" s="32">
        <f t="shared" si="11"/>
        <v>235875</v>
      </c>
      <c r="X11" s="32">
        <f t="shared" si="11"/>
        <v>354012</v>
      </c>
      <c r="Y11" s="32">
        <f t="shared" si="11"/>
        <v>355542</v>
      </c>
      <c r="Z11" s="32">
        <f t="shared" si="11"/>
        <v>349213</v>
      </c>
      <c r="AA11" s="32">
        <f t="shared" si="11"/>
        <v>269352</v>
      </c>
      <c r="AB11" s="32">
        <f t="shared" si="11"/>
        <v>170626</v>
      </c>
      <c r="AC11" s="32"/>
      <c r="AD11" s="276"/>
      <c r="AE11" s="17"/>
      <c r="AF11" s="32">
        <f t="shared" ref="AF11:AQ11" si="12">AF6-AF9</f>
        <v>238607</v>
      </c>
      <c r="AG11" s="32">
        <f t="shared" si="12"/>
        <v>269553</v>
      </c>
      <c r="AH11" s="32">
        <f t="shared" si="12"/>
        <v>374962</v>
      </c>
      <c r="AI11" s="32">
        <f t="shared" si="12"/>
        <v>369869</v>
      </c>
      <c r="AJ11" s="32">
        <f t="shared" si="12"/>
        <v>392253</v>
      </c>
      <c r="AK11" s="32">
        <f t="shared" si="12"/>
        <v>440333</v>
      </c>
      <c r="AL11" s="32">
        <f t="shared" si="12"/>
        <v>381069</v>
      </c>
      <c r="AM11" s="32">
        <f t="shared" si="12"/>
        <v>425509</v>
      </c>
      <c r="AN11" s="32">
        <f t="shared" si="12"/>
        <v>413562</v>
      </c>
      <c r="AO11" s="32">
        <f t="shared" si="12"/>
        <v>375268</v>
      </c>
      <c r="AP11" s="32">
        <f t="shared" si="12"/>
        <v>147208</v>
      </c>
      <c r="AQ11" s="32">
        <f t="shared" si="12"/>
        <v>110349</v>
      </c>
      <c r="AR11" s="32">
        <f t="shared" si="3"/>
        <v>110349</v>
      </c>
      <c r="AS11" s="17"/>
      <c r="AT11" s="32">
        <f t="shared" ref="AT11:BE11" si="13">AT6-AT9</f>
        <v>229228</v>
      </c>
      <c r="AU11" s="32">
        <f t="shared" si="13"/>
        <v>174555</v>
      </c>
      <c r="AV11" s="32">
        <f t="shared" si="13"/>
        <v>203442</v>
      </c>
      <c r="AW11" s="32">
        <f t="shared" si="13"/>
        <v>187515</v>
      </c>
      <c r="AX11" s="32">
        <f t="shared" si="13"/>
        <v>175681</v>
      </c>
      <c r="AY11" s="32">
        <f t="shared" si="13"/>
        <v>180106</v>
      </c>
      <c r="AZ11" s="32">
        <f t="shared" si="13"/>
        <v>257602</v>
      </c>
      <c r="BA11" s="32">
        <f t="shared" si="13"/>
        <v>224176</v>
      </c>
      <c r="BB11" s="32">
        <f t="shared" si="13"/>
        <v>244457</v>
      </c>
      <c r="BC11" s="32">
        <f t="shared" si="13"/>
        <v>226687</v>
      </c>
      <c r="BD11" s="32">
        <f t="shared" si="13"/>
        <v>223462</v>
      </c>
      <c r="BE11" s="32">
        <f t="shared" si="13"/>
        <v>149933</v>
      </c>
      <c r="BF11" s="32">
        <f t="shared" si="5"/>
        <v>149933</v>
      </c>
      <c r="BG11" s="17"/>
      <c r="BH11" s="32">
        <f t="shared" ref="BH11:BQ11" si="14">BH6-BH9</f>
        <v>257881</v>
      </c>
      <c r="BI11" s="32">
        <f t="shared" si="14"/>
        <v>249105</v>
      </c>
      <c r="BJ11" s="32">
        <f t="shared" si="14"/>
        <v>287401</v>
      </c>
      <c r="BK11" s="32">
        <f t="shared" si="14"/>
        <v>222426</v>
      </c>
      <c r="BL11" s="32">
        <f t="shared" si="14"/>
        <v>273265</v>
      </c>
      <c r="BM11" s="32">
        <f t="shared" si="14"/>
        <v>233576</v>
      </c>
      <c r="BN11" s="32">
        <f t="shared" si="14"/>
        <v>251851</v>
      </c>
      <c r="BO11" s="32">
        <f t="shared" si="14"/>
        <v>288520</v>
      </c>
      <c r="BP11" s="32">
        <f t="shared" si="14"/>
        <v>281908</v>
      </c>
      <c r="BQ11" s="32">
        <f t="shared" si="14"/>
        <v>255213</v>
      </c>
      <c r="BR11" s="32">
        <f>BR6-BR9</f>
        <v>203669</v>
      </c>
      <c r="BS11" s="32">
        <f>BS6-BS9</f>
        <v>188982</v>
      </c>
      <c r="BT11" s="32">
        <f>BS11</f>
        <v>188982</v>
      </c>
      <c r="BU11" s="28"/>
      <c r="BV11" s="32">
        <f>BV6-BV9</f>
        <v>242497</v>
      </c>
      <c r="BW11" s="32">
        <f t="shared" ref="BW11:CG11" si="15">BW6-BW9</f>
        <v>233331.33851391904</v>
      </c>
      <c r="BX11" s="32">
        <f t="shared" si="15"/>
        <v>177883.66498659304</v>
      </c>
      <c r="BY11" s="32">
        <f t="shared" si="15"/>
        <v>179412.86758308427</v>
      </c>
      <c r="BZ11" s="32">
        <f t="shared" si="15"/>
        <v>173869.17709944007</v>
      </c>
      <c r="CA11" s="32">
        <f t="shared" si="15"/>
        <v>174073.94242035711</v>
      </c>
      <c r="CB11" s="32">
        <f t="shared" si="15"/>
        <v>154754.65844393449</v>
      </c>
      <c r="CC11" s="32">
        <f t="shared" si="15"/>
        <v>105292.60304097991</v>
      </c>
      <c r="CD11" s="32">
        <f t="shared" si="15"/>
        <v>44459.291351282969</v>
      </c>
      <c r="CE11" s="32">
        <f t="shared" si="15"/>
        <v>-5180.9302899394534</v>
      </c>
      <c r="CF11" s="32">
        <f t="shared" si="15"/>
        <v>-35231.874981086148</v>
      </c>
      <c r="CG11" s="32">
        <f t="shared" si="15"/>
        <v>-21040.0938262571</v>
      </c>
      <c r="CH11" s="32">
        <f t="shared" si="8"/>
        <v>-21040.0938262571</v>
      </c>
    </row>
    <row r="12" spans="1:86">
      <c r="A12" s="13" t="s">
        <v>42</v>
      </c>
      <c r="B12" s="259"/>
      <c r="C12" s="260" t="s">
        <v>43</v>
      </c>
      <c r="D12" s="277">
        <f>D7-D9</f>
        <v>162884</v>
      </c>
      <c r="E12" s="33">
        <f t="shared" ref="E12:O12" si="16">E7+E10-E9-E48</f>
        <v>200610</v>
      </c>
      <c r="F12" s="33">
        <f t="shared" si="16"/>
        <v>192475</v>
      </c>
      <c r="G12" s="33">
        <f t="shared" si="16"/>
        <v>231853</v>
      </c>
      <c r="H12" s="33">
        <f t="shared" si="16"/>
        <v>253292</v>
      </c>
      <c r="I12" s="33">
        <f t="shared" si="16"/>
        <v>305688</v>
      </c>
      <c r="J12" s="33">
        <f t="shared" si="16"/>
        <v>355297</v>
      </c>
      <c r="K12" s="33">
        <f t="shared" si="16"/>
        <v>367201</v>
      </c>
      <c r="L12" s="33">
        <f t="shared" si="16"/>
        <v>407523</v>
      </c>
      <c r="M12" s="33">
        <f t="shared" si="16"/>
        <v>297747</v>
      </c>
      <c r="N12" s="33">
        <f t="shared" si="16"/>
        <v>0</v>
      </c>
      <c r="O12" s="33">
        <f t="shared" si="16"/>
        <v>143875</v>
      </c>
      <c r="P12" s="262">
        <f>J12</f>
        <v>355297</v>
      </c>
      <c r="Q12" s="15"/>
      <c r="R12" s="277">
        <f>R7-R9</f>
        <v>172568</v>
      </c>
      <c r="S12" s="14">
        <f t="shared" ref="S12:AC12" si="17">S7+S10-S9-S48</f>
        <v>244205</v>
      </c>
      <c r="T12" s="14">
        <f t="shared" si="17"/>
        <v>237108</v>
      </c>
      <c r="U12" s="14">
        <f t="shared" si="17"/>
        <v>222510</v>
      </c>
      <c r="V12" s="14">
        <f t="shared" si="17"/>
        <v>179647</v>
      </c>
      <c r="W12" s="14">
        <f t="shared" si="17"/>
        <v>289587</v>
      </c>
      <c r="X12" s="14">
        <f t="shared" si="17"/>
        <v>281331</v>
      </c>
      <c r="Y12" s="14">
        <f t="shared" si="17"/>
        <v>325686</v>
      </c>
      <c r="Z12" s="14">
        <f t="shared" si="17"/>
        <v>319329</v>
      </c>
      <c r="AA12" s="14">
        <f t="shared" si="17"/>
        <v>268663</v>
      </c>
      <c r="AB12" s="14">
        <f t="shared" si="17"/>
        <v>187543</v>
      </c>
      <c r="AC12" s="14">
        <f t="shared" si="17"/>
        <v>196995</v>
      </c>
      <c r="AD12" s="263">
        <f>X12</f>
        <v>281331</v>
      </c>
      <c r="AE12" s="16"/>
      <c r="AF12" s="14">
        <f t="shared" ref="AF12:AQ12" si="18">AF7+AF9+AF8</f>
        <v>228387</v>
      </c>
      <c r="AG12" s="14">
        <f t="shared" si="18"/>
        <v>263548</v>
      </c>
      <c r="AH12" s="14">
        <f t="shared" si="18"/>
        <v>366224</v>
      </c>
      <c r="AI12" s="14">
        <f t="shared" si="18"/>
        <v>361348</v>
      </c>
      <c r="AJ12" s="14">
        <f t="shared" si="18"/>
        <v>384008</v>
      </c>
      <c r="AK12" s="14">
        <f t="shared" si="18"/>
        <v>434489</v>
      </c>
      <c r="AL12" s="14">
        <f t="shared" si="18"/>
        <v>436438</v>
      </c>
      <c r="AM12" s="14">
        <f t="shared" si="18"/>
        <v>463198</v>
      </c>
      <c r="AN12" s="14">
        <f t="shared" si="18"/>
        <v>425121</v>
      </c>
      <c r="AO12" s="14">
        <f t="shared" si="18"/>
        <v>355477</v>
      </c>
      <c r="AP12" s="14">
        <f t="shared" si="18"/>
        <v>288104</v>
      </c>
      <c r="AQ12" s="14">
        <f t="shared" si="18"/>
        <v>298855</v>
      </c>
      <c r="AR12" s="14">
        <f t="shared" si="3"/>
        <v>298855</v>
      </c>
      <c r="AS12" s="17"/>
      <c r="AT12" s="14">
        <f t="shared" ref="AT12:BE12" si="19">AT7+AT9+AT8</f>
        <v>326269</v>
      </c>
      <c r="AU12" s="14">
        <f t="shared" si="19"/>
        <v>301870</v>
      </c>
      <c r="AV12" s="14">
        <f t="shared" si="19"/>
        <v>285491</v>
      </c>
      <c r="AW12" s="14">
        <f t="shared" si="19"/>
        <v>267653</v>
      </c>
      <c r="AX12" s="14">
        <f t="shared" si="19"/>
        <v>273960</v>
      </c>
      <c r="AY12" s="14">
        <f t="shared" si="19"/>
        <v>326260</v>
      </c>
      <c r="AZ12" s="14">
        <f t="shared" si="19"/>
        <v>333221</v>
      </c>
      <c r="BA12" s="14">
        <f t="shared" si="19"/>
        <v>354862</v>
      </c>
      <c r="BB12" s="14">
        <f t="shared" si="19"/>
        <v>348162</v>
      </c>
      <c r="BC12" s="14">
        <f t="shared" si="19"/>
        <v>319093</v>
      </c>
      <c r="BD12" s="14">
        <f t="shared" si="19"/>
        <v>293379</v>
      </c>
      <c r="BE12" s="14">
        <f t="shared" si="19"/>
        <v>234110</v>
      </c>
      <c r="BF12" s="32">
        <f t="shared" ref="BF12:BF13" si="20">SUM(AT12:BE12)</f>
        <v>3664330</v>
      </c>
      <c r="BG12" s="17"/>
      <c r="BH12" s="14">
        <f t="shared" ref="BH12:BS12" si="21">BH7+BH9+BH8</f>
        <v>285296</v>
      </c>
      <c r="BI12" s="14">
        <f t="shared" si="21"/>
        <v>282956</v>
      </c>
      <c r="BJ12" s="14">
        <f t="shared" si="21"/>
        <v>295165</v>
      </c>
      <c r="BK12" s="14">
        <f t="shared" si="21"/>
        <v>286135</v>
      </c>
      <c r="BL12" s="14">
        <f t="shared" si="21"/>
        <v>250340</v>
      </c>
      <c r="BM12" s="14">
        <f t="shared" si="21"/>
        <v>247600</v>
      </c>
      <c r="BN12" s="14">
        <f t="shared" si="21"/>
        <v>293505</v>
      </c>
      <c r="BO12" s="14">
        <f t="shared" si="21"/>
        <v>274542</v>
      </c>
      <c r="BP12" s="14">
        <f t="shared" si="21"/>
        <v>260352</v>
      </c>
      <c r="BQ12" s="14">
        <f>BQ7+BQ9+BQ8</f>
        <v>238595</v>
      </c>
      <c r="BR12" s="14">
        <f t="shared" si="21"/>
        <v>187546</v>
      </c>
      <c r="BS12" s="14">
        <f t="shared" si="21"/>
        <v>189617</v>
      </c>
      <c r="BT12" s="14">
        <f t="shared" si="9"/>
        <v>189617</v>
      </c>
      <c r="BU12" s="18"/>
      <c r="BV12" s="14">
        <f t="shared" ref="BV12:CG12" si="22">BV7+BV9+BV8</f>
        <v>224424</v>
      </c>
      <c r="BW12" s="14">
        <f t="shared" si="22"/>
        <v>0</v>
      </c>
      <c r="BX12" s="14">
        <f t="shared" si="22"/>
        <v>0</v>
      </c>
      <c r="BY12" s="14">
        <f t="shared" si="22"/>
        <v>0</v>
      </c>
      <c r="BZ12" s="14">
        <f t="shared" si="22"/>
        <v>0</v>
      </c>
      <c r="CA12" s="14">
        <f t="shared" si="22"/>
        <v>0</v>
      </c>
      <c r="CB12" s="14">
        <f t="shared" si="22"/>
        <v>0</v>
      </c>
      <c r="CC12" s="14">
        <f t="shared" si="22"/>
        <v>0</v>
      </c>
      <c r="CD12" s="14">
        <f t="shared" si="22"/>
        <v>0</v>
      </c>
      <c r="CE12" s="14">
        <f t="shared" si="22"/>
        <v>0</v>
      </c>
      <c r="CF12" s="14">
        <f t="shared" si="22"/>
        <v>0</v>
      </c>
      <c r="CG12" s="14">
        <f t="shared" si="22"/>
        <v>0</v>
      </c>
      <c r="CH12" s="14">
        <f t="shared" si="8"/>
        <v>0</v>
      </c>
    </row>
    <row r="13" spans="1:86" ht="15.75" thickBot="1">
      <c r="A13" s="34" t="s">
        <v>44</v>
      </c>
      <c r="B13" s="278"/>
      <c r="C13" s="445" t="s">
        <v>45</v>
      </c>
      <c r="D13" s="277">
        <f t="shared" ref="D13:O13" si="23">D6-D10-D9</f>
        <v>264261</v>
      </c>
      <c r="E13" s="33">
        <f t="shared" si="23"/>
        <v>275849</v>
      </c>
      <c r="F13" s="33">
        <f t="shared" si="23"/>
        <v>280253</v>
      </c>
      <c r="G13" s="33">
        <f t="shared" si="23"/>
        <v>256146</v>
      </c>
      <c r="H13" s="33">
        <f t="shared" si="23"/>
        <v>282462</v>
      </c>
      <c r="I13" s="33">
        <f t="shared" si="23"/>
        <v>336508</v>
      </c>
      <c r="J13" s="33">
        <f t="shared" si="23"/>
        <v>394861</v>
      </c>
      <c r="K13" s="33">
        <f t="shared" si="23"/>
        <v>399944</v>
      </c>
      <c r="L13" s="33">
        <f t="shared" si="23"/>
        <v>403515</v>
      </c>
      <c r="M13" s="33">
        <f t="shared" si="23"/>
        <v>254037</v>
      </c>
      <c r="N13" s="33">
        <f t="shared" si="23"/>
        <v>0</v>
      </c>
      <c r="O13" s="33">
        <f t="shared" si="23"/>
        <v>188264</v>
      </c>
      <c r="P13" s="262">
        <f t="shared" ref="P13:P14" si="24">O13</f>
        <v>188264</v>
      </c>
      <c r="Q13" s="15"/>
      <c r="R13" s="277">
        <f t="shared" ref="R13:AC13" si="25">R6-R10-R9</f>
        <v>244467</v>
      </c>
      <c r="S13" s="14">
        <f t="shared" si="25"/>
        <v>295020</v>
      </c>
      <c r="T13" s="14">
        <f t="shared" si="25"/>
        <v>254796</v>
      </c>
      <c r="U13" s="14">
        <f t="shared" si="25"/>
        <v>240747</v>
      </c>
      <c r="V13" s="14">
        <f t="shared" si="25"/>
        <v>104747</v>
      </c>
      <c r="W13" s="14">
        <f t="shared" si="25"/>
        <v>162106</v>
      </c>
      <c r="X13" s="14">
        <f t="shared" si="25"/>
        <v>340068</v>
      </c>
      <c r="Y13" s="14">
        <f t="shared" si="25"/>
        <v>322792</v>
      </c>
      <c r="Z13" s="14">
        <f t="shared" si="25"/>
        <v>330677</v>
      </c>
      <c r="AA13" s="14">
        <f t="shared" si="25"/>
        <v>229141</v>
      </c>
      <c r="AB13" s="14">
        <f t="shared" si="25"/>
        <v>126169</v>
      </c>
      <c r="AC13" s="14">
        <f t="shared" si="25"/>
        <v>173047</v>
      </c>
      <c r="AD13" s="263">
        <f t="shared" ref="AD13:AD14" si="26">AC13</f>
        <v>173047</v>
      </c>
      <c r="AE13" s="16"/>
      <c r="AF13" s="261">
        <f t="shared" ref="AF13:AQ13" si="27">AF12-AF9</f>
        <v>220021</v>
      </c>
      <c r="AG13" s="261">
        <f t="shared" si="27"/>
        <v>252014</v>
      </c>
      <c r="AH13" s="261">
        <f t="shared" si="27"/>
        <v>354717</v>
      </c>
      <c r="AI13" s="261">
        <f t="shared" si="27"/>
        <v>352200</v>
      </c>
      <c r="AJ13" s="261">
        <f t="shared" si="27"/>
        <v>375484</v>
      </c>
      <c r="AK13" s="261">
        <f t="shared" si="27"/>
        <v>409199</v>
      </c>
      <c r="AL13" s="261">
        <f t="shared" si="27"/>
        <v>345358</v>
      </c>
      <c r="AM13" s="261">
        <f t="shared" si="27"/>
        <v>396368</v>
      </c>
      <c r="AN13" s="261">
        <f t="shared" si="27"/>
        <v>388255</v>
      </c>
      <c r="AO13" s="261">
        <f t="shared" si="27"/>
        <v>339304</v>
      </c>
      <c r="AP13" s="261">
        <f t="shared" si="27"/>
        <v>109830</v>
      </c>
      <c r="AQ13" s="261">
        <f t="shared" si="27"/>
        <v>88190</v>
      </c>
      <c r="AR13" s="14">
        <f t="shared" si="3"/>
        <v>88190</v>
      </c>
      <c r="AS13" s="17"/>
      <c r="AT13" s="261">
        <f t="shared" ref="AT13:BE13" si="28">AT12-AT9</f>
        <v>205194</v>
      </c>
      <c r="AU13" s="261">
        <f t="shared" si="28"/>
        <v>152494</v>
      </c>
      <c r="AV13" s="261">
        <f t="shared" si="28"/>
        <v>180953</v>
      </c>
      <c r="AW13" s="261">
        <f t="shared" si="28"/>
        <v>162391</v>
      </c>
      <c r="AX13" s="261">
        <f t="shared" si="28"/>
        <v>152887</v>
      </c>
      <c r="AY13" s="261">
        <f t="shared" si="28"/>
        <v>162329</v>
      </c>
      <c r="AZ13" s="261">
        <f t="shared" si="28"/>
        <v>223257</v>
      </c>
      <c r="BA13" s="261">
        <f t="shared" si="28"/>
        <v>206596</v>
      </c>
      <c r="BB13" s="261">
        <f t="shared" si="28"/>
        <v>217465</v>
      </c>
      <c r="BC13" s="261">
        <f t="shared" si="28"/>
        <v>205314</v>
      </c>
      <c r="BD13" s="261">
        <f t="shared" si="28"/>
        <v>202260</v>
      </c>
      <c r="BE13" s="261">
        <f t="shared" si="28"/>
        <v>130824</v>
      </c>
      <c r="BF13" s="32">
        <f t="shared" si="20"/>
        <v>2201964</v>
      </c>
      <c r="BG13" s="35">
        <f>SUM(AT16:AY16)/SUM(AF49:AK49)-1</f>
        <v>0.2283258050797119</v>
      </c>
      <c r="BH13" s="416">
        <f t="shared" ref="BH13:BS13" si="29">BH12-BH9</f>
        <v>235665</v>
      </c>
      <c r="BI13" s="416">
        <f t="shared" si="29"/>
        <v>230003</v>
      </c>
      <c r="BJ13" s="416">
        <f t="shared" si="29"/>
        <v>266725</v>
      </c>
      <c r="BK13" s="416">
        <f t="shared" si="29"/>
        <v>202534</v>
      </c>
      <c r="BL13" s="417">
        <f t="shared" si="29"/>
        <v>224528</v>
      </c>
      <c r="BM13" s="417">
        <f t="shared" si="29"/>
        <v>188055</v>
      </c>
      <c r="BN13" s="417">
        <f t="shared" si="29"/>
        <v>210070</v>
      </c>
      <c r="BO13" s="417">
        <f t="shared" si="29"/>
        <v>240501</v>
      </c>
      <c r="BP13" s="417">
        <f t="shared" si="29"/>
        <v>237953</v>
      </c>
      <c r="BQ13" s="417">
        <f t="shared" si="29"/>
        <v>213708</v>
      </c>
      <c r="BR13" s="417">
        <f t="shared" si="29"/>
        <v>175363</v>
      </c>
      <c r="BS13" s="417">
        <f t="shared" si="29"/>
        <v>177434</v>
      </c>
      <c r="BT13" s="417">
        <f t="shared" si="9"/>
        <v>177434</v>
      </c>
      <c r="BU13" s="18"/>
      <c r="BV13" s="261">
        <f t="shared" ref="BV13:CG13" si="30">BV12-BV9</f>
        <v>219208</v>
      </c>
      <c r="BW13" s="261">
        <f t="shared" si="30"/>
        <v>0</v>
      </c>
      <c r="BX13" s="261">
        <f t="shared" si="30"/>
        <v>0</v>
      </c>
      <c r="BY13" s="416">
        <f t="shared" si="30"/>
        <v>0</v>
      </c>
      <c r="BZ13" s="417">
        <f t="shared" si="30"/>
        <v>0</v>
      </c>
      <c r="CA13" s="417">
        <f t="shared" si="30"/>
        <v>0</v>
      </c>
      <c r="CB13" s="417">
        <f t="shared" si="30"/>
        <v>0</v>
      </c>
      <c r="CC13" s="417">
        <f t="shared" si="30"/>
        <v>0</v>
      </c>
      <c r="CD13" s="417">
        <f t="shared" si="30"/>
        <v>0</v>
      </c>
      <c r="CE13" s="417">
        <f t="shared" si="30"/>
        <v>0</v>
      </c>
      <c r="CF13" s="417">
        <f t="shared" si="30"/>
        <v>0</v>
      </c>
      <c r="CG13" s="417">
        <f t="shared" si="30"/>
        <v>0</v>
      </c>
      <c r="CH13" s="417">
        <f t="shared" si="8"/>
        <v>0</v>
      </c>
    </row>
    <row r="14" spans="1:86" ht="16.5" thickBot="1">
      <c r="A14" s="447" t="s">
        <v>46</v>
      </c>
      <c r="B14" s="448"/>
      <c r="C14" s="449" t="s">
        <v>47</v>
      </c>
      <c r="D14" s="281">
        <f t="shared" ref="D14:O14" si="31">D6</f>
        <v>304786</v>
      </c>
      <c r="E14" s="37">
        <f t="shared" si="31"/>
        <v>311986</v>
      </c>
      <c r="F14" s="37">
        <f t="shared" si="31"/>
        <v>328231</v>
      </c>
      <c r="G14" s="37">
        <f t="shared" si="31"/>
        <v>317873</v>
      </c>
      <c r="H14" s="37">
        <f t="shared" si="31"/>
        <v>347196</v>
      </c>
      <c r="I14" s="37">
        <f t="shared" si="31"/>
        <v>402253</v>
      </c>
      <c r="J14" s="37">
        <f t="shared" si="31"/>
        <v>454488</v>
      </c>
      <c r="K14" s="37">
        <f t="shared" si="31"/>
        <v>447182</v>
      </c>
      <c r="L14" s="37">
        <f t="shared" si="31"/>
        <v>416931</v>
      </c>
      <c r="M14" s="37">
        <f t="shared" si="31"/>
        <v>304402</v>
      </c>
      <c r="N14" s="37">
        <f t="shared" si="31"/>
        <v>0</v>
      </c>
      <c r="O14" s="37">
        <f t="shared" si="31"/>
        <v>188264</v>
      </c>
      <c r="P14" s="38">
        <f t="shared" si="24"/>
        <v>188264</v>
      </c>
      <c r="Q14" s="39"/>
      <c r="R14" s="40">
        <f t="shared" ref="R14:AC14" si="32">R6</f>
        <v>283359</v>
      </c>
      <c r="S14" s="41">
        <f t="shared" si="32"/>
        <v>342718</v>
      </c>
      <c r="T14" s="41">
        <f t="shared" si="32"/>
        <v>313212</v>
      </c>
      <c r="U14" s="41">
        <f t="shared" si="32"/>
        <v>298093</v>
      </c>
      <c r="V14" s="41">
        <f t="shared" si="32"/>
        <v>206617</v>
      </c>
      <c r="W14" s="41">
        <f t="shared" si="32"/>
        <v>235875</v>
      </c>
      <c r="X14" s="41">
        <f t="shared" si="32"/>
        <v>360135</v>
      </c>
      <c r="Y14" s="41">
        <f t="shared" si="32"/>
        <v>361665</v>
      </c>
      <c r="Z14" s="41">
        <f t="shared" si="32"/>
        <v>353400</v>
      </c>
      <c r="AA14" s="41">
        <f t="shared" si="32"/>
        <v>272097</v>
      </c>
      <c r="AB14" s="41">
        <f t="shared" si="32"/>
        <v>170626</v>
      </c>
      <c r="AC14" s="41">
        <f t="shared" si="32"/>
        <v>197551</v>
      </c>
      <c r="AD14" s="229">
        <f t="shared" si="26"/>
        <v>197551</v>
      </c>
      <c r="AE14" s="42"/>
      <c r="AF14" s="41">
        <f>AF6-AF48</f>
        <v>246973</v>
      </c>
      <c r="AG14" s="41">
        <f t="shared" ref="AG14:AQ14" si="33">AG6-AG48</f>
        <v>281087</v>
      </c>
      <c r="AH14" s="41">
        <f t="shared" si="33"/>
        <v>386469</v>
      </c>
      <c r="AI14" s="41">
        <f t="shared" si="33"/>
        <v>379017</v>
      </c>
      <c r="AJ14" s="41">
        <f t="shared" si="33"/>
        <v>400777</v>
      </c>
      <c r="AK14" s="41">
        <f t="shared" si="33"/>
        <v>465623</v>
      </c>
      <c r="AL14" s="41">
        <f t="shared" si="33"/>
        <v>472149</v>
      </c>
      <c r="AM14" s="41">
        <f t="shared" si="33"/>
        <v>492339</v>
      </c>
      <c r="AN14" s="41">
        <f t="shared" si="33"/>
        <v>450428</v>
      </c>
      <c r="AO14" s="41">
        <f t="shared" si="33"/>
        <v>391441</v>
      </c>
      <c r="AP14" s="41">
        <f t="shared" si="33"/>
        <v>325482</v>
      </c>
      <c r="AQ14" s="41">
        <f t="shared" si="33"/>
        <v>312076</v>
      </c>
      <c r="AR14" s="41">
        <f t="shared" si="3"/>
        <v>312076</v>
      </c>
      <c r="AS14" s="42"/>
      <c r="AT14" s="41">
        <f t="shared" ref="AT14:BB14" si="34">AT6-AT48</f>
        <v>243661</v>
      </c>
      <c r="AU14" s="41">
        <f t="shared" si="34"/>
        <v>233232</v>
      </c>
      <c r="AV14" s="41">
        <f t="shared" si="34"/>
        <v>218299</v>
      </c>
      <c r="AW14" s="41">
        <f t="shared" si="34"/>
        <v>233987</v>
      </c>
      <c r="AX14" s="41">
        <f t="shared" si="34"/>
        <v>261234</v>
      </c>
      <c r="AY14" s="41">
        <f t="shared" si="34"/>
        <v>282486</v>
      </c>
      <c r="AZ14" s="41">
        <f t="shared" si="34"/>
        <v>296055</v>
      </c>
      <c r="BA14" s="41">
        <f t="shared" si="34"/>
        <v>308825</v>
      </c>
      <c r="BB14" s="41">
        <f t="shared" si="34"/>
        <v>308406</v>
      </c>
      <c r="BC14" s="41">
        <f>BB14-BC16+BC59-BC48</f>
        <v>137005.70924434217</v>
      </c>
      <c r="BD14" s="41">
        <f>BC14-BD16+BD59-BD48</f>
        <v>94095.12236286921</v>
      </c>
      <c r="BE14" s="41">
        <f>BD14-BE16+BE59-BE48</f>
        <v>78605.509397775226</v>
      </c>
      <c r="BF14" s="41">
        <f>BE14</f>
        <v>78605.509397775226</v>
      </c>
      <c r="BG14" s="43">
        <f>BG16/AR16</f>
        <v>7.0333736034655189E-2</v>
      </c>
      <c r="BH14" s="41">
        <f t="shared" ref="BH14:BS14" si="35">BH6-BH48</f>
        <v>238108</v>
      </c>
      <c r="BI14" s="41">
        <f t="shared" si="35"/>
        <v>221646</v>
      </c>
      <c r="BJ14" s="41">
        <f t="shared" si="35"/>
        <v>221455</v>
      </c>
      <c r="BK14" s="41">
        <f t="shared" si="35"/>
        <v>227714</v>
      </c>
      <c r="BL14" s="41">
        <f t="shared" si="35"/>
        <v>252043</v>
      </c>
      <c r="BM14" s="41">
        <f t="shared" si="35"/>
        <v>242270</v>
      </c>
      <c r="BN14" s="41">
        <f t="shared" si="35"/>
        <v>242084</v>
      </c>
      <c r="BO14" s="41">
        <f t="shared" si="35"/>
        <v>221874</v>
      </c>
      <c r="BP14" s="41">
        <f t="shared" si="35"/>
        <v>176312</v>
      </c>
      <c r="BQ14" s="41">
        <f t="shared" si="35"/>
        <v>157414</v>
      </c>
      <c r="BR14" s="41">
        <f t="shared" si="35"/>
        <v>215852</v>
      </c>
      <c r="BS14" s="41">
        <f t="shared" si="35"/>
        <v>201165</v>
      </c>
      <c r="BT14" s="41">
        <f t="shared" si="9"/>
        <v>201165</v>
      </c>
      <c r="BU14" s="45"/>
      <c r="BV14" s="41">
        <f t="shared" ref="BV14:CG14" si="36">BV6-BV48</f>
        <v>247713</v>
      </c>
      <c r="BW14" s="41">
        <f t="shared" si="36"/>
        <v>233331.33851391904</v>
      </c>
      <c r="BX14" s="41">
        <f t="shared" si="36"/>
        <v>177883.66498659304</v>
      </c>
      <c r="BY14" s="41">
        <f t="shared" si="36"/>
        <v>179412.86758308427</v>
      </c>
      <c r="BZ14" s="41">
        <f t="shared" si="36"/>
        <v>173869.17709944007</v>
      </c>
      <c r="CA14" s="41">
        <f t="shared" si="36"/>
        <v>174073.94242035711</v>
      </c>
      <c r="CB14" s="41">
        <f t="shared" si="36"/>
        <v>154754.65844393449</v>
      </c>
      <c r="CC14" s="41">
        <f t="shared" si="36"/>
        <v>105292.60304097991</v>
      </c>
      <c r="CD14" s="41">
        <f t="shared" si="36"/>
        <v>44459.291351282969</v>
      </c>
      <c r="CE14" s="41">
        <f t="shared" si="36"/>
        <v>-5180.9302899394534</v>
      </c>
      <c r="CF14" s="41">
        <f t="shared" si="36"/>
        <v>-35231.874981086148</v>
      </c>
      <c r="CG14" s="41">
        <f t="shared" si="36"/>
        <v>-21040.0938262571</v>
      </c>
      <c r="CH14" s="41">
        <f t="shared" si="8"/>
        <v>-21040.0938262571</v>
      </c>
    </row>
    <row r="15" spans="1:86">
      <c r="A15" s="46"/>
      <c r="B15" s="47" t="s">
        <v>48</v>
      </c>
      <c r="C15" s="446"/>
      <c r="D15" s="283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284"/>
      <c r="Q15" s="49"/>
      <c r="R15" s="283"/>
      <c r="S15" s="50"/>
      <c r="T15" s="50"/>
      <c r="U15" s="50"/>
      <c r="V15" s="51"/>
      <c r="W15" s="51"/>
      <c r="X15" s="51"/>
      <c r="Y15" s="51"/>
      <c r="Z15" s="51"/>
      <c r="AA15" s="51"/>
      <c r="AB15" s="51"/>
      <c r="AC15" s="50"/>
      <c r="AD15" s="285"/>
      <c r="AE15" s="23"/>
      <c r="AF15" s="286">
        <f t="shared" ref="AF15:AP15" si="37">AF6/AG16</f>
        <v>1.3876680694696506</v>
      </c>
      <c r="AG15" s="286">
        <f t="shared" si="37"/>
        <v>3.8178718896012169</v>
      </c>
      <c r="AH15" s="286">
        <f t="shared" si="37"/>
        <v>4.3249513194118041</v>
      </c>
      <c r="AI15" s="286">
        <f t="shared" si="37"/>
        <v>3.1032881916583426</v>
      </c>
      <c r="AJ15" s="286">
        <f t="shared" si="37"/>
        <v>2.6977450188476038</v>
      </c>
      <c r="AK15" s="286">
        <f t="shared" si="37"/>
        <v>3.0634099805914667</v>
      </c>
      <c r="AL15" s="286">
        <f t="shared" si="37"/>
        <v>1.9763209336006664</v>
      </c>
      <c r="AM15" s="286">
        <f t="shared" si="37"/>
        <v>1.8853931580291039</v>
      </c>
      <c r="AN15" s="286">
        <f t="shared" si="37"/>
        <v>1.7601719421649082</v>
      </c>
      <c r="AO15" s="286">
        <f t="shared" si="37"/>
        <v>3.0429182213930348</v>
      </c>
      <c r="AP15" s="286">
        <f t="shared" si="37"/>
        <v>3.3266762060506951</v>
      </c>
      <c r="AQ15" s="286">
        <f>AQ6/AT16</f>
        <v>2.1015749668165311</v>
      </c>
      <c r="AR15" s="287">
        <f>AQ15</f>
        <v>2.1015749668165311</v>
      </c>
      <c r="AS15" s="23"/>
      <c r="AT15" s="286">
        <f>AT6/AU16</f>
        <v>2.078676878772272</v>
      </c>
      <c r="AU15" s="286">
        <f>AU6/AV16</f>
        <v>2.1017947592948043</v>
      </c>
      <c r="AV15" s="286">
        <f>AV6/AW16</f>
        <v>1.9297580364452378</v>
      </c>
      <c r="AW15" s="286">
        <f>AW6/AX16</f>
        <v>2.4377775525503322</v>
      </c>
      <c r="AX15" s="286">
        <f>AX6/AY16</f>
        <v>2.1450476831468146</v>
      </c>
      <c r="AY15" s="286">
        <f t="shared" ref="AY15:BD15" si="38">AY6/(AZ45+AZ44)</f>
        <v>2.0572684326974824</v>
      </c>
      <c r="AZ15" s="286">
        <f t="shared" si="38"/>
        <v>1.3749564207725904</v>
      </c>
      <c r="BA15" s="286">
        <f t="shared" si="38"/>
        <v>1.7107133445873244</v>
      </c>
      <c r="BB15" s="286">
        <f t="shared" si="38"/>
        <v>1.5052991529201962</v>
      </c>
      <c r="BC15" s="286">
        <f t="shared" si="38"/>
        <v>2.204984888462461</v>
      </c>
      <c r="BD15" s="286">
        <f t="shared" si="38"/>
        <v>4.1558308053625606</v>
      </c>
      <c r="BE15" s="286">
        <f>BE6/BH16</f>
        <v>1.6577023037190759</v>
      </c>
      <c r="BF15" s="52"/>
      <c r="BG15" s="27"/>
      <c r="BH15" s="418">
        <f t="shared" ref="BH15:BN15" si="39">BH6/BI16</f>
        <v>2.0944497544651477</v>
      </c>
      <c r="BI15" s="418">
        <f t="shared" si="39"/>
        <v>1.7607980924679776</v>
      </c>
      <c r="BJ15" s="418">
        <f t="shared" si="39"/>
        <v>1.9768264308549444</v>
      </c>
      <c r="BK15" s="418">
        <f t="shared" si="39"/>
        <v>2.3096926132416842</v>
      </c>
      <c r="BL15" s="418">
        <f t="shared" si="39"/>
        <v>2.3022524219030873</v>
      </c>
      <c r="BM15" s="418">
        <f t="shared" si="39"/>
        <v>1.710321617787782</v>
      </c>
      <c r="BN15" s="418">
        <f t="shared" si="39"/>
        <v>1.8673644886033884</v>
      </c>
      <c r="BO15" s="419"/>
      <c r="BP15" s="419"/>
      <c r="BQ15" s="419"/>
      <c r="BR15" s="419"/>
      <c r="BS15" s="419"/>
      <c r="BT15" s="419"/>
      <c r="BU15" s="54"/>
      <c r="BV15" s="286">
        <v>0</v>
      </c>
      <c r="BW15" s="286">
        <v>0</v>
      </c>
      <c r="BX15" s="286">
        <v>0</v>
      </c>
      <c r="BY15" s="418">
        <v>0</v>
      </c>
      <c r="BZ15" s="418">
        <v>0</v>
      </c>
      <c r="CA15" s="418">
        <v>0</v>
      </c>
      <c r="CB15" s="418">
        <v>0</v>
      </c>
      <c r="CC15" s="418">
        <v>0</v>
      </c>
      <c r="CD15" s="418">
        <v>0</v>
      </c>
      <c r="CE15" s="418">
        <v>0</v>
      </c>
      <c r="CF15" s="418">
        <v>0</v>
      </c>
      <c r="CG15" s="419"/>
      <c r="CH15" s="419"/>
    </row>
    <row r="16" spans="1:86" ht="15.75">
      <c r="A16" s="55">
        <v>6</v>
      </c>
      <c r="B16" s="56" t="s">
        <v>49</v>
      </c>
      <c r="C16" s="280"/>
      <c r="D16" s="288">
        <f t="shared" ref="D16:P16" si="40">SUM(D20:D42)</f>
        <v>82250</v>
      </c>
      <c r="E16" s="57">
        <f t="shared" si="40"/>
        <v>117000</v>
      </c>
      <c r="F16" s="57">
        <f t="shared" si="40"/>
        <v>121750</v>
      </c>
      <c r="G16" s="57">
        <f t="shared" si="40"/>
        <v>150000</v>
      </c>
      <c r="H16" s="57">
        <f t="shared" si="40"/>
        <v>99500</v>
      </c>
      <c r="I16" s="57">
        <f t="shared" si="40"/>
        <v>102000</v>
      </c>
      <c r="J16" s="57">
        <f t="shared" si="40"/>
        <v>177632</v>
      </c>
      <c r="K16" s="57">
        <f t="shared" si="40"/>
        <v>178158</v>
      </c>
      <c r="L16" s="57">
        <f t="shared" si="40"/>
        <v>199211</v>
      </c>
      <c r="M16" s="57">
        <f t="shared" si="40"/>
        <v>229474</v>
      </c>
      <c r="N16" s="57">
        <f t="shared" si="40"/>
        <v>122368</v>
      </c>
      <c r="O16" s="57">
        <f t="shared" si="40"/>
        <v>38421</v>
      </c>
      <c r="P16" s="289">
        <f t="shared" si="40"/>
        <v>1617764</v>
      </c>
      <c r="Q16" s="39"/>
      <c r="R16" s="288">
        <f t="shared" ref="R16:AC16" si="41">R20+R43</f>
        <v>136177.33998294926</v>
      </c>
      <c r="S16" s="58">
        <f t="shared" si="41"/>
        <v>143840.32639116928</v>
      </c>
      <c r="T16" s="58">
        <f t="shared" si="41"/>
        <v>142553.77192982455</v>
      </c>
      <c r="U16" s="58">
        <f t="shared" si="41"/>
        <v>19814.899999999998</v>
      </c>
      <c r="V16" s="58">
        <f t="shared" si="41"/>
        <v>52085</v>
      </c>
      <c r="W16" s="290">
        <f t="shared" si="41"/>
        <v>70169.381950239796</v>
      </c>
      <c r="X16" s="290">
        <f t="shared" si="41"/>
        <v>144463.33333333299</v>
      </c>
      <c r="Y16" s="290">
        <f t="shared" si="41"/>
        <v>226547.08333333331</v>
      </c>
      <c r="Z16" s="290">
        <f t="shared" si="41"/>
        <v>273187.5</v>
      </c>
      <c r="AA16" s="290">
        <f t="shared" si="41"/>
        <v>172100</v>
      </c>
      <c r="AB16" s="290">
        <f t="shared" si="41"/>
        <v>37500</v>
      </c>
      <c r="AC16" s="290">
        <f t="shared" si="41"/>
        <v>0</v>
      </c>
      <c r="AD16" s="291">
        <f>SUM(R16:AC16)</f>
        <v>1418438.6369208493</v>
      </c>
      <c r="AE16" s="59"/>
      <c r="AF16" s="292">
        <f>AF20+AF43</f>
        <v>128646</v>
      </c>
      <c r="AG16" s="58">
        <f t="shared" ref="AG16:AQ16" si="42">AG20+AG43</f>
        <v>177977</v>
      </c>
      <c r="AH16" s="58">
        <f t="shared" si="42"/>
        <v>73624</v>
      </c>
      <c r="AI16" s="58">
        <f t="shared" si="42"/>
        <v>89358</v>
      </c>
      <c r="AJ16" s="58">
        <f t="shared" si="42"/>
        <v>122134</v>
      </c>
      <c r="AK16" s="58">
        <f t="shared" si="42"/>
        <v>148560</v>
      </c>
      <c r="AL16" s="58">
        <f t="shared" si="42"/>
        <v>151995</v>
      </c>
      <c r="AM16" s="58">
        <f t="shared" si="42"/>
        <v>238903</v>
      </c>
      <c r="AN16" s="58">
        <f t="shared" si="42"/>
        <v>261133.33333333334</v>
      </c>
      <c r="AO16" s="58">
        <f t="shared" si="42"/>
        <v>255900</v>
      </c>
      <c r="AP16" s="58">
        <f t="shared" si="42"/>
        <v>128640</v>
      </c>
      <c r="AQ16" s="58">
        <f t="shared" si="42"/>
        <v>97840</v>
      </c>
      <c r="AR16" s="58">
        <f>SUM(AF16:AQ16)</f>
        <v>1874710.3333333333</v>
      </c>
      <c r="AS16" s="59"/>
      <c r="AT16" s="58">
        <f t="shared" ref="AT16:BD16" si="43">AT20+AT43</f>
        <v>152749.25</v>
      </c>
      <c r="AU16" s="58">
        <f t="shared" si="43"/>
        <v>168522.10344827586</v>
      </c>
      <c r="AV16" s="58">
        <f t="shared" si="43"/>
        <v>154121.13793103449</v>
      </c>
      <c r="AW16" s="58">
        <f t="shared" si="43"/>
        <v>159595.13793103449</v>
      </c>
      <c r="AX16" s="58">
        <f t="shared" si="43"/>
        <v>120099.96551724138</v>
      </c>
      <c r="AY16" s="58">
        <f t="shared" si="43"/>
        <v>138343.77777777778</v>
      </c>
      <c r="AZ16" s="58">
        <f t="shared" si="43"/>
        <v>166673.77777777778</v>
      </c>
      <c r="BA16" s="58">
        <f t="shared" si="43"/>
        <v>242442.29629629629</v>
      </c>
      <c r="BB16" s="58">
        <f t="shared" si="43"/>
        <v>243407.77777777778</v>
      </c>
      <c r="BC16" s="58">
        <f t="shared" si="43"/>
        <v>253368.29075565783</v>
      </c>
      <c r="BD16" s="58">
        <f t="shared" si="43"/>
        <v>134555.58688147296</v>
      </c>
      <c r="BE16" s="58">
        <f>BE20+BE44</f>
        <v>72686.612965093984</v>
      </c>
      <c r="BF16" s="58">
        <f t="shared" ref="BF16:BF18" si="44">SUM(AT16:BE16)</f>
        <v>2006565.7150594404</v>
      </c>
      <c r="BG16" s="59">
        <f>BF16-AR16</f>
        <v>131855.38172610709</v>
      </c>
      <c r="BH16" s="58">
        <f>BH17+BH43</f>
        <v>152753</v>
      </c>
      <c r="BI16" s="58">
        <f t="shared" ref="BI16:BN16" si="45">BI17+BI43</f>
        <v>146822.33333333331</v>
      </c>
      <c r="BJ16" s="58">
        <f t="shared" si="45"/>
        <v>171546.07407407407</v>
      </c>
      <c r="BK16" s="58">
        <f t="shared" si="45"/>
        <v>159771.74074074073</v>
      </c>
      <c r="BL16" s="58">
        <f t="shared" si="45"/>
        <v>132496.85185185185</v>
      </c>
      <c r="BM16" s="58">
        <f t="shared" si="45"/>
        <v>129906.25925925926</v>
      </c>
      <c r="BN16" s="58">
        <f t="shared" si="45"/>
        <v>171383.55555555556</v>
      </c>
      <c r="BO16" s="58">
        <f>BO17+BO44</f>
        <v>179550.37811111109</v>
      </c>
      <c r="BP16" s="58">
        <f>BP17+BP44</f>
        <v>202053.74953703705</v>
      </c>
      <c r="BQ16" s="58">
        <f>BQ17+BQ44</f>
        <v>163865</v>
      </c>
      <c r="BR16" s="58">
        <f>BR17+BR44</f>
        <v>175620.6</v>
      </c>
      <c r="BS16" s="58">
        <v>92285.6</v>
      </c>
      <c r="BT16" s="58">
        <f t="shared" ref="BT16:BT18" si="46">SUM(BH16:BS16)</f>
        <v>1878055.142462963</v>
      </c>
      <c r="BU16" s="60"/>
      <c r="BV16" s="58">
        <f>BV20+(BV44)</f>
        <v>159396.19746420952</v>
      </c>
      <c r="BW16" s="58">
        <f>BW20+(BW44)</f>
        <v>147381.66148608096</v>
      </c>
      <c r="BX16" s="58">
        <f t="shared" ref="BX16:CG16" si="47">BX20+(BX44)</f>
        <v>188447.673527326</v>
      </c>
      <c r="BY16" s="58">
        <f t="shared" si="47"/>
        <v>152470.7974035088</v>
      </c>
      <c r="BZ16" s="58">
        <f t="shared" si="47"/>
        <v>145543.6904836442</v>
      </c>
      <c r="CA16" s="58">
        <f t="shared" si="47"/>
        <v>139795.23467908296</v>
      </c>
      <c r="CB16" s="58">
        <f t="shared" si="47"/>
        <v>180319.28397642265</v>
      </c>
      <c r="CC16" s="58">
        <f t="shared" si="47"/>
        <v>196462.0554029546</v>
      </c>
      <c r="CD16" s="58">
        <f t="shared" si="47"/>
        <v>207833.31168969694</v>
      </c>
      <c r="CE16" s="58">
        <f t="shared" si="47"/>
        <v>210640.22164122242</v>
      </c>
      <c r="CF16" s="58">
        <f t="shared" si="47"/>
        <v>170050.94469114669</v>
      </c>
      <c r="CG16" s="58">
        <f t="shared" si="47"/>
        <v>76808.218845170952</v>
      </c>
      <c r="CH16" s="58">
        <f t="shared" ref="CH16:CH17" si="48">SUM(BV16:CG16)</f>
        <v>1975149.2912904669</v>
      </c>
    </row>
    <row r="17" spans="1:87">
      <c r="A17" s="61"/>
      <c r="B17" s="62" t="s">
        <v>51</v>
      </c>
      <c r="C17" s="293"/>
      <c r="D17" s="294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295"/>
      <c r="Q17" s="64"/>
      <c r="R17" s="294"/>
      <c r="S17" s="65"/>
      <c r="T17" s="65"/>
      <c r="U17" s="65"/>
      <c r="V17" s="296"/>
      <c r="W17" s="297"/>
      <c r="X17" s="297"/>
      <c r="Y17" s="297"/>
      <c r="Z17" s="297"/>
      <c r="AA17" s="297"/>
      <c r="AB17" s="297"/>
      <c r="AC17" s="66"/>
      <c r="AD17" s="67"/>
      <c r="AE17" s="68"/>
      <c r="AF17" s="298"/>
      <c r="AG17" s="65"/>
      <c r="AH17" s="65"/>
      <c r="AI17" s="65"/>
      <c r="AJ17" s="296"/>
      <c r="AK17" s="296"/>
      <c r="AL17" s="296"/>
      <c r="AM17" s="296"/>
      <c r="AN17" s="65"/>
      <c r="AO17" s="65"/>
      <c r="AP17" s="65"/>
      <c r="AQ17" s="65"/>
      <c r="AR17" s="299"/>
      <c r="AS17" s="68"/>
      <c r="AT17" s="65"/>
      <c r="AU17" s="65"/>
      <c r="AV17" s="65"/>
      <c r="AW17" s="65"/>
      <c r="AX17" s="65"/>
      <c r="AY17" s="69">
        <f t="shared" ref="AY17:BA17" si="49">AY20+AY44</f>
        <v>119777.77777777778</v>
      </c>
      <c r="AZ17" s="69">
        <f t="shared" si="49"/>
        <v>150777.77777777778</v>
      </c>
      <c r="BA17" s="69">
        <f t="shared" si="49"/>
        <v>233098.4962962963</v>
      </c>
      <c r="BB17" s="69">
        <f>BB18/BB19</f>
        <v>210777.77777777778</v>
      </c>
      <c r="BC17" s="69">
        <f>BC20+BC44</f>
        <v>249806.29075565783</v>
      </c>
      <c r="BD17" s="69">
        <f t="shared" ref="BD17:BE17" si="50">BD20+BD44*0.85</f>
        <v>122960.58688147296</v>
      </c>
      <c r="BE17" s="69">
        <f t="shared" si="50"/>
        <v>66386.612965093984</v>
      </c>
      <c r="BF17" s="69">
        <f t="shared" si="44"/>
        <v>1153585.3202318544</v>
      </c>
      <c r="BG17" s="68"/>
      <c r="BH17" s="69">
        <f>BH18/BH19-0.1*BH18/BH19</f>
        <v>116600</v>
      </c>
      <c r="BI17" s="69">
        <f t="shared" ref="BI17" si="51">BI18/BI19-0.1*BI18/BI19</f>
        <v>111533.33333333333</v>
      </c>
      <c r="BJ17" s="69">
        <f t="shared" ref="BJ17:BP17" si="52">BJ18/BJ19-0.05*BJ18/BJ19</f>
        <v>135674.07407407407</v>
      </c>
      <c r="BK17" s="69">
        <f t="shared" si="52"/>
        <v>121740.74074074074</v>
      </c>
      <c r="BL17" s="69">
        <f t="shared" si="52"/>
        <v>93926.851851851854</v>
      </c>
      <c r="BM17" s="69">
        <f t="shared" si="52"/>
        <v>90679.259259259255</v>
      </c>
      <c r="BN17" s="69">
        <f t="shared" si="52"/>
        <v>130255.55555555556</v>
      </c>
      <c r="BO17" s="69">
        <f t="shared" si="52"/>
        <v>150550.37811111109</v>
      </c>
      <c r="BP17" s="69">
        <f t="shared" si="52"/>
        <v>161830.74953703705</v>
      </c>
      <c r="BQ17" s="69">
        <v>127130</v>
      </c>
      <c r="BR17" s="69">
        <v>138687.6</v>
      </c>
      <c r="BS17" s="69">
        <v>43639.199999999997</v>
      </c>
      <c r="BT17" s="69">
        <f t="shared" si="46"/>
        <v>1422247.7424629631</v>
      </c>
      <c r="BU17" s="54"/>
      <c r="BV17" s="69">
        <f>BV20+BV43</f>
        <v>166555.77995873816</v>
      </c>
      <c r="BW17" s="69">
        <f>BW20+BW43</f>
        <v>152835.36924465047</v>
      </c>
      <c r="BX17" s="69">
        <f t="shared" ref="BX17:CG17" si="53">BX20+BX43</f>
        <v>195319.2072937729</v>
      </c>
      <c r="BY17" s="69">
        <f t="shared" si="53"/>
        <v>158396.18906207831</v>
      </c>
      <c r="BZ17" s="69">
        <f t="shared" si="53"/>
        <v>152371.51475009107</v>
      </c>
      <c r="CA17" s="69">
        <f t="shared" si="53"/>
        <v>147696.01107361159</v>
      </c>
      <c r="CB17" s="69">
        <f t="shared" si="53"/>
        <v>189465.0513586243</v>
      </c>
      <c r="CC17" s="69">
        <f t="shared" si="53"/>
        <v>202914.10079748323</v>
      </c>
      <c r="CD17" s="69">
        <f t="shared" si="53"/>
        <v>214499.61628422557</v>
      </c>
      <c r="CE17" s="69">
        <f t="shared" si="53"/>
        <v>217682.99793575107</v>
      </c>
      <c r="CF17" s="69">
        <f t="shared" si="53"/>
        <v>179284.72030485788</v>
      </c>
      <c r="CG17" s="69">
        <f t="shared" si="53"/>
        <v>88389.319383536102</v>
      </c>
      <c r="CH17" s="69">
        <f t="shared" si="48"/>
        <v>2065409.8774474205</v>
      </c>
      <c r="CI17" s="395">
        <f>(CH17-BT50)/BT50</f>
        <v>0.48621753003500767</v>
      </c>
    </row>
    <row r="18" spans="1:87">
      <c r="A18" s="61"/>
      <c r="B18" s="62" t="s">
        <v>52</v>
      </c>
      <c r="C18" s="293"/>
      <c r="D18" s="294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295"/>
      <c r="Q18" s="64"/>
      <c r="R18" s="294"/>
      <c r="S18" s="65"/>
      <c r="T18" s="65"/>
      <c r="U18" s="65"/>
      <c r="V18" s="296"/>
      <c r="W18" s="297"/>
      <c r="X18" s="297"/>
      <c r="Y18" s="297"/>
      <c r="Z18" s="297"/>
      <c r="AA18" s="297"/>
      <c r="AB18" s="297"/>
      <c r="AC18" s="66"/>
      <c r="AD18" s="67"/>
      <c r="AE18" s="68"/>
      <c r="AF18" s="298"/>
      <c r="AG18" s="65"/>
      <c r="AH18" s="65" t="s">
        <v>53</v>
      </c>
      <c r="AI18" s="65"/>
      <c r="AJ18" s="296"/>
      <c r="AK18" s="296"/>
      <c r="AL18" s="296"/>
      <c r="AM18" s="296"/>
      <c r="AN18" s="65">
        <v>6715000</v>
      </c>
      <c r="AO18" s="65">
        <v>6555000</v>
      </c>
      <c r="AP18" s="65">
        <v>2640000</v>
      </c>
      <c r="AQ18" s="65">
        <v>1302000</v>
      </c>
      <c r="AR18" s="299"/>
      <c r="AS18" s="68"/>
      <c r="AT18" s="65">
        <v>3264695</v>
      </c>
      <c r="AU18" s="65">
        <v>3863760</v>
      </c>
      <c r="AV18" s="65">
        <v>3429225</v>
      </c>
      <c r="AW18" s="65">
        <v>3525360</v>
      </c>
      <c r="AX18" s="65">
        <v>2509485</v>
      </c>
      <c r="AY18" s="65">
        <v>2829000</v>
      </c>
      <c r="AZ18" s="65">
        <v>3666000</v>
      </c>
      <c r="BA18" s="65">
        <v>5705000</v>
      </c>
      <c r="BB18" s="65">
        <v>5691000</v>
      </c>
      <c r="BC18" s="65">
        <v>5600000</v>
      </c>
      <c r="BD18" s="65">
        <v>2430000</v>
      </c>
      <c r="BE18" s="65">
        <v>800000</v>
      </c>
      <c r="BF18" s="69">
        <f t="shared" si="44"/>
        <v>43313525</v>
      </c>
      <c r="BG18" s="68"/>
      <c r="BH18" s="70">
        <v>3498000</v>
      </c>
      <c r="BI18" s="70">
        <v>3346000</v>
      </c>
      <c r="BJ18" s="70">
        <v>3856000</v>
      </c>
      <c r="BK18" s="70">
        <v>3460000</v>
      </c>
      <c r="BL18" s="70">
        <v>2669500</v>
      </c>
      <c r="BM18" s="70">
        <v>2577200</v>
      </c>
      <c r="BN18" s="70">
        <v>3702000</v>
      </c>
      <c r="BO18" s="70">
        <v>4278800.22</v>
      </c>
      <c r="BP18" s="70">
        <v>4599400.25</v>
      </c>
      <c r="BQ18" s="70">
        <f>BQ17*BQ19</f>
        <v>3432510</v>
      </c>
      <c r="BR18" s="70">
        <v>2954493.21</v>
      </c>
      <c r="BS18" s="70">
        <v>984831.07</v>
      </c>
      <c r="BT18" s="65">
        <f t="shared" si="46"/>
        <v>39358734.75</v>
      </c>
      <c r="BU18" s="54"/>
      <c r="BV18" s="70">
        <f>BV19*BV20</f>
        <v>3399704.5546384701</v>
      </c>
      <c r="BW18" s="70">
        <f t="shared" ref="BW18:CG18" si="54">BW19*BW20</f>
        <v>3264737.5917468769</v>
      </c>
      <c r="BX18" s="70">
        <f t="shared" si="54"/>
        <v>4184999.9999999995</v>
      </c>
      <c r="BY18" s="70">
        <f t="shared" si="54"/>
        <v>3348000.0000000005</v>
      </c>
      <c r="BZ18" s="70">
        <f t="shared" si="54"/>
        <v>3074042.2288642721</v>
      </c>
      <c r="CA18" s="70">
        <f t="shared" si="54"/>
        <v>2812995.3566251793</v>
      </c>
      <c r="CB18" s="70">
        <f t="shared" si="54"/>
        <v>3737141.5756380158</v>
      </c>
      <c r="CC18" s="70">
        <f t="shared" si="54"/>
        <v>4437000.7194458414</v>
      </c>
      <c r="CD18" s="70">
        <f t="shared" si="54"/>
        <v>4710370.4261011425</v>
      </c>
      <c r="CE18" s="70">
        <f t="shared" si="54"/>
        <v>4744197.0280408058</v>
      </c>
      <c r="CF18" s="70">
        <f t="shared" si="54"/>
        <v>3461011.8981438484</v>
      </c>
      <c r="CG18" s="70">
        <f t="shared" si="54"/>
        <v>792579.23398446955</v>
      </c>
      <c r="CH18" s="65">
        <f>SUM(BV18:CG18)</f>
        <v>41966780.613228925</v>
      </c>
    </row>
    <row r="19" spans="1:87">
      <c r="A19" s="71"/>
      <c r="B19" s="72" t="s">
        <v>54</v>
      </c>
      <c r="C19" s="300"/>
      <c r="D19" s="30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302"/>
      <c r="Q19" s="74"/>
      <c r="R19" s="301"/>
      <c r="S19" s="69"/>
      <c r="T19" s="69"/>
      <c r="U19" s="69"/>
      <c r="V19" s="303"/>
      <c r="W19" s="304"/>
      <c r="X19" s="304"/>
      <c r="Y19" s="304"/>
      <c r="Z19" s="304"/>
      <c r="AA19" s="304"/>
      <c r="AB19" s="304"/>
      <c r="AC19" s="75"/>
      <c r="AD19" s="76"/>
      <c r="AE19" s="77"/>
      <c r="AF19" s="305"/>
      <c r="AG19" s="69"/>
      <c r="AH19" s="69"/>
      <c r="AI19" s="69"/>
      <c r="AJ19" s="303"/>
      <c r="AK19" s="303"/>
      <c r="AL19" s="303"/>
      <c r="AM19" s="303"/>
      <c r="AN19" s="69">
        <f t="shared" ref="AN19:AQ19" si="55">30</f>
        <v>30</v>
      </c>
      <c r="AO19" s="69">
        <f t="shared" si="55"/>
        <v>30</v>
      </c>
      <c r="AP19" s="69">
        <f t="shared" si="55"/>
        <v>30</v>
      </c>
      <c r="AQ19" s="69">
        <f t="shared" si="55"/>
        <v>30</v>
      </c>
      <c r="AR19" s="306"/>
      <c r="AS19" s="77"/>
      <c r="AT19" s="69">
        <v>28</v>
      </c>
      <c r="AU19" s="69">
        <v>29</v>
      </c>
      <c r="AV19" s="69">
        <v>29</v>
      </c>
      <c r="AW19" s="69">
        <v>29</v>
      </c>
      <c r="AX19" s="69">
        <v>29</v>
      </c>
      <c r="AY19" s="69">
        <v>27</v>
      </c>
      <c r="AZ19" s="69">
        <v>27</v>
      </c>
      <c r="BA19" s="69">
        <v>27</v>
      </c>
      <c r="BB19" s="69">
        <v>27</v>
      </c>
      <c r="BC19" s="69">
        <v>26.07</v>
      </c>
      <c r="BD19" s="69">
        <v>26.07</v>
      </c>
      <c r="BE19" s="69">
        <v>26.07</v>
      </c>
      <c r="BF19" s="305"/>
      <c r="BG19" s="78"/>
      <c r="BH19" s="69">
        <v>27</v>
      </c>
      <c r="BI19" s="69">
        <v>27</v>
      </c>
      <c r="BJ19" s="69">
        <v>27</v>
      </c>
      <c r="BK19" s="69">
        <v>27</v>
      </c>
      <c r="BL19" s="69">
        <v>27</v>
      </c>
      <c r="BM19" s="69">
        <v>27</v>
      </c>
      <c r="BN19" s="69">
        <v>27</v>
      </c>
      <c r="BO19" s="69">
        <v>27</v>
      </c>
      <c r="BP19" s="69">
        <v>27</v>
      </c>
      <c r="BQ19" s="69">
        <v>27</v>
      </c>
      <c r="BR19" s="69">
        <v>27</v>
      </c>
      <c r="BS19" s="69">
        <v>27</v>
      </c>
      <c r="BT19" s="69"/>
      <c r="BU19" s="54"/>
      <c r="BV19" s="69">
        <v>26</v>
      </c>
      <c r="BW19" s="69">
        <v>26</v>
      </c>
      <c r="BX19" s="69">
        <v>26</v>
      </c>
      <c r="BY19" s="69">
        <v>26</v>
      </c>
      <c r="BZ19" s="69">
        <v>26</v>
      </c>
      <c r="CA19" s="69">
        <v>26</v>
      </c>
      <c r="CB19" s="69">
        <v>26</v>
      </c>
      <c r="CC19" s="69">
        <v>26</v>
      </c>
      <c r="CD19" s="69">
        <v>26</v>
      </c>
      <c r="CE19" s="69">
        <v>26</v>
      </c>
      <c r="CF19" s="69">
        <v>26</v>
      </c>
      <c r="CG19" s="69">
        <v>26</v>
      </c>
      <c r="CH19" s="69"/>
    </row>
    <row r="20" spans="1:87" ht="15.75">
      <c r="A20" s="79"/>
      <c r="B20" s="80" t="s">
        <v>55</v>
      </c>
      <c r="C20" s="81"/>
      <c r="D20" s="288">
        <v>82250</v>
      </c>
      <c r="E20" s="57">
        <v>117000</v>
      </c>
      <c r="F20" s="57">
        <v>121750</v>
      </c>
      <c r="G20" s="57">
        <v>150000</v>
      </c>
      <c r="H20" s="57">
        <v>99500</v>
      </c>
      <c r="I20" s="57">
        <v>102000</v>
      </c>
      <c r="J20" s="57">
        <v>177632</v>
      </c>
      <c r="K20" s="57">
        <v>178158</v>
      </c>
      <c r="L20" s="57">
        <v>199211</v>
      </c>
      <c r="M20" s="57">
        <v>229474</v>
      </c>
      <c r="N20" s="57">
        <v>122368</v>
      </c>
      <c r="O20" s="57">
        <v>38421</v>
      </c>
      <c r="P20" s="289">
        <f>SUM(D20:O20)</f>
        <v>1617764</v>
      </c>
      <c r="Q20" s="39"/>
      <c r="R20" s="288">
        <v>115619.79612330014</v>
      </c>
      <c r="S20" s="58">
        <v>123327.78253152016</v>
      </c>
      <c r="T20" s="58">
        <v>128854</v>
      </c>
      <c r="U20" s="58">
        <f>126016*0.15</f>
        <v>18902.399999999998</v>
      </c>
      <c r="V20" s="58">
        <v>35234</v>
      </c>
      <c r="W20" s="290">
        <v>56469.381950239796</v>
      </c>
      <c r="X20" s="290">
        <v>118413.33333333299</v>
      </c>
      <c r="Y20" s="290">
        <v>198797.08333333331</v>
      </c>
      <c r="Z20" s="290">
        <v>242087.5</v>
      </c>
      <c r="AA20" s="290">
        <v>140000</v>
      </c>
      <c r="AB20" s="290">
        <v>0</v>
      </c>
      <c r="AC20" s="290">
        <v>-45300</v>
      </c>
      <c r="AD20" s="291">
        <f>SUM(R20:AC20)</f>
        <v>1132405.2772717264</v>
      </c>
      <c r="AE20" s="59"/>
      <c r="AF20" s="292">
        <v>90146</v>
      </c>
      <c r="AG20" s="58">
        <v>155577</v>
      </c>
      <c r="AH20" s="58">
        <v>62953</v>
      </c>
      <c r="AI20" s="58">
        <v>73261</v>
      </c>
      <c r="AJ20" s="58">
        <v>91856</v>
      </c>
      <c r="AK20" s="58">
        <v>120000</v>
      </c>
      <c r="AL20" s="58">
        <v>110295</v>
      </c>
      <c r="AM20" s="58">
        <v>200203</v>
      </c>
      <c r="AN20" s="58">
        <f t="shared" ref="AN20:AQ20" si="56">AN18/AN19</f>
        <v>223833.33333333334</v>
      </c>
      <c r="AO20" s="58">
        <f t="shared" si="56"/>
        <v>218500</v>
      </c>
      <c r="AP20" s="58">
        <f t="shared" si="56"/>
        <v>88000</v>
      </c>
      <c r="AQ20" s="58">
        <f t="shared" si="56"/>
        <v>43400</v>
      </c>
      <c r="AR20" s="58">
        <f>SUM(AF20:AQ20)</f>
        <v>1478024.3333333333</v>
      </c>
      <c r="AS20" s="59"/>
      <c r="AT20" s="58">
        <f t="shared" ref="AT20:BE20" si="57">AT18/AT19</f>
        <v>116596.25</v>
      </c>
      <c r="AU20" s="58">
        <f t="shared" si="57"/>
        <v>133233.10344827586</v>
      </c>
      <c r="AV20" s="58">
        <f t="shared" si="57"/>
        <v>118249.13793103448</v>
      </c>
      <c r="AW20" s="58">
        <f t="shared" si="57"/>
        <v>121564.13793103448</v>
      </c>
      <c r="AX20" s="58">
        <f t="shared" si="57"/>
        <v>86533.965517241377</v>
      </c>
      <c r="AY20" s="58">
        <f t="shared" si="57"/>
        <v>104777.77777777778</v>
      </c>
      <c r="AZ20" s="58">
        <f t="shared" si="57"/>
        <v>135777.77777777778</v>
      </c>
      <c r="BA20" s="58">
        <f t="shared" si="57"/>
        <v>211296.29629629629</v>
      </c>
      <c r="BB20" s="58">
        <f t="shared" si="57"/>
        <v>210777.77777777778</v>
      </c>
      <c r="BC20" s="58">
        <f t="shared" si="57"/>
        <v>214806.29075565783</v>
      </c>
      <c r="BD20" s="58">
        <f t="shared" si="57"/>
        <v>93210.586881472962</v>
      </c>
      <c r="BE20" s="58">
        <f t="shared" si="57"/>
        <v>30686.612965093977</v>
      </c>
      <c r="BF20" s="58">
        <f>SUM(AT20:BE20)</f>
        <v>1577509.7150594404</v>
      </c>
      <c r="BG20" s="59">
        <f>BF20-AR20</f>
        <v>99485.381726107094</v>
      </c>
      <c r="BH20" s="58">
        <f>BH17</f>
        <v>116600</v>
      </c>
      <c r="BI20" s="58">
        <f t="shared" ref="BI20:BT20" si="58">BI17</f>
        <v>111533.33333333333</v>
      </c>
      <c r="BJ20" s="58">
        <f t="shared" si="58"/>
        <v>135674.07407407407</v>
      </c>
      <c r="BK20" s="58">
        <f t="shared" si="58"/>
        <v>121740.74074074074</v>
      </c>
      <c r="BL20" s="58">
        <f t="shared" si="58"/>
        <v>93926.851851851854</v>
      </c>
      <c r="BM20" s="58">
        <f t="shared" si="58"/>
        <v>90679.259259259255</v>
      </c>
      <c r="BN20" s="58">
        <f t="shared" si="58"/>
        <v>130255.55555555556</v>
      </c>
      <c r="BO20" s="58">
        <f t="shared" si="58"/>
        <v>150550.37811111109</v>
      </c>
      <c r="BP20" s="58">
        <f t="shared" si="58"/>
        <v>161830.74953703705</v>
      </c>
      <c r="BQ20" s="58">
        <f t="shared" si="58"/>
        <v>127130</v>
      </c>
      <c r="BR20" s="58">
        <f>BR17</f>
        <v>138687.6</v>
      </c>
      <c r="BS20" s="58">
        <f t="shared" si="58"/>
        <v>43639.199999999997</v>
      </c>
      <c r="BT20" s="58">
        <f t="shared" si="58"/>
        <v>1422247.7424629631</v>
      </c>
      <c r="BU20" s="60"/>
      <c r="BV20" s="58">
        <f>'META  EM PEÇAS'!S73</f>
        <v>130757.867486095</v>
      </c>
      <c r="BW20" s="58">
        <f>'META  EM PEÇAS'!T73</f>
        <v>125566.83045180296</v>
      </c>
      <c r="BX20" s="58">
        <f>'META  EM PEÇAS'!U73</f>
        <v>160961.53846153844</v>
      </c>
      <c r="BY20" s="58">
        <f>'META  EM PEÇAS'!V73</f>
        <v>128769.23076923078</v>
      </c>
      <c r="BZ20" s="58">
        <f>'META  EM PEÇAS'!W73</f>
        <v>118232.39341785663</v>
      </c>
      <c r="CA20" s="58">
        <f>'META  EM PEÇAS'!X73</f>
        <v>108192.12910096844</v>
      </c>
      <c r="CB20" s="58">
        <f>'META  EM PEÇAS'!Y73</f>
        <v>143736.21444761599</v>
      </c>
      <c r="CC20" s="58">
        <f>'META  EM PEÇAS'!Z73</f>
        <v>170653.87382484006</v>
      </c>
      <c r="CD20" s="58">
        <f>'META  EM PEÇAS'!AA73</f>
        <v>181168.0933115824</v>
      </c>
      <c r="CE20" s="58">
        <f>'META  EM PEÇAS'!AB73</f>
        <v>182469.1164631079</v>
      </c>
      <c r="CF20" s="58">
        <f>'META  EM PEÇAS'!AC73</f>
        <v>133115.84223630186</v>
      </c>
      <c r="CG20" s="58">
        <f>'META  EM PEÇAS'!AD73</f>
        <v>30483.816691710366</v>
      </c>
      <c r="CH20" s="58">
        <f>SUM(BV20:CG20)</f>
        <v>1614106.9466626509</v>
      </c>
      <c r="CI20">
        <f>CH20*26</f>
        <v>41966780.613228925</v>
      </c>
    </row>
    <row r="21" spans="1:87">
      <c r="A21" s="307"/>
      <c r="B21" s="82"/>
      <c r="C21" s="308"/>
      <c r="D21" s="309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310"/>
      <c r="Q21" s="84"/>
      <c r="R21" s="309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311"/>
      <c r="AE21" s="23"/>
      <c r="AF21" s="312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6"/>
      <c r="AS21" s="23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2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54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</row>
    <row r="22" spans="1:87" hidden="1" outlineLevel="1">
      <c r="A22" s="88">
        <v>1</v>
      </c>
      <c r="B22" s="1095" t="s">
        <v>56</v>
      </c>
      <c r="C22" s="1117"/>
      <c r="D22" s="313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314">
        <f t="shared" ref="P22:P34" si="59">SUM(D22:O22)</f>
        <v>0</v>
      </c>
      <c r="Q22" s="90"/>
      <c r="R22" s="313">
        <v>7017.5438596491231</v>
      </c>
      <c r="S22" s="91">
        <v>7017.5438596491231</v>
      </c>
      <c r="T22" s="91">
        <f>7017.54385964912/2</f>
        <v>3508.7719298245602</v>
      </c>
      <c r="U22" s="91">
        <f>96*U3</f>
        <v>96</v>
      </c>
      <c r="V22" s="91">
        <v>3000</v>
      </c>
      <c r="W22" s="91">
        <v>7200</v>
      </c>
      <c r="X22" s="91">
        <v>8500</v>
      </c>
      <c r="Y22" s="91">
        <v>8500</v>
      </c>
      <c r="Z22" s="91">
        <v>8500</v>
      </c>
      <c r="AA22" s="91">
        <v>9000</v>
      </c>
      <c r="AB22" s="91">
        <v>9500</v>
      </c>
      <c r="AC22" s="91">
        <v>8500</v>
      </c>
      <c r="AD22" s="315">
        <f t="shared" ref="AD22:AD36" si="60">SUM(R22:AC22)</f>
        <v>80339.859649122809</v>
      </c>
      <c r="AE22" s="23"/>
      <c r="AF22" s="316">
        <v>8000</v>
      </c>
      <c r="AG22" s="91">
        <v>4000</v>
      </c>
      <c r="AH22" s="91">
        <v>5673</v>
      </c>
      <c r="AI22" s="91">
        <v>4500</v>
      </c>
      <c r="AJ22" s="91">
        <v>7892</v>
      </c>
      <c r="AK22" s="91">
        <v>6400</v>
      </c>
      <c r="AL22" s="91">
        <v>8000</v>
      </c>
      <c r="AM22" s="91">
        <v>8000</v>
      </c>
      <c r="AN22" s="91">
        <v>8000</v>
      </c>
      <c r="AO22" s="91">
        <v>8000</v>
      </c>
      <c r="AP22" s="91">
        <v>8800</v>
      </c>
      <c r="AQ22" s="91">
        <v>6400</v>
      </c>
      <c r="AR22" s="92">
        <f t="shared" ref="AR22:AR40" si="61">SUM(AF22:AQ22)</f>
        <v>83665</v>
      </c>
      <c r="AS22" s="23"/>
      <c r="AT22" s="91">
        <v>4861</v>
      </c>
      <c r="AU22" s="91">
        <v>5809</v>
      </c>
      <c r="AV22" s="91">
        <v>5072</v>
      </c>
      <c r="AW22" s="91">
        <v>4725</v>
      </c>
      <c r="AX22" s="317">
        <v>5832</v>
      </c>
      <c r="AY22" s="317">
        <v>5832</v>
      </c>
      <c r="AZ22" s="317">
        <v>5567</v>
      </c>
      <c r="BA22" s="317">
        <v>5567</v>
      </c>
      <c r="BB22" s="317">
        <v>5832</v>
      </c>
      <c r="BC22" s="317">
        <v>6892</v>
      </c>
      <c r="BD22" s="317">
        <v>7422</v>
      </c>
      <c r="BE22" s="317">
        <v>4241</v>
      </c>
      <c r="BF22" s="91">
        <f t="shared" ref="BF22:BF54" si="62">SUM(AT22:BE22)</f>
        <v>67652</v>
      </c>
      <c r="BG22" s="93">
        <f t="shared" ref="BG22:BG40" si="63">BF22/AR22-1</f>
        <v>-0.19139425088149165</v>
      </c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>
        <v>36051</v>
      </c>
      <c r="BU22" s="54"/>
      <c r="BV22" s="91">
        <v>4782.99</v>
      </c>
      <c r="BW22" s="91">
        <v>2945.31</v>
      </c>
      <c r="BX22" s="91">
        <f>'META  EM PEÇAS'!U26-('META  EM PEÇAS'!U26*0.05)</f>
        <v>7080.3689999999997</v>
      </c>
      <c r="BY22" s="91">
        <f>'META  EM PEÇAS'!V26-('META  EM PEÇAS'!V26*0.05)</f>
        <v>4355.6549999999997</v>
      </c>
      <c r="BZ22" s="91">
        <f>'META  EM PEÇAS'!W26-('META  EM PEÇAS'!W26*0.05)</f>
        <v>5839.9349999999995</v>
      </c>
      <c r="CA22" s="91">
        <f>'META  EM PEÇAS'!X26-('META  EM PEÇAS'!X26*0.05)</f>
        <v>5900.8964999999989</v>
      </c>
      <c r="CB22" s="91">
        <f>'META  EM PEÇAS'!Y26-('META  EM PEÇAS'!Y26*0.05)</f>
        <v>5279.7959999999994</v>
      </c>
      <c r="CC22" s="91">
        <f>'META  EM PEÇAS'!Z26-('META  EM PEÇAS'!Z26*0.05)</f>
        <v>4897.2404999999999</v>
      </c>
      <c r="CD22" s="91">
        <f>'META  EM PEÇAS'!AA26-('META  EM PEÇAS'!AA26*0.05)</f>
        <v>5018.28</v>
      </c>
      <c r="CE22" s="91">
        <f>'META  EM PEÇAS'!AB26-('META  EM PEÇAS'!AB26*0.05)</f>
        <v>4641.0254999999997</v>
      </c>
      <c r="CF22" s="91">
        <f>'META  EM PEÇAS'!AC26-('META  EM PEÇAS'!AC26*0.05)</f>
        <v>6521.1134999999995</v>
      </c>
      <c r="CG22" s="91">
        <f>'META  EM PEÇAS'!AD26-('META  EM PEÇAS'!AD26*0.05)</f>
        <v>3929.8079999999995</v>
      </c>
      <c r="CH22" s="91">
        <v>4136.6400000000003</v>
      </c>
    </row>
    <row r="23" spans="1:87" hidden="1" outlineLevel="1">
      <c r="A23" s="94">
        <v>2</v>
      </c>
      <c r="B23" s="1092" t="s">
        <v>57</v>
      </c>
      <c r="C23" s="1118"/>
      <c r="D23" s="313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314">
        <f t="shared" si="59"/>
        <v>0</v>
      </c>
      <c r="Q23" s="90"/>
      <c r="R23" s="313">
        <v>2909</v>
      </c>
      <c r="S23" s="91">
        <v>2545</v>
      </c>
      <c r="T23" s="91">
        <f>2727/1.2</f>
        <v>2272.5</v>
      </c>
      <c r="U23" s="91">
        <f>2*U3</f>
        <v>2</v>
      </c>
      <c r="V23" s="91">
        <v>500</v>
      </c>
      <c r="W23" s="91">
        <v>1300</v>
      </c>
      <c r="X23" s="91">
        <v>3200</v>
      </c>
      <c r="Y23" s="91">
        <v>3200</v>
      </c>
      <c r="Z23" s="91">
        <v>3600</v>
      </c>
      <c r="AA23" s="91">
        <v>3600</v>
      </c>
      <c r="AB23" s="91">
        <v>3600</v>
      </c>
      <c r="AC23" s="91">
        <v>4500</v>
      </c>
      <c r="AD23" s="315">
        <f t="shared" si="60"/>
        <v>31228.5</v>
      </c>
      <c r="AE23" s="23"/>
      <c r="AF23" s="316">
        <v>4000</v>
      </c>
      <c r="AG23" s="91">
        <v>1500</v>
      </c>
      <c r="AH23" s="91">
        <v>189</v>
      </c>
      <c r="AI23" s="91">
        <v>1842</v>
      </c>
      <c r="AJ23" s="91">
        <v>3764</v>
      </c>
      <c r="AK23" s="91">
        <v>3200</v>
      </c>
      <c r="AL23" s="91">
        <v>6000</v>
      </c>
      <c r="AM23" s="91">
        <v>5000</v>
      </c>
      <c r="AN23" s="91">
        <v>5000</v>
      </c>
      <c r="AO23" s="91">
        <v>5000</v>
      </c>
      <c r="AP23" s="91">
        <v>5000</v>
      </c>
      <c r="AQ23" s="91">
        <v>9000</v>
      </c>
      <c r="AR23" s="92">
        <f t="shared" si="61"/>
        <v>49495</v>
      </c>
      <c r="AS23" s="23"/>
      <c r="AT23" s="91">
        <v>5468</v>
      </c>
      <c r="AU23" s="91">
        <v>5468</v>
      </c>
      <c r="AV23" s="91">
        <v>6249</v>
      </c>
      <c r="AW23" s="91">
        <v>6249</v>
      </c>
      <c r="AX23" s="317">
        <v>3923</v>
      </c>
      <c r="AY23" s="317">
        <v>3923</v>
      </c>
      <c r="AZ23" s="317">
        <v>3745</v>
      </c>
      <c r="BA23" s="317">
        <v>3745</v>
      </c>
      <c r="BB23" s="317">
        <v>3923</v>
      </c>
      <c r="BC23" s="317">
        <v>4636</v>
      </c>
      <c r="BD23" s="317">
        <v>4993</v>
      </c>
      <c r="BE23" s="317">
        <v>7133</v>
      </c>
      <c r="BF23" s="91">
        <f t="shared" si="62"/>
        <v>59455</v>
      </c>
      <c r="BG23" s="93">
        <f t="shared" si="63"/>
        <v>0.20123244772199222</v>
      </c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>
        <v>40562</v>
      </c>
      <c r="BU23" s="54"/>
      <c r="BV23" s="91">
        <v>4442.6099999999997</v>
      </c>
      <c r="BW23" s="91">
        <v>3433.56</v>
      </c>
      <c r="BX23" s="91">
        <f>'META  EM PEÇAS'!U27-('META  EM PEÇAS'!U27*0.05)</f>
        <v>3860.0114999999996</v>
      </c>
      <c r="BY23" s="91">
        <f>'META  EM PEÇAS'!V27-('META  EM PEÇAS'!V27*0.05)</f>
        <v>3578.1749999999997</v>
      </c>
      <c r="BZ23" s="91">
        <f>'META  EM PEÇAS'!W27-('META  EM PEÇAS'!W27*0.05)</f>
        <v>4015.5074999999997</v>
      </c>
      <c r="CA23" s="91">
        <f>'META  EM PEÇAS'!X27-('META  EM PEÇAS'!X27*0.05)</f>
        <v>4835.3954999999996</v>
      </c>
      <c r="CB23" s="91">
        <f>'META  EM PEÇAS'!Y27-('META  EM PEÇAS'!Y27*0.05)</f>
        <v>5815.1969999999992</v>
      </c>
      <c r="CC23" s="91">
        <f>'META  EM PEÇAS'!Z27-('META  EM PEÇAS'!Z27*0.05)</f>
        <v>3888.2835</v>
      </c>
      <c r="CD23" s="91">
        <f>'META  EM PEÇAS'!AA27-('META  EM PEÇAS'!AA27*0.05)</f>
        <v>4032.2939999999994</v>
      </c>
      <c r="CE23" s="91">
        <f>'META  EM PEÇAS'!AB27-('META  EM PEÇAS'!AB27*0.05)</f>
        <v>4375.0919999999996</v>
      </c>
      <c r="CF23" s="91">
        <f>'META  EM PEÇAS'!AC27-('META  EM PEÇAS'!AC27*0.05)</f>
        <v>5604.9239999999991</v>
      </c>
      <c r="CG23" s="91">
        <f>'META  EM PEÇAS'!AD27-('META  EM PEÇAS'!AD27*0.05)</f>
        <v>7897.606499999999</v>
      </c>
      <c r="CH23" s="91">
        <f>SUM(BV23:CG23)</f>
        <v>55778.656499999997</v>
      </c>
    </row>
    <row r="24" spans="1:87" hidden="1" outlineLevel="1">
      <c r="A24" s="94">
        <v>3</v>
      </c>
      <c r="B24" s="1092" t="s">
        <v>58</v>
      </c>
      <c r="C24" s="1118"/>
      <c r="D24" s="313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314">
        <f t="shared" si="59"/>
        <v>0</v>
      </c>
      <c r="Q24" s="90"/>
      <c r="R24" s="313">
        <v>746</v>
      </c>
      <c r="S24" s="91">
        <v>653</v>
      </c>
      <c r="T24" s="91">
        <v>700</v>
      </c>
      <c r="U24" s="91">
        <v>0</v>
      </c>
      <c r="V24" s="91">
        <v>200</v>
      </c>
      <c r="W24" s="91">
        <v>400</v>
      </c>
      <c r="X24" s="91">
        <v>900</v>
      </c>
      <c r="Y24" s="91">
        <v>900</v>
      </c>
      <c r="Z24" s="91">
        <v>900</v>
      </c>
      <c r="AA24" s="91">
        <v>900</v>
      </c>
      <c r="AB24" s="91">
        <v>900</v>
      </c>
      <c r="AC24" s="91">
        <v>1200</v>
      </c>
      <c r="AD24" s="315">
        <f t="shared" si="60"/>
        <v>8399</v>
      </c>
      <c r="AE24" s="23"/>
      <c r="AF24" s="316">
        <v>1800</v>
      </c>
      <c r="AG24" s="91">
        <v>1200</v>
      </c>
      <c r="AH24" s="91">
        <v>230</v>
      </c>
      <c r="AI24" s="91">
        <v>472</v>
      </c>
      <c r="AJ24" s="91">
        <v>1495</v>
      </c>
      <c r="AK24" s="91">
        <v>1200</v>
      </c>
      <c r="AL24" s="91">
        <v>1500</v>
      </c>
      <c r="AM24" s="91">
        <v>1500</v>
      </c>
      <c r="AN24" s="91">
        <v>1500</v>
      </c>
      <c r="AO24" s="91">
        <v>1500</v>
      </c>
      <c r="AP24" s="91">
        <v>1650</v>
      </c>
      <c r="AQ24" s="91">
        <v>2400</v>
      </c>
      <c r="AR24" s="92">
        <f t="shared" si="61"/>
        <v>16447</v>
      </c>
      <c r="AS24" s="23"/>
      <c r="AT24" s="91">
        <v>2438</v>
      </c>
      <c r="AU24" s="91">
        <v>1501</v>
      </c>
      <c r="AV24" s="91">
        <v>1566</v>
      </c>
      <c r="AW24" s="91">
        <v>2127</v>
      </c>
      <c r="AX24" s="317">
        <v>1928</v>
      </c>
      <c r="AY24" s="317">
        <v>1928</v>
      </c>
      <c r="AZ24" s="317">
        <v>1840</v>
      </c>
      <c r="BA24" s="317">
        <v>1840</v>
      </c>
      <c r="BB24" s="317">
        <v>1928</v>
      </c>
      <c r="BC24" s="317">
        <v>2278</v>
      </c>
      <c r="BD24" s="317">
        <v>2454</v>
      </c>
      <c r="BE24" s="317">
        <v>3505</v>
      </c>
      <c r="BF24" s="91">
        <f t="shared" si="62"/>
        <v>25333</v>
      </c>
      <c r="BG24" s="93">
        <f t="shared" si="63"/>
        <v>0.54028090229221126</v>
      </c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>
        <v>7784</v>
      </c>
      <c r="BU24" s="54"/>
      <c r="BV24" s="91">
        <v>450.99999999999989</v>
      </c>
      <c r="BW24" s="91">
        <v>348.59999999999991</v>
      </c>
      <c r="BX24" s="91">
        <f>'META  EM PEÇAS'!U28-('META  EM PEÇAS'!U28*0.05)</f>
        <v>391.96999999999991</v>
      </c>
      <c r="BY24" s="91">
        <f>'META  EM PEÇAS'!V28-('META  EM PEÇAS'!V28*0.05)</f>
        <v>363.27999999999992</v>
      </c>
      <c r="BZ24" s="91">
        <f>'META  EM PEÇAS'!W28-('META  EM PEÇAS'!W28*0.05)</f>
        <v>407.5499999999999</v>
      </c>
      <c r="CA24" s="91">
        <f>'META  EM PEÇAS'!X28-('META  EM PEÇAS'!X28*0.05)</f>
        <v>490.76999999999992</v>
      </c>
      <c r="CB24" s="91">
        <f>'META  EM PEÇAS'!Y28-('META  EM PEÇAS'!Y28*0.05)</f>
        <v>590.32999999999993</v>
      </c>
      <c r="CC24" s="91">
        <f>'META  EM PEÇAS'!Z28-('META  EM PEÇAS'!Z28*0.05)</f>
        <v>394.62999999999994</v>
      </c>
      <c r="CD24" s="91">
        <f>'META  EM PEÇAS'!AA28-('META  EM PEÇAS'!AA28*0.05)</f>
        <v>409.25999999999988</v>
      </c>
      <c r="CE24" s="91">
        <f>'META  EM PEÇAS'!AB28-('META  EM PEÇAS'!AB28*0.05)</f>
        <v>444.21999999999991</v>
      </c>
      <c r="CF24" s="91">
        <f>'META  EM PEÇAS'!AC28-('META  EM PEÇAS'!AC28*0.05)</f>
        <v>569.04999999999984</v>
      </c>
      <c r="CG24" s="91">
        <f>'META  EM PEÇAS'!AD28-('META  EM PEÇAS'!AD28*0.05)</f>
        <v>801.79999999999973</v>
      </c>
      <c r="CH24" s="91">
        <f t="shared" ref="CH24:CH37" si="64">SUM(BV24:CG24)</f>
        <v>5662.4599999999991</v>
      </c>
    </row>
    <row r="25" spans="1:87" hidden="1" outlineLevel="1">
      <c r="A25" s="94">
        <v>4</v>
      </c>
      <c r="B25" s="1092" t="s">
        <v>59</v>
      </c>
      <c r="C25" s="1118"/>
      <c r="D25" s="313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314">
        <f t="shared" si="59"/>
        <v>0</v>
      </c>
      <c r="Q25" s="90"/>
      <c r="R25" s="313">
        <v>1455</v>
      </c>
      <c r="S25" s="91">
        <f>2036</f>
        <v>2036</v>
      </c>
      <c r="T25" s="91">
        <f>2182/2</f>
        <v>1091</v>
      </c>
      <c r="U25" s="91">
        <v>0</v>
      </c>
      <c r="V25" s="91">
        <v>200</v>
      </c>
      <c r="W25" s="91">
        <v>900</v>
      </c>
      <c r="X25" s="91">
        <v>1600</v>
      </c>
      <c r="Y25" s="91">
        <v>1600</v>
      </c>
      <c r="Z25" s="91">
        <v>1600</v>
      </c>
      <c r="AA25" s="91">
        <v>1600</v>
      </c>
      <c r="AB25" s="91">
        <v>2200</v>
      </c>
      <c r="AC25" s="91">
        <v>2500</v>
      </c>
      <c r="AD25" s="315">
        <f t="shared" si="60"/>
        <v>16782</v>
      </c>
      <c r="AE25" s="23"/>
      <c r="AF25" s="316">
        <v>2200</v>
      </c>
      <c r="AG25" s="91">
        <v>1500</v>
      </c>
      <c r="AH25" s="91">
        <v>121</v>
      </c>
      <c r="AI25" s="91">
        <v>565</v>
      </c>
      <c r="AJ25" s="91">
        <v>1514</v>
      </c>
      <c r="AK25" s="91">
        <v>1760</v>
      </c>
      <c r="AL25" s="91">
        <v>1800</v>
      </c>
      <c r="AM25" s="91">
        <v>2200</v>
      </c>
      <c r="AN25" s="91">
        <v>2200</v>
      </c>
      <c r="AO25" s="91">
        <v>2200</v>
      </c>
      <c r="AP25" s="91">
        <v>2420</v>
      </c>
      <c r="AQ25" s="91">
        <v>3520</v>
      </c>
      <c r="AR25" s="92">
        <f t="shared" si="61"/>
        <v>22000</v>
      </c>
      <c r="AS25" s="23"/>
      <c r="AT25" s="91">
        <v>1529</v>
      </c>
      <c r="AU25" s="91">
        <v>1516</v>
      </c>
      <c r="AV25" s="91">
        <v>1586</v>
      </c>
      <c r="AW25" s="91">
        <v>1979</v>
      </c>
      <c r="AX25" s="317">
        <v>1283</v>
      </c>
      <c r="AY25" s="317">
        <v>1283</v>
      </c>
      <c r="AZ25" s="317">
        <v>1224</v>
      </c>
      <c r="BA25" s="317">
        <v>1224</v>
      </c>
      <c r="BB25" s="317">
        <v>1283</v>
      </c>
      <c r="BC25" s="317">
        <v>1516</v>
      </c>
      <c r="BD25" s="317">
        <v>1632</v>
      </c>
      <c r="BE25" s="317">
        <v>2332</v>
      </c>
      <c r="BF25" s="91">
        <f t="shared" si="62"/>
        <v>18387</v>
      </c>
      <c r="BG25" s="93">
        <f t="shared" si="63"/>
        <v>-0.16422727272727278</v>
      </c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>
        <v>9018</v>
      </c>
      <c r="BU25" s="54"/>
      <c r="BV25" s="91">
        <v>1143.8999999999999</v>
      </c>
      <c r="BW25" s="91">
        <v>884.43</v>
      </c>
      <c r="BX25" s="91">
        <f>'META  EM PEÇAS'!U29-('META  EM PEÇAS'!U29*0.05)</f>
        <v>993.9375</v>
      </c>
      <c r="BY25" s="91">
        <f>'META  EM PEÇAS'!V29-('META  EM PEÇAS'!V29*0.05)</f>
        <v>921.49049999999988</v>
      </c>
      <c r="BZ25" s="91">
        <f>'META  EM PEÇAS'!W29-('META  EM PEÇAS'!W29*0.05)</f>
        <v>1033.6949999999999</v>
      </c>
      <c r="CA25" s="91">
        <f>'META  EM PEÇAS'!X29-('META  EM PEÇAS'!X29*0.05)</f>
        <v>1244.8515</v>
      </c>
      <c r="CB25" s="91">
        <f>'META  EM PEÇAS'!Y29-('META  EM PEÇAS'!Y29*0.05)</f>
        <v>1497.5324999999998</v>
      </c>
      <c r="CC25" s="91">
        <f>'META  EM PEÇAS'!Z29-('META  EM PEÇAS'!Z29*0.05)</f>
        <v>1001.0054999999999</v>
      </c>
      <c r="CD25" s="91">
        <f>'META  EM PEÇAS'!AA29-('META  EM PEÇAS'!AA29*0.05)</f>
        <v>1038.1125</v>
      </c>
      <c r="CE25" s="91">
        <f>'META  EM PEÇAS'!AB29-('META  EM PEÇAS'!AB29*0.05)</f>
        <v>1126.4625000000001</v>
      </c>
      <c r="CF25" s="91">
        <f>'META  EM PEÇAS'!AC29-('META  EM PEÇAS'!AC29*0.05)</f>
        <v>1443.6389999999999</v>
      </c>
      <c r="CG25" s="91">
        <f>'META  EM PEÇAS'!AD29-('META  EM PEÇAS'!AD29*0.05)</f>
        <v>2033.8169999999998</v>
      </c>
      <c r="CH25" s="91">
        <f t="shared" si="64"/>
        <v>14362.873499999996</v>
      </c>
    </row>
    <row r="26" spans="1:87" hidden="1" outlineLevel="1">
      <c r="A26" s="94">
        <v>5</v>
      </c>
      <c r="B26" s="1092" t="s">
        <v>60</v>
      </c>
      <c r="C26" s="1118"/>
      <c r="D26" s="313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314">
        <f t="shared" si="59"/>
        <v>0</v>
      </c>
      <c r="Q26" s="90"/>
      <c r="R26" s="313">
        <v>1353</v>
      </c>
      <c r="S26" s="91">
        <v>1184</v>
      </c>
      <c r="T26" s="91">
        <v>1268</v>
      </c>
      <c r="U26" s="91">
        <f t="shared" ref="U26:V26" si="65">10*U3</f>
        <v>10</v>
      </c>
      <c r="V26" s="91">
        <f t="shared" si="65"/>
        <v>120</v>
      </c>
      <c r="W26" s="91">
        <v>600</v>
      </c>
      <c r="X26" s="91">
        <v>1600</v>
      </c>
      <c r="Y26" s="91">
        <v>1600</v>
      </c>
      <c r="Z26" s="91">
        <v>1600</v>
      </c>
      <c r="AA26" s="91">
        <v>1600</v>
      </c>
      <c r="AB26" s="91">
        <v>1600</v>
      </c>
      <c r="AC26" s="91">
        <v>2200</v>
      </c>
      <c r="AD26" s="315">
        <f t="shared" si="60"/>
        <v>14735</v>
      </c>
      <c r="AE26" s="23"/>
      <c r="AF26" s="316">
        <v>1800</v>
      </c>
      <c r="AG26" s="91">
        <v>1200</v>
      </c>
      <c r="AH26" s="91">
        <v>181</v>
      </c>
      <c r="AI26" s="91">
        <v>628</v>
      </c>
      <c r="AJ26" s="91">
        <v>1169</v>
      </c>
      <c r="AK26" s="91">
        <v>960</v>
      </c>
      <c r="AL26" s="91">
        <v>1500</v>
      </c>
      <c r="AM26" s="91">
        <v>1200</v>
      </c>
      <c r="AN26" s="91">
        <v>1200</v>
      </c>
      <c r="AO26" s="91">
        <v>1200</v>
      </c>
      <c r="AP26" s="91">
        <v>1320</v>
      </c>
      <c r="AQ26" s="91">
        <v>1920</v>
      </c>
      <c r="AR26" s="92">
        <f t="shared" si="61"/>
        <v>14278</v>
      </c>
      <c r="AS26" s="23"/>
      <c r="AT26" s="91">
        <v>1496</v>
      </c>
      <c r="AU26" s="91">
        <v>1200</v>
      </c>
      <c r="AV26" s="91">
        <v>1227</v>
      </c>
      <c r="AW26" s="91">
        <v>1655</v>
      </c>
      <c r="AX26" s="317">
        <v>1141</v>
      </c>
      <c r="AY26" s="317">
        <v>1141</v>
      </c>
      <c r="AZ26" s="317">
        <v>1089</v>
      </c>
      <c r="BA26" s="317">
        <v>1089</v>
      </c>
      <c r="BB26" s="317">
        <v>1141</v>
      </c>
      <c r="BC26" s="317">
        <v>1349</v>
      </c>
      <c r="BD26" s="317">
        <v>1453</v>
      </c>
      <c r="BE26" s="317">
        <v>2075</v>
      </c>
      <c r="BF26" s="91">
        <f t="shared" si="62"/>
        <v>16056</v>
      </c>
      <c r="BG26" s="93">
        <f t="shared" si="63"/>
        <v>0.1245272447121446</v>
      </c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>
        <v>10591</v>
      </c>
      <c r="BU26" s="54"/>
      <c r="BV26" s="91">
        <v>1474.9799999999998</v>
      </c>
      <c r="BW26" s="91">
        <v>1140.1799999999998</v>
      </c>
      <c r="BX26" s="91">
        <f>'META  EM PEÇAS'!U30-('META  EM PEÇAS'!U30*0.05)</f>
        <v>1281.9584999999997</v>
      </c>
      <c r="BY26" s="91">
        <f>'META  EM PEÇAS'!V30-('META  EM PEÇAS'!V30*0.05)</f>
        <v>1188.3074999999999</v>
      </c>
      <c r="BZ26" s="91">
        <f>'META  EM PEÇAS'!W30-('META  EM PEÇAS'!W30*0.05)</f>
        <v>1333.2014999999999</v>
      </c>
      <c r="CA26" s="91">
        <f>'META  EM PEÇAS'!X30-('META  EM PEÇAS'!X30*0.05)</f>
        <v>1606.2029999999997</v>
      </c>
      <c r="CB26" s="91">
        <f>'META  EM PEÇAS'!Y30-('META  EM PEÇAS'!Y30*0.05)</f>
        <v>1931.3309999999997</v>
      </c>
      <c r="CC26" s="91">
        <f>'META  EM PEÇAS'!Z30-('META  EM PEÇAS'!Z30*0.05)</f>
        <v>1291.6769999999999</v>
      </c>
      <c r="CD26" s="91">
        <f>'META  EM PEÇAS'!AA30-('META  EM PEÇAS'!AA30*0.05)</f>
        <v>1339.386</v>
      </c>
      <c r="CE26" s="91">
        <f>'META  EM PEÇAS'!AB30-('META  EM PEÇAS'!AB30*0.05)</f>
        <v>1453.3574999999998</v>
      </c>
      <c r="CF26" s="91">
        <f>'META  EM PEÇAS'!AC30-('META  EM PEÇAS'!AC30*0.05)</f>
        <v>1861.5344999999998</v>
      </c>
      <c r="CG26" s="91">
        <f>'META  EM PEÇAS'!AD30-('META  EM PEÇAS'!AD30*0.05)</f>
        <v>2623.1114999999995</v>
      </c>
      <c r="CH26" s="91">
        <f t="shared" si="64"/>
        <v>18525.227999999999</v>
      </c>
      <c r="CI26" s="450"/>
    </row>
    <row r="27" spans="1:87" hidden="1" outlineLevel="1">
      <c r="A27" s="94">
        <v>6</v>
      </c>
      <c r="B27" s="1092" t="s">
        <v>61</v>
      </c>
      <c r="C27" s="1118"/>
      <c r="D27" s="313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314">
        <f t="shared" si="59"/>
        <v>0</v>
      </c>
      <c r="Q27" s="90"/>
      <c r="R27" s="313">
        <v>1455</v>
      </c>
      <c r="S27" s="91">
        <v>1273</v>
      </c>
      <c r="T27" s="91">
        <v>1364</v>
      </c>
      <c r="U27" s="91">
        <v>0</v>
      </c>
      <c r="V27" s="91">
        <v>200</v>
      </c>
      <c r="W27" s="91">
        <v>800</v>
      </c>
      <c r="X27" s="91">
        <v>1600</v>
      </c>
      <c r="Y27" s="91">
        <v>1600</v>
      </c>
      <c r="Z27" s="91">
        <v>1600</v>
      </c>
      <c r="AA27" s="91">
        <v>1600</v>
      </c>
      <c r="AB27" s="91">
        <v>1800</v>
      </c>
      <c r="AC27" s="91">
        <v>2400</v>
      </c>
      <c r="AD27" s="315">
        <f t="shared" si="60"/>
        <v>15692</v>
      </c>
      <c r="AE27" s="23"/>
      <c r="AF27" s="316">
        <v>1500</v>
      </c>
      <c r="AG27" s="91">
        <v>1200</v>
      </c>
      <c r="AH27" s="91">
        <v>127</v>
      </c>
      <c r="AI27" s="91">
        <v>426</v>
      </c>
      <c r="AJ27" s="91">
        <v>1063</v>
      </c>
      <c r="AK27" s="91">
        <v>960</v>
      </c>
      <c r="AL27" s="91">
        <v>1500</v>
      </c>
      <c r="AM27" s="91">
        <v>1200</v>
      </c>
      <c r="AN27" s="91">
        <v>1200</v>
      </c>
      <c r="AO27" s="91">
        <v>1200</v>
      </c>
      <c r="AP27" s="91">
        <v>1320</v>
      </c>
      <c r="AQ27" s="91">
        <v>1920</v>
      </c>
      <c r="AR27" s="92">
        <f t="shared" si="61"/>
        <v>13616</v>
      </c>
      <c r="AS27" s="23"/>
      <c r="AT27" s="91">
        <v>1222</v>
      </c>
      <c r="AU27" s="91">
        <v>1200</v>
      </c>
      <c r="AV27" s="91">
        <v>1117</v>
      </c>
      <c r="AW27" s="91">
        <v>1463</v>
      </c>
      <c r="AX27" s="317">
        <v>1087</v>
      </c>
      <c r="AY27" s="317">
        <v>1087</v>
      </c>
      <c r="AZ27" s="317">
        <v>1038</v>
      </c>
      <c r="BA27" s="317">
        <v>1038</v>
      </c>
      <c r="BB27" s="317">
        <v>1087</v>
      </c>
      <c r="BC27" s="317">
        <v>1285</v>
      </c>
      <c r="BD27" s="317">
        <v>1384</v>
      </c>
      <c r="BE27" s="317">
        <v>1977</v>
      </c>
      <c r="BF27" s="91">
        <f t="shared" si="62"/>
        <v>14985</v>
      </c>
      <c r="BG27" s="93">
        <f t="shared" si="63"/>
        <v>0.10054347826086962</v>
      </c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>
        <v>10087</v>
      </c>
      <c r="BU27" s="54"/>
      <c r="BV27" s="91">
        <v>1214.58</v>
      </c>
      <c r="BW27" s="91">
        <v>939.3</v>
      </c>
      <c r="BX27" s="91">
        <f>'META  EM PEÇAS'!U31-('META  EM PEÇAS'!U31*0.05)</f>
        <v>1055.7824999999998</v>
      </c>
      <c r="BY27" s="91">
        <f>'META  EM PEÇAS'!V31-('META  EM PEÇAS'!V31*0.05)</f>
        <v>978.03449999999998</v>
      </c>
      <c r="BZ27" s="91">
        <f>'META  EM PEÇAS'!W31-('META  EM PEÇAS'!W31*0.05)</f>
        <v>1098.1904999999999</v>
      </c>
      <c r="CA27" s="91">
        <f>'META  EM PEÇAS'!X31-('META  EM PEÇAS'!X31*0.05)</f>
        <v>1322.5994999999998</v>
      </c>
      <c r="CB27" s="91">
        <f>'META  EM PEÇAS'!Y31-('META  EM PEÇAS'!Y31*0.05)</f>
        <v>1590.3</v>
      </c>
      <c r="CC27" s="91">
        <f>'META  EM PEÇAS'!Z31-('META  EM PEÇAS'!Z31*0.05)</f>
        <v>1062.8505</v>
      </c>
      <c r="CD27" s="91">
        <f>'META  EM PEÇAS'!AA31-('META  EM PEÇAS'!AA31*0.05)</f>
        <v>1102.6079999999999</v>
      </c>
      <c r="CE27" s="91">
        <f>'META  EM PEÇAS'!AB31-('META  EM PEÇAS'!AB31*0.05)</f>
        <v>1196.259</v>
      </c>
      <c r="CF27" s="91">
        <f>'META  EM PEÇAS'!AC31-('META  EM PEÇAS'!AC31*0.05)</f>
        <v>1532.8724999999999</v>
      </c>
      <c r="CG27" s="91">
        <f>'META  EM PEÇAS'!AD31-('META  EM PEÇAS'!AD31*0.05)</f>
        <v>2160.1574999999998</v>
      </c>
      <c r="CH27" s="91">
        <f t="shared" si="64"/>
        <v>15253.534499999998</v>
      </c>
    </row>
    <row r="28" spans="1:87" hidden="1" outlineLevel="1">
      <c r="A28" s="94">
        <v>7</v>
      </c>
      <c r="B28" s="1092" t="s">
        <v>62</v>
      </c>
      <c r="C28" s="1118"/>
      <c r="D28" s="313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314">
        <f t="shared" si="59"/>
        <v>0</v>
      </c>
      <c r="Q28" s="90"/>
      <c r="R28" s="313">
        <v>2000</v>
      </c>
      <c r="S28" s="91">
        <f>2182</f>
        <v>2182</v>
      </c>
      <c r="T28" s="91">
        <f>2455/2</f>
        <v>1227.5</v>
      </c>
      <c r="U28" s="91">
        <f>4*U3</f>
        <v>4</v>
      </c>
      <c r="V28" s="91">
        <v>200</v>
      </c>
      <c r="W28" s="91">
        <v>700</v>
      </c>
      <c r="X28" s="91">
        <v>1600</v>
      </c>
      <c r="Y28" s="91">
        <v>1600</v>
      </c>
      <c r="Z28" s="91">
        <v>1600</v>
      </c>
      <c r="AA28" s="91">
        <v>1600</v>
      </c>
      <c r="AB28" s="91">
        <v>2500</v>
      </c>
      <c r="AC28" s="91">
        <v>3200</v>
      </c>
      <c r="AD28" s="315">
        <f t="shared" si="60"/>
        <v>18413.5</v>
      </c>
      <c r="AE28" s="23"/>
      <c r="AF28" s="316">
        <v>2600</v>
      </c>
      <c r="AG28" s="91">
        <v>1000</v>
      </c>
      <c r="AH28" s="91">
        <v>195</v>
      </c>
      <c r="AI28" s="91">
        <v>844</v>
      </c>
      <c r="AJ28" s="91">
        <v>1973</v>
      </c>
      <c r="AK28" s="91">
        <v>1840</v>
      </c>
      <c r="AL28" s="91">
        <v>2000</v>
      </c>
      <c r="AM28" s="91">
        <v>2300</v>
      </c>
      <c r="AN28" s="91">
        <v>2300</v>
      </c>
      <c r="AO28" s="91">
        <v>2300</v>
      </c>
      <c r="AP28" s="91">
        <v>2530</v>
      </c>
      <c r="AQ28" s="91">
        <v>3680</v>
      </c>
      <c r="AR28" s="92">
        <f t="shared" si="61"/>
        <v>23562</v>
      </c>
      <c r="AS28" s="23"/>
      <c r="AT28" s="91">
        <v>1888</v>
      </c>
      <c r="AU28" s="91">
        <v>1414</v>
      </c>
      <c r="AV28" s="91">
        <v>2073</v>
      </c>
      <c r="AW28" s="91">
        <v>2338</v>
      </c>
      <c r="AX28" s="317">
        <v>1857</v>
      </c>
      <c r="AY28" s="317">
        <v>1857</v>
      </c>
      <c r="AZ28" s="317">
        <v>1772</v>
      </c>
      <c r="BA28" s="317">
        <v>1772</v>
      </c>
      <c r="BB28" s="317">
        <v>1857</v>
      </c>
      <c r="BC28" s="317">
        <v>2194</v>
      </c>
      <c r="BD28" s="317">
        <v>2363</v>
      </c>
      <c r="BE28" s="317">
        <v>3376</v>
      </c>
      <c r="BF28" s="91">
        <f t="shared" si="62"/>
        <v>24761</v>
      </c>
      <c r="BG28" s="93">
        <f t="shared" si="63"/>
        <v>5.0887021475256811E-2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>
        <v>22941</v>
      </c>
      <c r="BU28" s="54"/>
      <c r="BV28" s="91">
        <v>3211.29</v>
      </c>
      <c r="BW28" s="91">
        <v>2482.1699999999996</v>
      </c>
      <c r="BX28" s="91">
        <f>'META  EM PEÇAS'!U32-('META  EM PEÇAS'!U32*0.05)</f>
        <v>2790.0929999999998</v>
      </c>
      <c r="BY28" s="91">
        <f>'META  EM PEÇAS'!V32-('META  EM PEÇAS'!V32*0.05)</f>
        <v>2586.0044999999996</v>
      </c>
      <c r="BZ28" s="91">
        <f>'META  EM PEÇAS'!W32-('META  EM PEÇAS'!W32*0.05)</f>
        <v>2902.2974999999997</v>
      </c>
      <c r="CA28" s="91">
        <f>'META  EM PEÇAS'!X32-('META  EM PEÇAS'!X32*0.05)</f>
        <v>3495.1259999999997</v>
      </c>
      <c r="CB28" s="91">
        <f>'META  EM PEÇAS'!Y32-('META  EM PEÇAS'!Y32*0.05)</f>
        <v>4203.6929999999993</v>
      </c>
      <c r="CC28" s="91">
        <f>'META  EM PEÇAS'!Z32-('META  EM PEÇAS'!Z32*0.05)</f>
        <v>2810.4135000000001</v>
      </c>
      <c r="CD28" s="91">
        <f>'META  EM PEÇAS'!AA32-('META  EM PEÇAS'!AA32*0.05)</f>
        <v>2914.6664999999998</v>
      </c>
      <c r="CE28" s="91">
        <f>'META  EM PEÇAS'!AB32-('META  EM PEÇAS'!AB32*0.05)</f>
        <v>3162.93</v>
      </c>
      <c r="CF28" s="91">
        <f>'META  EM PEÇAS'!AC32-('META  EM PEÇAS'!AC32*0.05)</f>
        <v>4051.7309999999998</v>
      </c>
      <c r="CG28" s="91">
        <f>'META  EM PEÇAS'!AD32-('META  EM PEÇAS'!AD32*0.05)</f>
        <v>5709.1769999999997</v>
      </c>
      <c r="CH28" s="91">
        <f t="shared" si="64"/>
        <v>40319.59199999999</v>
      </c>
    </row>
    <row r="29" spans="1:87" hidden="1" outlineLevel="1">
      <c r="A29" s="94">
        <v>9</v>
      </c>
      <c r="B29" s="1092" t="s">
        <v>63</v>
      </c>
      <c r="C29" s="1118"/>
      <c r="D29" s="313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314">
        <f t="shared" si="59"/>
        <v>0</v>
      </c>
      <c r="Q29" s="90"/>
      <c r="R29" s="313">
        <v>1636</v>
      </c>
      <c r="S29" s="91">
        <v>1636</v>
      </c>
      <c r="T29" s="91">
        <f t="shared" ref="T29:T30" si="66">1818/2</f>
        <v>909</v>
      </c>
      <c r="U29" s="91">
        <v>0</v>
      </c>
      <c r="V29" s="91">
        <v>200</v>
      </c>
      <c r="W29" s="91">
        <v>300</v>
      </c>
      <c r="X29" s="91">
        <v>1000</v>
      </c>
      <c r="Y29" s="91">
        <v>1200</v>
      </c>
      <c r="Z29" s="91">
        <v>1600</v>
      </c>
      <c r="AA29" s="91">
        <v>1600</v>
      </c>
      <c r="AB29" s="91">
        <v>1800</v>
      </c>
      <c r="AC29" s="91">
        <v>2300</v>
      </c>
      <c r="AD29" s="315">
        <f t="shared" si="60"/>
        <v>14181</v>
      </c>
      <c r="AE29" s="23"/>
      <c r="AF29" s="316">
        <v>1500</v>
      </c>
      <c r="AG29" s="91">
        <v>1000</v>
      </c>
      <c r="AH29" s="91">
        <v>126</v>
      </c>
      <c r="AI29" s="91">
        <v>387</v>
      </c>
      <c r="AJ29" s="91">
        <v>895</v>
      </c>
      <c r="AK29" s="91">
        <v>800</v>
      </c>
      <c r="AL29" s="91">
        <v>1500</v>
      </c>
      <c r="AM29" s="91">
        <v>1000</v>
      </c>
      <c r="AN29" s="91">
        <v>1000</v>
      </c>
      <c r="AO29" s="91">
        <v>1000</v>
      </c>
      <c r="AP29" s="91">
        <v>1100</v>
      </c>
      <c r="AQ29" s="91">
        <v>1600</v>
      </c>
      <c r="AR29" s="92">
        <f t="shared" si="61"/>
        <v>11908</v>
      </c>
      <c r="AS29" s="23"/>
      <c r="AT29" s="91">
        <v>1182</v>
      </c>
      <c r="AU29" s="91">
        <v>1200</v>
      </c>
      <c r="AV29" s="91">
        <v>932</v>
      </c>
      <c r="AW29" s="91">
        <v>1020</v>
      </c>
      <c r="AX29" s="317">
        <v>0</v>
      </c>
      <c r="AY29" s="317">
        <v>0</v>
      </c>
      <c r="AZ29" s="317">
        <v>0</v>
      </c>
      <c r="BA29" s="317">
        <v>0</v>
      </c>
      <c r="BB29" s="317">
        <v>0</v>
      </c>
      <c r="BC29" s="317">
        <v>0</v>
      </c>
      <c r="BD29" s="317">
        <v>0</v>
      </c>
      <c r="BE29" s="317">
        <v>0</v>
      </c>
      <c r="BF29" s="91">
        <f t="shared" si="62"/>
        <v>4334</v>
      </c>
      <c r="BG29" s="93">
        <f t="shared" si="63"/>
        <v>-0.63604299630500505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>
        <v>7070</v>
      </c>
      <c r="BU29" s="54"/>
      <c r="BV29" s="91">
        <v>928.14</v>
      </c>
      <c r="BW29" s="91">
        <v>717.95999999999992</v>
      </c>
      <c r="BX29" s="91">
        <f>'META  EM PEÇAS'!U37-('META  EM PEÇAS'!U37*0.05)</f>
        <v>806.63549999999987</v>
      </c>
      <c r="BY29" s="91">
        <f>'META  EM PEÇAS'!V37-('META  EM PEÇAS'!V37*0.05)</f>
        <v>747.44100000000003</v>
      </c>
      <c r="BZ29" s="91">
        <f>'META  EM PEÇAS'!W37-('META  EM PEÇAS'!W37*0.05)</f>
        <v>839.32499999999993</v>
      </c>
      <c r="CA29" s="91">
        <f>'META  EM PEÇAS'!X37-('META  EM PEÇAS'!X37*0.05)</f>
        <v>1010.7239999999998</v>
      </c>
      <c r="CB29" s="91">
        <f>'META  EM PEÇAS'!Y37-('META  EM PEÇAS'!Y37*0.05)</f>
        <v>1214.8125</v>
      </c>
      <c r="CC29" s="91">
        <f>'META  EM PEÇAS'!Z37-('META  EM PEÇAS'!Z37*0.05)</f>
        <v>812.81999999999994</v>
      </c>
      <c r="CD29" s="91">
        <f>'META  EM PEÇAS'!AA37-('META  EM PEÇAS'!AA37*0.05)</f>
        <v>842.85899999999992</v>
      </c>
      <c r="CE29" s="91">
        <f>'META  EM PEÇAS'!AB37-('META  EM PEÇAS'!AB37*0.05)</f>
        <v>914.4224999999999</v>
      </c>
      <c r="CF29" s="91">
        <f>'META  EM PEÇAS'!AC37-('META  EM PEÇAS'!AC37*0.05)</f>
        <v>1171.5209999999997</v>
      </c>
      <c r="CG29" s="91">
        <f>'META  EM PEÇAS'!AD37-('META  EM PEÇAS'!AD37*0.05)</f>
        <v>1650.3779999999997</v>
      </c>
      <c r="CH29" s="91">
        <f t="shared" si="64"/>
        <v>11657.038499999999</v>
      </c>
    </row>
    <row r="30" spans="1:87" hidden="1" outlineLevel="1">
      <c r="A30" s="94">
        <v>10</v>
      </c>
      <c r="B30" s="1092" t="s">
        <v>64</v>
      </c>
      <c r="C30" s="1118"/>
      <c r="D30" s="313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314">
        <f t="shared" si="59"/>
        <v>0</v>
      </c>
      <c r="Q30" s="90"/>
      <c r="R30" s="313">
        <v>1636</v>
      </c>
      <c r="S30" s="91">
        <v>1636</v>
      </c>
      <c r="T30" s="91">
        <f t="shared" si="66"/>
        <v>909</v>
      </c>
      <c r="U30" s="91">
        <f>0.5*U3</f>
        <v>0.5</v>
      </c>
      <c r="V30" s="91">
        <v>200</v>
      </c>
      <c r="W30" s="91">
        <v>300</v>
      </c>
      <c r="X30" s="91">
        <v>1000</v>
      </c>
      <c r="Y30" s="91">
        <v>1200</v>
      </c>
      <c r="Z30" s="91">
        <v>1600</v>
      </c>
      <c r="AA30" s="91">
        <v>1600</v>
      </c>
      <c r="AB30" s="91">
        <v>1800</v>
      </c>
      <c r="AC30" s="91">
        <v>2300</v>
      </c>
      <c r="AD30" s="315">
        <f t="shared" si="60"/>
        <v>14181.5</v>
      </c>
      <c r="AE30" s="23"/>
      <c r="AF30" s="316">
        <v>1500</v>
      </c>
      <c r="AG30" s="91">
        <v>1000</v>
      </c>
      <c r="AH30" s="91">
        <v>764</v>
      </c>
      <c r="AI30" s="91">
        <v>561</v>
      </c>
      <c r="AJ30" s="91">
        <v>1353</v>
      </c>
      <c r="AK30" s="91">
        <v>960</v>
      </c>
      <c r="AL30" s="91">
        <v>1500</v>
      </c>
      <c r="AM30" s="91">
        <v>1200</v>
      </c>
      <c r="AN30" s="91">
        <v>1200</v>
      </c>
      <c r="AO30" s="91">
        <v>1200</v>
      </c>
      <c r="AP30" s="91">
        <v>1320</v>
      </c>
      <c r="AQ30" s="91">
        <v>1920</v>
      </c>
      <c r="AR30" s="92">
        <f t="shared" si="61"/>
        <v>14478</v>
      </c>
      <c r="AS30" s="23"/>
      <c r="AT30" s="91">
        <v>1285</v>
      </c>
      <c r="AU30" s="91">
        <v>957</v>
      </c>
      <c r="AV30" s="91">
        <v>1426</v>
      </c>
      <c r="AW30" s="91">
        <v>1595</v>
      </c>
      <c r="AX30" s="317">
        <v>1767</v>
      </c>
      <c r="AY30" s="317">
        <v>1767</v>
      </c>
      <c r="AZ30" s="317">
        <v>1686</v>
      </c>
      <c r="BA30" s="317">
        <v>1686</v>
      </c>
      <c r="BB30" s="317">
        <v>1767</v>
      </c>
      <c r="BC30" s="317">
        <v>2088</v>
      </c>
      <c r="BD30" s="317">
        <v>2248</v>
      </c>
      <c r="BE30" s="317">
        <v>3212</v>
      </c>
      <c r="BF30" s="91">
        <f t="shared" si="62"/>
        <v>21484</v>
      </c>
      <c r="BG30" s="93">
        <f t="shared" si="63"/>
        <v>0.48390661693604087</v>
      </c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>
        <v>16952</v>
      </c>
      <c r="BU30" s="54"/>
      <c r="BV30" s="91">
        <v>2631.8999999999996</v>
      </c>
      <c r="BW30" s="91">
        <v>2034.84</v>
      </c>
      <c r="BX30" s="91">
        <f>'META  EM PEÇAS'!U33-('META  EM PEÇAS'!U33*0.05)</f>
        <v>2287.3815</v>
      </c>
      <c r="BY30" s="91">
        <f>'META  EM PEÇAS'!V33-('META  EM PEÇAS'!V33*0.05)</f>
        <v>2119.5164999999997</v>
      </c>
      <c r="BZ30" s="91">
        <f>'META  EM PEÇAS'!W33-('META  EM PEÇAS'!W33*0.05)</f>
        <v>2379.2655</v>
      </c>
      <c r="CA30" s="91">
        <f>'META  EM PEÇAS'!X33-('META  EM PEÇAS'!X33*0.05)</f>
        <v>2865.1904999999997</v>
      </c>
      <c r="CB30" s="91">
        <f>'META  EM PEÇAS'!Y33-('META  EM PEÇAS'!Y33*0.05)</f>
        <v>3445.6499999999996</v>
      </c>
      <c r="CC30" s="91">
        <f>'META  EM PEÇAS'!Z33-('META  EM PEÇAS'!Z33*0.05)</f>
        <v>2303.2844999999998</v>
      </c>
      <c r="CD30" s="91">
        <f>'META  EM PEÇAS'!AA33-('META  EM PEÇAS'!AA33*0.05)</f>
        <v>2388.9839999999999</v>
      </c>
      <c r="CE30" s="91">
        <f>'META  EM PEÇAS'!AB33-('META  EM PEÇAS'!AB33*0.05)</f>
        <v>2592.1889999999999</v>
      </c>
      <c r="CF30" s="91">
        <f>'META  EM PEÇAS'!AC33-('META  EM PEÇAS'!AC33*0.05)</f>
        <v>3321.0765000000001</v>
      </c>
      <c r="CG30" s="91">
        <f>'META  EM PEÇAS'!AD33-('META  EM PEÇAS'!AD33*0.05)</f>
        <v>4679.8995000000004</v>
      </c>
      <c r="CH30" s="91">
        <f t="shared" si="64"/>
        <v>33049.177499999998</v>
      </c>
    </row>
    <row r="31" spans="1:87" hidden="1" outlineLevel="1">
      <c r="A31" s="94">
        <v>10</v>
      </c>
      <c r="B31" s="1092" t="s">
        <v>65</v>
      </c>
      <c r="C31" s="1118"/>
      <c r="D31" s="313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314">
        <f t="shared" si="59"/>
        <v>0</v>
      </c>
      <c r="Q31" s="90"/>
      <c r="R31" s="313">
        <v>0</v>
      </c>
      <c r="S31" s="91">
        <v>0</v>
      </c>
      <c r="T31" s="91">
        <v>0</v>
      </c>
      <c r="U31" s="91">
        <v>0</v>
      </c>
      <c r="V31" s="91">
        <v>3500</v>
      </c>
      <c r="W31" s="91">
        <v>350</v>
      </c>
      <c r="X31" s="91">
        <v>800</v>
      </c>
      <c r="Y31" s="91">
        <v>1000</v>
      </c>
      <c r="Z31" s="91">
        <v>1600</v>
      </c>
      <c r="AA31" s="91">
        <v>2000</v>
      </c>
      <c r="AB31" s="91">
        <v>2400</v>
      </c>
      <c r="AC31" s="91">
        <v>3000</v>
      </c>
      <c r="AD31" s="315">
        <f t="shared" si="60"/>
        <v>14650</v>
      </c>
      <c r="AE31" s="23"/>
      <c r="AF31" s="316">
        <v>2500</v>
      </c>
      <c r="AG31" s="91">
        <v>1000</v>
      </c>
      <c r="AH31" s="91">
        <f>2500*0.15</f>
        <v>375</v>
      </c>
      <c r="AI31" s="91">
        <v>787</v>
      </c>
      <c r="AJ31" s="91">
        <v>1569</v>
      </c>
      <c r="AK31" s="91">
        <v>2000</v>
      </c>
      <c r="AL31" s="91">
        <v>2500</v>
      </c>
      <c r="AM31" s="91">
        <v>2500</v>
      </c>
      <c r="AN31" s="91">
        <v>2500</v>
      </c>
      <c r="AO31" s="91">
        <v>2500</v>
      </c>
      <c r="AP31" s="91">
        <v>2750</v>
      </c>
      <c r="AQ31" s="91">
        <v>4000</v>
      </c>
      <c r="AR31" s="92">
        <f t="shared" si="61"/>
        <v>24981</v>
      </c>
      <c r="AS31" s="23"/>
      <c r="AT31" s="91">
        <v>1806</v>
      </c>
      <c r="AU31" s="91">
        <v>2046</v>
      </c>
      <c r="AV31" s="91">
        <v>1646</v>
      </c>
      <c r="AW31" s="91">
        <v>1902</v>
      </c>
      <c r="AX31" s="317">
        <v>1545</v>
      </c>
      <c r="AY31" s="317">
        <v>1545</v>
      </c>
      <c r="AZ31" s="317">
        <v>1475</v>
      </c>
      <c r="BA31" s="317">
        <v>1475</v>
      </c>
      <c r="BB31" s="317">
        <v>1545</v>
      </c>
      <c r="BC31" s="317">
        <v>1826</v>
      </c>
      <c r="BD31" s="317">
        <v>0</v>
      </c>
      <c r="BE31" s="317">
        <v>0</v>
      </c>
      <c r="BF31" s="91">
        <f t="shared" si="62"/>
        <v>16811</v>
      </c>
      <c r="BG31" s="93">
        <f t="shared" si="63"/>
        <v>-0.32704855690324641</v>
      </c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>
        <v>10230</v>
      </c>
      <c r="BU31" s="54"/>
      <c r="BV31" s="91">
        <v>1335.48</v>
      </c>
      <c r="BW31" s="91">
        <v>1032.3</v>
      </c>
      <c r="BX31" s="91">
        <f>'META  EM PEÇAS'!U39-('META  EM PEÇAS'!U39*0.05)</f>
        <v>1160.0355</v>
      </c>
      <c r="BY31" s="91">
        <f>'META  EM PEÇAS'!V39-('META  EM PEÇAS'!V39*0.05)</f>
        <v>1075.2194999999999</v>
      </c>
      <c r="BZ31" s="91">
        <f>'META  EM PEÇAS'!W39-('META  EM PEÇAS'!W39*0.05)</f>
        <v>1206.8609999999999</v>
      </c>
      <c r="CA31" s="91">
        <f>'META  EM PEÇAS'!X39-('META  EM PEÇAS'!X39*0.05)</f>
        <v>1453.3574999999998</v>
      </c>
      <c r="CB31" s="91">
        <f>'META  EM PEÇAS'!Y39-('META  EM PEÇAS'!Y39*0.05)</f>
        <v>1747.5629999999999</v>
      </c>
      <c r="CC31" s="91">
        <f>'META  EM PEÇAS'!Z39-('META  EM PEÇAS'!Z39*0.05)</f>
        <v>1168.8705</v>
      </c>
      <c r="CD31" s="91">
        <f>'META  EM PEÇAS'!AA39-('META  EM PEÇAS'!AA39*0.05)</f>
        <v>1212.1619999999998</v>
      </c>
      <c r="CE31" s="91">
        <f>'META  EM PEÇAS'!AB39-('META  EM PEÇAS'!AB39*0.05)</f>
        <v>1314.6479999999999</v>
      </c>
      <c r="CF31" s="91">
        <f>'META  EM PEÇAS'!AC39-('META  EM PEÇAS'!AC39*0.05)</f>
        <v>1684.8344999999999</v>
      </c>
      <c r="CG31" s="91">
        <f>'META  EM PEÇAS'!AD39-('META  EM PEÇAS'!AD39*0.05)</f>
        <v>2373.9645</v>
      </c>
      <c r="CH31" s="91">
        <f t="shared" si="64"/>
        <v>16765.295999999995</v>
      </c>
    </row>
    <row r="32" spans="1:87" hidden="1" outlineLevel="1">
      <c r="A32" s="94">
        <v>11</v>
      </c>
      <c r="B32" s="210" t="s">
        <v>66</v>
      </c>
      <c r="C32" s="211"/>
      <c r="D32" s="313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314">
        <f t="shared" si="59"/>
        <v>0</v>
      </c>
      <c r="Q32" s="90"/>
      <c r="R32" s="313">
        <v>0</v>
      </c>
      <c r="S32" s="91">
        <v>0</v>
      </c>
      <c r="T32" s="91">
        <v>0</v>
      </c>
      <c r="U32" s="91">
        <v>0</v>
      </c>
      <c r="V32" s="91">
        <v>4000</v>
      </c>
      <c r="W32" s="91">
        <v>100</v>
      </c>
      <c r="X32" s="91">
        <v>800</v>
      </c>
      <c r="Y32" s="91">
        <v>800</v>
      </c>
      <c r="Z32" s="91">
        <v>1200</v>
      </c>
      <c r="AA32" s="91">
        <v>1200</v>
      </c>
      <c r="AB32" s="91">
        <v>1800</v>
      </c>
      <c r="AC32" s="91">
        <v>2300</v>
      </c>
      <c r="AD32" s="315">
        <f t="shared" si="60"/>
        <v>12200</v>
      </c>
      <c r="AE32" s="23"/>
      <c r="AF32" s="316">
        <v>1500</v>
      </c>
      <c r="AG32" s="91">
        <v>1000</v>
      </c>
      <c r="AH32" s="91">
        <f t="shared" ref="AH32:AH33" si="67">1500*0.15</f>
        <v>225</v>
      </c>
      <c r="AI32" s="91">
        <v>324</v>
      </c>
      <c r="AJ32" s="91">
        <v>869</v>
      </c>
      <c r="AK32" s="91">
        <v>800</v>
      </c>
      <c r="AL32" s="91">
        <v>1500</v>
      </c>
      <c r="AM32" s="91">
        <v>1000</v>
      </c>
      <c r="AN32" s="91">
        <v>1000</v>
      </c>
      <c r="AO32" s="91">
        <v>1000</v>
      </c>
      <c r="AP32" s="91">
        <v>1100</v>
      </c>
      <c r="AQ32" s="91">
        <v>1600</v>
      </c>
      <c r="AR32" s="92">
        <f t="shared" si="61"/>
        <v>11918</v>
      </c>
      <c r="AS32" s="23"/>
      <c r="AT32" s="91">
        <v>1191</v>
      </c>
      <c r="AU32" s="91">
        <v>1191</v>
      </c>
      <c r="AV32" s="91">
        <v>1191</v>
      </c>
      <c r="AW32" s="91">
        <v>1191</v>
      </c>
      <c r="AX32" s="317">
        <v>876</v>
      </c>
      <c r="AY32" s="317">
        <v>876</v>
      </c>
      <c r="AZ32" s="317">
        <v>836</v>
      </c>
      <c r="BA32" s="317">
        <v>836</v>
      </c>
      <c r="BB32" s="317">
        <v>876</v>
      </c>
      <c r="BC32" s="317">
        <v>1035</v>
      </c>
      <c r="BD32" s="317">
        <v>0</v>
      </c>
      <c r="BE32" s="317">
        <v>0</v>
      </c>
      <c r="BF32" s="91">
        <f t="shared" si="62"/>
        <v>10099</v>
      </c>
      <c r="BG32" s="93">
        <f t="shared" si="63"/>
        <v>-0.15262627957711028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>
        <v>7342</v>
      </c>
      <c r="BU32" s="54"/>
      <c r="BV32" s="91">
        <v>1643.31</v>
      </c>
      <c r="BW32" s="91">
        <v>1270.3799999999999</v>
      </c>
      <c r="BX32" s="91">
        <f>'META  EM PEÇAS'!U40-('META  EM PEÇAS'!U40*0.05)</f>
        <v>1427.7359999999999</v>
      </c>
      <c r="BY32" s="91">
        <f>'META  EM PEÇAS'!V40-('META  EM PEÇAS'!V40*0.05)</f>
        <v>1323.4829999999999</v>
      </c>
      <c r="BZ32" s="91">
        <f>'META  EM PEÇAS'!W40-('META  EM PEÇAS'!W40*0.05)</f>
        <v>1485.1634999999999</v>
      </c>
      <c r="CA32" s="91">
        <f>'META  EM PEÇAS'!X40-('META  EM PEÇAS'!X40*0.05)</f>
        <v>1788.204</v>
      </c>
      <c r="CB32" s="91">
        <f>'META  EM PEÇAS'!Y40-('META  EM PEÇAS'!Y40*0.05)</f>
        <v>2151.3224999999998</v>
      </c>
      <c r="CC32" s="91">
        <f>'META  EM PEÇAS'!Z40-('META  EM PEÇAS'!Z40*0.05)</f>
        <v>1438.338</v>
      </c>
      <c r="CD32" s="91">
        <f>'META  EM PEÇAS'!AA40-('META  EM PEÇAS'!AA40*0.05)</f>
        <v>1491.348</v>
      </c>
      <c r="CE32" s="91">
        <f>'META  EM PEÇAS'!AB40-('META  EM PEÇAS'!AB40*0.05)</f>
        <v>1618.5719999999999</v>
      </c>
      <c r="CF32" s="91">
        <f>'META  EM PEÇAS'!AC40-('META  EM PEÇAS'!AC40*0.05)</f>
        <v>2073.5745000000002</v>
      </c>
      <c r="CG32" s="91">
        <f>'META  EM PEÇAS'!AD40-('META  EM PEÇAS'!AD40*0.05)</f>
        <v>2921.7344999999996</v>
      </c>
      <c r="CH32" s="91">
        <f t="shared" si="64"/>
        <v>20633.165999999997</v>
      </c>
    </row>
    <row r="33" spans="1:87" hidden="1" outlineLevel="1">
      <c r="A33" s="94">
        <v>12</v>
      </c>
      <c r="B33" s="210" t="s">
        <v>67</v>
      </c>
      <c r="C33" s="211"/>
      <c r="D33" s="313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314">
        <f t="shared" si="59"/>
        <v>0</v>
      </c>
      <c r="Q33" s="90"/>
      <c r="R33" s="313">
        <v>0</v>
      </c>
      <c r="S33" s="91">
        <v>0</v>
      </c>
      <c r="T33" s="91">
        <v>0</v>
      </c>
      <c r="U33" s="91">
        <v>0</v>
      </c>
      <c r="V33" s="91">
        <v>4000</v>
      </c>
      <c r="W33" s="91">
        <v>0</v>
      </c>
      <c r="X33" s="91">
        <v>800</v>
      </c>
      <c r="Y33" s="91">
        <v>1000</v>
      </c>
      <c r="Z33" s="91">
        <v>1200</v>
      </c>
      <c r="AA33" s="91">
        <v>1200</v>
      </c>
      <c r="AB33" s="91">
        <v>1800</v>
      </c>
      <c r="AC33" s="91">
        <v>2300</v>
      </c>
      <c r="AD33" s="315">
        <f t="shared" si="60"/>
        <v>12300</v>
      </c>
      <c r="AE33" s="23"/>
      <c r="AF33" s="316">
        <v>1500</v>
      </c>
      <c r="AG33" s="91">
        <v>1200</v>
      </c>
      <c r="AH33" s="91">
        <f t="shared" si="67"/>
        <v>225</v>
      </c>
      <c r="AI33" s="91">
        <v>332</v>
      </c>
      <c r="AJ33" s="91">
        <v>945</v>
      </c>
      <c r="AK33" s="91">
        <v>960</v>
      </c>
      <c r="AL33" s="91">
        <v>1500</v>
      </c>
      <c r="AM33" s="91">
        <v>1200</v>
      </c>
      <c r="AN33" s="91">
        <v>1200</v>
      </c>
      <c r="AO33" s="91">
        <v>1200</v>
      </c>
      <c r="AP33" s="91">
        <v>1320</v>
      </c>
      <c r="AQ33" s="91">
        <v>1920</v>
      </c>
      <c r="AR33" s="92">
        <f t="shared" si="61"/>
        <v>13502</v>
      </c>
      <c r="AS33" s="23"/>
      <c r="AT33" s="91">
        <v>1254</v>
      </c>
      <c r="AU33" s="91">
        <v>1254</v>
      </c>
      <c r="AV33" s="91">
        <v>1254</v>
      </c>
      <c r="AW33" s="91">
        <v>1254</v>
      </c>
      <c r="AX33" s="317">
        <v>1236</v>
      </c>
      <c r="AY33" s="317">
        <v>1236</v>
      </c>
      <c r="AZ33" s="317">
        <v>0</v>
      </c>
      <c r="BA33" s="317">
        <v>0</v>
      </c>
      <c r="BB33" s="317">
        <v>0</v>
      </c>
      <c r="BC33" s="317">
        <v>0</v>
      </c>
      <c r="BD33" s="317">
        <v>0</v>
      </c>
      <c r="BE33" s="317">
        <v>0</v>
      </c>
      <c r="BF33" s="91">
        <f t="shared" si="62"/>
        <v>7488</v>
      </c>
      <c r="BG33" s="93">
        <f t="shared" si="63"/>
        <v>-0.44541549400088876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>
        <v>16899</v>
      </c>
      <c r="BU33" s="54"/>
      <c r="BV33" s="91">
        <v>2552.85</v>
      </c>
      <c r="BW33" s="91">
        <v>1973.4599999999998</v>
      </c>
      <c r="BX33" s="91">
        <f>'META  EM PEÇAS'!U34-('META  EM PEÇAS'!U34*0.05)</f>
        <v>2218.4684999999999</v>
      </c>
      <c r="BY33" s="91">
        <f>'META  EM PEÇAS'!V34-('META  EM PEÇAS'!V34*0.05)</f>
        <v>2056.788</v>
      </c>
      <c r="BZ33" s="91">
        <f>'META  EM PEÇAS'!W34-('META  EM PEÇAS'!W34*0.05)</f>
        <v>2307.7019999999998</v>
      </c>
      <c r="CA33" s="91">
        <f>'META  EM PEÇAS'!X34-('META  EM PEÇAS'!X34*0.05)</f>
        <v>2778.6075000000001</v>
      </c>
      <c r="CB33" s="91">
        <f>'META  EM PEÇAS'!Y34-('META  EM PEÇAS'!Y34*0.05)</f>
        <v>3342.2804999999998</v>
      </c>
      <c r="CC33" s="91">
        <f>'META  EM PEÇAS'!Z34-('META  EM PEÇAS'!Z34*0.05)</f>
        <v>2234.3714999999997</v>
      </c>
      <c r="CD33" s="91">
        <f>'META  EM PEÇAS'!AA34-('META  EM PEÇAS'!AA34*0.05)</f>
        <v>2317.4204999999997</v>
      </c>
      <c r="CE33" s="91">
        <f>'META  EM PEÇAS'!AB34-('META  EM PEÇAS'!AB34*0.05)</f>
        <v>2514.4409999999998</v>
      </c>
      <c r="CF33" s="91">
        <f>'META  EM PEÇAS'!AC34-('META  EM PEÇAS'!AC34*0.05)</f>
        <v>3221.241</v>
      </c>
      <c r="CG33" s="91">
        <f>'META  EM PEÇAS'!AD34-('META  EM PEÇAS'!AD34*0.05)</f>
        <v>4539.4229999999989</v>
      </c>
      <c r="CH33" s="91">
        <f t="shared" si="64"/>
        <v>32057.053499999998</v>
      </c>
    </row>
    <row r="34" spans="1:87" hidden="1" outlineLevel="1">
      <c r="A34" s="94">
        <v>13</v>
      </c>
      <c r="B34" s="210" t="s">
        <v>68</v>
      </c>
      <c r="C34" s="212"/>
      <c r="D34" s="313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si="59"/>
        <v>0</v>
      </c>
      <c r="Q34" s="90"/>
      <c r="R34" s="313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2000</v>
      </c>
      <c r="Y34" s="91">
        <v>800</v>
      </c>
      <c r="Z34" s="91">
        <v>800</v>
      </c>
      <c r="AA34" s="91">
        <v>1200</v>
      </c>
      <c r="AB34" s="91">
        <v>1800</v>
      </c>
      <c r="AC34" s="91">
        <v>2300</v>
      </c>
      <c r="AD34" s="315">
        <f t="shared" si="60"/>
        <v>8900</v>
      </c>
      <c r="AE34" s="23"/>
      <c r="AF34" s="316">
        <v>1800</v>
      </c>
      <c r="AG34" s="91">
        <v>1200</v>
      </c>
      <c r="AH34" s="91">
        <f>1800*0.15</f>
        <v>270</v>
      </c>
      <c r="AI34" s="91">
        <v>896</v>
      </c>
      <c r="AJ34" s="91">
        <v>1339</v>
      </c>
      <c r="AK34" s="91">
        <v>1600</v>
      </c>
      <c r="AL34" s="91">
        <v>1800</v>
      </c>
      <c r="AM34" s="91">
        <v>2000</v>
      </c>
      <c r="AN34" s="91">
        <v>2000</v>
      </c>
      <c r="AO34" s="91">
        <v>2000</v>
      </c>
      <c r="AP34" s="91">
        <v>2200</v>
      </c>
      <c r="AQ34" s="91">
        <v>3200</v>
      </c>
      <c r="AR34" s="92">
        <f t="shared" si="61"/>
        <v>20305</v>
      </c>
      <c r="AS34" s="23"/>
      <c r="AT34" s="91">
        <v>1980</v>
      </c>
      <c r="AU34" s="91">
        <v>1980</v>
      </c>
      <c r="AV34" s="91">
        <v>1980</v>
      </c>
      <c r="AW34" s="91">
        <v>1980</v>
      </c>
      <c r="AX34" s="317">
        <v>1409</v>
      </c>
      <c r="AY34" s="317">
        <v>1409</v>
      </c>
      <c r="AZ34" s="317">
        <v>1345</v>
      </c>
      <c r="BA34" s="317">
        <v>1345</v>
      </c>
      <c r="BB34" s="317">
        <v>1409</v>
      </c>
      <c r="BC34" s="317">
        <v>1665</v>
      </c>
      <c r="BD34" s="317">
        <v>1793</v>
      </c>
      <c r="BE34" s="317">
        <v>2562</v>
      </c>
      <c r="BF34" s="91">
        <f t="shared" si="62"/>
        <v>20857</v>
      </c>
      <c r="BG34" s="93">
        <f t="shared" si="63"/>
        <v>2.7185422309775831E-2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>
        <v>11555</v>
      </c>
      <c r="BU34" s="54"/>
      <c r="BV34" s="91">
        <v>1903.7099999999998</v>
      </c>
      <c r="BW34" s="91">
        <v>1471.26</v>
      </c>
      <c r="BX34" s="91">
        <f>'META  EM PEÇAS'!U35-('META  EM PEÇAS'!U35*0.05)</f>
        <v>1654.7954999999999</v>
      </c>
      <c r="BY34" s="91">
        <f>'META  EM PEÇAS'!V35-('META  EM PEÇAS'!V35*0.05)</f>
        <v>1533.7559999999999</v>
      </c>
      <c r="BZ34" s="91">
        <f>'META  EM PEÇAS'!W35-('META  EM PEÇAS'!W35*0.05)</f>
        <v>1721.058</v>
      </c>
      <c r="CA34" s="91">
        <f>'META  EM PEÇAS'!X35-('META  EM PEÇAS'!X35*0.05)</f>
        <v>2071.8074999999999</v>
      </c>
      <c r="CB34" s="91">
        <f>'META  EM PEÇAS'!Y35-('META  EM PEÇAS'!Y35*0.05)</f>
        <v>2492.3534999999997</v>
      </c>
      <c r="CC34" s="91">
        <f>'META  EM PEÇAS'!Z35-('META  EM PEÇAS'!Z35*0.05)</f>
        <v>1666.2809999999997</v>
      </c>
      <c r="CD34" s="91">
        <f>'META  EM PEÇAS'!AA35-('META  EM PEÇAS'!AA35*0.05)</f>
        <v>1728.126</v>
      </c>
      <c r="CE34" s="91">
        <f>'META  EM PEÇAS'!AB35-('META  EM PEÇAS'!AB35*0.05)</f>
        <v>1874.7869999999998</v>
      </c>
      <c r="CF34" s="91">
        <f>'META  EM PEÇAS'!AC35-('META  EM PEÇAS'!AC35*0.05)</f>
        <v>2402.2364999999995</v>
      </c>
      <c r="CG34" s="91">
        <f>'META  EM PEÇAS'!AD35-('META  EM PEÇAS'!AD35*0.05)</f>
        <v>3384.6884999999997</v>
      </c>
      <c r="CH34" s="91">
        <f t="shared" si="64"/>
        <v>23904.859499999995</v>
      </c>
    </row>
    <row r="35" spans="1:87" hidden="1" outlineLevel="1">
      <c r="A35" s="94">
        <v>14</v>
      </c>
      <c r="B35" s="210" t="s">
        <v>69</v>
      </c>
      <c r="C35" s="212"/>
      <c r="D35" s="313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/>
      <c r="Q35" s="90"/>
      <c r="R35" s="313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2000</v>
      </c>
      <c r="Z35" s="91">
        <v>800</v>
      </c>
      <c r="AA35" s="91">
        <v>800</v>
      </c>
      <c r="AB35" s="91">
        <v>1200</v>
      </c>
      <c r="AC35" s="91">
        <v>1800</v>
      </c>
      <c r="AD35" s="315">
        <f t="shared" si="60"/>
        <v>6600</v>
      </c>
      <c r="AE35" s="23"/>
      <c r="AF35" s="316">
        <v>1500</v>
      </c>
      <c r="AG35" s="91">
        <v>1200</v>
      </c>
      <c r="AH35" s="91">
        <f>1500*0.15</f>
        <v>225</v>
      </c>
      <c r="AI35" s="91">
        <v>374</v>
      </c>
      <c r="AJ35" s="91">
        <v>990</v>
      </c>
      <c r="AK35" s="91">
        <v>960</v>
      </c>
      <c r="AL35" s="91">
        <v>1800</v>
      </c>
      <c r="AM35" s="91">
        <v>1200</v>
      </c>
      <c r="AN35" s="91">
        <v>1200</v>
      </c>
      <c r="AO35" s="91">
        <v>1200</v>
      </c>
      <c r="AP35" s="91">
        <v>1320</v>
      </c>
      <c r="AQ35" s="91">
        <v>1920</v>
      </c>
      <c r="AR35" s="92">
        <f t="shared" si="61"/>
        <v>13889</v>
      </c>
      <c r="AS35" s="23"/>
      <c r="AT35" s="91">
        <v>1518</v>
      </c>
      <c r="AU35" s="91">
        <v>1518</v>
      </c>
      <c r="AV35" s="91">
        <v>1518</v>
      </c>
      <c r="AW35" s="91">
        <v>1518</v>
      </c>
      <c r="AX35" s="317">
        <v>1276</v>
      </c>
      <c r="AY35" s="317">
        <v>1276</v>
      </c>
      <c r="AZ35" s="317">
        <v>1218</v>
      </c>
      <c r="BA35" s="317">
        <v>1218</v>
      </c>
      <c r="BB35" s="317">
        <v>1276</v>
      </c>
      <c r="BC35" s="317">
        <v>1508</v>
      </c>
      <c r="BD35" s="317">
        <v>1624</v>
      </c>
      <c r="BE35" s="317">
        <v>2320</v>
      </c>
      <c r="BF35" s="91">
        <f t="shared" si="62"/>
        <v>17788</v>
      </c>
      <c r="BG35" s="93">
        <f t="shared" si="63"/>
        <v>0.2807257541939665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>
        <v>19018</v>
      </c>
      <c r="BU35" s="54"/>
      <c r="BV35" s="91">
        <v>2737.9199999999996</v>
      </c>
      <c r="BW35" s="91">
        <v>2116.6799999999998</v>
      </c>
      <c r="BX35" s="91">
        <f>'META  EM PEÇAS'!U36-('META  EM PEÇAS'!U36*0.05)</f>
        <v>2379.2655</v>
      </c>
      <c r="BY35" s="91">
        <f>'META  EM PEÇAS'!V36-('META  EM PEÇAS'!V36*0.05)</f>
        <v>2205.2159999999999</v>
      </c>
      <c r="BZ35" s="91">
        <f>'META  EM PEÇAS'!W36-('META  EM PEÇAS'!W36*0.05)</f>
        <v>2474.6834999999996</v>
      </c>
      <c r="CA35" s="91">
        <f>'META  EM PEÇAS'!X36-('META  EM PEÇAS'!X36*0.05)</f>
        <v>2980.0454999999997</v>
      </c>
      <c r="CB35" s="91">
        <f>'META  EM PEÇAS'!Y36-('META  EM PEÇAS'!Y36*0.05)</f>
        <v>3584.3594999999996</v>
      </c>
      <c r="CC35" s="91">
        <f>'META  EM PEÇAS'!Z36-('META  EM PEÇAS'!Z36*0.05)</f>
        <v>2396.0519999999997</v>
      </c>
      <c r="CD35" s="91">
        <f>'META  EM PEÇAS'!AA36-('META  EM PEÇAS'!AA36*0.05)</f>
        <v>2485.2854999999995</v>
      </c>
      <c r="CE35" s="91">
        <f>'META  EM PEÇAS'!AB36-('META  EM PEÇAS'!AB36*0.05)</f>
        <v>2696.4419999999996</v>
      </c>
      <c r="CF35" s="91">
        <f>'META  EM PEÇAS'!AC36-('META  EM PEÇAS'!AC36*0.05)</f>
        <v>3454.4849999999997</v>
      </c>
      <c r="CG35" s="91">
        <f>'META  EM PEÇAS'!AD36-('META  EM PEÇAS'!AD36*0.05)</f>
        <v>4868.0849999999991</v>
      </c>
      <c r="CH35" s="91">
        <f t="shared" si="64"/>
        <v>34378.519499999995</v>
      </c>
    </row>
    <row r="36" spans="1:87" hidden="1" outlineLevel="1">
      <c r="A36" s="94">
        <v>15</v>
      </c>
      <c r="B36" s="210" t="s">
        <v>70</v>
      </c>
      <c r="C36" s="212"/>
      <c r="D36" s="313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/>
      <c r="Q36" s="90"/>
      <c r="R36" s="313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2000</v>
      </c>
      <c r="AA36" s="91">
        <v>800</v>
      </c>
      <c r="AB36" s="91">
        <v>800</v>
      </c>
      <c r="AC36" s="91">
        <v>1500</v>
      </c>
      <c r="AD36" s="315">
        <f t="shared" si="60"/>
        <v>5100</v>
      </c>
      <c r="AE36" s="23"/>
      <c r="AF36" s="316">
        <v>1800</v>
      </c>
      <c r="AG36" s="91">
        <v>1200</v>
      </c>
      <c r="AH36" s="91">
        <f>1800*0.4</f>
        <v>720</v>
      </c>
      <c r="AI36" s="91">
        <v>1147</v>
      </c>
      <c r="AJ36" s="91">
        <v>1155</v>
      </c>
      <c r="AK36" s="91">
        <v>1600</v>
      </c>
      <c r="AL36" s="91">
        <v>1800</v>
      </c>
      <c r="AM36" s="91">
        <v>2000</v>
      </c>
      <c r="AN36" s="91">
        <v>2000</v>
      </c>
      <c r="AO36" s="91">
        <v>2000</v>
      </c>
      <c r="AP36" s="91">
        <v>2200</v>
      </c>
      <c r="AQ36" s="91">
        <v>3200</v>
      </c>
      <c r="AR36" s="92">
        <f t="shared" si="61"/>
        <v>20822</v>
      </c>
      <c r="AS36" s="23"/>
      <c r="AT36" s="91">
        <v>1544</v>
      </c>
      <c r="AU36" s="91">
        <v>1544</v>
      </c>
      <c r="AV36" s="91">
        <v>1544</v>
      </c>
      <c r="AW36" s="91">
        <v>1544</v>
      </c>
      <c r="AX36" s="317">
        <v>862</v>
      </c>
      <c r="AY36" s="317">
        <v>862</v>
      </c>
      <c r="AZ36" s="317">
        <v>823</v>
      </c>
      <c r="BA36" s="317">
        <v>823</v>
      </c>
      <c r="BB36" s="317">
        <v>862</v>
      </c>
      <c r="BC36" s="317">
        <v>1019</v>
      </c>
      <c r="BD36" s="317">
        <v>1098</v>
      </c>
      <c r="BE36" s="317">
        <v>1568</v>
      </c>
      <c r="BF36" s="91">
        <f t="shared" si="62"/>
        <v>14093</v>
      </c>
      <c r="BG36" s="93">
        <f t="shared" si="63"/>
        <v>-0.32316780328498707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>
        <v>21133</v>
      </c>
      <c r="BU36" s="54"/>
      <c r="BV36" s="91">
        <v>3593.52</v>
      </c>
      <c r="BW36" s="91">
        <v>2776.98</v>
      </c>
      <c r="BX36" s="91">
        <f>'META  EM PEÇAS'!U38-('META  EM PEÇAS'!U38*0.05)</f>
        <v>3122.2889999999998</v>
      </c>
      <c r="BY36" s="91">
        <f>'META  EM PEÇAS'!V38-('META  EM PEÇAS'!V38*0.05)</f>
        <v>2893.4625000000001</v>
      </c>
      <c r="BZ36" s="91">
        <f>'META  EM PEÇAS'!W38-('META  EM PEÇAS'!W38*0.05)</f>
        <v>3247.7459999999996</v>
      </c>
      <c r="CA36" s="91">
        <f>'META  EM PEÇAS'!X38-('META  EM PEÇAS'!X38*0.05)</f>
        <v>3910.3709999999992</v>
      </c>
      <c r="CB36" s="91">
        <f>'META  EM PEÇAS'!Y38-('META  EM PEÇAS'!Y38*0.05)</f>
        <v>4703.7539999999999</v>
      </c>
      <c r="CC36" s="91">
        <f>'META  EM PEÇAS'!Z38-('META  EM PEÇAS'!Z38*0.05)</f>
        <v>3144.3764999999999</v>
      </c>
      <c r="CD36" s="91">
        <f>'META  EM PEÇAS'!AA38-('META  EM PEÇAS'!AA38*0.05)</f>
        <v>3260.9984999999997</v>
      </c>
      <c r="CE36" s="91">
        <f>'META  EM PEÇAS'!AB38-('META  EM PEÇAS'!AB38*0.05)</f>
        <v>3539.3009999999999</v>
      </c>
      <c r="CF36" s="91">
        <f>'META  EM PEÇAS'!AC38-('META  EM PEÇAS'!AC38*0.05)</f>
        <v>4533.2384999999995</v>
      </c>
      <c r="CG36" s="91">
        <f>'META  EM PEÇAS'!AD38-('META  EM PEÇAS'!AD38*0.05)</f>
        <v>6387.7049999999999</v>
      </c>
      <c r="CH36" s="91">
        <f t="shared" si="64"/>
        <v>45113.741999999998</v>
      </c>
    </row>
    <row r="37" spans="1:87" hidden="1" outlineLevel="1">
      <c r="A37" s="94">
        <v>16</v>
      </c>
      <c r="B37" s="216" t="s">
        <v>71</v>
      </c>
      <c r="C37" s="212"/>
      <c r="D37" s="313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/>
      <c r="Q37" s="90"/>
      <c r="R37" s="313"/>
      <c r="S37" s="91"/>
      <c r="T37" s="91"/>
      <c r="U37" s="91"/>
      <c r="V37" s="91"/>
      <c r="W37" s="91"/>
      <c r="X37" s="91"/>
      <c r="Y37" s="91"/>
      <c r="Z37" s="91"/>
      <c r="AA37" s="91">
        <v>800</v>
      </c>
      <c r="AB37" s="91">
        <v>800</v>
      </c>
      <c r="AC37" s="91">
        <v>1500</v>
      </c>
      <c r="AD37" s="315"/>
      <c r="AE37" s="23"/>
      <c r="AF37" s="316">
        <v>1500</v>
      </c>
      <c r="AG37" s="91">
        <v>1200</v>
      </c>
      <c r="AH37" s="91">
        <f>1500*0.15</f>
        <v>225</v>
      </c>
      <c r="AI37" s="91">
        <v>192</v>
      </c>
      <c r="AJ37" s="91">
        <v>663</v>
      </c>
      <c r="AK37" s="91">
        <v>800</v>
      </c>
      <c r="AL37" s="91">
        <v>1500</v>
      </c>
      <c r="AM37" s="91">
        <v>1000</v>
      </c>
      <c r="AN37" s="91">
        <v>1000</v>
      </c>
      <c r="AO37" s="91">
        <v>1000</v>
      </c>
      <c r="AP37" s="91">
        <v>1100</v>
      </c>
      <c r="AQ37" s="91">
        <v>1600</v>
      </c>
      <c r="AR37" s="92">
        <f t="shared" si="61"/>
        <v>11780</v>
      </c>
      <c r="AS37" s="23"/>
      <c r="AT37" s="91">
        <v>960</v>
      </c>
      <c r="AU37" s="91">
        <v>960</v>
      </c>
      <c r="AV37" s="91">
        <v>960</v>
      </c>
      <c r="AW37" s="91">
        <v>960</v>
      </c>
      <c r="AX37" s="317">
        <v>1414</v>
      </c>
      <c r="AY37" s="317">
        <v>1414</v>
      </c>
      <c r="AZ37" s="317">
        <v>1350</v>
      </c>
      <c r="BA37" s="317">
        <v>1350</v>
      </c>
      <c r="BB37" s="317">
        <v>1414</v>
      </c>
      <c r="BC37" s="317">
        <v>1671</v>
      </c>
      <c r="BD37" s="317">
        <v>1800</v>
      </c>
      <c r="BE37" s="317">
        <v>2571</v>
      </c>
      <c r="BF37" s="91">
        <f t="shared" si="62"/>
        <v>16824</v>
      </c>
      <c r="BG37" s="93">
        <f t="shared" si="63"/>
        <v>0.42818336162988113</v>
      </c>
      <c r="BH37" s="91">
        <v>900</v>
      </c>
      <c r="BI37" s="91">
        <v>643</v>
      </c>
      <c r="BJ37" s="91">
        <v>891</v>
      </c>
      <c r="BK37" s="91">
        <v>679</v>
      </c>
      <c r="BL37" s="91">
        <v>940</v>
      </c>
      <c r="BM37" s="91">
        <v>948</v>
      </c>
      <c r="BN37" s="91">
        <v>1124</v>
      </c>
      <c r="BO37" s="91">
        <v>913</v>
      </c>
      <c r="BP37" s="91">
        <v>911</v>
      </c>
      <c r="BQ37" s="91">
        <v>898</v>
      </c>
      <c r="BR37" s="91">
        <v>1465</v>
      </c>
      <c r="BS37" s="91">
        <v>1278</v>
      </c>
      <c r="BT37" s="91">
        <f>SUM(BH37:BS37)</f>
        <v>11590</v>
      </c>
      <c r="BU37" s="54"/>
      <c r="BV37" s="91">
        <f>'META  EM PEÇAS'!T47</f>
        <v>1749.7324726431702</v>
      </c>
      <c r="BW37" s="91">
        <f>'META  EM PEÇAS'!T48</f>
        <v>1701.1287928475265</v>
      </c>
      <c r="BX37" s="91">
        <f>'META  EM PEÇAS'!T49</f>
        <v>1846.9398322344578</v>
      </c>
      <c r="BY37" s="91">
        <f>'META  EM PEÇAS'!T50</f>
        <v>1701.1287928475265</v>
      </c>
      <c r="BZ37" s="91">
        <f>'META  EM PEÇAS'!T51</f>
        <v>1846.9398322344578</v>
      </c>
      <c r="CA37" s="91">
        <f>'META  EM PEÇAS'!T52</f>
        <v>1749.7324726431702</v>
      </c>
      <c r="CB37" s="91">
        <f>'META  EM PEÇAS'!T53</f>
        <v>2138.5619110083194</v>
      </c>
      <c r="CC37" s="91">
        <f>'META  EM PEÇAS'!T54</f>
        <v>1749.7324726431702</v>
      </c>
      <c r="CD37" s="91">
        <f>'META  EM PEÇAS'!T55</f>
        <v>1749.7324726431702</v>
      </c>
      <c r="CE37" s="91">
        <f>'META  EM PEÇAS'!T56</f>
        <v>1749.7324726431702</v>
      </c>
      <c r="CF37" s="91">
        <f>'META  EM PEÇAS'!T57</f>
        <v>2721.8060685560426</v>
      </c>
      <c r="CG37" s="91">
        <f>'META  EM PEÇAS'!T58</f>
        <v>1944.1471918257448</v>
      </c>
      <c r="CH37" s="91">
        <f t="shared" si="64"/>
        <v>22649.314784769926</v>
      </c>
    </row>
    <row r="38" spans="1:87" hidden="1" outlineLevel="1">
      <c r="A38" s="94"/>
      <c r="B38" s="210"/>
      <c r="C38" s="213"/>
      <c r="D38" s="313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/>
      <c r="Q38" s="90"/>
      <c r="R38" s="313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315"/>
      <c r="AE38" s="23"/>
      <c r="AF38" s="316">
        <v>0</v>
      </c>
      <c r="AG38" s="91">
        <v>0</v>
      </c>
      <c r="AH38" s="91">
        <v>0</v>
      </c>
      <c r="AI38" s="91">
        <v>0</v>
      </c>
      <c r="AJ38" s="91">
        <v>0</v>
      </c>
      <c r="AK38" s="91">
        <v>400</v>
      </c>
      <c r="AL38" s="91">
        <v>500</v>
      </c>
      <c r="AM38" s="91">
        <v>500</v>
      </c>
      <c r="AN38" s="91">
        <v>600</v>
      </c>
      <c r="AO38" s="91">
        <v>600</v>
      </c>
      <c r="AP38" s="91">
        <v>660</v>
      </c>
      <c r="AQ38" s="91">
        <v>960</v>
      </c>
      <c r="AR38" s="92">
        <f t="shared" si="61"/>
        <v>4220</v>
      </c>
      <c r="AS38" s="23"/>
      <c r="AT38" s="91">
        <v>960</v>
      </c>
      <c r="AU38" s="91">
        <v>960</v>
      </c>
      <c r="AV38" s="91">
        <v>960</v>
      </c>
      <c r="AW38" s="91">
        <v>960</v>
      </c>
      <c r="AX38" s="317">
        <v>580</v>
      </c>
      <c r="AY38" s="317">
        <v>580</v>
      </c>
      <c r="AZ38" s="317">
        <v>554</v>
      </c>
      <c r="BA38" s="317">
        <v>554</v>
      </c>
      <c r="BB38" s="317">
        <v>580</v>
      </c>
      <c r="BC38" s="317">
        <v>686</v>
      </c>
      <c r="BD38" s="317">
        <v>739</v>
      </c>
      <c r="BE38" s="317">
        <v>1055</v>
      </c>
      <c r="BF38" s="91">
        <f t="shared" si="62"/>
        <v>9168</v>
      </c>
      <c r="BG38" s="93">
        <f t="shared" si="63"/>
        <v>1.172511848341232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54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</row>
    <row r="39" spans="1:87" hidden="1" outlineLevel="1">
      <c r="A39" s="95"/>
      <c r="B39" s="216"/>
      <c r="C39" s="420"/>
      <c r="D39" s="421"/>
      <c r="E39" s="422"/>
      <c r="F39" s="422"/>
      <c r="G39" s="422"/>
      <c r="H39" s="422"/>
      <c r="I39" s="422"/>
      <c r="J39" s="422"/>
      <c r="K39" s="422"/>
      <c r="L39" s="422"/>
      <c r="M39" s="422"/>
      <c r="N39" s="422"/>
      <c r="O39" s="422"/>
      <c r="P39" s="423"/>
      <c r="Q39" s="424"/>
      <c r="R39" s="421"/>
      <c r="S39" s="425"/>
      <c r="T39" s="425"/>
      <c r="U39" s="425"/>
      <c r="V39" s="425"/>
      <c r="W39" s="425"/>
      <c r="X39" s="425"/>
      <c r="Y39" s="425"/>
      <c r="Z39" s="425"/>
      <c r="AA39" s="425"/>
      <c r="AB39" s="425"/>
      <c r="AC39" s="425"/>
      <c r="AD39" s="426"/>
      <c r="AE39" s="427"/>
      <c r="AF39" s="428">
        <v>0</v>
      </c>
      <c r="AG39" s="425">
        <v>0</v>
      </c>
      <c r="AH39" s="425">
        <v>0</v>
      </c>
      <c r="AI39" s="425">
        <v>0</v>
      </c>
      <c r="AJ39" s="425">
        <v>0</v>
      </c>
      <c r="AK39" s="425">
        <v>0</v>
      </c>
      <c r="AL39" s="425">
        <v>2500</v>
      </c>
      <c r="AM39" s="425">
        <v>2000</v>
      </c>
      <c r="AN39" s="425">
        <v>500</v>
      </c>
      <c r="AO39" s="425">
        <v>600</v>
      </c>
      <c r="AP39" s="425">
        <v>660</v>
      </c>
      <c r="AQ39" s="425">
        <v>960</v>
      </c>
      <c r="AR39" s="429">
        <f t="shared" si="61"/>
        <v>7220</v>
      </c>
      <c r="AS39" s="23"/>
      <c r="AT39" s="425">
        <v>1518</v>
      </c>
      <c r="AU39" s="425">
        <v>1518</v>
      </c>
      <c r="AV39" s="425">
        <v>1518</v>
      </c>
      <c r="AW39" s="425">
        <v>1518</v>
      </c>
      <c r="AX39" s="317">
        <v>1943</v>
      </c>
      <c r="AY39" s="317">
        <v>1943</v>
      </c>
      <c r="AZ39" s="317">
        <v>1854</v>
      </c>
      <c r="BA39" s="317">
        <v>1854</v>
      </c>
      <c r="BB39" s="317">
        <v>1943</v>
      </c>
      <c r="BC39" s="317">
        <v>2296</v>
      </c>
      <c r="BD39" s="317">
        <v>2472</v>
      </c>
      <c r="BE39" s="317">
        <v>3532</v>
      </c>
      <c r="BF39" s="425">
        <f t="shared" si="62"/>
        <v>23909</v>
      </c>
      <c r="BG39" s="93">
        <f t="shared" si="63"/>
        <v>2.3114958448753464</v>
      </c>
      <c r="BH39" s="425"/>
      <c r="BI39" s="425"/>
      <c r="BJ39" s="425"/>
      <c r="BK39" s="425"/>
      <c r="BL39" s="91"/>
      <c r="BM39" s="91"/>
      <c r="BN39" s="91"/>
      <c r="BO39" s="91"/>
      <c r="BP39" s="91"/>
      <c r="BQ39" s="91"/>
      <c r="BR39" s="91"/>
      <c r="BS39" s="91"/>
      <c r="BT39" s="91"/>
      <c r="BU39" s="54"/>
      <c r="BV39" s="425"/>
      <c r="BW39" s="425"/>
      <c r="BX39" s="425"/>
      <c r="BY39" s="425"/>
      <c r="BZ39" s="91"/>
      <c r="CA39" s="91"/>
      <c r="CB39" s="91"/>
      <c r="CC39" s="91"/>
      <c r="CD39" s="91"/>
      <c r="CE39" s="91"/>
      <c r="CF39" s="91"/>
      <c r="CG39" s="91"/>
      <c r="CH39" s="91"/>
    </row>
    <row r="40" spans="1:87" hidden="1" outlineLevel="1">
      <c r="A40" s="434"/>
      <c r="B40" s="1093"/>
      <c r="C40" s="1094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6"/>
      <c r="AF40" s="437">
        <v>0</v>
      </c>
      <c r="AG40" s="437">
        <v>0</v>
      </c>
      <c r="AH40" s="437">
        <v>0</v>
      </c>
      <c r="AI40" s="437">
        <v>0</v>
      </c>
      <c r="AJ40" s="437">
        <v>0</v>
      </c>
      <c r="AK40" s="437">
        <v>0</v>
      </c>
      <c r="AL40" s="437">
        <v>0</v>
      </c>
      <c r="AM40" s="437">
        <v>0</v>
      </c>
      <c r="AN40" s="437">
        <v>0</v>
      </c>
      <c r="AO40" s="437">
        <v>0</v>
      </c>
      <c r="AP40" s="437">
        <v>0</v>
      </c>
      <c r="AQ40" s="437">
        <v>0</v>
      </c>
      <c r="AR40" s="438">
        <f t="shared" si="61"/>
        <v>0</v>
      </c>
      <c r="AS40" s="322"/>
      <c r="AT40" s="437">
        <v>0</v>
      </c>
      <c r="AU40" s="437">
        <v>0</v>
      </c>
      <c r="AV40" s="437">
        <v>0</v>
      </c>
      <c r="AW40" s="437">
        <v>0</v>
      </c>
      <c r="AX40" s="439">
        <v>800</v>
      </c>
      <c r="AY40" s="317">
        <v>800</v>
      </c>
      <c r="AZ40" s="317">
        <v>800</v>
      </c>
      <c r="BA40" s="317">
        <v>1050</v>
      </c>
      <c r="BB40" s="317">
        <v>1100</v>
      </c>
      <c r="BC40" s="317">
        <v>1300</v>
      </c>
      <c r="BD40" s="317">
        <v>1400</v>
      </c>
      <c r="BE40" s="440">
        <v>2000</v>
      </c>
      <c r="BF40" s="437">
        <f t="shared" si="62"/>
        <v>9250</v>
      </c>
      <c r="BG40" s="325" t="e">
        <f t="shared" si="63"/>
        <v>#DIV/0!</v>
      </c>
      <c r="BH40" s="437"/>
      <c r="BI40" s="437"/>
      <c r="BJ40" s="437"/>
      <c r="BK40" s="437"/>
      <c r="BL40" s="439"/>
      <c r="BM40" s="317"/>
      <c r="BN40" s="317"/>
      <c r="BO40" s="317"/>
      <c r="BP40" s="317"/>
      <c r="BQ40" s="317"/>
      <c r="BR40" s="317"/>
      <c r="BS40" s="317"/>
      <c r="BT40" s="317"/>
      <c r="BU40" s="326"/>
      <c r="BV40" s="443"/>
      <c r="BW40" s="443"/>
      <c r="BX40" s="443"/>
      <c r="BY40" s="443"/>
      <c r="BZ40" s="444"/>
      <c r="CA40" s="317"/>
      <c r="CB40" s="317"/>
      <c r="CC40" s="317"/>
      <c r="CD40" s="317"/>
      <c r="CE40" s="317"/>
      <c r="CF40" s="317"/>
      <c r="CG40" s="317"/>
      <c r="CH40" s="317"/>
    </row>
    <row r="41" spans="1:87" hidden="1" outlineLevel="1">
      <c r="A41" s="430"/>
      <c r="B41" s="214"/>
      <c r="C41" s="431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24"/>
      <c r="R41" s="424"/>
      <c r="S41" s="432"/>
      <c r="T41" s="432"/>
      <c r="U41" s="432"/>
      <c r="V41" s="432"/>
      <c r="W41" s="432"/>
      <c r="X41" s="432"/>
      <c r="Y41" s="432"/>
      <c r="Z41" s="432"/>
      <c r="AA41" s="432"/>
      <c r="AB41" s="432"/>
      <c r="AC41" s="432"/>
      <c r="AD41" s="432"/>
      <c r="AE41" s="427"/>
      <c r="AF41" s="432"/>
      <c r="AG41" s="432"/>
      <c r="AH41" s="432"/>
      <c r="AI41" s="432"/>
      <c r="AJ41" s="432"/>
      <c r="AK41" s="432"/>
      <c r="AL41" s="432"/>
      <c r="AM41" s="432"/>
      <c r="AN41" s="432"/>
      <c r="AO41" s="432"/>
      <c r="AP41" s="432"/>
      <c r="AQ41" s="432"/>
      <c r="AR41" s="433"/>
      <c r="AS41" s="23"/>
      <c r="AT41" s="97"/>
      <c r="AU41" s="97"/>
      <c r="AV41" s="97"/>
      <c r="AW41" s="97"/>
      <c r="AX41" s="91"/>
      <c r="AY41" s="91"/>
      <c r="AZ41" s="91"/>
      <c r="BA41" s="91"/>
      <c r="BB41" s="91"/>
      <c r="BC41" s="91"/>
      <c r="BD41" s="91">
        <v>600</v>
      </c>
      <c r="BE41" s="315">
        <v>700</v>
      </c>
      <c r="BF41" s="437">
        <f t="shared" si="62"/>
        <v>1300</v>
      </c>
      <c r="BG41" s="93"/>
      <c r="BH41" s="442"/>
      <c r="BI41" s="442"/>
      <c r="BJ41" s="442"/>
      <c r="BK41" s="442"/>
      <c r="BL41" s="316"/>
      <c r="BM41" s="91"/>
      <c r="BN41" s="91"/>
      <c r="BO41" s="91"/>
      <c r="BP41" s="91"/>
      <c r="BQ41" s="91"/>
      <c r="BR41" s="91"/>
      <c r="BS41" s="91"/>
      <c r="BT41" s="91"/>
      <c r="BU41" s="54"/>
      <c r="BV41" s="442"/>
      <c r="BW41" s="442"/>
      <c r="BX41" s="442"/>
      <c r="BY41" s="442"/>
      <c r="BZ41" s="442"/>
      <c r="CA41" s="316"/>
      <c r="CB41" s="91"/>
      <c r="CC41" s="91"/>
      <c r="CD41" s="91"/>
      <c r="CE41" s="91"/>
      <c r="CF41" s="91"/>
      <c r="CG41" s="91"/>
      <c r="CH41" s="91"/>
    </row>
    <row r="42" spans="1:87" hidden="1" outlineLevel="1">
      <c r="A42" s="95"/>
      <c r="B42" s="216" t="s">
        <v>71</v>
      </c>
      <c r="C42" s="211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ref="P42:P43" si="68">SUM(D42:O42)</f>
        <v>0</v>
      </c>
      <c r="Q42" s="90"/>
      <c r="R42" s="313">
        <v>350</v>
      </c>
      <c r="S42" s="91">
        <v>350</v>
      </c>
      <c r="T42" s="91">
        <v>450</v>
      </c>
      <c r="U42" s="91">
        <v>800</v>
      </c>
      <c r="V42" s="91">
        <v>531</v>
      </c>
      <c r="W42" s="91">
        <v>750</v>
      </c>
      <c r="X42" s="91">
        <v>650</v>
      </c>
      <c r="Y42" s="91">
        <v>750</v>
      </c>
      <c r="Z42" s="91">
        <v>900</v>
      </c>
      <c r="AA42" s="91">
        <v>1000</v>
      </c>
      <c r="AB42" s="91">
        <v>1200</v>
      </c>
      <c r="AC42" s="91">
        <v>1500</v>
      </c>
      <c r="AD42" s="315">
        <f t="shared" ref="AD42:AD43" si="69">SUM(R42:AC42)</f>
        <v>9231</v>
      </c>
      <c r="AE42" s="23"/>
      <c r="AF42" s="316">
        <v>1500</v>
      </c>
      <c r="AG42" s="91">
        <v>800</v>
      </c>
      <c r="AH42" s="91">
        <v>800</v>
      </c>
      <c r="AI42" s="91">
        <v>1820</v>
      </c>
      <c r="AJ42" s="91">
        <v>1630</v>
      </c>
      <c r="AK42" s="91">
        <v>1360</v>
      </c>
      <c r="AL42" s="91">
        <v>1000</v>
      </c>
      <c r="AM42" s="91">
        <v>1700</v>
      </c>
      <c r="AN42" s="91">
        <v>1700</v>
      </c>
      <c r="AO42" s="91">
        <v>1700</v>
      </c>
      <c r="AP42" s="91">
        <v>1870</v>
      </c>
      <c r="AQ42" s="91">
        <v>2720</v>
      </c>
      <c r="AR42" s="92">
        <f t="shared" ref="AR42:AR43" si="70">SUM(AF42:AQ42)</f>
        <v>18600</v>
      </c>
      <c r="AS42" s="23"/>
      <c r="AT42" s="91">
        <v>2053</v>
      </c>
      <c r="AU42" s="91">
        <v>2053</v>
      </c>
      <c r="AV42" s="91">
        <v>2053</v>
      </c>
      <c r="AW42" s="91">
        <v>2053</v>
      </c>
      <c r="AX42" s="91">
        <v>2807</v>
      </c>
      <c r="AY42" s="91">
        <v>2807</v>
      </c>
      <c r="AZ42" s="91">
        <v>2680</v>
      </c>
      <c r="BA42" s="91">
        <v>2680</v>
      </c>
      <c r="BB42" s="91">
        <v>2807</v>
      </c>
      <c r="BC42" s="91">
        <v>3318</v>
      </c>
      <c r="BD42" s="91">
        <v>5870</v>
      </c>
      <c r="BE42" s="91">
        <v>5104</v>
      </c>
      <c r="BF42" s="441">
        <f t="shared" si="62"/>
        <v>36285</v>
      </c>
      <c r="BG42" s="93">
        <f>BF42/AR42-1</f>
        <v>0.95080645161290334</v>
      </c>
      <c r="BH42" s="441"/>
      <c r="BI42" s="441"/>
      <c r="BJ42" s="441"/>
      <c r="BK42" s="441"/>
      <c r="BL42" s="91"/>
      <c r="BM42" s="91"/>
      <c r="BN42" s="91"/>
      <c r="BO42" s="91"/>
      <c r="BP42" s="91"/>
      <c r="BQ42" s="91"/>
      <c r="BR42" s="91"/>
      <c r="BS42" s="91"/>
      <c r="BT42" s="91">
        <f>SUM(BH42:BS42)</f>
        <v>0</v>
      </c>
      <c r="BU42" s="54"/>
      <c r="BV42" s="441"/>
      <c r="BW42" s="441"/>
      <c r="BX42" s="441"/>
      <c r="BY42" s="441"/>
      <c r="BZ42" s="441"/>
      <c r="CA42" s="91"/>
      <c r="CB42" s="91"/>
      <c r="CC42" s="91"/>
      <c r="CD42" s="91"/>
      <c r="CE42" s="91"/>
      <c r="CF42" s="91"/>
      <c r="CG42" s="91"/>
      <c r="CH42" s="91"/>
    </row>
    <row r="43" spans="1:87" ht="15.75" collapsed="1">
      <c r="A43" s="55"/>
      <c r="B43" s="56" t="s">
        <v>286</v>
      </c>
      <c r="C43" s="280"/>
      <c r="D43" s="288">
        <f t="shared" ref="D43:O43" si="71">SUM(D22:D42)</f>
        <v>0</v>
      </c>
      <c r="E43" s="57">
        <f t="shared" si="71"/>
        <v>0</v>
      </c>
      <c r="F43" s="57">
        <f t="shared" si="71"/>
        <v>0</v>
      </c>
      <c r="G43" s="57">
        <f t="shared" si="71"/>
        <v>0</v>
      </c>
      <c r="H43" s="57">
        <f t="shared" si="71"/>
        <v>0</v>
      </c>
      <c r="I43" s="57">
        <f t="shared" si="71"/>
        <v>0</v>
      </c>
      <c r="J43" s="57">
        <f t="shared" si="71"/>
        <v>0</v>
      </c>
      <c r="K43" s="57">
        <f t="shared" si="71"/>
        <v>0</v>
      </c>
      <c r="L43" s="57">
        <f t="shared" si="71"/>
        <v>0</v>
      </c>
      <c r="M43" s="57">
        <f t="shared" si="71"/>
        <v>0</v>
      </c>
      <c r="N43" s="57">
        <f t="shared" si="71"/>
        <v>0</v>
      </c>
      <c r="O43" s="57">
        <f t="shared" si="71"/>
        <v>0</v>
      </c>
      <c r="P43" s="289">
        <f t="shared" si="68"/>
        <v>0</v>
      </c>
      <c r="Q43" s="39"/>
      <c r="R43" s="288">
        <f t="shared" ref="R43:AC43" si="72">SUM(R22:R42)</f>
        <v>20557.543859649122</v>
      </c>
      <c r="S43" s="58">
        <f t="shared" si="72"/>
        <v>20512.543859649122</v>
      </c>
      <c r="T43" s="58">
        <f t="shared" si="72"/>
        <v>13699.771929824561</v>
      </c>
      <c r="U43" s="58">
        <f t="shared" si="72"/>
        <v>912.5</v>
      </c>
      <c r="V43" s="58">
        <f t="shared" si="72"/>
        <v>16851</v>
      </c>
      <c r="W43" s="290">
        <f t="shared" si="72"/>
        <v>13700</v>
      </c>
      <c r="X43" s="290">
        <f t="shared" si="72"/>
        <v>26050</v>
      </c>
      <c r="Y43" s="290">
        <f t="shared" si="72"/>
        <v>27750</v>
      </c>
      <c r="Z43" s="290">
        <f t="shared" si="72"/>
        <v>31100</v>
      </c>
      <c r="AA43" s="290">
        <f t="shared" si="72"/>
        <v>32100</v>
      </c>
      <c r="AB43" s="290">
        <f t="shared" si="72"/>
        <v>37500</v>
      </c>
      <c r="AC43" s="290">
        <f t="shared" si="72"/>
        <v>45300</v>
      </c>
      <c r="AD43" s="291">
        <f t="shared" si="69"/>
        <v>286033.35964912281</v>
      </c>
      <c r="AE43" s="59"/>
      <c r="AF43" s="292">
        <f>SUM(AF22:AF42)</f>
        <v>38500</v>
      </c>
      <c r="AG43" s="58">
        <f t="shared" ref="AG43:AQ43" si="73">SUM(AG22:AG42)</f>
        <v>22400</v>
      </c>
      <c r="AH43" s="58">
        <f t="shared" si="73"/>
        <v>10671</v>
      </c>
      <c r="AI43" s="58">
        <f t="shared" si="73"/>
        <v>16097</v>
      </c>
      <c r="AJ43" s="58">
        <f t="shared" si="73"/>
        <v>30278</v>
      </c>
      <c r="AK43" s="58">
        <f t="shared" si="73"/>
        <v>28560</v>
      </c>
      <c r="AL43" s="58">
        <f t="shared" si="73"/>
        <v>41700</v>
      </c>
      <c r="AM43" s="58">
        <f t="shared" si="73"/>
        <v>38700</v>
      </c>
      <c r="AN43" s="58">
        <f t="shared" si="73"/>
        <v>37300</v>
      </c>
      <c r="AO43" s="58">
        <f t="shared" si="73"/>
        <v>37400</v>
      </c>
      <c r="AP43" s="58">
        <f t="shared" si="73"/>
        <v>40640</v>
      </c>
      <c r="AQ43" s="58">
        <f t="shared" si="73"/>
        <v>54440</v>
      </c>
      <c r="AR43" s="58">
        <f t="shared" si="70"/>
        <v>396686</v>
      </c>
      <c r="AS43" s="59"/>
      <c r="AT43" s="58">
        <f t="shared" ref="AT43:BE43" si="74">SUM(AT22:AT42)</f>
        <v>36153</v>
      </c>
      <c r="AU43" s="58">
        <f>SUM(AU22:AU42)</f>
        <v>35289</v>
      </c>
      <c r="AV43" s="58">
        <f t="shared" si="74"/>
        <v>35872</v>
      </c>
      <c r="AW43" s="58">
        <f t="shared" si="74"/>
        <v>38031</v>
      </c>
      <c r="AX43" s="58">
        <f t="shared" si="74"/>
        <v>33566</v>
      </c>
      <c r="AY43" s="58">
        <f t="shared" si="74"/>
        <v>33566</v>
      </c>
      <c r="AZ43" s="58">
        <f t="shared" si="74"/>
        <v>30896</v>
      </c>
      <c r="BA43" s="58">
        <f t="shared" si="74"/>
        <v>31146</v>
      </c>
      <c r="BB43" s="58">
        <f t="shared" si="74"/>
        <v>32630</v>
      </c>
      <c r="BC43" s="58">
        <f t="shared" si="74"/>
        <v>38562</v>
      </c>
      <c r="BD43" s="58">
        <f t="shared" si="74"/>
        <v>41345</v>
      </c>
      <c r="BE43" s="58">
        <f t="shared" si="74"/>
        <v>49263</v>
      </c>
      <c r="BF43" s="58">
        <f>SUM(AT43:BE43)</f>
        <v>436319</v>
      </c>
      <c r="BG43" s="59">
        <f>BF43-AR43</f>
        <v>39633</v>
      </c>
      <c r="BH43" s="58">
        <v>36153</v>
      </c>
      <c r="BI43" s="58">
        <v>35289</v>
      </c>
      <c r="BJ43" s="58">
        <v>35872</v>
      </c>
      <c r="BK43" s="58">
        <v>38031</v>
      </c>
      <c r="BL43" s="58">
        <v>38570</v>
      </c>
      <c r="BM43" s="58">
        <v>39227</v>
      </c>
      <c r="BN43" s="58">
        <v>41128</v>
      </c>
      <c r="BO43" s="58">
        <v>38191</v>
      </c>
      <c r="BP43" s="58">
        <v>38191</v>
      </c>
      <c r="BQ43" s="58">
        <v>40225</v>
      </c>
      <c r="BR43" s="58">
        <v>43272</v>
      </c>
      <c r="BS43" s="58">
        <v>60327</v>
      </c>
      <c r="BT43" s="58">
        <f t="shared" ref="BT43:BT47" si="75">SUM(BH43:BS43)</f>
        <v>484476</v>
      </c>
      <c r="BU43" s="60"/>
      <c r="BV43" s="58">
        <f>SUM(BV22:BV39)</f>
        <v>35797.912472643162</v>
      </c>
      <c r="BW43" s="58">
        <f t="shared" ref="BW43:CG43" si="76">SUM(BW22:BW39)</f>
        <v>27268.538792847521</v>
      </c>
      <c r="BX43" s="58">
        <f t="shared" si="76"/>
        <v>34357.668832234456</v>
      </c>
      <c r="BY43" s="58">
        <f t="shared" si="76"/>
        <v>29626.958292847525</v>
      </c>
      <c r="BZ43" s="58">
        <f t="shared" si="76"/>
        <v>34139.121332234456</v>
      </c>
      <c r="CA43" s="58">
        <f t="shared" si="76"/>
        <v>39503.881972643161</v>
      </c>
      <c r="CB43" s="58">
        <f t="shared" si="76"/>
        <v>45728.836911008315</v>
      </c>
      <c r="CC43" s="58">
        <f t="shared" si="76"/>
        <v>32260.226972643166</v>
      </c>
      <c r="CD43" s="58">
        <f t="shared" si="76"/>
        <v>33331.522972643164</v>
      </c>
      <c r="CE43" s="58">
        <f t="shared" si="76"/>
        <v>35213.881472643166</v>
      </c>
      <c r="CF43" s="58">
        <f t="shared" si="76"/>
        <v>46168.878068556034</v>
      </c>
      <c r="CG43" s="58">
        <f t="shared" si="76"/>
        <v>57905.502691825735</v>
      </c>
      <c r="CH43" s="58">
        <f>SUM(BV43:CG43)</f>
        <v>451302.93078476982</v>
      </c>
      <c r="CI43" s="395">
        <f>(CH43-BT52)/BT52</f>
        <v>5.1833718555945915E-2</v>
      </c>
    </row>
    <row r="44" spans="1:87">
      <c r="A44" s="99"/>
      <c r="B44" s="451" t="s">
        <v>73</v>
      </c>
      <c r="C44" s="328"/>
      <c r="D44" s="301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302"/>
      <c r="Q44" s="74"/>
      <c r="R44" s="301"/>
      <c r="S44" s="69"/>
      <c r="T44" s="69"/>
      <c r="U44" s="69"/>
      <c r="V44" s="303"/>
      <c r="W44" s="304"/>
      <c r="X44" s="304"/>
      <c r="Y44" s="304"/>
      <c r="Z44" s="304"/>
      <c r="AA44" s="304"/>
      <c r="AB44" s="304"/>
      <c r="AC44" s="75"/>
      <c r="AD44" s="76"/>
      <c r="AE44" s="77"/>
      <c r="AF44" s="305"/>
      <c r="AG44" s="69"/>
      <c r="AH44" s="69"/>
      <c r="AI44" s="69"/>
      <c r="AJ44" s="303"/>
      <c r="AK44" s="303"/>
      <c r="AL44" s="303"/>
      <c r="AM44" s="303"/>
      <c r="AN44" s="69"/>
      <c r="AO44" s="69"/>
      <c r="AP44" s="69"/>
      <c r="AQ44" s="69"/>
      <c r="AR44" s="306"/>
      <c r="AS44" s="77"/>
      <c r="AT44" s="69"/>
      <c r="AU44" s="69"/>
      <c r="AV44" s="69"/>
      <c r="AW44" s="69"/>
      <c r="AX44" s="69"/>
      <c r="AY44" s="69">
        <v>15000</v>
      </c>
      <c r="AZ44" s="69">
        <v>15000</v>
      </c>
      <c r="BA44" s="69">
        <f t="shared" ref="BA44:BB44" si="77">BA43*70%</f>
        <v>21802.199999999997</v>
      </c>
      <c r="BB44" s="69">
        <f t="shared" si="77"/>
        <v>22841</v>
      </c>
      <c r="BC44" s="69">
        <v>35000</v>
      </c>
      <c r="BD44" s="69">
        <v>35000</v>
      </c>
      <c r="BE44" s="69">
        <v>42000</v>
      </c>
      <c r="BF44" s="69">
        <f t="shared" si="62"/>
        <v>186643.20000000001</v>
      </c>
      <c r="BG44" s="77"/>
      <c r="BH44" s="69">
        <f t="shared" ref="BH44:BM44" si="78">BH43*0.8</f>
        <v>28922.400000000001</v>
      </c>
      <c r="BI44" s="69">
        <f t="shared" si="78"/>
        <v>28231.200000000001</v>
      </c>
      <c r="BJ44" s="69">
        <f t="shared" si="78"/>
        <v>28697.600000000002</v>
      </c>
      <c r="BK44" s="69">
        <f t="shared" si="78"/>
        <v>30424.800000000003</v>
      </c>
      <c r="BL44" s="69">
        <f t="shared" si="78"/>
        <v>30856</v>
      </c>
      <c r="BM44" s="69">
        <f t="shared" si="78"/>
        <v>31381.600000000002</v>
      </c>
      <c r="BN44" s="69">
        <f>BN43*0.85</f>
        <v>34958.799999999996</v>
      </c>
      <c r="BO44" s="69">
        <v>29000</v>
      </c>
      <c r="BP44" s="69">
        <v>40223</v>
      </c>
      <c r="BQ44" s="69">
        <v>36735</v>
      </c>
      <c r="BR44" s="69">
        <v>36933</v>
      </c>
      <c r="BS44" s="69">
        <v>52283</v>
      </c>
      <c r="BT44" s="69">
        <f t="shared" si="75"/>
        <v>408646.40000000002</v>
      </c>
      <c r="BU44" s="28"/>
      <c r="BV44" s="69">
        <f>BV43*0.8</f>
        <v>28638.329978114532</v>
      </c>
      <c r="BW44" s="69">
        <f>BW43*0.8</f>
        <v>21814.831034278017</v>
      </c>
      <c r="BX44" s="69">
        <f t="shared" ref="BX44:CG44" si="79">BX43*0.8</f>
        <v>27486.135065787566</v>
      </c>
      <c r="BY44" s="69">
        <f t="shared" si="79"/>
        <v>23701.566634278021</v>
      </c>
      <c r="BZ44" s="69">
        <f t="shared" si="79"/>
        <v>27311.297065787567</v>
      </c>
      <c r="CA44" s="69">
        <f t="shared" si="79"/>
        <v>31603.10557811453</v>
      </c>
      <c r="CB44" s="69">
        <f t="shared" si="79"/>
        <v>36583.069528806656</v>
      </c>
      <c r="CC44" s="69">
        <f t="shared" si="79"/>
        <v>25808.181578114534</v>
      </c>
      <c r="CD44" s="69">
        <f t="shared" si="79"/>
        <v>26665.218378114532</v>
      </c>
      <c r="CE44" s="69">
        <f t="shared" si="79"/>
        <v>28171.105178114536</v>
      </c>
      <c r="CF44" s="69">
        <f t="shared" si="79"/>
        <v>36935.102454844826</v>
      </c>
      <c r="CG44" s="69">
        <f t="shared" si="79"/>
        <v>46324.402153460593</v>
      </c>
      <c r="CH44" s="69"/>
      <c r="CI44" s="395"/>
    </row>
    <row r="45" spans="1:87" ht="14.25" customHeight="1">
      <c r="A45" s="55" t="s">
        <v>74</v>
      </c>
      <c r="B45" s="56"/>
      <c r="C45" s="280"/>
      <c r="D45" s="288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289"/>
      <c r="Q45" s="39"/>
      <c r="R45" s="288"/>
      <c r="S45" s="58"/>
      <c r="T45" s="58"/>
      <c r="U45" s="58"/>
      <c r="V45" s="58"/>
      <c r="W45" s="290"/>
      <c r="X45" s="290"/>
      <c r="Y45" s="290"/>
      <c r="Z45" s="290"/>
      <c r="AA45" s="290"/>
      <c r="AB45" s="290"/>
      <c r="AC45" s="290"/>
      <c r="AD45" s="291"/>
      <c r="AE45" s="59"/>
      <c r="AF45" s="292"/>
      <c r="AG45" s="58"/>
      <c r="AH45" s="58"/>
      <c r="AI45" s="58"/>
      <c r="AJ45" s="58"/>
      <c r="AK45" s="58"/>
      <c r="AL45" s="58">
        <f>AL43/AVERAGE($AF$43:$AQ$43)</f>
        <v>1.2614511225503295</v>
      </c>
      <c r="AM45" s="58"/>
      <c r="AN45" s="58"/>
      <c r="AO45" s="58"/>
      <c r="AP45" s="58">
        <f t="shared" ref="AP45:AQ45" si="80">AP43/AVERAGE($AF$43:$AQ$43)</f>
        <v>1.2293854585238704</v>
      </c>
      <c r="AQ45" s="58">
        <f t="shared" si="80"/>
        <v>1.6468441033966412</v>
      </c>
      <c r="AR45" s="58"/>
      <c r="AS45" s="59"/>
      <c r="AT45" s="58">
        <v>109190</v>
      </c>
      <c r="AU45" s="58">
        <v>153667</v>
      </c>
      <c r="AV45" s="58">
        <v>178778</v>
      </c>
      <c r="AW45" s="58">
        <v>151970</v>
      </c>
      <c r="AX45" s="58">
        <v>142416</v>
      </c>
      <c r="AY45" s="58">
        <v>177335</v>
      </c>
      <c r="AZ45" s="58">
        <v>152230</v>
      </c>
      <c r="BA45" s="58">
        <v>245527</v>
      </c>
      <c r="BB45" s="58">
        <f>5261504/27</f>
        <v>194870.51851851851</v>
      </c>
      <c r="BC45" s="58">
        <f>5784000/27</f>
        <v>214222.22222222222</v>
      </c>
      <c r="BD45" s="58">
        <f>3224000/27</f>
        <v>119407.4074074074</v>
      </c>
      <c r="BE45" s="58">
        <f>909800/27</f>
        <v>33696.296296296299</v>
      </c>
      <c r="BF45" s="58">
        <f t="shared" si="62"/>
        <v>1873309.4444444445</v>
      </c>
      <c r="BG45" s="59"/>
      <c r="BH45" s="58">
        <v>156208</v>
      </c>
      <c r="BI45" s="58">
        <v>147340</v>
      </c>
      <c r="BJ45" s="58">
        <v>166759</v>
      </c>
      <c r="BK45" s="58">
        <v>152352</v>
      </c>
      <c r="BL45" s="58">
        <v>128446</v>
      </c>
      <c r="BM45" s="58">
        <v>126790</v>
      </c>
      <c r="BN45" s="58">
        <v>173761</v>
      </c>
      <c r="BO45" s="58">
        <f>144510.599073001+BO44</f>
        <v>173510.59907300101</v>
      </c>
      <c r="BP45" s="58">
        <f>162574.422556972+BP44</f>
        <v>202797.42255697199</v>
      </c>
      <c r="BQ45" s="58">
        <f>166187.186558517+BQ44</f>
        <v>202922.18655851699</v>
      </c>
      <c r="BR45" s="58">
        <f>BQ20+BR16*0.6</f>
        <v>232502.36</v>
      </c>
      <c r="BS45" s="58">
        <f>BR16*0.4+BS16*0.5</f>
        <v>116391.04000000001</v>
      </c>
      <c r="BT45" s="58">
        <f t="shared" si="75"/>
        <v>1979779.6081884899</v>
      </c>
      <c r="BU45" s="60"/>
      <c r="BV45" s="58">
        <v>98000</v>
      </c>
      <c r="BW45" s="58">
        <f>BW44+BW20</f>
        <v>147381.66148608096</v>
      </c>
      <c r="BX45" s="58">
        <f t="shared" ref="BX45" si="81">BX44+BX20</f>
        <v>188447.673527326</v>
      </c>
      <c r="BY45" s="58">
        <f t="shared" ref="BY45:CG45" si="82">BK45</f>
        <v>152352</v>
      </c>
      <c r="BZ45" s="58">
        <f t="shared" si="82"/>
        <v>128446</v>
      </c>
      <c r="CA45" s="58">
        <f t="shared" si="82"/>
        <v>126790</v>
      </c>
      <c r="CB45" s="58">
        <f t="shared" si="82"/>
        <v>173761</v>
      </c>
      <c r="CC45" s="58">
        <f t="shared" si="82"/>
        <v>173510.59907300101</v>
      </c>
      <c r="CD45" s="58">
        <f t="shared" si="82"/>
        <v>202797.42255697199</v>
      </c>
      <c r="CE45" s="58">
        <f t="shared" si="82"/>
        <v>202922.18655851699</v>
      </c>
      <c r="CF45" s="58">
        <f t="shared" si="82"/>
        <v>232502.36</v>
      </c>
      <c r="CG45" s="58">
        <f t="shared" si="82"/>
        <v>116391.04000000001</v>
      </c>
      <c r="CH45" s="58"/>
    </row>
    <row r="46" spans="1:87">
      <c r="A46" s="101" t="s">
        <v>75</v>
      </c>
      <c r="B46" s="102"/>
      <c r="C46" s="260"/>
      <c r="D46" s="277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262"/>
      <c r="Q46" s="15"/>
      <c r="R46" s="277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263"/>
      <c r="AE46" s="16"/>
      <c r="AF46" s="261">
        <v>133791</v>
      </c>
      <c r="AG46" s="14">
        <v>166459</v>
      </c>
      <c r="AH46" s="14">
        <v>149450</v>
      </c>
      <c r="AI46" s="14">
        <v>151073</v>
      </c>
      <c r="AJ46" s="14">
        <v>192944</v>
      </c>
      <c r="AK46" s="14">
        <v>166139</v>
      </c>
      <c r="AL46" s="14">
        <v>151874</v>
      </c>
      <c r="AM46" s="14">
        <v>157771</v>
      </c>
      <c r="AN46" s="14">
        <v>200312</v>
      </c>
      <c r="AO46" s="14">
        <v>202691</v>
      </c>
      <c r="AP46" s="14">
        <v>207768</v>
      </c>
      <c r="AQ46" s="14">
        <v>113286</v>
      </c>
      <c r="AR46" s="14">
        <f>SUM(AF46:AK46)</f>
        <v>959856</v>
      </c>
      <c r="AS46" s="17"/>
      <c r="AT46" s="14">
        <v>89680</v>
      </c>
      <c r="AU46" s="14">
        <v>128308</v>
      </c>
      <c r="AV46" s="14">
        <v>144871</v>
      </c>
      <c r="AW46" s="32">
        <v>161772</v>
      </c>
      <c r="AX46" s="32">
        <v>144516</v>
      </c>
      <c r="AY46" s="32">
        <v>103667</v>
      </c>
      <c r="AZ46" s="32">
        <v>141023</v>
      </c>
      <c r="BA46" s="32">
        <v>172093</v>
      </c>
      <c r="BB46" s="32">
        <f>166606+10000</f>
        <v>176606</v>
      </c>
      <c r="BC46" s="32">
        <v>181091</v>
      </c>
      <c r="BD46" s="32">
        <v>169802</v>
      </c>
      <c r="BE46" s="32">
        <v>120406</v>
      </c>
      <c r="BF46" s="32">
        <f t="shared" si="62"/>
        <v>1733835</v>
      </c>
      <c r="BG46" s="17">
        <f>BG43/AR43</f>
        <v>9.9910256474894502E-2</v>
      </c>
      <c r="BH46" s="14">
        <v>78906</v>
      </c>
      <c r="BI46" s="14">
        <v>119296</v>
      </c>
      <c r="BJ46" s="14">
        <v>165286</v>
      </c>
      <c r="BK46" s="14">
        <v>144532</v>
      </c>
      <c r="BL46" s="32">
        <v>157691</v>
      </c>
      <c r="BM46" s="32">
        <v>129096</v>
      </c>
      <c r="BN46" s="32">
        <v>125800</v>
      </c>
      <c r="BO46" s="32">
        <v>176354</v>
      </c>
      <c r="BP46" s="32">
        <v>173554</v>
      </c>
      <c r="BQ46" s="32">
        <v>185766</v>
      </c>
      <c r="BR46" s="32"/>
      <c r="BS46" s="32"/>
      <c r="BT46" s="32">
        <f t="shared" si="75"/>
        <v>1456281</v>
      </c>
      <c r="BU46" s="28"/>
      <c r="BV46" s="14"/>
      <c r="BW46" s="14"/>
      <c r="BX46" s="14"/>
      <c r="BY46" s="32"/>
      <c r="BZ46" s="32"/>
      <c r="CA46" s="32"/>
      <c r="CB46" s="32"/>
      <c r="CC46" s="32"/>
      <c r="CD46" s="32"/>
      <c r="CE46" s="32"/>
      <c r="CF46" s="32"/>
      <c r="CG46" s="32"/>
      <c r="CH46" s="32"/>
    </row>
    <row r="47" spans="1:87" ht="15.75" customHeight="1">
      <c r="A47" s="103"/>
      <c r="B47" s="329" t="s">
        <v>76</v>
      </c>
      <c r="C47" s="330"/>
      <c r="D47" s="331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332"/>
      <c r="Q47" s="105"/>
      <c r="R47" s="333"/>
      <c r="S47" s="333"/>
      <c r="T47" s="333"/>
      <c r="U47" s="333"/>
      <c r="V47" s="333"/>
      <c r="W47" s="333"/>
      <c r="X47" s="333"/>
      <c r="Y47" s="333"/>
      <c r="Z47" s="333"/>
      <c r="AA47" s="333"/>
      <c r="AB47" s="333"/>
      <c r="AC47" s="333"/>
      <c r="AD47" s="334"/>
      <c r="AE47" s="106"/>
      <c r="AF47" s="333">
        <f t="shared" ref="AF47:AQ47" si="83">AF46-AF15</f>
        <v>133789.61233193052</v>
      </c>
      <c r="AG47" s="333">
        <f t="shared" si="83"/>
        <v>166455.18212811041</v>
      </c>
      <c r="AH47" s="333">
        <f t="shared" si="83"/>
        <v>149445.6750486806</v>
      </c>
      <c r="AI47" s="333">
        <f t="shared" si="83"/>
        <v>151069.89671180834</v>
      </c>
      <c r="AJ47" s="333">
        <f t="shared" si="83"/>
        <v>192941.30225498116</v>
      </c>
      <c r="AK47" s="333">
        <f t="shared" si="83"/>
        <v>166135.93659001941</v>
      </c>
      <c r="AL47" s="333">
        <f t="shared" si="83"/>
        <v>151872.02367906639</v>
      </c>
      <c r="AM47" s="333">
        <f t="shared" si="83"/>
        <v>157769.11460684196</v>
      </c>
      <c r="AN47" s="333">
        <f t="shared" si="83"/>
        <v>200310.23982805785</v>
      </c>
      <c r="AO47" s="333">
        <f t="shared" si="83"/>
        <v>202687.95708177862</v>
      </c>
      <c r="AP47" s="333">
        <f t="shared" si="83"/>
        <v>207764.67332379395</v>
      </c>
      <c r="AQ47" s="333">
        <f t="shared" si="83"/>
        <v>113283.89842503319</v>
      </c>
      <c r="AR47" s="107">
        <f t="shared" ref="AR47:AR55" si="84">SUM(AF47:AQ47)</f>
        <v>1993525.5120101024</v>
      </c>
      <c r="AS47" s="106"/>
      <c r="AT47" s="333">
        <f t="shared" ref="AT47:BE47" si="85">AT46-AT45</f>
        <v>-19510</v>
      </c>
      <c r="AU47" s="333">
        <f t="shared" si="85"/>
        <v>-25359</v>
      </c>
      <c r="AV47" s="333">
        <f t="shared" si="85"/>
        <v>-33907</v>
      </c>
      <c r="AW47" s="333">
        <f t="shared" si="85"/>
        <v>9802</v>
      </c>
      <c r="AX47" s="333">
        <f t="shared" si="85"/>
        <v>2100</v>
      </c>
      <c r="AY47" s="333">
        <f t="shared" si="85"/>
        <v>-73668</v>
      </c>
      <c r="AZ47" s="333">
        <f t="shared" si="85"/>
        <v>-11207</v>
      </c>
      <c r="BA47" s="333">
        <f t="shared" si="85"/>
        <v>-73434</v>
      </c>
      <c r="BB47" s="333">
        <f t="shared" si="85"/>
        <v>-18264.518518518511</v>
      </c>
      <c r="BC47" s="333">
        <f t="shared" si="85"/>
        <v>-33131.222222222219</v>
      </c>
      <c r="BD47" s="333">
        <f t="shared" si="85"/>
        <v>50394.592592592599</v>
      </c>
      <c r="BE47" s="333">
        <f t="shared" si="85"/>
        <v>86709.703703703708</v>
      </c>
      <c r="BF47" s="108">
        <f t="shared" si="62"/>
        <v>-139474.44444444444</v>
      </c>
      <c r="BG47" s="106"/>
      <c r="BH47" s="333">
        <f t="shared" ref="BH47:BQ47" si="86">BH46-BH45</f>
        <v>-77302</v>
      </c>
      <c r="BI47" s="333">
        <f t="shared" si="86"/>
        <v>-28044</v>
      </c>
      <c r="BJ47" s="333">
        <f t="shared" si="86"/>
        <v>-1473</v>
      </c>
      <c r="BK47" s="333">
        <f t="shared" si="86"/>
        <v>-7820</v>
      </c>
      <c r="BL47" s="333">
        <f t="shared" si="86"/>
        <v>29245</v>
      </c>
      <c r="BM47" s="333">
        <f t="shared" si="86"/>
        <v>2306</v>
      </c>
      <c r="BN47" s="333">
        <f t="shared" si="86"/>
        <v>-47961</v>
      </c>
      <c r="BO47" s="333">
        <f t="shared" si="86"/>
        <v>2843.4009269989911</v>
      </c>
      <c r="BP47" s="333">
        <f t="shared" si="86"/>
        <v>-29243.422556971986</v>
      </c>
      <c r="BQ47" s="333">
        <f t="shared" si="86"/>
        <v>-17156.186558516987</v>
      </c>
      <c r="BR47" s="108"/>
      <c r="BS47" s="108"/>
      <c r="BT47" s="108">
        <f t="shared" si="75"/>
        <v>-174605.20818848998</v>
      </c>
      <c r="BU47" s="28"/>
      <c r="BV47" s="333"/>
      <c r="BW47" s="333"/>
      <c r="BX47" s="333"/>
      <c r="BY47" s="333"/>
      <c r="BZ47" s="108"/>
      <c r="CA47" s="108"/>
      <c r="CB47" s="108"/>
      <c r="CC47" s="108"/>
      <c r="CD47" s="108"/>
      <c r="CE47" s="108"/>
      <c r="CF47" s="108"/>
      <c r="CG47" s="108"/>
      <c r="CH47" s="108"/>
    </row>
    <row r="48" spans="1:87" ht="15.75" customHeight="1">
      <c r="A48" s="94">
        <v>5</v>
      </c>
      <c r="B48" s="210" t="s">
        <v>77</v>
      </c>
      <c r="C48" s="335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>
        <v>0</v>
      </c>
      <c r="P48" s="314">
        <f>SUM(D48:O48)</f>
        <v>0</v>
      </c>
      <c r="Q48" s="90"/>
      <c r="R48" s="313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315">
        <f>SUM(R48:AC48)</f>
        <v>0</v>
      </c>
      <c r="AE48" s="23"/>
      <c r="AF48" s="316">
        <v>0</v>
      </c>
      <c r="AG48" s="91">
        <v>0</v>
      </c>
      <c r="AH48" s="91">
        <v>0</v>
      </c>
      <c r="AI48" s="91">
        <v>0</v>
      </c>
      <c r="AJ48" s="91">
        <v>0</v>
      </c>
      <c r="AK48" s="91">
        <v>0</v>
      </c>
      <c r="AL48" s="91">
        <v>0</v>
      </c>
      <c r="AM48" s="91">
        <v>0</v>
      </c>
      <c r="AN48" s="91">
        <v>0</v>
      </c>
      <c r="AO48" s="91">
        <v>0</v>
      </c>
      <c r="AP48" s="91"/>
      <c r="AQ48" s="91">
        <v>8938</v>
      </c>
      <c r="AR48" s="92">
        <f t="shared" si="84"/>
        <v>8938</v>
      </c>
      <c r="AS48" s="23"/>
      <c r="AT48" s="91">
        <v>106642</v>
      </c>
      <c r="AU48" s="91">
        <v>90699</v>
      </c>
      <c r="AV48" s="91">
        <v>89681</v>
      </c>
      <c r="AW48" s="91">
        <v>58790</v>
      </c>
      <c r="AX48" s="91">
        <v>35520</v>
      </c>
      <c r="AY48" s="91">
        <v>61551</v>
      </c>
      <c r="AZ48" s="91">
        <v>71511</v>
      </c>
      <c r="BA48" s="91">
        <v>63617</v>
      </c>
      <c r="BB48" s="91">
        <v>66748</v>
      </c>
      <c r="BC48" s="91">
        <v>75532</v>
      </c>
      <c r="BD48" s="91">
        <v>37786</v>
      </c>
      <c r="BE48" s="91">
        <v>4503</v>
      </c>
      <c r="BF48" s="91">
        <f t="shared" si="62"/>
        <v>762580</v>
      </c>
      <c r="BG48" s="27"/>
      <c r="BH48" s="91">
        <v>69404</v>
      </c>
      <c r="BI48" s="91">
        <v>80412</v>
      </c>
      <c r="BJ48" s="91">
        <v>94386</v>
      </c>
      <c r="BK48" s="91">
        <v>78313</v>
      </c>
      <c r="BL48" s="91">
        <v>47034</v>
      </c>
      <c r="BM48" s="91">
        <v>50851</v>
      </c>
      <c r="BN48" s="91">
        <v>93202</v>
      </c>
      <c r="BO48" s="91">
        <v>100687</v>
      </c>
      <c r="BP48" s="91">
        <v>127995</v>
      </c>
      <c r="BQ48" s="91">
        <v>122686</v>
      </c>
      <c r="BR48" s="91"/>
      <c r="BS48" s="91"/>
      <c r="BT48" s="91"/>
      <c r="BU48" s="28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</row>
    <row r="49" spans="1:87">
      <c r="A49" s="13" t="s">
        <v>78</v>
      </c>
      <c r="B49" s="259"/>
      <c r="C49" s="260"/>
      <c r="D49" s="277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262"/>
      <c r="Q49" s="15"/>
      <c r="R49" s="277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263"/>
      <c r="AE49" s="16"/>
      <c r="AF49" s="261">
        <f t="shared" ref="AF49:AQ49" si="87">AF50+AF52</f>
        <v>118364</v>
      </c>
      <c r="AG49" s="261">
        <f t="shared" si="87"/>
        <v>173742</v>
      </c>
      <c r="AH49" s="261">
        <f t="shared" si="87"/>
        <v>73470</v>
      </c>
      <c r="AI49" s="261">
        <f t="shared" si="87"/>
        <v>87377</v>
      </c>
      <c r="AJ49" s="261">
        <f t="shared" si="87"/>
        <v>119657</v>
      </c>
      <c r="AK49" s="261">
        <f t="shared" si="87"/>
        <v>154747</v>
      </c>
      <c r="AL49" s="261">
        <f t="shared" si="87"/>
        <v>138073</v>
      </c>
      <c r="AM49" s="261">
        <f t="shared" si="87"/>
        <v>180773</v>
      </c>
      <c r="AN49" s="261">
        <f t="shared" si="87"/>
        <v>194598</v>
      </c>
      <c r="AO49" s="261">
        <f t="shared" si="87"/>
        <v>242931</v>
      </c>
      <c r="AP49" s="261">
        <f t="shared" si="87"/>
        <v>107346</v>
      </c>
      <c r="AQ49" s="261">
        <f t="shared" si="87"/>
        <v>87384</v>
      </c>
      <c r="AR49" s="14">
        <f t="shared" si="84"/>
        <v>1678462</v>
      </c>
      <c r="AS49" s="17"/>
      <c r="AT49" s="261">
        <f t="shared" ref="AT49:BE49" si="88">AT50+AT52</f>
        <v>155346</v>
      </c>
      <c r="AU49" s="261">
        <f t="shared" si="88"/>
        <v>123370</v>
      </c>
      <c r="AV49" s="261">
        <f t="shared" si="88"/>
        <v>144065</v>
      </c>
      <c r="AW49" s="261">
        <f t="shared" si="88"/>
        <v>127865</v>
      </c>
      <c r="AX49" s="261">
        <f t="shared" si="88"/>
        <v>123461</v>
      </c>
      <c r="AY49" s="261">
        <f t="shared" si="88"/>
        <v>121196</v>
      </c>
      <c r="AZ49" s="261">
        <f t="shared" si="88"/>
        <v>168029</v>
      </c>
      <c r="BA49" s="261">
        <f t="shared" si="88"/>
        <v>164268</v>
      </c>
      <c r="BB49" s="261">
        <f t="shared" si="88"/>
        <v>185112</v>
      </c>
      <c r="BC49" s="261">
        <f t="shared" si="88"/>
        <v>147235</v>
      </c>
      <c r="BD49" s="261">
        <f t="shared" si="88"/>
        <v>135608</v>
      </c>
      <c r="BE49" s="261">
        <f t="shared" si="88"/>
        <v>90194</v>
      </c>
      <c r="BF49" s="32">
        <f t="shared" si="62"/>
        <v>1685749</v>
      </c>
      <c r="BG49" s="35">
        <f t="shared" ref="BG49:BG50" si="89">BF49/AR49-1</f>
        <v>4.3414745165515356E-3</v>
      </c>
      <c r="BH49" s="261">
        <f>BH50+BH52</f>
        <v>144332</v>
      </c>
      <c r="BI49" s="261">
        <f t="shared" ref="BI49:BQ49" si="90">BI50+BI52</f>
        <v>128781</v>
      </c>
      <c r="BJ49" s="261">
        <f t="shared" si="90"/>
        <v>193129</v>
      </c>
      <c r="BK49" s="261">
        <f t="shared" si="90"/>
        <v>106092</v>
      </c>
      <c r="BL49" s="261">
        <f t="shared" si="90"/>
        <v>132638</v>
      </c>
      <c r="BM49" s="261">
        <f t="shared" si="90"/>
        <v>139193</v>
      </c>
      <c r="BN49" s="261">
        <f t="shared" si="90"/>
        <v>173703</v>
      </c>
      <c r="BO49" s="261">
        <f t="shared" si="90"/>
        <v>186902</v>
      </c>
      <c r="BP49" s="261">
        <f t="shared" si="90"/>
        <v>200686</v>
      </c>
      <c r="BQ49" s="261">
        <f t="shared" si="90"/>
        <v>191324</v>
      </c>
      <c r="BR49" s="14"/>
      <c r="BS49" s="14"/>
      <c r="BT49" s="14">
        <f t="shared" ref="BT49:BT54" si="91">SUM(BH49:BS49)</f>
        <v>1596780</v>
      </c>
      <c r="BU49" s="18"/>
      <c r="BV49" s="261"/>
      <c r="BW49" s="261"/>
      <c r="BX49" s="261"/>
      <c r="BY49" s="261"/>
      <c r="BZ49" s="14"/>
      <c r="CA49" s="14"/>
      <c r="CB49" s="14"/>
      <c r="CC49" s="14"/>
      <c r="CD49" s="14"/>
      <c r="CE49" s="14"/>
      <c r="CF49" s="14"/>
      <c r="CG49" s="14"/>
      <c r="CH49" s="14"/>
    </row>
    <row r="50" spans="1:87" ht="15.75" customHeight="1">
      <c r="A50" s="210"/>
      <c r="B50" s="210" t="s">
        <v>79</v>
      </c>
      <c r="C50" s="316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92193</v>
      </c>
      <c r="AG50" s="91">
        <v>152006</v>
      </c>
      <c r="AH50" s="91">
        <v>62734</v>
      </c>
      <c r="AI50" s="91">
        <v>71526</v>
      </c>
      <c r="AJ50" s="91">
        <v>89409</v>
      </c>
      <c r="AK50" s="91">
        <v>120675</v>
      </c>
      <c r="AL50" s="91">
        <v>100592</v>
      </c>
      <c r="AM50" s="91">
        <v>148128</v>
      </c>
      <c r="AN50" s="91">
        <v>164346</v>
      </c>
      <c r="AO50" s="91">
        <v>203437</v>
      </c>
      <c r="AP50" s="91">
        <v>64957</v>
      </c>
      <c r="AQ50" s="91">
        <v>31837</v>
      </c>
      <c r="AR50" s="92">
        <f t="shared" si="84"/>
        <v>1301840</v>
      </c>
      <c r="AS50" s="23"/>
      <c r="AT50" s="91">
        <v>125048</v>
      </c>
      <c r="AU50" s="91">
        <v>96006</v>
      </c>
      <c r="AV50" s="91">
        <v>111470</v>
      </c>
      <c r="AW50" s="91">
        <v>99222</v>
      </c>
      <c r="AX50" s="91">
        <v>91253</v>
      </c>
      <c r="AY50" s="91">
        <v>90595</v>
      </c>
      <c r="AZ50" s="91">
        <v>129147</v>
      </c>
      <c r="BA50" s="91">
        <v>133525</v>
      </c>
      <c r="BB50" s="91">
        <v>159291</v>
      </c>
      <c r="BC50" s="91">
        <v>115573</v>
      </c>
      <c r="BD50" s="91">
        <v>98386</v>
      </c>
      <c r="BE50" s="91">
        <v>36527</v>
      </c>
      <c r="BF50" s="91">
        <f t="shared" si="62"/>
        <v>1286043</v>
      </c>
      <c r="BG50" s="93">
        <f t="shared" si="89"/>
        <v>-1.2134363669882631E-2</v>
      </c>
      <c r="BH50" s="91">
        <v>110235</v>
      </c>
      <c r="BI50" s="91">
        <v>103047</v>
      </c>
      <c r="BJ50" s="91">
        <v>158855</v>
      </c>
      <c r="BK50" s="91">
        <v>77254</v>
      </c>
      <c r="BL50" s="91">
        <v>99853</v>
      </c>
      <c r="BM50" s="91">
        <v>100723</v>
      </c>
      <c r="BN50" s="91">
        <v>125338</v>
      </c>
      <c r="BO50" s="91">
        <v>153622</v>
      </c>
      <c r="BP50" s="91">
        <v>166483</v>
      </c>
      <c r="BQ50" s="91">
        <v>156140</v>
      </c>
      <c r="BR50" s="91">
        <v>111391</v>
      </c>
      <c r="BS50" s="91">
        <v>26768</v>
      </c>
      <c r="BT50" s="91">
        <f t="shared" si="91"/>
        <v>1389709</v>
      </c>
      <c r="BU50" s="28"/>
      <c r="BV50" s="91">
        <v>54245</v>
      </c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</row>
    <row r="51" spans="1:87" ht="15.75" customHeight="1">
      <c r="A51" s="103"/>
      <c r="B51" s="329" t="s">
        <v>279</v>
      </c>
      <c r="C51" s="330"/>
      <c r="D51" s="331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332"/>
      <c r="Q51" s="105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334"/>
      <c r="AE51" s="106"/>
      <c r="AF51" s="333">
        <f t="shared" ref="AF51:AQ51" si="92">AF50-AF20</f>
        <v>2047</v>
      </c>
      <c r="AG51" s="333">
        <f t="shared" si="92"/>
        <v>-3571</v>
      </c>
      <c r="AH51" s="333">
        <f t="shared" si="92"/>
        <v>-219</v>
      </c>
      <c r="AI51" s="333">
        <f t="shared" si="92"/>
        <v>-1735</v>
      </c>
      <c r="AJ51" s="333">
        <f t="shared" si="92"/>
        <v>-2447</v>
      </c>
      <c r="AK51" s="333">
        <f t="shared" si="92"/>
        <v>675</v>
      </c>
      <c r="AL51" s="333">
        <f t="shared" si="92"/>
        <v>-9703</v>
      </c>
      <c r="AM51" s="333">
        <f t="shared" si="92"/>
        <v>-52075</v>
      </c>
      <c r="AN51" s="333">
        <f t="shared" si="92"/>
        <v>-59487.333333333343</v>
      </c>
      <c r="AO51" s="333">
        <f t="shared" si="92"/>
        <v>-15063</v>
      </c>
      <c r="AP51" s="333">
        <f t="shared" si="92"/>
        <v>-23043</v>
      </c>
      <c r="AQ51" s="333">
        <f t="shared" si="92"/>
        <v>-11563</v>
      </c>
      <c r="AR51" s="107">
        <f t="shared" si="84"/>
        <v>-176184.33333333334</v>
      </c>
      <c r="AS51" s="106"/>
      <c r="AT51" s="333">
        <f t="shared" ref="AT51:BE51" si="93">AT50-AT20</f>
        <v>8451.75</v>
      </c>
      <c r="AU51" s="333">
        <f t="shared" si="93"/>
        <v>-37227.103448275855</v>
      </c>
      <c r="AV51" s="333">
        <f t="shared" si="93"/>
        <v>-6779.1379310344782</v>
      </c>
      <c r="AW51" s="333">
        <f t="shared" si="93"/>
        <v>-22342.137931034478</v>
      </c>
      <c r="AX51" s="333">
        <f t="shared" si="93"/>
        <v>4719.0344827586232</v>
      </c>
      <c r="AY51" s="333">
        <f t="shared" si="93"/>
        <v>-14182.777777777781</v>
      </c>
      <c r="AZ51" s="333">
        <f t="shared" si="93"/>
        <v>-6630.777777777781</v>
      </c>
      <c r="BA51" s="333">
        <f t="shared" si="93"/>
        <v>-77771.296296296292</v>
      </c>
      <c r="BB51" s="333">
        <f t="shared" si="93"/>
        <v>-51486.777777777781</v>
      </c>
      <c r="BC51" s="333">
        <f t="shared" si="93"/>
        <v>-99233.290755657828</v>
      </c>
      <c r="BD51" s="333">
        <f t="shared" si="93"/>
        <v>5175.413118527038</v>
      </c>
      <c r="BE51" s="333">
        <f t="shared" si="93"/>
        <v>5840.3870349060235</v>
      </c>
      <c r="BF51" s="108">
        <f t="shared" si="62"/>
        <v>-291466.71505944064</v>
      </c>
      <c r="BG51" s="106"/>
      <c r="BH51" s="333">
        <f t="shared" ref="BH51:BQ51" si="94">BH50-BH17</f>
        <v>-6365</v>
      </c>
      <c r="BI51" s="333">
        <f t="shared" si="94"/>
        <v>-8486.3333333333285</v>
      </c>
      <c r="BJ51" s="333">
        <f t="shared" si="94"/>
        <v>23180.925925925927</v>
      </c>
      <c r="BK51" s="333">
        <f t="shared" si="94"/>
        <v>-44486.740740740745</v>
      </c>
      <c r="BL51" s="333">
        <f t="shared" si="94"/>
        <v>5926.148148148146</v>
      </c>
      <c r="BM51" s="333">
        <f t="shared" si="94"/>
        <v>10043.740740740745</v>
      </c>
      <c r="BN51" s="333">
        <f t="shared" si="94"/>
        <v>-4917.555555555562</v>
      </c>
      <c r="BO51" s="333">
        <f t="shared" si="94"/>
        <v>3071.6218888889125</v>
      </c>
      <c r="BP51" s="333">
        <f t="shared" si="94"/>
        <v>4652.2504629629548</v>
      </c>
      <c r="BQ51" s="333">
        <f t="shared" si="94"/>
        <v>29010</v>
      </c>
      <c r="BR51" s="108"/>
      <c r="BS51" s="108"/>
      <c r="BT51" s="108">
        <f t="shared" si="91"/>
        <v>11629.05753703705</v>
      </c>
      <c r="BU51" s="28"/>
      <c r="BV51" s="333"/>
      <c r="BW51" s="333"/>
      <c r="BX51" s="333"/>
      <c r="BY51" s="333"/>
      <c r="BZ51" s="108"/>
      <c r="CA51" s="108"/>
      <c r="CB51" s="108"/>
      <c r="CC51" s="108"/>
      <c r="CD51" s="108"/>
      <c r="CE51" s="108"/>
      <c r="CF51" s="108"/>
      <c r="CG51" s="108"/>
      <c r="CH51" s="108"/>
    </row>
    <row r="52" spans="1:87" ht="15.75" customHeight="1">
      <c r="A52" s="94"/>
      <c r="B52" s="336" t="s">
        <v>81</v>
      </c>
      <c r="C52" s="335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/>
      <c r="Q52" s="90"/>
      <c r="R52" s="316"/>
      <c r="S52" s="316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5"/>
      <c r="AE52" s="23"/>
      <c r="AF52" s="316">
        <v>26171</v>
      </c>
      <c r="AG52" s="316">
        <v>21736</v>
      </c>
      <c r="AH52" s="316">
        <v>10736</v>
      </c>
      <c r="AI52" s="316">
        <v>15851</v>
      </c>
      <c r="AJ52" s="316">
        <v>30248</v>
      </c>
      <c r="AK52" s="316">
        <v>34072</v>
      </c>
      <c r="AL52" s="316">
        <v>37481</v>
      </c>
      <c r="AM52" s="91">
        <v>32645</v>
      </c>
      <c r="AN52" s="91">
        <v>30252</v>
      </c>
      <c r="AO52" s="91">
        <v>39494</v>
      </c>
      <c r="AP52" s="91">
        <v>42389</v>
      </c>
      <c r="AQ52" s="91">
        <v>55547</v>
      </c>
      <c r="AR52" s="92">
        <f t="shared" si="84"/>
        <v>376622</v>
      </c>
      <c r="AS52" s="23"/>
      <c r="AT52" s="91">
        <v>30298</v>
      </c>
      <c r="AU52" s="91">
        <v>27364</v>
      </c>
      <c r="AV52" s="91">
        <v>32595</v>
      </c>
      <c r="AW52" s="91">
        <v>28643</v>
      </c>
      <c r="AX52" s="91">
        <v>32208</v>
      </c>
      <c r="AY52" s="91">
        <v>30601</v>
      </c>
      <c r="AZ52" s="91">
        <v>38882</v>
      </c>
      <c r="BA52" s="91">
        <v>30743</v>
      </c>
      <c r="BB52" s="91">
        <f>24621+1200</f>
        <v>25821</v>
      </c>
      <c r="BC52" s="91">
        <v>31662</v>
      </c>
      <c r="BD52" s="91">
        <v>37222</v>
      </c>
      <c r="BE52" s="91">
        <v>53667</v>
      </c>
      <c r="BF52" s="91">
        <f t="shared" si="62"/>
        <v>399706</v>
      </c>
      <c r="BG52" s="93">
        <f>BF52/AR52-1</f>
        <v>6.1292224033646425E-2</v>
      </c>
      <c r="BH52" s="91">
        <v>34097</v>
      </c>
      <c r="BI52" s="91">
        <v>25734</v>
      </c>
      <c r="BJ52" s="91">
        <v>34274</v>
      </c>
      <c r="BK52" s="91">
        <v>28838</v>
      </c>
      <c r="BL52" s="91">
        <v>32785</v>
      </c>
      <c r="BM52" s="91">
        <v>38470</v>
      </c>
      <c r="BN52" s="91">
        <v>48365</v>
      </c>
      <c r="BO52" s="91">
        <v>33280</v>
      </c>
      <c r="BP52" s="91">
        <v>34203</v>
      </c>
      <c r="BQ52" s="91">
        <v>35184</v>
      </c>
      <c r="BR52" s="91">
        <v>34873</v>
      </c>
      <c r="BS52" s="91">
        <v>48960</v>
      </c>
      <c r="BT52" s="91">
        <f t="shared" si="91"/>
        <v>429063</v>
      </c>
      <c r="BU52" s="28"/>
      <c r="BV52" s="91">
        <v>22115</v>
      </c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</row>
    <row r="53" spans="1:87" ht="15.75" customHeight="1">
      <c r="A53" s="103"/>
      <c r="B53" s="329" t="s">
        <v>280</v>
      </c>
      <c r="C53" s="330"/>
      <c r="D53" s="331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332"/>
      <c r="Q53" s="105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06"/>
      <c r="AF53" s="333">
        <f t="shared" ref="AF53:AQ53" si="95">AF52-AF43</f>
        <v>-12329</v>
      </c>
      <c r="AG53" s="333">
        <f t="shared" si="95"/>
        <v>-664</v>
      </c>
      <c r="AH53" s="333">
        <f t="shared" si="95"/>
        <v>65</v>
      </c>
      <c r="AI53" s="333">
        <f t="shared" si="95"/>
        <v>-246</v>
      </c>
      <c r="AJ53" s="333">
        <f t="shared" si="95"/>
        <v>-30</v>
      </c>
      <c r="AK53" s="333">
        <f t="shared" si="95"/>
        <v>5512</v>
      </c>
      <c r="AL53" s="333">
        <f t="shared" si="95"/>
        <v>-4219</v>
      </c>
      <c r="AM53" s="333">
        <f t="shared" si="95"/>
        <v>-6055</v>
      </c>
      <c r="AN53" s="333">
        <f t="shared" si="95"/>
        <v>-7048</v>
      </c>
      <c r="AO53" s="333">
        <f t="shared" si="95"/>
        <v>2094</v>
      </c>
      <c r="AP53" s="333">
        <f t="shared" si="95"/>
        <v>1749</v>
      </c>
      <c r="AQ53" s="333">
        <f t="shared" si="95"/>
        <v>1107</v>
      </c>
      <c r="AR53" s="107">
        <f t="shared" si="84"/>
        <v>-20064</v>
      </c>
      <c r="AS53" s="106"/>
      <c r="AT53" s="333">
        <f t="shared" ref="AT53:BE53" si="96">AT52-AT43</f>
        <v>-5855</v>
      </c>
      <c r="AU53" s="333">
        <f t="shared" si="96"/>
        <v>-7925</v>
      </c>
      <c r="AV53" s="333">
        <f t="shared" si="96"/>
        <v>-3277</v>
      </c>
      <c r="AW53" s="333">
        <f t="shared" si="96"/>
        <v>-9388</v>
      </c>
      <c r="AX53" s="333">
        <f t="shared" si="96"/>
        <v>-1358</v>
      </c>
      <c r="AY53" s="333">
        <f t="shared" si="96"/>
        <v>-2965</v>
      </c>
      <c r="AZ53" s="333">
        <f t="shared" si="96"/>
        <v>7986</v>
      </c>
      <c r="BA53" s="333">
        <f t="shared" si="96"/>
        <v>-403</v>
      </c>
      <c r="BB53" s="333">
        <f t="shared" si="96"/>
        <v>-6809</v>
      </c>
      <c r="BC53" s="333">
        <f t="shared" si="96"/>
        <v>-6900</v>
      </c>
      <c r="BD53" s="333">
        <f t="shared" si="96"/>
        <v>-4123</v>
      </c>
      <c r="BE53" s="333">
        <f t="shared" si="96"/>
        <v>4404</v>
      </c>
      <c r="BF53" s="108">
        <f t="shared" si="62"/>
        <v>-36613</v>
      </c>
      <c r="BG53" s="106"/>
      <c r="BH53" s="333">
        <f t="shared" ref="BH53:BQ53" si="97">BH52-BH43</f>
        <v>-2056</v>
      </c>
      <c r="BI53" s="333">
        <f t="shared" si="97"/>
        <v>-9555</v>
      </c>
      <c r="BJ53" s="333">
        <f t="shared" si="97"/>
        <v>-1598</v>
      </c>
      <c r="BK53" s="333">
        <f t="shared" si="97"/>
        <v>-9193</v>
      </c>
      <c r="BL53" s="333">
        <f t="shared" si="97"/>
        <v>-5785</v>
      </c>
      <c r="BM53" s="333">
        <f t="shared" si="97"/>
        <v>-757</v>
      </c>
      <c r="BN53" s="333">
        <f t="shared" si="97"/>
        <v>7237</v>
      </c>
      <c r="BO53" s="333">
        <f t="shared" si="97"/>
        <v>-4911</v>
      </c>
      <c r="BP53" s="333">
        <f t="shared" si="97"/>
        <v>-3988</v>
      </c>
      <c r="BQ53" s="333">
        <f t="shared" si="97"/>
        <v>-5041</v>
      </c>
      <c r="BR53" s="108"/>
      <c r="BS53" s="108"/>
      <c r="BT53" s="108">
        <f t="shared" si="91"/>
        <v>-35647</v>
      </c>
      <c r="BU53" s="28"/>
      <c r="BV53" s="333"/>
      <c r="BW53" s="333"/>
      <c r="BX53" s="333"/>
      <c r="BY53" s="333"/>
      <c r="BZ53" s="108"/>
      <c r="CA53" s="108"/>
      <c r="CB53" s="108"/>
      <c r="CC53" s="108"/>
      <c r="CD53" s="108"/>
      <c r="CE53" s="108"/>
      <c r="CF53" s="108"/>
      <c r="CG53" s="108"/>
      <c r="CH53" s="108"/>
    </row>
    <row r="54" spans="1:87" ht="15.75" customHeight="1">
      <c r="A54" s="103" t="s">
        <v>83</v>
      </c>
      <c r="B54" s="337"/>
      <c r="C54" s="330"/>
      <c r="D54" s="331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332"/>
      <c r="Q54" s="105"/>
      <c r="R54" s="333"/>
      <c r="S54" s="333"/>
      <c r="T54" s="333"/>
      <c r="U54" s="333"/>
      <c r="V54" s="333"/>
      <c r="W54" s="333"/>
      <c r="X54" s="333"/>
      <c r="Y54" s="333"/>
      <c r="Z54" s="333"/>
      <c r="AA54" s="333"/>
      <c r="AB54" s="333"/>
      <c r="AC54" s="333"/>
      <c r="AD54" s="334"/>
      <c r="AE54" s="106"/>
      <c r="AF54" s="333">
        <f t="shared" ref="AF54:AQ54" si="98">AF49-AF16</f>
        <v>-10282</v>
      </c>
      <c r="AG54" s="333">
        <f t="shared" si="98"/>
        <v>-4235</v>
      </c>
      <c r="AH54" s="333">
        <f t="shared" si="98"/>
        <v>-154</v>
      </c>
      <c r="AI54" s="333">
        <f t="shared" si="98"/>
        <v>-1981</v>
      </c>
      <c r="AJ54" s="333">
        <f t="shared" si="98"/>
        <v>-2477</v>
      </c>
      <c r="AK54" s="333">
        <f t="shared" si="98"/>
        <v>6187</v>
      </c>
      <c r="AL54" s="333">
        <f t="shared" si="98"/>
        <v>-13922</v>
      </c>
      <c r="AM54" s="333">
        <f t="shared" si="98"/>
        <v>-58130</v>
      </c>
      <c r="AN54" s="333">
        <f t="shared" si="98"/>
        <v>-66535.333333333343</v>
      </c>
      <c r="AO54" s="333">
        <f t="shared" si="98"/>
        <v>-12969</v>
      </c>
      <c r="AP54" s="333">
        <f t="shared" si="98"/>
        <v>-21294</v>
      </c>
      <c r="AQ54" s="333">
        <f t="shared" si="98"/>
        <v>-10456</v>
      </c>
      <c r="AR54" s="107">
        <f t="shared" si="84"/>
        <v>-196248.33333333334</v>
      </c>
      <c r="AS54" s="106"/>
      <c r="AT54" s="333">
        <f t="shared" ref="AT54:BE54" si="99">AT49-AT16</f>
        <v>2596.75</v>
      </c>
      <c r="AU54" s="333">
        <f t="shared" si="99"/>
        <v>-45152.103448275855</v>
      </c>
      <c r="AV54" s="333">
        <f t="shared" si="99"/>
        <v>-10056.137931034493</v>
      </c>
      <c r="AW54" s="333">
        <f t="shared" si="99"/>
        <v>-31730.137931034493</v>
      </c>
      <c r="AX54" s="333">
        <f t="shared" si="99"/>
        <v>3361.0344827586232</v>
      </c>
      <c r="AY54" s="333">
        <f t="shared" si="99"/>
        <v>-17147.777777777781</v>
      </c>
      <c r="AZ54" s="333">
        <f t="shared" si="99"/>
        <v>1355.222222222219</v>
      </c>
      <c r="BA54" s="333">
        <f t="shared" si="99"/>
        <v>-78174.296296296292</v>
      </c>
      <c r="BB54" s="333">
        <f t="shared" si="99"/>
        <v>-58295.777777777781</v>
      </c>
      <c r="BC54" s="333">
        <f t="shared" si="99"/>
        <v>-106133.29075565783</v>
      </c>
      <c r="BD54" s="333">
        <f t="shared" si="99"/>
        <v>1052.413118527038</v>
      </c>
      <c r="BE54" s="333">
        <f t="shared" si="99"/>
        <v>17507.387034906016</v>
      </c>
      <c r="BF54" s="108">
        <f t="shared" si="62"/>
        <v>-320816.71505944064</v>
      </c>
      <c r="BG54" s="106"/>
      <c r="BH54" s="333">
        <f t="shared" ref="BH54:BQ54" si="100">BH49-BH16</f>
        <v>-8421</v>
      </c>
      <c r="BI54" s="333">
        <f t="shared" si="100"/>
        <v>-18041.333333333314</v>
      </c>
      <c r="BJ54" s="333">
        <f t="shared" si="100"/>
        <v>21582.925925925927</v>
      </c>
      <c r="BK54" s="333">
        <f t="shared" si="100"/>
        <v>-53679.74074074073</v>
      </c>
      <c r="BL54" s="333">
        <f t="shared" si="100"/>
        <v>141.14814814814599</v>
      </c>
      <c r="BM54" s="333">
        <f t="shared" si="100"/>
        <v>9286.7407407407445</v>
      </c>
      <c r="BN54" s="333">
        <f t="shared" si="100"/>
        <v>2319.444444444438</v>
      </c>
      <c r="BO54" s="333">
        <f t="shared" si="100"/>
        <v>7351.6218888889125</v>
      </c>
      <c r="BP54" s="333">
        <f t="shared" si="100"/>
        <v>-1367.7495370370452</v>
      </c>
      <c r="BQ54" s="333">
        <f t="shared" si="100"/>
        <v>27459</v>
      </c>
      <c r="BR54" s="108"/>
      <c r="BS54" s="108"/>
      <c r="BT54" s="108">
        <f t="shared" si="91"/>
        <v>-13368.942462962921</v>
      </c>
      <c r="BU54" s="28"/>
      <c r="BV54" s="333"/>
      <c r="BW54" s="333"/>
      <c r="BX54" s="333"/>
      <c r="BY54" s="333"/>
      <c r="BZ54" s="108"/>
      <c r="CA54" s="108"/>
      <c r="CB54" s="108"/>
      <c r="CC54" s="108"/>
      <c r="CD54" s="108"/>
      <c r="CE54" s="108"/>
      <c r="CF54" s="108"/>
      <c r="CG54" s="108"/>
      <c r="CH54" s="108"/>
    </row>
    <row r="55" spans="1:87" ht="15.75" customHeight="1">
      <c r="A55" s="103" t="s">
        <v>85</v>
      </c>
      <c r="B55" s="337"/>
      <c r="C55" s="330"/>
      <c r="D55" s="331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332"/>
      <c r="Q55" s="105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06"/>
      <c r="AF55" s="333">
        <f t="shared" ref="AF55:AQ55" si="101">AF50-AF17</f>
        <v>92193</v>
      </c>
      <c r="AG55" s="333">
        <f t="shared" si="101"/>
        <v>152006</v>
      </c>
      <c r="AH55" s="333">
        <f t="shared" si="101"/>
        <v>62734</v>
      </c>
      <c r="AI55" s="333">
        <f t="shared" si="101"/>
        <v>71526</v>
      </c>
      <c r="AJ55" s="333">
        <f t="shared" si="101"/>
        <v>89409</v>
      </c>
      <c r="AK55" s="333">
        <f t="shared" si="101"/>
        <v>120675</v>
      </c>
      <c r="AL55" s="333">
        <f t="shared" si="101"/>
        <v>100592</v>
      </c>
      <c r="AM55" s="333">
        <f t="shared" si="101"/>
        <v>148128</v>
      </c>
      <c r="AN55" s="333">
        <f t="shared" si="101"/>
        <v>164346</v>
      </c>
      <c r="AO55" s="333">
        <f t="shared" si="101"/>
        <v>203437</v>
      </c>
      <c r="AP55" s="333">
        <f t="shared" si="101"/>
        <v>64957</v>
      </c>
      <c r="AQ55" s="333">
        <f t="shared" si="101"/>
        <v>31837</v>
      </c>
      <c r="AR55" s="107">
        <f t="shared" si="84"/>
        <v>1301840</v>
      </c>
      <c r="AS55" s="106"/>
      <c r="AT55" s="338">
        <f t="shared" ref="AT55:BE55" si="102">AT54/AT16</f>
        <v>1.7000083470131603E-2</v>
      </c>
      <c r="AU55" s="338">
        <f t="shared" si="102"/>
        <v>-0.26792985919579565</v>
      </c>
      <c r="AV55" s="338">
        <f t="shared" si="102"/>
        <v>-6.5248272015318062E-2</v>
      </c>
      <c r="AW55" s="338">
        <f t="shared" si="102"/>
        <v>-0.19881644480138216</v>
      </c>
      <c r="AX55" s="338">
        <f t="shared" si="102"/>
        <v>2.798530764170884E-2</v>
      </c>
      <c r="AY55" s="338">
        <f t="shared" si="102"/>
        <v>-0.12395048084722922</v>
      </c>
      <c r="AZ55" s="338">
        <f t="shared" si="102"/>
        <v>8.1309864112464342E-3</v>
      </c>
      <c r="BA55" s="338">
        <f t="shared" si="102"/>
        <v>-0.32244495902957893</v>
      </c>
      <c r="BB55" s="338">
        <f t="shared" si="102"/>
        <v>-0.23949841829212068</v>
      </c>
      <c r="BC55" s="338">
        <f t="shared" si="102"/>
        <v>-0.41888939787658819</v>
      </c>
      <c r="BD55" s="338">
        <f t="shared" si="102"/>
        <v>7.8214003811977375E-3</v>
      </c>
      <c r="BE55" s="338">
        <f t="shared" si="102"/>
        <v>0.24086123043473662</v>
      </c>
      <c r="BF55" s="109">
        <f>AVERAGE(AT55:BE55)</f>
        <v>-0.11124823530991597</v>
      </c>
      <c r="BG55" s="106"/>
      <c r="BH55" s="338">
        <f t="shared" ref="BH55:BQ55" si="103">BH54/BH16</f>
        <v>-5.512821352117471E-2</v>
      </c>
      <c r="BI55" s="338">
        <f t="shared" si="103"/>
        <v>-0.12287867195499311</v>
      </c>
      <c r="BJ55" s="338">
        <f t="shared" si="103"/>
        <v>0.12581416416796784</v>
      </c>
      <c r="BK55" s="338">
        <f t="shared" si="103"/>
        <v>-0.33597769224938256</v>
      </c>
      <c r="BL55" s="338">
        <f t="shared" si="103"/>
        <v>1.0652943536044719E-3</v>
      </c>
      <c r="BM55" s="338">
        <f t="shared" si="103"/>
        <v>7.1488016002422286E-2</v>
      </c>
      <c r="BN55" s="338">
        <f t="shared" si="103"/>
        <v>1.3533646427895287E-2</v>
      </c>
      <c r="BO55" s="338">
        <f t="shared" si="103"/>
        <v>4.0944619366602007E-2</v>
      </c>
      <c r="BP55" s="338">
        <f t="shared" si="103"/>
        <v>-6.7692361075750926E-3</v>
      </c>
      <c r="BQ55" s="338">
        <f t="shared" si="103"/>
        <v>0.16757086626186191</v>
      </c>
      <c r="BR55" s="109"/>
      <c r="BS55" s="109"/>
      <c r="BT55" s="338">
        <f>BT54/BT16</f>
        <v>-7.1185036907011742E-3</v>
      </c>
      <c r="BU55" s="54"/>
      <c r="BV55" s="338"/>
      <c r="BW55" s="338"/>
      <c r="BX55" s="338"/>
      <c r="BY55" s="338"/>
      <c r="BZ55" s="109"/>
      <c r="CA55" s="109"/>
      <c r="CB55" s="109"/>
      <c r="CC55" s="109"/>
      <c r="CD55" s="109"/>
      <c r="CE55" s="109"/>
      <c r="CF55" s="109"/>
      <c r="CG55" s="109"/>
      <c r="CH55" s="109"/>
    </row>
    <row r="56" spans="1:87" ht="14.25" customHeight="1">
      <c r="A56" s="55" t="s">
        <v>86</v>
      </c>
      <c r="B56" s="56"/>
      <c r="C56" s="280"/>
      <c r="D56" s="288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289"/>
      <c r="Q56" s="39"/>
      <c r="R56" s="288"/>
      <c r="S56" s="58"/>
      <c r="T56" s="58"/>
      <c r="U56" s="58"/>
      <c r="V56" s="58"/>
      <c r="W56" s="290"/>
      <c r="X56" s="290"/>
      <c r="Y56" s="290"/>
      <c r="Z56" s="290"/>
      <c r="AA56" s="290"/>
      <c r="AB56" s="290"/>
      <c r="AC56" s="290"/>
      <c r="AD56" s="291"/>
      <c r="AE56" s="59"/>
      <c r="AF56" s="292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9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9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60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</row>
    <row r="57" spans="1:87" ht="14.25" customHeight="1">
      <c r="A57" s="55"/>
      <c r="B57" s="56" t="s">
        <v>603</v>
      </c>
      <c r="C57" s="280"/>
      <c r="D57" s="28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289"/>
      <c r="Q57" s="39"/>
      <c r="R57" s="288"/>
      <c r="S57" s="58"/>
      <c r="T57" s="58"/>
      <c r="U57" s="58"/>
      <c r="V57" s="58"/>
      <c r="W57" s="290"/>
      <c r="X57" s="290"/>
      <c r="Y57" s="290"/>
      <c r="Z57" s="290"/>
      <c r="AA57" s="290"/>
      <c r="AB57" s="290"/>
      <c r="AC57" s="290"/>
      <c r="AD57" s="291"/>
      <c r="AE57" s="59"/>
      <c r="AF57" s="292"/>
      <c r="AG57" s="292"/>
      <c r="AH57" s="292"/>
      <c r="AI57" s="292"/>
      <c r="AJ57" s="292"/>
      <c r="AK57" s="292"/>
      <c r="AL57" s="292"/>
      <c r="AM57" s="292"/>
      <c r="AN57" s="292"/>
      <c r="AO57" s="292"/>
      <c r="AP57" s="292"/>
      <c r="AQ57" s="292"/>
      <c r="AR57" s="58"/>
      <c r="AS57" s="59"/>
      <c r="AT57" s="292"/>
      <c r="AU57" s="292"/>
      <c r="AV57" s="292"/>
      <c r="AW57" s="292"/>
      <c r="AX57" s="292"/>
      <c r="AY57" s="292"/>
      <c r="AZ57" s="292"/>
      <c r="BA57" s="292"/>
      <c r="BB57" s="292"/>
      <c r="BC57" s="292"/>
      <c r="BD57" s="292"/>
      <c r="BE57" s="292"/>
      <c r="BF57" s="58"/>
      <c r="BG57" s="59"/>
      <c r="BH57" s="292"/>
      <c r="BI57" s="292"/>
      <c r="BJ57" s="292"/>
      <c r="BK57" s="292"/>
      <c r="BL57" s="292"/>
      <c r="BM57" s="292"/>
      <c r="BN57" s="292"/>
      <c r="BO57" s="292"/>
      <c r="BP57" s="292"/>
      <c r="BQ57" s="292"/>
      <c r="BR57" s="292"/>
      <c r="BS57" s="292"/>
      <c r="BT57" s="292"/>
      <c r="BU57" s="60"/>
      <c r="BV57" s="400">
        <f>BH49</f>
        <v>144332</v>
      </c>
      <c r="BW57" s="400">
        <f t="shared" ref="BW57:CA57" si="104">BI49</f>
        <v>128781</v>
      </c>
      <c r="BX57" s="400">
        <f t="shared" si="104"/>
        <v>193129</v>
      </c>
      <c r="BY57" s="400">
        <f t="shared" si="104"/>
        <v>106092</v>
      </c>
      <c r="BZ57" s="400">
        <f t="shared" si="104"/>
        <v>132638</v>
      </c>
      <c r="CA57" s="400">
        <f t="shared" si="104"/>
        <v>139193</v>
      </c>
      <c r="CB57" s="292"/>
      <c r="CC57" s="292"/>
      <c r="CD57" s="292"/>
      <c r="CE57" s="292"/>
      <c r="CF57" s="292"/>
      <c r="CG57" s="292"/>
      <c r="CH57" s="292"/>
    </row>
    <row r="58" spans="1:87" s="414" customFormat="1" ht="22.5" customHeight="1">
      <c r="A58" s="401"/>
      <c r="B58" s="402" t="s">
        <v>289</v>
      </c>
      <c r="C58" s="403"/>
      <c r="D58" s="404"/>
      <c r="E58" s="405"/>
      <c r="F58" s="405"/>
      <c r="G58" s="405"/>
      <c r="H58" s="405"/>
      <c r="I58" s="405"/>
      <c r="J58" s="405"/>
      <c r="K58" s="405"/>
      <c r="L58" s="405"/>
      <c r="M58" s="405"/>
      <c r="N58" s="405"/>
      <c r="O58" s="405"/>
      <c r="P58" s="406"/>
      <c r="Q58" s="407"/>
      <c r="R58" s="404"/>
      <c r="S58" s="408"/>
      <c r="T58" s="408"/>
      <c r="U58" s="408"/>
      <c r="V58" s="408"/>
      <c r="W58" s="409"/>
      <c r="X58" s="409"/>
      <c r="Y58" s="409"/>
      <c r="Z58" s="409"/>
      <c r="AA58" s="409"/>
      <c r="AB58" s="409"/>
      <c r="AC58" s="409"/>
      <c r="AD58" s="410"/>
      <c r="AE58" s="411"/>
      <c r="AF58" s="412"/>
      <c r="AG58" s="412"/>
      <c r="AH58" s="412"/>
      <c r="AI58" s="412"/>
      <c r="AJ58" s="412"/>
      <c r="AK58" s="412"/>
      <c r="AL58" s="412"/>
      <c r="AM58" s="412"/>
      <c r="AN58" s="412"/>
      <c r="AO58" s="412"/>
      <c r="AP58" s="412"/>
      <c r="AQ58" s="412"/>
      <c r="AR58" s="408"/>
      <c r="AS58" s="411"/>
      <c r="AT58" s="412"/>
      <c r="AU58" s="412"/>
      <c r="AV58" s="412"/>
      <c r="AW58" s="412"/>
      <c r="AX58" s="412"/>
      <c r="AY58" s="412"/>
      <c r="AZ58" s="412"/>
      <c r="BA58" s="412"/>
      <c r="BB58" s="412"/>
      <c r="BC58" s="412"/>
      <c r="BD58" s="412"/>
      <c r="BE58" s="412"/>
      <c r="BF58" s="408"/>
      <c r="BG58" s="411"/>
      <c r="BH58" s="412"/>
      <c r="BI58" s="412"/>
      <c r="BJ58" s="412"/>
      <c r="BK58" s="412"/>
      <c r="BL58" s="412"/>
      <c r="BM58" s="412"/>
      <c r="BN58" s="412"/>
      <c r="BO58" s="412"/>
      <c r="BP58" s="412"/>
      <c r="BQ58" s="412"/>
      <c r="BR58" s="412"/>
      <c r="BS58" s="412"/>
      <c r="BT58" s="412"/>
      <c r="BU58" s="60"/>
      <c r="BV58" s="413">
        <f>BV16</f>
        <v>159396.19746420952</v>
      </c>
      <c r="BW58" s="413">
        <f t="shared" ref="BW58:CA58" si="105">BW16</f>
        <v>147381.66148608096</v>
      </c>
      <c r="BX58" s="413">
        <f t="shared" si="105"/>
        <v>188447.673527326</v>
      </c>
      <c r="BY58" s="413">
        <f t="shared" si="105"/>
        <v>152470.7974035088</v>
      </c>
      <c r="BZ58" s="413">
        <f t="shared" si="105"/>
        <v>145543.6904836442</v>
      </c>
      <c r="CA58" s="413">
        <f t="shared" si="105"/>
        <v>139795.23467908296</v>
      </c>
      <c r="CB58" s="412"/>
      <c r="CC58" s="412"/>
      <c r="CD58" s="412"/>
      <c r="CE58" s="412"/>
      <c r="CF58" s="412"/>
      <c r="CG58" s="412"/>
      <c r="CH58" s="412"/>
    </row>
    <row r="59" spans="1:87" ht="15.75" customHeight="1" outlineLevel="1">
      <c r="A59" s="94">
        <v>7</v>
      </c>
      <c r="B59" s="210" t="s">
        <v>90</v>
      </c>
      <c r="C59" s="335"/>
      <c r="D59" s="313">
        <v>98048</v>
      </c>
      <c r="E59" s="89">
        <v>128688</v>
      </c>
      <c r="F59" s="89">
        <v>124704</v>
      </c>
      <c r="G59" s="89">
        <v>157500</v>
      </c>
      <c r="H59" s="89">
        <v>182600</v>
      </c>
      <c r="I59" s="89">
        <v>157700</v>
      </c>
      <c r="J59" s="89">
        <v>181700</v>
      </c>
      <c r="K59" s="89">
        <v>165900</v>
      </c>
      <c r="L59" s="89">
        <v>174300</v>
      </c>
      <c r="M59" s="89">
        <v>215800</v>
      </c>
      <c r="N59" s="89">
        <v>180000</v>
      </c>
      <c r="O59" s="89">
        <v>112500</v>
      </c>
      <c r="P59" s="314">
        <f t="shared" ref="P59:P60" si="106">SUM(D59:O59)</f>
        <v>1879440</v>
      </c>
      <c r="Q59" s="90"/>
      <c r="R59" s="313">
        <v>158400</v>
      </c>
      <c r="S59" s="91">
        <v>161000</v>
      </c>
      <c r="T59" s="91">
        <v>117800</v>
      </c>
      <c r="U59" s="91">
        <v>2000</v>
      </c>
      <c r="V59" s="91">
        <v>53800</v>
      </c>
      <c r="W59" s="91">
        <v>190600</v>
      </c>
      <c r="X59" s="91">
        <v>187900</v>
      </c>
      <c r="Y59" s="91">
        <v>196800</v>
      </c>
      <c r="Z59" s="91">
        <v>192300</v>
      </c>
      <c r="AA59" s="91">
        <v>182300</v>
      </c>
      <c r="AB59" s="91">
        <v>175000</v>
      </c>
      <c r="AC59" s="91">
        <v>134100</v>
      </c>
      <c r="AD59" s="315">
        <f>SUM(R59:AC59)</f>
        <v>1752000</v>
      </c>
      <c r="AE59" s="23"/>
      <c r="AF59" s="316">
        <f t="shared" ref="AF59:AL59" si="107">SUM(AF60,AF62)</f>
        <v>161400</v>
      </c>
      <c r="AG59" s="316">
        <f t="shared" si="107"/>
        <v>166000</v>
      </c>
      <c r="AH59" s="316">
        <f t="shared" si="107"/>
        <v>150471</v>
      </c>
      <c r="AI59" s="316">
        <f t="shared" si="107"/>
        <v>149040</v>
      </c>
      <c r="AJ59" s="316">
        <f t="shared" si="107"/>
        <v>196360</v>
      </c>
      <c r="AK59" s="316">
        <f t="shared" si="107"/>
        <v>163300</v>
      </c>
      <c r="AL59" s="316">
        <f t="shared" si="107"/>
        <v>190000</v>
      </c>
      <c r="AM59" s="316">
        <f t="shared" ref="AM59:AQ59" si="108">SUM(AM60,AM62,AM63)</f>
        <v>167000</v>
      </c>
      <c r="AN59" s="316">
        <f t="shared" si="108"/>
        <v>170500</v>
      </c>
      <c r="AO59" s="316">
        <f t="shared" si="108"/>
        <v>140000</v>
      </c>
      <c r="AP59" s="316">
        <f t="shared" si="108"/>
        <v>130000</v>
      </c>
      <c r="AQ59" s="316">
        <f t="shared" si="108"/>
        <v>100000</v>
      </c>
      <c r="AR59" s="92">
        <f t="shared" ref="AR59:AR60" si="109">SUM(AF59:AQ59)</f>
        <v>1884071</v>
      </c>
      <c r="AS59" s="23"/>
      <c r="AT59" s="316">
        <f t="shared" ref="AT59:BC59" si="110">SUM(AT60,AT62,AT63)</f>
        <v>133000</v>
      </c>
      <c r="AU59" s="316">
        <f t="shared" si="110"/>
        <v>125180</v>
      </c>
      <c r="AV59" s="316">
        <f t="shared" si="110"/>
        <v>117228</v>
      </c>
      <c r="AW59" s="316">
        <f t="shared" si="110"/>
        <v>127500</v>
      </c>
      <c r="AX59" s="316">
        <f t="shared" si="110"/>
        <v>140000</v>
      </c>
      <c r="AY59" s="316">
        <f t="shared" si="110"/>
        <v>158342.99999899999</v>
      </c>
      <c r="AZ59" s="316">
        <f t="shared" si="110"/>
        <v>152409</v>
      </c>
      <c r="BA59" s="316">
        <f t="shared" si="110"/>
        <v>173520</v>
      </c>
      <c r="BB59" s="316">
        <f t="shared" si="110"/>
        <v>165000</v>
      </c>
      <c r="BC59" s="316">
        <f t="shared" si="110"/>
        <v>157500</v>
      </c>
      <c r="BD59" s="316">
        <v>129431</v>
      </c>
      <c r="BE59" s="316">
        <v>61700</v>
      </c>
      <c r="BF59" s="91">
        <f t="shared" ref="BF59:BF60" si="111">SUM(AT59:BE59)</f>
        <v>1640810.999999</v>
      </c>
      <c r="BG59" s="27">
        <f>BF59-AR59</f>
        <v>-243260.00000100001</v>
      </c>
      <c r="BH59" s="339">
        <f>SUM(BH60,BH62,BH63)</f>
        <v>139760</v>
      </c>
      <c r="BI59" s="339">
        <f t="shared" ref="BI59:BP59" si="112">SUM(BI60,BI62,BI63)</f>
        <v>116580</v>
      </c>
      <c r="BJ59" s="339">
        <f t="shared" si="112"/>
        <v>148340</v>
      </c>
      <c r="BK59" s="339">
        <f t="shared" si="112"/>
        <v>112360</v>
      </c>
      <c r="BL59" s="339">
        <f t="shared" si="112"/>
        <v>108660</v>
      </c>
      <c r="BM59" s="339">
        <f t="shared" si="112"/>
        <v>153416</v>
      </c>
      <c r="BN59" s="339">
        <f t="shared" si="112"/>
        <v>137676</v>
      </c>
      <c r="BO59" s="339">
        <f t="shared" si="112"/>
        <v>160654</v>
      </c>
      <c r="BP59" s="339">
        <f t="shared" si="112"/>
        <v>157000</v>
      </c>
      <c r="BQ59" s="339">
        <v>156725</v>
      </c>
      <c r="BR59" s="339">
        <v>182069</v>
      </c>
      <c r="BS59" s="339">
        <f>BS60+BS63</f>
        <v>156420</v>
      </c>
      <c r="BT59" s="339">
        <f t="shared" ref="BT59:BT60" si="113">SUM(BH59:BS59)</f>
        <v>1729660</v>
      </c>
      <c r="BU59" s="60"/>
      <c r="BV59" s="396">
        <f>BV3*7000</f>
        <v>133000</v>
      </c>
      <c r="BW59" s="396">
        <f t="shared" ref="BW59:CG59" si="114">BW3*7000</f>
        <v>133000</v>
      </c>
      <c r="BX59" s="396">
        <f t="shared" si="114"/>
        <v>133000</v>
      </c>
      <c r="BY59" s="396">
        <f t="shared" si="114"/>
        <v>154000</v>
      </c>
      <c r="BZ59" s="396">
        <f t="shared" si="114"/>
        <v>140000</v>
      </c>
      <c r="CA59" s="396">
        <f t="shared" si="114"/>
        <v>140000</v>
      </c>
      <c r="CB59" s="396">
        <f t="shared" si="114"/>
        <v>161000</v>
      </c>
      <c r="CC59" s="396">
        <f t="shared" si="114"/>
        <v>147000</v>
      </c>
      <c r="CD59" s="396">
        <f t="shared" si="114"/>
        <v>147000</v>
      </c>
      <c r="CE59" s="396">
        <f t="shared" si="114"/>
        <v>161000</v>
      </c>
      <c r="CF59" s="396">
        <f t="shared" si="114"/>
        <v>140000</v>
      </c>
      <c r="CG59" s="396">
        <f t="shared" si="114"/>
        <v>91000</v>
      </c>
      <c r="CH59" s="339">
        <f t="shared" ref="CH59:CH60" si="115">SUM(BV59:CG59)</f>
        <v>1680000</v>
      </c>
    </row>
    <row r="60" spans="1:87" ht="15.75" customHeight="1" outlineLevel="1">
      <c r="A60" s="94"/>
      <c r="B60" s="210" t="s">
        <v>91</v>
      </c>
      <c r="C60" s="335"/>
      <c r="D60" s="313">
        <v>98048</v>
      </c>
      <c r="E60" s="89">
        <v>128688</v>
      </c>
      <c r="F60" s="89">
        <v>124704</v>
      </c>
      <c r="G60" s="89">
        <v>157500</v>
      </c>
      <c r="H60" s="89">
        <v>182600</v>
      </c>
      <c r="I60" s="89">
        <v>157700</v>
      </c>
      <c r="J60" s="89">
        <v>181700</v>
      </c>
      <c r="K60" s="89">
        <v>165900</v>
      </c>
      <c r="L60" s="89">
        <v>174300</v>
      </c>
      <c r="M60" s="89">
        <v>215800</v>
      </c>
      <c r="N60" s="89">
        <v>180000</v>
      </c>
      <c r="O60" s="89">
        <v>112500</v>
      </c>
      <c r="P60" s="314">
        <f t="shared" si="106"/>
        <v>1879440</v>
      </c>
      <c r="Q60" s="90"/>
      <c r="R60" s="313">
        <v>158400</v>
      </c>
      <c r="S60" s="91">
        <v>146000</v>
      </c>
      <c r="T60" s="91">
        <v>102200</v>
      </c>
      <c r="U60" s="91">
        <v>0</v>
      </c>
      <c r="V60" s="91">
        <v>43800</v>
      </c>
      <c r="W60" s="91">
        <v>160600</v>
      </c>
      <c r="X60" s="91">
        <v>167900</v>
      </c>
      <c r="Y60" s="91">
        <v>153300</v>
      </c>
      <c r="Z60" s="91">
        <v>153300</v>
      </c>
      <c r="AA60" s="91">
        <v>153300</v>
      </c>
      <c r="AB60" s="91">
        <v>146000</v>
      </c>
      <c r="AC60" s="91">
        <v>124100</v>
      </c>
      <c r="AD60" s="315"/>
      <c r="AE60" s="23"/>
      <c r="AF60" s="316">
        <v>131400</v>
      </c>
      <c r="AG60" s="91">
        <v>146000</v>
      </c>
      <c r="AH60" s="91">
        <v>125511</v>
      </c>
      <c r="AI60" s="91">
        <v>135000</v>
      </c>
      <c r="AJ60" s="91">
        <v>177320</v>
      </c>
      <c r="AK60" s="91">
        <v>151300</v>
      </c>
      <c r="AL60" s="91">
        <v>176000</v>
      </c>
      <c r="AM60" s="91">
        <f>AM61*AM3</f>
        <v>154000</v>
      </c>
      <c r="AN60" s="91">
        <f>AN61*AN3</f>
        <v>157500</v>
      </c>
      <c r="AO60" s="91">
        <f>AO61*AO3</f>
        <v>140000</v>
      </c>
      <c r="AP60" s="91">
        <f>AP61*AP3</f>
        <v>130000</v>
      </c>
      <c r="AQ60" s="91">
        <f>AQ61*AQ3+16000</f>
        <v>100000</v>
      </c>
      <c r="AR60" s="92">
        <f t="shared" si="109"/>
        <v>1724031</v>
      </c>
      <c r="AS60" s="23"/>
      <c r="AT60" s="91">
        <f>AT61*AT3</f>
        <v>133000</v>
      </c>
      <c r="AU60" s="91">
        <f>125180</f>
        <v>125180</v>
      </c>
      <c r="AV60" s="91">
        <f>AV61*AV3+7428</f>
        <v>117228</v>
      </c>
      <c r="AW60" s="91">
        <f>AW61*AW3</f>
        <v>123500</v>
      </c>
      <c r="AX60" s="91">
        <f>AX61*AX3</f>
        <v>132000</v>
      </c>
      <c r="AY60" s="91">
        <f>AY61*AY3</f>
        <v>153342.99999899999</v>
      </c>
      <c r="AZ60" s="91">
        <v>142409</v>
      </c>
      <c r="BA60" s="91">
        <v>163520</v>
      </c>
      <c r="BB60" s="91">
        <f>BB61*BB3</f>
        <v>165000</v>
      </c>
      <c r="BC60" s="91">
        <f>BC61*BC3</f>
        <v>157500</v>
      </c>
      <c r="BD60" s="316">
        <v>129431</v>
      </c>
      <c r="BE60" s="316">
        <v>61700</v>
      </c>
      <c r="BF60" s="91">
        <f t="shared" si="111"/>
        <v>1603810.999999</v>
      </c>
      <c r="BG60" s="27">
        <f>BF60+BF63-AR60-AR63</f>
        <v>-113040.00000100001</v>
      </c>
      <c r="BH60" s="91">
        <v>136760</v>
      </c>
      <c r="BI60" s="91">
        <v>116580</v>
      </c>
      <c r="BJ60" s="91">
        <v>148340</v>
      </c>
      <c r="BK60" s="91">
        <v>112360</v>
      </c>
      <c r="BL60" s="91">
        <v>108660</v>
      </c>
      <c r="BM60" s="91">
        <v>153416</v>
      </c>
      <c r="BN60" s="91">
        <v>137676</v>
      </c>
      <c r="BO60" s="91">
        <v>150654</v>
      </c>
      <c r="BP60" s="91">
        <f>7100*BP3</f>
        <v>142000</v>
      </c>
      <c r="BQ60" s="91">
        <f t="shared" ref="BQ60:BR60" si="116">BQ59-BQ63</f>
        <v>136725</v>
      </c>
      <c r="BR60" s="91">
        <f t="shared" si="116"/>
        <v>167069</v>
      </c>
      <c r="BS60" s="91">
        <v>124020</v>
      </c>
      <c r="BT60" s="91">
        <f t="shared" si="113"/>
        <v>1634260</v>
      </c>
      <c r="BU60" s="28"/>
      <c r="BV60" s="397">
        <f>BV61*BV62-24551</f>
        <v>129449</v>
      </c>
      <c r="BW60" s="397">
        <f>BW61*BW62</f>
        <v>154000</v>
      </c>
      <c r="BX60" s="397">
        <f t="shared" ref="BX60:CA60" si="117">BX61*BX62</f>
        <v>147000</v>
      </c>
      <c r="BY60" s="397">
        <f t="shared" si="117"/>
        <v>154000</v>
      </c>
      <c r="BZ60" s="397">
        <f t="shared" si="117"/>
        <v>147000</v>
      </c>
      <c r="CA60" s="397">
        <f t="shared" si="117"/>
        <v>161000</v>
      </c>
      <c r="CB60" s="397">
        <v>168760</v>
      </c>
      <c r="CC60" s="397">
        <v>194340</v>
      </c>
      <c r="CD60" s="397">
        <v>208000</v>
      </c>
      <c r="CE60" s="397">
        <v>201780</v>
      </c>
      <c r="CF60" s="397">
        <v>154060</v>
      </c>
      <c r="CG60" s="397">
        <v>96720</v>
      </c>
      <c r="CH60" s="91">
        <f t="shared" si="115"/>
        <v>1916109</v>
      </c>
      <c r="CI60" s="395">
        <f>(CH60-BT65)/BT65</f>
        <v>0.34041066279396764</v>
      </c>
    </row>
    <row r="61" spans="1:87" ht="15.75" customHeight="1" outlineLevel="1">
      <c r="A61" s="94"/>
      <c r="B61" s="210" t="s">
        <v>92</v>
      </c>
      <c r="C61" s="335"/>
      <c r="D61" s="313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/>
      <c r="Q61" s="90"/>
      <c r="R61" s="316">
        <f t="shared" ref="R61:AC61" si="118">R60/R3</f>
        <v>7200</v>
      </c>
      <c r="S61" s="316">
        <f t="shared" si="118"/>
        <v>7300</v>
      </c>
      <c r="T61" s="316">
        <f t="shared" si="118"/>
        <v>7300</v>
      </c>
      <c r="U61" s="316">
        <f t="shared" si="118"/>
        <v>0</v>
      </c>
      <c r="V61" s="316">
        <f t="shared" si="118"/>
        <v>3650</v>
      </c>
      <c r="W61" s="316">
        <f t="shared" si="118"/>
        <v>7300</v>
      </c>
      <c r="X61" s="316">
        <f t="shared" si="118"/>
        <v>7300</v>
      </c>
      <c r="Y61" s="316">
        <f t="shared" si="118"/>
        <v>7300</v>
      </c>
      <c r="Z61" s="316">
        <f t="shared" si="118"/>
        <v>7300</v>
      </c>
      <c r="AA61" s="316">
        <f t="shared" si="118"/>
        <v>7300</v>
      </c>
      <c r="AB61" s="316">
        <f t="shared" si="118"/>
        <v>7300</v>
      </c>
      <c r="AC61" s="316">
        <f t="shared" si="118"/>
        <v>7300</v>
      </c>
      <c r="AD61" s="315"/>
      <c r="AE61" s="23"/>
      <c r="AF61" s="316">
        <f t="shared" ref="AF61:AL61" si="119">AF60/AF3</f>
        <v>7300</v>
      </c>
      <c r="AG61" s="316">
        <f t="shared" si="119"/>
        <v>7300</v>
      </c>
      <c r="AH61" s="316">
        <f t="shared" si="119"/>
        <v>6275.55</v>
      </c>
      <c r="AI61" s="316">
        <f t="shared" si="119"/>
        <v>6750</v>
      </c>
      <c r="AJ61" s="316">
        <f t="shared" si="119"/>
        <v>8060</v>
      </c>
      <c r="AK61" s="316">
        <f t="shared" si="119"/>
        <v>7565</v>
      </c>
      <c r="AL61" s="316">
        <f t="shared" si="119"/>
        <v>8000</v>
      </c>
      <c r="AM61" s="91">
        <v>7000</v>
      </c>
      <c r="AN61" s="91">
        <v>7500</v>
      </c>
      <c r="AO61" s="91">
        <v>7000</v>
      </c>
      <c r="AP61" s="91">
        <v>6500</v>
      </c>
      <c r="AQ61" s="91">
        <v>7000</v>
      </c>
      <c r="AR61" s="92">
        <f>AVERAGE(AF61:AQ61)</f>
        <v>7187.5458333333336</v>
      </c>
      <c r="AS61" s="23"/>
      <c r="AT61" s="91">
        <v>7000</v>
      </c>
      <c r="AU61" s="91">
        <f>AU60/AU3</f>
        <v>6588.4210526315792</v>
      </c>
      <c r="AV61" s="91">
        <v>6100</v>
      </c>
      <c r="AW61" s="91">
        <v>6500</v>
      </c>
      <c r="AX61" s="91">
        <v>6000</v>
      </c>
      <c r="AY61" s="91">
        <v>7302.0476189999999</v>
      </c>
      <c r="AZ61" s="91">
        <v>7000</v>
      </c>
      <c r="BA61" s="91">
        <f>BA60/BA3</f>
        <v>7432.727272727273</v>
      </c>
      <c r="BB61" s="91">
        <v>7500</v>
      </c>
      <c r="BC61" s="91">
        <v>7500</v>
      </c>
      <c r="BD61" s="91">
        <f>BD60/BD3</f>
        <v>6471.55</v>
      </c>
      <c r="BE61" s="91">
        <f>BE60/BE3</f>
        <v>6170</v>
      </c>
      <c r="BF61" s="91">
        <f>AVERAGE(AT61:BE61)</f>
        <v>6797.0621620299053</v>
      </c>
      <c r="BG61" s="27"/>
      <c r="BH61" s="91">
        <f t="shared" ref="BH61:BS61" si="120">BH60/BH3</f>
        <v>6838</v>
      </c>
      <c r="BI61" s="91">
        <f t="shared" si="120"/>
        <v>6857.6470588235297</v>
      </c>
      <c r="BJ61" s="91">
        <f t="shared" si="120"/>
        <v>6449.565217391304</v>
      </c>
      <c r="BK61" s="91">
        <f t="shared" si="120"/>
        <v>6242.2222222222226</v>
      </c>
      <c r="BL61" s="91">
        <f t="shared" si="120"/>
        <v>4939.090909090909</v>
      </c>
      <c r="BM61" s="91">
        <f t="shared" si="120"/>
        <v>6670.260869565217</v>
      </c>
      <c r="BN61" s="91">
        <f t="shared" si="120"/>
        <v>6556</v>
      </c>
      <c r="BO61" s="91">
        <f t="shared" si="120"/>
        <v>7174</v>
      </c>
      <c r="BP61" s="91">
        <f t="shared" si="120"/>
        <v>7100</v>
      </c>
      <c r="BQ61" s="91">
        <f t="shared" si="120"/>
        <v>6510.7142857142853</v>
      </c>
      <c r="BR61" s="91">
        <f t="shared" si="120"/>
        <v>8353.4500000000007</v>
      </c>
      <c r="BS61" s="91">
        <f t="shared" si="120"/>
        <v>8858.5714285714294</v>
      </c>
      <c r="BT61" s="91">
        <f>AVERAGE(BH61:BS61)</f>
        <v>6879.1268326149084</v>
      </c>
      <c r="BU61" s="28"/>
      <c r="BV61" s="91">
        <v>7000</v>
      </c>
      <c r="BW61" s="91">
        <v>7000</v>
      </c>
      <c r="BX61" s="91">
        <v>7000</v>
      </c>
      <c r="BY61" s="91">
        <v>7000</v>
      </c>
      <c r="BZ61" s="91">
        <v>7000</v>
      </c>
      <c r="CA61" s="91">
        <v>7000</v>
      </c>
      <c r="CB61" s="91">
        <v>7000</v>
      </c>
      <c r="CC61" s="91">
        <v>7000</v>
      </c>
      <c r="CD61" s="91">
        <v>7000</v>
      </c>
      <c r="CE61" s="91">
        <v>7000</v>
      </c>
      <c r="CF61" s="91">
        <v>7000</v>
      </c>
      <c r="CG61" s="91">
        <v>7000</v>
      </c>
      <c r="CH61" s="91"/>
    </row>
    <row r="62" spans="1:87" ht="15.75" customHeight="1" outlineLevel="1">
      <c r="A62" s="94"/>
      <c r="B62" s="210" t="s">
        <v>93</v>
      </c>
      <c r="C62" s="335"/>
      <c r="D62" s="313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>
        <v>15000</v>
      </c>
      <c r="T62" s="91">
        <v>15600</v>
      </c>
      <c r="U62" s="91">
        <v>2000</v>
      </c>
      <c r="V62" s="91">
        <v>10000</v>
      </c>
      <c r="W62" s="91">
        <v>30000</v>
      </c>
      <c r="X62" s="91">
        <v>20000</v>
      </c>
      <c r="Y62" s="91">
        <v>30000</v>
      </c>
      <c r="Z62" s="91">
        <v>30000</v>
      </c>
      <c r="AA62" s="91">
        <v>20000</v>
      </c>
      <c r="AB62" s="91">
        <v>20000</v>
      </c>
      <c r="AC62" s="91">
        <v>10000</v>
      </c>
      <c r="AD62" s="315"/>
      <c r="AE62" s="23"/>
      <c r="AF62" s="316">
        <v>30000</v>
      </c>
      <c r="AG62" s="91">
        <v>20000</v>
      </c>
      <c r="AH62" s="91">
        <v>24960</v>
      </c>
      <c r="AI62" s="91">
        <v>14040</v>
      </c>
      <c r="AJ62" s="91">
        <v>19040</v>
      </c>
      <c r="AK62" s="91">
        <v>12000</v>
      </c>
      <c r="AL62" s="91">
        <v>14000</v>
      </c>
      <c r="AM62" s="91">
        <v>13000</v>
      </c>
      <c r="AN62" s="91">
        <v>13000</v>
      </c>
      <c r="AO62" s="91">
        <v>0</v>
      </c>
      <c r="AP62" s="91">
        <v>0</v>
      </c>
      <c r="AQ62" s="91">
        <v>0</v>
      </c>
      <c r="AR62" s="92">
        <f t="shared" ref="AR62:AR63" si="121">SUM(AF62:AQ62)</f>
        <v>160040</v>
      </c>
      <c r="AS62" s="23"/>
      <c r="AT62" s="91">
        <v>0</v>
      </c>
      <c r="AU62" s="91">
        <v>0</v>
      </c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>
        <f t="shared" ref="BF62:BF63" si="122">SUM(AT62:BE62)</f>
        <v>0</v>
      </c>
      <c r="BG62" s="27">
        <f>BF62-AR62</f>
        <v>-160040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>
        <f t="shared" ref="BT62" si="123">SUM(BH62:BS62)</f>
        <v>0</v>
      </c>
      <c r="BU62" s="28"/>
      <c r="BV62" s="399">
        <f>19+3</f>
        <v>22</v>
      </c>
      <c r="BW62" s="399">
        <f>19+3</f>
        <v>22</v>
      </c>
      <c r="BX62" s="399">
        <f>18+3</f>
        <v>21</v>
      </c>
      <c r="BY62" s="399">
        <v>22</v>
      </c>
      <c r="BZ62" s="399">
        <v>21</v>
      </c>
      <c r="CA62" s="399">
        <f>20+3</f>
        <v>23</v>
      </c>
      <c r="CB62" s="91"/>
      <c r="CC62" s="91"/>
      <c r="CD62" s="91"/>
      <c r="CE62" s="91"/>
      <c r="CF62" s="91"/>
      <c r="CG62" s="91"/>
      <c r="CH62" s="91">
        <f t="shared" ref="CH62" si="124">SUM(BV62:CG62)</f>
        <v>131</v>
      </c>
    </row>
    <row r="63" spans="1:87" ht="15.75" customHeight="1" outlineLevel="1">
      <c r="A63" s="94"/>
      <c r="B63" s="210" t="s">
        <v>282</v>
      </c>
      <c r="C63" s="335"/>
      <c r="D63" s="313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314"/>
      <c r="Q63" s="90"/>
      <c r="R63" s="313"/>
      <c r="S63" s="91"/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13500</v>
      </c>
      <c r="Z63" s="91">
        <v>9000</v>
      </c>
      <c r="AA63" s="91">
        <v>9000</v>
      </c>
      <c r="AB63" s="91">
        <v>9000</v>
      </c>
      <c r="AC63" s="91">
        <v>0</v>
      </c>
      <c r="AD63" s="315"/>
      <c r="AE63" s="23"/>
      <c r="AF63" s="91">
        <v>13500</v>
      </c>
      <c r="AG63" s="91">
        <v>13500</v>
      </c>
      <c r="AH63" s="91">
        <v>2820</v>
      </c>
      <c r="AI63" s="91">
        <v>0</v>
      </c>
      <c r="AJ63" s="91">
        <v>0</v>
      </c>
      <c r="AK63" s="91">
        <v>0</v>
      </c>
      <c r="AL63" s="91">
        <v>0</v>
      </c>
      <c r="AM63" s="91"/>
      <c r="AN63" s="91"/>
      <c r="AO63" s="91"/>
      <c r="AP63" s="91"/>
      <c r="AQ63" s="91"/>
      <c r="AR63" s="92">
        <f t="shared" si="121"/>
        <v>29820</v>
      </c>
      <c r="AS63" s="23"/>
      <c r="AT63" s="91"/>
      <c r="AU63" s="91"/>
      <c r="AV63" s="91"/>
      <c r="AW63" s="91">
        <v>4000</v>
      </c>
      <c r="AX63" s="91">
        <v>8000</v>
      </c>
      <c r="AY63" s="91">
        <v>5000</v>
      </c>
      <c r="AZ63" s="91">
        <v>10000</v>
      </c>
      <c r="BA63" s="91">
        <v>10000</v>
      </c>
      <c r="BB63" s="91">
        <v>0</v>
      </c>
      <c r="BC63" s="91">
        <v>0</v>
      </c>
      <c r="BD63" s="91">
        <v>0</v>
      </c>
      <c r="BE63" s="91"/>
      <c r="BF63" s="91">
        <f t="shared" si="122"/>
        <v>37000</v>
      </c>
      <c r="BG63" s="27"/>
      <c r="BH63" s="91">
        <v>3000</v>
      </c>
      <c r="BI63" s="91"/>
      <c r="BJ63" s="91"/>
      <c r="BK63" s="91"/>
      <c r="BL63" s="91"/>
      <c r="BM63" s="91"/>
      <c r="BN63" s="91"/>
      <c r="BO63" s="91">
        <v>10000</v>
      </c>
      <c r="BP63" s="91">
        <v>15000</v>
      </c>
      <c r="BQ63" s="91">
        <v>20000</v>
      </c>
      <c r="BR63" s="91">
        <v>15000</v>
      </c>
      <c r="BS63" s="91">
        <f>7200*9/2</f>
        <v>32400</v>
      </c>
      <c r="BT63" s="91">
        <f>SUM(BH63:BS63)</f>
        <v>95400</v>
      </c>
      <c r="BU63" s="28"/>
      <c r="BV63" s="91"/>
      <c r="BW63" s="91"/>
      <c r="BX63" s="91"/>
      <c r="BY63" s="91"/>
      <c r="BZ63" s="91"/>
      <c r="CA63" s="91"/>
      <c r="CB63" s="91"/>
      <c r="CC63" s="91"/>
      <c r="CD63" s="91"/>
      <c r="CE63" s="91"/>
      <c r="CF63" s="91"/>
      <c r="CG63" s="91"/>
      <c r="CH63" s="91">
        <f>SUM(BS63:CG63)</f>
        <v>127800</v>
      </c>
    </row>
    <row r="64" spans="1:87" ht="15.75" customHeight="1" outlineLevel="1">
      <c r="A64" s="94"/>
      <c r="B64" s="210" t="s">
        <v>283</v>
      </c>
      <c r="C64" s="335"/>
      <c r="D64" s="313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314"/>
      <c r="Q64" s="90"/>
      <c r="R64" s="313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315"/>
      <c r="AE64" s="23"/>
      <c r="AF64" s="91"/>
      <c r="AG64" s="91"/>
      <c r="AH64" s="91"/>
      <c r="AI64" s="91"/>
      <c r="AJ64" s="91"/>
      <c r="AK64" s="91"/>
      <c r="AL64" s="91"/>
      <c r="AM64" s="91"/>
      <c r="AN64" s="91"/>
      <c r="AO64" s="91">
        <f t="shared" ref="AO64:AQ64" si="125">AO59*9.68</f>
        <v>1355200</v>
      </c>
      <c r="AP64" s="91">
        <f t="shared" si="125"/>
        <v>1258400</v>
      </c>
      <c r="AQ64" s="91">
        <f t="shared" si="125"/>
        <v>968000</v>
      </c>
      <c r="AR64" s="92"/>
      <c r="AS64" s="23"/>
      <c r="AT64" s="91">
        <f t="shared" ref="AT64:BF64" si="126">AT59*9.68</f>
        <v>1287440</v>
      </c>
      <c r="AU64" s="91">
        <f t="shared" si="126"/>
        <v>1211742.3999999999</v>
      </c>
      <c r="AV64" s="91">
        <f t="shared" si="126"/>
        <v>1134767.04</v>
      </c>
      <c r="AW64" s="91">
        <f t="shared" si="126"/>
        <v>1234200</v>
      </c>
      <c r="AX64" s="91">
        <f t="shared" si="126"/>
        <v>1355200</v>
      </c>
      <c r="AY64" s="91">
        <f t="shared" si="126"/>
        <v>1532760.2399903198</v>
      </c>
      <c r="AZ64" s="91">
        <f t="shared" si="126"/>
        <v>1475319.1199999999</v>
      </c>
      <c r="BA64" s="91">
        <f t="shared" si="126"/>
        <v>1679673.5999999999</v>
      </c>
      <c r="BB64" s="91">
        <f t="shared" si="126"/>
        <v>1597200</v>
      </c>
      <c r="BC64" s="91">
        <f t="shared" si="126"/>
        <v>1524600</v>
      </c>
      <c r="BD64" s="91">
        <f t="shared" si="126"/>
        <v>1252892.08</v>
      </c>
      <c r="BE64" s="91">
        <f t="shared" si="126"/>
        <v>597256</v>
      </c>
      <c r="BF64" s="91">
        <f t="shared" si="126"/>
        <v>15883050.47999032</v>
      </c>
      <c r="BG64" s="27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28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</row>
    <row r="65" spans="1:86">
      <c r="A65" s="110" t="s">
        <v>99</v>
      </c>
      <c r="B65" s="340" t="s">
        <v>100</v>
      </c>
      <c r="C65" s="341"/>
      <c r="D65" s="342">
        <v>95972</v>
      </c>
      <c r="E65" s="111">
        <v>130805</v>
      </c>
      <c r="F65" s="111">
        <v>121914</v>
      </c>
      <c r="G65" s="111">
        <v>165455</v>
      </c>
      <c r="H65" s="111">
        <v>192013</v>
      </c>
      <c r="I65" s="111">
        <v>167281</v>
      </c>
      <c r="J65" s="111">
        <v>181409</v>
      </c>
      <c r="K65" s="111">
        <v>163138</v>
      </c>
      <c r="L65" s="111">
        <v>169051</v>
      </c>
      <c r="M65" s="111">
        <v>183254</v>
      </c>
      <c r="N65" s="111"/>
      <c r="O65" s="111"/>
      <c r="P65" s="343">
        <f>SUM(D65:O65)</f>
        <v>1570292</v>
      </c>
      <c r="Q65" s="84"/>
      <c r="R65" s="342">
        <v>149582</v>
      </c>
      <c r="S65" s="112">
        <v>152735</v>
      </c>
      <c r="T65" s="112">
        <v>107681</v>
      </c>
      <c r="U65" s="112">
        <v>2974</v>
      </c>
      <c r="V65" s="112">
        <v>32639</v>
      </c>
      <c r="W65" s="112">
        <v>153121</v>
      </c>
      <c r="X65" s="112">
        <v>198635</v>
      </c>
      <c r="Y65" s="112">
        <v>160489</v>
      </c>
      <c r="Z65" s="112">
        <v>160893</v>
      </c>
      <c r="AA65" s="112">
        <v>180999</v>
      </c>
      <c r="AB65" s="112">
        <v>167265</v>
      </c>
      <c r="AC65" s="112">
        <v>135424</v>
      </c>
      <c r="AD65" s="344">
        <f>SUM(R65:AC65)</f>
        <v>1602437</v>
      </c>
      <c r="AE65" s="113"/>
      <c r="AF65" s="345">
        <v>145616</v>
      </c>
      <c r="AG65" s="112">
        <v>168450</v>
      </c>
      <c r="AH65" s="112">
        <v>153291</v>
      </c>
      <c r="AI65" s="112">
        <v>149378</v>
      </c>
      <c r="AJ65" s="112">
        <v>196360</v>
      </c>
      <c r="AK65" s="112">
        <v>170558</v>
      </c>
      <c r="AL65" s="112">
        <v>171758</v>
      </c>
      <c r="AM65" s="112">
        <f t="shared" ref="AM65:AQ65" si="127">SUM(AM66:AM67)</f>
        <v>168974</v>
      </c>
      <c r="AN65" s="112">
        <f t="shared" si="127"/>
        <v>144792</v>
      </c>
      <c r="AO65" s="112">
        <f t="shared" si="127"/>
        <v>141375</v>
      </c>
      <c r="AP65" s="112">
        <f t="shared" si="127"/>
        <v>143221</v>
      </c>
      <c r="AQ65" s="112">
        <f t="shared" si="127"/>
        <v>85543</v>
      </c>
      <c r="AR65" s="112">
        <f t="shared" ref="AR65:AR69" si="128">SUM(AF65:AQ65)</f>
        <v>1839316</v>
      </c>
      <c r="AS65" s="23"/>
      <c r="AT65" s="112">
        <f t="shared" ref="AT65:BE65" si="129">SUM(AT66:AT67)</f>
        <v>120211</v>
      </c>
      <c r="AU65" s="112">
        <f t="shared" si="129"/>
        <v>120216</v>
      </c>
      <c r="AV65" s="112">
        <f t="shared" si="129"/>
        <v>101053</v>
      </c>
      <c r="AW65" s="112">
        <f t="shared" si="129"/>
        <v>137388</v>
      </c>
      <c r="AX65" s="112">
        <f t="shared" si="129"/>
        <v>137400</v>
      </c>
      <c r="AY65" s="112">
        <f t="shared" si="129"/>
        <v>135412</v>
      </c>
      <c r="AZ65" s="112">
        <f t="shared" si="129"/>
        <v>157032</v>
      </c>
      <c r="BA65" s="112">
        <f t="shared" si="129"/>
        <v>173287</v>
      </c>
      <c r="BB65" s="114">
        <f t="shared" si="129"/>
        <v>166815</v>
      </c>
      <c r="BC65" s="114">
        <f t="shared" si="129"/>
        <v>153816</v>
      </c>
      <c r="BD65" s="114">
        <f t="shared" si="129"/>
        <v>138051</v>
      </c>
      <c r="BE65" s="114">
        <f t="shared" si="129"/>
        <v>55950</v>
      </c>
      <c r="BF65" s="114">
        <f t="shared" ref="BF65:BF69" si="130">SUM(AT65:BE65)</f>
        <v>1596631</v>
      </c>
      <c r="BG65" s="93">
        <f>BF65/AR65-1</f>
        <v>-0.1319430701412917</v>
      </c>
      <c r="BH65" s="112">
        <f t="shared" ref="BH65:BQ65" si="131">SUM(BH66:BH67)</f>
        <v>138562</v>
      </c>
      <c r="BI65" s="112">
        <f t="shared" si="131"/>
        <v>109391</v>
      </c>
      <c r="BJ65" s="112">
        <f t="shared" si="131"/>
        <v>160056</v>
      </c>
      <c r="BK65" s="112">
        <f t="shared" si="131"/>
        <v>124826</v>
      </c>
      <c r="BL65" s="112">
        <f t="shared" si="131"/>
        <v>151185</v>
      </c>
      <c r="BM65" s="112">
        <f t="shared" si="131"/>
        <v>134688</v>
      </c>
      <c r="BN65" s="112">
        <f t="shared" si="131"/>
        <v>157005</v>
      </c>
      <c r="BO65" s="112">
        <f t="shared" si="131"/>
        <v>151231</v>
      </c>
      <c r="BP65" s="112">
        <f t="shared" si="131"/>
        <v>143335</v>
      </c>
      <c r="BQ65" s="112">
        <f t="shared" si="131"/>
        <v>159215</v>
      </c>
      <c r="BR65" s="112"/>
      <c r="BS65" s="112"/>
      <c r="BT65" s="112">
        <f t="shared" ref="BT65:BT69" si="132">SUM(BH65:BS65)</f>
        <v>1429494</v>
      </c>
      <c r="BU65" s="18"/>
      <c r="BV65" s="112"/>
      <c r="BW65" s="112"/>
      <c r="BX65" s="112"/>
      <c r="BY65" s="112"/>
      <c r="BZ65" s="112"/>
      <c r="CA65" s="112"/>
      <c r="CB65" s="112"/>
      <c r="CC65" s="112"/>
      <c r="CD65" s="112"/>
      <c r="CE65" s="112"/>
      <c r="CF65" s="112"/>
      <c r="CG65" s="112"/>
      <c r="CH65" s="112"/>
    </row>
    <row r="66" spans="1:86" ht="15.75" customHeight="1">
      <c r="A66" s="115"/>
      <c r="B66" s="346" t="s">
        <v>101</v>
      </c>
      <c r="C66" s="347"/>
      <c r="D66" s="265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66"/>
      <c r="Q66" s="116"/>
      <c r="R66" s="265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67"/>
      <c r="AE66" s="23"/>
      <c r="AF66" s="348">
        <v>126362</v>
      </c>
      <c r="AG66" s="22">
        <v>153970</v>
      </c>
      <c r="AH66" s="22">
        <v>128331</v>
      </c>
      <c r="AI66" s="22">
        <v>135338</v>
      </c>
      <c r="AJ66" s="22">
        <v>177312</v>
      </c>
      <c r="AK66" s="22">
        <v>150818</v>
      </c>
      <c r="AL66" s="22">
        <v>158858</v>
      </c>
      <c r="AM66" s="22">
        <v>153933</v>
      </c>
      <c r="AN66" s="22">
        <v>134244</v>
      </c>
      <c r="AO66" s="22">
        <v>137435</v>
      </c>
      <c r="AP66" s="22">
        <v>143221</v>
      </c>
      <c r="AQ66" s="22">
        <v>85543</v>
      </c>
      <c r="AR66" s="117">
        <f t="shared" si="128"/>
        <v>1685365</v>
      </c>
      <c r="AS66" s="23"/>
      <c r="AT66" s="22">
        <v>120211</v>
      </c>
      <c r="AU66" s="22">
        <v>120216</v>
      </c>
      <c r="AV66" s="22">
        <v>101053</v>
      </c>
      <c r="AW66" s="22">
        <v>137388</v>
      </c>
      <c r="AX66" s="22">
        <v>137400</v>
      </c>
      <c r="AY66" s="22">
        <v>135412</v>
      </c>
      <c r="AZ66" s="22">
        <v>157032</v>
      </c>
      <c r="BA66" s="22">
        <v>172227</v>
      </c>
      <c r="BB66" s="22">
        <f>157995+8500</f>
        <v>166495</v>
      </c>
      <c r="BC66" s="22">
        <v>153816</v>
      </c>
      <c r="BD66" s="22">
        <v>138051</v>
      </c>
      <c r="BE66" s="22">
        <v>55950</v>
      </c>
      <c r="BF66" s="22">
        <f t="shared" si="130"/>
        <v>1595251</v>
      </c>
      <c r="BG66" s="27"/>
      <c r="BH66" s="22">
        <v>138562</v>
      </c>
      <c r="BI66" s="22">
        <v>109391</v>
      </c>
      <c r="BJ66" s="22">
        <v>160056</v>
      </c>
      <c r="BK66" s="22">
        <v>124826</v>
      </c>
      <c r="BL66" s="22">
        <v>151185</v>
      </c>
      <c r="BM66" s="22">
        <v>134688</v>
      </c>
      <c r="BN66" s="22">
        <v>157005</v>
      </c>
      <c r="BO66" s="22">
        <v>151231</v>
      </c>
      <c r="BP66" s="22">
        <v>143335</v>
      </c>
      <c r="BQ66" s="22">
        <v>159215</v>
      </c>
      <c r="BR66" s="22"/>
      <c r="BS66" s="22"/>
      <c r="BT66" s="22">
        <f t="shared" si="132"/>
        <v>1429494</v>
      </c>
      <c r="BU66" s="28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</row>
    <row r="67" spans="1:86" ht="15.75" customHeight="1">
      <c r="A67" s="115"/>
      <c r="B67" s="346" t="s">
        <v>102</v>
      </c>
      <c r="C67" s="347"/>
      <c r="D67" s="265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66"/>
      <c r="Q67" s="116"/>
      <c r="R67" s="265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67"/>
      <c r="AE67" s="23"/>
      <c r="AF67" s="22">
        <f t="shared" ref="AF67:AL67" si="133">AF65-AF66</f>
        <v>19254</v>
      </c>
      <c r="AG67" s="22">
        <f t="shared" si="133"/>
        <v>14480</v>
      </c>
      <c r="AH67" s="22">
        <f t="shared" si="133"/>
        <v>24960</v>
      </c>
      <c r="AI67" s="22">
        <f t="shared" si="133"/>
        <v>14040</v>
      </c>
      <c r="AJ67" s="22">
        <f t="shared" si="133"/>
        <v>19048</v>
      </c>
      <c r="AK67" s="22">
        <f t="shared" si="133"/>
        <v>19740</v>
      </c>
      <c r="AL67" s="22">
        <f t="shared" si="133"/>
        <v>12900</v>
      </c>
      <c r="AM67" s="22">
        <v>15041</v>
      </c>
      <c r="AN67" s="22">
        <v>10548</v>
      </c>
      <c r="AO67" s="22">
        <v>3940</v>
      </c>
      <c r="AP67" s="22">
        <v>0</v>
      </c>
      <c r="AQ67" s="22">
        <v>0</v>
      </c>
      <c r="AR67" s="117">
        <f t="shared" si="128"/>
        <v>153951</v>
      </c>
      <c r="AS67" s="23"/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1060</v>
      </c>
      <c r="BB67" s="22">
        <v>320</v>
      </c>
      <c r="BC67" s="22">
        <v>0</v>
      </c>
      <c r="BD67" s="22">
        <v>0</v>
      </c>
      <c r="BE67" s="22"/>
      <c r="BF67" s="22">
        <f t="shared" si="130"/>
        <v>1380</v>
      </c>
      <c r="BG67" s="27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>
        <f t="shared" si="132"/>
        <v>0</v>
      </c>
      <c r="BU67" s="28"/>
      <c r="BV67" s="22"/>
      <c r="BW67" s="22"/>
      <c r="BX67" s="22"/>
      <c r="BY67" s="22"/>
    </row>
    <row r="68" spans="1:86" ht="15.75" customHeight="1">
      <c r="A68" s="103" t="s">
        <v>103</v>
      </c>
      <c r="B68" s="337"/>
      <c r="C68" s="330"/>
      <c r="D68" s="331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332"/>
      <c r="Q68" s="105"/>
      <c r="R68" s="333"/>
      <c r="S68" s="333"/>
      <c r="T68" s="333"/>
      <c r="U68" s="333"/>
      <c r="V68" s="333"/>
      <c r="W68" s="333"/>
      <c r="X68" s="333"/>
      <c r="Y68" s="333"/>
      <c r="Z68" s="333"/>
      <c r="AA68" s="333"/>
      <c r="AB68" s="333"/>
      <c r="AC68" s="333"/>
      <c r="AD68" s="334"/>
      <c r="AE68" s="106"/>
      <c r="AF68" s="333">
        <f t="shared" ref="AF68:AQ68" si="134">AF65-AF59</f>
        <v>-15784</v>
      </c>
      <c r="AG68" s="333">
        <f t="shared" si="134"/>
        <v>2450</v>
      </c>
      <c r="AH68" s="333">
        <f t="shared" si="134"/>
        <v>2820</v>
      </c>
      <c r="AI68" s="333">
        <f t="shared" si="134"/>
        <v>338</v>
      </c>
      <c r="AJ68" s="333">
        <f t="shared" si="134"/>
        <v>0</v>
      </c>
      <c r="AK68" s="333">
        <f t="shared" si="134"/>
        <v>7258</v>
      </c>
      <c r="AL68" s="333">
        <f t="shared" si="134"/>
        <v>-18242</v>
      </c>
      <c r="AM68" s="333">
        <f t="shared" si="134"/>
        <v>1974</v>
      </c>
      <c r="AN68" s="333">
        <f t="shared" si="134"/>
        <v>-25708</v>
      </c>
      <c r="AO68" s="333">
        <f t="shared" si="134"/>
        <v>1375</v>
      </c>
      <c r="AP68" s="333">
        <f t="shared" si="134"/>
        <v>13221</v>
      </c>
      <c r="AQ68" s="333">
        <f t="shared" si="134"/>
        <v>-14457</v>
      </c>
      <c r="AR68" s="107">
        <f t="shared" si="128"/>
        <v>-44755</v>
      </c>
      <c r="AS68" s="106"/>
      <c r="AT68" s="333">
        <f t="shared" ref="AT68:BE68" si="135">AT65-AT59</f>
        <v>-12789</v>
      </c>
      <c r="AU68" s="333">
        <f t="shared" si="135"/>
        <v>-4964</v>
      </c>
      <c r="AV68" s="333">
        <f t="shared" si="135"/>
        <v>-16175</v>
      </c>
      <c r="AW68" s="333">
        <f t="shared" si="135"/>
        <v>9888</v>
      </c>
      <c r="AX68" s="333">
        <f t="shared" si="135"/>
        <v>-2600</v>
      </c>
      <c r="AY68" s="333">
        <f t="shared" si="135"/>
        <v>-22930.999998999992</v>
      </c>
      <c r="AZ68" s="333">
        <f t="shared" si="135"/>
        <v>4623</v>
      </c>
      <c r="BA68" s="333">
        <f t="shared" si="135"/>
        <v>-233</v>
      </c>
      <c r="BB68" s="333">
        <f t="shared" si="135"/>
        <v>1815</v>
      </c>
      <c r="BC68" s="333">
        <f t="shared" si="135"/>
        <v>-3684</v>
      </c>
      <c r="BD68" s="333">
        <f t="shared" si="135"/>
        <v>8620</v>
      </c>
      <c r="BE68" s="333">
        <f t="shared" si="135"/>
        <v>-5750</v>
      </c>
      <c r="BF68" s="108">
        <f t="shared" si="130"/>
        <v>-44179.999998999992</v>
      </c>
      <c r="BG68" s="106"/>
      <c r="BH68" s="333">
        <f t="shared" ref="BH68:BQ68" si="136">BH65-BH59</f>
        <v>-1198</v>
      </c>
      <c r="BI68" s="333">
        <f t="shared" si="136"/>
        <v>-7189</v>
      </c>
      <c r="BJ68" s="333">
        <f t="shared" si="136"/>
        <v>11716</v>
      </c>
      <c r="BK68" s="333">
        <f t="shared" si="136"/>
        <v>12466</v>
      </c>
      <c r="BL68" s="333">
        <f t="shared" si="136"/>
        <v>42525</v>
      </c>
      <c r="BM68" s="333">
        <f t="shared" si="136"/>
        <v>-18728</v>
      </c>
      <c r="BN68" s="333">
        <f t="shared" si="136"/>
        <v>19329</v>
      </c>
      <c r="BO68" s="333">
        <f t="shared" si="136"/>
        <v>-9423</v>
      </c>
      <c r="BP68" s="333">
        <f t="shared" si="136"/>
        <v>-13665</v>
      </c>
      <c r="BQ68" s="333">
        <f t="shared" si="136"/>
        <v>2490</v>
      </c>
      <c r="BR68" s="108"/>
      <c r="BS68" s="108"/>
      <c r="BT68" s="108">
        <f t="shared" si="132"/>
        <v>38323</v>
      </c>
      <c r="BU68" s="28"/>
      <c r="BV68" s="333">
        <f t="shared" ref="BV68:BY68" si="137">BV65-BV59</f>
        <v>-133000</v>
      </c>
      <c r="BW68" s="333">
        <f t="shared" si="137"/>
        <v>-133000</v>
      </c>
      <c r="BX68" s="333">
        <f t="shared" si="137"/>
        <v>-133000</v>
      </c>
      <c r="BY68" s="333">
        <f t="shared" si="137"/>
        <v>-154000</v>
      </c>
    </row>
    <row r="69" spans="1:86" ht="14.25" customHeight="1">
      <c r="A69" s="55" t="s">
        <v>104</v>
      </c>
      <c r="B69" s="56"/>
      <c r="C69" s="280"/>
      <c r="D69" s="288" t="e">
        <f t="shared" ref="D69:F69" si="138">#REF!-#REF!</f>
        <v>#REF!</v>
      </c>
      <c r="E69" s="57" t="e">
        <f t="shared" si="138"/>
        <v>#REF!</v>
      </c>
      <c r="F69" s="57" t="e">
        <f t="shared" si="138"/>
        <v>#REF!</v>
      </c>
      <c r="G69" s="57" t="e">
        <f t="shared" ref="G69:I69" si="139">G59-#REF!</f>
        <v>#REF!</v>
      </c>
      <c r="H69" s="57" t="e">
        <f t="shared" si="139"/>
        <v>#REF!</v>
      </c>
      <c r="I69" s="57" t="e">
        <f t="shared" si="139"/>
        <v>#REF!</v>
      </c>
      <c r="J69" s="57" t="e">
        <f t="shared" ref="J69:K69" si="140">#REF!-#REF!</f>
        <v>#REF!</v>
      </c>
      <c r="K69" s="57" t="e">
        <f t="shared" si="140"/>
        <v>#REF!</v>
      </c>
      <c r="L69" s="57">
        <f>L59-L16</f>
        <v>-24911</v>
      </c>
      <c r="M69" s="57">
        <f>M59-M16</f>
        <v>-13674</v>
      </c>
      <c r="N69" s="57">
        <f>N59-N16</f>
        <v>57632</v>
      </c>
      <c r="O69" s="57">
        <f>O59-O16</f>
        <v>74079</v>
      </c>
      <c r="P69" s="289" t="e">
        <f>SUM(D69:O69)</f>
        <v>#REF!</v>
      </c>
      <c r="Q69" s="39"/>
      <c r="R69" s="288">
        <f t="shared" ref="R69:AD69" si="141">R59-R16</f>
        <v>22222.660017050745</v>
      </c>
      <c r="S69" s="58">
        <f t="shared" si="141"/>
        <v>17159.673608830723</v>
      </c>
      <c r="T69" s="58">
        <f t="shared" si="141"/>
        <v>-24753.77192982455</v>
      </c>
      <c r="U69" s="58">
        <f t="shared" si="141"/>
        <v>-17814.899999999998</v>
      </c>
      <c r="V69" s="58">
        <f t="shared" si="141"/>
        <v>1715</v>
      </c>
      <c r="W69" s="290">
        <f t="shared" si="141"/>
        <v>120430.6180497602</v>
      </c>
      <c r="X69" s="290">
        <f t="shared" si="141"/>
        <v>43436.666666667006</v>
      </c>
      <c r="Y69" s="290">
        <f t="shared" si="141"/>
        <v>-29747.083333333314</v>
      </c>
      <c r="Z69" s="290">
        <f t="shared" si="141"/>
        <v>-80887.5</v>
      </c>
      <c r="AA69" s="290">
        <f t="shared" si="141"/>
        <v>10200</v>
      </c>
      <c r="AB69" s="290">
        <f t="shared" si="141"/>
        <v>137500</v>
      </c>
      <c r="AC69" s="290">
        <f t="shared" si="141"/>
        <v>134100</v>
      </c>
      <c r="AD69" s="291">
        <f t="shared" si="141"/>
        <v>333561.36307915067</v>
      </c>
      <c r="AE69" s="59"/>
      <c r="AF69" s="292">
        <f t="shared" ref="AF69:AQ69" si="142">AF59-AF16</f>
        <v>32754</v>
      </c>
      <c r="AG69" s="58">
        <f t="shared" si="142"/>
        <v>-11977</v>
      </c>
      <c r="AH69" s="58">
        <f t="shared" si="142"/>
        <v>76847</v>
      </c>
      <c r="AI69" s="58">
        <f t="shared" si="142"/>
        <v>59682</v>
      </c>
      <c r="AJ69" s="58">
        <f t="shared" si="142"/>
        <v>74226</v>
      </c>
      <c r="AK69" s="58">
        <f t="shared" si="142"/>
        <v>14740</v>
      </c>
      <c r="AL69" s="58">
        <f t="shared" si="142"/>
        <v>38005</v>
      </c>
      <c r="AM69" s="58">
        <f t="shared" si="142"/>
        <v>-71903</v>
      </c>
      <c r="AN69" s="58">
        <f t="shared" si="142"/>
        <v>-90633.333333333343</v>
      </c>
      <c r="AO69" s="58">
        <f t="shared" si="142"/>
        <v>-115900</v>
      </c>
      <c r="AP69" s="58">
        <f t="shared" si="142"/>
        <v>1360</v>
      </c>
      <c r="AQ69" s="58">
        <f t="shared" si="142"/>
        <v>2160</v>
      </c>
      <c r="AR69" s="58">
        <f t="shared" si="128"/>
        <v>9360.666666666657</v>
      </c>
      <c r="AS69" s="59"/>
      <c r="AT69" s="58">
        <f t="shared" ref="AT69:BE69" si="143">AT59-AT16</f>
        <v>-19749.25</v>
      </c>
      <c r="AU69" s="58">
        <f t="shared" si="143"/>
        <v>-43342.103448275855</v>
      </c>
      <c r="AV69" s="58">
        <f t="shared" si="143"/>
        <v>-36893.137931034493</v>
      </c>
      <c r="AW69" s="58">
        <f t="shared" si="143"/>
        <v>-32095.137931034493</v>
      </c>
      <c r="AX69" s="58">
        <f t="shared" si="143"/>
        <v>19900.034482758623</v>
      </c>
      <c r="AY69" s="58">
        <f t="shared" si="143"/>
        <v>19999.222221222211</v>
      </c>
      <c r="AZ69" s="58">
        <f t="shared" si="143"/>
        <v>-14264.777777777781</v>
      </c>
      <c r="BA69" s="58">
        <f t="shared" si="143"/>
        <v>-68922.296296296292</v>
      </c>
      <c r="BB69" s="58">
        <f t="shared" si="143"/>
        <v>-78407.777777777781</v>
      </c>
      <c r="BC69" s="58">
        <f t="shared" si="143"/>
        <v>-95868.290755657828</v>
      </c>
      <c r="BD69" s="58">
        <f t="shared" si="143"/>
        <v>-5124.586881472962</v>
      </c>
      <c r="BE69" s="58">
        <f t="shared" si="143"/>
        <v>-10986.612965093984</v>
      </c>
      <c r="BF69" s="58">
        <f t="shared" si="130"/>
        <v>-365754.71506044065</v>
      </c>
      <c r="BG69" s="59"/>
      <c r="BH69" s="58">
        <f t="shared" ref="BH69:BQ69" si="144">BH59-BH16</f>
        <v>-12993</v>
      </c>
      <c r="BI69" s="58">
        <f t="shared" si="144"/>
        <v>-30242.333333333314</v>
      </c>
      <c r="BJ69" s="58">
        <f t="shared" si="144"/>
        <v>-23206.074074074073</v>
      </c>
      <c r="BK69" s="58">
        <f t="shared" si="144"/>
        <v>-47411.74074074073</v>
      </c>
      <c r="BL69" s="58">
        <f t="shared" si="144"/>
        <v>-23836.851851851854</v>
      </c>
      <c r="BM69" s="58">
        <f t="shared" si="144"/>
        <v>23509.740740740745</v>
      </c>
      <c r="BN69" s="58">
        <f t="shared" si="144"/>
        <v>-33707.555555555562</v>
      </c>
      <c r="BO69" s="58">
        <f t="shared" si="144"/>
        <v>-18896.378111111087</v>
      </c>
      <c r="BP69" s="58">
        <f t="shared" si="144"/>
        <v>-45053.749537037045</v>
      </c>
      <c r="BQ69" s="58">
        <f t="shared" si="144"/>
        <v>-7140</v>
      </c>
      <c r="BR69" s="58"/>
      <c r="BS69" s="58"/>
      <c r="BT69" s="58">
        <f t="shared" si="132"/>
        <v>-218977.94246296291</v>
      </c>
      <c r="BU69" s="60"/>
      <c r="BV69" s="58">
        <f>BV59-BV16</f>
        <v>-26396.197464209516</v>
      </c>
      <c r="BW69" s="58">
        <f>BW59-BW16</f>
        <v>-14381.661486080964</v>
      </c>
      <c r="BX69" s="58">
        <f>BX59-BX16</f>
        <v>-55447.673527325998</v>
      </c>
      <c r="BY69" s="58">
        <f>BY59-BY16</f>
        <v>1529.2025964912027</v>
      </c>
    </row>
  </sheetData>
  <mergeCells count="22">
    <mergeCell ref="BV2:CG2"/>
    <mergeCell ref="AF2:AR2"/>
    <mergeCell ref="R1:AD1"/>
    <mergeCell ref="AF1:AR1"/>
    <mergeCell ref="AT1:BF1"/>
    <mergeCell ref="BH1:BS1"/>
    <mergeCell ref="BV1:CG1"/>
    <mergeCell ref="B40:C40"/>
    <mergeCell ref="D2:P2"/>
    <mergeCell ref="R2:AD2"/>
    <mergeCell ref="AT2:BF2"/>
    <mergeCell ref="BH2:BS2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27:C27"/>
  </mergeCells>
  <pageMargins left="0.25" right="0.25" top="0.75" bottom="0.75" header="0" footer="0"/>
  <pageSetup paperSize="9" scale="55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EF47-7F36-426A-A691-3F1B2927074D}">
  <dimension ref="A1:CI69"/>
  <sheetViews>
    <sheetView showGridLines="0" zoomScale="80" zoomScaleNormal="80" workbookViewId="0">
      <pane xSplit="3" ySplit="5" topLeftCell="BU11" activePane="bottomRight" state="frozen"/>
      <selection pane="bottomRight" activeCell="BV16" sqref="BV16"/>
      <selection pane="bottomLeft" activeCell="A6" sqref="A6"/>
      <selection pane="topRight" activeCell="D1" sqref="D1"/>
    </sheetView>
  </sheetViews>
  <sheetFormatPr defaultColWidth="14.42578125" defaultRowHeight="15" customHeight="1" outlineLevelCol="2"/>
  <cols>
    <col min="1" max="1" width="16.85546875" customWidth="1"/>
    <col min="2" max="2" width="28.7109375" customWidth="1"/>
    <col min="3" max="3" width="10.14062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hidden="1" customWidth="1" outlineLevel="1"/>
    <col min="18" max="18" width="12" hidden="1" customWidth="1" outlineLevel="1"/>
    <col min="19" max="19" width="13.140625" hidden="1" customWidth="1" outlineLevel="1"/>
    <col min="20" max="20" width="13.140625" hidden="1" customWidth="1" outlineLevel="2"/>
    <col min="21" max="21" width="11.7109375" hidden="1" customWidth="1" outlineLevel="2"/>
    <col min="22" max="22" width="13" hidden="1" customWidth="1" outlineLevel="2"/>
    <col min="23" max="23" width="8.85546875" hidden="1" customWidth="1" outlineLevel="2"/>
    <col min="24" max="24" width="13.140625" hidden="1" customWidth="1" outlineLevel="2"/>
    <col min="25" max="25" width="10.7109375" hidden="1" customWidth="1" outlineLevel="2"/>
    <col min="26" max="26" width="11.140625" hidden="1" customWidth="1" outlineLevel="2"/>
    <col min="27" max="27" width="10.7109375" hidden="1" customWidth="1" outlineLevel="2"/>
    <col min="28" max="28" width="10.5703125" hidden="1" customWidth="1" outlineLevel="2"/>
    <col min="29" max="29" width="9.5703125" hidden="1" customWidth="1" outlineLevel="2"/>
    <col min="30" max="30" width="11.5703125" hidden="1" customWidth="1" outlineLevel="1" collapsed="1"/>
    <col min="31" max="31" width="6.42578125" hidden="1" customWidth="1" outlineLevel="1"/>
    <col min="32" max="33" width="12" hidden="1" customWidth="1" outlineLevel="1"/>
    <col min="34" max="34" width="14.7109375" hidden="1" customWidth="1" outlineLevel="1"/>
    <col min="35" max="40" width="15" hidden="1" customWidth="1" outlineLevel="1"/>
    <col min="41" max="42" width="9.140625" hidden="1" customWidth="1" outlineLevel="1"/>
    <col min="43" max="43" width="10.28515625" hidden="1" customWidth="1" outlineLevel="1"/>
    <col min="44" max="44" width="11" hidden="1" customWidth="1" outlineLevel="1"/>
    <col min="45" max="45" width="2.7109375" hidden="1" customWidth="1" outlineLevel="1"/>
    <col min="46" max="46" width="15.140625" hidden="1" customWidth="1" outlineLevel="1"/>
    <col min="47" max="48" width="15" hidden="1" customWidth="1" outlineLevel="1"/>
    <col min="49" max="49" width="13.140625" hidden="1" customWidth="1" outlineLevel="1"/>
    <col min="50" max="50" width="13.42578125" hidden="1" customWidth="1" outlineLevel="1"/>
    <col min="51" max="51" width="12.7109375" hidden="1" customWidth="1" outlineLevel="1"/>
    <col min="52" max="52" width="12.85546875" hidden="1" customWidth="1" outlineLevel="1"/>
    <col min="53" max="53" width="12.42578125" hidden="1" customWidth="1" outlineLevel="1"/>
    <col min="54" max="54" width="12.85546875" hidden="1" customWidth="1" outlineLevel="1"/>
    <col min="55" max="55" width="14" hidden="1" customWidth="1" outlineLevel="1"/>
    <col min="56" max="57" width="11.7109375" hidden="1" customWidth="1" outlineLevel="1"/>
    <col min="58" max="58" width="17.140625" hidden="1" customWidth="1" outlineLevel="1"/>
    <col min="59" max="59" width="9.140625" hidden="1" customWidth="1" outlineLevel="1"/>
    <col min="60" max="60" width="15.140625" hidden="1" customWidth="1" outlineLevel="1" collapsed="1"/>
    <col min="61" max="62" width="15" hidden="1" customWidth="1" outlineLevel="1"/>
    <col min="63" max="63" width="13.140625" hidden="1" customWidth="1" outlineLevel="1"/>
    <col min="64" max="64" width="17.42578125" hidden="1" customWidth="1" outlineLevel="1"/>
    <col min="65" max="65" width="15.5703125" hidden="1" customWidth="1" outlineLevel="1"/>
    <col min="66" max="66" width="15" hidden="1" customWidth="1" outlineLevel="1"/>
    <col min="67" max="71" width="13.140625" hidden="1" customWidth="1" outlineLevel="1"/>
    <col min="72" max="72" width="16.42578125" hidden="1" customWidth="1" outlineLevel="1"/>
    <col min="73" max="73" width="7.140625" customWidth="1" collapsed="1"/>
    <col min="74" max="85" width="13.140625" customWidth="1"/>
    <col min="86" max="86" width="16.42578125" bestFit="1" customWidth="1"/>
  </cols>
  <sheetData>
    <row r="1" spans="1:86" ht="16.5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6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</row>
    <row r="2" spans="1:86" ht="15.75">
      <c r="A2" s="4"/>
      <c r="B2" s="4"/>
      <c r="C2" s="4"/>
      <c r="D2" s="1082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249">
        <v>2021</v>
      </c>
      <c r="AG2" s="249"/>
      <c r="AH2" s="249"/>
      <c r="AI2" s="249"/>
      <c r="AJ2" s="249"/>
      <c r="AK2" s="249"/>
      <c r="AL2" s="249"/>
      <c r="AM2" s="249"/>
      <c r="AN2" s="249"/>
      <c r="AO2" s="249"/>
      <c r="AP2" s="249"/>
      <c r="AQ2" s="250"/>
      <c r="AR2" s="251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6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</row>
    <row r="3" spans="1:86">
      <c r="A3" s="3" t="s">
        <v>5</v>
      </c>
      <c r="B3" s="3"/>
      <c r="C3" s="3"/>
      <c r="D3" s="252">
        <v>16</v>
      </c>
      <c r="E3" s="252">
        <v>21</v>
      </c>
      <c r="F3" s="252">
        <v>18</v>
      </c>
      <c r="G3" s="252">
        <v>21</v>
      </c>
      <c r="H3" s="252">
        <v>22</v>
      </c>
      <c r="I3" s="252">
        <v>19</v>
      </c>
      <c r="J3" s="252">
        <v>23</v>
      </c>
      <c r="K3" s="252">
        <v>21</v>
      </c>
      <c r="L3" s="252">
        <v>21</v>
      </c>
      <c r="M3" s="252">
        <v>26</v>
      </c>
      <c r="N3" s="252">
        <v>24</v>
      </c>
      <c r="O3" s="252">
        <v>15</v>
      </c>
      <c r="P3" s="4"/>
      <c r="Q3" s="247"/>
      <c r="R3" s="252">
        <v>22</v>
      </c>
      <c r="S3" s="252">
        <v>20</v>
      </c>
      <c r="T3" s="252">
        <v>14</v>
      </c>
      <c r="U3" s="252">
        <v>1</v>
      </c>
      <c r="V3" s="252">
        <v>12</v>
      </c>
      <c r="W3" s="252">
        <v>22</v>
      </c>
      <c r="X3" s="252">
        <v>23</v>
      </c>
      <c r="Y3" s="252">
        <v>21</v>
      </c>
      <c r="Z3" s="252">
        <v>21</v>
      </c>
      <c r="AA3" s="252">
        <v>21</v>
      </c>
      <c r="AB3" s="252">
        <v>20</v>
      </c>
      <c r="AC3" s="252">
        <v>17</v>
      </c>
      <c r="AD3" s="2"/>
      <c r="AE3" s="253"/>
      <c r="AF3" s="254">
        <v>18</v>
      </c>
      <c r="AG3" s="252">
        <v>20</v>
      </c>
      <c r="AH3" s="248">
        <v>20</v>
      </c>
      <c r="AI3" s="248">
        <v>20</v>
      </c>
      <c r="AJ3" s="252">
        <v>22</v>
      </c>
      <c r="AK3" s="252">
        <v>20</v>
      </c>
      <c r="AL3" s="252">
        <v>22</v>
      </c>
      <c r="AM3" s="252">
        <v>22</v>
      </c>
      <c r="AN3" s="252">
        <v>21</v>
      </c>
      <c r="AO3" s="252">
        <v>20</v>
      </c>
      <c r="AP3" s="252">
        <v>20</v>
      </c>
      <c r="AQ3" s="248">
        <v>12</v>
      </c>
      <c r="AR3" s="2"/>
      <c r="AS3" s="124"/>
      <c r="AT3" s="253">
        <v>19</v>
      </c>
      <c r="AU3" s="248">
        <v>19</v>
      </c>
      <c r="AV3" s="248">
        <v>18</v>
      </c>
      <c r="AW3" s="248">
        <v>19</v>
      </c>
      <c r="AX3" s="248">
        <v>22</v>
      </c>
      <c r="AY3" s="248">
        <v>21</v>
      </c>
      <c r="AZ3" s="248">
        <v>21</v>
      </c>
      <c r="BA3" s="248">
        <v>22</v>
      </c>
      <c r="BB3" s="248">
        <v>22</v>
      </c>
      <c r="BC3" s="248">
        <v>21</v>
      </c>
      <c r="BD3" s="248">
        <v>20</v>
      </c>
      <c r="BE3" s="248">
        <v>10</v>
      </c>
      <c r="BF3" s="2"/>
      <c r="BG3" s="125"/>
      <c r="BH3" s="253">
        <v>20</v>
      </c>
      <c r="BI3" s="248">
        <v>17</v>
      </c>
      <c r="BJ3" s="248">
        <v>23</v>
      </c>
      <c r="BK3" s="248">
        <v>18</v>
      </c>
      <c r="BL3" s="248">
        <v>22</v>
      </c>
      <c r="BM3" s="248">
        <v>23</v>
      </c>
      <c r="BN3" s="248">
        <v>21</v>
      </c>
      <c r="BO3" s="248">
        <v>21</v>
      </c>
      <c r="BP3" s="248">
        <v>20</v>
      </c>
      <c r="BQ3" s="248">
        <v>21</v>
      </c>
      <c r="BR3" s="248">
        <v>20</v>
      </c>
      <c r="BS3" s="248">
        <v>14</v>
      </c>
      <c r="BT3" s="253">
        <v>20</v>
      </c>
      <c r="BU3" s="252"/>
      <c r="BV3" s="253">
        <v>19</v>
      </c>
      <c r="BW3" s="248">
        <v>16</v>
      </c>
      <c r="BX3" s="248">
        <v>19</v>
      </c>
      <c r="BY3" s="248">
        <v>22</v>
      </c>
      <c r="BZ3" s="248">
        <v>20</v>
      </c>
      <c r="CA3" s="248">
        <v>20</v>
      </c>
      <c r="CB3" s="248">
        <v>23</v>
      </c>
      <c r="CC3" s="248">
        <v>21</v>
      </c>
      <c r="CD3" s="248">
        <v>21</v>
      </c>
      <c r="CE3" s="248">
        <v>23</v>
      </c>
      <c r="CF3" s="248">
        <v>20</v>
      </c>
      <c r="CG3" s="248">
        <v>13</v>
      </c>
      <c r="CH3" s="248"/>
    </row>
    <row r="4" spans="1:86">
      <c r="A4" s="8"/>
      <c r="B4" s="255"/>
      <c r="C4" s="256"/>
      <c r="D4" s="257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258" t="s">
        <v>26</v>
      </c>
      <c r="Q4" s="10"/>
      <c r="R4" s="257" t="s">
        <v>14</v>
      </c>
      <c r="S4" s="9" t="s">
        <v>15</v>
      </c>
      <c r="T4" s="9" t="s">
        <v>16</v>
      </c>
      <c r="U4" s="9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  <c r="AA4" s="9" t="s">
        <v>23</v>
      </c>
      <c r="AB4" s="9" t="s">
        <v>24</v>
      </c>
      <c r="AC4" s="9" t="s">
        <v>25</v>
      </c>
      <c r="AD4" s="258" t="s">
        <v>26</v>
      </c>
      <c r="AE4" s="11"/>
      <c r="AF4" s="257" t="s">
        <v>14</v>
      </c>
      <c r="AG4" s="9" t="s">
        <v>15</v>
      </c>
      <c r="AH4" s="9" t="s">
        <v>16</v>
      </c>
      <c r="AI4" s="9" t="s">
        <v>17</v>
      </c>
      <c r="AJ4" s="9" t="s">
        <v>18</v>
      </c>
      <c r="AK4" s="9" t="s">
        <v>19</v>
      </c>
      <c r="AL4" s="9" t="s">
        <v>20</v>
      </c>
      <c r="AM4" s="9" t="s">
        <v>21</v>
      </c>
      <c r="AN4" s="9" t="s">
        <v>22</v>
      </c>
      <c r="AO4" s="9" t="s">
        <v>23</v>
      </c>
      <c r="AP4" s="9" t="s">
        <v>24</v>
      </c>
      <c r="AQ4" s="9" t="s">
        <v>25</v>
      </c>
      <c r="AR4" s="9" t="s">
        <v>26</v>
      </c>
      <c r="AS4" s="11"/>
      <c r="AT4" s="9" t="s">
        <v>14</v>
      </c>
      <c r="AU4" s="9" t="s">
        <v>15</v>
      </c>
      <c r="AV4" s="9" t="s">
        <v>16</v>
      </c>
      <c r="AW4" s="9" t="s">
        <v>17</v>
      </c>
      <c r="AX4" s="9" t="s">
        <v>18</v>
      </c>
      <c r="AY4" s="9" t="s">
        <v>19</v>
      </c>
      <c r="AZ4" s="9" t="s">
        <v>20</v>
      </c>
      <c r="BA4" s="9" t="s">
        <v>21</v>
      </c>
      <c r="BB4" s="9" t="s">
        <v>22</v>
      </c>
      <c r="BC4" s="9" t="s">
        <v>23</v>
      </c>
      <c r="BD4" s="9" t="s">
        <v>24</v>
      </c>
      <c r="BE4" s="9" t="s">
        <v>25</v>
      </c>
      <c r="BF4" s="9" t="s">
        <v>26</v>
      </c>
      <c r="BG4" s="10"/>
      <c r="BH4" s="9" t="s">
        <v>14</v>
      </c>
      <c r="BI4" s="9" t="s">
        <v>15</v>
      </c>
      <c r="BJ4" s="9" t="s">
        <v>16</v>
      </c>
      <c r="BK4" s="9" t="s">
        <v>17</v>
      </c>
      <c r="BL4" s="9" t="s">
        <v>18</v>
      </c>
      <c r="BM4" s="9" t="s">
        <v>19</v>
      </c>
      <c r="BN4" s="9" t="s">
        <v>20</v>
      </c>
      <c r="BO4" s="9" t="s">
        <v>21</v>
      </c>
      <c r="BP4" s="9" t="s">
        <v>22</v>
      </c>
      <c r="BQ4" s="9" t="s">
        <v>23</v>
      </c>
      <c r="BR4" s="9" t="s">
        <v>24</v>
      </c>
      <c r="BS4" s="9" t="s">
        <v>25</v>
      </c>
      <c r="BT4" s="9" t="s">
        <v>26</v>
      </c>
      <c r="BU4" s="12"/>
      <c r="BV4" s="9" t="s">
        <v>14</v>
      </c>
      <c r="BW4" s="9" t="s">
        <v>15</v>
      </c>
      <c r="BX4" s="9" t="s">
        <v>16</v>
      </c>
      <c r="BY4" s="9" t="s">
        <v>17</v>
      </c>
      <c r="BZ4" s="9" t="s">
        <v>18</v>
      </c>
      <c r="CA4" s="9" t="s">
        <v>19</v>
      </c>
      <c r="CB4" s="9" t="s">
        <v>20</v>
      </c>
      <c r="CC4" s="9" t="s">
        <v>21</v>
      </c>
      <c r="CD4" s="9" t="s">
        <v>22</v>
      </c>
      <c r="CE4" s="9" t="s">
        <v>23</v>
      </c>
      <c r="CF4" s="9" t="s">
        <v>24</v>
      </c>
      <c r="CG4" s="9" t="s">
        <v>25</v>
      </c>
      <c r="CH4" s="9" t="s">
        <v>26</v>
      </c>
    </row>
    <row r="5" spans="1:86">
      <c r="A5" s="13"/>
      <c r="B5" s="259"/>
      <c r="C5" s="260"/>
      <c r="D5" s="261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262"/>
      <c r="Q5" s="15"/>
      <c r="R5" s="261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263"/>
      <c r="AE5" s="16"/>
      <c r="AF5" s="261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7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7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8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</row>
    <row r="6" spans="1:86">
      <c r="A6" s="13" t="s">
        <v>28</v>
      </c>
      <c r="B6" s="259" t="s">
        <v>263</v>
      </c>
      <c r="C6" s="260"/>
      <c r="D6" s="261">
        <f t="shared" ref="D6:O6" si="0">SUM(D7:D9)</f>
        <v>304786</v>
      </c>
      <c r="E6" s="14">
        <f t="shared" si="0"/>
        <v>311986</v>
      </c>
      <c r="F6" s="14">
        <f t="shared" si="0"/>
        <v>328231</v>
      </c>
      <c r="G6" s="14">
        <f t="shared" si="0"/>
        <v>317873</v>
      </c>
      <c r="H6" s="14">
        <f t="shared" si="0"/>
        <v>347196</v>
      </c>
      <c r="I6" s="14">
        <f t="shared" si="0"/>
        <v>402253</v>
      </c>
      <c r="J6" s="14">
        <f t="shared" si="0"/>
        <v>454488</v>
      </c>
      <c r="K6" s="14">
        <f t="shared" si="0"/>
        <v>447182</v>
      </c>
      <c r="L6" s="14">
        <f t="shared" si="0"/>
        <v>416931</v>
      </c>
      <c r="M6" s="14">
        <f t="shared" si="0"/>
        <v>304402</v>
      </c>
      <c r="N6" s="14">
        <f t="shared" si="0"/>
        <v>0</v>
      </c>
      <c r="O6" s="14">
        <f t="shared" si="0"/>
        <v>188264</v>
      </c>
      <c r="P6" s="262"/>
      <c r="Q6" s="15"/>
      <c r="R6" s="14">
        <f t="shared" ref="R6:AC6" si="1">SUM(R7:R9)</f>
        <v>283359</v>
      </c>
      <c r="S6" s="14">
        <f t="shared" si="1"/>
        <v>342718</v>
      </c>
      <c r="T6" s="14">
        <f t="shared" si="1"/>
        <v>313212</v>
      </c>
      <c r="U6" s="14">
        <f t="shared" si="1"/>
        <v>298093</v>
      </c>
      <c r="V6" s="14">
        <f t="shared" si="1"/>
        <v>206617</v>
      </c>
      <c r="W6" s="14">
        <f t="shared" si="1"/>
        <v>235875</v>
      </c>
      <c r="X6" s="14">
        <f t="shared" si="1"/>
        <v>360135</v>
      </c>
      <c r="Y6" s="14">
        <f t="shared" si="1"/>
        <v>361665</v>
      </c>
      <c r="Z6" s="14">
        <f t="shared" si="1"/>
        <v>353400</v>
      </c>
      <c r="AA6" s="14">
        <f t="shared" si="1"/>
        <v>272097</v>
      </c>
      <c r="AB6" s="14">
        <f t="shared" si="1"/>
        <v>170626</v>
      </c>
      <c r="AC6" s="14">
        <f t="shared" si="1"/>
        <v>197551</v>
      </c>
      <c r="AD6" s="263"/>
      <c r="AE6" s="16"/>
      <c r="AF6" s="14">
        <f t="shared" ref="AF6:AQ6" si="2">SUM(AF7:AF10)</f>
        <v>246973</v>
      </c>
      <c r="AG6" s="14">
        <f t="shared" si="2"/>
        <v>281087</v>
      </c>
      <c r="AH6" s="14">
        <f t="shared" si="2"/>
        <v>386469</v>
      </c>
      <c r="AI6" s="14">
        <f t="shared" si="2"/>
        <v>379017</v>
      </c>
      <c r="AJ6" s="14">
        <f t="shared" si="2"/>
        <v>400777</v>
      </c>
      <c r="AK6" s="14">
        <f t="shared" si="2"/>
        <v>465623</v>
      </c>
      <c r="AL6" s="14">
        <f t="shared" si="2"/>
        <v>472149</v>
      </c>
      <c r="AM6" s="14">
        <f t="shared" si="2"/>
        <v>492339</v>
      </c>
      <c r="AN6" s="14">
        <f t="shared" si="2"/>
        <v>450428</v>
      </c>
      <c r="AO6" s="14">
        <f t="shared" si="2"/>
        <v>391441</v>
      </c>
      <c r="AP6" s="14">
        <f t="shared" si="2"/>
        <v>325482</v>
      </c>
      <c r="AQ6" s="14">
        <f t="shared" si="2"/>
        <v>321014</v>
      </c>
      <c r="AR6" s="14">
        <f t="shared" ref="AR6:AR14" si="3">AQ6</f>
        <v>321014</v>
      </c>
      <c r="AS6" s="17"/>
      <c r="AT6" s="14">
        <f t="shared" ref="AT6:BE6" si="4">SUM(AT7:AT10)</f>
        <v>350303</v>
      </c>
      <c r="AU6" s="14">
        <f t="shared" si="4"/>
        <v>323931</v>
      </c>
      <c r="AV6" s="14">
        <f t="shared" si="4"/>
        <v>307980</v>
      </c>
      <c r="AW6" s="14">
        <f t="shared" si="4"/>
        <v>292777</v>
      </c>
      <c r="AX6" s="14">
        <f t="shared" si="4"/>
        <v>296754</v>
      </c>
      <c r="AY6" s="14">
        <f t="shared" si="4"/>
        <v>344037</v>
      </c>
      <c r="AZ6" s="14">
        <f t="shared" si="4"/>
        <v>367566</v>
      </c>
      <c r="BA6" s="14">
        <f t="shared" si="4"/>
        <v>372442</v>
      </c>
      <c r="BB6" s="14">
        <f t="shared" si="4"/>
        <v>375154</v>
      </c>
      <c r="BC6" s="14">
        <f t="shared" si="4"/>
        <v>340466</v>
      </c>
      <c r="BD6" s="14">
        <f t="shared" si="4"/>
        <v>314581</v>
      </c>
      <c r="BE6" s="14">
        <f t="shared" si="4"/>
        <v>253219</v>
      </c>
      <c r="BF6" s="14">
        <f t="shared" ref="BF6:BF11" si="5">BE6</f>
        <v>253219</v>
      </c>
      <c r="BG6" s="17"/>
      <c r="BH6" s="14">
        <f t="shared" ref="BH6:BQ6" si="6">SUM(BH7:BH10)</f>
        <v>307512</v>
      </c>
      <c r="BI6" s="14">
        <f t="shared" si="6"/>
        <v>302058</v>
      </c>
      <c r="BJ6" s="14">
        <f t="shared" si="6"/>
        <v>315841</v>
      </c>
      <c r="BK6" s="14">
        <f t="shared" si="6"/>
        <v>306027</v>
      </c>
      <c r="BL6" s="14">
        <f t="shared" si="6"/>
        <v>299077</v>
      </c>
      <c r="BM6" s="14">
        <f t="shared" si="6"/>
        <v>293121</v>
      </c>
      <c r="BN6" s="14">
        <f t="shared" si="6"/>
        <v>335286</v>
      </c>
      <c r="BO6" s="14">
        <f t="shared" si="6"/>
        <v>322561</v>
      </c>
      <c r="BP6" s="14">
        <f t="shared" si="6"/>
        <v>304307</v>
      </c>
      <c r="BQ6" s="14">
        <f t="shared" si="6"/>
        <v>280100</v>
      </c>
      <c r="BR6" s="14">
        <f>SUM(BR7:BR10)</f>
        <v>215852</v>
      </c>
      <c r="BS6" s="14">
        <f>BS7+BS8+BS10</f>
        <v>201165</v>
      </c>
      <c r="BT6" s="14">
        <f>BS6</f>
        <v>201165</v>
      </c>
      <c r="BU6" s="18"/>
      <c r="BV6" s="14">
        <f>BV7+BV8+BV10</f>
        <v>247713</v>
      </c>
      <c r="BW6" s="14">
        <f t="shared" ref="BW6:CG6" si="7">BV6+BW59-BW16</f>
        <v>251208.95</v>
      </c>
      <c r="BX6" s="14">
        <f t="shared" si="7"/>
        <v>180525.7</v>
      </c>
      <c r="BY6" s="14">
        <f t="shared" si="7"/>
        <v>210683.6</v>
      </c>
      <c r="BZ6" s="14">
        <f t="shared" si="7"/>
        <v>206789.14999999997</v>
      </c>
      <c r="CA6" s="14">
        <f t="shared" si="7"/>
        <v>216957.69999999995</v>
      </c>
      <c r="CB6" s="14">
        <f t="shared" si="7"/>
        <v>204578.99999999994</v>
      </c>
      <c r="CC6" s="14">
        <f t="shared" si="7"/>
        <v>185645.69999999995</v>
      </c>
      <c r="CD6" s="14">
        <f t="shared" si="7"/>
        <v>164566.94999999995</v>
      </c>
      <c r="CE6" s="14">
        <f t="shared" si="7"/>
        <v>148083.54999999996</v>
      </c>
      <c r="CF6" s="14">
        <f t="shared" si="7"/>
        <v>135683.59999999992</v>
      </c>
      <c r="CG6" s="14">
        <f t="shared" si="7"/>
        <v>147764.39999999991</v>
      </c>
      <c r="CH6" s="14">
        <f t="shared" ref="CH6:CH14" si="8">CG6</f>
        <v>147764.39999999991</v>
      </c>
    </row>
    <row r="7" spans="1:86">
      <c r="A7" s="19">
        <v>1</v>
      </c>
      <c r="B7" s="158" t="s">
        <v>264</v>
      </c>
      <c r="C7" s="264"/>
      <c r="D7" s="265">
        <v>197000</v>
      </c>
      <c r="E7" s="20">
        <v>223027</v>
      </c>
      <c r="F7" s="20">
        <v>230513</v>
      </c>
      <c r="G7" s="20">
        <v>231174</v>
      </c>
      <c r="H7" s="20">
        <v>255028</v>
      </c>
      <c r="I7" s="20">
        <f>316386+3241</f>
        <v>319627</v>
      </c>
      <c r="J7" s="20">
        <v>377712</v>
      </c>
      <c r="K7" s="20">
        <v>382411</v>
      </c>
      <c r="L7" s="20">
        <v>394107</v>
      </c>
      <c r="M7" s="20">
        <v>267954</v>
      </c>
      <c r="N7" s="20"/>
      <c r="O7" s="20">
        <v>143875</v>
      </c>
      <c r="P7" s="266"/>
      <c r="Q7" s="21"/>
      <c r="R7" s="265">
        <v>208084</v>
      </c>
      <c r="S7" s="22">
        <v>268431</v>
      </c>
      <c r="T7" s="22">
        <v>250616</v>
      </c>
      <c r="U7" s="22">
        <v>237088</v>
      </c>
      <c r="V7" s="22">
        <v>147777</v>
      </c>
      <c r="W7" s="22">
        <v>215818</v>
      </c>
      <c r="X7" s="22">
        <v>273510</v>
      </c>
      <c r="Y7" s="22">
        <v>299059</v>
      </c>
      <c r="Z7" s="22">
        <v>304980</v>
      </c>
      <c r="AA7" s="22">
        <v>231197</v>
      </c>
      <c r="AB7" s="22">
        <v>143086</v>
      </c>
      <c r="AC7" s="22">
        <v>172491</v>
      </c>
      <c r="AD7" s="267"/>
      <c r="AE7" s="23"/>
      <c r="AF7" s="22">
        <v>198695</v>
      </c>
      <c r="AG7" s="22">
        <v>234210</v>
      </c>
      <c r="AH7" s="22">
        <v>327560</v>
      </c>
      <c r="AI7" s="22">
        <v>332523</v>
      </c>
      <c r="AJ7" s="24">
        <v>356667</v>
      </c>
      <c r="AK7" s="22">
        <v>384165</v>
      </c>
      <c r="AL7" s="22">
        <v>317268</v>
      </c>
      <c r="AM7" s="22">
        <v>370708</v>
      </c>
      <c r="AN7" s="22">
        <v>354503</v>
      </c>
      <c r="AO7" s="22">
        <v>314605</v>
      </c>
      <c r="AP7" s="25">
        <v>90490</v>
      </c>
      <c r="AQ7" s="22">
        <v>58348</v>
      </c>
      <c r="AR7" s="22">
        <f t="shared" si="3"/>
        <v>58348</v>
      </c>
      <c r="AS7" s="23"/>
      <c r="AT7" s="22">
        <v>158701</v>
      </c>
      <c r="AU7" s="22">
        <v>115369</v>
      </c>
      <c r="AV7" s="22">
        <v>142379</v>
      </c>
      <c r="AW7" s="22">
        <v>118765</v>
      </c>
      <c r="AX7" s="22">
        <v>113246</v>
      </c>
      <c r="AY7" s="22">
        <v>106776</v>
      </c>
      <c r="AZ7" s="22">
        <v>175234</v>
      </c>
      <c r="BA7" s="22">
        <v>151553</v>
      </c>
      <c r="BB7" s="26">
        <v>167082</v>
      </c>
      <c r="BC7" s="22">
        <v>150959</v>
      </c>
      <c r="BD7" s="22">
        <v>119787</v>
      </c>
      <c r="BE7" s="22">
        <v>65426</v>
      </c>
      <c r="BF7" s="22">
        <f t="shared" si="5"/>
        <v>65426</v>
      </c>
      <c r="BG7" s="27"/>
      <c r="BH7" s="22">
        <v>166918</v>
      </c>
      <c r="BI7" s="22">
        <v>167160</v>
      </c>
      <c r="BJ7" s="22">
        <v>204571</v>
      </c>
      <c r="BK7" s="22">
        <v>153197</v>
      </c>
      <c r="BL7" s="22">
        <v>196798</v>
      </c>
      <c r="BM7" s="22">
        <v>145596</v>
      </c>
      <c r="BN7" s="22">
        <v>166021</v>
      </c>
      <c r="BO7" s="22">
        <v>211305</v>
      </c>
      <c r="BP7" s="22">
        <v>201071</v>
      </c>
      <c r="BQ7" s="22">
        <v>177743</v>
      </c>
      <c r="BR7" s="22">
        <v>144020</v>
      </c>
      <c r="BS7" s="22">
        <v>154347</v>
      </c>
      <c r="BT7" s="22">
        <f>BS7</f>
        <v>154347</v>
      </c>
      <c r="BU7" s="28"/>
      <c r="BV7" s="22">
        <v>204006</v>
      </c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>
        <f t="shared" si="8"/>
        <v>0</v>
      </c>
    </row>
    <row r="8" spans="1:86">
      <c r="A8" s="19">
        <v>2</v>
      </c>
      <c r="B8" s="158" t="s">
        <v>265</v>
      </c>
      <c r="C8" s="264"/>
      <c r="D8" s="265">
        <v>73670</v>
      </c>
      <c r="E8" s="20">
        <v>59682</v>
      </c>
      <c r="F8" s="20">
        <v>54710</v>
      </c>
      <c r="G8" s="20">
        <v>56175</v>
      </c>
      <c r="H8" s="20">
        <v>58933</v>
      </c>
      <c r="I8" s="20">
        <v>42784</v>
      </c>
      <c r="J8" s="20">
        <v>35755</v>
      </c>
      <c r="K8" s="20">
        <v>33547</v>
      </c>
      <c r="L8" s="20">
        <v>22824</v>
      </c>
      <c r="M8" s="20">
        <v>26162</v>
      </c>
      <c r="N8" s="20"/>
      <c r="O8" s="20">
        <v>44389</v>
      </c>
      <c r="P8" s="266"/>
      <c r="Q8" s="21"/>
      <c r="R8" s="265">
        <v>39759</v>
      </c>
      <c r="S8" s="22">
        <v>38325</v>
      </c>
      <c r="T8" s="22">
        <v>26634</v>
      </c>
      <c r="U8" s="22">
        <f>14430+2754+7859</f>
        <v>25043</v>
      </c>
      <c r="V8" s="22">
        <v>23840</v>
      </c>
      <c r="W8" s="22">
        <v>20057</v>
      </c>
      <c r="X8" s="22">
        <v>80502</v>
      </c>
      <c r="Y8" s="22">
        <v>56483</v>
      </c>
      <c r="Z8" s="22">
        <v>44233</v>
      </c>
      <c r="AA8" s="22">
        <v>38155</v>
      </c>
      <c r="AB8" s="22">
        <v>27540</v>
      </c>
      <c r="AC8" s="22">
        <v>25060</v>
      </c>
      <c r="AD8" s="267"/>
      <c r="AE8" s="23"/>
      <c r="AF8" s="22">
        <v>21326</v>
      </c>
      <c r="AG8" s="22">
        <v>17804</v>
      </c>
      <c r="AH8" s="22">
        <v>27157</v>
      </c>
      <c r="AI8" s="22">
        <v>19677</v>
      </c>
      <c r="AJ8" s="22">
        <v>18817</v>
      </c>
      <c r="AK8" s="22">
        <v>25034</v>
      </c>
      <c r="AL8" s="22">
        <v>28090</v>
      </c>
      <c r="AM8" s="22">
        <v>25660</v>
      </c>
      <c r="AN8" s="22">
        <v>33752</v>
      </c>
      <c r="AO8" s="22">
        <v>24699</v>
      </c>
      <c r="AP8" s="25">
        <v>19340</v>
      </c>
      <c r="AQ8" s="22">
        <v>29842</v>
      </c>
      <c r="AR8" s="22">
        <f t="shared" si="3"/>
        <v>29842</v>
      </c>
      <c r="AS8" s="23"/>
      <c r="AT8" s="22">
        <v>46493</v>
      </c>
      <c r="AU8" s="22">
        <v>37125</v>
      </c>
      <c r="AV8" s="22">
        <v>38574</v>
      </c>
      <c r="AW8" s="22">
        <v>43626</v>
      </c>
      <c r="AX8" s="22">
        <v>39641</v>
      </c>
      <c r="AY8" s="22">
        <v>55553</v>
      </c>
      <c r="AZ8" s="22">
        <v>48023</v>
      </c>
      <c r="BA8" s="22">
        <v>55043</v>
      </c>
      <c r="BB8" s="26">
        <v>50383</v>
      </c>
      <c r="BC8" s="22">
        <v>54355</v>
      </c>
      <c r="BD8" s="22">
        <v>82473</v>
      </c>
      <c r="BE8" s="22">
        <v>65398</v>
      </c>
      <c r="BF8" s="22">
        <f t="shared" si="5"/>
        <v>65398</v>
      </c>
      <c r="BG8" s="27"/>
      <c r="BH8" s="22">
        <v>68747</v>
      </c>
      <c r="BI8" s="22">
        <v>62843</v>
      </c>
      <c r="BJ8" s="22">
        <v>62154</v>
      </c>
      <c r="BK8" s="22">
        <v>49337</v>
      </c>
      <c r="BL8" s="22">
        <v>27730</v>
      </c>
      <c r="BM8" s="22">
        <v>42459</v>
      </c>
      <c r="BN8" s="22">
        <v>44049</v>
      </c>
      <c r="BO8" s="22">
        <v>29196</v>
      </c>
      <c r="BP8" s="22">
        <v>36882</v>
      </c>
      <c r="BQ8" s="22">
        <v>35965</v>
      </c>
      <c r="BR8" s="22">
        <v>31343</v>
      </c>
      <c r="BS8" s="22">
        <v>23087</v>
      </c>
      <c r="BT8" s="22">
        <f t="shared" ref="BT8:BT14" si="9">BS8</f>
        <v>23087</v>
      </c>
      <c r="BU8" s="28"/>
      <c r="BV8" s="22">
        <v>15202</v>
      </c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>
        <f t="shared" si="8"/>
        <v>0</v>
      </c>
    </row>
    <row r="9" spans="1:86">
      <c r="A9" s="19">
        <v>3</v>
      </c>
      <c r="B9" s="158" t="s">
        <v>266</v>
      </c>
      <c r="C9" s="264"/>
      <c r="D9" s="268">
        <v>34116</v>
      </c>
      <c r="E9" s="269">
        <v>29277</v>
      </c>
      <c r="F9" s="269">
        <v>43008</v>
      </c>
      <c r="G9" s="269">
        <v>30524</v>
      </c>
      <c r="H9" s="269">
        <v>33235</v>
      </c>
      <c r="I9" s="269">
        <v>39842</v>
      </c>
      <c r="J9" s="269">
        <v>41021</v>
      </c>
      <c r="K9" s="269">
        <v>31224</v>
      </c>
      <c r="L9" s="269"/>
      <c r="M9" s="269">
        <v>10286</v>
      </c>
      <c r="N9" s="269"/>
      <c r="O9" s="269"/>
      <c r="P9" s="266"/>
      <c r="Q9" s="21"/>
      <c r="R9" s="268">
        <v>35516</v>
      </c>
      <c r="S9" s="270">
        <v>35962</v>
      </c>
      <c r="T9" s="270">
        <v>35962</v>
      </c>
      <c r="U9" s="270">
        <v>35962</v>
      </c>
      <c r="V9" s="270">
        <v>35000</v>
      </c>
      <c r="W9" s="270"/>
      <c r="X9" s="270">
        <v>6123</v>
      </c>
      <c r="Y9" s="270">
        <v>6123</v>
      </c>
      <c r="Z9" s="270">
        <v>4187</v>
      </c>
      <c r="AA9" s="270">
        <v>2745</v>
      </c>
      <c r="AB9" s="270"/>
      <c r="AC9" s="270"/>
      <c r="AD9" s="267"/>
      <c r="AE9" s="23"/>
      <c r="AF9" s="270">
        <v>8366</v>
      </c>
      <c r="AG9" s="270">
        <v>11534</v>
      </c>
      <c r="AH9" s="270">
        <v>11507</v>
      </c>
      <c r="AI9" s="270">
        <v>9148</v>
      </c>
      <c r="AJ9" s="22">
        <v>8524</v>
      </c>
      <c r="AK9" s="270">
        <v>25290</v>
      </c>
      <c r="AL9" s="270">
        <v>91080</v>
      </c>
      <c r="AM9" s="270">
        <v>66830</v>
      </c>
      <c r="AN9" s="270">
        <v>36866</v>
      </c>
      <c r="AO9" s="270">
        <v>16173</v>
      </c>
      <c r="AP9" s="271">
        <v>178274</v>
      </c>
      <c r="AQ9" s="270">
        <v>210665</v>
      </c>
      <c r="AR9" s="22">
        <f t="shared" si="3"/>
        <v>210665</v>
      </c>
      <c r="AS9" s="23"/>
      <c r="AT9" s="270">
        <v>121075</v>
      </c>
      <c r="AU9" s="270">
        <v>149376</v>
      </c>
      <c r="AV9" s="270">
        <v>104538</v>
      </c>
      <c r="AW9" s="270">
        <v>105262</v>
      </c>
      <c r="AX9" s="270">
        <v>121073</v>
      </c>
      <c r="AY9" s="270">
        <v>163931</v>
      </c>
      <c r="AZ9" s="270">
        <v>109964</v>
      </c>
      <c r="BA9" s="270">
        <v>148266</v>
      </c>
      <c r="BB9" s="26">
        <v>130697</v>
      </c>
      <c r="BC9" s="270">
        <v>113779</v>
      </c>
      <c r="BD9" s="270">
        <v>91119</v>
      </c>
      <c r="BE9" s="270">
        <v>103286</v>
      </c>
      <c r="BF9" s="22">
        <f t="shared" si="5"/>
        <v>103286</v>
      </c>
      <c r="BG9" s="27"/>
      <c r="BH9" s="270">
        <v>49631</v>
      </c>
      <c r="BI9" s="270">
        <v>52953</v>
      </c>
      <c r="BJ9" s="270">
        <v>28440</v>
      </c>
      <c r="BK9" s="270">
        <v>83601</v>
      </c>
      <c r="BL9" s="22">
        <v>25812</v>
      </c>
      <c r="BM9" s="22">
        <v>59545</v>
      </c>
      <c r="BN9" s="22">
        <v>83435</v>
      </c>
      <c r="BO9" s="22">
        <v>34041</v>
      </c>
      <c r="BP9" s="22">
        <v>22399</v>
      </c>
      <c r="BQ9" s="22">
        <v>24887</v>
      </c>
      <c r="BR9" s="22">
        <v>12183</v>
      </c>
      <c r="BS9" s="22">
        <v>12183</v>
      </c>
      <c r="BT9" s="22">
        <f t="shared" si="9"/>
        <v>12183</v>
      </c>
      <c r="BU9" s="28"/>
      <c r="BV9" s="270">
        <v>5216</v>
      </c>
      <c r="BW9" s="270"/>
      <c r="BX9" s="270"/>
      <c r="BY9" s="270"/>
      <c r="BZ9" s="22"/>
      <c r="CA9" s="22"/>
      <c r="CB9" s="22"/>
      <c r="CC9" s="22"/>
      <c r="CD9" s="22"/>
      <c r="CE9" s="22"/>
      <c r="CF9" s="22"/>
      <c r="CG9" s="22"/>
      <c r="CH9" s="22">
        <f t="shared" si="8"/>
        <v>0</v>
      </c>
    </row>
    <row r="10" spans="1:86">
      <c r="A10" s="19">
        <v>1</v>
      </c>
      <c r="B10" s="158" t="s">
        <v>267</v>
      </c>
      <c r="C10" s="159"/>
      <c r="D10" s="265">
        <v>6409</v>
      </c>
      <c r="E10" s="20">
        <v>6860</v>
      </c>
      <c r="F10" s="20">
        <v>4970</v>
      </c>
      <c r="G10" s="20">
        <v>31203</v>
      </c>
      <c r="H10" s="20">
        <v>31499</v>
      </c>
      <c r="I10" s="20">
        <v>25903</v>
      </c>
      <c r="J10" s="20">
        <v>18606</v>
      </c>
      <c r="K10" s="20">
        <v>16014</v>
      </c>
      <c r="L10" s="20">
        <v>13416</v>
      </c>
      <c r="M10" s="20">
        <v>40079</v>
      </c>
      <c r="N10" s="20"/>
      <c r="O10" s="20">
        <v>0</v>
      </c>
      <c r="P10" s="266"/>
      <c r="Q10" s="21"/>
      <c r="R10" s="265">
        <v>3376</v>
      </c>
      <c r="S10" s="22">
        <v>11736</v>
      </c>
      <c r="T10" s="22">
        <v>22454</v>
      </c>
      <c r="U10" s="22">
        <v>21384</v>
      </c>
      <c r="V10" s="22">
        <v>66870</v>
      </c>
      <c r="W10" s="22">
        <v>73769</v>
      </c>
      <c r="X10" s="22">
        <v>13944</v>
      </c>
      <c r="Y10" s="22">
        <v>32750</v>
      </c>
      <c r="Z10" s="22">
        <v>18536</v>
      </c>
      <c r="AA10" s="22">
        <v>40211</v>
      </c>
      <c r="AB10" s="22">
        <v>44457</v>
      </c>
      <c r="AC10" s="22">
        <v>24504</v>
      </c>
      <c r="AD10" s="267"/>
      <c r="AE10" s="23"/>
      <c r="AF10" s="22">
        <v>18586</v>
      </c>
      <c r="AG10" s="22">
        <v>17539</v>
      </c>
      <c r="AH10" s="22">
        <v>20245</v>
      </c>
      <c r="AI10" s="22">
        <v>17669</v>
      </c>
      <c r="AJ10" s="22">
        <v>16769</v>
      </c>
      <c r="AK10" s="22">
        <v>31134</v>
      </c>
      <c r="AL10" s="22">
        <v>35711</v>
      </c>
      <c r="AM10" s="22">
        <v>29141</v>
      </c>
      <c r="AN10" s="22">
        <v>25307</v>
      </c>
      <c r="AO10" s="22">
        <v>35964</v>
      </c>
      <c r="AP10" s="25">
        <v>37378</v>
      </c>
      <c r="AQ10" s="22">
        <v>22159</v>
      </c>
      <c r="AR10" s="22">
        <f t="shared" si="3"/>
        <v>22159</v>
      </c>
      <c r="AS10" s="23"/>
      <c r="AT10" s="22">
        <v>24034</v>
      </c>
      <c r="AU10" s="270">
        <v>22061</v>
      </c>
      <c r="AV10" s="22">
        <v>22489</v>
      </c>
      <c r="AW10" s="22">
        <v>25124</v>
      </c>
      <c r="AX10" s="22">
        <v>22794</v>
      </c>
      <c r="AY10" s="22">
        <v>17777</v>
      </c>
      <c r="AZ10" s="22">
        <v>34345</v>
      </c>
      <c r="BA10" s="22">
        <v>17580</v>
      </c>
      <c r="BB10" s="26">
        <v>26992</v>
      </c>
      <c r="BC10" s="22">
        <v>21373</v>
      </c>
      <c r="BD10" s="22">
        <v>21202</v>
      </c>
      <c r="BE10" s="22">
        <v>19109</v>
      </c>
      <c r="BF10" s="22">
        <f t="shared" si="5"/>
        <v>19109</v>
      </c>
      <c r="BG10" s="27"/>
      <c r="BH10" s="22">
        <v>22216</v>
      </c>
      <c r="BI10" s="270">
        <v>19102</v>
      </c>
      <c r="BJ10" s="22">
        <v>20676</v>
      </c>
      <c r="BK10" s="22">
        <v>19892</v>
      </c>
      <c r="BL10" s="22">
        <v>48737</v>
      </c>
      <c r="BM10" s="22">
        <v>45521</v>
      </c>
      <c r="BN10" s="22">
        <v>41781</v>
      </c>
      <c r="BO10" s="22">
        <v>48019</v>
      </c>
      <c r="BP10" s="22">
        <v>43955</v>
      </c>
      <c r="BQ10" s="22">
        <v>41505</v>
      </c>
      <c r="BR10" s="22">
        <v>28306</v>
      </c>
      <c r="BS10" s="22">
        <v>23731</v>
      </c>
      <c r="BT10" s="22">
        <f t="shared" si="9"/>
        <v>23731</v>
      </c>
      <c r="BU10" s="28"/>
      <c r="BV10" s="22">
        <v>28505</v>
      </c>
      <c r="BW10" s="270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>
        <f t="shared" si="8"/>
        <v>0</v>
      </c>
    </row>
    <row r="11" spans="1:86">
      <c r="A11" s="29"/>
      <c r="B11" s="272" t="s">
        <v>41</v>
      </c>
      <c r="C11" s="273"/>
      <c r="D11" s="274">
        <f t="shared" ref="D11:O11" si="10">D6-D9</f>
        <v>270670</v>
      </c>
      <c r="E11" s="30">
        <f t="shared" si="10"/>
        <v>282709</v>
      </c>
      <c r="F11" s="30">
        <f t="shared" si="10"/>
        <v>285223</v>
      </c>
      <c r="G11" s="30">
        <f t="shared" si="10"/>
        <v>287349</v>
      </c>
      <c r="H11" s="30">
        <f t="shared" si="10"/>
        <v>313961</v>
      </c>
      <c r="I11" s="30">
        <f t="shared" si="10"/>
        <v>362411</v>
      </c>
      <c r="J11" s="30">
        <f t="shared" si="10"/>
        <v>413467</v>
      </c>
      <c r="K11" s="30">
        <f t="shared" si="10"/>
        <v>415958</v>
      </c>
      <c r="L11" s="30">
        <f t="shared" si="10"/>
        <v>416931</v>
      </c>
      <c r="M11" s="30">
        <f t="shared" si="10"/>
        <v>294116</v>
      </c>
      <c r="N11" s="30">
        <f t="shared" si="10"/>
        <v>0</v>
      </c>
      <c r="O11" s="30">
        <f t="shared" si="10"/>
        <v>188264</v>
      </c>
      <c r="P11" s="275"/>
      <c r="Q11" s="31"/>
      <c r="R11" s="274">
        <f t="shared" ref="R11:AB11" si="11">R6-R9</f>
        <v>247843</v>
      </c>
      <c r="S11" s="32">
        <f t="shared" si="11"/>
        <v>306756</v>
      </c>
      <c r="T11" s="32">
        <f t="shared" si="11"/>
        <v>277250</v>
      </c>
      <c r="U11" s="32">
        <f t="shared" si="11"/>
        <v>262131</v>
      </c>
      <c r="V11" s="32">
        <f t="shared" si="11"/>
        <v>171617</v>
      </c>
      <c r="W11" s="32">
        <f t="shared" si="11"/>
        <v>235875</v>
      </c>
      <c r="X11" s="32">
        <f t="shared" si="11"/>
        <v>354012</v>
      </c>
      <c r="Y11" s="32">
        <f t="shared" si="11"/>
        <v>355542</v>
      </c>
      <c r="Z11" s="32">
        <f t="shared" si="11"/>
        <v>349213</v>
      </c>
      <c r="AA11" s="32">
        <f t="shared" si="11"/>
        <v>269352</v>
      </c>
      <c r="AB11" s="32">
        <f t="shared" si="11"/>
        <v>170626</v>
      </c>
      <c r="AC11" s="32"/>
      <c r="AD11" s="276"/>
      <c r="AE11" s="17"/>
      <c r="AF11" s="32">
        <f t="shared" ref="AF11:AQ11" si="12">AF6-AF9</f>
        <v>238607</v>
      </c>
      <c r="AG11" s="32">
        <f t="shared" si="12"/>
        <v>269553</v>
      </c>
      <c r="AH11" s="32">
        <f t="shared" si="12"/>
        <v>374962</v>
      </c>
      <c r="AI11" s="32">
        <f t="shared" si="12"/>
        <v>369869</v>
      </c>
      <c r="AJ11" s="32">
        <f t="shared" si="12"/>
        <v>392253</v>
      </c>
      <c r="AK11" s="32">
        <f t="shared" si="12"/>
        <v>440333</v>
      </c>
      <c r="AL11" s="32">
        <f t="shared" si="12"/>
        <v>381069</v>
      </c>
      <c r="AM11" s="32">
        <f t="shared" si="12"/>
        <v>425509</v>
      </c>
      <c r="AN11" s="32">
        <f t="shared" si="12"/>
        <v>413562</v>
      </c>
      <c r="AO11" s="32">
        <f t="shared" si="12"/>
        <v>375268</v>
      </c>
      <c r="AP11" s="32">
        <f t="shared" si="12"/>
        <v>147208</v>
      </c>
      <c r="AQ11" s="32">
        <f t="shared" si="12"/>
        <v>110349</v>
      </c>
      <c r="AR11" s="32">
        <f t="shared" si="3"/>
        <v>110349</v>
      </c>
      <c r="AS11" s="17"/>
      <c r="AT11" s="32">
        <f t="shared" ref="AT11:BE11" si="13">AT6-AT9</f>
        <v>229228</v>
      </c>
      <c r="AU11" s="32">
        <f t="shared" si="13"/>
        <v>174555</v>
      </c>
      <c r="AV11" s="32">
        <f t="shared" si="13"/>
        <v>203442</v>
      </c>
      <c r="AW11" s="32">
        <f t="shared" si="13"/>
        <v>187515</v>
      </c>
      <c r="AX11" s="32">
        <f t="shared" si="13"/>
        <v>175681</v>
      </c>
      <c r="AY11" s="32">
        <f t="shared" si="13"/>
        <v>180106</v>
      </c>
      <c r="AZ11" s="32">
        <f t="shared" si="13"/>
        <v>257602</v>
      </c>
      <c r="BA11" s="32">
        <f t="shared" si="13"/>
        <v>224176</v>
      </c>
      <c r="BB11" s="32">
        <f t="shared" si="13"/>
        <v>244457</v>
      </c>
      <c r="BC11" s="32">
        <f t="shared" si="13"/>
        <v>226687</v>
      </c>
      <c r="BD11" s="32">
        <f t="shared" si="13"/>
        <v>223462</v>
      </c>
      <c r="BE11" s="32">
        <f t="shared" si="13"/>
        <v>149933</v>
      </c>
      <c r="BF11" s="32">
        <f t="shared" si="5"/>
        <v>149933</v>
      </c>
      <c r="BG11" s="17"/>
      <c r="BH11" s="32">
        <f t="shared" ref="BH11:BQ11" si="14">BH6-BH9</f>
        <v>257881</v>
      </c>
      <c r="BI11" s="32">
        <f t="shared" si="14"/>
        <v>249105</v>
      </c>
      <c r="BJ11" s="32">
        <f t="shared" si="14"/>
        <v>287401</v>
      </c>
      <c r="BK11" s="32">
        <f t="shared" si="14"/>
        <v>222426</v>
      </c>
      <c r="BL11" s="32">
        <f t="shared" si="14"/>
        <v>273265</v>
      </c>
      <c r="BM11" s="32">
        <f t="shared" si="14"/>
        <v>233576</v>
      </c>
      <c r="BN11" s="32">
        <f t="shared" si="14"/>
        <v>251851</v>
      </c>
      <c r="BO11" s="32">
        <f t="shared" si="14"/>
        <v>288520</v>
      </c>
      <c r="BP11" s="32">
        <f t="shared" si="14"/>
        <v>281908</v>
      </c>
      <c r="BQ11" s="32">
        <f t="shared" si="14"/>
        <v>255213</v>
      </c>
      <c r="BR11" s="32">
        <f>BR6-BR9</f>
        <v>203669</v>
      </c>
      <c r="BS11" s="32">
        <f>BS6-BS9</f>
        <v>188982</v>
      </c>
      <c r="BT11" s="32">
        <f>BS11</f>
        <v>188982</v>
      </c>
      <c r="BU11" s="28"/>
      <c r="BV11" s="32">
        <f>BV6-BV9</f>
        <v>242497</v>
      </c>
      <c r="BW11" s="32">
        <f t="shared" ref="BW11:CG11" si="15">BW6-BW9</f>
        <v>251208.95</v>
      </c>
      <c r="BX11" s="32">
        <f t="shared" si="15"/>
        <v>180525.7</v>
      </c>
      <c r="BY11" s="32">
        <f t="shared" si="15"/>
        <v>210683.6</v>
      </c>
      <c r="BZ11" s="32">
        <f t="shared" si="15"/>
        <v>206789.14999999997</v>
      </c>
      <c r="CA11" s="32">
        <f t="shared" si="15"/>
        <v>216957.69999999995</v>
      </c>
      <c r="CB11" s="32">
        <f t="shared" si="15"/>
        <v>204578.99999999994</v>
      </c>
      <c r="CC11" s="32">
        <f t="shared" si="15"/>
        <v>185645.69999999995</v>
      </c>
      <c r="CD11" s="32">
        <f t="shared" si="15"/>
        <v>164566.94999999995</v>
      </c>
      <c r="CE11" s="32">
        <f t="shared" si="15"/>
        <v>148083.54999999996</v>
      </c>
      <c r="CF11" s="32">
        <f t="shared" si="15"/>
        <v>135683.59999999992</v>
      </c>
      <c r="CG11" s="32">
        <f t="shared" si="15"/>
        <v>147764.39999999991</v>
      </c>
      <c r="CH11" s="32">
        <f t="shared" si="8"/>
        <v>147764.39999999991</v>
      </c>
    </row>
    <row r="12" spans="1:86">
      <c r="A12" s="13" t="s">
        <v>42</v>
      </c>
      <c r="B12" s="259"/>
      <c r="C12" s="260" t="s">
        <v>43</v>
      </c>
      <c r="D12" s="277">
        <f>D7-D9</f>
        <v>162884</v>
      </c>
      <c r="E12" s="33">
        <f t="shared" ref="E12:O12" si="16">E7+E10-E9-E48</f>
        <v>200610</v>
      </c>
      <c r="F12" s="33">
        <f t="shared" si="16"/>
        <v>192475</v>
      </c>
      <c r="G12" s="33">
        <f t="shared" si="16"/>
        <v>231853</v>
      </c>
      <c r="H12" s="33">
        <f t="shared" si="16"/>
        <v>253292</v>
      </c>
      <c r="I12" s="33">
        <f t="shared" si="16"/>
        <v>305688</v>
      </c>
      <c r="J12" s="33">
        <f t="shared" si="16"/>
        <v>355297</v>
      </c>
      <c r="K12" s="33">
        <f t="shared" si="16"/>
        <v>367201</v>
      </c>
      <c r="L12" s="33">
        <f t="shared" si="16"/>
        <v>407523</v>
      </c>
      <c r="M12" s="33">
        <f t="shared" si="16"/>
        <v>297747</v>
      </c>
      <c r="N12" s="33">
        <f t="shared" si="16"/>
        <v>0</v>
      </c>
      <c r="O12" s="33">
        <f t="shared" si="16"/>
        <v>143875</v>
      </c>
      <c r="P12" s="262">
        <f>J12</f>
        <v>355297</v>
      </c>
      <c r="Q12" s="15"/>
      <c r="R12" s="277">
        <f>R7-R9</f>
        <v>172568</v>
      </c>
      <c r="S12" s="14">
        <f t="shared" ref="S12:AC12" si="17">S7+S10-S9-S48</f>
        <v>244205</v>
      </c>
      <c r="T12" s="14">
        <f t="shared" si="17"/>
        <v>237108</v>
      </c>
      <c r="U12" s="14">
        <f t="shared" si="17"/>
        <v>222510</v>
      </c>
      <c r="V12" s="14">
        <f t="shared" si="17"/>
        <v>179647</v>
      </c>
      <c r="W12" s="14">
        <f t="shared" si="17"/>
        <v>289587</v>
      </c>
      <c r="X12" s="14">
        <f t="shared" si="17"/>
        <v>281331</v>
      </c>
      <c r="Y12" s="14">
        <f t="shared" si="17"/>
        <v>325686</v>
      </c>
      <c r="Z12" s="14">
        <f t="shared" si="17"/>
        <v>319329</v>
      </c>
      <c r="AA12" s="14">
        <f t="shared" si="17"/>
        <v>268663</v>
      </c>
      <c r="AB12" s="14">
        <f t="shared" si="17"/>
        <v>187543</v>
      </c>
      <c r="AC12" s="14">
        <f t="shared" si="17"/>
        <v>196995</v>
      </c>
      <c r="AD12" s="263">
        <f>X12</f>
        <v>281331</v>
      </c>
      <c r="AE12" s="16"/>
      <c r="AF12" s="14">
        <f t="shared" ref="AF12:AQ12" si="18">AF7+AF9+AF8</f>
        <v>228387</v>
      </c>
      <c r="AG12" s="14">
        <f t="shared" si="18"/>
        <v>263548</v>
      </c>
      <c r="AH12" s="14">
        <f t="shared" si="18"/>
        <v>366224</v>
      </c>
      <c r="AI12" s="14">
        <f t="shared" si="18"/>
        <v>361348</v>
      </c>
      <c r="AJ12" s="14">
        <f t="shared" si="18"/>
        <v>384008</v>
      </c>
      <c r="AK12" s="14">
        <f t="shared" si="18"/>
        <v>434489</v>
      </c>
      <c r="AL12" s="14">
        <f t="shared" si="18"/>
        <v>436438</v>
      </c>
      <c r="AM12" s="14">
        <f t="shared" si="18"/>
        <v>463198</v>
      </c>
      <c r="AN12" s="14">
        <f t="shared" si="18"/>
        <v>425121</v>
      </c>
      <c r="AO12" s="14">
        <f t="shared" si="18"/>
        <v>355477</v>
      </c>
      <c r="AP12" s="14">
        <f t="shared" si="18"/>
        <v>288104</v>
      </c>
      <c r="AQ12" s="14">
        <f t="shared" si="18"/>
        <v>298855</v>
      </c>
      <c r="AR12" s="14">
        <f t="shared" si="3"/>
        <v>298855</v>
      </c>
      <c r="AS12" s="17"/>
      <c r="AT12" s="14">
        <f t="shared" ref="AT12:BE12" si="19">AT7+AT9+AT8</f>
        <v>326269</v>
      </c>
      <c r="AU12" s="14">
        <f t="shared" si="19"/>
        <v>301870</v>
      </c>
      <c r="AV12" s="14">
        <f t="shared" si="19"/>
        <v>285491</v>
      </c>
      <c r="AW12" s="14">
        <f t="shared" si="19"/>
        <v>267653</v>
      </c>
      <c r="AX12" s="14">
        <f t="shared" si="19"/>
        <v>273960</v>
      </c>
      <c r="AY12" s="14">
        <f t="shared" si="19"/>
        <v>326260</v>
      </c>
      <c r="AZ12" s="14">
        <f t="shared" si="19"/>
        <v>333221</v>
      </c>
      <c r="BA12" s="14">
        <f t="shared" si="19"/>
        <v>354862</v>
      </c>
      <c r="BB12" s="14">
        <f t="shared" si="19"/>
        <v>348162</v>
      </c>
      <c r="BC12" s="14">
        <f t="shared" si="19"/>
        <v>319093</v>
      </c>
      <c r="BD12" s="14">
        <f t="shared" si="19"/>
        <v>293379</v>
      </c>
      <c r="BE12" s="14">
        <f t="shared" si="19"/>
        <v>234110</v>
      </c>
      <c r="BF12" s="32">
        <f t="shared" ref="BF12:BF13" si="20">SUM(AT12:BE12)</f>
        <v>3664330</v>
      </c>
      <c r="BG12" s="17"/>
      <c r="BH12" s="14">
        <f t="shared" ref="BH12:BS12" si="21">BH7+BH9+BH8</f>
        <v>285296</v>
      </c>
      <c r="BI12" s="14">
        <f t="shared" si="21"/>
        <v>282956</v>
      </c>
      <c r="BJ12" s="14">
        <f t="shared" si="21"/>
        <v>295165</v>
      </c>
      <c r="BK12" s="14">
        <f t="shared" si="21"/>
        <v>286135</v>
      </c>
      <c r="BL12" s="14">
        <f t="shared" si="21"/>
        <v>250340</v>
      </c>
      <c r="BM12" s="14">
        <f t="shared" si="21"/>
        <v>247600</v>
      </c>
      <c r="BN12" s="14">
        <f t="shared" si="21"/>
        <v>293505</v>
      </c>
      <c r="BO12" s="14">
        <f t="shared" si="21"/>
        <v>274542</v>
      </c>
      <c r="BP12" s="14">
        <f t="shared" si="21"/>
        <v>260352</v>
      </c>
      <c r="BQ12" s="14">
        <f>BQ7+BQ9+BQ8</f>
        <v>238595</v>
      </c>
      <c r="BR12" s="14">
        <f t="shared" si="21"/>
        <v>187546</v>
      </c>
      <c r="BS12" s="14">
        <f t="shared" si="21"/>
        <v>189617</v>
      </c>
      <c r="BT12" s="14">
        <f t="shared" si="9"/>
        <v>189617</v>
      </c>
      <c r="BU12" s="18"/>
      <c r="BV12" s="14">
        <f t="shared" ref="BV12:CG12" si="22">BV7+BV9+BV8</f>
        <v>224424</v>
      </c>
      <c r="BW12" s="14">
        <f t="shared" si="22"/>
        <v>0</v>
      </c>
      <c r="BX12" s="14">
        <f t="shared" si="22"/>
        <v>0</v>
      </c>
      <c r="BY12" s="14">
        <f t="shared" si="22"/>
        <v>0</v>
      </c>
      <c r="BZ12" s="14">
        <f t="shared" si="22"/>
        <v>0</v>
      </c>
      <c r="CA12" s="14">
        <f t="shared" si="22"/>
        <v>0</v>
      </c>
      <c r="CB12" s="14">
        <f t="shared" si="22"/>
        <v>0</v>
      </c>
      <c r="CC12" s="14">
        <f t="shared" si="22"/>
        <v>0</v>
      </c>
      <c r="CD12" s="14">
        <f t="shared" si="22"/>
        <v>0</v>
      </c>
      <c r="CE12" s="14">
        <f t="shared" si="22"/>
        <v>0</v>
      </c>
      <c r="CF12" s="14">
        <f t="shared" si="22"/>
        <v>0</v>
      </c>
      <c r="CG12" s="14">
        <f t="shared" si="22"/>
        <v>0</v>
      </c>
      <c r="CH12" s="14">
        <f t="shared" si="8"/>
        <v>0</v>
      </c>
    </row>
    <row r="13" spans="1:86">
      <c r="A13" s="34" t="s">
        <v>44</v>
      </c>
      <c r="B13" s="278"/>
      <c r="C13" s="260" t="s">
        <v>45</v>
      </c>
      <c r="D13" s="277">
        <f t="shared" ref="D13:O13" si="23">D6-D10-D9</f>
        <v>264261</v>
      </c>
      <c r="E13" s="33">
        <f t="shared" si="23"/>
        <v>275849</v>
      </c>
      <c r="F13" s="33">
        <f t="shared" si="23"/>
        <v>280253</v>
      </c>
      <c r="G13" s="33">
        <f t="shared" si="23"/>
        <v>256146</v>
      </c>
      <c r="H13" s="33">
        <f t="shared" si="23"/>
        <v>282462</v>
      </c>
      <c r="I13" s="33">
        <f t="shared" si="23"/>
        <v>336508</v>
      </c>
      <c r="J13" s="33">
        <f t="shared" si="23"/>
        <v>394861</v>
      </c>
      <c r="K13" s="33">
        <f t="shared" si="23"/>
        <v>399944</v>
      </c>
      <c r="L13" s="33">
        <f t="shared" si="23"/>
        <v>403515</v>
      </c>
      <c r="M13" s="33">
        <f t="shared" si="23"/>
        <v>254037</v>
      </c>
      <c r="N13" s="33">
        <f t="shared" si="23"/>
        <v>0</v>
      </c>
      <c r="O13" s="33">
        <f t="shared" si="23"/>
        <v>188264</v>
      </c>
      <c r="P13" s="262">
        <f t="shared" ref="P13:P14" si="24">O13</f>
        <v>188264</v>
      </c>
      <c r="Q13" s="15"/>
      <c r="R13" s="277">
        <f t="shared" ref="R13:AC13" si="25">R6-R10-R9</f>
        <v>244467</v>
      </c>
      <c r="S13" s="14">
        <f t="shared" si="25"/>
        <v>295020</v>
      </c>
      <c r="T13" s="14">
        <f t="shared" si="25"/>
        <v>254796</v>
      </c>
      <c r="U13" s="14">
        <f t="shared" si="25"/>
        <v>240747</v>
      </c>
      <c r="V13" s="14">
        <f t="shared" si="25"/>
        <v>104747</v>
      </c>
      <c r="W13" s="14">
        <f t="shared" si="25"/>
        <v>162106</v>
      </c>
      <c r="X13" s="14">
        <f t="shared" si="25"/>
        <v>340068</v>
      </c>
      <c r="Y13" s="14">
        <f t="shared" si="25"/>
        <v>322792</v>
      </c>
      <c r="Z13" s="14">
        <f t="shared" si="25"/>
        <v>330677</v>
      </c>
      <c r="AA13" s="14">
        <f t="shared" si="25"/>
        <v>229141</v>
      </c>
      <c r="AB13" s="14">
        <f t="shared" si="25"/>
        <v>126169</v>
      </c>
      <c r="AC13" s="14">
        <f t="shared" si="25"/>
        <v>173047</v>
      </c>
      <c r="AD13" s="263">
        <f t="shared" ref="AD13:AD14" si="26">AC13</f>
        <v>173047</v>
      </c>
      <c r="AE13" s="16"/>
      <c r="AF13" s="261">
        <f t="shared" ref="AF13:AQ13" si="27">AF12-AF9</f>
        <v>220021</v>
      </c>
      <c r="AG13" s="261">
        <f t="shared" si="27"/>
        <v>252014</v>
      </c>
      <c r="AH13" s="261">
        <f t="shared" si="27"/>
        <v>354717</v>
      </c>
      <c r="AI13" s="261">
        <f t="shared" si="27"/>
        <v>352200</v>
      </c>
      <c r="AJ13" s="261">
        <f t="shared" si="27"/>
        <v>375484</v>
      </c>
      <c r="AK13" s="261">
        <f t="shared" si="27"/>
        <v>409199</v>
      </c>
      <c r="AL13" s="261">
        <f t="shared" si="27"/>
        <v>345358</v>
      </c>
      <c r="AM13" s="261">
        <f t="shared" si="27"/>
        <v>396368</v>
      </c>
      <c r="AN13" s="261">
        <f t="shared" si="27"/>
        <v>388255</v>
      </c>
      <c r="AO13" s="261">
        <f t="shared" si="27"/>
        <v>339304</v>
      </c>
      <c r="AP13" s="261">
        <f t="shared" si="27"/>
        <v>109830</v>
      </c>
      <c r="AQ13" s="261">
        <f t="shared" si="27"/>
        <v>88190</v>
      </c>
      <c r="AR13" s="14">
        <f t="shared" si="3"/>
        <v>88190</v>
      </c>
      <c r="AS13" s="17"/>
      <c r="AT13" s="261">
        <f t="shared" ref="AT13:BE13" si="28">AT12-AT9</f>
        <v>205194</v>
      </c>
      <c r="AU13" s="261">
        <f t="shared" si="28"/>
        <v>152494</v>
      </c>
      <c r="AV13" s="261">
        <f t="shared" si="28"/>
        <v>180953</v>
      </c>
      <c r="AW13" s="261">
        <f t="shared" si="28"/>
        <v>162391</v>
      </c>
      <c r="AX13" s="261">
        <f t="shared" si="28"/>
        <v>152887</v>
      </c>
      <c r="AY13" s="261">
        <f t="shared" si="28"/>
        <v>162329</v>
      </c>
      <c r="AZ13" s="261">
        <f t="shared" si="28"/>
        <v>223257</v>
      </c>
      <c r="BA13" s="261">
        <f t="shared" si="28"/>
        <v>206596</v>
      </c>
      <c r="BB13" s="261">
        <f t="shared" si="28"/>
        <v>217465</v>
      </c>
      <c r="BC13" s="261">
        <f t="shared" si="28"/>
        <v>205314</v>
      </c>
      <c r="BD13" s="261">
        <f t="shared" si="28"/>
        <v>202260</v>
      </c>
      <c r="BE13" s="261">
        <f t="shared" si="28"/>
        <v>130824</v>
      </c>
      <c r="BF13" s="32">
        <f t="shared" si="20"/>
        <v>2201964</v>
      </c>
      <c r="BG13" s="35">
        <f>SUM(AT16:AY16)/SUM(AF49:AK49)-1</f>
        <v>0.2283258050797119</v>
      </c>
      <c r="BH13" s="261">
        <f t="shared" ref="BH13:BS13" si="29">BH12-BH9</f>
        <v>235665</v>
      </c>
      <c r="BI13" s="261">
        <f t="shared" si="29"/>
        <v>230003</v>
      </c>
      <c r="BJ13" s="261">
        <f t="shared" si="29"/>
        <v>266725</v>
      </c>
      <c r="BK13" s="261">
        <f t="shared" si="29"/>
        <v>202534</v>
      </c>
      <c r="BL13" s="14">
        <f t="shared" si="29"/>
        <v>224528</v>
      </c>
      <c r="BM13" s="14">
        <f t="shared" si="29"/>
        <v>188055</v>
      </c>
      <c r="BN13" s="14">
        <f t="shared" si="29"/>
        <v>210070</v>
      </c>
      <c r="BO13" s="14">
        <f t="shared" si="29"/>
        <v>240501</v>
      </c>
      <c r="BP13" s="14">
        <f t="shared" si="29"/>
        <v>237953</v>
      </c>
      <c r="BQ13" s="14">
        <f t="shared" si="29"/>
        <v>213708</v>
      </c>
      <c r="BR13" s="14">
        <f t="shared" si="29"/>
        <v>175363</v>
      </c>
      <c r="BS13" s="14">
        <f t="shared" si="29"/>
        <v>177434</v>
      </c>
      <c r="BT13" s="14">
        <f t="shared" si="9"/>
        <v>177434</v>
      </c>
      <c r="BU13" s="18"/>
      <c r="BV13" s="261">
        <f t="shared" ref="BV13:CG13" si="30">BV12-BV9</f>
        <v>219208</v>
      </c>
      <c r="BW13" s="261">
        <f t="shared" si="30"/>
        <v>0</v>
      </c>
      <c r="BX13" s="261">
        <f t="shared" si="30"/>
        <v>0</v>
      </c>
      <c r="BY13" s="261">
        <f t="shared" si="30"/>
        <v>0</v>
      </c>
      <c r="BZ13" s="14">
        <f t="shared" si="30"/>
        <v>0</v>
      </c>
      <c r="CA13" s="14">
        <f t="shared" si="30"/>
        <v>0</v>
      </c>
      <c r="CB13" s="14">
        <f t="shared" si="30"/>
        <v>0</v>
      </c>
      <c r="CC13" s="14">
        <f t="shared" si="30"/>
        <v>0</v>
      </c>
      <c r="CD13" s="14">
        <f t="shared" si="30"/>
        <v>0</v>
      </c>
      <c r="CE13" s="14">
        <f t="shared" si="30"/>
        <v>0</v>
      </c>
      <c r="CF13" s="14">
        <f t="shared" si="30"/>
        <v>0</v>
      </c>
      <c r="CG13" s="14">
        <f t="shared" si="30"/>
        <v>0</v>
      </c>
      <c r="CH13" s="14">
        <f t="shared" si="8"/>
        <v>0</v>
      </c>
    </row>
    <row r="14" spans="1:86" ht="15.75">
      <c r="A14" s="36" t="s">
        <v>46</v>
      </c>
      <c r="B14" s="279"/>
      <c r="C14" s="280" t="s">
        <v>47</v>
      </c>
      <c r="D14" s="281">
        <f t="shared" ref="D14:O14" si="31">D6</f>
        <v>304786</v>
      </c>
      <c r="E14" s="37">
        <f t="shared" si="31"/>
        <v>311986</v>
      </c>
      <c r="F14" s="37">
        <f t="shared" si="31"/>
        <v>328231</v>
      </c>
      <c r="G14" s="37">
        <f t="shared" si="31"/>
        <v>317873</v>
      </c>
      <c r="H14" s="37">
        <f t="shared" si="31"/>
        <v>347196</v>
      </c>
      <c r="I14" s="37">
        <f t="shared" si="31"/>
        <v>402253</v>
      </c>
      <c r="J14" s="37">
        <f t="shared" si="31"/>
        <v>454488</v>
      </c>
      <c r="K14" s="37">
        <f t="shared" si="31"/>
        <v>447182</v>
      </c>
      <c r="L14" s="37">
        <f t="shared" si="31"/>
        <v>416931</v>
      </c>
      <c r="M14" s="37">
        <f t="shared" si="31"/>
        <v>304402</v>
      </c>
      <c r="N14" s="37">
        <f t="shared" si="31"/>
        <v>0</v>
      </c>
      <c r="O14" s="37">
        <f t="shared" si="31"/>
        <v>188264</v>
      </c>
      <c r="P14" s="38">
        <f t="shared" si="24"/>
        <v>188264</v>
      </c>
      <c r="Q14" s="39"/>
      <c r="R14" s="40">
        <f t="shared" ref="R14:AC14" si="32">R6</f>
        <v>283359</v>
      </c>
      <c r="S14" s="41">
        <f t="shared" si="32"/>
        <v>342718</v>
      </c>
      <c r="T14" s="41">
        <f t="shared" si="32"/>
        <v>313212</v>
      </c>
      <c r="U14" s="41">
        <f t="shared" si="32"/>
        <v>298093</v>
      </c>
      <c r="V14" s="41">
        <f t="shared" si="32"/>
        <v>206617</v>
      </c>
      <c r="W14" s="41">
        <f t="shared" si="32"/>
        <v>235875</v>
      </c>
      <c r="X14" s="41">
        <f t="shared" si="32"/>
        <v>360135</v>
      </c>
      <c r="Y14" s="41">
        <f t="shared" si="32"/>
        <v>361665</v>
      </c>
      <c r="Z14" s="41">
        <f t="shared" si="32"/>
        <v>353400</v>
      </c>
      <c r="AA14" s="41">
        <f t="shared" si="32"/>
        <v>272097</v>
      </c>
      <c r="AB14" s="41">
        <f t="shared" si="32"/>
        <v>170626</v>
      </c>
      <c r="AC14" s="41">
        <f t="shared" si="32"/>
        <v>197551</v>
      </c>
      <c r="AD14" s="229">
        <f t="shared" si="26"/>
        <v>197551</v>
      </c>
      <c r="AE14" s="42"/>
      <c r="AF14" s="41">
        <f t="shared" ref="AF14:AQ14" si="33">AF6-AF48</f>
        <v>246973</v>
      </c>
      <c r="AG14" s="41">
        <f t="shared" si="33"/>
        <v>281087</v>
      </c>
      <c r="AH14" s="41">
        <f t="shared" si="33"/>
        <v>386469</v>
      </c>
      <c r="AI14" s="41">
        <f t="shared" si="33"/>
        <v>379017</v>
      </c>
      <c r="AJ14" s="41">
        <f t="shared" si="33"/>
        <v>400777</v>
      </c>
      <c r="AK14" s="41">
        <f t="shared" si="33"/>
        <v>465623</v>
      </c>
      <c r="AL14" s="41">
        <f t="shared" si="33"/>
        <v>472149</v>
      </c>
      <c r="AM14" s="41">
        <f t="shared" si="33"/>
        <v>492339</v>
      </c>
      <c r="AN14" s="41">
        <f t="shared" si="33"/>
        <v>450428</v>
      </c>
      <c r="AO14" s="41">
        <f t="shared" si="33"/>
        <v>391441</v>
      </c>
      <c r="AP14" s="41">
        <f t="shared" si="33"/>
        <v>325482</v>
      </c>
      <c r="AQ14" s="41">
        <f t="shared" si="33"/>
        <v>312076</v>
      </c>
      <c r="AR14" s="41">
        <f t="shared" si="3"/>
        <v>312076</v>
      </c>
      <c r="AS14" s="42"/>
      <c r="AT14" s="41">
        <f t="shared" ref="AT14:BB14" si="34">AT6-AT48</f>
        <v>243661</v>
      </c>
      <c r="AU14" s="41">
        <f t="shared" si="34"/>
        <v>233232</v>
      </c>
      <c r="AV14" s="41">
        <f t="shared" si="34"/>
        <v>218299</v>
      </c>
      <c r="AW14" s="41">
        <f t="shared" si="34"/>
        <v>233987</v>
      </c>
      <c r="AX14" s="41">
        <f t="shared" si="34"/>
        <v>261234</v>
      </c>
      <c r="AY14" s="41">
        <f t="shared" si="34"/>
        <v>282486</v>
      </c>
      <c r="AZ14" s="41">
        <f t="shared" si="34"/>
        <v>296055</v>
      </c>
      <c r="BA14" s="41">
        <f t="shared" si="34"/>
        <v>308825</v>
      </c>
      <c r="BB14" s="41">
        <f t="shared" si="34"/>
        <v>308406</v>
      </c>
      <c r="BC14" s="41">
        <f>BB14-BC16+BC59-BC48</f>
        <v>137005.70924434217</v>
      </c>
      <c r="BD14" s="41">
        <f>BC14-BD16+BD59-BD48</f>
        <v>94095.12236286921</v>
      </c>
      <c r="BE14" s="41">
        <f>BD14-BE16+BE59-BE48</f>
        <v>78605.509397775226</v>
      </c>
      <c r="BF14" s="41">
        <f>BE14</f>
        <v>78605.509397775226</v>
      </c>
      <c r="BG14" s="43">
        <f>BG16/AR16</f>
        <v>7.0333736034655189E-2</v>
      </c>
      <c r="BH14" s="44">
        <f t="shared" ref="BH14:BS14" si="35">BH6-BH48</f>
        <v>238108</v>
      </c>
      <c r="BI14" s="44">
        <f t="shared" si="35"/>
        <v>221646</v>
      </c>
      <c r="BJ14" s="44">
        <f t="shared" si="35"/>
        <v>221455</v>
      </c>
      <c r="BK14" s="44">
        <f t="shared" si="35"/>
        <v>227714</v>
      </c>
      <c r="BL14" s="44">
        <f t="shared" si="35"/>
        <v>252043</v>
      </c>
      <c r="BM14" s="44">
        <f t="shared" si="35"/>
        <v>242270</v>
      </c>
      <c r="BN14" s="44">
        <f t="shared" si="35"/>
        <v>242084</v>
      </c>
      <c r="BO14" s="44">
        <f t="shared" si="35"/>
        <v>221874</v>
      </c>
      <c r="BP14" s="44">
        <f t="shared" si="35"/>
        <v>176312</v>
      </c>
      <c r="BQ14" s="44">
        <f t="shared" si="35"/>
        <v>157414</v>
      </c>
      <c r="BR14" s="44">
        <f t="shared" si="35"/>
        <v>215852</v>
      </c>
      <c r="BS14" s="44">
        <f t="shared" si="35"/>
        <v>201165</v>
      </c>
      <c r="BT14" s="44">
        <f t="shared" si="9"/>
        <v>201165</v>
      </c>
      <c r="BU14" s="45"/>
      <c r="BV14" s="41">
        <f t="shared" ref="BV14:CG14" si="36">BV6-BV48</f>
        <v>247713</v>
      </c>
      <c r="BW14" s="41">
        <f t="shared" si="36"/>
        <v>251208.95</v>
      </c>
      <c r="BX14" s="41">
        <f t="shared" si="36"/>
        <v>180525.7</v>
      </c>
      <c r="BY14" s="41">
        <f t="shared" si="36"/>
        <v>210683.6</v>
      </c>
      <c r="BZ14" s="41">
        <f t="shared" si="36"/>
        <v>206789.14999999997</v>
      </c>
      <c r="CA14" s="41">
        <f t="shared" si="36"/>
        <v>216957.69999999995</v>
      </c>
      <c r="CB14" s="41">
        <f t="shared" si="36"/>
        <v>204578.99999999994</v>
      </c>
      <c r="CC14" s="41">
        <f t="shared" si="36"/>
        <v>185645.69999999995</v>
      </c>
      <c r="CD14" s="41">
        <f t="shared" si="36"/>
        <v>164566.94999999995</v>
      </c>
      <c r="CE14" s="41">
        <f t="shared" si="36"/>
        <v>148083.54999999996</v>
      </c>
      <c r="CF14" s="41">
        <f t="shared" si="36"/>
        <v>135683.59999999992</v>
      </c>
      <c r="CG14" s="41">
        <f t="shared" si="36"/>
        <v>147764.39999999991</v>
      </c>
      <c r="CH14" s="41">
        <f t="shared" si="8"/>
        <v>147764.39999999991</v>
      </c>
    </row>
    <row r="15" spans="1:86">
      <c r="A15" s="46"/>
      <c r="B15" s="47" t="s">
        <v>48</v>
      </c>
      <c r="C15" s="282"/>
      <c r="D15" s="283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284"/>
      <c r="Q15" s="49"/>
      <c r="R15" s="283"/>
      <c r="S15" s="50"/>
      <c r="T15" s="50"/>
      <c r="U15" s="50"/>
      <c r="V15" s="51"/>
      <c r="W15" s="51"/>
      <c r="X15" s="51"/>
      <c r="Y15" s="51"/>
      <c r="Z15" s="51"/>
      <c r="AA15" s="51"/>
      <c r="AB15" s="51"/>
      <c r="AC15" s="50"/>
      <c r="AD15" s="285"/>
      <c r="AE15" s="23"/>
      <c r="AF15" s="286">
        <f t="shared" ref="AF15:AP15" si="37">AF6/AG16</f>
        <v>1.3876680694696506</v>
      </c>
      <c r="AG15" s="286">
        <f t="shared" si="37"/>
        <v>3.8178718896012169</v>
      </c>
      <c r="AH15" s="286">
        <f t="shared" si="37"/>
        <v>4.3249513194118041</v>
      </c>
      <c r="AI15" s="286">
        <f t="shared" si="37"/>
        <v>3.1032881916583426</v>
      </c>
      <c r="AJ15" s="286">
        <f t="shared" si="37"/>
        <v>2.6977450188476038</v>
      </c>
      <c r="AK15" s="286">
        <f t="shared" si="37"/>
        <v>3.0634099805914667</v>
      </c>
      <c r="AL15" s="286">
        <f t="shared" si="37"/>
        <v>1.9763209336006664</v>
      </c>
      <c r="AM15" s="286">
        <f t="shared" si="37"/>
        <v>1.8853931580291039</v>
      </c>
      <c r="AN15" s="286">
        <f t="shared" si="37"/>
        <v>1.7601719421649082</v>
      </c>
      <c r="AO15" s="286">
        <f t="shared" si="37"/>
        <v>3.0429182213930348</v>
      </c>
      <c r="AP15" s="286">
        <f t="shared" si="37"/>
        <v>3.3266762060506951</v>
      </c>
      <c r="AQ15" s="286">
        <f>AQ6/AT16</f>
        <v>2.1015749668165311</v>
      </c>
      <c r="AR15" s="287">
        <f>AQ15</f>
        <v>2.1015749668165311</v>
      </c>
      <c r="AS15" s="23"/>
      <c r="AT15" s="286">
        <f>AT6/AU16</f>
        <v>2.078676878772272</v>
      </c>
      <c r="AU15" s="286">
        <f>AU6/AV16</f>
        <v>2.1017947592948043</v>
      </c>
      <c r="AV15" s="286">
        <f>AV6/AW16</f>
        <v>1.9297580364452378</v>
      </c>
      <c r="AW15" s="286">
        <f>AW6/AX16</f>
        <v>2.4377775525503322</v>
      </c>
      <c r="AX15" s="286">
        <f>AX6/AY16</f>
        <v>2.1450476831468146</v>
      </c>
      <c r="AY15" s="286">
        <f t="shared" ref="AY15:BD15" si="38">AY6/(AZ45+AZ44)</f>
        <v>2.0572684326974824</v>
      </c>
      <c r="AZ15" s="286">
        <f t="shared" si="38"/>
        <v>1.3749564207725904</v>
      </c>
      <c r="BA15" s="286">
        <f t="shared" si="38"/>
        <v>1.7107133445873244</v>
      </c>
      <c r="BB15" s="286">
        <f t="shared" si="38"/>
        <v>1.5052991529201962</v>
      </c>
      <c r="BC15" s="286">
        <f t="shared" si="38"/>
        <v>2.204984888462461</v>
      </c>
      <c r="BD15" s="286">
        <f t="shared" si="38"/>
        <v>4.1558308053625606</v>
      </c>
      <c r="BE15" s="286">
        <f>BE6/BH16</f>
        <v>1.6577023037190759</v>
      </c>
      <c r="BF15" s="52"/>
      <c r="BG15" s="27"/>
      <c r="BH15" s="286">
        <f t="shared" ref="BH15:BN15" si="39">BH6/BI16</f>
        <v>2.0944497544651477</v>
      </c>
      <c r="BI15" s="286">
        <f t="shared" si="39"/>
        <v>1.7607980924679776</v>
      </c>
      <c r="BJ15" s="286">
        <f t="shared" si="39"/>
        <v>1.9768264308549444</v>
      </c>
      <c r="BK15" s="286">
        <f t="shared" si="39"/>
        <v>2.3096926132416842</v>
      </c>
      <c r="BL15" s="286">
        <f t="shared" si="39"/>
        <v>2.3022524219030873</v>
      </c>
      <c r="BM15" s="286">
        <f t="shared" si="39"/>
        <v>1.710321617787782</v>
      </c>
      <c r="BN15" s="286">
        <f t="shared" si="39"/>
        <v>1.8673644886033884</v>
      </c>
      <c r="BO15" s="53"/>
      <c r="BP15" s="53"/>
      <c r="BQ15" s="53"/>
      <c r="BR15" s="53"/>
      <c r="BS15" s="53"/>
      <c r="BT15" s="53"/>
      <c r="BU15" s="54"/>
      <c r="BV15" s="286">
        <v>0</v>
      </c>
      <c r="BW15" s="286">
        <v>0</v>
      </c>
      <c r="BX15" s="286">
        <v>0</v>
      </c>
      <c r="BY15" s="286">
        <v>0</v>
      </c>
      <c r="BZ15" s="286">
        <v>0</v>
      </c>
      <c r="CA15" s="286">
        <v>0</v>
      </c>
      <c r="CB15" s="286">
        <v>0</v>
      </c>
      <c r="CC15" s="286">
        <v>0</v>
      </c>
      <c r="CD15" s="286">
        <v>0</v>
      </c>
      <c r="CE15" s="286">
        <v>0</v>
      </c>
      <c r="CF15" s="286">
        <v>0</v>
      </c>
      <c r="CG15" s="53"/>
      <c r="CH15" s="53"/>
    </row>
    <row r="16" spans="1:86" ht="15.75">
      <c r="A16" s="55">
        <v>6</v>
      </c>
      <c r="B16" s="56" t="s">
        <v>49</v>
      </c>
      <c r="C16" s="280"/>
      <c r="D16" s="288">
        <f t="shared" ref="D16:P16" si="40">SUM(D20:D42)</f>
        <v>82250</v>
      </c>
      <c r="E16" s="57">
        <f t="shared" si="40"/>
        <v>117000</v>
      </c>
      <c r="F16" s="57">
        <f t="shared" si="40"/>
        <v>121750</v>
      </c>
      <c r="G16" s="57">
        <f t="shared" si="40"/>
        <v>150000</v>
      </c>
      <c r="H16" s="57">
        <f t="shared" si="40"/>
        <v>99500</v>
      </c>
      <c r="I16" s="57">
        <f t="shared" si="40"/>
        <v>102000</v>
      </c>
      <c r="J16" s="57">
        <f t="shared" si="40"/>
        <v>177632</v>
      </c>
      <c r="K16" s="57">
        <f t="shared" si="40"/>
        <v>178158</v>
      </c>
      <c r="L16" s="57">
        <f t="shared" si="40"/>
        <v>199211</v>
      </c>
      <c r="M16" s="57">
        <f t="shared" si="40"/>
        <v>229474</v>
      </c>
      <c r="N16" s="57">
        <f t="shared" si="40"/>
        <v>122368</v>
      </c>
      <c r="O16" s="57">
        <f t="shared" si="40"/>
        <v>38421</v>
      </c>
      <c r="P16" s="289">
        <f t="shared" si="40"/>
        <v>1617764</v>
      </c>
      <c r="Q16" s="39"/>
      <c r="R16" s="288">
        <f t="shared" ref="R16:AC16" si="41">R20+R43</f>
        <v>136177.33998294926</v>
      </c>
      <c r="S16" s="58">
        <f t="shared" si="41"/>
        <v>143840.32639116928</v>
      </c>
      <c r="T16" s="58">
        <f t="shared" si="41"/>
        <v>142553.77192982455</v>
      </c>
      <c r="U16" s="58">
        <f t="shared" si="41"/>
        <v>19814.899999999998</v>
      </c>
      <c r="V16" s="58">
        <f t="shared" si="41"/>
        <v>52085</v>
      </c>
      <c r="W16" s="290">
        <f t="shared" si="41"/>
        <v>70169.381950239796</v>
      </c>
      <c r="X16" s="290">
        <f t="shared" si="41"/>
        <v>144463.33333333299</v>
      </c>
      <c r="Y16" s="290">
        <f t="shared" si="41"/>
        <v>226547.08333333331</v>
      </c>
      <c r="Z16" s="290">
        <f t="shared" si="41"/>
        <v>273187.5</v>
      </c>
      <c r="AA16" s="290">
        <f t="shared" si="41"/>
        <v>172100</v>
      </c>
      <c r="AB16" s="290">
        <f t="shared" si="41"/>
        <v>37500</v>
      </c>
      <c r="AC16" s="290">
        <f t="shared" si="41"/>
        <v>0</v>
      </c>
      <c r="AD16" s="291">
        <f>SUM(R16:AC16)</f>
        <v>1418438.6369208493</v>
      </c>
      <c r="AE16" s="59"/>
      <c r="AF16" s="292">
        <f t="shared" ref="AF16:AQ16" si="42">AF20+AF43</f>
        <v>128646</v>
      </c>
      <c r="AG16" s="58">
        <f t="shared" si="42"/>
        <v>177977</v>
      </c>
      <c r="AH16" s="58">
        <f t="shared" si="42"/>
        <v>73624</v>
      </c>
      <c r="AI16" s="58">
        <f t="shared" si="42"/>
        <v>89358</v>
      </c>
      <c r="AJ16" s="58">
        <f t="shared" si="42"/>
        <v>122134</v>
      </c>
      <c r="AK16" s="58">
        <f t="shared" si="42"/>
        <v>148560</v>
      </c>
      <c r="AL16" s="58">
        <f t="shared" si="42"/>
        <v>151995</v>
      </c>
      <c r="AM16" s="58">
        <f t="shared" si="42"/>
        <v>238903</v>
      </c>
      <c r="AN16" s="58">
        <f t="shared" si="42"/>
        <v>261133.33333333334</v>
      </c>
      <c r="AO16" s="58">
        <f t="shared" si="42"/>
        <v>255900</v>
      </c>
      <c r="AP16" s="58">
        <f t="shared" si="42"/>
        <v>128640</v>
      </c>
      <c r="AQ16" s="58">
        <f t="shared" si="42"/>
        <v>97840</v>
      </c>
      <c r="AR16" s="58">
        <f>SUM(AF16:AQ16)</f>
        <v>1874710.3333333333</v>
      </c>
      <c r="AS16" s="59"/>
      <c r="AT16" s="58">
        <f t="shared" ref="AT16:BD16" si="43">AT20+AT43</f>
        <v>152749.25</v>
      </c>
      <c r="AU16" s="58">
        <f t="shared" si="43"/>
        <v>168522.10344827586</v>
      </c>
      <c r="AV16" s="58">
        <f t="shared" si="43"/>
        <v>154121.13793103449</v>
      </c>
      <c r="AW16" s="58">
        <f t="shared" si="43"/>
        <v>159595.13793103449</v>
      </c>
      <c r="AX16" s="58">
        <f t="shared" si="43"/>
        <v>120099.96551724138</v>
      </c>
      <c r="AY16" s="58">
        <f t="shared" si="43"/>
        <v>138343.77777777778</v>
      </c>
      <c r="AZ16" s="58">
        <f t="shared" si="43"/>
        <v>166673.77777777778</v>
      </c>
      <c r="BA16" s="58">
        <f t="shared" si="43"/>
        <v>242442.29629629629</v>
      </c>
      <c r="BB16" s="58">
        <f t="shared" si="43"/>
        <v>243407.77777777778</v>
      </c>
      <c r="BC16" s="58">
        <f t="shared" si="43"/>
        <v>253368.29075565783</v>
      </c>
      <c r="BD16" s="58">
        <f t="shared" si="43"/>
        <v>134555.58688147296</v>
      </c>
      <c r="BE16" s="58">
        <f>BE20+BE44</f>
        <v>72686.612965093984</v>
      </c>
      <c r="BF16" s="58">
        <f t="shared" ref="BF16:BF18" si="44">SUM(AT16:BE16)</f>
        <v>2006565.7150594404</v>
      </c>
      <c r="BG16" s="59">
        <f>BF16-AR16</f>
        <v>131855.38172610709</v>
      </c>
      <c r="BH16" s="58">
        <f>BH17+BH43</f>
        <v>152753</v>
      </c>
      <c r="BI16" s="58">
        <f t="shared" ref="BI16:BN16" si="45">BI17+BI43</f>
        <v>146822.33333333331</v>
      </c>
      <c r="BJ16" s="58">
        <f t="shared" si="45"/>
        <v>171546.07407407407</v>
      </c>
      <c r="BK16" s="58">
        <f t="shared" si="45"/>
        <v>159771.74074074073</v>
      </c>
      <c r="BL16" s="58">
        <f t="shared" si="45"/>
        <v>132496.85185185185</v>
      </c>
      <c r="BM16" s="58">
        <f t="shared" si="45"/>
        <v>129906.25925925926</v>
      </c>
      <c r="BN16" s="58">
        <f t="shared" si="45"/>
        <v>171383.55555555556</v>
      </c>
      <c r="BO16" s="58">
        <f>BO17+BO44</f>
        <v>179550.37811111109</v>
      </c>
      <c r="BP16" s="58">
        <f>BP17+BP44</f>
        <v>202053.74953703705</v>
      </c>
      <c r="BQ16" s="58">
        <f>BQ17+BQ44</f>
        <v>163865</v>
      </c>
      <c r="BR16" s="58">
        <f>BR17+BR44</f>
        <v>175620.6</v>
      </c>
      <c r="BS16" s="58">
        <v>92285.6</v>
      </c>
      <c r="BT16" s="58">
        <f t="shared" ref="BT16:BT18" si="46">SUM(BH16:BS16)</f>
        <v>1878055.142462963</v>
      </c>
      <c r="BU16" s="60">
        <f>BT16/BF49-1</f>
        <v>0.11407756579595363</v>
      </c>
      <c r="BV16" s="58">
        <f t="shared" ref="BV16:CG16" si="47">BV20+(BV44)</f>
        <v>158370.25</v>
      </c>
      <c r="BW16" s="58">
        <f t="shared" si="47"/>
        <v>150504.04999999999</v>
      </c>
      <c r="BX16" s="58">
        <f t="shared" si="47"/>
        <v>217683.25</v>
      </c>
      <c r="BY16" s="58">
        <f t="shared" si="47"/>
        <v>123842.1</v>
      </c>
      <c r="BZ16" s="58">
        <f t="shared" si="47"/>
        <v>150894.45000000001</v>
      </c>
      <c r="CA16" s="58">
        <f t="shared" si="47"/>
        <v>150831.45000000001</v>
      </c>
      <c r="CB16" s="58">
        <f t="shared" si="47"/>
        <v>181138.7</v>
      </c>
      <c r="CC16" s="58">
        <f t="shared" si="47"/>
        <v>213273.3</v>
      </c>
      <c r="CD16" s="58">
        <f t="shared" si="47"/>
        <v>229078.75</v>
      </c>
      <c r="CE16" s="58">
        <f t="shared" si="47"/>
        <v>218263.4</v>
      </c>
      <c r="CF16" s="58">
        <f t="shared" si="47"/>
        <v>166459.95000000001</v>
      </c>
      <c r="CG16" s="58">
        <f t="shared" si="47"/>
        <v>84639.200000000012</v>
      </c>
      <c r="CH16" s="58">
        <f t="shared" ref="CH16:CH17" si="48">SUM(BV16:CG16)</f>
        <v>2044978.8499999999</v>
      </c>
    </row>
    <row r="17" spans="1:87">
      <c r="A17" s="61"/>
      <c r="B17" s="62" t="s">
        <v>51</v>
      </c>
      <c r="C17" s="293"/>
      <c r="D17" s="294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295"/>
      <c r="Q17" s="64"/>
      <c r="R17" s="294"/>
      <c r="S17" s="65"/>
      <c r="T17" s="65"/>
      <c r="U17" s="65"/>
      <c r="V17" s="296"/>
      <c r="W17" s="297"/>
      <c r="X17" s="297"/>
      <c r="Y17" s="297"/>
      <c r="Z17" s="297"/>
      <c r="AA17" s="297"/>
      <c r="AB17" s="297"/>
      <c r="AC17" s="66"/>
      <c r="AD17" s="67"/>
      <c r="AE17" s="68"/>
      <c r="AF17" s="298"/>
      <c r="AG17" s="65"/>
      <c r="AH17" s="65"/>
      <c r="AI17" s="65"/>
      <c r="AJ17" s="296"/>
      <c r="AK17" s="296"/>
      <c r="AL17" s="296"/>
      <c r="AM17" s="296"/>
      <c r="AN17" s="65"/>
      <c r="AO17" s="65"/>
      <c r="AP17" s="65"/>
      <c r="AQ17" s="65"/>
      <c r="AR17" s="299"/>
      <c r="AS17" s="68"/>
      <c r="AT17" s="65"/>
      <c r="AU17" s="65"/>
      <c r="AV17" s="65"/>
      <c r="AW17" s="65"/>
      <c r="AX17" s="65"/>
      <c r="AY17" s="69">
        <f t="shared" ref="AY17:BA17" si="49">AY20+AY44</f>
        <v>119777.77777777778</v>
      </c>
      <c r="AZ17" s="69">
        <f t="shared" si="49"/>
        <v>150777.77777777778</v>
      </c>
      <c r="BA17" s="69">
        <f t="shared" si="49"/>
        <v>233098.4962962963</v>
      </c>
      <c r="BB17" s="69">
        <f>BB18/BB19</f>
        <v>210777.77777777778</v>
      </c>
      <c r="BC17" s="69">
        <f>BC20+BC44</f>
        <v>249806.29075565783</v>
      </c>
      <c r="BD17" s="69">
        <f t="shared" ref="BD17:BE17" si="50">BD20+BD44*0.85</f>
        <v>122960.58688147296</v>
      </c>
      <c r="BE17" s="69">
        <f t="shared" si="50"/>
        <v>66386.612965093984</v>
      </c>
      <c r="BF17" s="69">
        <f t="shared" si="44"/>
        <v>1153585.3202318544</v>
      </c>
      <c r="BG17" s="68"/>
      <c r="BH17" s="69">
        <f>BH18/BH19-0.1*BH18/BH19</f>
        <v>116600</v>
      </c>
      <c r="BI17" s="69">
        <f t="shared" ref="BI17" si="51">BI18/BI19-0.1*BI18/BI19</f>
        <v>111533.33333333333</v>
      </c>
      <c r="BJ17" s="69">
        <f t="shared" ref="BJ17:BP17" si="52">BJ18/BJ19-0.05*BJ18/BJ19</f>
        <v>135674.07407407407</v>
      </c>
      <c r="BK17" s="69">
        <f t="shared" si="52"/>
        <v>121740.74074074074</v>
      </c>
      <c r="BL17" s="69">
        <f t="shared" si="52"/>
        <v>93926.851851851854</v>
      </c>
      <c r="BM17" s="69">
        <f t="shared" si="52"/>
        <v>90679.259259259255</v>
      </c>
      <c r="BN17" s="69">
        <f t="shared" si="52"/>
        <v>130255.55555555556</v>
      </c>
      <c r="BO17" s="69">
        <f t="shared" si="52"/>
        <v>150550.37811111109</v>
      </c>
      <c r="BP17" s="69">
        <f t="shared" si="52"/>
        <v>161830.74953703705</v>
      </c>
      <c r="BQ17" s="69">
        <v>127130</v>
      </c>
      <c r="BR17" s="69">
        <v>138687.6</v>
      </c>
      <c r="BS17" s="69">
        <v>43639.199999999997</v>
      </c>
      <c r="BT17" s="69">
        <f t="shared" si="46"/>
        <v>1422247.7424629631</v>
      </c>
      <c r="BU17" s="54"/>
      <c r="BV17" s="69">
        <f t="shared" ref="BV17:CG17" si="53">BV20+BV43</f>
        <v>165151.25</v>
      </c>
      <c r="BW17" s="69">
        <f t="shared" si="53"/>
        <v>147364.04999999999</v>
      </c>
      <c r="BX17" s="69">
        <f t="shared" si="53"/>
        <v>221100.25</v>
      </c>
      <c r="BY17" s="69">
        <f t="shared" si="53"/>
        <v>121951.1</v>
      </c>
      <c r="BZ17" s="69">
        <f t="shared" si="53"/>
        <v>153064.95000000001</v>
      </c>
      <c r="CA17" s="69">
        <f t="shared" si="53"/>
        <v>160591.45000000001</v>
      </c>
      <c r="CB17" s="69">
        <f t="shared" si="53"/>
        <v>195915.7</v>
      </c>
      <c r="CC17" s="69">
        <f t="shared" si="53"/>
        <v>212829.3</v>
      </c>
      <c r="CD17" s="69">
        <f t="shared" si="53"/>
        <v>228892.45</v>
      </c>
      <c r="CE17" s="69">
        <f t="shared" si="53"/>
        <v>219273</v>
      </c>
      <c r="CF17" s="69">
        <f t="shared" si="53"/>
        <v>179626.65</v>
      </c>
      <c r="CG17" s="69">
        <f t="shared" si="53"/>
        <v>97436.2</v>
      </c>
      <c r="CH17" s="69">
        <f t="shared" si="48"/>
        <v>2103196.35</v>
      </c>
      <c r="CI17" s="395">
        <f>(CH17-BT50)/BT50</f>
        <v>0.51340773500063686</v>
      </c>
    </row>
    <row r="18" spans="1:87">
      <c r="A18" s="61"/>
      <c r="B18" s="62" t="s">
        <v>52</v>
      </c>
      <c r="C18" s="293"/>
      <c r="D18" s="294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295"/>
      <c r="Q18" s="64"/>
      <c r="R18" s="294"/>
      <c r="S18" s="65"/>
      <c r="T18" s="65"/>
      <c r="U18" s="65"/>
      <c r="V18" s="296"/>
      <c r="W18" s="297"/>
      <c r="X18" s="297"/>
      <c r="Y18" s="297"/>
      <c r="Z18" s="297"/>
      <c r="AA18" s="297"/>
      <c r="AB18" s="297"/>
      <c r="AC18" s="66"/>
      <c r="AD18" s="67"/>
      <c r="AE18" s="68"/>
      <c r="AF18" s="298"/>
      <c r="AG18" s="65"/>
      <c r="AH18" s="65" t="s">
        <v>53</v>
      </c>
      <c r="AI18" s="65"/>
      <c r="AJ18" s="296"/>
      <c r="AK18" s="296"/>
      <c r="AL18" s="296"/>
      <c r="AM18" s="296"/>
      <c r="AN18" s="65">
        <v>6715000</v>
      </c>
      <c r="AO18" s="65">
        <v>6555000</v>
      </c>
      <c r="AP18" s="65">
        <v>2640000</v>
      </c>
      <c r="AQ18" s="65">
        <v>1302000</v>
      </c>
      <c r="AR18" s="299"/>
      <c r="AS18" s="68"/>
      <c r="AT18" s="65">
        <v>3264695</v>
      </c>
      <c r="AU18" s="65">
        <v>3863760</v>
      </c>
      <c r="AV18" s="65">
        <v>3429225</v>
      </c>
      <c r="AW18" s="65">
        <v>3525360</v>
      </c>
      <c r="AX18" s="65">
        <v>2509485</v>
      </c>
      <c r="AY18" s="65">
        <v>2829000</v>
      </c>
      <c r="AZ18" s="65">
        <v>3666000</v>
      </c>
      <c r="BA18" s="65">
        <v>5705000</v>
      </c>
      <c r="BB18" s="65">
        <v>5691000</v>
      </c>
      <c r="BC18" s="65">
        <v>5600000</v>
      </c>
      <c r="BD18" s="65">
        <v>2430000</v>
      </c>
      <c r="BE18" s="65">
        <v>800000</v>
      </c>
      <c r="BF18" s="69">
        <f t="shared" si="44"/>
        <v>43313525</v>
      </c>
      <c r="BG18" s="68"/>
      <c r="BH18" s="70">
        <v>3498000</v>
      </c>
      <c r="BI18" s="70">
        <v>3346000</v>
      </c>
      <c r="BJ18" s="70">
        <v>3856000</v>
      </c>
      <c r="BK18" s="70">
        <v>3460000</v>
      </c>
      <c r="BL18" s="70">
        <v>2669500</v>
      </c>
      <c r="BM18" s="70">
        <v>2577200</v>
      </c>
      <c r="BN18" s="70">
        <v>3702000</v>
      </c>
      <c r="BO18" s="70">
        <v>4278800.22</v>
      </c>
      <c r="BP18" s="70">
        <v>4599400.25</v>
      </c>
      <c r="BQ18" s="70">
        <f>BQ17*BQ19</f>
        <v>3432510</v>
      </c>
      <c r="BR18" s="70">
        <v>2954493.21</v>
      </c>
      <c r="BS18" s="70">
        <v>984831.07</v>
      </c>
      <c r="BT18" s="65">
        <f t="shared" si="46"/>
        <v>39358734.75</v>
      </c>
      <c r="BU18" s="54"/>
      <c r="BV18" s="70">
        <f>BV19*BV20</f>
        <v>3422796.75</v>
      </c>
      <c r="BW18" s="70">
        <f>BW19*BW20</f>
        <v>3199609.35</v>
      </c>
      <c r="BX18" s="70">
        <f t="shared" ref="BX18:CG18" si="54">BX17*BX19</f>
        <v>5969706.75</v>
      </c>
      <c r="BY18" s="70">
        <f t="shared" si="54"/>
        <v>3292679.7</v>
      </c>
      <c r="BZ18" s="70">
        <f t="shared" si="54"/>
        <v>4132753.6500000004</v>
      </c>
      <c r="CA18" s="70">
        <f t="shared" si="54"/>
        <v>4335969.1500000004</v>
      </c>
      <c r="CB18" s="70">
        <f t="shared" si="54"/>
        <v>5289723.9000000004</v>
      </c>
      <c r="CC18" s="70">
        <f t="shared" si="54"/>
        <v>5746391.0999999996</v>
      </c>
      <c r="CD18" s="70">
        <f t="shared" si="54"/>
        <v>6180096.1500000004</v>
      </c>
      <c r="CE18" s="70">
        <f t="shared" si="54"/>
        <v>5920371</v>
      </c>
      <c r="CF18" s="70">
        <f t="shared" si="54"/>
        <v>4849919.55</v>
      </c>
      <c r="CG18" s="70">
        <f t="shared" si="54"/>
        <v>2630777.4</v>
      </c>
      <c r="CH18" s="65">
        <f>SUM(BV18:CG18)</f>
        <v>54970794.449999996</v>
      </c>
    </row>
    <row r="19" spans="1:87">
      <c r="A19" s="71"/>
      <c r="B19" s="72" t="s">
        <v>54</v>
      </c>
      <c r="C19" s="300"/>
      <c r="D19" s="30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302"/>
      <c r="Q19" s="74"/>
      <c r="R19" s="301"/>
      <c r="S19" s="69"/>
      <c r="T19" s="69"/>
      <c r="U19" s="69"/>
      <c r="V19" s="303"/>
      <c r="W19" s="304"/>
      <c r="X19" s="304"/>
      <c r="Y19" s="304"/>
      <c r="Z19" s="304"/>
      <c r="AA19" s="304"/>
      <c r="AB19" s="304"/>
      <c r="AC19" s="75"/>
      <c r="AD19" s="76"/>
      <c r="AE19" s="77"/>
      <c r="AF19" s="305"/>
      <c r="AG19" s="69"/>
      <c r="AH19" s="69"/>
      <c r="AI19" s="69"/>
      <c r="AJ19" s="303"/>
      <c r="AK19" s="303"/>
      <c r="AL19" s="303"/>
      <c r="AM19" s="303"/>
      <c r="AN19" s="69">
        <f t="shared" ref="AN19:AQ19" si="55">30</f>
        <v>30</v>
      </c>
      <c r="AO19" s="69">
        <f t="shared" si="55"/>
        <v>30</v>
      </c>
      <c r="AP19" s="69">
        <f t="shared" si="55"/>
        <v>30</v>
      </c>
      <c r="AQ19" s="69">
        <f t="shared" si="55"/>
        <v>30</v>
      </c>
      <c r="AR19" s="306"/>
      <c r="AS19" s="77"/>
      <c r="AT19" s="69">
        <v>28</v>
      </c>
      <c r="AU19" s="69">
        <v>29</v>
      </c>
      <c r="AV19" s="69">
        <v>29</v>
      </c>
      <c r="AW19" s="69">
        <v>29</v>
      </c>
      <c r="AX19" s="69">
        <v>29</v>
      </c>
      <c r="AY19" s="69">
        <v>27</v>
      </c>
      <c r="AZ19" s="69">
        <v>27</v>
      </c>
      <c r="BA19" s="69">
        <v>27</v>
      </c>
      <c r="BB19" s="69">
        <v>27</v>
      </c>
      <c r="BC19" s="69">
        <v>26.07</v>
      </c>
      <c r="BD19" s="69">
        <v>26.07</v>
      </c>
      <c r="BE19" s="69">
        <v>26.07</v>
      </c>
      <c r="BF19" s="305"/>
      <c r="BG19" s="78"/>
      <c r="BH19" s="69">
        <v>27</v>
      </c>
      <c r="BI19" s="69">
        <v>27</v>
      </c>
      <c r="BJ19" s="69">
        <v>27</v>
      </c>
      <c r="BK19" s="69">
        <v>27</v>
      </c>
      <c r="BL19" s="69">
        <v>27</v>
      </c>
      <c r="BM19" s="69">
        <v>27</v>
      </c>
      <c r="BN19" s="69">
        <v>27</v>
      </c>
      <c r="BO19" s="69">
        <v>27</v>
      </c>
      <c r="BP19" s="69">
        <v>27</v>
      </c>
      <c r="BQ19" s="69">
        <v>27</v>
      </c>
      <c r="BR19" s="69">
        <v>27</v>
      </c>
      <c r="BS19" s="69">
        <v>27</v>
      </c>
      <c r="BT19" s="69"/>
      <c r="BU19" s="54"/>
      <c r="BV19" s="69">
        <v>27</v>
      </c>
      <c r="BW19" s="69">
        <v>27</v>
      </c>
      <c r="BX19" s="69">
        <v>27</v>
      </c>
      <c r="BY19" s="69">
        <v>27</v>
      </c>
      <c r="BZ19" s="69">
        <v>27</v>
      </c>
      <c r="CA19" s="69">
        <v>27</v>
      </c>
      <c r="CB19" s="69">
        <v>27</v>
      </c>
      <c r="CC19" s="69">
        <v>27</v>
      </c>
      <c r="CD19" s="69">
        <v>27</v>
      </c>
      <c r="CE19" s="69">
        <v>27</v>
      </c>
      <c r="CF19" s="69">
        <v>27</v>
      </c>
      <c r="CG19" s="69">
        <v>27</v>
      </c>
      <c r="CH19" s="69"/>
    </row>
    <row r="20" spans="1:87" ht="15.75">
      <c r="A20" s="79"/>
      <c r="B20" s="80" t="s">
        <v>55</v>
      </c>
      <c r="C20" s="81"/>
      <c r="D20" s="288">
        <v>82250</v>
      </c>
      <c r="E20" s="57">
        <v>117000</v>
      </c>
      <c r="F20" s="57">
        <v>121750</v>
      </c>
      <c r="G20" s="57">
        <v>150000</v>
      </c>
      <c r="H20" s="57">
        <v>99500</v>
      </c>
      <c r="I20" s="57">
        <v>102000</v>
      </c>
      <c r="J20" s="57">
        <v>177632</v>
      </c>
      <c r="K20" s="57">
        <v>178158</v>
      </c>
      <c r="L20" s="57">
        <v>199211</v>
      </c>
      <c r="M20" s="57">
        <v>229474</v>
      </c>
      <c r="N20" s="57">
        <v>122368</v>
      </c>
      <c r="O20" s="57">
        <v>38421</v>
      </c>
      <c r="P20" s="289">
        <f>SUM(D20:O20)</f>
        <v>1617764</v>
      </c>
      <c r="Q20" s="39"/>
      <c r="R20" s="288">
        <v>115619.79612330014</v>
      </c>
      <c r="S20" s="58">
        <v>123327.78253152016</v>
      </c>
      <c r="T20" s="58">
        <v>128854</v>
      </c>
      <c r="U20" s="58">
        <f>126016*0.15</f>
        <v>18902.399999999998</v>
      </c>
      <c r="V20" s="58">
        <v>35234</v>
      </c>
      <c r="W20" s="290">
        <v>56469.381950239796</v>
      </c>
      <c r="X20" s="290">
        <v>118413.33333333299</v>
      </c>
      <c r="Y20" s="290">
        <v>198797.08333333331</v>
      </c>
      <c r="Z20" s="290">
        <v>242087.5</v>
      </c>
      <c r="AA20" s="290">
        <v>140000</v>
      </c>
      <c r="AB20" s="290">
        <v>0</v>
      </c>
      <c r="AC20" s="290">
        <v>-45300</v>
      </c>
      <c r="AD20" s="291">
        <f>SUM(R20:AC20)</f>
        <v>1132405.2772717264</v>
      </c>
      <c r="AE20" s="59"/>
      <c r="AF20" s="292">
        <v>90146</v>
      </c>
      <c r="AG20" s="58">
        <v>155577</v>
      </c>
      <c r="AH20" s="58">
        <v>62953</v>
      </c>
      <c r="AI20" s="58">
        <v>73261</v>
      </c>
      <c r="AJ20" s="58">
        <v>91856</v>
      </c>
      <c r="AK20" s="58">
        <v>120000</v>
      </c>
      <c r="AL20" s="58">
        <v>110295</v>
      </c>
      <c r="AM20" s="58">
        <v>200203</v>
      </c>
      <c r="AN20" s="58">
        <f t="shared" ref="AN20:AQ20" si="56">AN18/AN19</f>
        <v>223833.33333333334</v>
      </c>
      <c r="AO20" s="58">
        <f t="shared" si="56"/>
        <v>218500</v>
      </c>
      <c r="AP20" s="58">
        <f t="shared" si="56"/>
        <v>88000</v>
      </c>
      <c r="AQ20" s="58">
        <f t="shared" si="56"/>
        <v>43400</v>
      </c>
      <c r="AR20" s="58">
        <f>SUM(AF20:AQ20)</f>
        <v>1478024.3333333333</v>
      </c>
      <c r="AS20" s="59"/>
      <c r="AT20" s="58">
        <f t="shared" ref="AT20:BE20" si="57">AT18/AT19</f>
        <v>116596.25</v>
      </c>
      <c r="AU20" s="58">
        <f t="shared" si="57"/>
        <v>133233.10344827586</v>
      </c>
      <c r="AV20" s="58">
        <f t="shared" si="57"/>
        <v>118249.13793103448</v>
      </c>
      <c r="AW20" s="58">
        <f t="shared" si="57"/>
        <v>121564.13793103448</v>
      </c>
      <c r="AX20" s="58">
        <f t="shared" si="57"/>
        <v>86533.965517241377</v>
      </c>
      <c r="AY20" s="58">
        <f t="shared" si="57"/>
        <v>104777.77777777778</v>
      </c>
      <c r="AZ20" s="58">
        <f t="shared" si="57"/>
        <v>135777.77777777778</v>
      </c>
      <c r="BA20" s="58">
        <f t="shared" si="57"/>
        <v>211296.29629629629</v>
      </c>
      <c r="BB20" s="58">
        <f t="shared" si="57"/>
        <v>210777.77777777778</v>
      </c>
      <c r="BC20" s="58">
        <f t="shared" si="57"/>
        <v>214806.29075565783</v>
      </c>
      <c r="BD20" s="58">
        <f t="shared" si="57"/>
        <v>93210.586881472962</v>
      </c>
      <c r="BE20" s="58">
        <f t="shared" si="57"/>
        <v>30686.612965093977</v>
      </c>
      <c r="BF20" s="58">
        <f>SUM(AT20:BE20)</f>
        <v>1577509.7150594404</v>
      </c>
      <c r="BG20" s="59">
        <f>BF20-AR20</f>
        <v>99485.381726107094</v>
      </c>
      <c r="BH20" s="58">
        <f>BH17</f>
        <v>116600</v>
      </c>
      <c r="BI20" s="58">
        <f t="shared" ref="BI20:BT20" si="58">BI17</f>
        <v>111533.33333333333</v>
      </c>
      <c r="BJ20" s="58">
        <f t="shared" si="58"/>
        <v>135674.07407407407</v>
      </c>
      <c r="BK20" s="58">
        <f t="shared" si="58"/>
        <v>121740.74074074074</v>
      </c>
      <c r="BL20" s="58">
        <f t="shared" si="58"/>
        <v>93926.851851851854</v>
      </c>
      <c r="BM20" s="58">
        <f t="shared" si="58"/>
        <v>90679.259259259255</v>
      </c>
      <c r="BN20" s="58">
        <f t="shared" si="58"/>
        <v>130255.55555555556</v>
      </c>
      <c r="BO20" s="58">
        <f t="shared" si="58"/>
        <v>150550.37811111109</v>
      </c>
      <c r="BP20" s="58">
        <f t="shared" si="58"/>
        <v>161830.74953703705</v>
      </c>
      <c r="BQ20" s="58">
        <f t="shared" si="58"/>
        <v>127130</v>
      </c>
      <c r="BR20" s="58">
        <f>BR17</f>
        <v>138687.6</v>
      </c>
      <c r="BS20" s="58">
        <f t="shared" si="58"/>
        <v>43639.199999999997</v>
      </c>
      <c r="BT20" s="58">
        <f t="shared" si="58"/>
        <v>1422247.7424629631</v>
      </c>
      <c r="BU20" s="415">
        <v>1.1499999999999999</v>
      </c>
      <c r="BV20" s="58">
        <f t="shared" ref="BV20:CG20" si="59">ROUND(BH50*$BU$20,2)</f>
        <v>126770.25</v>
      </c>
      <c r="BW20" s="58">
        <f t="shared" si="59"/>
        <v>118504.05</v>
      </c>
      <c r="BX20" s="58">
        <f t="shared" si="59"/>
        <v>182683.25</v>
      </c>
      <c r="BY20" s="58">
        <f t="shared" si="59"/>
        <v>88842.1</v>
      </c>
      <c r="BZ20" s="58">
        <f t="shared" si="59"/>
        <v>114830.95</v>
      </c>
      <c r="CA20" s="58">
        <f t="shared" si="59"/>
        <v>115831.45</v>
      </c>
      <c r="CB20" s="58">
        <f t="shared" si="59"/>
        <v>144138.70000000001</v>
      </c>
      <c r="CC20" s="58">
        <f t="shared" si="59"/>
        <v>176665.3</v>
      </c>
      <c r="CD20" s="58">
        <f t="shared" si="59"/>
        <v>191455.45</v>
      </c>
      <c r="CE20" s="58">
        <f t="shared" si="59"/>
        <v>179561</v>
      </c>
      <c r="CF20" s="58">
        <f t="shared" si="59"/>
        <v>128099.65</v>
      </c>
      <c r="CG20" s="58">
        <f t="shared" si="59"/>
        <v>30783.200000000001</v>
      </c>
      <c r="CH20" s="58">
        <f t="shared" ref="CH20" si="60">CH17</f>
        <v>2103196.35</v>
      </c>
    </row>
    <row r="21" spans="1:87">
      <c r="A21" s="307"/>
      <c r="B21" s="82"/>
      <c r="C21" s="308"/>
      <c r="D21" s="309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310"/>
      <c r="Q21" s="84"/>
      <c r="R21" s="309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311"/>
      <c r="AE21" s="23"/>
      <c r="AF21" s="312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6"/>
      <c r="AS21" s="23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2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54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</row>
    <row r="22" spans="1:87" hidden="1">
      <c r="A22" s="88">
        <v>1</v>
      </c>
      <c r="B22" s="1095" t="s">
        <v>56</v>
      </c>
      <c r="C22" s="1117"/>
      <c r="D22" s="313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314">
        <f t="shared" ref="P22:P34" si="61">SUM(D22:O22)</f>
        <v>0</v>
      </c>
      <c r="Q22" s="90"/>
      <c r="R22" s="313">
        <v>7017.5438596491231</v>
      </c>
      <c r="S22" s="91">
        <v>7017.5438596491231</v>
      </c>
      <c r="T22" s="91">
        <f>7017.54385964912/2</f>
        <v>3508.7719298245602</v>
      </c>
      <c r="U22" s="91">
        <f>96*U3</f>
        <v>96</v>
      </c>
      <c r="V22" s="91">
        <v>3000</v>
      </c>
      <c r="W22" s="91">
        <v>7200</v>
      </c>
      <c r="X22" s="91">
        <v>8500</v>
      </c>
      <c r="Y22" s="91">
        <v>8500</v>
      </c>
      <c r="Z22" s="91">
        <v>8500</v>
      </c>
      <c r="AA22" s="91">
        <v>9000</v>
      </c>
      <c r="AB22" s="91">
        <v>9500</v>
      </c>
      <c r="AC22" s="91">
        <v>8500</v>
      </c>
      <c r="AD22" s="315">
        <f t="shared" ref="AD22:AD36" si="62">SUM(R22:AC22)</f>
        <v>80339.859649122809</v>
      </c>
      <c r="AE22" s="23"/>
      <c r="AF22" s="316">
        <v>8000</v>
      </c>
      <c r="AG22" s="91">
        <v>4000</v>
      </c>
      <c r="AH22" s="91">
        <v>5673</v>
      </c>
      <c r="AI22" s="91">
        <v>4500</v>
      </c>
      <c r="AJ22" s="91">
        <v>7892</v>
      </c>
      <c r="AK22" s="91">
        <v>6400</v>
      </c>
      <c r="AL22" s="91">
        <v>8000</v>
      </c>
      <c r="AM22" s="91">
        <v>8000</v>
      </c>
      <c r="AN22" s="91">
        <v>8000</v>
      </c>
      <c r="AO22" s="91">
        <v>8000</v>
      </c>
      <c r="AP22" s="91">
        <v>8800</v>
      </c>
      <c r="AQ22" s="91">
        <v>6400</v>
      </c>
      <c r="AR22" s="92">
        <f t="shared" ref="AR22:AR40" si="63">SUM(AF22:AQ22)</f>
        <v>83665</v>
      </c>
      <c r="AS22" s="23"/>
      <c r="AT22" s="91">
        <v>4861</v>
      </c>
      <c r="AU22" s="91">
        <v>5809</v>
      </c>
      <c r="AV22" s="91">
        <v>5072</v>
      </c>
      <c r="AW22" s="91">
        <v>4725</v>
      </c>
      <c r="AX22" s="317">
        <v>5832</v>
      </c>
      <c r="AY22" s="317">
        <v>5832</v>
      </c>
      <c r="AZ22" s="317">
        <v>5567</v>
      </c>
      <c r="BA22" s="317">
        <v>5567</v>
      </c>
      <c r="BB22" s="317">
        <v>5832</v>
      </c>
      <c r="BC22" s="317">
        <v>6892</v>
      </c>
      <c r="BD22" s="317">
        <v>7422</v>
      </c>
      <c r="BE22" s="317">
        <v>4241</v>
      </c>
      <c r="BF22" s="91">
        <f t="shared" ref="BF22:BF54" si="64">SUM(AT22:BE22)</f>
        <v>67652</v>
      </c>
      <c r="BG22" s="93">
        <f t="shared" ref="BG22:BG40" si="65">BF22/AR22-1</f>
        <v>-0.19139425088149165</v>
      </c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54"/>
      <c r="BV22" s="91"/>
      <c r="BW22" s="91"/>
      <c r="BX22" s="91"/>
      <c r="BY22" s="91"/>
      <c r="BZ22" s="91"/>
      <c r="CA22" s="91"/>
      <c r="CB22" s="91"/>
      <c r="CC22" s="91"/>
      <c r="CD22" s="91"/>
      <c r="CE22" s="91"/>
      <c r="CF22" s="91"/>
      <c r="CG22" s="91"/>
      <c r="CH22" s="91"/>
    </row>
    <row r="23" spans="1:87" hidden="1">
      <c r="A23" s="94">
        <v>2</v>
      </c>
      <c r="B23" s="1092" t="s">
        <v>57</v>
      </c>
      <c r="C23" s="1118"/>
      <c r="D23" s="313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314">
        <f t="shared" si="61"/>
        <v>0</v>
      </c>
      <c r="Q23" s="90"/>
      <c r="R23" s="313">
        <v>2909</v>
      </c>
      <c r="S23" s="91">
        <v>2545</v>
      </c>
      <c r="T23" s="91">
        <f>2727/1.2</f>
        <v>2272.5</v>
      </c>
      <c r="U23" s="91">
        <f>2*U3</f>
        <v>2</v>
      </c>
      <c r="V23" s="91">
        <v>500</v>
      </c>
      <c r="W23" s="91">
        <v>1300</v>
      </c>
      <c r="X23" s="91">
        <v>3200</v>
      </c>
      <c r="Y23" s="91">
        <v>3200</v>
      </c>
      <c r="Z23" s="91">
        <v>3600</v>
      </c>
      <c r="AA23" s="91">
        <v>3600</v>
      </c>
      <c r="AB23" s="91">
        <v>3600</v>
      </c>
      <c r="AC23" s="91">
        <v>4500</v>
      </c>
      <c r="AD23" s="315">
        <f t="shared" si="62"/>
        <v>31228.5</v>
      </c>
      <c r="AE23" s="23"/>
      <c r="AF23" s="316">
        <v>4000</v>
      </c>
      <c r="AG23" s="91">
        <v>1500</v>
      </c>
      <c r="AH23" s="91">
        <v>189</v>
      </c>
      <c r="AI23" s="91">
        <v>1842</v>
      </c>
      <c r="AJ23" s="91">
        <v>3764</v>
      </c>
      <c r="AK23" s="91">
        <v>3200</v>
      </c>
      <c r="AL23" s="91">
        <v>6000</v>
      </c>
      <c r="AM23" s="91">
        <v>5000</v>
      </c>
      <c r="AN23" s="91">
        <v>5000</v>
      </c>
      <c r="AO23" s="91">
        <v>5000</v>
      </c>
      <c r="AP23" s="91">
        <v>5000</v>
      </c>
      <c r="AQ23" s="91">
        <v>9000</v>
      </c>
      <c r="AR23" s="92">
        <f t="shared" si="63"/>
        <v>49495</v>
      </c>
      <c r="AS23" s="23"/>
      <c r="AT23" s="91">
        <v>5468</v>
      </c>
      <c r="AU23" s="91">
        <v>5468</v>
      </c>
      <c r="AV23" s="91">
        <v>6249</v>
      </c>
      <c r="AW23" s="91">
        <v>6249</v>
      </c>
      <c r="AX23" s="317">
        <v>3923</v>
      </c>
      <c r="AY23" s="317">
        <v>3923</v>
      </c>
      <c r="AZ23" s="317">
        <v>3745</v>
      </c>
      <c r="BA23" s="317">
        <v>3745</v>
      </c>
      <c r="BB23" s="317">
        <v>3923</v>
      </c>
      <c r="BC23" s="317">
        <v>4636</v>
      </c>
      <c r="BD23" s="317">
        <v>4993</v>
      </c>
      <c r="BE23" s="317">
        <v>7133</v>
      </c>
      <c r="BF23" s="91">
        <f t="shared" si="64"/>
        <v>59455</v>
      </c>
      <c r="BG23" s="93">
        <f t="shared" si="65"/>
        <v>0.20123244772199222</v>
      </c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54"/>
      <c r="BV23" s="91"/>
      <c r="BW23" s="91"/>
      <c r="BX23" s="91"/>
      <c r="BY23" s="91"/>
      <c r="BZ23" s="91"/>
      <c r="CA23" s="91"/>
      <c r="CB23" s="91"/>
      <c r="CC23" s="91"/>
      <c r="CD23" s="91"/>
      <c r="CE23" s="91"/>
      <c r="CF23" s="91"/>
      <c r="CG23" s="91"/>
      <c r="CH23" s="91"/>
    </row>
    <row r="24" spans="1:87" hidden="1">
      <c r="A24" s="94">
        <v>3</v>
      </c>
      <c r="B24" s="1092" t="s">
        <v>58</v>
      </c>
      <c r="C24" s="1118"/>
      <c r="D24" s="313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314">
        <f t="shared" si="61"/>
        <v>0</v>
      </c>
      <c r="Q24" s="90"/>
      <c r="R24" s="313">
        <v>746</v>
      </c>
      <c r="S24" s="91">
        <v>653</v>
      </c>
      <c r="T24" s="91">
        <v>700</v>
      </c>
      <c r="U24" s="91">
        <v>0</v>
      </c>
      <c r="V24" s="91">
        <v>200</v>
      </c>
      <c r="W24" s="91">
        <v>400</v>
      </c>
      <c r="X24" s="91">
        <v>900</v>
      </c>
      <c r="Y24" s="91">
        <v>900</v>
      </c>
      <c r="Z24" s="91">
        <v>900</v>
      </c>
      <c r="AA24" s="91">
        <v>900</v>
      </c>
      <c r="AB24" s="91">
        <v>900</v>
      </c>
      <c r="AC24" s="91">
        <v>1200</v>
      </c>
      <c r="AD24" s="315">
        <f t="shared" si="62"/>
        <v>8399</v>
      </c>
      <c r="AE24" s="23"/>
      <c r="AF24" s="316">
        <v>1800</v>
      </c>
      <c r="AG24" s="91">
        <v>1200</v>
      </c>
      <c r="AH24" s="91">
        <v>230</v>
      </c>
      <c r="AI24" s="91">
        <v>472</v>
      </c>
      <c r="AJ24" s="91">
        <v>1495</v>
      </c>
      <c r="AK24" s="91">
        <v>1200</v>
      </c>
      <c r="AL24" s="91">
        <v>1500</v>
      </c>
      <c r="AM24" s="91">
        <v>1500</v>
      </c>
      <c r="AN24" s="91">
        <v>1500</v>
      </c>
      <c r="AO24" s="91">
        <v>1500</v>
      </c>
      <c r="AP24" s="91">
        <v>1650</v>
      </c>
      <c r="AQ24" s="91">
        <v>2400</v>
      </c>
      <c r="AR24" s="92">
        <f t="shared" si="63"/>
        <v>16447</v>
      </c>
      <c r="AS24" s="23"/>
      <c r="AT24" s="91">
        <v>2438</v>
      </c>
      <c r="AU24" s="91">
        <v>1501</v>
      </c>
      <c r="AV24" s="91">
        <v>1566</v>
      </c>
      <c r="AW24" s="91">
        <v>2127</v>
      </c>
      <c r="AX24" s="317">
        <v>1928</v>
      </c>
      <c r="AY24" s="317">
        <v>1928</v>
      </c>
      <c r="AZ24" s="317">
        <v>1840</v>
      </c>
      <c r="BA24" s="317">
        <v>1840</v>
      </c>
      <c r="BB24" s="317">
        <v>1928</v>
      </c>
      <c r="BC24" s="317">
        <v>2278</v>
      </c>
      <c r="BD24" s="317">
        <v>2454</v>
      </c>
      <c r="BE24" s="317">
        <v>3505</v>
      </c>
      <c r="BF24" s="91">
        <f t="shared" si="64"/>
        <v>25333</v>
      </c>
      <c r="BG24" s="93">
        <f t="shared" si="65"/>
        <v>0.54028090229221126</v>
      </c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54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1"/>
      <c r="CG24" s="91"/>
      <c r="CH24" s="91"/>
    </row>
    <row r="25" spans="1:87" hidden="1">
      <c r="A25" s="94">
        <v>4</v>
      </c>
      <c r="B25" s="1092" t="s">
        <v>59</v>
      </c>
      <c r="C25" s="1118"/>
      <c r="D25" s="313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314">
        <f t="shared" si="61"/>
        <v>0</v>
      </c>
      <c r="Q25" s="90"/>
      <c r="R25" s="313">
        <v>1455</v>
      </c>
      <c r="S25" s="91">
        <f>2036</f>
        <v>2036</v>
      </c>
      <c r="T25" s="91">
        <f>2182/2</f>
        <v>1091</v>
      </c>
      <c r="U25" s="91">
        <v>0</v>
      </c>
      <c r="V25" s="91">
        <v>200</v>
      </c>
      <c r="W25" s="91">
        <v>900</v>
      </c>
      <c r="X25" s="91">
        <v>1600</v>
      </c>
      <c r="Y25" s="91">
        <v>1600</v>
      </c>
      <c r="Z25" s="91">
        <v>1600</v>
      </c>
      <c r="AA25" s="91">
        <v>1600</v>
      </c>
      <c r="AB25" s="91">
        <v>2200</v>
      </c>
      <c r="AC25" s="91">
        <v>2500</v>
      </c>
      <c r="AD25" s="315">
        <f t="shared" si="62"/>
        <v>16782</v>
      </c>
      <c r="AE25" s="23"/>
      <c r="AF25" s="316">
        <v>2200</v>
      </c>
      <c r="AG25" s="91">
        <v>1500</v>
      </c>
      <c r="AH25" s="91">
        <v>121</v>
      </c>
      <c r="AI25" s="91">
        <v>565</v>
      </c>
      <c r="AJ25" s="91">
        <v>1514</v>
      </c>
      <c r="AK25" s="91">
        <v>1760</v>
      </c>
      <c r="AL25" s="91">
        <v>1800</v>
      </c>
      <c r="AM25" s="91">
        <v>2200</v>
      </c>
      <c r="AN25" s="91">
        <v>2200</v>
      </c>
      <c r="AO25" s="91">
        <v>2200</v>
      </c>
      <c r="AP25" s="91">
        <v>2420</v>
      </c>
      <c r="AQ25" s="91">
        <v>3520</v>
      </c>
      <c r="AR25" s="92">
        <f t="shared" si="63"/>
        <v>22000</v>
      </c>
      <c r="AS25" s="23"/>
      <c r="AT25" s="91">
        <v>1529</v>
      </c>
      <c r="AU25" s="91">
        <v>1516</v>
      </c>
      <c r="AV25" s="91">
        <v>1586</v>
      </c>
      <c r="AW25" s="91">
        <v>1979</v>
      </c>
      <c r="AX25" s="317">
        <v>1283</v>
      </c>
      <c r="AY25" s="317">
        <v>1283</v>
      </c>
      <c r="AZ25" s="317">
        <v>1224</v>
      </c>
      <c r="BA25" s="317">
        <v>1224</v>
      </c>
      <c r="BB25" s="317">
        <v>1283</v>
      </c>
      <c r="BC25" s="317">
        <v>1516</v>
      </c>
      <c r="BD25" s="317">
        <v>1632</v>
      </c>
      <c r="BE25" s="317">
        <v>2332</v>
      </c>
      <c r="BF25" s="91">
        <f t="shared" si="64"/>
        <v>18387</v>
      </c>
      <c r="BG25" s="93">
        <f t="shared" si="65"/>
        <v>-0.16422727272727278</v>
      </c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54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</row>
    <row r="26" spans="1:87" hidden="1">
      <c r="A26" s="94">
        <v>5</v>
      </c>
      <c r="B26" s="1092" t="s">
        <v>60</v>
      </c>
      <c r="C26" s="1118"/>
      <c r="D26" s="313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314">
        <f t="shared" si="61"/>
        <v>0</v>
      </c>
      <c r="Q26" s="90"/>
      <c r="R26" s="313">
        <v>1353</v>
      </c>
      <c r="S26" s="91">
        <v>1184</v>
      </c>
      <c r="T26" s="91">
        <v>1268</v>
      </c>
      <c r="U26" s="91">
        <f t="shared" ref="U26:V26" si="66">10*U3</f>
        <v>10</v>
      </c>
      <c r="V26" s="91">
        <f t="shared" si="66"/>
        <v>120</v>
      </c>
      <c r="W26" s="91">
        <v>600</v>
      </c>
      <c r="X26" s="91">
        <v>1600</v>
      </c>
      <c r="Y26" s="91">
        <v>1600</v>
      </c>
      <c r="Z26" s="91">
        <v>1600</v>
      </c>
      <c r="AA26" s="91">
        <v>1600</v>
      </c>
      <c r="AB26" s="91">
        <v>1600</v>
      </c>
      <c r="AC26" s="91">
        <v>2200</v>
      </c>
      <c r="AD26" s="315">
        <f t="shared" si="62"/>
        <v>14735</v>
      </c>
      <c r="AE26" s="23"/>
      <c r="AF26" s="316">
        <v>1800</v>
      </c>
      <c r="AG26" s="91">
        <v>1200</v>
      </c>
      <c r="AH26" s="91">
        <v>181</v>
      </c>
      <c r="AI26" s="91">
        <v>628</v>
      </c>
      <c r="AJ26" s="91">
        <v>1169</v>
      </c>
      <c r="AK26" s="91">
        <v>960</v>
      </c>
      <c r="AL26" s="91">
        <v>1500</v>
      </c>
      <c r="AM26" s="91">
        <v>1200</v>
      </c>
      <c r="AN26" s="91">
        <v>1200</v>
      </c>
      <c r="AO26" s="91">
        <v>1200</v>
      </c>
      <c r="AP26" s="91">
        <v>1320</v>
      </c>
      <c r="AQ26" s="91">
        <v>1920</v>
      </c>
      <c r="AR26" s="92">
        <f t="shared" si="63"/>
        <v>14278</v>
      </c>
      <c r="AS26" s="23"/>
      <c r="AT26" s="91">
        <v>1496</v>
      </c>
      <c r="AU26" s="91">
        <v>1200</v>
      </c>
      <c r="AV26" s="91">
        <v>1227</v>
      </c>
      <c r="AW26" s="91">
        <v>1655</v>
      </c>
      <c r="AX26" s="317">
        <v>1141</v>
      </c>
      <c r="AY26" s="317">
        <v>1141</v>
      </c>
      <c r="AZ26" s="317">
        <v>1089</v>
      </c>
      <c r="BA26" s="317">
        <v>1089</v>
      </c>
      <c r="BB26" s="317">
        <v>1141</v>
      </c>
      <c r="BC26" s="317">
        <v>1349</v>
      </c>
      <c r="BD26" s="317">
        <v>1453</v>
      </c>
      <c r="BE26" s="317">
        <v>2075</v>
      </c>
      <c r="BF26" s="91">
        <f t="shared" si="64"/>
        <v>16056</v>
      </c>
      <c r="BG26" s="93">
        <f t="shared" si="65"/>
        <v>0.1245272447121446</v>
      </c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54"/>
      <c r="BV26" s="91"/>
      <c r="BW26" s="91"/>
      <c r="BX26" s="91"/>
      <c r="BY26" s="91"/>
      <c r="BZ26" s="91"/>
      <c r="CA26" s="91"/>
      <c r="CB26" s="91"/>
      <c r="CC26" s="91"/>
      <c r="CD26" s="91"/>
      <c r="CE26" s="91"/>
      <c r="CF26" s="91"/>
      <c r="CG26" s="91"/>
      <c r="CH26" s="91"/>
    </row>
    <row r="27" spans="1:87" hidden="1">
      <c r="A27" s="94">
        <v>6</v>
      </c>
      <c r="B27" s="1092" t="s">
        <v>61</v>
      </c>
      <c r="C27" s="1118"/>
      <c r="D27" s="313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314">
        <f t="shared" si="61"/>
        <v>0</v>
      </c>
      <c r="Q27" s="90"/>
      <c r="R27" s="313">
        <v>1455</v>
      </c>
      <c r="S27" s="91">
        <v>1273</v>
      </c>
      <c r="T27" s="91">
        <v>1364</v>
      </c>
      <c r="U27" s="91">
        <v>0</v>
      </c>
      <c r="V27" s="91">
        <v>200</v>
      </c>
      <c r="W27" s="91">
        <v>800</v>
      </c>
      <c r="X27" s="91">
        <v>1600</v>
      </c>
      <c r="Y27" s="91">
        <v>1600</v>
      </c>
      <c r="Z27" s="91">
        <v>1600</v>
      </c>
      <c r="AA27" s="91">
        <v>1600</v>
      </c>
      <c r="AB27" s="91">
        <v>1800</v>
      </c>
      <c r="AC27" s="91">
        <v>2400</v>
      </c>
      <c r="AD27" s="315">
        <f t="shared" si="62"/>
        <v>15692</v>
      </c>
      <c r="AE27" s="23"/>
      <c r="AF27" s="316">
        <v>1500</v>
      </c>
      <c r="AG27" s="91">
        <v>1200</v>
      </c>
      <c r="AH27" s="91">
        <v>127</v>
      </c>
      <c r="AI27" s="91">
        <v>426</v>
      </c>
      <c r="AJ27" s="91">
        <v>1063</v>
      </c>
      <c r="AK27" s="91">
        <v>960</v>
      </c>
      <c r="AL27" s="91">
        <v>1500</v>
      </c>
      <c r="AM27" s="91">
        <v>1200</v>
      </c>
      <c r="AN27" s="91">
        <v>1200</v>
      </c>
      <c r="AO27" s="91">
        <v>1200</v>
      </c>
      <c r="AP27" s="91">
        <v>1320</v>
      </c>
      <c r="AQ27" s="91">
        <v>1920</v>
      </c>
      <c r="AR27" s="92">
        <f t="shared" si="63"/>
        <v>13616</v>
      </c>
      <c r="AS27" s="23"/>
      <c r="AT27" s="91">
        <v>1222</v>
      </c>
      <c r="AU27" s="91">
        <v>1200</v>
      </c>
      <c r="AV27" s="91">
        <v>1117</v>
      </c>
      <c r="AW27" s="91">
        <v>1463</v>
      </c>
      <c r="AX27" s="317">
        <v>1087</v>
      </c>
      <c r="AY27" s="317">
        <v>1087</v>
      </c>
      <c r="AZ27" s="317">
        <v>1038</v>
      </c>
      <c r="BA27" s="317">
        <v>1038</v>
      </c>
      <c r="BB27" s="317">
        <v>1087</v>
      </c>
      <c r="BC27" s="317">
        <v>1285</v>
      </c>
      <c r="BD27" s="317">
        <v>1384</v>
      </c>
      <c r="BE27" s="317">
        <v>1977</v>
      </c>
      <c r="BF27" s="91">
        <f t="shared" si="64"/>
        <v>14985</v>
      </c>
      <c r="BG27" s="93">
        <f t="shared" si="65"/>
        <v>0.10054347826086962</v>
      </c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54"/>
      <c r="BV27" s="91"/>
      <c r="BW27" s="91"/>
      <c r="BX27" s="91"/>
      <c r="BY27" s="91"/>
      <c r="BZ27" s="91"/>
      <c r="CA27" s="91"/>
      <c r="CB27" s="91"/>
      <c r="CC27" s="91"/>
      <c r="CD27" s="91"/>
      <c r="CE27" s="91"/>
      <c r="CF27" s="91"/>
      <c r="CG27" s="91"/>
      <c r="CH27" s="91"/>
    </row>
    <row r="28" spans="1:87" hidden="1">
      <c r="A28" s="94">
        <v>7</v>
      </c>
      <c r="B28" s="1092" t="s">
        <v>62</v>
      </c>
      <c r="C28" s="1118"/>
      <c r="D28" s="313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314">
        <f t="shared" si="61"/>
        <v>0</v>
      </c>
      <c r="Q28" s="90"/>
      <c r="R28" s="313">
        <v>2000</v>
      </c>
      <c r="S28" s="91">
        <f>2182</f>
        <v>2182</v>
      </c>
      <c r="T28" s="91">
        <f>2455/2</f>
        <v>1227.5</v>
      </c>
      <c r="U28" s="91">
        <f>4*U3</f>
        <v>4</v>
      </c>
      <c r="V28" s="91">
        <v>200</v>
      </c>
      <c r="W28" s="91">
        <v>700</v>
      </c>
      <c r="X28" s="91">
        <v>1600</v>
      </c>
      <c r="Y28" s="91">
        <v>1600</v>
      </c>
      <c r="Z28" s="91">
        <v>1600</v>
      </c>
      <c r="AA28" s="91">
        <v>1600</v>
      </c>
      <c r="AB28" s="91">
        <v>2500</v>
      </c>
      <c r="AC28" s="91">
        <v>3200</v>
      </c>
      <c r="AD28" s="315">
        <f t="shared" si="62"/>
        <v>18413.5</v>
      </c>
      <c r="AE28" s="23"/>
      <c r="AF28" s="316">
        <v>2600</v>
      </c>
      <c r="AG28" s="91">
        <v>1000</v>
      </c>
      <c r="AH28" s="91">
        <v>195</v>
      </c>
      <c r="AI28" s="91">
        <v>844</v>
      </c>
      <c r="AJ28" s="91">
        <v>1973</v>
      </c>
      <c r="AK28" s="91">
        <v>1840</v>
      </c>
      <c r="AL28" s="91">
        <v>2000</v>
      </c>
      <c r="AM28" s="91">
        <v>2300</v>
      </c>
      <c r="AN28" s="91">
        <v>2300</v>
      </c>
      <c r="AO28" s="91">
        <v>2300</v>
      </c>
      <c r="AP28" s="91">
        <v>2530</v>
      </c>
      <c r="AQ28" s="91">
        <v>3680</v>
      </c>
      <c r="AR28" s="92">
        <f t="shared" si="63"/>
        <v>23562</v>
      </c>
      <c r="AS28" s="23"/>
      <c r="AT28" s="91">
        <v>1888</v>
      </c>
      <c r="AU28" s="91">
        <v>1414</v>
      </c>
      <c r="AV28" s="91">
        <v>2073</v>
      </c>
      <c r="AW28" s="91">
        <v>2338</v>
      </c>
      <c r="AX28" s="317">
        <v>1857</v>
      </c>
      <c r="AY28" s="317">
        <v>1857</v>
      </c>
      <c r="AZ28" s="317">
        <v>1772</v>
      </c>
      <c r="BA28" s="317">
        <v>1772</v>
      </c>
      <c r="BB28" s="317">
        <v>1857</v>
      </c>
      <c r="BC28" s="317">
        <v>2194</v>
      </c>
      <c r="BD28" s="317">
        <v>2363</v>
      </c>
      <c r="BE28" s="317">
        <v>3376</v>
      </c>
      <c r="BF28" s="91">
        <f t="shared" si="64"/>
        <v>24761</v>
      </c>
      <c r="BG28" s="93">
        <f t="shared" si="65"/>
        <v>5.0887021475256811E-2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54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  <c r="CH28" s="91"/>
    </row>
    <row r="29" spans="1:87" hidden="1">
      <c r="A29" s="94">
        <v>9</v>
      </c>
      <c r="B29" s="1092" t="s">
        <v>63</v>
      </c>
      <c r="C29" s="1118"/>
      <c r="D29" s="313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314">
        <f t="shared" si="61"/>
        <v>0</v>
      </c>
      <c r="Q29" s="90"/>
      <c r="R29" s="313">
        <v>1636</v>
      </c>
      <c r="S29" s="91">
        <v>1636</v>
      </c>
      <c r="T29" s="91">
        <f t="shared" ref="T29:T30" si="67">1818/2</f>
        <v>909</v>
      </c>
      <c r="U29" s="91">
        <v>0</v>
      </c>
      <c r="V29" s="91">
        <v>200</v>
      </c>
      <c r="W29" s="91">
        <v>300</v>
      </c>
      <c r="X29" s="91">
        <v>1000</v>
      </c>
      <c r="Y29" s="91">
        <v>1200</v>
      </c>
      <c r="Z29" s="91">
        <v>1600</v>
      </c>
      <c r="AA29" s="91">
        <v>1600</v>
      </c>
      <c r="AB29" s="91">
        <v>1800</v>
      </c>
      <c r="AC29" s="91">
        <v>2300</v>
      </c>
      <c r="AD29" s="315">
        <f t="shared" si="62"/>
        <v>14181</v>
      </c>
      <c r="AE29" s="23"/>
      <c r="AF29" s="316">
        <v>1500</v>
      </c>
      <c r="AG29" s="91">
        <v>1000</v>
      </c>
      <c r="AH29" s="91">
        <v>126</v>
      </c>
      <c r="AI29" s="91">
        <v>387</v>
      </c>
      <c r="AJ29" s="91">
        <v>895</v>
      </c>
      <c r="AK29" s="91">
        <v>800</v>
      </c>
      <c r="AL29" s="91">
        <v>1500</v>
      </c>
      <c r="AM29" s="91">
        <v>1000</v>
      </c>
      <c r="AN29" s="91">
        <v>1000</v>
      </c>
      <c r="AO29" s="91">
        <v>1000</v>
      </c>
      <c r="AP29" s="91">
        <v>1100</v>
      </c>
      <c r="AQ29" s="91">
        <v>1600</v>
      </c>
      <c r="AR29" s="92">
        <f t="shared" si="63"/>
        <v>11908</v>
      </c>
      <c r="AS29" s="23"/>
      <c r="AT29" s="91">
        <v>1182</v>
      </c>
      <c r="AU29" s="91">
        <v>1200</v>
      </c>
      <c r="AV29" s="91">
        <v>932</v>
      </c>
      <c r="AW29" s="91">
        <v>1020</v>
      </c>
      <c r="AX29" s="317">
        <v>0</v>
      </c>
      <c r="AY29" s="317">
        <v>0</v>
      </c>
      <c r="AZ29" s="317">
        <v>0</v>
      </c>
      <c r="BA29" s="317">
        <v>0</v>
      </c>
      <c r="BB29" s="317">
        <v>0</v>
      </c>
      <c r="BC29" s="317">
        <v>0</v>
      </c>
      <c r="BD29" s="317">
        <v>0</v>
      </c>
      <c r="BE29" s="317">
        <v>0</v>
      </c>
      <c r="BF29" s="91">
        <f t="shared" si="64"/>
        <v>4334</v>
      </c>
      <c r="BG29" s="93">
        <f t="shared" si="65"/>
        <v>-0.63604299630500505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54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  <c r="CH29" s="91"/>
    </row>
    <row r="30" spans="1:87" hidden="1">
      <c r="A30" s="94">
        <v>10</v>
      </c>
      <c r="B30" s="1092" t="s">
        <v>64</v>
      </c>
      <c r="C30" s="1118"/>
      <c r="D30" s="313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314">
        <f t="shared" si="61"/>
        <v>0</v>
      </c>
      <c r="Q30" s="90"/>
      <c r="R30" s="313">
        <v>1636</v>
      </c>
      <c r="S30" s="91">
        <v>1636</v>
      </c>
      <c r="T30" s="91">
        <f t="shared" si="67"/>
        <v>909</v>
      </c>
      <c r="U30" s="91">
        <f>0.5*U3</f>
        <v>0.5</v>
      </c>
      <c r="V30" s="91">
        <v>200</v>
      </c>
      <c r="W30" s="91">
        <v>300</v>
      </c>
      <c r="X30" s="91">
        <v>1000</v>
      </c>
      <c r="Y30" s="91">
        <v>1200</v>
      </c>
      <c r="Z30" s="91">
        <v>1600</v>
      </c>
      <c r="AA30" s="91">
        <v>1600</v>
      </c>
      <c r="AB30" s="91">
        <v>1800</v>
      </c>
      <c r="AC30" s="91">
        <v>2300</v>
      </c>
      <c r="AD30" s="315">
        <f t="shared" si="62"/>
        <v>14181.5</v>
      </c>
      <c r="AE30" s="23"/>
      <c r="AF30" s="316">
        <v>1500</v>
      </c>
      <c r="AG30" s="91">
        <v>1000</v>
      </c>
      <c r="AH30" s="91">
        <v>764</v>
      </c>
      <c r="AI30" s="91">
        <v>561</v>
      </c>
      <c r="AJ30" s="91">
        <v>1353</v>
      </c>
      <c r="AK30" s="91">
        <v>960</v>
      </c>
      <c r="AL30" s="91">
        <v>1500</v>
      </c>
      <c r="AM30" s="91">
        <v>1200</v>
      </c>
      <c r="AN30" s="91">
        <v>1200</v>
      </c>
      <c r="AO30" s="91">
        <v>1200</v>
      </c>
      <c r="AP30" s="91">
        <v>1320</v>
      </c>
      <c r="AQ30" s="91">
        <v>1920</v>
      </c>
      <c r="AR30" s="92">
        <f t="shared" si="63"/>
        <v>14478</v>
      </c>
      <c r="AS30" s="23"/>
      <c r="AT30" s="91">
        <v>1285</v>
      </c>
      <c r="AU30" s="91">
        <v>957</v>
      </c>
      <c r="AV30" s="91">
        <v>1426</v>
      </c>
      <c r="AW30" s="91">
        <v>1595</v>
      </c>
      <c r="AX30" s="317">
        <v>1767</v>
      </c>
      <c r="AY30" s="317">
        <v>1767</v>
      </c>
      <c r="AZ30" s="317">
        <v>1686</v>
      </c>
      <c r="BA30" s="317">
        <v>1686</v>
      </c>
      <c r="BB30" s="317">
        <v>1767</v>
      </c>
      <c r="BC30" s="317">
        <v>2088</v>
      </c>
      <c r="BD30" s="317">
        <v>2248</v>
      </c>
      <c r="BE30" s="317">
        <v>3212</v>
      </c>
      <c r="BF30" s="91">
        <f t="shared" si="64"/>
        <v>21484</v>
      </c>
      <c r="BG30" s="93">
        <f t="shared" si="65"/>
        <v>0.48390661693604087</v>
      </c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54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</row>
    <row r="31" spans="1:87" hidden="1">
      <c r="A31" s="94">
        <v>10</v>
      </c>
      <c r="B31" s="1092" t="s">
        <v>65</v>
      </c>
      <c r="C31" s="1118"/>
      <c r="D31" s="313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314">
        <f t="shared" si="61"/>
        <v>0</v>
      </c>
      <c r="Q31" s="90"/>
      <c r="R31" s="313">
        <v>0</v>
      </c>
      <c r="S31" s="91">
        <v>0</v>
      </c>
      <c r="T31" s="91">
        <v>0</v>
      </c>
      <c r="U31" s="91">
        <v>0</v>
      </c>
      <c r="V31" s="91">
        <v>3500</v>
      </c>
      <c r="W31" s="91">
        <v>350</v>
      </c>
      <c r="X31" s="91">
        <v>800</v>
      </c>
      <c r="Y31" s="91">
        <v>1000</v>
      </c>
      <c r="Z31" s="91">
        <v>1600</v>
      </c>
      <c r="AA31" s="91">
        <v>2000</v>
      </c>
      <c r="AB31" s="91">
        <v>2400</v>
      </c>
      <c r="AC31" s="91">
        <v>3000</v>
      </c>
      <c r="AD31" s="315">
        <f t="shared" si="62"/>
        <v>14650</v>
      </c>
      <c r="AE31" s="23"/>
      <c r="AF31" s="316">
        <v>2500</v>
      </c>
      <c r="AG31" s="91">
        <v>1000</v>
      </c>
      <c r="AH31" s="91">
        <f>2500*0.15</f>
        <v>375</v>
      </c>
      <c r="AI31" s="91">
        <v>787</v>
      </c>
      <c r="AJ31" s="91">
        <v>1569</v>
      </c>
      <c r="AK31" s="91">
        <v>2000</v>
      </c>
      <c r="AL31" s="91">
        <v>2500</v>
      </c>
      <c r="AM31" s="91">
        <v>2500</v>
      </c>
      <c r="AN31" s="91">
        <v>2500</v>
      </c>
      <c r="AO31" s="91">
        <v>2500</v>
      </c>
      <c r="AP31" s="91">
        <v>2750</v>
      </c>
      <c r="AQ31" s="91">
        <v>4000</v>
      </c>
      <c r="AR31" s="92">
        <f t="shared" si="63"/>
        <v>24981</v>
      </c>
      <c r="AS31" s="23"/>
      <c r="AT31" s="91">
        <v>1806</v>
      </c>
      <c r="AU31" s="91">
        <v>2046</v>
      </c>
      <c r="AV31" s="91">
        <v>1646</v>
      </c>
      <c r="AW31" s="91">
        <v>1902</v>
      </c>
      <c r="AX31" s="317">
        <v>1545</v>
      </c>
      <c r="AY31" s="317">
        <v>1545</v>
      </c>
      <c r="AZ31" s="317">
        <v>1475</v>
      </c>
      <c r="BA31" s="317">
        <v>1475</v>
      </c>
      <c r="BB31" s="317">
        <v>1545</v>
      </c>
      <c r="BC31" s="317">
        <v>1826</v>
      </c>
      <c r="BD31" s="317">
        <v>0</v>
      </c>
      <c r="BE31" s="317">
        <v>0</v>
      </c>
      <c r="BF31" s="91">
        <f t="shared" si="64"/>
        <v>16811</v>
      </c>
      <c r="BG31" s="93">
        <f t="shared" si="65"/>
        <v>-0.32704855690324641</v>
      </c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54"/>
      <c r="BV31" s="91"/>
      <c r="BW31" s="91"/>
      <c r="BX31" s="91"/>
      <c r="BY31" s="91"/>
      <c r="BZ31" s="91"/>
      <c r="CA31" s="91"/>
      <c r="CB31" s="91"/>
      <c r="CC31" s="91"/>
      <c r="CD31" s="91"/>
      <c r="CE31" s="91"/>
      <c r="CF31" s="91"/>
      <c r="CG31" s="91"/>
      <c r="CH31" s="91"/>
    </row>
    <row r="32" spans="1:87" hidden="1">
      <c r="A32" s="94">
        <v>11</v>
      </c>
      <c r="B32" s="210" t="s">
        <v>66</v>
      </c>
      <c r="C32" s="211"/>
      <c r="D32" s="313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314">
        <f t="shared" si="61"/>
        <v>0</v>
      </c>
      <c r="Q32" s="90"/>
      <c r="R32" s="313">
        <v>0</v>
      </c>
      <c r="S32" s="91">
        <v>0</v>
      </c>
      <c r="T32" s="91">
        <v>0</v>
      </c>
      <c r="U32" s="91">
        <v>0</v>
      </c>
      <c r="V32" s="91">
        <v>4000</v>
      </c>
      <c r="W32" s="91">
        <v>100</v>
      </c>
      <c r="X32" s="91">
        <v>800</v>
      </c>
      <c r="Y32" s="91">
        <v>800</v>
      </c>
      <c r="Z32" s="91">
        <v>1200</v>
      </c>
      <c r="AA32" s="91">
        <v>1200</v>
      </c>
      <c r="AB32" s="91">
        <v>1800</v>
      </c>
      <c r="AC32" s="91">
        <v>2300</v>
      </c>
      <c r="AD32" s="315">
        <f t="shared" si="62"/>
        <v>12200</v>
      </c>
      <c r="AE32" s="23"/>
      <c r="AF32" s="316">
        <v>1500</v>
      </c>
      <c r="AG32" s="91">
        <v>1000</v>
      </c>
      <c r="AH32" s="91">
        <f t="shared" ref="AH32:AH33" si="68">1500*0.15</f>
        <v>225</v>
      </c>
      <c r="AI32" s="91">
        <v>324</v>
      </c>
      <c r="AJ32" s="91">
        <v>869</v>
      </c>
      <c r="AK32" s="91">
        <v>800</v>
      </c>
      <c r="AL32" s="91">
        <v>1500</v>
      </c>
      <c r="AM32" s="91">
        <v>1000</v>
      </c>
      <c r="AN32" s="91">
        <v>1000</v>
      </c>
      <c r="AO32" s="91">
        <v>1000</v>
      </c>
      <c r="AP32" s="91">
        <v>1100</v>
      </c>
      <c r="AQ32" s="91">
        <v>1600</v>
      </c>
      <c r="AR32" s="92">
        <f t="shared" si="63"/>
        <v>11918</v>
      </c>
      <c r="AS32" s="23"/>
      <c r="AT32" s="91">
        <v>1191</v>
      </c>
      <c r="AU32" s="91">
        <v>1191</v>
      </c>
      <c r="AV32" s="91">
        <v>1191</v>
      </c>
      <c r="AW32" s="91">
        <v>1191</v>
      </c>
      <c r="AX32" s="317">
        <v>876</v>
      </c>
      <c r="AY32" s="317">
        <v>876</v>
      </c>
      <c r="AZ32" s="317">
        <v>836</v>
      </c>
      <c r="BA32" s="317">
        <v>836</v>
      </c>
      <c r="BB32" s="317">
        <v>876</v>
      </c>
      <c r="BC32" s="317">
        <v>1035</v>
      </c>
      <c r="BD32" s="317">
        <v>0</v>
      </c>
      <c r="BE32" s="317">
        <v>0</v>
      </c>
      <c r="BF32" s="91">
        <f t="shared" si="64"/>
        <v>10099</v>
      </c>
      <c r="BG32" s="93">
        <f t="shared" si="65"/>
        <v>-0.15262627957711028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54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</row>
    <row r="33" spans="1:87" hidden="1">
      <c r="A33" s="94">
        <v>12</v>
      </c>
      <c r="B33" s="210" t="s">
        <v>67</v>
      </c>
      <c r="C33" s="211"/>
      <c r="D33" s="313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314">
        <f t="shared" si="61"/>
        <v>0</v>
      </c>
      <c r="Q33" s="90"/>
      <c r="R33" s="313">
        <v>0</v>
      </c>
      <c r="S33" s="91">
        <v>0</v>
      </c>
      <c r="T33" s="91">
        <v>0</v>
      </c>
      <c r="U33" s="91">
        <v>0</v>
      </c>
      <c r="V33" s="91">
        <v>4000</v>
      </c>
      <c r="W33" s="91">
        <v>0</v>
      </c>
      <c r="X33" s="91">
        <v>800</v>
      </c>
      <c r="Y33" s="91">
        <v>1000</v>
      </c>
      <c r="Z33" s="91">
        <v>1200</v>
      </c>
      <c r="AA33" s="91">
        <v>1200</v>
      </c>
      <c r="AB33" s="91">
        <v>1800</v>
      </c>
      <c r="AC33" s="91">
        <v>2300</v>
      </c>
      <c r="AD33" s="315">
        <f t="shared" si="62"/>
        <v>12300</v>
      </c>
      <c r="AE33" s="23"/>
      <c r="AF33" s="316">
        <v>1500</v>
      </c>
      <c r="AG33" s="91">
        <v>1200</v>
      </c>
      <c r="AH33" s="91">
        <f t="shared" si="68"/>
        <v>225</v>
      </c>
      <c r="AI33" s="91">
        <v>332</v>
      </c>
      <c r="AJ33" s="91">
        <v>945</v>
      </c>
      <c r="AK33" s="91">
        <v>960</v>
      </c>
      <c r="AL33" s="91">
        <v>1500</v>
      </c>
      <c r="AM33" s="91">
        <v>1200</v>
      </c>
      <c r="AN33" s="91">
        <v>1200</v>
      </c>
      <c r="AO33" s="91">
        <v>1200</v>
      </c>
      <c r="AP33" s="91">
        <v>1320</v>
      </c>
      <c r="AQ33" s="91">
        <v>1920</v>
      </c>
      <c r="AR33" s="92">
        <f t="shared" si="63"/>
        <v>13502</v>
      </c>
      <c r="AS33" s="23"/>
      <c r="AT33" s="91">
        <v>1254</v>
      </c>
      <c r="AU33" s="91">
        <v>1254</v>
      </c>
      <c r="AV33" s="91">
        <v>1254</v>
      </c>
      <c r="AW33" s="91">
        <v>1254</v>
      </c>
      <c r="AX33" s="317">
        <v>1236</v>
      </c>
      <c r="AY33" s="317">
        <v>1236</v>
      </c>
      <c r="AZ33" s="317">
        <v>0</v>
      </c>
      <c r="BA33" s="317">
        <v>0</v>
      </c>
      <c r="BB33" s="317">
        <v>0</v>
      </c>
      <c r="BC33" s="317">
        <v>0</v>
      </c>
      <c r="BD33" s="317">
        <v>0</v>
      </c>
      <c r="BE33" s="317">
        <v>0</v>
      </c>
      <c r="BF33" s="91">
        <f t="shared" si="64"/>
        <v>7488</v>
      </c>
      <c r="BG33" s="93">
        <f t="shared" si="65"/>
        <v>-0.44541549400088876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54"/>
      <c r="BV33" s="91"/>
      <c r="BW33" s="91"/>
      <c r="BX33" s="91"/>
      <c r="BY33" s="91"/>
      <c r="BZ33" s="91"/>
      <c r="CA33" s="91"/>
      <c r="CB33" s="91"/>
      <c r="CC33" s="91"/>
      <c r="CD33" s="91"/>
      <c r="CE33" s="91"/>
      <c r="CF33" s="91"/>
      <c r="CG33" s="91"/>
      <c r="CH33" s="91"/>
    </row>
    <row r="34" spans="1:87" hidden="1">
      <c r="A34" s="94">
        <v>13</v>
      </c>
      <c r="B34" s="210" t="s">
        <v>68</v>
      </c>
      <c r="C34" s="212"/>
      <c r="D34" s="313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si="61"/>
        <v>0</v>
      </c>
      <c r="Q34" s="90"/>
      <c r="R34" s="313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2000</v>
      </c>
      <c r="Y34" s="91">
        <v>800</v>
      </c>
      <c r="Z34" s="91">
        <v>800</v>
      </c>
      <c r="AA34" s="91">
        <v>1200</v>
      </c>
      <c r="AB34" s="91">
        <v>1800</v>
      </c>
      <c r="AC34" s="91">
        <v>2300</v>
      </c>
      <c r="AD34" s="315">
        <f t="shared" si="62"/>
        <v>8900</v>
      </c>
      <c r="AE34" s="23"/>
      <c r="AF34" s="316">
        <v>1800</v>
      </c>
      <c r="AG34" s="91">
        <v>1200</v>
      </c>
      <c r="AH34" s="91">
        <f>1800*0.15</f>
        <v>270</v>
      </c>
      <c r="AI34" s="91">
        <v>896</v>
      </c>
      <c r="AJ34" s="91">
        <v>1339</v>
      </c>
      <c r="AK34" s="91">
        <v>1600</v>
      </c>
      <c r="AL34" s="91">
        <v>1800</v>
      </c>
      <c r="AM34" s="91">
        <v>2000</v>
      </c>
      <c r="AN34" s="91">
        <v>2000</v>
      </c>
      <c r="AO34" s="91">
        <v>2000</v>
      </c>
      <c r="AP34" s="91">
        <v>2200</v>
      </c>
      <c r="AQ34" s="91">
        <v>3200</v>
      </c>
      <c r="AR34" s="92">
        <f t="shared" si="63"/>
        <v>20305</v>
      </c>
      <c r="AS34" s="23"/>
      <c r="AT34" s="91">
        <v>1980</v>
      </c>
      <c r="AU34" s="91">
        <v>1980</v>
      </c>
      <c r="AV34" s="91">
        <v>1980</v>
      </c>
      <c r="AW34" s="91">
        <v>1980</v>
      </c>
      <c r="AX34" s="317">
        <v>1409</v>
      </c>
      <c r="AY34" s="317">
        <v>1409</v>
      </c>
      <c r="AZ34" s="317">
        <v>1345</v>
      </c>
      <c r="BA34" s="317">
        <v>1345</v>
      </c>
      <c r="BB34" s="317">
        <v>1409</v>
      </c>
      <c r="BC34" s="317">
        <v>1665</v>
      </c>
      <c r="BD34" s="317">
        <v>1793</v>
      </c>
      <c r="BE34" s="317">
        <v>2562</v>
      </c>
      <c r="BF34" s="91">
        <f t="shared" si="64"/>
        <v>20857</v>
      </c>
      <c r="BG34" s="93">
        <f t="shared" si="65"/>
        <v>2.7185422309775831E-2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54"/>
      <c r="BV34" s="91"/>
      <c r="BW34" s="91"/>
      <c r="BX34" s="91"/>
      <c r="BY34" s="91"/>
      <c r="BZ34" s="91"/>
      <c r="CA34" s="91"/>
      <c r="CB34" s="91"/>
      <c r="CC34" s="91"/>
      <c r="CD34" s="91"/>
      <c r="CE34" s="91"/>
      <c r="CF34" s="91"/>
      <c r="CG34" s="91"/>
      <c r="CH34" s="91"/>
    </row>
    <row r="35" spans="1:87" hidden="1">
      <c r="A35" s="94">
        <v>14</v>
      </c>
      <c r="B35" s="210" t="s">
        <v>69</v>
      </c>
      <c r="C35" s="212"/>
      <c r="D35" s="313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/>
      <c r="Q35" s="90"/>
      <c r="R35" s="313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2000</v>
      </c>
      <c r="Z35" s="91">
        <v>800</v>
      </c>
      <c r="AA35" s="91">
        <v>800</v>
      </c>
      <c r="AB35" s="91">
        <v>1200</v>
      </c>
      <c r="AC35" s="91">
        <v>1800</v>
      </c>
      <c r="AD35" s="315">
        <f t="shared" si="62"/>
        <v>6600</v>
      </c>
      <c r="AE35" s="23"/>
      <c r="AF35" s="316">
        <v>1500</v>
      </c>
      <c r="AG35" s="91">
        <v>1200</v>
      </c>
      <c r="AH35" s="91">
        <f>1500*0.15</f>
        <v>225</v>
      </c>
      <c r="AI35" s="91">
        <v>374</v>
      </c>
      <c r="AJ35" s="91">
        <v>990</v>
      </c>
      <c r="AK35" s="91">
        <v>960</v>
      </c>
      <c r="AL35" s="91">
        <v>1800</v>
      </c>
      <c r="AM35" s="91">
        <v>1200</v>
      </c>
      <c r="AN35" s="91">
        <v>1200</v>
      </c>
      <c r="AO35" s="91">
        <v>1200</v>
      </c>
      <c r="AP35" s="91">
        <v>1320</v>
      </c>
      <c r="AQ35" s="91">
        <v>1920</v>
      </c>
      <c r="AR35" s="92">
        <f t="shared" si="63"/>
        <v>13889</v>
      </c>
      <c r="AS35" s="23"/>
      <c r="AT35" s="91">
        <v>1518</v>
      </c>
      <c r="AU35" s="91">
        <v>1518</v>
      </c>
      <c r="AV35" s="91">
        <v>1518</v>
      </c>
      <c r="AW35" s="91">
        <v>1518</v>
      </c>
      <c r="AX35" s="317">
        <v>1276</v>
      </c>
      <c r="AY35" s="317">
        <v>1276</v>
      </c>
      <c r="AZ35" s="317">
        <v>1218</v>
      </c>
      <c r="BA35" s="317">
        <v>1218</v>
      </c>
      <c r="BB35" s="317">
        <v>1276</v>
      </c>
      <c r="BC35" s="317">
        <v>1508</v>
      </c>
      <c r="BD35" s="317">
        <v>1624</v>
      </c>
      <c r="BE35" s="317">
        <v>2320</v>
      </c>
      <c r="BF35" s="91">
        <f t="shared" si="64"/>
        <v>17788</v>
      </c>
      <c r="BG35" s="93">
        <f t="shared" si="65"/>
        <v>0.2807257541939665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54"/>
      <c r="BV35" s="91"/>
      <c r="BW35" s="91"/>
      <c r="BX35" s="91"/>
      <c r="BY35" s="91"/>
      <c r="BZ35" s="91"/>
      <c r="CA35" s="91"/>
      <c r="CB35" s="91"/>
      <c r="CC35" s="91"/>
      <c r="CD35" s="91"/>
      <c r="CE35" s="91"/>
      <c r="CF35" s="91"/>
      <c r="CG35" s="91"/>
      <c r="CH35" s="91"/>
    </row>
    <row r="36" spans="1:87" hidden="1">
      <c r="A36" s="94">
        <v>15</v>
      </c>
      <c r="B36" s="210" t="s">
        <v>70</v>
      </c>
      <c r="C36" s="212"/>
      <c r="D36" s="313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/>
      <c r="Q36" s="90"/>
      <c r="R36" s="313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2000</v>
      </c>
      <c r="AA36" s="91">
        <v>800</v>
      </c>
      <c r="AB36" s="91">
        <v>800</v>
      </c>
      <c r="AC36" s="91">
        <v>1500</v>
      </c>
      <c r="AD36" s="315">
        <f t="shared" si="62"/>
        <v>5100</v>
      </c>
      <c r="AE36" s="23"/>
      <c r="AF36" s="316">
        <v>1800</v>
      </c>
      <c r="AG36" s="91">
        <v>1200</v>
      </c>
      <c r="AH36" s="91">
        <f>1800*0.4</f>
        <v>720</v>
      </c>
      <c r="AI36" s="91">
        <v>1147</v>
      </c>
      <c r="AJ36" s="91">
        <v>1155</v>
      </c>
      <c r="AK36" s="91">
        <v>1600</v>
      </c>
      <c r="AL36" s="91">
        <v>1800</v>
      </c>
      <c r="AM36" s="91">
        <v>2000</v>
      </c>
      <c r="AN36" s="91">
        <v>2000</v>
      </c>
      <c r="AO36" s="91">
        <v>2000</v>
      </c>
      <c r="AP36" s="91">
        <v>2200</v>
      </c>
      <c r="AQ36" s="91">
        <v>3200</v>
      </c>
      <c r="AR36" s="92">
        <f t="shared" si="63"/>
        <v>20822</v>
      </c>
      <c r="AS36" s="23"/>
      <c r="AT36" s="91">
        <v>1544</v>
      </c>
      <c r="AU36" s="91">
        <v>1544</v>
      </c>
      <c r="AV36" s="91">
        <v>1544</v>
      </c>
      <c r="AW36" s="91">
        <v>1544</v>
      </c>
      <c r="AX36" s="317">
        <v>862</v>
      </c>
      <c r="AY36" s="317">
        <v>862</v>
      </c>
      <c r="AZ36" s="317">
        <v>823</v>
      </c>
      <c r="BA36" s="317">
        <v>823</v>
      </c>
      <c r="BB36" s="317">
        <v>862</v>
      </c>
      <c r="BC36" s="317">
        <v>1019</v>
      </c>
      <c r="BD36" s="317">
        <v>1098</v>
      </c>
      <c r="BE36" s="317">
        <v>1568</v>
      </c>
      <c r="BF36" s="91">
        <f t="shared" si="64"/>
        <v>14093</v>
      </c>
      <c r="BG36" s="93">
        <f t="shared" si="65"/>
        <v>-0.32316780328498707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54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1"/>
      <c r="CG36" s="91"/>
      <c r="CH36" s="91"/>
    </row>
    <row r="37" spans="1:87" hidden="1">
      <c r="A37" s="94">
        <v>16</v>
      </c>
      <c r="B37" s="216" t="s">
        <v>71</v>
      </c>
      <c r="C37" s="212"/>
      <c r="D37" s="313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/>
      <c r="Q37" s="90"/>
      <c r="R37" s="313"/>
      <c r="S37" s="91"/>
      <c r="T37" s="91"/>
      <c r="U37" s="91"/>
      <c r="V37" s="91"/>
      <c r="W37" s="91"/>
      <c r="X37" s="91"/>
      <c r="Y37" s="91"/>
      <c r="Z37" s="91"/>
      <c r="AA37" s="91">
        <v>800</v>
      </c>
      <c r="AB37" s="91">
        <v>800</v>
      </c>
      <c r="AC37" s="91">
        <v>1500</v>
      </c>
      <c r="AD37" s="315"/>
      <c r="AE37" s="23"/>
      <c r="AF37" s="316">
        <v>1500</v>
      </c>
      <c r="AG37" s="91">
        <v>1200</v>
      </c>
      <c r="AH37" s="91">
        <f>1500*0.15</f>
        <v>225</v>
      </c>
      <c r="AI37" s="91">
        <v>192</v>
      </c>
      <c r="AJ37" s="91">
        <v>663</v>
      </c>
      <c r="AK37" s="91">
        <v>800</v>
      </c>
      <c r="AL37" s="91">
        <v>1500</v>
      </c>
      <c r="AM37" s="91">
        <v>1000</v>
      </c>
      <c r="AN37" s="91">
        <v>1000</v>
      </c>
      <c r="AO37" s="91">
        <v>1000</v>
      </c>
      <c r="AP37" s="91">
        <v>1100</v>
      </c>
      <c r="AQ37" s="91">
        <v>1600</v>
      </c>
      <c r="AR37" s="92">
        <f t="shared" si="63"/>
        <v>11780</v>
      </c>
      <c r="AS37" s="23"/>
      <c r="AT37" s="91">
        <v>960</v>
      </c>
      <c r="AU37" s="91">
        <v>960</v>
      </c>
      <c r="AV37" s="91">
        <v>960</v>
      </c>
      <c r="AW37" s="91">
        <v>960</v>
      </c>
      <c r="AX37" s="317">
        <v>1414</v>
      </c>
      <c r="AY37" s="317">
        <v>1414</v>
      </c>
      <c r="AZ37" s="317">
        <v>1350</v>
      </c>
      <c r="BA37" s="317">
        <v>1350</v>
      </c>
      <c r="BB37" s="317">
        <v>1414</v>
      </c>
      <c r="BC37" s="317">
        <v>1671</v>
      </c>
      <c r="BD37" s="317">
        <v>1800</v>
      </c>
      <c r="BE37" s="317">
        <v>2571</v>
      </c>
      <c r="BF37" s="91">
        <f t="shared" si="64"/>
        <v>16824</v>
      </c>
      <c r="BG37" s="93">
        <f t="shared" si="65"/>
        <v>0.42818336162988113</v>
      </c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54"/>
      <c r="BV37" s="91"/>
      <c r="BW37" s="91"/>
      <c r="BX37" s="91"/>
      <c r="BY37" s="91"/>
      <c r="BZ37" s="91"/>
      <c r="CA37" s="91"/>
      <c r="CB37" s="91"/>
      <c r="CC37" s="91"/>
      <c r="CD37" s="91"/>
      <c r="CE37" s="91"/>
      <c r="CF37" s="91"/>
      <c r="CG37" s="91"/>
      <c r="CH37" s="91"/>
    </row>
    <row r="38" spans="1:87" hidden="1">
      <c r="A38" s="94"/>
      <c r="B38" s="210"/>
      <c r="C38" s="213"/>
      <c r="D38" s="313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/>
      <c r="Q38" s="90"/>
      <c r="R38" s="313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315"/>
      <c r="AE38" s="23"/>
      <c r="AF38" s="316">
        <v>0</v>
      </c>
      <c r="AG38" s="91">
        <v>0</v>
      </c>
      <c r="AH38" s="91">
        <v>0</v>
      </c>
      <c r="AI38" s="91">
        <v>0</v>
      </c>
      <c r="AJ38" s="91">
        <v>0</v>
      </c>
      <c r="AK38" s="91">
        <v>400</v>
      </c>
      <c r="AL38" s="91">
        <v>500</v>
      </c>
      <c r="AM38" s="91">
        <v>500</v>
      </c>
      <c r="AN38" s="91">
        <v>600</v>
      </c>
      <c r="AO38" s="91">
        <v>600</v>
      </c>
      <c r="AP38" s="91">
        <v>660</v>
      </c>
      <c r="AQ38" s="91">
        <v>960</v>
      </c>
      <c r="AR38" s="92">
        <f t="shared" si="63"/>
        <v>4220</v>
      </c>
      <c r="AS38" s="23"/>
      <c r="AT38" s="91">
        <v>960</v>
      </c>
      <c r="AU38" s="91">
        <v>960</v>
      </c>
      <c r="AV38" s="91">
        <v>960</v>
      </c>
      <c r="AW38" s="91">
        <v>960</v>
      </c>
      <c r="AX38" s="317">
        <v>580</v>
      </c>
      <c r="AY38" s="317">
        <v>580</v>
      </c>
      <c r="AZ38" s="317">
        <v>554</v>
      </c>
      <c r="BA38" s="317">
        <v>554</v>
      </c>
      <c r="BB38" s="317">
        <v>580</v>
      </c>
      <c r="BC38" s="317">
        <v>686</v>
      </c>
      <c r="BD38" s="317">
        <v>739</v>
      </c>
      <c r="BE38" s="317">
        <v>1055</v>
      </c>
      <c r="BF38" s="91">
        <f t="shared" si="64"/>
        <v>9168</v>
      </c>
      <c r="BG38" s="93">
        <f t="shared" si="65"/>
        <v>1.172511848341232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54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</row>
    <row r="39" spans="1:87" hidden="1">
      <c r="A39" s="94"/>
      <c r="B39" s="210"/>
      <c r="C39" s="213"/>
      <c r="D39" s="313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314"/>
      <c r="Q39" s="90"/>
      <c r="R39" s="313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315"/>
      <c r="AE39" s="23"/>
      <c r="AF39" s="316">
        <v>0</v>
      </c>
      <c r="AG39" s="91">
        <v>0</v>
      </c>
      <c r="AH39" s="91">
        <v>0</v>
      </c>
      <c r="AI39" s="91">
        <v>0</v>
      </c>
      <c r="AJ39" s="91">
        <v>0</v>
      </c>
      <c r="AK39" s="91">
        <v>0</v>
      </c>
      <c r="AL39" s="91">
        <v>2500</v>
      </c>
      <c r="AM39" s="91">
        <v>2000</v>
      </c>
      <c r="AN39" s="91">
        <v>500</v>
      </c>
      <c r="AO39" s="91">
        <v>600</v>
      </c>
      <c r="AP39" s="91">
        <v>660</v>
      </c>
      <c r="AQ39" s="91">
        <v>960</v>
      </c>
      <c r="AR39" s="92">
        <f t="shared" si="63"/>
        <v>7220</v>
      </c>
      <c r="AS39" s="23"/>
      <c r="AT39" s="91">
        <v>1518</v>
      </c>
      <c r="AU39" s="91">
        <v>1518</v>
      </c>
      <c r="AV39" s="91">
        <v>1518</v>
      </c>
      <c r="AW39" s="91">
        <v>1518</v>
      </c>
      <c r="AX39" s="317">
        <v>1943</v>
      </c>
      <c r="AY39" s="317">
        <v>1943</v>
      </c>
      <c r="AZ39" s="317">
        <v>1854</v>
      </c>
      <c r="BA39" s="317">
        <v>1854</v>
      </c>
      <c r="BB39" s="317">
        <v>1943</v>
      </c>
      <c r="BC39" s="317">
        <v>2296</v>
      </c>
      <c r="BD39" s="317">
        <v>2472</v>
      </c>
      <c r="BE39" s="317">
        <v>3532</v>
      </c>
      <c r="BF39" s="91">
        <f t="shared" si="64"/>
        <v>23909</v>
      </c>
      <c r="BG39" s="93">
        <f t="shared" si="65"/>
        <v>2.3114958448753464</v>
      </c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54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</row>
    <row r="40" spans="1:87" hidden="1">
      <c r="A40" s="318"/>
      <c r="B40" s="319"/>
      <c r="C40" s="320"/>
      <c r="D40" s="321"/>
      <c r="E40" s="321"/>
      <c r="F40" s="321"/>
      <c r="G40" s="321"/>
      <c r="H40" s="321"/>
      <c r="I40" s="321"/>
      <c r="J40" s="321"/>
      <c r="K40" s="321"/>
      <c r="L40" s="321"/>
      <c r="M40" s="321"/>
      <c r="N40" s="321"/>
      <c r="O40" s="321"/>
      <c r="P40" s="321"/>
      <c r="Q40" s="321"/>
      <c r="R40" s="321"/>
      <c r="S40" s="321"/>
      <c r="T40" s="321"/>
      <c r="U40" s="321"/>
      <c r="V40" s="321"/>
      <c r="W40" s="321"/>
      <c r="X40" s="321"/>
      <c r="Y40" s="321"/>
      <c r="Z40" s="321"/>
      <c r="AA40" s="321"/>
      <c r="AB40" s="321"/>
      <c r="AC40" s="321"/>
      <c r="AD40" s="321"/>
      <c r="AE40" s="322"/>
      <c r="AF40" s="323">
        <v>0</v>
      </c>
      <c r="AG40" s="323">
        <v>0</v>
      </c>
      <c r="AH40" s="323">
        <v>0</v>
      </c>
      <c r="AI40" s="323">
        <v>0</v>
      </c>
      <c r="AJ40" s="323">
        <v>0</v>
      </c>
      <c r="AK40" s="323">
        <v>0</v>
      </c>
      <c r="AL40" s="323">
        <v>0</v>
      </c>
      <c r="AM40" s="323">
        <v>0</v>
      </c>
      <c r="AN40" s="323">
        <v>0</v>
      </c>
      <c r="AO40" s="323">
        <v>0</v>
      </c>
      <c r="AP40" s="323">
        <v>0</v>
      </c>
      <c r="AQ40" s="323">
        <v>0</v>
      </c>
      <c r="AR40" s="324">
        <f t="shared" si="63"/>
        <v>0</v>
      </c>
      <c r="AS40" s="322"/>
      <c r="AT40" s="323">
        <v>0</v>
      </c>
      <c r="AU40" s="323">
        <v>0</v>
      </c>
      <c r="AV40" s="323">
        <v>0</v>
      </c>
      <c r="AW40" s="323">
        <v>0</v>
      </c>
      <c r="AX40" s="317">
        <v>800</v>
      </c>
      <c r="AY40" s="317">
        <v>800</v>
      </c>
      <c r="AZ40" s="317">
        <v>800</v>
      </c>
      <c r="BA40" s="317">
        <v>1050</v>
      </c>
      <c r="BB40" s="317">
        <v>1100</v>
      </c>
      <c r="BC40" s="317">
        <v>1300</v>
      </c>
      <c r="BD40" s="317">
        <v>1400</v>
      </c>
      <c r="BE40" s="317">
        <v>2000</v>
      </c>
      <c r="BF40" s="323">
        <f t="shared" si="64"/>
        <v>9250</v>
      </c>
      <c r="BG40" s="325" t="e">
        <f t="shared" si="65"/>
        <v>#DIV/0!</v>
      </c>
      <c r="BH40" s="323"/>
      <c r="BI40" s="323"/>
      <c r="BJ40" s="323"/>
      <c r="BK40" s="323"/>
      <c r="BL40" s="317"/>
      <c r="BM40" s="317"/>
      <c r="BN40" s="317"/>
      <c r="BO40" s="317"/>
      <c r="BP40" s="317"/>
      <c r="BQ40" s="317"/>
      <c r="BR40" s="317"/>
      <c r="BS40" s="317"/>
      <c r="BT40" s="317"/>
      <c r="BU40" s="326"/>
      <c r="BV40" s="323"/>
      <c r="BW40" s="323"/>
      <c r="BX40" s="323"/>
      <c r="BY40" s="323"/>
      <c r="BZ40" s="317"/>
      <c r="CA40" s="317"/>
      <c r="CB40" s="317"/>
      <c r="CC40" s="317"/>
      <c r="CD40" s="317"/>
      <c r="CE40" s="317"/>
      <c r="CF40" s="317"/>
      <c r="CG40" s="317"/>
      <c r="CH40" s="317"/>
    </row>
    <row r="41" spans="1:87" hidden="1">
      <c r="A41" s="95"/>
      <c r="B41" s="96"/>
      <c r="C41" s="327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23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8"/>
      <c r="AS41" s="23"/>
      <c r="AT41" s="97"/>
      <c r="AU41" s="97"/>
      <c r="AV41" s="97"/>
      <c r="AW41" s="97"/>
      <c r="AX41" s="91"/>
      <c r="AY41" s="91"/>
      <c r="AZ41" s="91"/>
      <c r="BA41" s="91"/>
      <c r="BB41" s="91"/>
      <c r="BC41" s="91"/>
      <c r="BD41" s="91">
        <v>600</v>
      </c>
      <c r="BE41" s="91">
        <v>700</v>
      </c>
      <c r="BF41" s="323">
        <f t="shared" si="64"/>
        <v>1300</v>
      </c>
      <c r="BG41" s="93"/>
      <c r="BH41" s="97"/>
      <c r="BI41" s="97"/>
      <c r="BJ41" s="97"/>
      <c r="BK41" s="97"/>
      <c r="BL41" s="91"/>
      <c r="BM41" s="91"/>
      <c r="BN41" s="91"/>
      <c r="BO41" s="91"/>
      <c r="BP41" s="91"/>
      <c r="BQ41" s="91"/>
      <c r="BR41" s="91"/>
      <c r="BS41" s="91"/>
      <c r="BT41" s="91"/>
      <c r="BU41" s="54"/>
      <c r="BV41" s="97"/>
      <c r="BW41" s="97"/>
      <c r="BX41" s="97"/>
      <c r="BY41" s="97"/>
      <c r="BZ41" s="91"/>
      <c r="CA41" s="91"/>
      <c r="CB41" s="91"/>
      <c r="CC41" s="91"/>
      <c r="CD41" s="91"/>
      <c r="CE41" s="91"/>
      <c r="CF41" s="91"/>
      <c r="CG41" s="91"/>
      <c r="CH41" s="91"/>
    </row>
    <row r="42" spans="1:87" hidden="1">
      <c r="A42" s="95"/>
      <c r="B42" s="216" t="s">
        <v>71</v>
      </c>
      <c r="C42" s="211"/>
      <c r="D42" s="313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ref="P42:P43" si="69">SUM(D42:O42)</f>
        <v>0</v>
      </c>
      <c r="Q42" s="90"/>
      <c r="R42" s="313">
        <v>350</v>
      </c>
      <c r="S42" s="91">
        <v>350</v>
      </c>
      <c r="T42" s="91">
        <v>450</v>
      </c>
      <c r="U42" s="91">
        <v>800</v>
      </c>
      <c r="V42" s="91">
        <v>531</v>
      </c>
      <c r="W42" s="91">
        <v>750</v>
      </c>
      <c r="X42" s="91">
        <v>650</v>
      </c>
      <c r="Y42" s="91">
        <v>750</v>
      </c>
      <c r="Z42" s="91">
        <v>900</v>
      </c>
      <c r="AA42" s="91">
        <v>1000</v>
      </c>
      <c r="AB42" s="91">
        <v>1200</v>
      </c>
      <c r="AC42" s="91">
        <v>1500</v>
      </c>
      <c r="AD42" s="315">
        <f t="shared" ref="AD42:AD43" si="70">SUM(R42:AC42)</f>
        <v>9231</v>
      </c>
      <c r="AE42" s="23"/>
      <c r="AF42" s="316">
        <v>1500</v>
      </c>
      <c r="AG42" s="91">
        <v>800</v>
      </c>
      <c r="AH42" s="91">
        <v>800</v>
      </c>
      <c r="AI42" s="91">
        <v>1820</v>
      </c>
      <c r="AJ42" s="91">
        <v>1630</v>
      </c>
      <c r="AK42" s="91">
        <v>1360</v>
      </c>
      <c r="AL42" s="91">
        <v>1000</v>
      </c>
      <c r="AM42" s="91">
        <v>1700</v>
      </c>
      <c r="AN42" s="91">
        <v>1700</v>
      </c>
      <c r="AO42" s="91">
        <v>1700</v>
      </c>
      <c r="AP42" s="91">
        <v>1870</v>
      </c>
      <c r="AQ42" s="91">
        <v>2720</v>
      </c>
      <c r="AR42" s="92">
        <f t="shared" ref="AR42:AR43" si="71">SUM(AF42:AQ42)</f>
        <v>18600</v>
      </c>
      <c r="AS42" s="23"/>
      <c r="AT42" s="91">
        <v>2053</v>
      </c>
      <c r="AU42" s="91">
        <v>2053</v>
      </c>
      <c r="AV42" s="91">
        <v>2053</v>
      </c>
      <c r="AW42" s="91">
        <v>2053</v>
      </c>
      <c r="AX42" s="91">
        <v>2807</v>
      </c>
      <c r="AY42" s="91">
        <v>2807</v>
      </c>
      <c r="AZ42" s="91">
        <v>2680</v>
      </c>
      <c r="BA42" s="91">
        <v>2680</v>
      </c>
      <c r="BB42" s="91">
        <v>2807</v>
      </c>
      <c r="BC42" s="91">
        <v>3318</v>
      </c>
      <c r="BD42" s="91">
        <v>5870</v>
      </c>
      <c r="BE42" s="91">
        <v>5104</v>
      </c>
      <c r="BF42" s="91">
        <f t="shared" si="64"/>
        <v>36285</v>
      </c>
      <c r="BG42" s="93">
        <f>BF42/AR42-1</f>
        <v>0.95080645161290334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54"/>
      <c r="BV42" s="91"/>
      <c r="BW42" s="91"/>
      <c r="BX42" s="91"/>
      <c r="BY42" s="91"/>
      <c r="BZ42" s="91"/>
      <c r="CA42" s="91"/>
      <c r="CB42" s="91"/>
      <c r="CC42" s="91"/>
      <c r="CD42" s="91"/>
      <c r="CE42" s="91"/>
      <c r="CF42" s="91"/>
      <c r="CG42" s="91"/>
      <c r="CH42" s="91"/>
    </row>
    <row r="43" spans="1:87" ht="15.75">
      <c r="A43" s="55"/>
      <c r="B43" s="56" t="s">
        <v>277</v>
      </c>
      <c r="C43" s="280"/>
      <c r="D43" s="288">
        <f t="shared" ref="D43:O43" si="72">SUM(D22:D42)</f>
        <v>0</v>
      </c>
      <c r="E43" s="57">
        <f t="shared" si="72"/>
        <v>0</v>
      </c>
      <c r="F43" s="57">
        <f t="shared" si="72"/>
        <v>0</v>
      </c>
      <c r="G43" s="57">
        <f t="shared" si="72"/>
        <v>0</v>
      </c>
      <c r="H43" s="57">
        <f t="shared" si="72"/>
        <v>0</v>
      </c>
      <c r="I43" s="57">
        <f t="shared" si="72"/>
        <v>0</v>
      </c>
      <c r="J43" s="57">
        <f t="shared" si="72"/>
        <v>0</v>
      </c>
      <c r="K43" s="57">
        <f t="shared" si="72"/>
        <v>0</v>
      </c>
      <c r="L43" s="57">
        <f t="shared" si="72"/>
        <v>0</v>
      </c>
      <c r="M43" s="57">
        <f t="shared" si="72"/>
        <v>0</v>
      </c>
      <c r="N43" s="57">
        <f t="shared" si="72"/>
        <v>0</v>
      </c>
      <c r="O43" s="57">
        <f t="shared" si="72"/>
        <v>0</v>
      </c>
      <c r="P43" s="289">
        <f t="shared" si="69"/>
        <v>0</v>
      </c>
      <c r="Q43" s="39"/>
      <c r="R43" s="288">
        <f t="shared" ref="R43:AC43" si="73">SUM(R22:R42)</f>
        <v>20557.543859649122</v>
      </c>
      <c r="S43" s="58">
        <f t="shared" si="73"/>
        <v>20512.543859649122</v>
      </c>
      <c r="T43" s="58">
        <f t="shared" si="73"/>
        <v>13699.771929824561</v>
      </c>
      <c r="U43" s="58">
        <f t="shared" si="73"/>
        <v>912.5</v>
      </c>
      <c r="V43" s="58">
        <f t="shared" si="73"/>
        <v>16851</v>
      </c>
      <c r="W43" s="290">
        <f t="shared" si="73"/>
        <v>13700</v>
      </c>
      <c r="X43" s="290">
        <f t="shared" si="73"/>
        <v>26050</v>
      </c>
      <c r="Y43" s="290">
        <f t="shared" si="73"/>
        <v>27750</v>
      </c>
      <c r="Z43" s="290">
        <f t="shared" si="73"/>
        <v>31100</v>
      </c>
      <c r="AA43" s="290">
        <f t="shared" si="73"/>
        <v>32100</v>
      </c>
      <c r="AB43" s="290">
        <f t="shared" si="73"/>
        <v>37500</v>
      </c>
      <c r="AC43" s="290">
        <f t="shared" si="73"/>
        <v>45300</v>
      </c>
      <c r="AD43" s="291">
        <f t="shared" si="70"/>
        <v>286033.35964912281</v>
      </c>
      <c r="AE43" s="59"/>
      <c r="AF43" s="292">
        <f t="shared" ref="AF43:AQ43" si="74">SUM(AF22:AF42)</f>
        <v>38500</v>
      </c>
      <c r="AG43" s="58">
        <f t="shared" si="74"/>
        <v>22400</v>
      </c>
      <c r="AH43" s="58">
        <f t="shared" si="74"/>
        <v>10671</v>
      </c>
      <c r="AI43" s="58">
        <f t="shared" si="74"/>
        <v>16097</v>
      </c>
      <c r="AJ43" s="58">
        <f t="shared" si="74"/>
        <v>30278</v>
      </c>
      <c r="AK43" s="58">
        <f t="shared" si="74"/>
        <v>28560</v>
      </c>
      <c r="AL43" s="58">
        <f t="shared" si="74"/>
        <v>41700</v>
      </c>
      <c r="AM43" s="58">
        <f t="shared" si="74"/>
        <v>38700</v>
      </c>
      <c r="AN43" s="58">
        <f t="shared" si="74"/>
        <v>37300</v>
      </c>
      <c r="AO43" s="58">
        <f t="shared" si="74"/>
        <v>37400</v>
      </c>
      <c r="AP43" s="58">
        <f t="shared" si="74"/>
        <v>40640</v>
      </c>
      <c r="AQ43" s="58">
        <f t="shared" si="74"/>
        <v>54440</v>
      </c>
      <c r="AR43" s="58">
        <f t="shared" si="71"/>
        <v>396686</v>
      </c>
      <c r="AS43" s="59"/>
      <c r="AT43" s="58">
        <f t="shared" ref="AT43:BE43" si="75">SUM(AT22:AT42)</f>
        <v>36153</v>
      </c>
      <c r="AU43" s="58">
        <f t="shared" si="75"/>
        <v>35289</v>
      </c>
      <c r="AV43" s="58">
        <f t="shared" si="75"/>
        <v>35872</v>
      </c>
      <c r="AW43" s="58">
        <f t="shared" si="75"/>
        <v>38031</v>
      </c>
      <c r="AX43" s="58">
        <f t="shared" si="75"/>
        <v>33566</v>
      </c>
      <c r="AY43" s="58">
        <f t="shared" si="75"/>
        <v>33566</v>
      </c>
      <c r="AZ43" s="58">
        <f t="shared" si="75"/>
        <v>30896</v>
      </c>
      <c r="BA43" s="58">
        <f t="shared" si="75"/>
        <v>31146</v>
      </c>
      <c r="BB43" s="58">
        <f t="shared" si="75"/>
        <v>32630</v>
      </c>
      <c r="BC43" s="58">
        <f t="shared" si="75"/>
        <v>38562</v>
      </c>
      <c r="BD43" s="58">
        <f t="shared" si="75"/>
        <v>41345</v>
      </c>
      <c r="BE43" s="58">
        <f t="shared" si="75"/>
        <v>49263</v>
      </c>
      <c r="BF43" s="58">
        <f t="shared" si="64"/>
        <v>436319</v>
      </c>
      <c r="BG43" s="59">
        <f>BF43-AR43</f>
        <v>39633</v>
      </c>
      <c r="BH43" s="58">
        <v>36153</v>
      </c>
      <c r="BI43" s="58">
        <v>35289</v>
      </c>
      <c r="BJ43" s="58">
        <v>35872</v>
      </c>
      <c r="BK43" s="58">
        <v>38031</v>
      </c>
      <c r="BL43" s="58">
        <v>38570</v>
      </c>
      <c r="BM43" s="58">
        <v>39227</v>
      </c>
      <c r="BN43" s="58">
        <v>41128</v>
      </c>
      <c r="BO43" s="58">
        <v>38191</v>
      </c>
      <c r="BP43" s="58">
        <v>38191</v>
      </c>
      <c r="BQ43" s="58">
        <v>40225</v>
      </c>
      <c r="BR43" s="58">
        <v>43272</v>
      </c>
      <c r="BS43" s="58">
        <v>60327</v>
      </c>
      <c r="BT43" s="58">
        <f t="shared" ref="BT43:BT47" si="76">SUM(BH43:BS43)</f>
        <v>484476</v>
      </c>
      <c r="BU43" s="60">
        <f>BT43/BF52-1</f>
        <v>0.21208087944639309</v>
      </c>
      <c r="BV43" s="58">
        <v>38381</v>
      </c>
      <c r="BW43" s="58">
        <v>28860</v>
      </c>
      <c r="BX43" s="58">
        <v>38417</v>
      </c>
      <c r="BY43" s="58">
        <v>33109</v>
      </c>
      <c r="BZ43" s="58">
        <v>38234</v>
      </c>
      <c r="CA43" s="58">
        <v>44760</v>
      </c>
      <c r="CB43" s="58">
        <v>51777</v>
      </c>
      <c r="CC43" s="58">
        <v>36164</v>
      </c>
      <c r="CD43" s="58">
        <v>37437</v>
      </c>
      <c r="CE43" s="58">
        <v>39712</v>
      </c>
      <c r="CF43" s="58">
        <v>51527</v>
      </c>
      <c r="CG43" s="58">
        <v>66653</v>
      </c>
      <c r="CH43" s="58">
        <f>SUM(BV43:CG43)</f>
        <v>505031</v>
      </c>
      <c r="CI43" s="395">
        <f>(CH43-BT52)/BT52</f>
        <v>0.1770555839119197</v>
      </c>
    </row>
    <row r="44" spans="1:87">
      <c r="A44" s="99"/>
      <c r="B44" s="100" t="s">
        <v>278</v>
      </c>
      <c r="C44" s="328"/>
      <c r="D44" s="301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302"/>
      <c r="Q44" s="74"/>
      <c r="R44" s="301"/>
      <c r="S44" s="69"/>
      <c r="T44" s="69"/>
      <c r="U44" s="69"/>
      <c r="V44" s="303"/>
      <c r="W44" s="304"/>
      <c r="X44" s="304"/>
      <c r="Y44" s="304"/>
      <c r="Z44" s="304"/>
      <c r="AA44" s="304"/>
      <c r="AB44" s="304"/>
      <c r="AC44" s="75"/>
      <c r="AD44" s="76"/>
      <c r="AE44" s="77"/>
      <c r="AF44" s="305"/>
      <c r="AG44" s="69"/>
      <c r="AH44" s="69"/>
      <c r="AI44" s="69"/>
      <c r="AJ44" s="303"/>
      <c r="AK44" s="303"/>
      <c r="AL44" s="303"/>
      <c r="AM44" s="303"/>
      <c r="AN44" s="69"/>
      <c r="AO44" s="69"/>
      <c r="AP44" s="69"/>
      <c r="AQ44" s="69"/>
      <c r="AR44" s="306"/>
      <c r="AS44" s="77"/>
      <c r="AT44" s="69"/>
      <c r="AU44" s="69"/>
      <c r="AV44" s="69"/>
      <c r="AW44" s="69"/>
      <c r="AX44" s="69"/>
      <c r="AY44" s="69">
        <v>15000</v>
      </c>
      <c r="AZ44" s="69">
        <v>15000</v>
      </c>
      <c r="BA44" s="69">
        <f t="shared" ref="BA44:BB44" si="77">BA43*70%</f>
        <v>21802.199999999997</v>
      </c>
      <c r="BB44" s="69">
        <f t="shared" si="77"/>
        <v>22841</v>
      </c>
      <c r="BC44" s="69">
        <v>35000</v>
      </c>
      <c r="BD44" s="69">
        <v>35000</v>
      </c>
      <c r="BE44" s="69">
        <v>42000</v>
      </c>
      <c r="BF44" s="69">
        <f t="shared" si="64"/>
        <v>186643.20000000001</v>
      </c>
      <c r="BG44" s="77"/>
      <c r="BH44" s="69">
        <f t="shared" ref="BH44:BM44" si="78">BH43*0.8</f>
        <v>28922.400000000001</v>
      </c>
      <c r="BI44" s="69">
        <f t="shared" si="78"/>
        <v>28231.200000000001</v>
      </c>
      <c r="BJ44" s="69">
        <f t="shared" si="78"/>
        <v>28697.600000000002</v>
      </c>
      <c r="BK44" s="69">
        <f t="shared" si="78"/>
        <v>30424.800000000003</v>
      </c>
      <c r="BL44" s="69">
        <f t="shared" si="78"/>
        <v>30856</v>
      </c>
      <c r="BM44" s="69">
        <f t="shared" si="78"/>
        <v>31381.600000000002</v>
      </c>
      <c r="BN44" s="69">
        <f>BN43*0.85</f>
        <v>34958.799999999996</v>
      </c>
      <c r="BO44" s="69">
        <v>29000</v>
      </c>
      <c r="BP44" s="69">
        <v>40223</v>
      </c>
      <c r="BQ44" s="69">
        <v>36735</v>
      </c>
      <c r="BR44" s="69">
        <v>36933</v>
      </c>
      <c r="BS44" s="69">
        <v>52283</v>
      </c>
      <c r="BT44" s="69">
        <f t="shared" si="76"/>
        <v>408646.40000000002</v>
      </c>
      <c r="BU44" s="28"/>
      <c r="BV44" s="69">
        <v>31600</v>
      </c>
      <c r="BW44" s="69">
        <v>32000</v>
      </c>
      <c r="BX44" s="69">
        <v>35000</v>
      </c>
      <c r="BY44" s="69">
        <v>35000</v>
      </c>
      <c r="BZ44" s="69">
        <f t="shared" ref="BZ44:CG44" si="79">BL52*1.1</f>
        <v>36063.5</v>
      </c>
      <c r="CA44" s="69">
        <v>35000</v>
      </c>
      <c r="CB44" s="69">
        <v>37000</v>
      </c>
      <c r="CC44" s="69">
        <f t="shared" si="79"/>
        <v>36608</v>
      </c>
      <c r="CD44" s="69">
        <f t="shared" si="79"/>
        <v>37623.300000000003</v>
      </c>
      <c r="CE44" s="69">
        <f t="shared" si="79"/>
        <v>38702.400000000001</v>
      </c>
      <c r="CF44" s="69">
        <f t="shared" si="79"/>
        <v>38360.300000000003</v>
      </c>
      <c r="CG44" s="69">
        <f t="shared" si="79"/>
        <v>53856.000000000007</v>
      </c>
      <c r="CH44" s="69"/>
      <c r="CI44" s="395"/>
    </row>
    <row r="45" spans="1:87" ht="14.25" customHeight="1">
      <c r="A45" s="55" t="s">
        <v>74</v>
      </c>
      <c r="B45" s="56"/>
      <c r="C45" s="280"/>
      <c r="D45" s="288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289"/>
      <c r="Q45" s="39"/>
      <c r="R45" s="288"/>
      <c r="S45" s="58"/>
      <c r="T45" s="58"/>
      <c r="U45" s="58"/>
      <c r="V45" s="58"/>
      <c r="W45" s="290"/>
      <c r="X45" s="290"/>
      <c r="Y45" s="290"/>
      <c r="Z45" s="290"/>
      <c r="AA45" s="290"/>
      <c r="AB45" s="290"/>
      <c r="AC45" s="290"/>
      <c r="AD45" s="291"/>
      <c r="AE45" s="59"/>
      <c r="AF45" s="292"/>
      <c r="AG45" s="58"/>
      <c r="AH45" s="58"/>
      <c r="AI45" s="58"/>
      <c r="AJ45" s="58"/>
      <c r="AK45" s="58"/>
      <c r="AL45" s="58">
        <f>AL43/AVERAGE($AF$43:$AQ$43)</f>
        <v>1.2614511225503295</v>
      </c>
      <c r="AM45" s="58"/>
      <c r="AN45" s="58"/>
      <c r="AO45" s="58"/>
      <c r="AP45" s="58">
        <f t="shared" ref="AP45:AQ45" si="80">AP43/AVERAGE($AF$43:$AQ$43)</f>
        <v>1.2293854585238704</v>
      </c>
      <c r="AQ45" s="58">
        <f t="shared" si="80"/>
        <v>1.6468441033966412</v>
      </c>
      <c r="AR45" s="58"/>
      <c r="AS45" s="59"/>
      <c r="AT45" s="58">
        <v>109190</v>
      </c>
      <c r="AU45" s="58">
        <v>153667</v>
      </c>
      <c r="AV45" s="58">
        <v>178778</v>
      </c>
      <c r="AW45" s="58">
        <v>151970</v>
      </c>
      <c r="AX45" s="58">
        <v>142416</v>
      </c>
      <c r="AY45" s="58">
        <v>177335</v>
      </c>
      <c r="AZ45" s="58">
        <v>152230</v>
      </c>
      <c r="BA45" s="58">
        <v>245527</v>
      </c>
      <c r="BB45" s="58">
        <f>5261504/27</f>
        <v>194870.51851851851</v>
      </c>
      <c r="BC45" s="58">
        <f>5784000/27</f>
        <v>214222.22222222222</v>
      </c>
      <c r="BD45" s="58">
        <f>3224000/27</f>
        <v>119407.4074074074</v>
      </c>
      <c r="BE45" s="58">
        <f>909800/27</f>
        <v>33696.296296296299</v>
      </c>
      <c r="BF45" s="58">
        <f t="shared" si="64"/>
        <v>1873309.4444444445</v>
      </c>
      <c r="BG45" s="59"/>
      <c r="BH45" s="58">
        <v>156208</v>
      </c>
      <c r="BI45" s="58">
        <v>147340</v>
      </c>
      <c r="BJ45" s="58">
        <v>166759</v>
      </c>
      <c r="BK45" s="58">
        <v>152352</v>
      </c>
      <c r="BL45" s="58">
        <v>128446</v>
      </c>
      <c r="BM45" s="58">
        <v>126790</v>
      </c>
      <c r="BN45" s="58">
        <v>173761</v>
      </c>
      <c r="BO45" s="58">
        <f>144510.599073001+BO44</f>
        <v>173510.59907300101</v>
      </c>
      <c r="BP45" s="58">
        <f>162574.422556972+BP44</f>
        <v>202797.42255697199</v>
      </c>
      <c r="BQ45" s="58">
        <f>166187.186558517+BQ44</f>
        <v>202922.18655851699</v>
      </c>
      <c r="BR45" s="58">
        <f>BQ20+BR16*0.6</f>
        <v>232502.36</v>
      </c>
      <c r="BS45" s="58">
        <f>BR16*0.4+BS16*0.5</f>
        <v>116391.04000000001</v>
      </c>
      <c r="BT45" s="58">
        <f t="shared" si="76"/>
        <v>1979779.6081884899</v>
      </c>
      <c r="BU45" s="60"/>
      <c r="BV45" s="58">
        <v>98000</v>
      </c>
      <c r="BW45" s="58">
        <f>BW44+BW20</f>
        <v>150504.04999999999</v>
      </c>
      <c r="BX45" s="58">
        <f t="shared" ref="BX45" si="81">BX44+BX20</f>
        <v>217683.25</v>
      </c>
      <c r="BY45" s="58">
        <f t="shared" ref="BY45:CG45" si="82">BK45</f>
        <v>152352</v>
      </c>
      <c r="BZ45" s="58">
        <f t="shared" si="82"/>
        <v>128446</v>
      </c>
      <c r="CA45" s="58">
        <f t="shared" si="82"/>
        <v>126790</v>
      </c>
      <c r="CB45" s="58">
        <f t="shared" si="82"/>
        <v>173761</v>
      </c>
      <c r="CC45" s="58">
        <f t="shared" si="82"/>
        <v>173510.59907300101</v>
      </c>
      <c r="CD45" s="58">
        <f t="shared" si="82"/>
        <v>202797.42255697199</v>
      </c>
      <c r="CE45" s="58">
        <f t="shared" si="82"/>
        <v>202922.18655851699</v>
      </c>
      <c r="CF45" s="58">
        <f t="shared" si="82"/>
        <v>232502.36</v>
      </c>
      <c r="CG45" s="58">
        <f t="shared" si="82"/>
        <v>116391.04000000001</v>
      </c>
      <c r="CH45" s="58"/>
    </row>
    <row r="46" spans="1:87">
      <c r="A46" s="101" t="s">
        <v>75</v>
      </c>
      <c r="B46" s="102"/>
      <c r="C46" s="260"/>
      <c r="D46" s="277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262"/>
      <c r="Q46" s="15"/>
      <c r="R46" s="277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263"/>
      <c r="AE46" s="16"/>
      <c r="AF46" s="261">
        <v>133791</v>
      </c>
      <c r="AG46" s="14">
        <v>166459</v>
      </c>
      <c r="AH46" s="14">
        <v>149450</v>
      </c>
      <c r="AI46" s="14">
        <v>151073</v>
      </c>
      <c r="AJ46" s="14">
        <v>192944</v>
      </c>
      <c r="AK46" s="14">
        <v>166139</v>
      </c>
      <c r="AL46" s="14">
        <v>151874</v>
      </c>
      <c r="AM46" s="14">
        <v>157771</v>
      </c>
      <c r="AN46" s="14">
        <v>200312</v>
      </c>
      <c r="AO46" s="14">
        <v>202691</v>
      </c>
      <c r="AP46" s="14">
        <v>207768</v>
      </c>
      <c r="AQ46" s="14">
        <v>113286</v>
      </c>
      <c r="AR46" s="14">
        <f>SUM(AF46:AK46)</f>
        <v>959856</v>
      </c>
      <c r="AS46" s="17"/>
      <c r="AT46" s="14">
        <v>89680</v>
      </c>
      <c r="AU46" s="14">
        <v>128308</v>
      </c>
      <c r="AV46" s="14">
        <v>144871</v>
      </c>
      <c r="AW46" s="32">
        <v>161772</v>
      </c>
      <c r="AX46" s="32">
        <v>144516</v>
      </c>
      <c r="AY46" s="32">
        <v>103667</v>
      </c>
      <c r="AZ46" s="32">
        <v>141023</v>
      </c>
      <c r="BA46" s="32">
        <v>172093</v>
      </c>
      <c r="BB46" s="32">
        <f>166606+10000</f>
        <v>176606</v>
      </c>
      <c r="BC46" s="32">
        <v>181091</v>
      </c>
      <c r="BD46" s="32">
        <v>169802</v>
      </c>
      <c r="BE46" s="32">
        <v>120406</v>
      </c>
      <c r="BF46" s="32">
        <f t="shared" si="64"/>
        <v>1733835</v>
      </c>
      <c r="BG46" s="17">
        <f>BG43/AR43</f>
        <v>9.9910256474894502E-2</v>
      </c>
      <c r="BH46" s="14">
        <v>78906</v>
      </c>
      <c r="BI46" s="14">
        <v>119296</v>
      </c>
      <c r="BJ46" s="14">
        <v>165286</v>
      </c>
      <c r="BK46" s="14">
        <v>144532</v>
      </c>
      <c r="BL46" s="32">
        <v>157691</v>
      </c>
      <c r="BM46" s="32">
        <v>129096</v>
      </c>
      <c r="BN46" s="32">
        <v>125800</v>
      </c>
      <c r="BO46" s="32">
        <v>176354</v>
      </c>
      <c r="BP46" s="32">
        <v>173554</v>
      </c>
      <c r="BQ46" s="32">
        <v>185766</v>
      </c>
      <c r="BR46" s="32"/>
      <c r="BS46" s="32"/>
      <c r="BT46" s="32">
        <f t="shared" si="76"/>
        <v>1456281</v>
      </c>
      <c r="BU46" s="28"/>
      <c r="BV46" s="14"/>
      <c r="BW46" s="14"/>
      <c r="BX46" s="14"/>
      <c r="BY46" s="32"/>
      <c r="BZ46" s="32"/>
      <c r="CA46" s="32"/>
      <c r="CB46" s="32"/>
      <c r="CC46" s="32"/>
      <c r="CD46" s="32"/>
      <c r="CE46" s="32"/>
      <c r="CF46" s="32"/>
      <c r="CG46" s="32"/>
      <c r="CH46" s="32"/>
    </row>
    <row r="47" spans="1:87" ht="15.75" customHeight="1">
      <c r="A47" s="103"/>
      <c r="B47" s="329" t="s">
        <v>76</v>
      </c>
      <c r="C47" s="330"/>
      <c r="D47" s="331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332"/>
      <c r="Q47" s="105"/>
      <c r="R47" s="333"/>
      <c r="S47" s="333"/>
      <c r="T47" s="333"/>
      <c r="U47" s="333"/>
      <c r="V47" s="333"/>
      <c r="W47" s="333"/>
      <c r="X47" s="333"/>
      <c r="Y47" s="333"/>
      <c r="Z47" s="333"/>
      <c r="AA47" s="333"/>
      <c r="AB47" s="333"/>
      <c r="AC47" s="333"/>
      <c r="AD47" s="334"/>
      <c r="AE47" s="106"/>
      <c r="AF47" s="333">
        <f t="shared" ref="AF47:AQ47" si="83">AF46-AF15</f>
        <v>133789.61233193052</v>
      </c>
      <c r="AG47" s="333">
        <f t="shared" si="83"/>
        <v>166455.18212811041</v>
      </c>
      <c r="AH47" s="333">
        <f t="shared" si="83"/>
        <v>149445.6750486806</v>
      </c>
      <c r="AI47" s="333">
        <f t="shared" si="83"/>
        <v>151069.89671180834</v>
      </c>
      <c r="AJ47" s="333">
        <f t="shared" si="83"/>
        <v>192941.30225498116</v>
      </c>
      <c r="AK47" s="333">
        <f t="shared" si="83"/>
        <v>166135.93659001941</v>
      </c>
      <c r="AL47" s="333">
        <f t="shared" si="83"/>
        <v>151872.02367906639</v>
      </c>
      <c r="AM47" s="333">
        <f t="shared" si="83"/>
        <v>157769.11460684196</v>
      </c>
      <c r="AN47" s="333">
        <f t="shared" si="83"/>
        <v>200310.23982805785</v>
      </c>
      <c r="AO47" s="333">
        <f t="shared" si="83"/>
        <v>202687.95708177862</v>
      </c>
      <c r="AP47" s="333">
        <f t="shared" si="83"/>
        <v>207764.67332379395</v>
      </c>
      <c r="AQ47" s="333">
        <f t="shared" si="83"/>
        <v>113283.89842503319</v>
      </c>
      <c r="AR47" s="107">
        <f t="shared" ref="AR47:AR55" si="84">SUM(AF47:AQ47)</f>
        <v>1993525.5120101024</v>
      </c>
      <c r="AS47" s="106"/>
      <c r="AT47" s="333">
        <f t="shared" ref="AT47:BE47" si="85">AT46-AT45</f>
        <v>-19510</v>
      </c>
      <c r="AU47" s="333">
        <f t="shared" si="85"/>
        <v>-25359</v>
      </c>
      <c r="AV47" s="333">
        <f t="shared" si="85"/>
        <v>-33907</v>
      </c>
      <c r="AW47" s="333">
        <f t="shared" si="85"/>
        <v>9802</v>
      </c>
      <c r="AX47" s="333">
        <f t="shared" si="85"/>
        <v>2100</v>
      </c>
      <c r="AY47" s="333">
        <f t="shared" si="85"/>
        <v>-73668</v>
      </c>
      <c r="AZ47" s="333">
        <f t="shared" si="85"/>
        <v>-11207</v>
      </c>
      <c r="BA47" s="333">
        <f t="shared" si="85"/>
        <v>-73434</v>
      </c>
      <c r="BB47" s="333">
        <f t="shared" si="85"/>
        <v>-18264.518518518511</v>
      </c>
      <c r="BC47" s="333">
        <f t="shared" si="85"/>
        <v>-33131.222222222219</v>
      </c>
      <c r="BD47" s="333">
        <f t="shared" si="85"/>
        <v>50394.592592592599</v>
      </c>
      <c r="BE47" s="333">
        <f t="shared" si="85"/>
        <v>86709.703703703708</v>
      </c>
      <c r="BF47" s="108">
        <f t="shared" si="64"/>
        <v>-139474.44444444444</v>
      </c>
      <c r="BG47" s="106"/>
      <c r="BH47" s="333">
        <f t="shared" ref="BH47:BQ47" si="86">BH46-BH45</f>
        <v>-77302</v>
      </c>
      <c r="BI47" s="333">
        <f t="shared" si="86"/>
        <v>-28044</v>
      </c>
      <c r="BJ47" s="333">
        <f t="shared" si="86"/>
        <v>-1473</v>
      </c>
      <c r="BK47" s="333">
        <f t="shared" si="86"/>
        <v>-7820</v>
      </c>
      <c r="BL47" s="333">
        <f t="shared" si="86"/>
        <v>29245</v>
      </c>
      <c r="BM47" s="333">
        <f t="shared" si="86"/>
        <v>2306</v>
      </c>
      <c r="BN47" s="333">
        <f t="shared" si="86"/>
        <v>-47961</v>
      </c>
      <c r="BO47" s="333">
        <f t="shared" si="86"/>
        <v>2843.4009269989911</v>
      </c>
      <c r="BP47" s="333">
        <f t="shared" si="86"/>
        <v>-29243.422556971986</v>
      </c>
      <c r="BQ47" s="333">
        <f t="shared" si="86"/>
        <v>-17156.186558516987</v>
      </c>
      <c r="BR47" s="108"/>
      <c r="BS47" s="108"/>
      <c r="BT47" s="108">
        <f t="shared" si="76"/>
        <v>-174605.20818848998</v>
      </c>
      <c r="BU47" s="28"/>
      <c r="BV47" s="333"/>
      <c r="BW47" s="333"/>
      <c r="BX47" s="333"/>
      <c r="BY47" s="333"/>
      <c r="BZ47" s="108"/>
      <c r="CA47" s="108"/>
      <c r="CB47" s="108"/>
      <c r="CC47" s="108"/>
      <c r="CD47" s="108"/>
      <c r="CE47" s="108"/>
      <c r="CF47" s="108"/>
      <c r="CG47" s="108"/>
      <c r="CH47" s="108"/>
    </row>
    <row r="48" spans="1:87" ht="15.75" customHeight="1">
      <c r="A48" s="94">
        <v>5</v>
      </c>
      <c r="B48" s="210" t="s">
        <v>77</v>
      </c>
      <c r="C48" s="335"/>
      <c r="D48" s="313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>
        <v>0</v>
      </c>
      <c r="P48" s="314">
        <f>SUM(D48:O48)</f>
        <v>0</v>
      </c>
      <c r="Q48" s="90"/>
      <c r="R48" s="313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315">
        <f>SUM(R48:AC48)</f>
        <v>0</v>
      </c>
      <c r="AE48" s="23"/>
      <c r="AF48" s="316">
        <v>0</v>
      </c>
      <c r="AG48" s="91">
        <v>0</v>
      </c>
      <c r="AH48" s="91">
        <v>0</v>
      </c>
      <c r="AI48" s="91">
        <v>0</v>
      </c>
      <c r="AJ48" s="91">
        <v>0</v>
      </c>
      <c r="AK48" s="91">
        <v>0</v>
      </c>
      <c r="AL48" s="91">
        <v>0</v>
      </c>
      <c r="AM48" s="91">
        <v>0</v>
      </c>
      <c r="AN48" s="91">
        <v>0</v>
      </c>
      <c r="AO48" s="91">
        <v>0</v>
      </c>
      <c r="AP48" s="91"/>
      <c r="AQ48" s="91">
        <v>8938</v>
      </c>
      <c r="AR48" s="92">
        <f t="shared" si="84"/>
        <v>8938</v>
      </c>
      <c r="AS48" s="23"/>
      <c r="AT48" s="91">
        <v>106642</v>
      </c>
      <c r="AU48" s="91">
        <v>90699</v>
      </c>
      <c r="AV48" s="91">
        <v>89681</v>
      </c>
      <c r="AW48" s="91">
        <v>58790</v>
      </c>
      <c r="AX48" s="91">
        <v>35520</v>
      </c>
      <c r="AY48" s="91">
        <v>61551</v>
      </c>
      <c r="AZ48" s="91">
        <v>71511</v>
      </c>
      <c r="BA48" s="91">
        <v>63617</v>
      </c>
      <c r="BB48" s="91">
        <v>66748</v>
      </c>
      <c r="BC48" s="91">
        <v>75532</v>
      </c>
      <c r="BD48" s="91">
        <v>37786</v>
      </c>
      <c r="BE48" s="91">
        <v>4503</v>
      </c>
      <c r="BF48" s="91">
        <f t="shared" si="64"/>
        <v>762580</v>
      </c>
      <c r="BG48" s="27"/>
      <c r="BH48" s="91">
        <v>69404</v>
      </c>
      <c r="BI48" s="91">
        <v>80412</v>
      </c>
      <c r="BJ48" s="91">
        <v>94386</v>
      </c>
      <c r="BK48" s="91">
        <v>78313</v>
      </c>
      <c r="BL48" s="91">
        <v>47034</v>
      </c>
      <c r="BM48" s="91">
        <v>50851</v>
      </c>
      <c r="BN48" s="91">
        <v>93202</v>
      </c>
      <c r="BO48" s="91">
        <v>100687</v>
      </c>
      <c r="BP48" s="91">
        <v>127995</v>
      </c>
      <c r="BQ48" s="91">
        <v>122686</v>
      </c>
      <c r="BR48" s="91"/>
      <c r="BS48" s="91"/>
      <c r="BT48" s="91"/>
      <c r="BU48" s="28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</row>
    <row r="49" spans="1:87">
      <c r="A49" s="13" t="s">
        <v>78</v>
      </c>
      <c r="B49" s="259"/>
      <c r="C49" s="260"/>
      <c r="D49" s="277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262"/>
      <c r="Q49" s="15"/>
      <c r="R49" s="277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263"/>
      <c r="AE49" s="16"/>
      <c r="AF49" s="261">
        <f t="shared" ref="AF49:AQ49" si="87">AF50+AF52</f>
        <v>118364</v>
      </c>
      <c r="AG49" s="261">
        <f t="shared" si="87"/>
        <v>173742</v>
      </c>
      <c r="AH49" s="261">
        <f t="shared" si="87"/>
        <v>73470</v>
      </c>
      <c r="AI49" s="261">
        <f t="shared" si="87"/>
        <v>87377</v>
      </c>
      <c r="AJ49" s="261">
        <f t="shared" si="87"/>
        <v>119657</v>
      </c>
      <c r="AK49" s="261">
        <f t="shared" si="87"/>
        <v>154747</v>
      </c>
      <c r="AL49" s="261">
        <f t="shared" si="87"/>
        <v>138073</v>
      </c>
      <c r="AM49" s="261">
        <f t="shared" si="87"/>
        <v>180773</v>
      </c>
      <c r="AN49" s="261">
        <f t="shared" si="87"/>
        <v>194598</v>
      </c>
      <c r="AO49" s="261">
        <f t="shared" si="87"/>
        <v>242931</v>
      </c>
      <c r="AP49" s="261">
        <f t="shared" si="87"/>
        <v>107346</v>
      </c>
      <c r="AQ49" s="261">
        <f t="shared" si="87"/>
        <v>87384</v>
      </c>
      <c r="AR49" s="14">
        <f t="shared" si="84"/>
        <v>1678462</v>
      </c>
      <c r="AS49" s="17"/>
      <c r="AT49" s="261">
        <f t="shared" ref="AT49:BE49" si="88">AT50+AT52</f>
        <v>155346</v>
      </c>
      <c r="AU49" s="261">
        <f t="shared" si="88"/>
        <v>123370</v>
      </c>
      <c r="AV49" s="261">
        <f t="shared" si="88"/>
        <v>144065</v>
      </c>
      <c r="AW49" s="261">
        <f t="shared" si="88"/>
        <v>127865</v>
      </c>
      <c r="AX49" s="261">
        <f t="shared" si="88"/>
        <v>123461</v>
      </c>
      <c r="AY49" s="261">
        <f t="shared" si="88"/>
        <v>121196</v>
      </c>
      <c r="AZ49" s="261">
        <f t="shared" si="88"/>
        <v>168029</v>
      </c>
      <c r="BA49" s="261">
        <f t="shared" si="88"/>
        <v>164268</v>
      </c>
      <c r="BB49" s="261">
        <f t="shared" si="88"/>
        <v>185112</v>
      </c>
      <c r="BC49" s="261">
        <f t="shared" si="88"/>
        <v>147235</v>
      </c>
      <c r="BD49" s="261">
        <f t="shared" si="88"/>
        <v>135608</v>
      </c>
      <c r="BE49" s="261">
        <f t="shared" si="88"/>
        <v>90194</v>
      </c>
      <c r="BF49" s="32">
        <f t="shared" si="64"/>
        <v>1685749</v>
      </c>
      <c r="BG49" s="35">
        <f t="shared" ref="BG49:BG50" si="89">BF49/AR49-1</f>
        <v>4.3414745165515356E-3</v>
      </c>
      <c r="BH49" s="261">
        <f>BH50+BH52</f>
        <v>144332</v>
      </c>
      <c r="BI49" s="261">
        <f t="shared" ref="BI49:BQ49" si="90">BI50+BI52</f>
        <v>128781</v>
      </c>
      <c r="BJ49" s="261">
        <f t="shared" si="90"/>
        <v>193129</v>
      </c>
      <c r="BK49" s="261">
        <f t="shared" si="90"/>
        <v>106092</v>
      </c>
      <c r="BL49" s="261">
        <f t="shared" si="90"/>
        <v>132638</v>
      </c>
      <c r="BM49" s="261">
        <f t="shared" si="90"/>
        <v>139193</v>
      </c>
      <c r="BN49" s="261">
        <f t="shared" si="90"/>
        <v>173703</v>
      </c>
      <c r="BO49" s="261">
        <f t="shared" si="90"/>
        <v>186902</v>
      </c>
      <c r="BP49" s="261">
        <f t="shared" si="90"/>
        <v>200686</v>
      </c>
      <c r="BQ49" s="261">
        <f t="shared" si="90"/>
        <v>191324</v>
      </c>
      <c r="BR49" s="14"/>
      <c r="BS49" s="14"/>
      <c r="BT49" s="14">
        <f t="shared" ref="BT49:BT54" si="91">SUM(BH49:BS49)</f>
        <v>1596780</v>
      </c>
      <c r="BU49" s="18"/>
      <c r="BV49" s="261"/>
      <c r="BW49" s="261"/>
      <c r="BX49" s="261"/>
      <c r="BY49" s="261"/>
      <c r="BZ49" s="14"/>
      <c r="CA49" s="14"/>
      <c r="CB49" s="14"/>
      <c r="CC49" s="14"/>
      <c r="CD49" s="14"/>
      <c r="CE49" s="14"/>
      <c r="CF49" s="14"/>
      <c r="CG49" s="14"/>
      <c r="CH49" s="14"/>
    </row>
    <row r="50" spans="1:87" ht="15.75" customHeight="1">
      <c r="A50" s="210"/>
      <c r="B50" s="210" t="s">
        <v>79</v>
      </c>
      <c r="C50" s="316"/>
      <c r="D50" s="313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92193</v>
      </c>
      <c r="AG50" s="91">
        <v>152006</v>
      </c>
      <c r="AH50" s="91">
        <v>62734</v>
      </c>
      <c r="AI50" s="91">
        <v>71526</v>
      </c>
      <c r="AJ50" s="91">
        <v>89409</v>
      </c>
      <c r="AK50" s="91">
        <v>120675</v>
      </c>
      <c r="AL50" s="91">
        <v>100592</v>
      </c>
      <c r="AM50" s="91">
        <v>148128</v>
      </c>
      <c r="AN50" s="91">
        <v>164346</v>
      </c>
      <c r="AO50" s="91">
        <v>203437</v>
      </c>
      <c r="AP50" s="91">
        <v>64957</v>
      </c>
      <c r="AQ50" s="91">
        <v>31837</v>
      </c>
      <c r="AR50" s="92">
        <f t="shared" si="84"/>
        <v>1301840</v>
      </c>
      <c r="AS50" s="23"/>
      <c r="AT50" s="91">
        <v>125048</v>
      </c>
      <c r="AU50" s="91">
        <v>96006</v>
      </c>
      <c r="AV50" s="91">
        <v>111470</v>
      </c>
      <c r="AW50" s="91">
        <v>99222</v>
      </c>
      <c r="AX50" s="91">
        <v>91253</v>
      </c>
      <c r="AY50" s="91">
        <v>90595</v>
      </c>
      <c r="AZ50" s="91">
        <v>129147</v>
      </c>
      <c r="BA50" s="91">
        <v>133525</v>
      </c>
      <c r="BB50" s="91">
        <v>159291</v>
      </c>
      <c r="BC50" s="91">
        <v>115573</v>
      </c>
      <c r="BD50" s="91">
        <v>98386</v>
      </c>
      <c r="BE50" s="91">
        <v>36527</v>
      </c>
      <c r="BF50" s="91">
        <f t="shared" si="64"/>
        <v>1286043</v>
      </c>
      <c r="BG50" s="93">
        <f t="shared" si="89"/>
        <v>-1.2134363669882631E-2</v>
      </c>
      <c r="BH50" s="91">
        <v>110235</v>
      </c>
      <c r="BI50" s="91">
        <v>103047</v>
      </c>
      <c r="BJ50" s="91">
        <v>158855</v>
      </c>
      <c r="BK50" s="91">
        <v>77254</v>
      </c>
      <c r="BL50" s="91">
        <v>99853</v>
      </c>
      <c r="BM50" s="91">
        <v>100723</v>
      </c>
      <c r="BN50" s="91">
        <v>125338</v>
      </c>
      <c r="BO50" s="91">
        <v>153622</v>
      </c>
      <c r="BP50" s="91">
        <v>166483</v>
      </c>
      <c r="BQ50" s="91">
        <v>156140</v>
      </c>
      <c r="BR50" s="91">
        <v>111391</v>
      </c>
      <c r="BS50" s="91">
        <v>26768</v>
      </c>
      <c r="BT50" s="91">
        <f t="shared" si="91"/>
        <v>1389709</v>
      </c>
      <c r="BU50" s="28"/>
      <c r="BV50" s="91">
        <v>54245</v>
      </c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</row>
    <row r="51" spans="1:87" ht="15.75" customHeight="1">
      <c r="A51" s="103"/>
      <c r="B51" s="329" t="s">
        <v>279</v>
      </c>
      <c r="C51" s="330"/>
      <c r="D51" s="331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332"/>
      <c r="Q51" s="105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334"/>
      <c r="AE51" s="106"/>
      <c r="AF51" s="333">
        <f t="shared" ref="AF51:AQ51" si="92">AF50-AF20</f>
        <v>2047</v>
      </c>
      <c r="AG51" s="333">
        <f t="shared" si="92"/>
        <v>-3571</v>
      </c>
      <c r="AH51" s="333">
        <f t="shared" si="92"/>
        <v>-219</v>
      </c>
      <c r="AI51" s="333">
        <f t="shared" si="92"/>
        <v>-1735</v>
      </c>
      <c r="AJ51" s="333">
        <f t="shared" si="92"/>
        <v>-2447</v>
      </c>
      <c r="AK51" s="333">
        <f t="shared" si="92"/>
        <v>675</v>
      </c>
      <c r="AL51" s="333">
        <f t="shared" si="92"/>
        <v>-9703</v>
      </c>
      <c r="AM51" s="333">
        <f t="shared" si="92"/>
        <v>-52075</v>
      </c>
      <c r="AN51" s="333">
        <f t="shared" si="92"/>
        <v>-59487.333333333343</v>
      </c>
      <c r="AO51" s="333">
        <f t="shared" si="92"/>
        <v>-15063</v>
      </c>
      <c r="AP51" s="333">
        <f t="shared" si="92"/>
        <v>-23043</v>
      </c>
      <c r="AQ51" s="333">
        <f t="shared" si="92"/>
        <v>-11563</v>
      </c>
      <c r="AR51" s="107">
        <f t="shared" si="84"/>
        <v>-176184.33333333334</v>
      </c>
      <c r="AS51" s="106"/>
      <c r="AT51" s="333">
        <f t="shared" ref="AT51:BE51" si="93">AT50-AT20</f>
        <v>8451.75</v>
      </c>
      <c r="AU51" s="333">
        <f t="shared" si="93"/>
        <v>-37227.103448275855</v>
      </c>
      <c r="AV51" s="333">
        <f t="shared" si="93"/>
        <v>-6779.1379310344782</v>
      </c>
      <c r="AW51" s="333">
        <f t="shared" si="93"/>
        <v>-22342.137931034478</v>
      </c>
      <c r="AX51" s="333">
        <f t="shared" si="93"/>
        <v>4719.0344827586232</v>
      </c>
      <c r="AY51" s="333">
        <f t="shared" si="93"/>
        <v>-14182.777777777781</v>
      </c>
      <c r="AZ51" s="333">
        <f t="shared" si="93"/>
        <v>-6630.777777777781</v>
      </c>
      <c r="BA51" s="333">
        <f t="shared" si="93"/>
        <v>-77771.296296296292</v>
      </c>
      <c r="BB51" s="333">
        <f t="shared" si="93"/>
        <v>-51486.777777777781</v>
      </c>
      <c r="BC51" s="333">
        <f t="shared" si="93"/>
        <v>-99233.290755657828</v>
      </c>
      <c r="BD51" s="333">
        <f t="shared" si="93"/>
        <v>5175.413118527038</v>
      </c>
      <c r="BE51" s="333">
        <f t="shared" si="93"/>
        <v>5840.3870349060235</v>
      </c>
      <c r="BF51" s="108">
        <f t="shared" si="64"/>
        <v>-291466.71505944064</v>
      </c>
      <c r="BG51" s="106"/>
      <c r="BH51" s="333">
        <f t="shared" ref="BH51:BQ51" si="94">BH50-BH17</f>
        <v>-6365</v>
      </c>
      <c r="BI51" s="333">
        <f t="shared" si="94"/>
        <v>-8486.3333333333285</v>
      </c>
      <c r="BJ51" s="333">
        <f t="shared" si="94"/>
        <v>23180.925925925927</v>
      </c>
      <c r="BK51" s="333">
        <f t="shared" si="94"/>
        <v>-44486.740740740745</v>
      </c>
      <c r="BL51" s="333">
        <f t="shared" si="94"/>
        <v>5926.148148148146</v>
      </c>
      <c r="BM51" s="333">
        <f t="shared" si="94"/>
        <v>10043.740740740745</v>
      </c>
      <c r="BN51" s="333">
        <f t="shared" si="94"/>
        <v>-4917.555555555562</v>
      </c>
      <c r="BO51" s="333">
        <f t="shared" si="94"/>
        <v>3071.6218888889125</v>
      </c>
      <c r="BP51" s="333">
        <f t="shared" si="94"/>
        <v>4652.2504629629548</v>
      </c>
      <c r="BQ51" s="333">
        <f t="shared" si="94"/>
        <v>29010</v>
      </c>
      <c r="BR51" s="108"/>
      <c r="BS51" s="108"/>
      <c r="BT51" s="108">
        <f t="shared" si="91"/>
        <v>11629.05753703705</v>
      </c>
      <c r="BU51" s="28"/>
      <c r="BV51" s="333"/>
      <c r="BW51" s="333"/>
      <c r="BX51" s="333"/>
      <c r="BY51" s="333"/>
      <c r="BZ51" s="108"/>
      <c r="CA51" s="108"/>
      <c r="CB51" s="108"/>
      <c r="CC51" s="108"/>
      <c r="CD51" s="108"/>
      <c r="CE51" s="108"/>
      <c r="CF51" s="108"/>
      <c r="CG51" s="108"/>
      <c r="CH51" s="108"/>
    </row>
    <row r="52" spans="1:87" ht="15.75" customHeight="1">
      <c r="A52" s="94"/>
      <c r="B52" s="336" t="s">
        <v>81</v>
      </c>
      <c r="C52" s="335"/>
      <c r="D52" s="313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/>
      <c r="Q52" s="90"/>
      <c r="R52" s="316"/>
      <c r="S52" s="316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5"/>
      <c r="AE52" s="23"/>
      <c r="AF52" s="316">
        <v>26171</v>
      </c>
      <c r="AG52" s="316">
        <v>21736</v>
      </c>
      <c r="AH52" s="316">
        <v>10736</v>
      </c>
      <c r="AI52" s="316">
        <v>15851</v>
      </c>
      <c r="AJ52" s="316">
        <v>30248</v>
      </c>
      <c r="AK52" s="316">
        <v>34072</v>
      </c>
      <c r="AL52" s="316">
        <v>37481</v>
      </c>
      <c r="AM52" s="91">
        <v>32645</v>
      </c>
      <c r="AN52" s="91">
        <v>30252</v>
      </c>
      <c r="AO52" s="91">
        <v>39494</v>
      </c>
      <c r="AP52" s="91">
        <v>42389</v>
      </c>
      <c r="AQ52" s="91">
        <v>55547</v>
      </c>
      <c r="AR52" s="92">
        <f t="shared" si="84"/>
        <v>376622</v>
      </c>
      <c r="AS52" s="23"/>
      <c r="AT52" s="91">
        <v>30298</v>
      </c>
      <c r="AU52" s="91">
        <v>27364</v>
      </c>
      <c r="AV52" s="91">
        <v>32595</v>
      </c>
      <c r="AW52" s="91">
        <v>28643</v>
      </c>
      <c r="AX52" s="91">
        <v>32208</v>
      </c>
      <c r="AY52" s="91">
        <v>30601</v>
      </c>
      <c r="AZ52" s="91">
        <v>38882</v>
      </c>
      <c r="BA52" s="91">
        <v>30743</v>
      </c>
      <c r="BB52" s="91">
        <f>24621+1200</f>
        <v>25821</v>
      </c>
      <c r="BC52" s="91">
        <v>31662</v>
      </c>
      <c r="BD52" s="91">
        <v>37222</v>
      </c>
      <c r="BE52" s="91">
        <v>53667</v>
      </c>
      <c r="BF52" s="91">
        <f t="shared" si="64"/>
        <v>399706</v>
      </c>
      <c r="BG52" s="93">
        <f>BF52/AR52-1</f>
        <v>6.1292224033646425E-2</v>
      </c>
      <c r="BH52" s="91">
        <v>34097</v>
      </c>
      <c r="BI52" s="91">
        <v>25734</v>
      </c>
      <c r="BJ52" s="91">
        <v>34274</v>
      </c>
      <c r="BK52" s="91">
        <v>28838</v>
      </c>
      <c r="BL52" s="91">
        <v>32785</v>
      </c>
      <c r="BM52" s="91">
        <v>38470</v>
      </c>
      <c r="BN52" s="91">
        <v>48365</v>
      </c>
      <c r="BO52" s="91">
        <v>33280</v>
      </c>
      <c r="BP52" s="91">
        <v>34203</v>
      </c>
      <c r="BQ52" s="91">
        <v>35184</v>
      </c>
      <c r="BR52" s="91">
        <v>34873</v>
      </c>
      <c r="BS52" s="91">
        <v>48960</v>
      </c>
      <c r="BT52" s="91">
        <f t="shared" si="91"/>
        <v>429063</v>
      </c>
      <c r="BU52" s="28"/>
      <c r="BV52" s="91">
        <v>22115</v>
      </c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</row>
    <row r="53" spans="1:87" ht="15.75" customHeight="1">
      <c r="A53" s="103"/>
      <c r="B53" s="329" t="s">
        <v>280</v>
      </c>
      <c r="C53" s="330"/>
      <c r="D53" s="331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332"/>
      <c r="Q53" s="105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06"/>
      <c r="AF53" s="333">
        <f t="shared" ref="AF53:AQ53" si="95">AF52-AF43</f>
        <v>-12329</v>
      </c>
      <c r="AG53" s="333">
        <f t="shared" si="95"/>
        <v>-664</v>
      </c>
      <c r="AH53" s="333">
        <f t="shared" si="95"/>
        <v>65</v>
      </c>
      <c r="AI53" s="333">
        <f t="shared" si="95"/>
        <v>-246</v>
      </c>
      <c r="AJ53" s="333">
        <f t="shared" si="95"/>
        <v>-30</v>
      </c>
      <c r="AK53" s="333">
        <f t="shared" si="95"/>
        <v>5512</v>
      </c>
      <c r="AL53" s="333">
        <f t="shared" si="95"/>
        <v>-4219</v>
      </c>
      <c r="AM53" s="333">
        <f t="shared" si="95"/>
        <v>-6055</v>
      </c>
      <c r="AN53" s="333">
        <f t="shared" si="95"/>
        <v>-7048</v>
      </c>
      <c r="AO53" s="333">
        <f t="shared" si="95"/>
        <v>2094</v>
      </c>
      <c r="AP53" s="333">
        <f t="shared" si="95"/>
        <v>1749</v>
      </c>
      <c r="AQ53" s="333">
        <f t="shared" si="95"/>
        <v>1107</v>
      </c>
      <c r="AR53" s="107">
        <f t="shared" si="84"/>
        <v>-20064</v>
      </c>
      <c r="AS53" s="106"/>
      <c r="AT53" s="333">
        <f t="shared" ref="AT53:BE53" si="96">AT52-AT43</f>
        <v>-5855</v>
      </c>
      <c r="AU53" s="333">
        <f t="shared" si="96"/>
        <v>-7925</v>
      </c>
      <c r="AV53" s="333">
        <f t="shared" si="96"/>
        <v>-3277</v>
      </c>
      <c r="AW53" s="333">
        <f t="shared" si="96"/>
        <v>-9388</v>
      </c>
      <c r="AX53" s="333">
        <f t="shared" si="96"/>
        <v>-1358</v>
      </c>
      <c r="AY53" s="333">
        <f t="shared" si="96"/>
        <v>-2965</v>
      </c>
      <c r="AZ53" s="333">
        <f t="shared" si="96"/>
        <v>7986</v>
      </c>
      <c r="BA53" s="333">
        <f t="shared" si="96"/>
        <v>-403</v>
      </c>
      <c r="BB53" s="333">
        <f t="shared" si="96"/>
        <v>-6809</v>
      </c>
      <c r="BC53" s="333">
        <f t="shared" si="96"/>
        <v>-6900</v>
      </c>
      <c r="BD53" s="333">
        <f t="shared" si="96"/>
        <v>-4123</v>
      </c>
      <c r="BE53" s="333">
        <f t="shared" si="96"/>
        <v>4404</v>
      </c>
      <c r="BF53" s="108">
        <f t="shared" si="64"/>
        <v>-36613</v>
      </c>
      <c r="BG53" s="106"/>
      <c r="BH53" s="333">
        <f t="shared" ref="BH53:BQ53" si="97">BH52-BH43</f>
        <v>-2056</v>
      </c>
      <c r="BI53" s="333">
        <f t="shared" si="97"/>
        <v>-9555</v>
      </c>
      <c r="BJ53" s="333">
        <f t="shared" si="97"/>
        <v>-1598</v>
      </c>
      <c r="BK53" s="333">
        <f t="shared" si="97"/>
        <v>-9193</v>
      </c>
      <c r="BL53" s="333">
        <f t="shared" si="97"/>
        <v>-5785</v>
      </c>
      <c r="BM53" s="333">
        <f t="shared" si="97"/>
        <v>-757</v>
      </c>
      <c r="BN53" s="333">
        <f t="shared" si="97"/>
        <v>7237</v>
      </c>
      <c r="BO53" s="333">
        <f t="shared" si="97"/>
        <v>-4911</v>
      </c>
      <c r="BP53" s="333">
        <f t="shared" si="97"/>
        <v>-3988</v>
      </c>
      <c r="BQ53" s="333">
        <f t="shared" si="97"/>
        <v>-5041</v>
      </c>
      <c r="BR53" s="108"/>
      <c r="BS53" s="108"/>
      <c r="BT53" s="108">
        <f t="shared" si="91"/>
        <v>-35647</v>
      </c>
      <c r="BU53" s="28"/>
      <c r="BV53" s="333"/>
      <c r="BW53" s="333"/>
      <c r="BX53" s="333"/>
      <c r="BY53" s="333"/>
      <c r="BZ53" s="108"/>
      <c r="CA53" s="108"/>
      <c r="CB53" s="108"/>
      <c r="CC53" s="108"/>
      <c r="CD53" s="108"/>
      <c r="CE53" s="108"/>
      <c r="CF53" s="108"/>
      <c r="CG53" s="108"/>
      <c r="CH53" s="108"/>
    </row>
    <row r="54" spans="1:87" ht="15.75" customHeight="1">
      <c r="A54" s="103" t="s">
        <v>83</v>
      </c>
      <c r="B54" s="337"/>
      <c r="C54" s="330"/>
      <c r="D54" s="331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332"/>
      <c r="Q54" s="105"/>
      <c r="R54" s="333"/>
      <c r="S54" s="333"/>
      <c r="T54" s="333"/>
      <c r="U54" s="333"/>
      <c r="V54" s="333"/>
      <c r="W54" s="333"/>
      <c r="X54" s="333"/>
      <c r="Y54" s="333"/>
      <c r="Z54" s="333"/>
      <c r="AA54" s="333"/>
      <c r="AB54" s="333"/>
      <c r="AC54" s="333"/>
      <c r="AD54" s="334"/>
      <c r="AE54" s="106"/>
      <c r="AF54" s="333">
        <f t="shared" ref="AF54:AQ54" si="98">AF49-AF16</f>
        <v>-10282</v>
      </c>
      <c r="AG54" s="333">
        <f t="shared" si="98"/>
        <v>-4235</v>
      </c>
      <c r="AH54" s="333">
        <f t="shared" si="98"/>
        <v>-154</v>
      </c>
      <c r="AI54" s="333">
        <f t="shared" si="98"/>
        <v>-1981</v>
      </c>
      <c r="AJ54" s="333">
        <f t="shared" si="98"/>
        <v>-2477</v>
      </c>
      <c r="AK54" s="333">
        <f t="shared" si="98"/>
        <v>6187</v>
      </c>
      <c r="AL54" s="333">
        <f t="shared" si="98"/>
        <v>-13922</v>
      </c>
      <c r="AM54" s="333">
        <f t="shared" si="98"/>
        <v>-58130</v>
      </c>
      <c r="AN54" s="333">
        <f t="shared" si="98"/>
        <v>-66535.333333333343</v>
      </c>
      <c r="AO54" s="333">
        <f t="shared" si="98"/>
        <v>-12969</v>
      </c>
      <c r="AP54" s="333">
        <f t="shared" si="98"/>
        <v>-21294</v>
      </c>
      <c r="AQ54" s="333">
        <f t="shared" si="98"/>
        <v>-10456</v>
      </c>
      <c r="AR54" s="107">
        <f t="shared" si="84"/>
        <v>-196248.33333333334</v>
      </c>
      <c r="AS54" s="106"/>
      <c r="AT54" s="333">
        <f t="shared" ref="AT54:BE54" si="99">AT49-AT16</f>
        <v>2596.75</v>
      </c>
      <c r="AU54" s="333">
        <f t="shared" si="99"/>
        <v>-45152.103448275855</v>
      </c>
      <c r="AV54" s="333">
        <f t="shared" si="99"/>
        <v>-10056.137931034493</v>
      </c>
      <c r="AW54" s="333">
        <f t="shared" si="99"/>
        <v>-31730.137931034493</v>
      </c>
      <c r="AX54" s="333">
        <f t="shared" si="99"/>
        <v>3361.0344827586232</v>
      </c>
      <c r="AY54" s="333">
        <f t="shared" si="99"/>
        <v>-17147.777777777781</v>
      </c>
      <c r="AZ54" s="333">
        <f t="shared" si="99"/>
        <v>1355.222222222219</v>
      </c>
      <c r="BA54" s="333">
        <f t="shared" si="99"/>
        <v>-78174.296296296292</v>
      </c>
      <c r="BB54" s="333">
        <f t="shared" si="99"/>
        <v>-58295.777777777781</v>
      </c>
      <c r="BC54" s="333">
        <f t="shared" si="99"/>
        <v>-106133.29075565783</v>
      </c>
      <c r="BD54" s="333">
        <f t="shared" si="99"/>
        <v>1052.413118527038</v>
      </c>
      <c r="BE54" s="333">
        <f t="shared" si="99"/>
        <v>17507.387034906016</v>
      </c>
      <c r="BF54" s="108">
        <f t="shared" si="64"/>
        <v>-320816.71505944064</v>
      </c>
      <c r="BG54" s="106"/>
      <c r="BH54" s="333">
        <f t="shared" ref="BH54:BQ54" si="100">BH49-BH16</f>
        <v>-8421</v>
      </c>
      <c r="BI54" s="333">
        <f t="shared" si="100"/>
        <v>-18041.333333333314</v>
      </c>
      <c r="BJ54" s="333">
        <f t="shared" si="100"/>
        <v>21582.925925925927</v>
      </c>
      <c r="BK54" s="333">
        <f t="shared" si="100"/>
        <v>-53679.74074074073</v>
      </c>
      <c r="BL54" s="333">
        <f t="shared" si="100"/>
        <v>141.14814814814599</v>
      </c>
      <c r="BM54" s="333">
        <f t="shared" si="100"/>
        <v>9286.7407407407445</v>
      </c>
      <c r="BN54" s="333">
        <f t="shared" si="100"/>
        <v>2319.444444444438</v>
      </c>
      <c r="BO54" s="333">
        <f t="shared" si="100"/>
        <v>7351.6218888889125</v>
      </c>
      <c r="BP54" s="333">
        <f t="shared" si="100"/>
        <v>-1367.7495370370452</v>
      </c>
      <c r="BQ54" s="333">
        <f t="shared" si="100"/>
        <v>27459</v>
      </c>
      <c r="BR54" s="108"/>
      <c r="BS54" s="108"/>
      <c r="BT54" s="108">
        <f t="shared" si="91"/>
        <v>-13368.942462962921</v>
      </c>
      <c r="BU54" s="28"/>
      <c r="BV54" s="333"/>
      <c r="BW54" s="333"/>
      <c r="BX54" s="333"/>
      <c r="BY54" s="333"/>
      <c r="BZ54" s="108"/>
      <c r="CA54" s="108"/>
      <c r="CB54" s="108"/>
      <c r="CC54" s="108"/>
      <c r="CD54" s="108"/>
      <c r="CE54" s="108"/>
      <c r="CF54" s="108"/>
      <c r="CG54" s="108"/>
      <c r="CH54" s="108"/>
    </row>
    <row r="55" spans="1:87" ht="15.75" customHeight="1">
      <c r="A55" s="103" t="s">
        <v>85</v>
      </c>
      <c r="B55" s="337"/>
      <c r="C55" s="330"/>
      <c r="D55" s="331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332"/>
      <c r="Q55" s="105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06"/>
      <c r="AF55" s="333">
        <f t="shared" ref="AF55:AQ55" si="101">AF50-AF17</f>
        <v>92193</v>
      </c>
      <c r="AG55" s="333">
        <f t="shared" si="101"/>
        <v>152006</v>
      </c>
      <c r="AH55" s="333">
        <f t="shared" si="101"/>
        <v>62734</v>
      </c>
      <c r="AI55" s="333">
        <f t="shared" si="101"/>
        <v>71526</v>
      </c>
      <c r="AJ55" s="333">
        <f t="shared" si="101"/>
        <v>89409</v>
      </c>
      <c r="AK55" s="333">
        <f t="shared" si="101"/>
        <v>120675</v>
      </c>
      <c r="AL55" s="333">
        <f t="shared" si="101"/>
        <v>100592</v>
      </c>
      <c r="AM55" s="333">
        <f t="shared" si="101"/>
        <v>148128</v>
      </c>
      <c r="AN55" s="333">
        <f t="shared" si="101"/>
        <v>164346</v>
      </c>
      <c r="AO55" s="333">
        <f t="shared" si="101"/>
        <v>203437</v>
      </c>
      <c r="AP55" s="333">
        <f t="shared" si="101"/>
        <v>64957</v>
      </c>
      <c r="AQ55" s="333">
        <f t="shared" si="101"/>
        <v>31837</v>
      </c>
      <c r="AR55" s="107">
        <f t="shared" si="84"/>
        <v>1301840</v>
      </c>
      <c r="AS55" s="106"/>
      <c r="AT55" s="338">
        <f t="shared" ref="AT55:BE55" si="102">AT54/AT16</f>
        <v>1.7000083470131603E-2</v>
      </c>
      <c r="AU55" s="338">
        <f t="shared" si="102"/>
        <v>-0.26792985919579565</v>
      </c>
      <c r="AV55" s="338">
        <f t="shared" si="102"/>
        <v>-6.5248272015318062E-2</v>
      </c>
      <c r="AW55" s="338">
        <f t="shared" si="102"/>
        <v>-0.19881644480138216</v>
      </c>
      <c r="AX55" s="338">
        <f t="shared" si="102"/>
        <v>2.798530764170884E-2</v>
      </c>
      <c r="AY55" s="338">
        <f t="shared" si="102"/>
        <v>-0.12395048084722922</v>
      </c>
      <c r="AZ55" s="338">
        <f t="shared" si="102"/>
        <v>8.1309864112464342E-3</v>
      </c>
      <c r="BA55" s="338">
        <f t="shared" si="102"/>
        <v>-0.32244495902957893</v>
      </c>
      <c r="BB55" s="338">
        <f t="shared" si="102"/>
        <v>-0.23949841829212068</v>
      </c>
      <c r="BC55" s="338">
        <f t="shared" si="102"/>
        <v>-0.41888939787658819</v>
      </c>
      <c r="BD55" s="338">
        <f t="shared" si="102"/>
        <v>7.8214003811977375E-3</v>
      </c>
      <c r="BE55" s="338">
        <f t="shared" si="102"/>
        <v>0.24086123043473662</v>
      </c>
      <c r="BF55" s="109">
        <f>AVERAGE(AT55:BE55)</f>
        <v>-0.11124823530991597</v>
      </c>
      <c r="BG55" s="106"/>
      <c r="BH55" s="338">
        <f t="shared" ref="BH55:BQ55" si="103">BH54/BH16</f>
        <v>-5.512821352117471E-2</v>
      </c>
      <c r="BI55" s="338">
        <f t="shared" si="103"/>
        <v>-0.12287867195499311</v>
      </c>
      <c r="BJ55" s="338">
        <f t="shared" si="103"/>
        <v>0.12581416416796784</v>
      </c>
      <c r="BK55" s="338">
        <f t="shared" si="103"/>
        <v>-0.33597769224938256</v>
      </c>
      <c r="BL55" s="338">
        <f t="shared" si="103"/>
        <v>1.0652943536044719E-3</v>
      </c>
      <c r="BM55" s="338">
        <f t="shared" si="103"/>
        <v>7.1488016002422286E-2</v>
      </c>
      <c r="BN55" s="338">
        <f t="shared" si="103"/>
        <v>1.3533646427895287E-2</v>
      </c>
      <c r="BO55" s="338">
        <f t="shared" si="103"/>
        <v>4.0944619366602007E-2</v>
      </c>
      <c r="BP55" s="338">
        <f t="shared" si="103"/>
        <v>-6.7692361075750926E-3</v>
      </c>
      <c r="BQ55" s="338">
        <f t="shared" si="103"/>
        <v>0.16757086626186191</v>
      </c>
      <c r="BR55" s="109"/>
      <c r="BS55" s="109"/>
      <c r="BT55" s="338">
        <f>BT54/BT16</f>
        <v>-7.1185036907011742E-3</v>
      </c>
      <c r="BU55" s="54"/>
      <c r="BV55" s="338"/>
      <c r="BW55" s="338"/>
      <c r="BX55" s="338"/>
      <c r="BY55" s="338"/>
      <c r="BZ55" s="109"/>
      <c r="CA55" s="109"/>
      <c r="CB55" s="109"/>
      <c r="CC55" s="109"/>
      <c r="CD55" s="109"/>
      <c r="CE55" s="109"/>
      <c r="CF55" s="109"/>
      <c r="CG55" s="109"/>
      <c r="CH55" s="109"/>
    </row>
    <row r="56" spans="1:87" ht="14.25" customHeight="1">
      <c r="A56" s="55" t="s">
        <v>86</v>
      </c>
      <c r="B56" s="56"/>
      <c r="C56" s="280"/>
      <c r="D56" s="288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289"/>
      <c r="Q56" s="39"/>
      <c r="R56" s="288"/>
      <c r="S56" s="58"/>
      <c r="T56" s="58"/>
      <c r="U56" s="58"/>
      <c r="V56" s="58"/>
      <c r="W56" s="290"/>
      <c r="X56" s="290"/>
      <c r="Y56" s="290"/>
      <c r="Z56" s="290"/>
      <c r="AA56" s="290"/>
      <c r="AB56" s="290"/>
      <c r="AC56" s="290"/>
      <c r="AD56" s="291"/>
      <c r="AE56" s="59"/>
      <c r="AF56" s="292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9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9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60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</row>
    <row r="57" spans="1:87" ht="14.25" customHeight="1">
      <c r="A57" s="55"/>
      <c r="B57" s="56" t="s">
        <v>603</v>
      </c>
      <c r="C57" s="280"/>
      <c r="D57" s="28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289"/>
      <c r="Q57" s="39"/>
      <c r="R57" s="288"/>
      <c r="S57" s="58"/>
      <c r="T57" s="58"/>
      <c r="U57" s="58"/>
      <c r="V57" s="58"/>
      <c r="W57" s="290"/>
      <c r="X57" s="290"/>
      <c r="Y57" s="290"/>
      <c r="Z57" s="290"/>
      <c r="AA57" s="290"/>
      <c r="AB57" s="290"/>
      <c r="AC57" s="290"/>
      <c r="AD57" s="291"/>
      <c r="AE57" s="59"/>
      <c r="AF57" s="292"/>
      <c r="AG57" s="292"/>
      <c r="AH57" s="292"/>
      <c r="AI57" s="292"/>
      <c r="AJ57" s="292"/>
      <c r="AK57" s="292"/>
      <c r="AL57" s="292"/>
      <c r="AM57" s="292"/>
      <c r="AN57" s="292"/>
      <c r="AO57" s="292"/>
      <c r="AP57" s="292"/>
      <c r="AQ57" s="292"/>
      <c r="AR57" s="58"/>
      <c r="AS57" s="59"/>
      <c r="AT57" s="292"/>
      <c r="AU57" s="292"/>
      <c r="AV57" s="292"/>
      <c r="AW57" s="292"/>
      <c r="AX57" s="292"/>
      <c r="AY57" s="292"/>
      <c r="AZ57" s="292"/>
      <c r="BA57" s="292"/>
      <c r="BB57" s="292"/>
      <c r="BC57" s="292"/>
      <c r="BD57" s="292"/>
      <c r="BE57" s="292"/>
      <c r="BF57" s="58"/>
      <c r="BG57" s="59"/>
      <c r="BH57" s="292"/>
      <c r="BI57" s="292"/>
      <c r="BJ57" s="292"/>
      <c r="BK57" s="292"/>
      <c r="BL57" s="292"/>
      <c r="BM57" s="292"/>
      <c r="BN57" s="292"/>
      <c r="BO57" s="292"/>
      <c r="BP57" s="292"/>
      <c r="BQ57" s="292"/>
      <c r="BR57" s="292"/>
      <c r="BS57" s="292"/>
      <c r="BT57" s="292"/>
      <c r="BU57" s="60"/>
      <c r="BV57" s="400">
        <f>BH49</f>
        <v>144332</v>
      </c>
      <c r="BW57" s="400">
        <f t="shared" ref="BW57:CA57" si="104">BI49</f>
        <v>128781</v>
      </c>
      <c r="BX57" s="400">
        <f t="shared" si="104"/>
        <v>193129</v>
      </c>
      <c r="BY57" s="400">
        <f t="shared" si="104"/>
        <v>106092</v>
      </c>
      <c r="BZ57" s="400">
        <f t="shared" si="104"/>
        <v>132638</v>
      </c>
      <c r="CA57" s="400">
        <f t="shared" si="104"/>
        <v>139193</v>
      </c>
      <c r="CB57" s="292"/>
      <c r="CC57" s="292"/>
      <c r="CD57" s="292"/>
      <c r="CE57" s="292"/>
      <c r="CF57" s="292"/>
      <c r="CG57" s="292"/>
      <c r="CH57" s="292"/>
    </row>
    <row r="58" spans="1:87" s="414" customFormat="1" ht="22.5" customHeight="1">
      <c r="A58" s="401"/>
      <c r="B58" s="402" t="s">
        <v>289</v>
      </c>
      <c r="C58" s="403"/>
      <c r="D58" s="404"/>
      <c r="E58" s="405"/>
      <c r="F58" s="405"/>
      <c r="G58" s="405"/>
      <c r="H58" s="405"/>
      <c r="I58" s="405"/>
      <c r="J58" s="405"/>
      <c r="K58" s="405"/>
      <c r="L58" s="405"/>
      <c r="M58" s="405"/>
      <c r="N58" s="405"/>
      <c r="O58" s="405"/>
      <c r="P58" s="406"/>
      <c r="Q58" s="407"/>
      <c r="R58" s="404"/>
      <c r="S58" s="408"/>
      <c r="T58" s="408"/>
      <c r="U58" s="408"/>
      <c r="V58" s="408"/>
      <c r="W58" s="409"/>
      <c r="X58" s="409"/>
      <c r="Y58" s="409"/>
      <c r="Z58" s="409"/>
      <c r="AA58" s="409"/>
      <c r="AB58" s="409"/>
      <c r="AC58" s="409"/>
      <c r="AD58" s="410"/>
      <c r="AE58" s="411"/>
      <c r="AF58" s="412"/>
      <c r="AG58" s="412"/>
      <c r="AH58" s="412"/>
      <c r="AI58" s="412"/>
      <c r="AJ58" s="412"/>
      <c r="AK58" s="412"/>
      <c r="AL58" s="412"/>
      <c r="AM58" s="412"/>
      <c r="AN58" s="412"/>
      <c r="AO58" s="412"/>
      <c r="AP58" s="412"/>
      <c r="AQ58" s="412"/>
      <c r="AR58" s="408"/>
      <c r="AS58" s="411"/>
      <c r="AT58" s="412"/>
      <c r="AU58" s="412"/>
      <c r="AV58" s="412"/>
      <c r="AW58" s="412"/>
      <c r="AX58" s="412"/>
      <c r="AY58" s="412"/>
      <c r="AZ58" s="412"/>
      <c r="BA58" s="412"/>
      <c r="BB58" s="412"/>
      <c r="BC58" s="412"/>
      <c r="BD58" s="412"/>
      <c r="BE58" s="412"/>
      <c r="BF58" s="408"/>
      <c r="BG58" s="411"/>
      <c r="BH58" s="412"/>
      <c r="BI58" s="412"/>
      <c r="BJ58" s="412"/>
      <c r="BK58" s="412"/>
      <c r="BL58" s="412"/>
      <c r="BM58" s="412"/>
      <c r="BN58" s="412"/>
      <c r="BO58" s="412"/>
      <c r="BP58" s="412"/>
      <c r="BQ58" s="412"/>
      <c r="BR58" s="412"/>
      <c r="BS58" s="412"/>
      <c r="BT58" s="412"/>
      <c r="BU58" s="60"/>
      <c r="BV58" s="413">
        <f>BV16</f>
        <v>158370.25</v>
      </c>
      <c r="BW58" s="413">
        <f t="shared" ref="BW58:CA58" si="105">BW16</f>
        <v>150504.04999999999</v>
      </c>
      <c r="BX58" s="413">
        <f t="shared" si="105"/>
        <v>217683.25</v>
      </c>
      <c r="BY58" s="413">
        <f t="shared" si="105"/>
        <v>123842.1</v>
      </c>
      <c r="BZ58" s="413">
        <f t="shared" si="105"/>
        <v>150894.45000000001</v>
      </c>
      <c r="CA58" s="413">
        <f t="shared" si="105"/>
        <v>150831.45000000001</v>
      </c>
      <c r="CB58" s="412"/>
      <c r="CC58" s="412"/>
      <c r="CD58" s="412"/>
      <c r="CE58" s="412"/>
      <c r="CF58" s="412"/>
      <c r="CG58" s="412"/>
      <c r="CH58" s="412"/>
    </row>
    <row r="59" spans="1:87" ht="15.75" customHeight="1">
      <c r="A59" s="94">
        <v>7</v>
      </c>
      <c r="B59" s="210" t="s">
        <v>90</v>
      </c>
      <c r="C59" s="335"/>
      <c r="D59" s="313">
        <v>98048</v>
      </c>
      <c r="E59" s="89">
        <v>128688</v>
      </c>
      <c r="F59" s="89">
        <v>124704</v>
      </c>
      <c r="G59" s="89">
        <v>157500</v>
      </c>
      <c r="H59" s="89">
        <v>182600</v>
      </c>
      <c r="I59" s="89">
        <v>157700</v>
      </c>
      <c r="J59" s="89">
        <v>181700</v>
      </c>
      <c r="K59" s="89">
        <v>165900</v>
      </c>
      <c r="L59" s="89">
        <v>174300</v>
      </c>
      <c r="M59" s="89">
        <v>215800</v>
      </c>
      <c r="N59" s="89">
        <v>180000</v>
      </c>
      <c r="O59" s="89">
        <v>112500</v>
      </c>
      <c r="P59" s="314">
        <f t="shared" ref="P59:P60" si="106">SUM(D59:O59)</f>
        <v>1879440</v>
      </c>
      <c r="Q59" s="90"/>
      <c r="R59" s="313">
        <v>158400</v>
      </c>
      <c r="S59" s="91">
        <v>161000</v>
      </c>
      <c r="T59" s="91">
        <v>117800</v>
      </c>
      <c r="U59" s="91">
        <v>2000</v>
      </c>
      <c r="V59" s="91">
        <v>53800</v>
      </c>
      <c r="W59" s="91">
        <v>190600</v>
      </c>
      <c r="X59" s="91">
        <v>187900</v>
      </c>
      <c r="Y59" s="91">
        <v>196800</v>
      </c>
      <c r="Z59" s="91">
        <v>192300</v>
      </c>
      <c r="AA59" s="91">
        <v>182300</v>
      </c>
      <c r="AB59" s="91">
        <v>175000</v>
      </c>
      <c r="AC59" s="91">
        <v>134100</v>
      </c>
      <c r="AD59" s="315">
        <f>SUM(R59:AC59)</f>
        <v>1752000</v>
      </c>
      <c r="AE59" s="23"/>
      <c r="AF59" s="316">
        <f t="shared" ref="AF59:AL59" si="107">SUM(AF60,AF62)</f>
        <v>161400</v>
      </c>
      <c r="AG59" s="316">
        <f t="shared" si="107"/>
        <v>166000</v>
      </c>
      <c r="AH59" s="316">
        <f t="shared" si="107"/>
        <v>150471</v>
      </c>
      <c r="AI59" s="316">
        <f t="shared" si="107"/>
        <v>149040</v>
      </c>
      <c r="AJ59" s="316">
        <f t="shared" si="107"/>
        <v>196360</v>
      </c>
      <c r="AK59" s="316">
        <f t="shared" si="107"/>
        <v>163300</v>
      </c>
      <c r="AL59" s="316">
        <f t="shared" si="107"/>
        <v>190000</v>
      </c>
      <c r="AM59" s="316">
        <f t="shared" ref="AM59:AQ59" si="108">SUM(AM60,AM62,AM63)</f>
        <v>167000</v>
      </c>
      <c r="AN59" s="316">
        <f t="shared" si="108"/>
        <v>170500</v>
      </c>
      <c r="AO59" s="316">
        <f t="shared" si="108"/>
        <v>140000</v>
      </c>
      <c r="AP59" s="316">
        <f t="shared" si="108"/>
        <v>130000</v>
      </c>
      <c r="AQ59" s="316">
        <f t="shared" si="108"/>
        <v>100000</v>
      </c>
      <c r="AR59" s="92">
        <f t="shared" ref="AR59:AR60" si="109">SUM(AF59:AQ59)</f>
        <v>1884071</v>
      </c>
      <c r="AS59" s="23"/>
      <c r="AT59" s="316">
        <f t="shared" ref="AT59:BC59" si="110">SUM(AT60,AT62,AT63)</f>
        <v>133000</v>
      </c>
      <c r="AU59" s="316">
        <f t="shared" si="110"/>
        <v>125180</v>
      </c>
      <c r="AV59" s="316">
        <f t="shared" si="110"/>
        <v>117228</v>
      </c>
      <c r="AW59" s="316">
        <f t="shared" si="110"/>
        <v>127500</v>
      </c>
      <c r="AX59" s="316">
        <f t="shared" si="110"/>
        <v>140000</v>
      </c>
      <c r="AY59" s="316">
        <f t="shared" si="110"/>
        <v>158342.99999899999</v>
      </c>
      <c r="AZ59" s="316">
        <f t="shared" si="110"/>
        <v>152409</v>
      </c>
      <c r="BA59" s="316">
        <f t="shared" si="110"/>
        <v>173520</v>
      </c>
      <c r="BB59" s="316">
        <f t="shared" si="110"/>
        <v>165000</v>
      </c>
      <c r="BC59" s="316">
        <f t="shared" si="110"/>
        <v>157500</v>
      </c>
      <c r="BD59" s="316">
        <v>129431</v>
      </c>
      <c r="BE59" s="316">
        <v>61700</v>
      </c>
      <c r="BF59" s="91">
        <f t="shared" ref="BF59:BF60" si="111">SUM(AT59:BE59)</f>
        <v>1640810.999999</v>
      </c>
      <c r="BG59" s="27">
        <f>BF59-AR59</f>
        <v>-243260.00000100001</v>
      </c>
      <c r="BH59" s="339">
        <f>SUM(BH60,BH62,BH63)</f>
        <v>139760</v>
      </c>
      <c r="BI59" s="339">
        <f t="shared" ref="BI59:BP59" si="112">SUM(BI60,BI62,BI63)</f>
        <v>116580</v>
      </c>
      <c r="BJ59" s="339">
        <f t="shared" si="112"/>
        <v>148340</v>
      </c>
      <c r="BK59" s="339">
        <f t="shared" si="112"/>
        <v>112360</v>
      </c>
      <c r="BL59" s="339">
        <f t="shared" si="112"/>
        <v>108660</v>
      </c>
      <c r="BM59" s="339">
        <f t="shared" si="112"/>
        <v>153416</v>
      </c>
      <c r="BN59" s="339">
        <f t="shared" si="112"/>
        <v>137676</v>
      </c>
      <c r="BO59" s="339">
        <f t="shared" si="112"/>
        <v>160654</v>
      </c>
      <c r="BP59" s="339">
        <f t="shared" si="112"/>
        <v>157000</v>
      </c>
      <c r="BQ59" s="339">
        <v>156725</v>
      </c>
      <c r="BR59" s="339">
        <v>182069</v>
      </c>
      <c r="BS59" s="339">
        <f>BS60+BS63</f>
        <v>156420</v>
      </c>
      <c r="BT59" s="339">
        <f t="shared" ref="BT59:BT60" si="113">SUM(BH59:BS59)</f>
        <v>1729660</v>
      </c>
      <c r="BU59" s="60"/>
      <c r="BV59" s="396">
        <f>BV60</f>
        <v>129449</v>
      </c>
      <c r="BW59" s="396">
        <f t="shared" ref="BW59:CG59" si="114">BW60</f>
        <v>154000</v>
      </c>
      <c r="BX59" s="396">
        <f t="shared" si="114"/>
        <v>147000</v>
      </c>
      <c r="BY59" s="396">
        <f t="shared" si="114"/>
        <v>154000</v>
      </c>
      <c r="BZ59" s="396">
        <f t="shared" si="114"/>
        <v>147000</v>
      </c>
      <c r="CA59" s="396">
        <f t="shared" si="114"/>
        <v>161000</v>
      </c>
      <c r="CB59" s="396">
        <f t="shared" si="114"/>
        <v>168760</v>
      </c>
      <c r="CC59" s="396">
        <f t="shared" si="114"/>
        <v>194340</v>
      </c>
      <c r="CD59" s="396">
        <f t="shared" si="114"/>
        <v>208000</v>
      </c>
      <c r="CE59" s="396">
        <f t="shared" si="114"/>
        <v>201780</v>
      </c>
      <c r="CF59" s="396">
        <f t="shared" si="114"/>
        <v>154060</v>
      </c>
      <c r="CG59" s="396">
        <f t="shared" si="114"/>
        <v>96720</v>
      </c>
      <c r="CH59" s="339">
        <f t="shared" ref="CH59:CH60" si="115">SUM(BV59:CG59)</f>
        <v>1916109</v>
      </c>
    </row>
    <row r="60" spans="1:87" ht="15.75" hidden="1" customHeight="1">
      <c r="A60" s="94"/>
      <c r="B60" s="210" t="s">
        <v>91</v>
      </c>
      <c r="C60" s="335"/>
      <c r="D60" s="313">
        <v>98048</v>
      </c>
      <c r="E60" s="89">
        <v>128688</v>
      </c>
      <c r="F60" s="89">
        <v>124704</v>
      </c>
      <c r="G60" s="89">
        <v>157500</v>
      </c>
      <c r="H60" s="89">
        <v>182600</v>
      </c>
      <c r="I60" s="89">
        <v>157700</v>
      </c>
      <c r="J60" s="89">
        <v>181700</v>
      </c>
      <c r="K60" s="89">
        <v>165900</v>
      </c>
      <c r="L60" s="89">
        <v>174300</v>
      </c>
      <c r="M60" s="89">
        <v>215800</v>
      </c>
      <c r="N60" s="89">
        <v>180000</v>
      </c>
      <c r="O60" s="89">
        <v>112500</v>
      </c>
      <c r="P60" s="314">
        <f t="shared" si="106"/>
        <v>1879440</v>
      </c>
      <c r="Q60" s="90"/>
      <c r="R60" s="313">
        <v>158400</v>
      </c>
      <c r="S60" s="91">
        <v>146000</v>
      </c>
      <c r="T60" s="91">
        <v>102200</v>
      </c>
      <c r="U60" s="91">
        <v>0</v>
      </c>
      <c r="V60" s="91">
        <v>43800</v>
      </c>
      <c r="W60" s="91">
        <v>160600</v>
      </c>
      <c r="X60" s="91">
        <v>167900</v>
      </c>
      <c r="Y60" s="91">
        <v>153300</v>
      </c>
      <c r="Z60" s="91">
        <v>153300</v>
      </c>
      <c r="AA60" s="91">
        <v>153300</v>
      </c>
      <c r="AB60" s="91">
        <v>146000</v>
      </c>
      <c r="AC60" s="91">
        <v>124100</v>
      </c>
      <c r="AD60" s="315"/>
      <c r="AE60" s="23"/>
      <c r="AF60" s="316">
        <v>131400</v>
      </c>
      <c r="AG60" s="91">
        <v>146000</v>
      </c>
      <c r="AH60" s="91">
        <v>125511</v>
      </c>
      <c r="AI60" s="91">
        <v>135000</v>
      </c>
      <c r="AJ60" s="91">
        <v>177320</v>
      </c>
      <c r="AK60" s="91">
        <v>151300</v>
      </c>
      <c r="AL60" s="91">
        <v>176000</v>
      </c>
      <c r="AM60" s="91">
        <f>AM61*AM3</f>
        <v>154000</v>
      </c>
      <c r="AN60" s="91">
        <f>AN61*AN3</f>
        <v>157500</v>
      </c>
      <c r="AO60" s="91">
        <f>AO61*AO3</f>
        <v>140000</v>
      </c>
      <c r="AP60" s="91">
        <f>AP61*AP3</f>
        <v>130000</v>
      </c>
      <c r="AQ60" s="91">
        <f>AQ61*AQ3+16000</f>
        <v>100000</v>
      </c>
      <c r="AR60" s="92">
        <f t="shared" si="109"/>
        <v>1724031</v>
      </c>
      <c r="AS60" s="23"/>
      <c r="AT60" s="91">
        <f>AT61*AT3</f>
        <v>133000</v>
      </c>
      <c r="AU60" s="91">
        <f>125180</f>
        <v>125180</v>
      </c>
      <c r="AV60" s="91">
        <f>AV61*AV3+7428</f>
        <v>117228</v>
      </c>
      <c r="AW60" s="91">
        <f>AW61*AW3</f>
        <v>123500</v>
      </c>
      <c r="AX60" s="91">
        <f>AX61*AX3</f>
        <v>132000</v>
      </c>
      <c r="AY60" s="91">
        <f>AY61*AY3</f>
        <v>153342.99999899999</v>
      </c>
      <c r="AZ60" s="91">
        <v>142409</v>
      </c>
      <c r="BA60" s="91">
        <v>163520</v>
      </c>
      <c r="BB60" s="91">
        <f>BB61*BB3</f>
        <v>165000</v>
      </c>
      <c r="BC60" s="91">
        <f>BC61*BC3</f>
        <v>157500</v>
      </c>
      <c r="BD60" s="316">
        <v>129431</v>
      </c>
      <c r="BE60" s="316">
        <v>61700</v>
      </c>
      <c r="BF60" s="91">
        <f t="shared" si="111"/>
        <v>1603810.999999</v>
      </c>
      <c r="BG60" s="27">
        <f>BF60+BF63-AR60-AR63</f>
        <v>-113040.00000100001</v>
      </c>
      <c r="BH60" s="91">
        <v>136760</v>
      </c>
      <c r="BI60" s="91">
        <v>116580</v>
      </c>
      <c r="BJ60" s="91">
        <v>148340</v>
      </c>
      <c r="BK60" s="91">
        <v>112360</v>
      </c>
      <c r="BL60" s="91">
        <v>108660</v>
      </c>
      <c r="BM60" s="91">
        <v>153416</v>
      </c>
      <c r="BN60" s="91">
        <v>137676</v>
      </c>
      <c r="BO60" s="91">
        <v>150654</v>
      </c>
      <c r="BP60" s="91">
        <f>7100*BP3</f>
        <v>142000</v>
      </c>
      <c r="BQ60" s="91">
        <f t="shared" ref="BQ60:BR60" si="116">BQ59-BQ63</f>
        <v>136725</v>
      </c>
      <c r="BR60" s="91">
        <f t="shared" si="116"/>
        <v>167069</v>
      </c>
      <c r="BS60" s="91">
        <v>124020</v>
      </c>
      <c r="BT60" s="91">
        <f t="shared" si="113"/>
        <v>1634260</v>
      </c>
      <c r="BU60" s="28"/>
      <c r="BV60" s="397">
        <f>BV61*BV62-24551</f>
        <v>129449</v>
      </c>
      <c r="BW60" s="397">
        <f>BW61*BW62</f>
        <v>154000</v>
      </c>
      <c r="BX60" s="397">
        <f t="shared" ref="BX60:CA60" si="117">BX61*BX62</f>
        <v>147000</v>
      </c>
      <c r="BY60" s="397">
        <f t="shared" si="117"/>
        <v>154000</v>
      </c>
      <c r="BZ60" s="397">
        <f t="shared" si="117"/>
        <v>147000</v>
      </c>
      <c r="CA60" s="397">
        <f t="shared" si="117"/>
        <v>161000</v>
      </c>
      <c r="CB60" s="397">
        <v>168760</v>
      </c>
      <c r="CC60" s="397">
        <v>194340</v>
      </c>
      <c r="CD60" s="397">
        <v>208000</v>
      </c>
      <c r="CE60" s="397">
        <v>201780</v>
      </c>
      <c r="CF60" s="397">
        <v>154060</v>
      </c>
      <c r="CG60" s="397">
        <v>96720</v>
      </c>
      <c r="CH60" s="91">
        <f t="shared" si="115"/>
        <v>1916109</v>
      </c>
      <c r="CI60" s="395">
        <f>(CH60-BT65)/BT65</f>
        <v>0.34041066279396764</v>
      </c>
    </row>
    <row r="61" spans="1:87" ht="15.75" customHeight="1">
      <c r="A61" s="94"/>
      <c r="B61" s="210" t="s">
        <v>92</v>
      </c>
      <c r="C61" s="335"/>
      <c r="D61" s="313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/>
      <c r="Q61" s="90"/>
      <c r="R61" s="316">
        <f t="shared" ref="R61:AC61" si="118">R60/R3</f>
        <v>7200</v>
      </c>
      <c r="S61" s="316">
        <f t="shared" si="118"/>
        <v>7300</v>
      </c>
      <c r="T61" s="316">
        <f t="shared" si="118"/>
        <v>7300</v>
      </c>
      <c r="U61" s="316">
        <f t="shared" si="118"/>
        <v>0</v>
      </c>
      <c r="V61" s="316">
        <f t="shared" si="118"/>
        <v>3650</v>
      </c>
      <c r="W61" s="316">
        <f t="shared" si="118"/>
        <v>7300</v>
      </c>
      <c r="X61" s="316">
        <f t="shared" si="118"/>
        <v>7300</v>
      </c>
      <c r="Y61" s="316">
        <f t="shared" si="118"/>
        <v>7300</v>
      </c>
      <c r="Z61" s="316">
        <f t="shared" si="118"/>
        <v>7300</v>
      </c>
      <c r="AA61" s="316">
        <f t="shared" si="118"/>
        <v>7300</v>
      </c>
      <c r="AB61" s="316">
        <f t="shared" si="118"/>
        <v>7300</v>
      </c>
      <c r="AC61" s="316">
        <f t="shared" si="118"/>
        <v>7300</v>
      </c>
      <c r="AD61" s="315"/>
      <c r="AE61" s="23"/>
      <c r="AF61" s="316">
        <f t="shared" ref="AF61:AL61" si="119">AF60/AF3</f>
        <v>7300</v>
      </c>
      <c r="AG61" s="316">
        <f t="shared" si="119"/>
        <v>7300</v>
      </c>
      <c r="AH61" s="316">
        <f t="shared" si="119"/>
        <v>6275.55</v>
      </c>
      <c r="AI61" s="316">
        <f t="shared" si="119"/>
        <v>6750</v>
      </c>
      <c r="AJ61" s="316">
        <f t="shared" si="119"/>
        <v>8060</v>
      </c>
      <c r="AK61" s="316">
        <f t="shared" si="119"/>
        <v>7565</v>
      </c>
      <c r="AL61" s="316">
        <f t="shared" si="119"/>
        <v>8000</v>
      </c>
      <c r="AM61" s="91">
        <v>7000</v>
      </c>
      <c r="AN61" s="91">
        <v>7500</v>
      </c>
      <c r="AO61" s="91">
        <v>7000</v>
      </c>
      <c r="AP61" s="91">
        <v>6500</v>
      </c>
      <c r="AQ61" s="91">
        <v>7000</v>
      </c>
      <c r="AR61" s="92">
        <f>AVERAGE(AF61:AQ61)</f>
        <v>7187.5458333333336</v>
      </c>
      <c r="AS61" s="23"/>
      <c r="AT61" s="91">
        <v>7000</v>
      </c>
      <c r="AU61" s="91">
        <f>AU60/AU3</f>
        <v>6588.4210526315792</v>
      </c>
      <c r="AV61" s="91">
        <v>6100</v>
      </c>
      <c r="AW61" s="91">
        <v>6500</v>
      </c>
      <c r="AX61" s="91">
        <v>6000</v>
      </c>
      <c r="AY61" s="91">
        <v>7302.0476189999999</v>
      </c>
      <c r="AZ61" s="91">
        <v>7000</v>
      </c>
      <c r="BA61" s="91">
        <f>BA60/BA3</f>
        <v>7432.727272727273</v>
      </c>
      <c r="BB61" s="91">
        <v>7500</v>
      </c>
      <c r="BC61" s="91">
        <v>7500</v>
      </c>
      <c r="BD61" s="91">
        <f>BD60/BD3</f>
        <v>6471.55</v>
      </c>
      <c r="BE61" s="91">
        <f>BE60/BE3</f>
        <v>6170</v>
      </c>
      <c r="BF61" s="91">
        <f>AVERAGE(AT61:BE61)</f>
        <v>6797.0621620299053</v>
      </c>
      <c r="BG61" s="27"/>
      <c r="BH61" s="91">
        <f t="shared" ref="BH61:BS61" si="120">BH60/BH3</f>
        <v>6838</v>
      </c>
      <c r="BI61" s="91">
        <f t="shared" si="120"/>
        <v>6857.6470588235297</v>
      </c>
      <c r="BJ61" s="91">
        <f t="shared" si="120"/>
        <v>6449.565217391304</v>
      </c>
      <c r="BK61" s="91">
        <f t="shared" si="120"/>
        <v>6242.2222222222226</v>
      </c>
      <c r="BL61" s="91">
        <f t="shared" si="120"/>
        <v>4939.090909090909</v>
      </c>
      <c r="BM61" s="91">
        <f t="shared" si="120"/>
        <v>6670.260869565217</v>
      </c>
      <c r="BN61" s="91">
        <f t="shared" si="120"/>
        <v>6556</v>
      </c>
      <c r="BO61" s="91">
        <f t="shared" si="120"/>
        <v>7174</v>
      </c>
      <c r="BP61" s="91">
        <f t="shared" si="120"/>
        <v>7100</v>
      </c>
      <c r="BQ61" s="91">
        <f t="shared" si="120"/>
        <v>6510.7142857142853</v>
      </c>
      <c r="BR61" s="91">
        <f t="shared" si="120"/>
        <v>8353.4500000000007</v>
      </c>
      <c r="BS61" s="91">
        <f t="shared" si="120"/>
        <v>8858.5714285714294</v>
      </c>
      <c r="BT61" s="91">
        <f>AVERAGE(BH61:BS61)</f>
        <v>6879.1268326149084</v>
      </c>
      <c r="BU61" s="28"/>
      <c r="BV61" s="91">
        <v>7000</v>
      </c>
      <c r="BW61" s="91">
        <v>7000</v>
      </c>
      <c r="BX61" s="91">
        <v>7000</v>
      </c>
      <c r="BY61" s="91">
        <v>7000</v>
      </c>
      <c r="BZ61" s="91">
        <v>7000</v>
      </c>
      <c r="CA61" s="91">
        <v>7000</v>
      </c>
      <c r="CB61" s="91">
        <v>7000</v>
      </c>
      <c r="CC61" s="91">
        <v>7000</v>
      </c>
      <c r="CD61" s="91">
        <v>7000</v>
      </c>
      <c r="CE61" s="91">
        <v>7000</v>
      </c>
      <c r="CF61" s="91">
        <v>7000</v>
      </c>
      <c r="CG61" s="91">
        <v>7000</v>
      </c>
      <c r="CH61" s="91"/>
    </row>
    <row r="62" spans="1:87" ht="15.75" customHeight="1">
      <c r="A62" s="94"/>
      <c r="B62" s="210" t="s">
        <v>93</v>
      </c>
      <c r="C62" s="335"/>
      <c r="D62" s="313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>
        <v>15000</v>
      </c>
      <c r="T62" s="91">
        <v>15600</v>
      </c>
      <c r="U62" s="91">
        <v>2000</v>
      </c>
      <c r="V62" s="91">
        <v>10000</v>
      </c>
      <c r="W62" s="91">
        <v>30000</v>
      </c>
      <c r="X62" s="91">
        <v>20000</v>
      </c>
      <c r="Y62" s="91">
        <v>30000</v>
      </c>
      <c r="Z62" s="91">
        <v>30000</v>
      </c>
      <c r="AA62" s="91">
        <v>20000</v>
      </c>
      <c r="AB62" s="91">
        <v>20000</v>
      </c>
      <c r="AC62" s="91">
        <v>10000</v>
      </c>
      <c r="AD62" s="315"/>
      <c r="AE62" s="23"/>
      <c r="AF62" s="316">
        <v>30000</v>
      </c>
      <c r="AG62" s="91">
        <v>20000</v>
      </c>
      <c r="AH62" s="91">
        <v>24960</v>
      </c>
      <c r="AI62" s="91">
        <v>14040</v>
      </c>
      <c r="AJ62" s="91">
        <v>19040</v>
      </c>
      <c r="AK62" s="91">
        <v>12000</v>
      </c>
      <c r="AL62" s="91">
        <v>14000</v>
      </c>
      <c r="AM62" s="91">
        <v>13000</v>
      </c>
      <c r="AN62" s="91">
        <v>13000</v>
      </c>
      <c r="AO62" s="91">
        <v>0</v>
      </c>
      <c r="AP62" s="91">
        <v>0</v>
      </c>
      <c r="AQ62" s="91">
        <v>0</v>
      </c>
      <c r="AR62" s="92">
        <f t="shared" ref="AR62:AR63" si="121">SUM(AF62:AQ62)</f>
        <v>160040</v>
      </c>
      <c r="AS62" s="23"/>
      <c r="AT62" s="91">
        <v>0</v>
      </c>
      <c r="AU62" s="91">
        <v>0</v>
      </c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>
        <f t="shared" ref="BF62:BF63" si="122">SUM(AT62:BE62)</f>
        <v>0</v>
      </c>
      <c r="BG62" s="27">
        <f>BF62-AR62</f>
        <v>-160040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>
        <f t="shared" ref="BT62" si="123">SUM(BH62:BS62)</f>
        <v>0</v>
      </c>
      <c r="BU62" s="28"/>
      <c r="BV62" s="399">
        <f>19+3</f>
        <v>22</v>
      </c>
      <c r="BW62" s="399">
        <f>19+3</f>
        <v>22</v>
      </c>
      <c r="BX62" s="399">
        <f>18+3</f>
        <v>21</v>
      </c>
      <c r="BY62" s="399">
        <v>22</v>
      </c>
      <c r="BZ62" s="399">
        <v>21</v>
      </c>
      <c r="CA62" s="399">
        <f>20+3</f>
        <v>23</v>
      </c>
      <c r="CB62" s="91"/>
      <c r="CC62" s="91"/>
      <c r="CD62" s="91"/>
      <c r="CE62" s="91"/>
      <c r="CF62" s="91"/>
      <c r="CG62" s="91"/>
      <c r="CH62" s="91">
        <f t="shared" ref="CH62" si="124">SUM(BV62:CG62)</f>
        <v>131</v>
      </c>
    </row>
    <row r="63" spans="1:87" ht="15.75" customHeight="1">
      <c r="A63" s="94"/>
      <c r="B63" s="210" t="s">
        <v>282</v>
      </c>
      <c r="C63" s="335"/>
      <c r="D63" s="313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314"/>
      <c r="Q63" s="90"/>
      <c r="R63" s="313"/>
      <c r="S63" s="91"/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13500</v>
      </c>
      <c r="Z63" s="91">
        <v>9000</v>
      </c>
      <c r="AA63" s="91">
        <v>9000</v>
      </c>
      <c r="AB63" s="91">
        <v>9000</v>
      </c>
      <c r="AC63" s="91">
        <v>0</v>
      </c>
      <c r="AD63" s="315"/>
      <c r="AE63" s="23"/>
      <c r="AF63" s="91">
        <v>13500</v>
      </c>
      <c r="AG63" s="91">
        <v>13500</v>
      </c>
      <c r="AH63" s="91">
        <v>2820</v>
      </c>
      <c r="AI63" s="91">
        <v>0</v>
      </c>
      <c r="AJ63" s="91">
        <v>0</v>
      </c>
      <c r="AK63" s="91">
        <v>0</v>
      </c>
      <c r="AL63" s="91">
        <v>0</v>
      </c>
      <c r="AM63" s="91"/>
      <c r="AN63" s="91"/>
      <c r="AO63" s="91"/>
      <c r="AP63" s="91"/>
      <c r="AQ63" s="91"/>
      <c r="AR63" s="92">
        <f t="shared" si="121"/>
        <v>29820</v>
      </c>
      <c r="AS63" s="23"/>
      <c r="AT63" s="91"/>
      <c r="AU63" s="91"/>
      <c r="AV63" s="91"/>
      <c r="AW63" s="91">
        <v>4000</v>
      </c>
      <c r="AX63" s="91">
        <v>8000</v>
      </c>
      <c r="AY63" s="91">
        <v>5000</v>
      </c>
      <c r="AZ63" s="91">
        <v>10000</v>
      </c>
      <c r="BA63" s="91">
        <v>10000</v>
      </c>
      <c r="BB63" s="91">
        <v>0</v>
      </c>
      <c r="BC63" s="91">
        <v>0</v>
      </c>
      <c r="BD63" s="91">
        <v>0</v>
      </c>
      <c r="BE63" s="91"/>
      <c r="BF63" s="91">
        <f t="shared" si="122"/>
        <v>37000</v>
      </c>
      <c r="BG63" s="27"/>
      <c r="BH63" s="91">
        <v>3000</v>
      </c>
      <c r="BI63" s="91"/>
      <c r="BJ63" s="91"/>
      <c r="BK63" s="91"/>
      <c r="BL63" s="91"/>
      <c r="BM63" s="91"/>
      <c r="BN63" s="91"/>
      <c r="BO63" s="91">
        <v>10000</v>
      </c>
      <c r="BP63" s="91">
        <v>15000</v>
      </c>
      <c r="BQ63" s="91">
        <v>20000</v>
      </c>
      <c r="BR63" s="91">
        <v>15000</v>
      </c>
      <c r="BS63" s="91">
        <f>7200*9/2</f>
        <v>32400</v>
      </c>
      <c r="BT63" s="91">
        <f>SUM(BH63:BS63)</f>
        <v>95400</v>
      </c>
      <c r="BU63" s="28"/>
      <c r="BV63" s="91"/>
      <c r="BW63" s="91"/>
      <c r="BX63" s="91"/>
      <c r="BY63" s="91"/>
      <c r="BZ63" s="91"/>
      <c r="CA63" s="91"/>
      <c r="CB63" s="91"/>
      <c r="CC63" s="91"/>
      <c r="CD63" s="91"/>
      <c r="CE63" s="91"/>
      <c r="CF63" s="91"/>
      <c r="CG63" s="91"/>
      <c r="CH63" s="91">
        <f>SUM(BS63:CG63)</f>
        <v>127800</v>
      </c>
    </row>
    <row r="64" spans="1:87" ht="15.75" customHeight="1">
      <c r="A64" s="94"/>
      <c r="B64" s="210" t="s">
        <v>283</v>
      </c>
      <c r="C64" s="335"/>
      <c r="D64" s="313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314"/>
      <c r="Q64" s="90"/>
      <c r="R64" s="313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315"/>
      <c r="AE64" s="23"/>
      <c r="AF64" s="91"/>
      <c r="AG64" s="91"/>
      <c r="AH64" s="91"/>
      <c r="AI64" s="91"/>
      <c r="AJ64" s="91"/>
      <c r="AK64" s="91"/>
      <c r="AL64" s="91"/>
      <c r="AM64" s="91"/>
      <c r="AN64" s="91"/>
      <c r="AO64" s="91">
        <f t="shared" ref="AO64:AQ64" si="125">AO59*9.68</f>
        <v>1355200</v>
      </c>
      <c r="AP64" s="91">
        <f t="shared" si="125"/>
        <v>1258400</v>
      </c>
      <c r="AQ64" s="91">
        <f t="shared" si="125"/>
        <v>968000</v>
      </c>
      <c r="AR64" s="92"/>
      <c r="AS64" s="23"/>
      <c r="AT64" s="91">
        <f t="shared" ref="AT64:BF64" si="126">AT59*9.68</f>
        <v>1287440</v>
      </c>
      <c r="AU64" s="91">
        <f t="shared" si="126"/>
        <v>1211742.3999999999</v>
      </c>
      <c r="AV64" s="91">
        <f t="shared" si="126"/>
        <v>1134767.04</v>
      </c>
      <c r="AW64" s="91">
        <f t="shared" si="126"/>
        <v>1234200</v>
      </c>
      <c r="AX64" s="91">
        <f t="shared" si="126"/>
        <v>1355200</v>
      </c>
      <c r="AY64" s="91">
        <f t="shared" si="126"/>
        <v>1532760.2399903198</v>
      </c>
      <c r="AZ64" s="91">
        <f t="shared" si="126"/>
        <v>1475319.1199999999</v>
      </c>
      <c r="BA64" s="91">
        <f t="shared" si="126"/>
        <v>1679673.5999999999</v>
      </c>
      <c r="BB64" s="91">
        <f t="shared" si="126"/>
        <v>1597200</v>
      </c>
      <c r="BC64" s="91">
        <f t="shared" si="126"/>
        <v>1524600</v>
      </c>
      <c r="BD64" s="91">
        <f t="shared" si="126"/>
        <v>1252892.08</v>
      </c>
      <c r="BE64" s="91">
        <f t="shared" si="126"/>
        <v>597256</v>
      </c>
      <c r="BF64" s="91">
        <f t="shared" si="126"/>
        <v>15883050.47999032</v>
      </c>
      <c r="BG64" s="27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28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</row>
    <row r="65" spans="1:86">
      <c r="A65" s="110" t="s">
        <v>99</v>
      </c>
      <c r="B65" s="340" t="s">
        <v>100</v>
      </c>
      <c r="C65" s="341"/>
      <c r="D65" s="342">
        <v>95972</v>
      </c>
      <c r="E65" s="111">
        <v>130805</v>
      </c>
      <c r="F65" s="111">
        <v>121914</v>
      </c>
      <c r="G65" s="111">
        <v>165455</v>
      </c>
      <c r="H65" s="111">
        <v>192013</v>
      </c>
      <c r="I65" s="111">
        <v>167281</v>
      </c>
      <c r="J65" s="111">
        <v>181409</v>
      </c>
      <c r="K65" s="111">
        <v>163138</v>
      </c>
      <c r="L65" s="111">
        <v>169051</v>
      </c>
      <c r="M65" s="111">
        <v>183254</v>
      </c>
      <c r="N65" s="111"/>
      <c r="O65" s="111"/>
      <c r="P65" s="343">
        <f>SUM(D65:O65)</f>
        <v>1570292</v>
      </c>
      <c r="Q65" s="84"/>
      <c r="R65" s="342">
        <v>149582</v>
      </c>
      <c r="S65" s="112">
        <v>152735</v>
      </c>
      <c r="T65" s="112">
        <v>107681</v>
      </c>
      <c r="U65" s="112">
        <v>2974</v>
      </c>
      <c r="V65" s="112">
        <v>32639</v>
      </c>
      <c r="W65" s="112">
        <v>153121</v>
      </c>
      <c r="X65" s="112">
        <v>198635</v>
      </c>
      <c r="Y65" s="112">
        <v>160489</v>
      </c>
      <c r="Z65" s="112">
        <v>160893</v>
      </c>
      <c r="AA65" s="112">
        <v>180999</v>
      </c>
      <c r="AB65" s="112">
        <v>167265</v>
      </c>
      <c r="AC65" s="112">
        <v>135424</v>
      </c>
      <c r="AD65" s="344">
        <f>SUM(R65:AC65)</f>
        <v>1602437</v>
      </c>
      <c r="AE65" s="113"/>
      <c r="AF65" s="345">
        <v>145616</v>
      </c>
      <c r="AG65" s="112">
        <v>168450</v>
      </c>
      <c r="AH65" s="112">
        <v>153291</v>
      </c>
      <c r="AI65" s="112">
        <v>149378</v>
      </c>
      <c r="AJ65" s="112">
        <v>196360</v>
      </c>
      <c r="AK65" s="112">
        <v>170558</v>
      </c>
      <c r="AL65" s="112">
        <v>171758</v>
      </c>
      <c r="AM65" s="112">
        <f t="shared" ref="AM65:AQ65" si="127">SUM(AM66:AM67)</f>
        <v>168974</v>
      </c>
      <c r="AN65" s="112">
        <f t="shared" si="127"/>
        <v>144792</v>
      </c>
      <c r="AO65" s="112">
        <f t="shared" si="127"/>
        <v>141375</v>
      </c>
      <c r="AP65" s="112">
        <f t="shared" si="127"/>
        <v>143221</v>
      </c>
      <c r="AQ65" s="112">
        <f t="shared" si="127"/>
        <v>85543</v>
      </c>
      <c r="AR65" s="112">
        <f t="shared" ref="AR65:AR69" si="128">SUM(AF65:AQ65)</f>
        <v>1839316</v>
      </c>
      <c r="AS65" s="23"/>
      <c r="AT65" s="112">
        <f t="shared" ref="AT65:BE65" si="129">SUM(AT66:AT67)</f>
        <v>120211</v>
      </c>
      <c r="AU65" s="112">
        <f t="shared" si="129"/>
        <v>120216</v>
      </c>
      <c r="AV65" s="112">
        <f t="shared" si="129"/>
        <v>101053</v>
      </c>
      <c r="AW65" s="112">
        <f t="shared" si="129"/>
        <v>137388</v>
      </c>
      <c r="AX65" s="112">
        <f t="shared" si="129"/>
        <v>137400</v>
      </c>
      <c r="AY65" s="112">
        <f t="shared" si="129"/>
        <v>135412</v>
      </c>
      <c r="AZ65" s="112">
        <f t="shared" si="129"/>
        <v>157032</v>
      </c>
      <c r="BA65" s="112">
        <f t="shared" si="129"/>
        <v>173287</v>
      </c>
      <c r="BB65" s="114">
        <f t="shared" si="129"/>
        <v>166815</v>
      </c>
      <c r="BC65" s="114">
        <f t="shared" si="129"/>
        <v>153816</v>
      </c>
      <c r="BD65" s="114">
        <f t="shared" si="129"/>
        <v>138051</v>
      </c>
      <c r="BE65" s="114">
        <f t="shared" si="129"/>
        <v>55950</v>
      </c>
      <c r="BF65" s="114">
        <f t="shared" ref="BF65:BF69" si="130">SUM(AT65:BE65)</f>
        <v>1596631</v>
      </c>
      <c r="BG65" s="93">
        <f>BF65/AR65-1</f>
        <v>-0.1319430701412917</v>
      </c>
      <c r="BH65" s="112">
        <f t="shared" ref="BH65:BQ65" si="131">SUM(BH66:BH67)</f>
        <v>138562</v>
      </c>
      <c r="BI65" s="112">
        <f t="shared" si="131"/>
        <v>109391</v>
      </c>
      <c r="BJ65" s="112">
        <f t="shared" si="131"/>
        <v>160056</v>
      </c>
      <c r="BK65" s="112">
        <f t="shared" si="131"/>
        <v>124826</v>
      </c>
      <c r="BL65" s="112">
        <f t="shared" si="131"/>
        <v>151185</v>
      </c>
      <c r="BM65" s="112">
        <f t="shared" si="131"/>
        <v>134688</v>
      </c>
      <c r="BN65" s="112">
        <f t="shared" si="131"/>
        <v>157005</v>
      </c>
      <c r="BO65" s="112">
        <f t="shared" si="131"/>
        <v>151231</v>
      </c>
      <c r="BP65" s="112">
        <f t="shared" si="131"/>
        <v>143335</v>
      </c>
      <c r="BQ65" s="112">
        <f t="shared" si="131"/>
        <v>159215</v>
      </c>
      <c r="BR65" s="112"/>
      <c r="BS65" s="112"/>
      <c r="BT65" s="112">
        <f t="shared" ref="BT65:BT69" si="132">SUM(BH65:BS65)</f>
        <v>1429494</v>
      </c>
      <c r="BU65" s="18"/>
      <c r="BV65" s="112"/>
      <c r="BW65" s="112"/>
      <c r="BX65" s="112"/>
      <c r="BY65" s="112"/>
      <c r="BZ65" s="112"/>
      <c r="CA65" s="112"/>
      <c r="CB65" s="112"/>
      <c r="CC65" s="112"/>
      <c r="CD65" s="112"/>
      <c r="CE65" s="112"/>
      <c r="CF65" s="112"/>
      <c r="CG65" s="112"/>
      <c r="CH65" s="112"/>
    </row>
    <row r="66" spans="1:86" ht="15.75" customHeight="1">
      <c r="A66" s="115"/>
      <c r="B66" s="346" t="s">
        <v>101</v>
      </c>
      <c r="C66" s="347"/>
      <c r="D66" s="265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66"/>
      <c r="Q66" s="116"/>
      <c r="R66" s="265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67"/>
      <c r="AE66" s="23"/>
      <c r="AF66" s="348">
        <v>126362</v>
      </c>
      <c r="AG66" s="22">
        <v>153970</v>
      </c>
      <c r="AH66" s="22">
        <v>128331</v>
      </c>
      <c r="AI66" s="22">
        <v>135338</v>
      </c>
      <c r="AJ66" s="22">
        <v>177312</v>
      </c>
      <c r="AK66" s="22">
        <v>150818</v>
      </c>
      <c r="AL66" s="22">
        <v>158858</v>
      </c>
      <c r="AM66" s="22">
        <v>153933</v>
      </c>
      <c r="AN66" s="22">
        <v>134244</v>
      </c>
      <c r="AO66" s="22">
        <v>137435</v>
      </c>
      <c r="AP66" s="22">
        <v>143221</v>
      </c>
      <c r="AQ66" s="22">
        <v>85543</v>
      </c>
      <c r="AR66" s="117">
        <f t="shared" si="128"/>
        <v>1685365</v>
      </c>
      <c r="AS66" s="23"/>
      <c r="AT66" s="22">
        <v>120211</v>
      </c>
      <c r="AU66" s="22">
        <v>120216</v>
      </c>
      <c r="AV66" s="22">
        <v>101053</v>
      </c>
      <c r="AW66" s="22">
        <v>137388</v>
      </c>
      <c r="AX66" s="22">
        <v>137400</v>
      </c>
      <c r="AY66" s="22">
        <v>135412</v>
      </c>
      <c r="AZ66" s="22">
        <v>157032</v>
      </c>
      <c r="BA66" s="22">
        <v>172227</v>
      </c>
      <c r="BB66" s="22">
        <f>157995+8500</f>
        <v>166495</v>
      </c>
      <c r="BC66" s="22">
        <v>153816</v>
      </c>
      <c r="BD66" s="22">
        <v>138051</v>
      </c>
      <c r="BE66" s="22">
        <v>55950</v>
      </c>
      <c r="BF66" s="22">
        <f t="shared" si="130"/>
        <v>1595251</v>
      </c>
      <c r="BG66" s="27"/>
      <c r="BH66" s="22">
        <v>138562</v>
      </c>
      <c r="BI66" s="22">
        <v>109391</v>
      </c>
      <c r="BJ66" s="22">
        <v>160056</v>
      </c>
      <c r="BK66" s="22">
        <v>124826</v>
      </c>
      <c r="BL66" s="22">
        <v>151185</v>
      </c>
      <c r="BM66" s="22">
        <v>134688</v>
      </c>
      <c r="BN66" s="22">
        <v>157005</v>
      </c>
      <c r="BO66" s="22">
        <v>151231</v>
      </c>
      <c r="BP66" s="22">
        <v>143335</v>
      </c>
      <c r="BQ66" s="22">
        <v>159215</v>
      </c>
      <c r="BR66" s="22"/>
      <c r="BS66" s="22"/>
      <c r="BT66" s="22">
        <f t="shared" si="132"/>
        <v>1429494</v>
      </c>
      <c r="BU66" s="28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</row>
    <row r="67" spans="1:86" ht="15.75" customHeight="1">
      <c r="A67" s="115"/>
      <c r="B67" s="346" t="s">
        <v>102</v>
      </c>
      <c r="C67" s="347"/>
      <c r="D67" s="265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66"/>
      <c r="Q67" s="116"/>
      <c r="R67" s="265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67"/>
      <c r="AE67" s="23"/>
      <c r="AF67" s="22">
        <f t="shared" ref="AF67:AL67" si="133">AF65-AF66</f>
        <v>19254</v>
      </c>
      <c r="AG67" s="22">
        <f t="shared" si="133"/>
        <v>14480</v>
      </c>
      <c r="AH67" s="22">
        <f t="shared" si="133"/>
        <v>24960</v>
      </c>
      <c r="AI67" s="22">
        <f t="shared" si="133"/>
        <v>14040</v>
      </c>
      <c r="AJ67" s="22">
        <f t="shared" si="133"/>
        <v>19048</v>
      </c>
      <c r="AK67" s="22">
        <f t="shared" si="133"/>
        <v>19740</v>
      </c>
      <c r="AL67" s="22">
        <f t="shared" si="133"/>
        <v>12900</v>
      </c>
      <c r="AM67" s="22">
        <v>15041</v>
      </c>
      <c r="AN67" s="22">
        <v>10548</v>
      </c>
      <c r="AO67" s="22">
        <v>3940</v>
      </c>
      <c r="AP67" s="22">
        <v>0</v>
      </c>
      <c r="AQ67" s="22">
        <v>0</v>
      </c>
      <c r="AR67" s="117">
        <f t="shared" si="128"/>
        <v>153951</v>
      </c>
      <c r="AS67" s="23"/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1060</v>
      </c>
      <c r="BB67" s="22">
        <v>320</v>
      </c>
      <c r="BC67" s="22">
        <v>0</v>
      </c>
      <c r="BD67" s="22">
        <v>0</v>
      </c>
      <c r="BE67" s="22"/>
      <c r="BF67" s="22">
        <f t="shared" si="130"/>
        <v>1380</v>
      </c>
      <c r="BG67" s="27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>
        <f t="shared" si="132"/>
        <v>0</v>
      </c>
      <c r="BU67" s="28"/>
      <c r="BV67" s="22"/>
      <c r="BW67" s="22"/>
      <c r="BX67" s="22"/>
      <c r="BY67" s="22"/>
    </row>
    <row r="68" spans="1:86" ht="15.75" customHeight="1">
      <c r="A68" s="103" t="s">
        <v>103</v>
      </c>
      <c r="B68" s="337"/>
      <c r="C68" s="330"/>
      <c r="D68" s="331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332"/>
      <c r="Q68" s="105"/>
      <c r="R68" s="333"/>
      <c r="S68" s="333"/>
      <c r="T68" s="333"/>
      <c r="U68" s="333"/>
      <c r="V68" s="333"/>
      <c r="W68" s="333"/>
      <c r="X68" s="333"/>
      <c r="Y68" s="333"/>
      <c r="Z68" s="333"/>
      <c r="AA68" s="333"/>
      <c r="AB68" s="333"/>
      <c r="AC68" s="333"/>
      <c r="AD68" s="334"/>
      <c r="AE68" s="106"/>
      <c r="AF68" s="333">
        <f t="shared" ref="AF68:AQ68" si="134">AF65-AF59</f>
        <v>-15784</v>
      </c>
      <c r="AG68" s="333">
        <f t="shared" si="134"/>
        <v>2450</v>
      </c>
      <c r="AH68" s="333">
        <f t="shared" si="134"/>
        <v>2820</v>
      </c>
      <c r="AI68" s="333">
        <f t="shared" si="134"/>
        <v>338</v>
      </c>
      <c r="AJ68" s="333">
        <f t="shared" si="134"/>
        <v>0</v>
      </c>
      <c r="AK68" s="333">
        <f t="shared" si="134"/>
        <v>7258</v>
      </c>
      <c r="AL68" s="333">
        <f t="shared" si="134"/>
        <v>-18242</v>
      </c>
      <c r="AM68" s="333">
        <f t="shared" si="134"/>
        <v>1974</v>
      </c>
      <c r="AN68" s="333">
        <f t="shared" si="134"/>
        <v>-25708</v>
      </c>
      <c r="AO68" s="333">
        <f t="shared" si="134"/>
        <v>1375</v>
      </c>
      <c r="AP68" s="333">
        <f t="shared" si="134"/>
        <v>13221</v>
      </c>
      <c r="AQ68" s="333">
        <f t="shared" si="134"/>
        <v>-14457</v>
      </c>
      <c r="AR68" s="107">
        <f t="shared" si="128"/>
        <v>-44755</v>
      </c>
      <c r="AS68" s="106"/>
      <c r="AT68" s="333">
        <f t="shared" ref="AT68:BE68" si="135">AT65-AT59</f>
        <v>-12789</v>
      </c>
      <c r="AU68" s="333">
        <f t="shared" si="135"/>
        <v>-4964</v>
      </c>
      <c r="AV68" s="333">
        <f t="shared" si="135"/>
        <v>-16175</v>
      </c>
      <c r="AW68" s="333">
        <f t="shared" si="135"/>
        <v>9888</v>
      </c>
      <c r="AX68" s="333">
        <f t="shared" si="135"/>
        <v>-2600</v>
      </c>
      <c r="AY68" s="333">
        <f t="shared" si="135"/>
        <v>-22930.999998999992</v>
      </c>
      <c r="AZ68" s="333">
        <f t="shared" si="135"/>
        <v>4623</v>
      </c>
      <c r="BA68" s="333">
        <f t="shared" si="135"/>
        <v>-233</v>
      </c>
      <c r="BB68" s="333">
        <f t="shared" si="135"/>
        <v>1815</v>
      </c>
      <c r="BC68" s="333">
        <f t="shared" si="135"/>
        <v>-3684</v>
      </c>
      <c r="BD68" s="333">
        <f t="shared" si="135"/>
        <v>8620</v>
      </c>
      <c r="BE68" s="333">
        <f t="shared" si="135"/>
        <v>-5750</v>
      </c>
      <c r="BF68" s="108">
        <f t="shared" si="130"/>
        <v>-44179.999998999992</v>
      </c>
      <c r="BG68" s="106"/>
      <c r="BH68" s="333">
        <f t="shared" ref="BH68:BQ68" si="136">BH65-BH59</f>
        <v>-1198</v>
      </c>
      <c r="BI68" s="333">
        <f t="shared" si="136"/>
        <v>-7189</v>
      </c>
      <c r="BJ68" s="333">
        <f t="shared" si="136"/>
        <v>11716</v>
      </c>
      <c r="BK68" s="333">
        <f t="shared" si="136"/>
        <v>12466</v>
      </c>
      <c r="BL68" s="333">
        <f t="shared" si="136"/>
        <v>42525</v>
      </c>
      <c r="BM68" s="333">
        <f t="shared" si="136"/>
        <v>-18728</v>
      </c>
      <c r="BN68" s="333">
        <f t="shared" si="136"/>
        <v>19329</v>
      </c>
      <c r="BO68" s="333">
        <f t="shared" si="136"/>
        <v>-9423</v>
      </c>
      <c r="BP68" s="333">
        <f t="shared" si="136"/>
        <v>-13665</v>
      </c>
      <c r="BQ68" s="333">
        <f t="shared" si="136"/>
        <v>2490</v>
      </c>
      <c r="BR68" s="108"/>
      <c r="BS68" s="108"/>
      <c r="BT68" s="108">
        <f t="shared" si="132"/>
        <v>38323</v>
      </c>
      <c r="BU68" s="28"/>
      <c r="BV68" s="333">
        <f t="shared" ref="BV68:BY68" si="137">BV65-BV59</f>
        <v>-129449</v>
      </c>
      <c r="BW68" s="333">
        <f t="shared" si="137"/>
        <v>-154000</v>
      </c>
      <c r="BX68" s="333">
        <f t="shared" si="137"/>
        <v>-147000</v>
      </c>
      <c r="BY68" s="333">
        <f t="shared" si="137"/>
        <v>-154000</v>
      </c>
    </row>
    <row r="69" spans="1:86" ht="14.25" customHeight="1">
      <c r="A69" s="55" t="s">
        <v>104</v>
      </c>
      <c r="B69" s="56"/>
      <c r="C69" s="280"/>
      <c r="D69" s="288" t="e">
        <f t="shared" ref="D69:F69" si="138">#REF!-#REF!</f>
        <v>#REF!</v>
      </c>
      <c r="E69" s="57" t="e">
        <f t="shared" si="138"/>
        <v>#REF!</v>
      </c>
      <c r="F69" s="57" t="e">
        <f t="shared" si="138"/>
        <v>#REF!</v>
      </c>
      <c r="G69" s="57" t="e">
        <f t="shared" ref="G69:I69" si="139">G59-#REF!</f>
        <v>#REF!</v>
      </c>
      <c r="H69" s="57" t="e">
        <f t="shared" si="139"/>
        <v>#REF!</v>
      </c>
      <c r="I69" s="57" t="e">
        <f t="shared" si="139"/>
        <v>#REF!</v>
      </c>
      <c r="J69" s="57" t="e">
        <f t="shared" ref="J69:K69" si="140">#REF!-#REF!</f>
        <v>#REF!</v>
      </c>
      <c r="K69" s="57" t="e">
        <f t="shared" si="140"/>
        <v>#REF!</v>
      </c>
      <c r="L69" s="57">
        <f>L59-L16</f>
        <v>-24911</v>
      </c>
      <c r="M69" s="57">
        <f>M59-M16</f>
        <v>-13674</v>
      </c>
      <c r="N69" s="57">
        <f>N59-N16</f>
        <v>57632</v>
      </c>
      <c r="O69" s="57">
        <f>O59-O16</f>
        <v>74079</v>
      </c>
      <c r="P69" s="289" t="e">
        <f>SUM(D69:O69)</f>
        <v>#REF!</v>
      </c>
      <c r="Q69" s="39"/>
      <c r="R69" s="288">
        <f t="shared" ref="R69:AD69" si="141">R59-R16</f>
        <v>22222.660017050745</v>
      </c>
      <c r="S69" s="58">
        <f t="shared" si="141"/>
        <v>17159.673608830723</v>
      </c>
      <c r="T69" s="58">
        <f t="shared" si="141"/>
        <v>-24753.77192982455</v>
      </c>
      <c r="U69" s="58">
        <f t="shared" si="141"/>
        <v>-17814.899999999998</v>
      </c>
      <c r="V69" s="58">
        <f t="shared" si="141"/>
        <v>1715</v>
      </c>
      <c r="W69" s="290">
        <f t="shared" si="141"/>
        <v>120430.6180497602</v>
      </c>
      <c r="X69" s="290">
        <f t="shared" si="141"/>
        <v>43436.666666667006</v>
      </c>
      <c r="Y69" s="290">
        <f t="shared" si="141"/>
        <v>-29747.083333333314</v>
      </c>
      <c r="Z69" s="290">
        <f t="shared" si="141"/>
        <v>-80887.5</v>
      </c>
      <c r="AA69" s="290">
        <f t="shared" si="141"/>
        <v>10200</v>
      </c>
      <c r="AB69" s="290">
        <f t="shared" si="141"/>
        <v>137500</v>
      </c>
      <c r="AC69" s="290">
        <f t="shared" si="141"/>
        <v>134100</v>
      </c>
      <c r="AD69" s="291">
        <f t="shared" si="141"/>
        <v>333561.36307915067</v>
      </c>
      <c r="AE69" s="59"/>
      <c r="AF69" s="292">
        <f t="shared" ref="AF69:AQ69" si="142">AF59-AF16</f>
        <v>32754</v>
      </c>
      <c r="AG69" s="58">
        <f t="shared" si="142"/>
        <v>-11977</v>
      </c>
      <c r="AH69" s="58">
        <f t="shared" si="142"/>
        <v>76847</v>
      </c>
      <c r="AI69" s="58">
        <f t="shared" si="142"/>
        <v>59682</v>
      </c>
      <c r="AJ69" s="58">
        <f t="shared" si="142"/>
        <v>74226</v>
      </c>
      <c r="AK69" s="58">
        <f t="shared" si="142"/>
        <v>14740</v>
      </c>
      <c r="AL69" s="58">
        <f t="shared" si="142"/>
        <v>38005</v>
      </c>
      <c r="AM69" s="58">
        <f t="shared" si="142"/>
        <v>-71903</v>
      </c>
      <c r="AN69" s="58">
        <f t="shared" si="142"/>
        <v>-90633.333333333343</v>
      </c>
      <c r="AO69" s="58">
        <f t="shared" si="142"/>
        <v>-115900</v>
      </c>
      <c r="AP69" s="58">
        <f t="shared" si="142"/>
        <v>1360</v>
      </c>
      <c r="AQ69" s="58">
        <f t="shared" si="142"/>
        <v>2160</v>
      </c>
      <c r="AR69" s="58">
        <f t="shared" si="128"/>
        <v>9360.666666666657</v>
      </c>
      <c r="AS69" s="59"/>
      <c r="AT69" s="58">
        <f t="shared" ref="AT69:BE69" si="143">AT59-AT16</f>
        <v>-19749.25</v>
      </c>
      <c r="AU69" s="58">
        <f t="shared" si="143"/>
        <v>-43342.103448275855</v>
      </c>
      <c r="AV69" s="58">
        <f t="shared" si="143"/>
        <v>-36893.137931034493</v>
      </c>
      <c r="AW69" s="58">
        <f t="shared" si="143"/>
        <v>-32095.137931034493</v>
      </c>
      <c r="AX69" s="58">
        <f t="shared" si="143"/>
        <v>19900.034482758623</v>
      </c>
      <c r="AY69" s="58">
        <f t="shared" si="143"/>
        <v>19999.222221222211</v>
      </c>
      <c r="AZ69" s="58">
        <f t="shared" si="143"/>
        <v>-14264.777777777781</v>
      </c>
      <c r="BA69" s="58">
        <f t="shared" si="143"/>
        <v>-68922.296296296292</v>
      </c>
      <c r="BB69" s="58">
        <f t="shared" si="143"/>
        <v>-78407.777777777781</v>
      </c>
      <c r="BC69" s="58">
        <f t="shared" si="143"/>
        <v>-95868.290755657828</v>
      </c>
      <c r="BD69" s="58">
        <f t="shared" si="143"/>
        <v>-5124.586881472962</v>
      </c>
      <c r="BE69" s="58">
        <f t="shared" si="143"/>
        <v>-10986.612965093984</v>
      </c>
      <c r="BF69" s="58">
        <f t="shared" si="130"/>
        <v>-365754.71506044065</v>
      </c>
      <c r="BG69" s="59"/>
      <c r="BH69" s="58">
        <f t="shared" ref="BH69:BQ69" si="144">BH59-BH16</f>
        <v>-12993</v>
      </c>
      <c r="BI69" s="58">
        <f t="shared" si="144"/>
        <v>-30242.333333333314</v>
      </c>
      <c r="BJ69" s="58">
        <f t="shared" si="144"/>
        <v>-23206.074074074073</v>
      </c>
      <c r="BK69" s="58">
        <f t="shared" si="144"/>
        <v>-47411.74074074073</v>
      </c>
      <c r="BL69" s="58">
        <f t="shared" si="144"/>
        <v>-23836.851851851854</v>
      </c>
      <c r="BM69" s="58">
        <f t="shared" si="144"/>
        <v>23509.740740740745</v>
      </c>
      <c r="BN69" s="58">
        <f t="shared" si="144"/>
        <v>-33707.555555555562</v>
      </c>
      <c r="BO69" s="58">
        <f t="shared" si="144"/>
        <v>-18896.378111111087</v>
      </c>
      <c r="BP69" s="58">
        <f t="shared" si="144"/>
        <v>-45053.749537037045</v>
      </c>
      <c r="BQ69" s="58">
        <f t="shared" si="144"/>
        <v>-7140</v>
      </c>
      <c r="BR69" s="58"/>
      <c r="BS69" s="58"/>
      <c r="BT69" s="58">
        <f t="shared" si="132"/>
        <v>-218977.94246296291</v>
      </c>
      <c r="BU69" s="60"/>
      <c r="BV69" s="58">
        <f>BV59-BV16</f>
        <v>-28921.25</v>
      </c>
      <c r="BW69" s="58">
        <f>BW59-BW16</f>
        <v>3495.9500000000116</v>
      </c>
      <c r="BX69" s="58">
        <f>BX59-BX16</f>
        <v>-70683.25</v>
      </c>
      <c r="BY69" s="58">
        <f>BY59-BY16</f>
        <v>30157.899999999994</v>
      </c>
    </row>
  </sheetData>
  <mergeCells count="20"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27:C27"/>
    <mergeCell ref="R1:AD1"/>
    <mergeCell ref="AF1:AR1"/>
    <mergeCell ref="AT1:BF1"/>
    <mergeCell ref="BH1:BS1"/>
    <mergeCell ref="BV1:CG1"/>
    <mergeCell ref="D2:P2"/>
    <mergeCell ref="R2:AD2"/>
    <mergeCell ref="AT2:BF2"/>
    <mergeCell ref="BH2:BS2"/>
    <mergeCell ref="BV2:CG2"/>
  </mergeCells>
  <pageMargins left="0.25" right="0.25" top="0.75" bottom="0.75" header="0" footer="0"/>
  <pageSetup paperSize="9" scale="55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4"/>
  <sheetViews>
    <sheetView workbookViewId="0"/>
  </sheetViews>
  <sheetFormatPr defaultColWidth="14.42578125" defaultRowHeight="15" customHeight="1"/>
  <cols>
    <col min="1" max="1" width="30.7109375" customWidth="1"/>
    <col min="5" max="5" width="16.85546875" customWidth="1"/>
  </cols>
  <sheetData>
    <row r="1" spans="1:10" ht="30">
      <c r="A1" s="126" t="s">
        <v>624</v>
      </c>
      <c r="B1" s="127">
        <f>SUM('Meta multimarca 95%'!BN17:BS17)</f>
        <v>752093.48320370365</v>
      </c>
      <c r="C1" s="128"/>
    </row>
    <row r="2" spans="1:10" hidden="1">
      <c r="A2" s="129" t="s">
        <v>625</v>
      </c>
      <c r="B2" s="130">
        <v>734818</v>
      </c>
    </row>
    <row r="3" spans="1:10">
      <c r="A3" s="131" t="s">
        <v>626</v>
      </c>
      <c r="B3" s="132">
        <f>B2*0.95</f>
        <v>698077.1</v>
      </c>
      <c r="E3" s="349">
        <v>20574899.218050033</v>
      </c>
    </row>
    <row r="4" spans="1:10">
      <c r="A4" s="133" t="s">
        <v>627</v>
      </c>
      <c r="B4" s="130">
        <f>B3-B1</f>
        <v>-54016.383203703677</v>
      </c>
      <c r="E4" s="4">
        <f>E3/27</f>
        <v>762033.30437222344</v>
      </c>
      <c r="F4" s="4">
        <f>E4*0.95</f>
        <v>723931.6391536122</v>
      </c>
    </row>
    <row r="5" spans="1:10" hidden="1">
      <c r="A5" s="133" t="s">
        <v>628</v>
      </c>
      <c r="B5" s="134">
        <f>B4/B1</f>
        <v>-7.1821368500108923E-2</v>
      </c>
    </row>
    <row r="7" spans="1:10">
      <c r="A7" s="1098" t="s">
        <v>629</v>
      </c>
      <c r="B7" s="1125"/>
      <c r="E7" s="135">
        <v>3702000</v>
      </c>
      <c r="F7" s="135">
        <v>4621000</v>
      </c>
      <c r="G7" s="135">
        <v>4963000</v>
      </c>
      <c r="H7" s="135">
        <v>4538000</v>
      </c>
      <c r="I7" s="135">
        <v>2240000</v>
      </c>
      <c r="J7" s="135">
        <v>868000</v>
      </c>
    </row>
    <row r="8" spans="1:10" ht="30">
      <c r="A8" s="126" t="s">
        <v>624</v>
      </c>
      <c r="B8" s="127">
        <f>(SUM(E7:J7)/27)*0.95</f>
        <v>736496.29629629618</v>
      </c>
      <c r="E8" s="123">
        <f>SUM(E7:J7)</f>
        <v>20932000</v>
      </c>
    </row>
    <row r="9" spans="1:10">
      <c r="A9" s="131" t="s">
        <v>626</v>
      </c>
      <c r="B9" s="132">
        <f>(E3/27)*0.95</f>
        <v>723931.6391536122</v>
      </c>
    </row>
    <row r="10" spans="1:10">
      <c r="A10" s="133" t="s">
        <v>627</v>
      </c>
      <c r="B10" s="130">
        <f>B9-B8</f>
        <v>-12564.65714268398</v>
      </c>
    </row>
    <row r="11" spans="1:10">
      <c r="A11" s="133" t="s">
        <v>628</v>
      </c>
      <c r="B11" s="134">
        <f>B10/B8</f>
        <v>-1.706004117857662E-2</v>
      </c>
    </row>
    <row r="13" spans="1:10">
      <c r="A13" s="1098" t="s">
        <v>630</v>
      </c>
      <c r="B13" s="1125"/>
    </row>
    <row r="14" spans="1:10" ht="30">
      <c r="A14" s="126" t="s">
        <v>624</v>
      </c>
      <c r="B14" s="127">
        <f>(SUM(E7:J7)/26)*0.95</f>
        <v>764823.07692307688</v>
      </c>
    </row>
    <row r="15" spans="1:10">
      <c r="A15" s="131" t="s">
        <v>626</v>
      </c>
      <c r="B15" s="132">
        <f>(E3/26)*0.95</f>
        <v>751775.1637364435</v>
      </c>
    </row>
    <row r="16" spans="1:10">
      <c r="A16" s="133" t="s">
        <v>627</v>
      </c>
      <c r="B16" s="130">
        <f>B15-B14</f>
        <v>-13047.913186633377</v>
      </c>
    </row>
    <row r="17" spans="1:2">
      <c r="A17" s="133" t="s">
        <v>628</v>
      </c>
      <c r="B17" s="134">
        <f>B16/B14</f>
        <v>-1.7060041178576634E-2</v>
      </c>
    </row>
    <row r="20" spans="1:2">
      <c r="A20" s="136" t="s">
        <v>631</v>
      </c>
      <c r="B20" s="137">
        <v>293113</v>
      </c>
    </row>
    <row r="21" spans="1:2">
      <c r="A21" s="138" t="s">
        <v>632</v>
      </c>
      <c r="B21" s="139">
        <v>828698</v>
      </c>
    </row>
    <row r="22" spans="1:2" ht="30">
      <c r="A22" s="140" t="s">
        <v>633</v>
      </c>
      <c r="B22" s="141">
        <f>B9</f>
        <v>723931.6391536122</v>
      </c>
    </row>
    <row r="23" spans="1:2">
      <c r="A23" s="142" t="s">
        <v>634</v>
      </c>
      <c r="B23" s="141">
        <f>SUM('Meta multimarca 95%'!BN44:BS44)</f>
        <v>230132.8</v>
      </c>
    </row>
    <row r="24" spans="1:2">
      <c r="A24" s="143" t="s">
        <v>635</v>
      </c>
      <c r="B24" s="144">
        <f>B20+B21-B22-B23</f>
        <v>167746.56084638782</v>
      </c>
    </row>
  </sheetData>
  <mergeCells count="2">
    <mergeCell ref="A7:B7"/>
    <mergeCell ref="A13:B13"/>
  </mergeCells>
  <pageMargins left="0" right="0" top="0" bottom="0" header="0" footer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H72"/>
  <sheetViews>
    <sheetView showGridLines="0" workbookViewId="0">
      <pane xSplit="3" ySplit="5" topLeftCell="D6" activePane="bottomRight" state="frozen"/>
      <selection pane="bottomRight" activeCell="D6" sqref="D6"/>
      <selection pane="bottomLeft" activeCell="A6" sqref="A6"/>
      <selection pane="topRight" activeCell="D1" sqref="D1"/>
    </sheetView>
  </sheetViews>
  <sheetFormatPr defaultColWidth="14.42578125" defaultRowHeight="15" customHeight="1" outlineLevelCol="2"/>
  <cols>
    <col min="1" max="1" width="16.85546875" customWidth="1"/>
    <col min="2" max="2" width="28.7109375" customWidth="1"/>
    <col min="3" max="3" width="10.14062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customWidth="1" collapsed="1"/>
    <col min="18" max="18" width="12" customWidth="1"/>
    <col min="19" max="19" width="13.140625" customWidth="1"/>
    <col min="20" max="20" width="13.140625" hidden="1" customWidth="1" outlineLevel="2"/>
    <col min="21" max="21" width="11.7109375" hidden="1" customWidth="1" outlineLevel="2"/>
    <col min="22" max="22" width="13" hidden="1" customWidth="1" outlineLevel="2"/>
    <col min="23" max="23" width="8.85546875" hidden="1" customWidth="1" outlineLevel="2"/>
    <col min="24" max="24" width="13.140625" hidden="1" customWidth="1" outlineLevel="2"/>
    <col min="25" max="25" width="10.7109375" hidden="1" customWidth="1" outlineLevel="2"/>
    <col min="26" max="26" width="11.140625" hidden="1" customWidth="1" outlineLevel="2"/>
    <col min="27" max="27" width="10.7109375" hidden="1" customWidth="1" outlineLevel="2"/>
    <col min="28" max="28" width="10.5703125" hidden="1" customWidth="1" outlineLevel="2"/>
    <col min="29" max="29" width="9.5703125" hidden="1" customWidth="1" outlineLevel="2"/>
    <col min="30" max="30" width="11.5703125" customWidth="1" collapsed="1"/>
    <col min="31" max="31" width="6.42578125" customWidth="1"/>
    <col min="32" max="33" width="12" customWidth="1"/>
    <col min="34" max="34" width="14.7109375" customWidth="1"/>
    <col min="35" max="40" width="15" customWidth="1"/>
    <col min="41" max="42" width="9.140625" customWidth="1"/>
    <col min="43" max="43" width="10.28515625" customWidth="1"/>
    <col min="44" max="44" width="11" customWidth="1"/>
    <col min="45" max="45" width="2.7109375" customWidth="1"/>
    <col min="46" max="46" width="15.140625" customWidth="1"/>
    <col min="47" max="48" width="15" customWidth="1"/>
    <col min="49" max="49" width="13.140625" customWidth="1"/>
    <col min="50" max="50" width="13.42578125" customWidth="1"/>
    <col min="51" max="51" width="12.7109375" customWidth="1"/>
    <col min="52" max="52" width="12.85546875" customWidth="1"/>
    <col min="53" max="53" width="12.42578125" customWidth="1"/>
    <col min="54" max="54" width="12.85546875" customWidth="1"/>
    <col min="55" max="55" width="14" customWidth="1"/>
    <col min="56" max="57" width="11.7109375" customWidth="1"/>
    <col min="58" max="58" width="17.140625" customWidth="1"/>
    <col min="59" max="59" width="9.140625" customWidth="1"/>
    <col min="60" max="60" width="15.140625" customWidth="1"/>
    <col min="61" max="62" width="15" customWidth="1"/>
    <col min="63" max="63" width="13.140625" customWidth="1"/>
    <col min="64" max="64" width="17.42578125" customWidth="1"/>
    <col min="65" max="65" width="19" customWidth="1"/>
    <col min="66" max="72" width="13.140625" customWidth="1"/>
    <col min="73" max="73" width="9.140625" customWidth="1"/>
    <col min="74" max="86" width="13.140625" customWidth="1"/>
  </cols>
  <sheetData>
    <row r="1" spans="1:86" ht="16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145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</row>
    <row r="2" spans="1:86" ht="15.75">
      <c r="A2" s="4"/>
      <c r="B2" s="4"/>
      <c r="C2" s="2"/>
      <c r="D2" s="1099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249">
        <v>2021</v>
      </c>
      <c r="AG2" s="249"/>
      <c r="AH2" s="249"/>
      <c r="AI2" s="249"/>
      <c r="AJ2" s="249"/>
      <c r="AK2" s="249"/>
      <c r="AL2" s="249"/>
      <c r="AM2" s="249"/>
      <c r="AN2" s="249"/>
      <c r="AO2" s="249"/>
      <c r="AP2" s="249"/>
      <c r="AQ2" s="250"/>
      <c r="AR2" s="251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145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</row>
    <row r="3" spans="1:86">
      <c r="A3" s="3" t="s">
        <v>5</v>
      </c>
      <c r="B3" s="3"/>
      <c r="C3" s="252">
        <f>150/210</f>
        <v>0.7142857142857143</v>
      </c>
      <c r="D3" s="252">
        <v>16</v>
      </c>
      <c r="E3" s="252">
        <v>21</v>
      </c>
      <c r="F3" s="252">
        <v>18</v>
      </c>
      <c r="G3" s="252">
        <v>21</v>
      </c>
      <c r="H3" s="252">
        <v>22</v>
      </c>
      <c r="I3" s="252">
        <v>19</v>
      </c>
      <c r="J3" s="252">
        <v>23</v>
      </c>
      <c r="K3" s="252">
        <v>21</v>
      </c>
      <c r="L3" s="252">
        <v>21</v>
      </c>
      <c r="M3" s="252">
        <v>26</v>
      </c>
      <c r="N3" s="252">
        <v>24</v>
      </c>
      <c r="O3" s="252">
        <v>15</v>
      </c>
      <c r="P3" s="4"/>
      <c r="Q3" s="247"/>
      <c r="R3" s="252">
        <v>22</v>
      </c>
      <c r="S3" s="252">
        <v>20</v>
      </c>
      <c r="T3" s="252">
        <v>14</v>
      </c>
      <c r="U3" s="252">
        <v>1</v>
      </c>
      <c r="V3" s="252">
        <v>12</v>
      </c>
      <c r="W3" s="252">
        <v>22</v>
      </c>
      <c r="X3" s="252">
        <v>23</v>
      </c>
      <c r="Y3" s="252">
        <v>21</v>
      </c>
      <c r="Z3" s="252">
        <v>21</v>
      </c>
      <c r="AA3" s="252">
        <v>21</v>
      </c>
      <c r="AB3" s="252">
        <v>20</v>
      </c>
      <c r="AC3" s="252">
        <v>17</v>
      </c>
      <c r="AD3" s="2"/>
      <c r="AE3" s="253"/>
      <c r="AF3" s="254">
        <v>18</v>
      </c>
      <c r="AG3" s="252">
        <v>20</v>
      </c>
      <c r="AH3" s="248">
        <v>20</v>
      </c>
      <c r="AI3" s="248">
        <v>20</v>
      </c>
      <c r="AJ3" s="252">
        <v>22</v>
      </c>
      <c r="AK3" s="252">
        <v>20</v>
      </c>
      <c r="AL3" s="252">
        <v>22</v>
      </c>
      <c r="AM3" s="252">
        <v>22</v>
      </c>
      <c r="AN3" s="252">
        <v>21</v>
      </c>
      <c r="AO3" s="252">
        <v>20</v>
      </c>
      <c r="AP3" s="252">
        <v>20</v>
      </c>
      <c r="AQ3" s="248">
        <v>12</v>
      </c>
      <c r="AR3" s="2"/>
      <c r="AS3" s="124"/>
      <c r="AT3" s="253">
        <v>19</v>
      </c>
      <c r="AU3" s="248">
        <v>19</v>
      </c>
      <c r="AV3" s="248">
        <v>18</v>
      </c>
      <c r="AW3" s="248">
        <v>19</v>
      </c>
      <c r="AX3" s="248">
        <v>22</v>
      </c>
      <c r="AY3" s="248">
        <v>21</v>
      </c>
      <c r="AZ3" s="248">
        <v>21</v>
      </c>
      <c r="BA3" s="248">
        <v>22</v>
      </c>
      <c r="BB3" s="248">
        <v>22</v>
      </c>
      <c r="BC3" s="248">
        <v>21</v>
      </c>
      <c r="BD3" s="248">
        <v>20</v>
      </c>
      <c r="BE3" s="248">
        <v>10</v>
      </c>
      <c r="BF3" s="2"/>
      <c r="BG3" s="125"/>
      <c r="BH3" s="253">
        <v>20</v>
      </c>
      <c r="BI3" s="248">
        <v>17</v>
      </c>
      <c r="BJ3" s="248">
        <v>23</v>
      </c>
      <c r="BK3" s="248">
        <v>18</v>
      </c>
      <c r="BL3" s="248">
        <v>22</v>
      </c>
      <c r="BM3" s="248">
        <v>21</v>
      </c>
      <c r="BN3" s="248">
        <v>21</v>
      </c>
      <c r="BO3" s="248">
        <v>23</v>
      </c>
      <c r="BP3" s="248">
        <v>20</v>
      </c>
      <c r="BQ3" s="248">
        <v>21</v>
      </c>
      <c r="BR3" s="248">
        <v>20</v>
      </c>
      <c r="BS3" s="248">
        <v>12</v>
      </c>
      <c r="BT3" s="248"/>
      <c r="BU3" s="248"/>
      <c r="BV3" s="253">
        <v>20</v>
      </c>
      <c r="BW3" s="248">
        <v>17</v>
      </c>
      <c r="BX3" s="248">
        <v>23</v>
      </c>
      <c r="BY3" s="248">
        <v>18</v>
      </c>
      <c r="BZ3" s="248">
        <v>22</v>
      </c>
      <c r="CA3" s="248">
        <v>21</v>
      </c>
      <c r="CB3" s="248">
        <v>21</v>
      </c>
      <c r="CC3" s="248">
        <v>23</v>
      </c>
      <c r="CD3" s="248">
        <v>20</v>
      </c>
      <c r="CE3" s="248">
        <v>21</v>
      </c>
      <c r="CF3" s="248">
        <v>20</v>
      </c>
      <c r="CG3" s="248">
        <v>12</v>
      </c>
      <c r="CH3" s="248"/>
    </row>
    <row r="4" spans="1:86">
      <c r="A4" s="8"/>
      <c r="B4" s="8"/>
      <c r="C4" s="146"/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258" t="s">
        <v>26</v>
      </c>
      <c r="Q4" s="10"/>
      <c r="R4" s="257" t="s">
        <v>14</v>
      </c>
      <c r="S4" s="9" t="s">
        <v>15</v>
      </c>
      <c r="T4" s="9" t="s">
        <v>16</v>
      </c>
      <c r="U4" s="9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  <c r="AA4" s="9" t="s">
        <v>23</v>
      </c>
      <c r="AB4" s="9" t="s">
        <v>24</v>
      </c>
      <c r="AC4" s="9" t="s">
        <v>25</v>
      </c>
      <c r="AD4" s="258" t="s">
        <v>26</v>
      </c>
      <c r="AE4" s="11"/>
      <c r="AF4" s="257" t="s">
        <v>14</v>
      </c>
      <c r="AG4" s="9" t="s">
        <v>15</v>
      </c>
      <c r="AH4" s="9" t="s">
        <v>16</v>
      </c>
      <c r="AI4" s="9" t="s">
        <v>17</v>
      </c>
      <c r="AJ4" s="9" t="s">
        <v>18</v>
      </c>
      <c r="AK4" s="9" t="s">
        <v>19</v>
      </c>
      <c r="AL4" s="9" t="s">
        <v>20</v>
      </c>
      <c r="AM4" s="9" t="s">
        <v>21</v>
      </c>
      <c r="AN4" s="9" t="s">
        <v>22</v>
      </c>
      <c r="AO4" s="9" t="s">
        <v>23</v>
      </c>
      <c r="AP4" s="9" t="s">
        <v>24</v>
      </c>
      <c r="AQ4" s="9" t="s">
        <v>25</v>
      </c>
      <c r="AR4" s="9" t="s">
        <v>26</v>
      </c>
      <c r="AS4" s="11"/>
      <c r="AT4" s="9" t="s">
        <v>14</v>
      </c>
      <c r="AU4" s="9" t="s">
        <v>15</v>
      </c>
      <c r="AV4" s="9" t="s">
        <v>16</v>
      </c>
      <c r="AW4" s="9" t="s">
        <v>17</v>
      </c>
      <c r="AX4" s="9" t="s">
        <v>18</v>
      </c>
      <c r="AY4" s="9" t="s">
        <v>19</v>
      </c>
      <c r="AZ4" s="9" t="s">
        <v>20</v>
      </c>
      <c r="BA4" s="9" t="s">
        <v>21</v>
      </c>
      <c r="BB4" s="9" t="s">
        <v>22</v>
      </c>
      <c r="BC4" s="9" t="s">
        <v>23</v>
      </c>
      <c r="BD4" s="9" t="s">
        <v>24</v>
      </c>
      <c r="BE4" s="9" t="s">
        <v>25</v>
      </c>
      <c r="BF4" s="9" t="s">
        <v>26</v>
      </c>
      <c r="BG4" s="10"/>
      <c r="BH4" s="9" t="s">
        <v>14</v>
      </c>
      <c r="BI4" s="9" t="s">
        <v>15</v>
      </c>
      <c r="BJ4" s="9" t="s">
        <v>16</v>
      </c>
      <c r="BK4" s="9" t="s">
        <v>17</v>
      </c>
      <c r="BL4" s="9" t="s">
        <v>18</v>
      </c>
      <c r="BM4" s="9" t="s">
        <v>19</v>
      </c>
      <c r="BN4" s="9" t="s">
        <v>20</v>
      </c>
      <c r="BO4" s="9" t="s">
        <v>21</v>
      </c>
      <c r="BP4" s="9" t="s">
        <v>22</v>
      </c>
      <c r="BQ4" s="9" t="s">
        <v>23</v>
      </c>
      <c r="BR4" s="9" t="s">
        <v>24</v>
      </c>
      <c r="BS4" s="9" t="s">
        <v>25</v>
      </c>
      <c r="BT4" s="9" t="s">
        <v>26</v>
      </c>
      <c r="BU4" s="11"/>
      <c r="BV4" s="9" t="s">
        <v>14</v>
      </c>
      <c r="BW4" s="9" t="s">
        <v>15</v>
      </c>
      <c r="BX4" s="9" t="s">
        <v>16</v>
      </c>
      <c r="BY4" s="9" t="s">
        <v>17</v>
      </c>
      <c r="BZ4" s="9" t="s">
        <v>18</v>
      </c>
      <c r="CA4" s="9" t="s">
        <v>19</v>
      </c>
      <c r="CB4" s="9" t="s">
        <v>20</v>
      </c>
      <c r="CC4" s="9" t="s">
        <v>21</v>
      </c>
      <c r="CD4" s="9" t="s">
        <v>22</v>
      </c>
      <c r="CE4" s="9" t="s">
        <v>23</v>
      </c>
      <c r="CF4" s="9" t="s">
        <v>24</v>
      </c>
      <c r="CG4" s="9" t="s">
        <v>25</v>
      </c>
      <c r="CH4" s="9" t="s">
        <v>26</v>
      </c>
    </row>
    <row r="5" spans="1:86">
      <c r="A5" s="110"/>
      <c r="B5" s="110"/>
      <c r="C5" s="147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343"/>
      <c r="Q5" s="84"/>
      <c r="R5" s="345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344"/>
      <c r="AE5" s="113"/>
      <c r="AF5" s="345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23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27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3"/>
      <c r="BV5" s="112"/>
      <c r="BW5" s="112"/>
      <c r="BX5" s="112"/>
      <c r="BY5" s="112"/>
      <c r="BZ5" s="112"/>
      <c r="CA5" s="112"/>
      <c r="CB5" s="112"/>
      <c r="CC5" s="112"/>
      <c r="CD5" s="112"/>
      <c r="CE5" s="112"/>
      <c r="CF5" s="112"/>
      <c r="CG5" s="112"/>
      <c r="CH5" s="112"/>
    </row>
    <row r="6" spans="1:86">
      <c r="A6" s="148" t="s">
        <v>28</v>
      </c>
      <c r="B6" s="149" t="s">
        <v>263</v>
      </c>
      <c r="C6" s="150"/>
      <c r="D6" s="151">
        <f t="shared" ref="D6:O6" si="0">SUM(D7:D9)</f>
        <v>304786</v>
      </c>
      <c r="E6" s="151">
        <f t="shared" si="0"/>
        <v>311986</v>
      </c>
      <c r="F6" s="151">
        <f t="shared" si="0"/>
        <v>328231</v>
      </c>
      <c r="G6" s="151">
        <f t="shared" si="0"/>
        <v>317873</v>
      </c>
      <c r="H6" s="151">
        <f t="shared" si="0"/>
        <v>347196</v>
      </c>
      <c r="I6" s="151">
        <f t="shared" si="0"/>
        <v>402253</v>
      </c>
      <c r="J6" s="151">
        <f t="shared" si="0"/>
        <v>454488</v>
      </c>
      <c r="K6" s="151">
        <f t="shared" si="0"/>
        <v>447182</v>
      </c>
      <c r="L6" s="151">
        <f t="shared" si="0"/>
        <v>416931</v>
      </c>
      <c r="M6" s="151">
        <f t="shared" si="0"/>
        <v>304402</v>
      </c>
      <c r="N6" s="151">
        <f t="shared" si="0"/>
        <v>0</v>
      </c>
      <c r="O6" s="151">
        <f t="shared" si="0"/>
        <v>188264</v>
      </c>
      <c r="P6" s="350"/>
      <c r="Q6" s="152"/>
      <c r="R6" s="151">
        <f t="shared" ref="R6:AC6" si="1">SUM(R7:R9)</f>
        <v>283359</v>
      </c>
      <c r="S6" s="151">
        <f t="shared" si="1"/>
        <v>342718</v>
      </c>
      <c r="T6" s="151">
        <f t="shared" si="1"/>
        <v>313212</v>
      </c>
      <c r="U6" s="151">
        <f t="shared" si="1"/>
        <v>298093</v>
      </c>
      <c r="V6" s="151">
        <f t="shared" si="1"/>
        <v>206617</v>
      </c>
      <c r="W6" s="151">
        <f t="shared" si="1"/>
        <v>235875</v>
      </c>
      <c r="X6" s="151">
        <f t="shared" si="1"/>
        <v>360135</v>
      </c>
      <c r="Y6" s="151">
        <f t="shared" si="1"/>
        <v>361665</v>
      </c>
      <c r="Z6" s="151">
        <f t="shared" si="1"/>
        <v>353400</v>
      </c>
      <c r="AA6" s="151">
        <f t="shared" si="1"/>
        <v>272097</v>
      </c>
      <c r="AB6" s="151">
        <f t="shared" si="1"/>
        <v>170626</v>
      </c>
      <c r="AC6" s="151">
        <f t="shared" si="1"/>
        <v>197551</v>
      </c>
      <c r="AD6" s="351"/>
      <c r="AE6" s="153"/>
      <c r="AF6" s="151">
        <f t="shared" ref="AF6:AQ6" si="2">SUM(AF7:AF10)</f>
        <v>246973</v>
      </c>
      <c r="AG6" s="151">
        <f t="shared" si="2"/>
        <v>281087</v>
      </c>
      <c r="AH6" s="151">
        <f t="shared" si="2"/>
        <v>386469</v>
      </c>
      <c r="AI6" s="151">
        <f t="shared" si="2"/>
        <v>379017</v>
      </c>
      <c r="AJ6" s="151">
        <f t="shared" si="2"/>
        <v>400777</v>
      </c>
      <c r="AK6" s="151">
        <f t="shared" si="2"/>
        <v>465623</v>
      </c>
      <c r="AL6" s="151">
        <f t="shared" si="2"/>
        <v>472149</v>
      </c>
      <c r="AM6" s="151">
        <f t="shared" si="2"/>
        <v>492339</v>
      </c>
      <c r="AN6" s="151">
        <f t="shared" si="2"/>
        <v>450428</v>
      </c>
      <c r="AO6" s="151">
        <f t="shared" si="2"/>
        <v>391441</v>
      </c>
      <c r="AP6" s="151">
        <f t="shared" si="2"/>
        <v>325482</v>
      </c>
      <c r="AQ6" s="151">
        <f t="shared" si="2"/>
        <v>321014</v>
      </c>
      <c r="AR6" s="151">
        <f t="shared" ref="AR6:AR15" si="3">AQ6</f>
        <v>321014</v>
      </c>
      <c r="AS6" s="154"/>
      <c r="AT6" s="151">
        <f t="shared" ref="AT6:BE6" si="4">SUM(AT7:AT10)</f>
        <v>350303</v>
      </c>
      <c r="AU6" s="151">
        <f t="shared" si="4"/>
        <v>323931</v>
      </c>
      <c r="AV6" s="151">
        <f t="shared" si="4"/>
        <v>307980</v>
      </c>
      <c r="AW6" s="151">
        <f t="shared" si="4"/>
        <v>292777</v>
      </c>
      <c r="AX6" s="155">
        <f t="shared" si="4"/>
        <v>296754</v>
      </c>
      <c r="AY6" s="155">
        <f t="shared" si="4"/>
        <v>344037</v>
      </c>
      <c r="AZ6" s="155">
        <f t="shared" si="4"/>
        <v>367566</v>
      </c>
      <c r="BA6" s="155">
        <f t="shared" si="4"/>
        <v>372442</v>
      </c>
      <c r="BB6" s="155">
        <f t="shared" si="4"/>
        <v>375154</v>
      </c>
      <c r="BC6" s="155">
        <f t="shared" si="4"/>
        <v>340466</v>
      </c>
      <c r="BD6" s="155">
        <f t="shared" si="4"/>
        <v>314581</v>
      </c>
      <c r="BE6" s="151">
        <f t="shared" si="4"/>
        <v>253219</v>
      </c>
      <c r="BF6" s="151">
        <f t="shared" ref="BF6:BF11" si="5">BE6</f>
        <v>253219</v>
      </c>
      <c r="BG6" s="156"/>
      <c r="BH6" s="151">
        <f t="shared" ref="BH6:BI6" si="6">SUM(BH7:BH10)</f>
        <v>307512</v>
      </c>
      <c r="BI6" s="151">
        <f t="shared" si="6"/>
        <v>302058</v>
      </c>
      <c r="BJ6" s="151">
        <f t="shared" ref="BJ6:BS6" si="7">BI6+BJ57-BJ16</f>
        <v>291934.66666666669</v>
      </c>
      <c r="BK6" s="151">
        <f t="shared" si="7"/>
        <v>258706.33333333337</v>
      </c>
      <c r="BL6" s="151">
        <f t="shared" si="7"/>
        <v>314433.00000000006</v>
      </c>
      <c r="BM6" s="157">
        <f t="shared" si="7"/>
        <v>370694.33333333337</v>
      </c>
      <c r="BN6" s="157">
        <f t="shared" si="7"/>
        <v>374182.33333333337</v>
      </c>
      <c r="BO6" s="157">
        <f t="shared" si="7"/>
        <v>349418</v>
      </c>
      <c r="BP6" s="151">
        <f t="shared" si="7"/>
        <v>300174.66666666669</v>
      </c>
      <c r="BQ6" s="151">
        <f t="shared" si="7"/>
        <v>265994</v>
      </c>
      <c r="BR6" s="151">
        <f t="shared" si="7"/>
        <v>280262.33333333331</v>
      </c>
      <c r="BS6" s="151">
        <f t="shared" si="7"/>
        <v>262000.99999999997</v>
      </c>
      <c r="BT6" s="151">
        <f t="shared" ref="BT6:BT14" si="8">BS6</f>
        <v>262000.99999999997</v>
      </c>
      <c r="BU6" s="153"/>
      <c r="BV6" s="151">
        <f>BT6</f>
        <v>262000.99999999997</v>
      </c>
      <c r="BW6" s="151">
        <f t="shared" ref="BW6:CG6" si="9">BV6+BW57-BW16</f>
        <v>267170.04090909089</v>
      </c>
      <c r="BX6" s="151">
        <f t="shared" si="9"/>
        <v>290721.72272727278</v>
      </c>
      <c r="BY6" s="151">
        <f t="shared" si="9"/>
        <v>286501.24545454548</v>
      </c>
      <c r="BZ6" s="151">
        <f t="shared" si="9"/>
        <v>335930.24545454548</v>
      </c>
      <c r="CA6" s="157">
        <f t="shared" si="9"/>
        <v>378019.46363636362</v>
      </c>
      <c r="CB6" s="157">
        <f t="shared" si="9"/>
        <v>373768.68181818177</v>
      </c>
      <c r="CC6" s="157">
        <f t="shared" si="9"/>
        <v>362249.31363636348</v>
      </c>
      <c r="CD6" s="151">
        <f t="shared" si="9"/>
        <v>314301.44999999984</v>
      </c>
      <c r="CE6" s="151">
        <f t="shared" si="9"/>
        <v>286773.568181818</v>
      </c>
      <c r="CF6" s="151">
        <f t="shared" si="9"/>
        <v>327079.95454545435</v>
      </c>
      <c r="CG6" s="151">
        <f t="shared" si="9"/>
        <v>333818.73636363616</v>
      </c>
      <c r="CH6" s="151">
        <f t="shared" ref="CH6:CH14" si="10">CG6</f>
        <v>333818.73636363616</v>
      </c>
    </row>
    <row r="7" spans="1:86">
      <c r="A7" s="19">
        <v>1</v>
      </c>
      <c r="B7" s="158" t="s">
        <v>264</v>
      </c>
      <c r="C7" s="264"/>
      <c r="D7" s="20">
        <v>197000</v>
      </c>
      <c r="E7" s="20">
        <v>223027</v>
      </c>
      <c r="F7" s="20">
        <v>230513</v>
      </c>
      <c r="G7" s="20">
        <v>231174</v>
      </c>
      <c r="H7" s="20">
        <v>255028</v>
      </c>
      <c r="I7" s="20">
        <f>316386+3241</f>
        <v>319627</v>
      </c>
      <c r="J7" s="20">
        <v>377712</v>
      </c>
      <c r="K7" s="20">
        <v>382411</v>
      </c>
      <c r="L7" s="20">
        <v>394107</v>
      </c>
      <c r="M7" s="20">
        <v>267954</v>
      </c>
      <c r="N7" s="20"/>
      <c r="O7" s="20">
        <v>143875</v>
      </c>
      <c r="P7" s="266"/>
      <c r="Q7" s="21"/>
      <c r="R7" s="265">
        <v>208084</v>
      </c>
      <c r="S7" s="22">
        <v>268431</v>
      </c>
      <c r="T7" s="22">
        <v>250616</v>
      </c>
      <c r="U7" s="22">
        <v>237088</v>
      </c>
      <c r="V7" s="22">
        <v>147777</v>
      </c>
      <c r="W7" s="22">
        <v>215818</v>
      </c>
      <c r="X7" s="22">
        <v>273510</v>
      </c>
      <c r="Y7" s="22">
        <v>299059</v>
      </c>
      <c r="Z7" s="22">
        <v>304980</v>
      </c>
      <c r="AA7" s="22">
        <v>231197</v>
      </c>
      <c r="AB7" s="22">
        <v>143086</v>
      </c>
      <c r="AC7" s="22">
        <v>172491</v>
      </c>
      <c r="AD7" s="267"/>
      <c r="AE7" s="23"/>
      <c r="AF7" s="22">
        <v>198695</v>
      </c>
      <c r="AG7" s="22">
        <v>234210</v>
      </c>
      <c r="AH7" s="22">
        <v>327560</v>
      </c>
      <c r="AI7" s="22">
        <v>332523</v>
      </c>
      <c r="AJ7" s="24">
        <v>356667</v>
      </c>
      <c r="AK7" s="22">
        <v>384165</v>
      </c>
      <c r="AL7" s="22">
        <v>317268</v>
      </c>
      <c r="AM7" s="22">
        <v>370708</v>
      </c>
      <c r="AN7" s="22">
        <v>354503</v>
      </c>
      <c r="AO7" s="22">
        <v>314605</v>
      </c>
      <c r="AP7" s="25">
        <v>90490</v>
      </c>
      <c r="AQ7" s="22">
        <v>58348</v>
      </c>
      <c r="AR7" s="22">
        <f t="shared" si="3"/>
        <v>58348</v>
      </c>
      <c r="AS7" s="23"/>
      <c r="AT7" s="22">
        <v>158701</v>
      </c>
      <c r="AU7" s="22">
        <v>115369</v>
      </c>
      <c r="AV7" s="22">
        <v>142379</v>
      </c>
      <c r="AW7" s="22">
        <v>118765</v>
      </c>
      <c r="AX7" s="22">
        <v>113246</v>
      </c>
      <c r="AY7" s="22">
        <v>106776</v>
      </c>
      <c r="AZ7" s="22">
        <v>175234</v>
      </c>
      <c r="BA7" s="22">
        <v>151553</v>
      </c>
      <c r="BB7" s="352">
        <v>167082</v>
      </c>
      <c r="BC7" s="22">
        <v>150959</v>
      </c>
      <c r="BD7" s="22">
        <v>119787</v>
      </c>
      <c r="BE7" s="22">
        <v>65426</v>
      </c>
      <c r="BF7" s="22">
        <f t="shared" si="5"/>
        <v>65426</v>
      </c>
      <c r="BG7" s="27"/>
      <c r="BH7" s="22">
        <v>166918</v>
      </c>
      <c r="BI7" s="22">
        <v>167160</v>
      </c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>
        <f t="shared" si="8"/>
        <v>0</v>
      </c>
      <c r="BU7" s="23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>
        <f t="shared" si="10"/>
        <v>0</v>
      </c>
    </row>
    <row r="8" spans="1:86">
      <c r="A8" s="19">
        <v>2</v>
      </c>
      <c r="B8" s="158" t="s">
        <v>265</v>
      </c>
      <c r="C8" s="264"/>
      <c r="D8" s="20">
        <v>73670</v>
      </c>
      <c r="E8" s="20">
        <v>59682</v>
      </c>
      <c r="F8" s="20">
        <v>54710</v>
      </c>
      <c r="G8" s="20">
        <v>56175</v>
      </c>
      <c r="H8" s="20">
        <v>58933</v>
      </c>
      <c r="I8" s="20">
        <v>42784</v>
      </c>
      <c r="J8" s="20">
        <v>35755</v>
      </c>
      <c r="K8" s="20">
        <v>33547</v>
      </c>
      <c r="L8" s="20">
        <v>22824</v>
      </c>
      <c r="M8" s="20">
        <v>26162</v>
      </c>
      <c r="N8" s="20"/>
      <c r="O8" s="20">
        <v>44389</v>
      </c>
      <c r="P8" s="266"/>
      <c r="Q8" s="21"/>
      <c r="R8" s="265">
        <v>39759</v>
      </c>
      <c r="S8" s="22">
        <v>38325</v>
      </c>
      <c r="T8" s="22">
        <v>26634</v>
      </c>
      <c r="U8" s="22">
        <f>14430+2754+7859</f>
        <v>25043</v>
      </c>
      <c r="V8" s="22">
        <v>23840</v>
      </c>
      <c r="W8" s="22">
        <v>20057</v>
      </c>
      <c r="X8" s="22">
        <v>80502</v>
      </c>
      <c r="Y8" s="22">
        <v>56483</v>
      </c>
      <c r="Z8" s="22">
        <v>44233</v>
      </c>
      <c r="AA8" s="22">
        <v>38155</v>
      </c>
      <c r="AB8" s="22">
        <v>27540</v>
      </c>
      <c r="AC8" s="22">
        <v>25060</v>
      </c>
      <c r="AD8" s="267"/>
      <c r="AE8" s="23"/>
      <c r="AF8" s="22">
        <v>21326</v>
      </c>
      <c r="AG8" s="22">
        <v>17804</v>
      </c>
      <c r="AH8" s="22">
        <v>27157</v>
      </c>
      <c r="AI8" s="22">
        <v>19677</v>
      </c>
      <c r="AJ8" s="22">
        <v>18817</v>
      </c>
      <c r="AK8" s="22">
        <v>25034</v>
      </c>
      <c r="AL8" s="22">
        <v>28090</v>
      </c>
      <c r="AM8" s="22">
        <v>25660</v>
      </c>
      <c r="AN8" s="22">
        <v>33752</v>
      </c>
      <c r="AO8" s="22">
        <v>24699</v>
      </c>
      <c r="AP8" s="25">
        <v>19340</v>
      </c>
      <c r="AQ8" s="22">
        <v>29842</v>
      </c>
      <c r="AR8" s="22">
        <f t="shared" si="3"/>
        <v>29842</v>
      </c>
      <c r="AS8" s="23"/>
      <c r="AT8" s="22">
        <v>46493</v>
      </c>
      <c r="AU8" s="22">
        <v>37125</v>
      </c>
      <c r="AV8" s="22">
        <v>38574</v>
      </c>
      <c r="AW8" s="22">
        <v>43626</v>
      </c>
      <c r="AX8" s="22">
        <v>39641</v>
      </c>
      <c r="AY8" s="22">
        <v>55553</v>
      </c>
      <c r="AZ8" s="22">
        <v>48023</v>
      </c>
      <c r="BA8" s="22">
        <v>55043</v>
      </c>
      <c r="BB8" s="352">
        <v>50383</v>
      </c>
      <c r="BC8" s="22">
        <v>54355</v>
      </c>
      <c r="BD8" s="22">
        <v>82473</v>
      </c>
      <c r="BE8" s="22">
        <v>65398</v>
      </c>
      <c r="BF8" s="22">
        <f t="shared" si="5"/>
        <v>65398</v>
      </c>
      <c r="BG8" s="27"/>
      <c r="BH8" s="22">
        <v>68747</v>
      </c>
      <c r="BI8" s="22">
        <v>62843</v>
      </c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>
        <f t="shared" si="8"/>
        <v>0</v>
      </c>
      <c r="BU8" s="23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>
        <f t="shared" si="10"/>
        <v>0</v>
      </c>
    </row>
    <row r="9" spans="1:86">
      <c r="A9" s="19">
        <v>3</v>
      </c>
      <c r="B9" s="158" t="s">
        <v>636</v>
      </c>
      <c r="C9" s="264"/>
      <c r="D9" s="269">
        <v>34116</v>
      </c>
      <c r="E9" s="269">
        <v>29277</v>
      </c>
      <c r="F9" s="269">
        <v>43008</v>
      </c>
      <c r="G9" s="269">
        <v>30524</v>
      </c>
      <c r="H9" s="269">
        <v>33235</v>
      </c>
      <c r="I9" s="269">
        <v>39842</v>
      </c>
      <c r="J9" s="269">
        <v>41021</v>
      </c>
      <c r="K9" s="269">
        <v>31224</v>
      </c>
      <c r="L9" s="269"/>
      <c r="M9" s="269">
        <v>10286</v>
      </c>
      <c r="N9" s="269"/>
      <c r="O9" s="269"/>
      <c r="P9" s="266"/>
      <c r="Q9" s="21"/>
      <c r="R9" s="268">
        <v>35516</v>
      </c>
      <c r="S9" s="270">
        <v>35962</v>
      </c>
      <c r="T9" s="270">
        <v>35962</v>
      </c>
      <c r="U9" s="270">
        <v>35962</v>
      </c>
      <c r="V9" s="270">
        <v>35000</v>
      </c>
      <c r="W9" s="270"/>
      <c r="X9" s="270">
        <v>6123</v>
      </c>
      <c r="Y9" s="270">
        <v>6123</v>
      </c>
      <c r="Z9" s="270">
        <v>4187</v>
      </c>
      <c r="AA9" s="270">
        <v>2745</v>
      </c>
      <c r="AB9" s="270"/>
      <c r="AC9" s="270"/>
      <c r="AD9" s="267"/>
      <c r="AE9" s="23"/>
      <c r="AF9" s="270">
        <v>8366</v>
      </c>
      <c r="AG9" s="270">
        <v>11534</v>
      </c>
      <c r="AH9" s="270">
        <v>11507</v>
      </c>
      <c r="AI9" s="270">
        <v>9148</v>
      </c>
      <c r="AJ9" s="22">
        <v>8524</v>
      </c>
      <c r="AK9" s="270">
        <v>25290</v>
      </c>
      <c r="AL9" s="270">
        <v>91080</v>
      </c>
      <c r="AM9" s="270">
        <v>66830</v>
      </c>
      <c r="AN9" s="270">
        <v>36866</v>
      </c>
      <c r="AO9" s="270">
        <v>16173</v>
      </c>
      <c r="AP9" s="271">
        <v>178274</v>
      </c>
      <c r="AQ9" s="270">
        <v>210665</v>
      </c>
      <c r="AR9" s="22">
        <f t="shared" si="3"/>
        <v>210665</v>
      </c>
      <c r="AS9" s="23"/>
      <c r="AT9" s="270">
        <v>121075</v>
      </c>
      <c r="AU9" s="270">
        <v>149376</v>
      </c>
      <c r="AV9" s="270">
        <v>104538</v>
      </c>
      <c r="AW9" s="270">
        <v>105262</v>
      </c>
      <c r="AX9" s="270">
        <v>121073</v>
      </c>
      <c r="AY9" s="270">
        <v>163931</v>
      </c>
      <c r="AZ9" s="270">
        <v>109964</v>
      </c>
      <c r="BA9" s="270">
        <v>148266</v>
      </c>
      <c r="BB9" s="352">
        <v>130697</v>
      </c>
      <c r="BC9" s="270">
        <v>113779</v>
      </c>
      <c r="BD9" s="270">
        <v>91119</v>
      </c>
      <c r="BE9" s="270">
        <v>103286</v>
      </c>
      <c r="BF9" s="22">
        <f t="shared" si="5"/>
        <v>103286</v>
      </c>
      <c r="BG9" s="27"/>
      <c r="BH9" s="270">
        <v>49631</v>
      </c>
      <c r="BI9" s="270">
        <v>52953</v>
      </c>
      <c r="BJ9" s="270"/>
      <c r="BK9" s="270"/>
      <c r="BL9" s="22"/>
      <c r="BM9" s="22"/>
      <c r="BN9" s="22"/>
      <c r="BO9" s="22"/>
      <c r="BP9" s="22"/>
      <c r="BQ9" s="22"/>
      <c r="BR9" s="22"/>
      <c r="BS9" s="22"/>
      <c r="BT9" s="22">
        <f t="shared" si="8"/>
        <v>0</v>
      </c>
      <c r="BU9" s="23"/>
      <c r="BV9" s="270"/>
      <c r="BW9" s="270"/>
      <c r="BX9" s="270"/>
      <c r="BY9" s="270"/>
      <c r="BZ9" s="22"/>
      <c r="CA9" s="22"/>
      <c r="CB9" s="22"/>
      <c r="CC9" s="22"/>
      <c r="CD9" s="22"/>
      <c r="CE9" s="22"/>
      <c r="CF9" s="22"/>
      <c r="CG9" s="22"/>
      <c r="CH9" s="22">
        <f t="shared" si="10"/>
        <v>0</v>
      </c>
    </row>
    <row r="10" spans="1:86">
      <c r="A10" s="19">
        <v>1</v>
      </c>
      <c r="B10" s="158" t="s">
        <v>267</v>
      </c>
      <c r="C10" s="159"/>
      <c r="D10" s="20">
        <v>6409</v>
      </c>
      <c r="E10" s="20">
        <v>6860</v>
      </c>
      <c r="F10" s="20">
        <v>4970</v>
      </c>
      <c r="G10" s="20">
        <v>31203</v>
      </c>
      <c r="H10" s="20">
        <v>31499</v>
      </c>
      <c r="I10" s="20">
        <v>25903</v>
      </c>
      <c r="J10" s="20">
        <v>18606</v>
      </c>
      <c r="K10" s="20">
        <v>16014</v>
      </c>
      <c r="L10" s="20">
        <v>13416</v>
      </c>
      <c r="M10" s="20">
        <v>40079</v>
      </c>
      <c r="N10" s="20"/>
      <c r="O10" s="20">
        <v>0</v>
      </c>
      <c r="P10" s="266"/>
      <c r="Q10" s="21"/>
      <c r="R10" s="265">
        <v>3376</v>
      </c>
      <c r="S10" s="22">
        <v>11736</v>
      </c>
      <c r="T10" s="22">
        <v>22454</v>
      </c>
      <c r="U10" s="22">
        <v>21384</v>
      </c>
      <c r="V10" s="22">
        <v>66870</v>
      </c>
      <c r="W10" s="22">
        <v>73769</v>
      </c>
      <c r="X10" s="22">
        <v>13944</v>
      </c>
      <c r="Y10" s="22">
        <v>32750</v>
      </c>
      <c r="Z10" s="22">
        <v>18536</v>
      </c>
      <c r="AA10" s="22">
        <v>40211</v>
      </c>
      <c r="AB10" s="22">
        <v>44457</v>
      </c>
      <c r="AC10" s="22">
        <v>24504</v>
      </c>
      <c r="AD10" s="267"/>
      <c r="AE10" s="23"/>
      <c r="AF10" s="22">
        <v>18586</v>
      </c>
      <c r="AG10" s="22">
        <v>17539</v>
      </c>
      <c r="AH10" s="22">
        <v>20245</v>
      </c>
      <c r="AI10" s="22">
        <v>17669</v>
      </c>
      <c r="AJ10" s="22">
        <v>16769</v>
      </c>
      <c r="AK10" s="22">
        <v>31134</v>
      </c>
      <c r="AL10" s="22">
        <v>35711</v>
      </c>
      <c r="AM10" s="22">
        <v>29141</v>
      </c>
      <c r="AN10" s="22">
        <v>25307</v>
      </c>
      <c r="AO10" s="22">
        <v>35964</v>
      </c>
      <c r="AP10" s="25">
        <v>37378</v>
      </c>
      <c r="AQ10" s="22">
        <v>22159</v>
      </c>
      <c r="AR10" s="22">
        <f t="shared" si="3"/>
        <v>22159</v>
      </c>
      <c r="AS10" s="23"/>
      <c r="AT10" s="22">
        <v>24034</v>
      </c>
      <c r="AU10" s="270">
        <v>22061</v>
      </c>
      <c r="AV10" s="22">
        <v>22489</v>
      </c>
      <c r="AW10" s="22">
        <v>25124</v>
      </c>
      <c r="AX10" s="22">
        <v>22794</v>
      </c>
      <c r="AY10" s="22">
        <v>17777</v>
      </c>
      <c r="AZ10" s="22">
        <v>34345</v>
      </c>
      <c r="BA10" s="22">
        <v>17580</v>
      </c>
      <c r="BB10" s="352">
        <v>26992</v>
      </c>
      <c r="BC10" s="22">
        <v>21373</v>
      </c>
      <c r="BD10" s="22">
        <v>21202</v>
      </c>
      <c r="BE10" s="22">
        <v>19109</v>
      </c>
      <c r="BF10" s="22">
        <f t="shared" si="5"/>
        <v>19109</v>
      </c>
      <c r="BG10" s="27"/>
      <c r="BH10" s="22">
        <v>22216</v>
      </c>
      <c r="BI10" s="270">
        <v>19102</v>
      </c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>
        <f t="shared" si="8"/>
        <v>0</v>
      </c>
      <c r="BU10" s="23"/>
      <c r="BV10" s="22"/>
      <c r="BW10" s="270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>
        <f t="shared" si="10"/>
        <v>0</v>
      </c>
    </row>
    <row r="11" spans="1:86">
      <c r="A11" s="160"/>
      <c r="B11" s="160" t="s">
        <v>41</v>
      </c>
      <c r="C11" s="161"/>
      <c r="D11" s="162">
        <f t="shared" ref="D11:O11" si="11">D6-D9</f>
        <v>270670</v>
      </c>
      <c r="E11" s="162">
        <f t="shared" si="11"/>
        <v>282709</v>
      </c>
      <c r="F11" s="162">
        <f t="shared" si="11"/>
        <v>285223</v>
      </c>
      <c r="G11" s="162">
        <f t="shared" si="11"/>
        <v>287349</v>
      </c>
      <c r="H11" s="162">
        <f t="shared" si="11"/>
        <v>313961</v>
      </c>
      <c r="I11" s="162">
        <f t="shared" si="11"/>
        <v>362411</v>
      </c>
      <c r="J11" s="162">
        <f t="shared" si="11"/>
        <v>413467</v>
      </c>
      <c r="K11" s="162">
        <f t="shared" si="11"/>
        <v>415958</v>
      </c>
      <c r="L11" s="162">
        <f t="shared" si="11"/>
        <v>416931</v>
      </c>
      <c r="M11" s="162">
        <f t="shared" si="11"/>
        <v>294116</v>
      </c>
      <c r="N11" s="162">
        <f t="shared" si="11"/>
        <v>0</v>
      </c>
      <c r="O11" s="162">
        <f t="shared" si="11"/>
        <v>188264</v>
      </c>
      <c r="P11" s="353"/>
      <c r="Q11" s="163"/>
      <c r="R11" s="354">
        <f t="shared" ref="R11:AB11" si="12">R6-R9</f>
        <v>247843</v>
      </c>
      <c r="S11" s="164">
        <f t="shared" si="12"/>
        <v>306756</v>
      </c>
      <c r="T11" s="164">
        <f t="shared" si="12"/>
        <v>277250</v>
      </c>
      <c r="U11" s="164">
        <f t="shared" si="12"/>
        <v>262131</v>
      </c>
      <c r="V11" s="164">
        <f t="shared" si="12"/>
        <v>171617</v>
      </c>
      <c r="W11" s="164">
        <f t="shared" si="12"/>
        <v>235875</v>
      </c>
      <c r="X11" s="164">
        <f t="shared" si="12"/>
        <v>354012</v>
      </c>
      <c r="Y11" s="164">
        <f t="shared" si="12"/>
        <v>355542</v>
      </c>
      <c r="Z11" s="164">
        <f t="shared" si="12"/>
        <v>349213</v>
      </c>
      <c r="AA11" s="164">
        <f t="shared" si="12"/>
        <v>269352</v>
      </c>
      <c r="AB11" s="164">
        <f t="shared" si="12"/>
        <v>170626</v>
      </c>
      <c r="AC11" s="164"/>
      <c r="AD11" s="355"/>
      <c r="AE11" s="154"/>
      <c r="AF11" s="164">
        <f t="shared" ref="AF11:AQ11" si="13">AF6-AF9</f>
        <v>238607</v>
      </c>
      <c r="AG11" s="164">
        <f t="shared" si="13"/>
        <v>269553</v>
      </c>
      <c r="AH11" s="164">
        <f t="shared" si="13"/>
        <v>374962</v>
      </c>
      <c r="AI11" s="164">
        <f t="shared" si="13"/>
        <v>369869</v>
      </c>
      <c r="AJ11" s="164">
        <f t="shared" si="13"/>
        <v>392253</v>
      </c>
      <c r="AK11" s="164">
        <f t="shared" si="13"/>
        <v>440333</v>
      </c>
      <c r="AL11" s="164">
        <f t="shared" si="13"/>
        <v>381069</v>
      </c>
      <c r="AM11" s="164">
        <f t="shared" si="13"/>
        <v>425509</v>
      </c>
      <c r="AN11" s="164">
        <f t="shared" si="13"/>
        <v>413562</v>
      </c>
      <c r="AO11" s="164">
        <f t="shared" si="13"/>
        <v>375268</v>
      </c>
      <c r="AP11" s="164">
        <f t="shared" si="13"/>
        <v>147208</v>
      </c>
      <c r="AQ11" s="164">
        <f t="shared" si="13"/>
        <v>110349</v>
      </c>
      <c r="AR11" s="164">
        <f t="shared" si="3"/>
        <v>110349</v>
      </c>
      <c r="AS11" s="154"/>
      <c r="AT11" s="164">
        <f t="shared" ref="AT11:BE11" si="14">AT6-AT9</f>
        <v>229228</v>
      </c>
      <c r="AU11" s="164">
        <f t="shared" si="14"/>
        <v>174555</v>
      </c>
      <c r="AV11" s="164">
        <f t="shared" si="14"/>
        <v>203442</v>
      </c>
      <c r="AW11" s="164">
        <f t="shared" si="14"/>
        <v>187515</v>
      </c>
      <c r="AX11" s="164">
        <f t="shared" si="14"/>
        <v>175681</v>
      </c>
      <c r="AY11" s="164">
        <f t="shared" si="14"/>
        <v>180106</v>
      </c>
      <c r="AZ11" s="164">
        <f t="shared" si="14"/>
        <v>257602</v>
      </c>
      <c r="BA11" s="164">
        <f t="shared" si="14"/>
        <v>224176</v>
      </c>
      <c r="BB11" s="164">
        <f t="shared" si="14"/>
        <v>244457</v>
      </c>
      <c r="BC11" s="164">
        <f t="shared" si="14"/>
        <v>226687</v>
      </c>
      <c r="BD11" s="164">
        <f t="shared" si="14"/>
        <v>223462</v>
      </c>
      <c r="BE11" s="164">
        <f t="shared" si="14"/>
        <v>149933</v>
      </c>
      <c r="BF11" s="164">
        <f t="shared" si="5"/>
        <v>149933</v>
      </c>
      <c r="BG11" s="156"/>
      <c r="BH11" s="164">
        <f t="shared" ref="BH11:BS11" si="15">BH6-BH9</f>
        <v>257881</v>
      </c>
      <c r="BI11" s="164">
        <f t="shared" si="15"/>
        <v>249105</v>
      </c>
      <c r="BJ11" s="164">
        <f t="shared" si="15"/>
        <v>291934.66666666669</v>
      </c>
      <c r="BK11" s="164">
        <f t="shared" si="15"/>
        <v>258706.33333333337</v>
      </c>
      <c r="BL11" s="164">
        <f t="shared" si="15"/>
        <v>314433.00000000006</v>
      </c>
      <c r="BM11" s="164">
        <f t="shared" si="15"/>
        <v>370694.33333333337</v>
      </c>
      <c r="BN11" s="164">
        <f t="shared" si="15"/>
        <v>374182.33333333337</v>
      </c>
      <c r="BO11" s="164">
        <f t="shared" si="15"/>
        <v>349418</v>
      </c>
      <c r="BP11" s="164">
        <f t="shared" si="15"/>
        <v>300174.66666666669</v>
      </c>
      <c r="BQ11" s="164">
        <f t="shared" si="15"/>
        <v>265994</v>
      </c>
      <c r="BR11" s="164">
        <f t="shared" si="15"/>
        <v>280262.33333333331</v>
      </c>
      <c r="BS11" s="164">
        <f t="shared" si="15"/>
        <v>262000.99999999997</v>
      </c>
      <c r="BT11" s="164">
        <f t="shared" si="8"/>
        <v>262000.99999999997</v>
      </c>
      <c r="BU11" s="154"/>
      <c r="BV11" s="164">
        <f t="shared" ref="BV11:CG11" si="16">BV6-BV9</f>
        <v>262000.99999999997</v>
      </c>
      <c r="BW11" s="164">
        <f t="shared" si="16"/>
        <v>267170.04090909089</v>
      </c>
      <c r="BX11" s="164">
        <f t="shared" si="16"/>
        <v>290721.72272727278</v>
      </c>
      <c r="BY11" s="164">
        <f t="shared" si="16"/>
        <v>286501.24545454548</v>
      </c>
      <c r="BZ11" s="164">
        <f t="shared" si="16"/>
        <v>335930.24545454548</v>
      </c>
      <c r="CA11" s="164">
        <f t="shared" si="16"/>
        <v>378019.46363636362</v>
      </c>
      <c r="CB11" s="164">
        <f t="shared" si="16"/>
        <v>373768.68181818177</v>
      </c>
      <c r="CC11" s="164">
        <f t="shared" si="16"/>
        <v>362249.31363636348</v>
      </c>
      <c r="CD11" s="164">
        <f t="shared" si="16"/>
        <v>314301.44999999984</v>
      </c>
      <c r="CE11" s="164">
        <f t="shared" si="16"/>
        <v>286773.568181818</v>
      </c>
      <c r="CF11" s="164">
        <f t="shared" si="16"/>
        <v>327079.95454545435</v>
      </c>
      <c r="CG11" s="164">
        <f t="shared" si="16"/>
        <v>333818.73636363616</v>
      </c>
      <c r="CH11" s="164">
        <f t="shared" si="10"/>
        <v>333818.73636363616</v>
      </c>
    </row>
    <row r="12" spans="1:86">
      <c r="A12" s="148" t="s">
        <v>42</v>
      </c>
      <c r="B12" s="148"/>
      <c r="C12" s="150" t="s">
        <v>43</v>
      </c>
      <c r="D12" s="165">
        <f>D7-D9</f>
        <v>162884</v>
      </c>
      <c r="E12" s="165">
        <f t="shared" ref="E12:O12" si="17">E7+E10-E9-E48</f>
        <v>200610</v>
      </c>
      <c r="F12" s="165">
        <f t="shared" si="17"/>
        <v>192475</v>
      </c>
      <c r="G12" s="165">
        <f t="shared" si="17"/>
        <v>231853</v>
      </c>
      <c r="H12" s="165">
        <f t="shared" si="17"/>
        <v>253292</v>
      </c>
      <c r="I12" s="165">
        <f t="shared" si="17"/>
        <v>305688</v>
      </c>
      <c r="J12" s="165">
        <f t="shared" si="17"/>
        <v>355297</v>
      </c>
      <c r="K12" s="165">
        <f t="shared" si="17"/>
        <v>367201</v>
      </c>
      <c r="L12" s="165">
        <f t="shared" si="17"/>
        <v>407523</v>
      </c>
      <c r="M12" s="165">
        <f t="shared" si="17"/>
        <v>297747</v>
      </c>
      <c r="N12" s="165">
        <f t="shared" si="17"/>
        <v>0</v>
      </c>
      <c r="O12" s="165">
        <f t="shared" si="17"/>
        <v>143875</v>
      </c>
      <c r="P12" s="350">
        <f>J12</f>
        <v>355297</v>
      </c>
      <c r="Q12" s="152"/>
      <c r="R12" s="356">
        <f>R7-R9</f>
        <v>172568</v>
      </c>
      <c r="S12" s="151">
        <f t="shared" ref="S12:AC12" si="18">S7+S10-S9-S48</f>
        <v>244205</v>
      </c>
      <c r="T12" s="151">
        <f t="shared" si="18"/>
        <v>237108</v>
      </c>
      <c r="U12" s="151">
        <f t="shared" si="18"/>
        <v>222510</v>
      </c>
      <c r="V12" s="151">
        <f t="shared" si="18"/>
        <v>179647</v>
      </c>
      <c r="W12" s="151">
        <f t="shared" si="18"/>
        <v>289587</v>
      </c>
      <c r="X12" s="151">
        <f t="shared" si="18"/>
        <v>281331</v>
      </c>
      <c r="Y12" s="151">
        <f t="shared" si="18"/>
        <v>325686</v>
      </c>
      <c r="Z12" s="151">
        <f t="shared" si="18"/>
        <v>319329</v>
      </c>
      <c r="AA12" s="151">
        <f t="shared" si="18"/>
        <v>268663</v>
      </c>
      <c r="AB12" s="151">
        <f t="shared" si="18"/>
        <v>187543</v>
      </c>
      <c r="AC12" s="151">
        <f t="shared" si="18"/>
        <v>196995</v>
      </c>
      <c r="AD12" s="351">
        <f>X12</f>
        <v>281331</v>
      </c>
      <c r="AE12" s="153"/>
      <c r="AF12" s="151">
        <f t="shared" ref="AF12:AQ12" si="19">AF7+AF9+AF8</f>
        <v>228387</v>
      </c>
      <c r="AG12" s="151">
        <f t="shared" si="19"/>
        <v>263548</v>
      </c>
      <c r="AH12" s="151">
        <f t="shared" si="19"/>
        <v>366224</v>
      </c>
      <c r="AI12" s="151">
        <f t="shared" si="19"/>
        <v>361348</v>
      </c>
      <c r="AJ12" s="151">
        <f t="shared" si="19"/>
        <v>384008</v>
      </c>
      <c r="AK12" s="151">
        <f t="shared" si="19"/>
        <v>434489</v>
      </c>
      <c r="AL12" s="151">
        <f t="shared" si="19"/>
        <v>436438</v>
      </c>
      <c r="AM12" s="151">
        <f t="shared" si="19"/>
        <v>463198</v>
      </c>
      <c r="AN12" s="151">
        <f t="shared" si="19"/>
        <v>425121</v>
      </c>
      <c r="AO12" s="151">
        <f t="shared" si="19"/>
        <v>355477</v>
      </c>
      <c r="AP12" s="151">
        <f t="shared" si="19"/>
        <v>288104</v>
      </c>
      <c r="AQ12" s="151">
        <f t="shared" si="19"/>
        <v>298855</v>
      </c>
      <c r="AR12" s="151">
        <f t="shared" si="3"/>
        <v>298855</v>
      </c>
      <c r="AS12" s="154"/>
      <c r="AT12" s="151">
        <f t="shared" ref="AT12:BE12" si="20">AT7+AT9+AT8</f>
        <v>326269</v>
      </c>
      <c r="AU12" s="151">
        <f t="shared" si="20"/>
        <v>301870</v>
      </c>
      <c r="AV12" s="151">
        <f t="shared" si="20"/>
        <v>285491</v>
      </c>
      <c r="AW12" s="151">
        <f t="shared" si="20"/>
        <v>267653</v>
      </c>
      <c r="AX12" s="151">
        <f t="shared" si="20"/>
        <v>273960</v>
      </c>
      <c r="AY12" s="151">
        <f t="shared" si="20"/>
        <v>326260</v>
      </c>
      <c r="AZ12" s="151">
        <f t="shared" si="20"/>
        <v>333221</v>
      </c>
      <c r="BA12" s="151">
        <f t="shared" si="20"/>
        <v>354862</v>
      </c>
      <c r="BB12" s="151">
        <f t="shared" si="20"/>
        <v>348162</v>
      </c>
      <c r="BC12" s="151">
        <f t="shared" si="20"/>
        <v>319093</v>
      </c>
      <c r="BD12" s="151">
        <f t="shared" si="20"/>
        <v>293379</v>
      </c>
      <c r="BE12" s="151">
        <f t="shared" si="20"/>
        <v>234110</v>
      </c>
      <c r="BF12" s="164">
        <f t="shared" ref="BF12:BF13" si="21">SUM(AT12:BE12)</f>
        <v>3664330</v>
      </c>
      <c r="BG12" s="156"/>
      <c r="BH12" s="151">
        <f t="shared" ref="BH12:BS12" si="22">BH7+BH9+BH8</f>
        <v>285296</v>
      </c>
      <c r="BI12" s="151">
        <f t="shared" si="22"/>
        <v>282956</v>
      </c>
      <c r="BJ12" s="151">
        <f t="shared" si="22"/>
        <v>0</v>
      </c>
      <c r="BK12" s="151">
        <f t="shared" si="22"/>
        <v>0</v>
      </c>
      <c r="BL12" s="151">
        <f t="shared" si="22"/>
        <v>0</v>
      </c>
      <c r="BM12" s="151">
        <f t="shared" si="22"/>
        <v>0</v>
      </c>
      <c r="BN12" s="151">
        <f t="shared" si="22"/>
        <v>0</v>
      </c>
      <c r="BO12" s="151">
        <f t="shared" si="22"/>
        <v>0</v>
      </c>
      <c r="BP12" s="151">
        <f t="shared" si="22"/>
        <v>0</v>
      </c>
      <c r="BQ12" s="151">
        <f t="shared" si="22"/>
        <v>0</v>
      </c>
      <c r="BR12" s="151">
        <f t="shared" si="22"/>
        <v>0</v>
      </c>
      <c r="BS12" s="151">
        <f t="shared" si="22"/>
        <v>0</v>
      </c>
      <c r="BT12" s="151">
        <f t="shared" si="8"/>
        <v>0</v>
      </c>
      <c r="BU12" s="153"/>
      <c r="BV12" s="151">
        <f t="shared" ref="BV12:CG12" si="23">BV7+BV9+BV8</f>
        <v>0</v>
      </c>
      <c r="BW12" s="151">
        <f t="shared" si="23"/>
        <v>0</v>
      </c>
      <c r="BX12" s="151">
        <f t="shared" si="23"/>
        <v>0</v>
      </c>
      <c r="BY12" s="151">
        <f t="shared" si="23"/>
        <v>0</v>
      </c>
      <c r="BZ12" s="151">
        <f t="shared" si="23"/>
        <v>0</v>
      </c>
      <c r="CA12" s="151">
        <f t="shared" si="23"/>
        <v>0</v>
      </c>
      <c r="CB12" s="151">
        <f t="shared" si="23"/>
        <v>0</v>
      </c>
      <c r="CC12" s="151">
        <f t="shared" si="23"/>
        <v>0</v>
      </c>
      <c r="CD12" s="151">
        <f t="shared" si="23"/>
        <v>0</v>
      </c>
      <c r="CE12" s="151">
        <f t="shared" si="23"/>
        <v>0</v>
      </c>
      <c r="CF12" s="151">
        <f t="shared" si="23"/>
        <v>0</v>
      </c>
      <c r="CG12" s="151">
        <f t="shared" si="23"/>
        <v>0</v>
      </c>
      <c r="CH12" s="151">
        <f t="shared" si="10"/>
        <v>0</v>
      </c>
    </row>
    <row r="13" spans="1:86">
      <c r="A13" s="148" t="s">
        <v>44</v>
      </c>
      <c r="B13" s="148"/>
      <c r="C13" s="150" t="s">
        <v>45</v>
      </c>
      <c r="D13" s="165">
        <f t="shared" ref="D13:O13" si="24">D6-D10-D9</f>
        <v>264261</v>
      </c>
      <c r="E13" s="165">
        <f t="shared" si="24"/>
        <v>275849</v>
      </c>
      <c r="F13" s="165">
        <f t="shared" si="24"/>
        <v>280253</v>
      </c>
      <c r="G13" s="165">
        <f t="shared" si="24"/>
        <v>256146</v>
      </c>
      <c r="H13" s="165">
        <f t="shared" si="24"/>
        <v>282462</v>
      </c>
      <c r="I13" s="165">
        <f t="shared" si="24"/>
        <v>336508</v>
      </c>
      <c r="J13" s="165">
        <f t="shared" si="24"/>
        <v>394861</v>
      </c>
      <c r="K13" s="165">
        <f t="shared" si="24"/>
        <v>399944</v>
      </c>
      <c r="L13" s="165">
        <f t="shared" si="24"/>
        <v>403515</v>
      </c>
      <c r="M13" s="165">
        <f t="shared" si="24"/>
        <v>254037</v>
      </c>
      <c r="N13" s="165">
        <f t="shared" si="24"/>
        <v>0</v>
      </c>
      <c r="O13" s="165">
        <f t="shared" si="24"/>
        <v>188264</v>
      </c>
      <c r="P13" s="350">
        <f t="shared" ref="P13:P14" si="25">O13</f>
        <v>188264</v>
      </c>
      <c r="Q13" s="152"/>
      <c r="R13" s="356">
        <f t="shared" ref="R13:AC13" si="26">R6-R10-R9</f>
        <v>244467</v>
      </c>
      <c r="S13" s="151">
        <f t="shared" si="26"/>
        <v>295020</v>
      </c>
      <c r="T13" s="151">
        <f t="shared" si="26"/>
        <v>254796</v>
      </c>
      <c r="U13" s="151">
        <f t="shared" si="26"/>
        <v>240747</v>
      </c>
      <c r="V13" s="151">
        <f t="shared" si="26"/>
        <v>104747</v>
      </c>
      <c r="W13" s="151">
        <f t="shared" si="26"/>
        <v>162106</v>
      </c>
      <c r="X13" s="151">
        <f t="shared" si="26"/>
        <v>340068</v>
      </c>
      <c r="Y13" s="151">
        <f t="shared" si="26"/>
        <v>322792</v>
      </c>
      <c r="Z13" s="151">
        <f t="shared" si="26"/>
        <v>330677</v>
      </c>
      <c r="AA13" s="151">
        <f t="shared" si="26"/>
        <v>229141</v>
      </c>
      <c r="AB13" s="151">
        <f t="shared" si="26"/>
        <v>126169</v>
      </c>
      <c r="AC13" s="151">
        <f t="shared" si="26"/>
        <v>173047</v>
      </c>
      <c r="AD13" s="351">
        <f t="shared" ref="AD13:AD14" si="27">AC13</f>
        <v>173047</v>
      </c>
      <c r="AE13" s="153"/>
      <c r="AF13" s="357">
        <f t="shared" ref="AF13:AQ13" si="28">AF12-AF9</f>
        <v>220021</v>
      </c>
      <c r="AG13" s="357">
        <f t="shared" si="28"/>
        <v>252014</v>
      </c>
      <c r="AH13" s="357">
        <f t="shared" si="28"/>
        <v>354717</v>
      </c>
      <c r="AI13" s="357">
        <f t="shared" si="28"/>
        <v>352200</v>
      </c>
      <c r="AJ13" s="357">
        <f t="shared" si="28"/>
        <v>375484</v>
      </c>
      <c r="AK13" s="357">
        <f t="shared" si="28"/>
        <v>409199</v>
      </c>
      <c r="AL13" s="357">
        <f t="shared" si="28"/>
        <v>345358</v>
      </c>
      <c r="AM13" s="357">
        <f t="shared" si="28"/>
        <v>396368</v>
      </c>
      <c r="AN13" s="357">
        <f t="shared" si="28"/>
        <v>388255</v>
      </c>
      <c r="AO13" s="357">
        <f t="shared" si="28"/>
        <v>339304</v>
      </c>
      <c r="AP13" s="357">
        <f t="shared" si="28"/>
        <v>109830</v>
      </c>
      <c r="AQ13" s="357">
        <f t="shared" si="28"/>
        <v>88190</v>
      </c>
      <c r="AR13" s="151">
        <f t="shared" si="3"/>
        <v>88190</v>
      </c>
      <c r="AS13" s="154"/>
      <c r="AT13" s="357">
        <f t="shared" ref="AT13:BE13" si="29">AT12-AT9</f>
        <v>205194</v>
      </c>
      <c r="AU13" s="357">
        <f t="shared" si="29"/>
        <v>152494</v>
      </c>
      <c r="AV13" s="357">
        <f t="shared" si="29"/>
        <v>180953</v>
      </c>
      <c r="AW13" s="357">
        <f t="shared" si="29"/>
        <v>162391</v>
      </c>
      <c r="AX13" s="357">
        <f t="shared" si="29"/>
        <v>152887</v>
      </c>
      <c r="AY13" s="357">
        <f t="shared" si="29"/>
        <v>162329</v>
      </c>
      <c r="AZ13" s="357">
        <f t="shared" si="29"/>
        <v>223257</v>
      </c>
      <c r="BA13" s="357">
        <f t="shared" si="29"/>
        <v>206596</v>
      </c>
      <c r="BB13" s="357">
        <f t="shared" si="29"/>
        <v>217465</v>
      </c>
      <c r="BC13" s="357">
        <f t="shared" si="29"/>
        <v>205314</v>
      </c>
      <c r="BD13" s="357">
        <f t="shared" si="29"/>
        <v>202260</v>
      </c>
      <c r="BE13" s="357">
        <f t="shared" si="29"/>
        <v>130824</v>
      </c>
      <c r="BF13" s="164">
        <f t="shared" si="21"/>
        <v>2201964</v>
      </c>
      <c r="BG13" s="166">
        <f>SUM(AT16:AY16)/SUM(AF49:AK49)-1</f>
        <v>0.2283258050797119</v>
      </c>
      <c r="BH13" s="357">
        <f t="shared" ref="BH13:BS13" si="30">BH12-BH9</f>
        <v>235665</v>
      </c>
      <c r="BI13" s="357">
        <f t="shared" si="30"/>
        <v>230003</v>
      </c>
      <c r="BJ13" s="357">
        <f t="shared" si="30"/>
        <v>0</v>
      </c>
      <c r="BK13" s="357">
        <f t="shared" si="30"/>
        <v>0</v>
      </c>
      <c r="BL13" s="151">
        <f t="shared" si="30"/>
        <v>0</v>
      </c>
      <c r="BM13" s="151">
        <f t="shared" si="30"/>
        <v>0</v>
      </c>
      <c r="BN13" s="151">
        <f t="shared" si="30"/>
        <v>0</v>
      </c>
      <c r="BO13" s="151">
        <f t="shared" si="30"/>
        <v>0</v>
      </c>
      <c r="BP13" s="151">
        <f t="shared" si="30"/>
        <v>0</v>
      </c>
      <c r="BQ13" s="151">
        <f t="shared" si="30"/>
        <v>0</v>
      </c>
      <c r="BR13" s="151">
        <f t="shared" si="30"/>
        <v>0</v>
      </c>
      <c r="BS13" s="151">
        <f t="shared" si="30"/>
        <v>0</v>
      </c>
      <c r="BT13" s="151">
        <f t="shared" si="8"/>
        <v>0</v>
      </c>
      <c r="BU13" s="153"/>
      <c r="BV13" s="357">
        <f t="shared" ref="BV13:CG13" si="31">BV12-BV9</f>
        <v>0</v>
      </c>
      <c r="BW13" s="357">
        <f t="shared" si="31"/>
        <v>0</v>
      </c>
      <c r="BX13" s="357">
        <f t="shared" si="31"/>
        <v>0</v>
      </c>
      <c r="BY13" s="357">
        <f t="shared" si="31"/>
        <v>0</v>
      </c>
      <c r="BZ13" s="151">
        <f t="shared" si="31"/>
        <v>0</v>
      </c>
      <c r="CA13" s="151">
        <f t="shared" si="31"/>
        <v>0</v>
      </c>
      <c r="CB13" s="151">
        <f t="shared" si="31"/>
        <v>0</v>
      </c>
      <c r="CC13" s="151">
        <f t="shared" si="31"/>
        <v>0</v>
      </c>
      <c r="CD13" s="151">
        <f t="shared" si="31"/>
        <v>0</v>
      </c>
      <c r="CE13" s="151">
        <f t="shared" si="31"/>
        <v>0</v>
      </c>
      <c r="CF13" s="151">
        <f t="shared" si="31"/>
        <v>0</v>
      </c>
      <c r="CG13" s="151">
        <f t="shared" si="31"/>
        <v>0</v>
      </c>
      <c r="CH13" s="151">
        <f t="shared" si="10"/>
        <v>0</v>
      </c>
    </row>
    <row r="14" spans="1:86">
      <c r="A14" s="1100" t="s">
        <v>46</v>
      </c>
      <c r="B14" s="1126"/>
      <c r="C14" s="167" t="s">
        <v>47</v>
      </c>
      <c r="D14" s="168">
        <f t="shared" ref="D14:O14" si="32">D6</f>
        <v>304786</v>
      </c>
      <c r="E14" s="168">
        <f t="shared" si="32"/>
        <v>311986</v>
      </c>
      <c r="F14" s="168">
        <f t="shared" si="32"/>
        <v>328231</v>
      </c>
      <c r="G14" s="168">
        <f t="shared" si="32"/>
        <v>317873</v>
      </c>
      <c r="H14" s="168">
        <f t="shared" si="32"/>
        <v>347196</v>
      </c>
      <c r="I14" s="168">
        <f t="shared" si="32"/>
        <v>402253</v>
      </c>
      <c r="J14" s="168">
        <f t="shared" si="32"/>
        <v>454488</v>
      </c>
      <c r="K14" s="168">
        <f t="shared" si="32"/>
        <v>447182</v>
      </c>
      <c r="L14" s="168">
        <f t="shared" si="32"/>
        <v>416931</v>
      </c>
      <c r="M14" s="168">
        <f t="shared" si="32"/>
        <v>304402</v>
      </c>
      <c r="N14" s="168">
        <f t="shared" si="32"/>
        <v>0</v>
      </c>
      <c r="O14" s="168">
        <f t="shared" si="32"/>
        <v>188264</v>
      </c>
      <c r="P14" s="169">
        <f t="shared" si="25"/>
        <v>188264</v>
      </c>
      <c r="Q14" s="170"/>
      <c r="R14" s="171">
        <f t="shared" ref="R14:AC14" si="33">R6</f>
        <v>283359</v>
      </c>
      <c r="S14" s="172">
        <f t="shared" si="33"/>
        <v>342718</v>
      </c>
      <c r="T14" s="172">
        <f t="shared" si="33"/>
        <v>313212</v>
      </c>
      <c r="U14" s="172">
        <f t="shared" si="33"/>
        <v>298093</v>
      </c>
      <c r="V14" s="172">
        <f t="shared" si="33"/>
        <v>206617</v>
      </c>
      <c r="W14" s="172">
        <f t="shared" si="33"/>
        <v>235875</v>
      </c>
      <c r="X14" s="172">
        <f t="shared" si="33"/>
        <v>360135</v>
      </c>
      <c r="Y14" s="172">
        <f t="shared" si="33"/>
        <v>361665</v>
      </c>
      <c r="Z14" s="172">
        <f t="shared" si="33"/>
        <v>353400</v>
      </c>
      <c r="AA14" s="172">
        <f t="shared" si="33"/>
        <v>272097</v>
      </c>
      <c r="AB14" s="172">
        <f t="shared" si="33"/>
        <v>170626</v>
      </c>
      <c r="AC14" s="172">
        <f t="shared" si="33"/>
        <v>197551</v>
      </c>
      <c r="AD14" s="358">
        <f t="shared" si="27"/>
        <v>197551</v>
      </c>
      <c r="AE14" s="173"/>
      <c r="AF14" s="172">
        <f t="shared" ref="AF14:AQ14" si="34">AF6-AF48</f>
        <v>246973</v>
      </c>
      <c r="AG14" s="172">
        <f t="shared" si="34"/>
        <v>281087</v>
      </c>
      <c r="AH14" s="172">
        <f t="shared" si="34"/>
        <v>386469</v>
      </c>
      <c r="AI14" s="172">
        <f t="shared" si="34"/>
        <v>379017</v>
      </c>
      <c r="AJ14" s="172">
        <f t="shared" si="34"/>
        <v>400777</v>
      </c>
      <c r="AK14" s="172">
        <f t="shared" si="34"/>
        <v>465623</v>
      </c>
      <c r="AL14" s="172">
        <f t="shared" si="34"/>
        <v>472149</v>
      </c>
      <c r="AM14" s="172">
        <f t="shared" si="34"/>
        <v>492339</v>
      </c>
      <c r="AN14" s="172">
        <f t="shared" si="34"/>
        <v>450428</v>
      </c>
      <c r="AO14" s="172">
        <f t="shared" si="34"/>
        <v>391441</v>
      </c>
      <c r="AP14" s="172">
        <f t="shared" si="34"/>
        <v>325482</v>
      </c>
      <c r="AQ14" s="172">
        <f t="shared" si="34"/>
        <v>312076</v>
      </c>
      <c r="AR14" s="172">
        <f t="shared" si="3"/>
        <v>312076</v>
      </c>
      <c r="AS14" s="173"/>
      <c r="AT14" s="172">
        <f t="shared" ref="AT14:BB14" si="35">AT6-AT48</f>
        <v>243661</v>
      </c>
      <c r="AU14" s="172">
        <f t="shared" si="35"/>
        <v>233232</v>
      </c>
      <c r="AV14" s="172">
        <f t="shared" si="35"/>
        <v>218299</v>
      </c>
      <c r="AW14" s="172">
        <f t="shared" si="35"/>
        <v>233987</v>
      </c>
      <c r="AX14" s="172">
        <f t="shared" si="35"/>
        <v>261234</v>
      </c>
      <c r="AY14" s="172">
        <f t="shared" si="35"/>
        <v>282486</v>
      </c>
      <c r="AZ14" s="172">
        <f t="shared" si="35"/>
        <v>296055</v>
      </c>
      <c r="BA14" s="172">
        <f t="shared" si="35"/>
        <v>308825</v>
      </c>
      <c r="BB14" s="172">
        <f t="shared" si="35"/>
        <v>308406</v>
      </c>
      <c r="BC14" s="172">
        <f t="shared" ref="BC14:BE14" si="36">BB14-BC16+BC57-BC48</f>
        <v>137005.70924434217</v>
      </c>
      <c r="BD14" s="172">
        <f t="shared" si="36"/>
        <v>94095.12236286921</v>
      </c>
      <c r="BE14" s="172">
        <f t="shared" si="36"/>
        <v>78605.509397775226</v>
      </c>
      <c r="BF14" s="172">
        <f>BE14</f>
        <v>78605.509397775226</v>
      </c>
      <c r="BG14" s="174">
        <f>BG16/AR16</f>
        <v>7.0333736034655189E-2</v>
      </c>
      <c r="BH14" s="172">
        <f t="shared" ref="BH14:BS14" si="37">BH6-BH48</f>
        <v>307512</v>
      </c>
      <c r="BI14" s="172">
        <f t="shared" si="37"/>
        <v>302058</v>
      </c>
      <c r="BJ14" s="172">
        <f t="shared" si="37"/>
        <v>291934.66666666669</v>
      </c>
      <c r="BK14" s="172">
        <f t="shared" si="37"/>
        <v>258706.33333333337</v>
      </c>
      <c r="BL14" s="175">
        <f t="shared" si="37"/>
        <v>314433.00000000006</v>
      </c>
      <c r="BM14" s="175">
        <f t="shared" si="37"/>
        <v>370694.33333333337</v>
      </c>
      <c r="BN14" s="175">
        <f t="shared" si="37"/>
        <v>374182.33333333337</v>
      </c>
      <c r="BO14" s="175">
        <f t="shared" si="37"/>
        <v>349418</v>
      </c>
      <c r="BP14" s="175">
        <f t="shared" si="37"/>
        <v>300174.66666666669</v>
      </c>
      <c r="BQ14" s="175">
        <f t="shared" si="37"/>
        <v>265994</v>
      </c>
      <c r="BR14" s="175">
        <f t="shared" si="37"/>
        <v>280262.33333333331</v>
      </c>
      <c r="BS14" s="175">
        <f t="shared" si="37"/>
        <v>262000.99999999997</v>
      </c>
      <c r="BT14" s="175">
        <f t="shared" si="8"/>
        <v>262000.99999999997</v>
      </c>
      <c r="BU14" s="173"/>
      <c r="BV14" s="172">
        <f t="shared" ref="BV14:CG14" si="38">BV6-BV48</f>
        <v>262000.99999999997</v>
      </c>
      <c r="BW14" s="172">
        <f t="shared" si="38"/>
        <v>267170.04090909089</v>
      </c>
      <c r="BX14" s="172">
        <f t="shared" si="38"/>
        <v>290721.72272727278</v>
      </c>
      <c r="BY14" s="172">
        <f t="shared" si="38"/>
        <v>286501.24545454548</v>
      </c>
      <c r="BZ14" s="175">
        <f t="shared" si="38"/>
        <v>335930.24545454548</v>
      </c>
      <c r="CA14" s="175">
        <f t="shared" si="38"/>
        <v>378019.46363636362</v>
      </c>
      <c r="CB14" s="175">
        <f t="shared" si="38"/>
        <v>373768.68181818177</v>
      </c>
      <c r="CC14" s="175">
        <f t="shared" si="38"/>
        <v>362249.31363636348</v>
      </c>
      <c r="CD14" s="175">
        <f t="shared" si="38"/>
        <v>314301.44999999984</v>
      </c>
      <c r="CE14" s="175">
        <f t="shared" si="38"/>
        <v>286773.568181818</v>
      </c>
      <c r="CF14" s="175">
        <f t="shared" si="38"/>
        <v>327079.95454545435</v>
      </c>
      <c r="CG14" s="175">
        <f t="shared" si="38"/>
        <v>333818.73636363616</v>
      </c>
      <c r="CH14" s="175">
        <f t="shared" si="10"/>
        <v>333818.73636363616</v>
      </c>
    </row>
    <row r="15" spans="1:86">
      <c r="A15" s="176"/>
      <c r="B15" s="359" t="s">
        <v>48</v>
      </c>
      <c r="C15" s="282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284"/>
      <c r="Q15" s="49"/>
      <c r="R15" s="283"/>
      <c r="S15" s="50"/>
      <c r="T15" s="50"/>
      <c r="U15" s="50"/>
      <c r="V15" s="51"/>
      <c r="W15" s="51"/>
      <c r="X15" s="51"/>
      <c r="Y15" s="51"/>
      <c r="Z15" s="51"/>
      <c r="AA15" s="51"/>
      <c r="AB15" s="51"/>
      <c r="AC15" s="50"/>
      <c r="AD15" s="285"/>
      <c r="AE15" s="23"/>
      <c r="AF15" s="286">
        <f t="shared" ref="AF15:AP15" si="39">AF6/AG16</f>
        <v>1.3876680694696506</v>
      </c>
      <c r="AG15" s="286">
        <f t="shared" si="39"/>
        <v>3.8178718896012169</v>
      </c>
      <c r="AH15" s="286">
        <f t="shared" si="39"/>
        <v>4.3249513194118041</v>
      </c>
      <c r="AI15" s="286">
        <f t="shared" si="39"/>
        <v>3.1032881916583426</v>
      </c>
      <c r="AJ15" s="286">
        <f t="shared" si="39"/>
        <v>2.6977450188476038</v>
      </c>
      <c r="AK15" s="286">
        <f t="shared" si="39"/>
        <v>3.0634099805914667</v>
      </c>
      <c r="AL15" s="286">
        <f t="shared" si="39"/>
        <v>1.9763209336006664</v>
      </c>
      <c r="AM15" s="286">
        <f t="shared" si="39"/>
        <v>1.8853931580291039</v>
      </c>
      <c r="AN15" s="286">
        <f t="shared" si="39"/>
        <v>1.7601719421649082</v>
      </c>
      <c r="AO15" s="286">
        <f t="shared" si="39"/>
        <v>3.0429182213930348</v>
      </c>
      <c r="AP15" s="286">
        <f t="shared" si="39"/>
        <v>3.3266762060506951</v>
      </c>
      <c r="AQ15" s="286">
        <f>AQ6/AT16</f>
        <v>2.1015749668165311</v>
      </c>
      <c r="AR15" s="287">
        <f t="shared" si="3"/>
        <v>2.1015749668165311</v>
      </c>
      <c r="AS15" s="23"/>
      <c r="AT15" s="286">
        <f t="shared" ref="AT15:AX15" si="40">AT6/AU16</f>
        <v>2.078676878772272</v>
      </c>
      <c r="AU15" s="286">
        <f t="shared" si="40"/>
        <v>2.1017947592948043</v>
      </c>
      <c r="AV15" s="286">
        <f t="shared" si="40"/>
        <v>1.9297580364452378</v>
      </c>
      <c r="AW15" s="286">
        <f t="shared" si="40"/>
        <v>2.4377775525503322</v>
      </c>
      <c r="AX15" s="286">
        <f t="shared" si="40"/>
        <v>2.1450476831468146</v>
      </c>
      <c r="AY15" s="286">
        <f t="shared" ref="AY15:BD15" si="41">AY6/(AZ45+AZ44)</f>
        <v>2.0572684326974824</v>
      </c>
      <c r="AZ15" s="286">
        <f t="shared" si="41"/>
        <v>1.3749564207725904</v>
      </c>
      <c r="BA15" s="286">
        <f t="shared" si="41"/>
        <v>1.7107133445873244</v>
      </c>
      <c r="BB15" s="286">
        <f t="shared" si="41"/>
        <v>1.5052991529201962</v>
      </c>
      <c r="BC15" s="286">
        <f t="shared" si="41"/>
        <v>2.204984888462461</v>
      </c>
      <c r="BD15" s="286">
        <f t="shared" si="41"/>
        <v>4.1558308053625606</v>
      </c>
      <c r="BE15" s="286">
        <f>BE6/BH16</f>
        <v>1.689083814161358</v>
      </c>
      <c r="BF15" s="52"/>
      <c r="BG15" s="27"/>
      <c r="BH15" s="286">
        <f t="shared" ref="BH15:BM15" si="42">BH6/BI16</f>
        <v>2.1840134089639305</v>
      </c>
      <c r="BI15" s="286">
        <f t="shared" si="42"/>
        <v>1.9061696712173166</v>
      </c>
      <c r="BJ15" s="286">
        <f t="shared" si="42"/>
        <v>2.0052064611404306</v>
      </c>
      <c r="BK15" s="286">
        <f t="shared" si="42"/>
        <v>2.053985603133436</v>
      </c>
      <c r="BL15" s="286">
        <f t="shared" si="42"/>
        <v>2.5138819303051951</v>
      </c>
      <c r="BM15" s="286">
        <f t="shared" si="42"/>
        <v>2.1907094847489148</v>
      </c>
      <c r="BN15" s="53"/>
      <c r="BO15" s="53"/>
      <c r="BP15" s="53"/>
      <c r="BQ15" s="53"/>
      <c r="BR15" s="53"/>
      <c r="BS15" s="53"/>
      <c r="BT15" s="53"/>
      <c r="BU15" s="177"/>
      <c r="BV15" s="286">
        <f t="shared" ref="BV15:CA15" si="43">BV6/BW16</f>
        <v>1.9375898766492095</v>
      </c>
      <c r="BW15" s="286">
        <f t="shared" si="43"/>
        <v>1.6057194598665814</v>
      </c>
      <c r="BX15" s="286">
        <f t="shared" si="43"/>
        <v>1.9017858425159837</v>
      </c>
      <c r="BY15" s="286">
        <f t="shared" si="43"/>
        <v>2.1663446435531335</v>
      </c>
      <c r="BZ15" s="286">
        <f t="shared" si="43"/>
        <v>2.5578587909974027</v>
      </c>
      <c r="CA15" s="286">
        <f t="shared" si="43"/>
        <v>2.1276182350928821</v>
      </c>
      <c r="CB15" s="53"/>
      <c r="CC15" s="53"/>
      <c r="CD15" s="53"/>
      <c r="CE15" s="53"/>
      <c r="CF15" s="53"/>
      <c r="CG15" s="53"/>
      <c r="CH15" s="53"/>
    </row>
    <row r="16" spans="1:86" ht="15.75">
      <c r="A16" s="178">
        <v>6</v>
      </c>
      <c r="B16" s="179" t="s">
        <v>49</v>
      </c>
      <c r="C16" s="180"/>
      <c r="D16" s="181">
        <f t="shared" ref="D16:P16" si="44">SUM(D20:D42)</f>
        <v>82250</v>
      </c>
      <c r="E16" s="181">
        <f t="shared" si="44"/>
        <v>117000</v>
      </c>
      <c r="F16" s="181">
        <f t="shared" si="44"/>
        <v>121750</v>
      </c>
      <c r="G16" s="181">
        <f t="shared" si="44"/>
        <v>150000</v>
      </c>
      <c r="H16" s="181">
        <f t="shared" si="44"/>
        <v>99500</v>
      </c>
      <c r="I16" s="181">
        <f t="shared" si="44"/>
        <v>102000</v>
      </c>
      <c r="J16" s="181">
        <f t="shared" si="44"/>
        <v>177632</v>
      </c>
      <c r="K16" s="181">
        <f t="shared" si="44"/>
        <v>178158</v>
      </c>
      <c r="L16" s="181">
        <f t="shared" si="44"/>
        <v>199211</v>
      </c>
      <c r="M16" s="181">
        <f t="shared" si="44"/>
        <v>229474</v>
      </c>
      <c r="N16" s="181">
        <f t="shared" si="44"/>
        <v>122368</v>
      </c>
      <c r="O16" s="181">
        <f t="shared" si="44"/>
        <v>38421</v>
      </c>
      <c r="P16" s="360">
        <f t="shared" si="44"/>
        <v>1617764</v>
      </c>
      <c r="Q16" s="170"/>
      <c r="R16" s="361">
        <f t="shared" ref="R16:AC16" si="45">R20+R43</f>
        <v>136177.33998294926</v>
      </c>
      <c r="S16" s="182">
        <f t="shared" si="45"/>
        <v>143840.32639116928</v>
      </c>
      <c r="T16" s="182">
        <f t="shared" si="45"/>
        <v>142553.77192982455</v>
      </c>
      <c r="U16" s="182">
        <f t="shared" si="45"/>
        <v>19814.899999999998</v>
      </c>
      <c r="V16" s="182">
        <f t="shared" si="45"/>
        <v>52085</v>
      </c>
      <c r="W16" s="362">
        <f t="shared" si="45"/>
        <v>70169.381950239796</v>
      </c>
      <c r="X16" s="362">
        <f t="shared" si="45"/>
        <v>144463.33333333299</v>
      </c>
      <c r="Y16" s="362">
        <f t="shared" si="45"/>
        <v>226547.08333333331</v>
      </c>
      <c r="Z16" s="362">
        <f t="shared" si="45"/>
        <v>273187.5</v>
      </c>
      <c r="AA16" s="362">
        <f t="shared" si="45"/>
        <v>172100</v>
      </c>
      <c r="AB16" s="362">
        <f t="shared" si="45"/>
        <v>37500</v>
      </c>
      <c r="AC16" s="362">
        <f t="shared" si="45"/>
        <v>0</v>
      </c>
      <c r="AD16" s="363">
        <f>SUM(R16:AC16)</f>
        <v>1418438.6369208493</v>
      </c>
      <c r="AE16" s="113"/>
      <c r="AF16" s="364">
        <f t="shared" ref="AF16:AQ16" si="46">AF20+AF43</f>
        <v>128646</v>
      </c>
      <c r="AG16" s="182">
        <f t="shared" si="46"/>
        <v>177977</v>
      </c>
      <c r="AH16" s="182">
        <f t="shared" si="46"/>
        <v>73624</v>
      </c>
      <c r="AI16" s="182">
        <f t="shared" si="46"/>
        <v>89358</v>
      </c>
      <c r="AJ16" s="182">
        <f t="shared" si="46"/>
        <v>122134</v>
      </c>
      <c r="AK16" s="182">
        <f t="shared" si="46"/>
        <v>148560</v>
      </c>
      <c r="AL16" s="182">
        <f t="shared" si="46"/>
        <v>151995</v>
      </c>
      <c r="AM16" s="182">
        <f t="shared" si="46"/>
        <v>238903</v>
      </c>
      <c r="AN16" s="182">
        <f t="shared" si="46"/>
        <v>261133.33333333334</v>
      </c>
      <c r="AO16" s="182">
        <f t="shared" si="46"/>
        <v>255900</v>
      </c>
      <c r="AP16" s="182">
        <f t="shared" si="46"/>
        <v>128640</v>
      </c>
      <c r="AQ16" s="182">
        <f t="shared" si="46"/>
        <v>97840</v>
      </c>
      <c r="AR16" s="182">
        <f>SUM(AF16:AQ16)</f>
        <v>1874710.3333333333</v>
      </c>
      <c r="AS16" s="113"/>
      <c r="AT16" s="182">
        <f t="shared" ref="AT16:BD16" si="47">AT20+AT43</f>
        <v>152749.25</v>
      </c>
      <c r="AU16" s="182">
        <f t="shared" si="47"/>
        <v>168522.10344827586</v>
      </c>
      <c r="AV16" s="182">
        <f t="shared" si="47"/>
        <v>154121.13793103449</v>
      </c>
      <c r="AW16" s="182">
        <f t="shared" si="47"/>
        <v>159595.13793103449</v>
      </c>
      <c r="AX16" s="182">
        <f t="shared" si="47"/>
        <v>120099.96551724138</v>
      </c>
      <c r="AY16" s="182">
        <f t="shared" si="47"/>
        <v>138343.77777777778</v>
      </c>
      <c r="AZ16" s="182">
        <f t="shared" si="47"/>
        <v>166673.77777777778</v>
      </c>
      <c r="BA16" s="182">
        <f t="shared" si="47"/>
        <v>242442.29629629629</v>
      </c>
      <c r="BB16" s="182">
        <f t="shared" si="47"/>
        <v>243407.77777777778</v>
      </c>
      <c r="BC16" s="182">
        <f t="shared" si="47"/>
        <v>253368.29075565783</v>
      </c>
      <c r="BD16" s="182">
        <f t="shared" si="47"/>
        <v>134555.58688147296</v>
      </c>
      <c r="BE16" s="182">
        <f>BE20+BE44</f>
        <v>72686.612965093984</v>
      </c>
      <c r="BF16" s="182">
        <f t="shared" ref="BF16:BF18" si="48">SUM(AT16:BE16)</f>
        <v>2006565.7150594404</v>
      </c>
      <c r="BG16" s="183">
        <f>BF16-AR16</f>
        <v>131855.38172610709</v>
      </c>
      <c r="BH16" s="182">
        <f t="shared" ref="BH16:BS16" si="49">BH17+BH43</f>
        <v>149915</v>
      </c>
      <c r="BI16" s="182">
        <f t="shared" si="49"/>
        <v>140801.33333333331</v>
      </c>
      <c r="BJ16" s="182">
        <f t="shared" si="49"/>
        <v>158463.33333333331</v>
      </c>
      <c r="BK16" s="182">
        <f t="shared" si="49"/>
        <v>145588.33333333331</v>
      </c>
      <c r="BL16" s="182">
        <f t="shared" si="49"/>
        <v>125953.33333333333</v>
      </c>
      <c r="BM16" s="182">
        <f t="shared" si="49"/>
        <v>125078.66666666667</v>
      </c>
      <c r="BN16" s="182">
        <f t="shared" si="49"/>
        <v>169212</v>
      </c>
      <c r="BO16" s="182">
        <f t="shared" si="49"/>
        <v>191864.33333333334</v>
      </c>
      <c r="BP16" s="182">
        <f t="shared" si="49"/>
        <v>202963.33333333331</v>
      </c>
      <c r="BQ16" s="182">
        <f t="shared" si="49"/>
        <v>191380.66666666666</v>
      </c>
      <c r="BR16" s="182">
        <f t="shared" si="49"/>
        <v>118911.66666666667</v>
      </c>
      <c r="BS16" s="182">
        <f t="shared" si="49"/>
        <v>87961.333333333343</v>
      </c>
      <c r="BT16" s="182">
        <f t="shared" ref="BT16:BT17" si="50">SUM(BH16:BS16)</f>
        <v>1808093.3333333333</v>
      </c>
      <c r="BU16" s="184">
        <f>BT16/BF49-1</f>
        <v>7.2575652326255735E-2</v>
      </c>
      <c r="BV16" s="182">
        <f t="shared" ref="BV16:CG16" si="51">BV17+BV43</f>
        <v>151548.6</v>
      </c>
      <c r="BW16" s="182">
        <f t="shared" si="51"/>
        <v>135220.05000000002</v>
      </c>
      <c r="BX16" s="182">
        <f t="shared" si="51"/>
        <v>166386.49999999997</v>
      </c>
      <c r="BY16" s="182">
        <f t="shared" si="51"/>
        <v>152867.75</v>
      </c>
      <c r="BZ16" s="182">
        <f t="shared" si="51"/>
        <v>132251</v>
      </c>
      <c r="CA16" s="182">
        <f t="shared" si="51"/>
        <v>131332.6</v>
      </c>
      <c r="CB16" s="182">
        <f t="shared" si="51"/>
        <v>177672.6</v>
      </c>
      <c r="CC16" s="182">
        <f t="shared" si="51"/>
        <v>201457.55000000005</v>
      </c>
      <c r="CD16" s="182">
        <f t="shared" si="51"/>
        <v>213111.5</v>
      </c>
      <c r="CE16" s="182">
        <f t="shared" si="51"/>
        <v>200949.7</v>
      </c>
      <c r="CF16" s="182">
        <f t="shared" si="51"/>
        <v>124857.25000000001</v>
      </c>
      <c r="CG16" s="182">
        <f t="shared" si="51"/>
        <v>92359.400000000009</v>
      </c>
      <c r="CH16" s="182">
        <f t="shared" ref="CH16:CH17" si="52">SUM(BV16:CG16)</f>
        <v>1880014.4999999998</v>
      </c>
    </row>
    <row r="17" spans="1:86">
      <c r="A17" s="185"/>
      <c r="B17" s="186" t="s">
        <v>51</v>
      </c>
      <c r="C17" s="187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365"/>
      <c r="Q17" s="189"/>
      <c r="R17" s="366"/>
      <c r="S17" s="135"/>
      <c r="T17" s="135"/>
      <c r="U17" s="135"/>
      <c r="V17" s="367"/>
      <c r="W17" s="368"/>
      <c r="X17" s="368"/>
      <c r="Y17" s="368"/>
      <c r="Z17" s="368"/>
      <c r="AA17" s="368"/>
      <c r="AB17" s="368"/>
      <c r="AC17" s="190"/>
      <c r="AD17" s="191"/>
      <c r="AE17" s="192"/>
      <c r="AF17" s="369"/>
      <c r="AG17" s="135"/>
      <c r="AH17" s="135"/>
      <c r="AI17" s="135"/>
      <c r="AJ17" s="367"/>
      <c r="AK17" s="367"/>
      <c r="AL17" s="367"/>
      <c r="AM17" s="367"/>
      <c r="AN17" s="135"/>
      <c r="AO17" s="135"/>
      <c r="AP17" s="135"/>
      <c r="AQ17" s="135"/>
      <c r="AR17" s="370"/>
      <c r="AS17" s="192"/>
      <c r="AT17" s="135"/>
      <c r="AU17" s="135"/>
      <c r="AV17" s="135"/>
      <c r="AW17" s="135"/>
      <c r="AX17" s="135"/>
      <c r="AY17" s="193">
        <f t="shared" ref="AY17:BA17" si="53">AY20+AY44</f>
        <v>119777.77777777778</v>
      </c>
      <c r="AZ17" s="193">
        <f t="shared" si="53"/>
        <v>150777.77777777778</v>
      </c>
      <c r="BA17" s="193">
        <f t="shared" si="53"/>
        <v>233098.4962962963</v>
      </c>
      <c r="BB17" s="193">
        <f>BB18/BB19</f>
        <v>210777.77777777778</v>
      </c>
      <c r="BC17" s="193">
        <f>BC20+BC44</f>
        <v>249806.29075565783</v>
      </c>
      <c r="BD17" s="193">
        <f t="shared" ref="BD17:BE17" si="54">BD20+BD44*0.85</f>
        <v>122960.58688147296</v>
      </c>
      <c r="BE17" s="193">
        <f t="shared" si="54"/>
        <v>66386.612965093984</v>
      </c>
      <c r="BF17" s="193">
        <f t="shared" si="48"/>
        <v>1153585.3202318544</v>
      </c>
      <c r="BG17" s="194"/>
      <c r="BH17" s="193">
        <f t="shared" ref="BH17:BS17" si="55">BH18/BH19-0.1*BH18/BH19</f>
        <v>116600</v>
      </c>
      <c r="BI17" s="193">
        <f t="shared" si="55"/>
        <v>111533.33333333333</v>
      </c>
      <c r="BJ17" s="193">
        <f t="shared" si="55"/>
        <v>128533.33333333331</v>
      </c>
      <c r="BK17" s="193">
        <f t="shared" si="55"/>
        <v>115333.33333333333</v>
      </c>
      <c r="BL17" s="193">
        <f t="shared" si="55"/>
        <v>88983.333333333328</v>
      </c>
      <c r="BM17" s="193">
        <f t="shared" si="55"/>
        <v>85906.666666666672</v>
      </c>
      <c r="BN17" s="193">
        <f t="shared" si="55"/>
        <v>123400.00000000001</v>
      </c>
      <c r="BO17" s="193">
        <f t="shared" si="55"/>
        <v>154033.33333333334</v>
      </c>
      <c r="BP17" s="193">
        <f t="shared" si="55"/>
        <v>165433.33333333331</v>
      </c>
      <c r="BQ17" s="193">
        <f t="shared" si="55"/>
        <v>151266.66666666666</v>
      </c>
      <c r="BR17" s="193">
        <f t="shared" si="55"/>
        <v>74666.666666666672</v>
      </c>
      <c r="BS17" s="193">
        <f t="shared" si="55"/>
        <v>28933.333333333336</v>
      </c>
      <c r="BT17" s="193">
        <f t="shared" si="50"/>
        <v>1344623.3333333333</v>
      </c>
      <c r="BU17" s="177"/>
      <c r="BV17" s="193">
        <f t="shared" ref="BV17:BW17" si="56">BH50*1.05</f>
        <v>115746.75</v>
      </c>
      <c r="BW17" s="193">
        <f t="shared" si="56"/>
        <v>108199.35</v>
      </c>
      <c r="BX17" s="193">
        <f t="shared" ref="BX17:CG17" si="57">BJ17*1.05</f>
        <v>134959.99999999997</v>
      </c>
      <c r="BY17" s="193">
        <f t="shared" si="57"/>
        <v>121100</v>
      </c>
      <c r="BZ17" s="193">
        <f t="shared" si="57"/>
        <v>93432.5</v>
      </c>
      <c r="CA17" s="193">
        <f t="shared" si="57"/>
        <v>90202.000000000015</v>
      </c>
      <c r="CB17" s="193">
        <f t="shared" si="57"/>
        <v>129570.00000000001</v>
      </c>
      <c r="CC17" s="193">
        <f t="shared" si="57"/>
        <v>161735.00000000003</v>
      </c>
      <c r="CD17" s="193">
        <f t="shared" si="57"/>
        <v>173705</v>
      </c>
      <c r="CE17" s="193">
        <f t="shared" si="57"/>
        <v>158830</v>
      </c>
      <c r="CF17" s="193">
        <f t="shared" si="57"/>
        <v>78400.000000000015</v>
      </c>
      <c r="CG17" s="193">
        <f t="shared" si="57"/>
        <v>30380.000000000004</v>
      </c>
      <c r="CH17" s="193">
        <f t="shared" si="52"/>
        <v>1396260.6</v>
      </c>
    </row>
    <row r="18" spans="1:86">
      <c r="A18" s="185"/>
      <c r="B18" s="195" t="s">
        <v>52</v>
      </c>
      <c r="C18" s="195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365"/>
      <c r="Q18" s="189"/>
      <c r="R18" s="366"/>
      <c r="S18" s="135"/>
      <c r="T18" s="135"/>
      <c r="U18" s="135"/>
      <c r="V18" s="367"/>
      <c r="W18" s="368"/>
      <c r="X18" s="368"/>
      <c r="Y18" s="368"/>
      <c r="Z18" s="368"/>
      <c r="AA18" s="368"/>
      <c r="AB18" s="368"/>
      <c r="AC18" s="190"/>
      <c r="AD18" s="191"/>
      <c r="AE18" s="192"/>
      <c r="AF18" s="369"/>
      <c r="AG18" s="135"/>
      <c r="AH18" s="135" t="s">
        <v>53</v>
      </c>
      <c r="AI18" s="135"/>
      <c r="AJ18" s="367"/>
      <c r="AK18" s="367"/>
      <c r="AL18" s="367"/>
      <c r="AM18" s="367"/>
      <c r="AN18" s="135">
        <v>6715000</v>
      </c>
      <c r="AO18" s="135">
        <v>6555000</v>
      </c>
      <c r="AP18" s="135">
        <v>2640000</v>
      </c>
      <c r="AQ18" s="135">
        <v>1302000</v>
      </c>
      <c r="AR18" s="370"/>
      <c r="AS18" s="192"/>
      <c r="AT18" s="135">
        <v>3264695</v>
      </c>
      <c r="AU18" s="135">
        <v>3863760</v>
      </c>
      <c r="AV18" s="135">
        <v>3429225</v>
      </c>
      <c r="AW18" s="135">
        <v>3525360</v>
      </c>
      <c r="AX18" s="135">
        <v>2509485</v>
      </c>
      <c r="AY18" s="135">
        <v>2829000</v>
      </c>
      <c r="AZ18" s="135">
        <v>3666000</v>
      </c>
      <c r="BA18" s="135">
        <v>5705000</v>
      </c>
      <c r="BB18" s="135">
        <v>5691000</v>
      </c>
      <c r="BC18" s="135">
        <v>5600000</v>
      </c>
      <c r="BD18" s="135">
        <v>2430000</v>
      </c>
      <c r="BE18" s="135">
        <v>800000</v>
      </c>
      <c r="BF18" s="193">
        <f t="shared" si="48"/>
        <v>43313525</v>
      </c>
      <c r="BG18" s="194"/>
      <c r="BH18" s="135">
        <v>3498000</v>
      </c>
      <c r="BI18" s="135">
        <v>3346000</v>
      </c>
      <c r="BJ18" s="135">
        <v>3856000</v>
      </c>
      <c r="BK18" s="135">
        <v>3460000</v>
      </c>
      <c r="BL18" s="135">
        <v>2669500</v>
      </c>
      <c r="BM18" s="135">
        <v>2577200</v>
      </c>
      <c r="BN18" s="135">
        <v>3702000</v>
      </c>
      <c r="BO18" s="135">
        <v>4621000</v>
      </c>
      <c r="BP18" s="135">
        <v>4963000</v>
      </c>
      <c r="BQ18" s="135">
        <v>4538000</v>
      </c>
      <c r="BR18" s="135">
        <v>2240000</v>
      </c>
      <c r="BS18" s="135">
        <v>868000</v>
      </c>
      <c r="BT18" s="135"/>
      <c r="BU18" s="177"/>
      <c r="BV18" s="135">
        <v>3498000</v>
      </c>
      <c r="BW18" s="135">
        <v>3346000</v>
      </c>
      <c r="BX18" s="135">
        <v>3856000</v>
      </c>
      <c r="BY18" s="135">
        <v>3460000</v>
      </c>
      <c r="BZ18" s="135">
        <v>2669500</v>
      </c>
      <c r="CA18" s="135">
        <v>2577200</v>
      </c>
      <c r="CB18" s="135">
        <v>3702000</v>
      </c>
      <c r="CC18" s="135">
        <v>4621000</v>
      </c>
      <c r="CD18" s="135">
        <v>4963000</v>
      </c>
      <c r="CE18" s="135">
        <v>4538000</v>
      </c>
      <c r="CF18" s="135">
        <v>2240000</v>
      </c>
      <c r="CG18" s="135">
        <v>868000</v>
      </c>
      <c r="CH18" s="135"/>
    </row>
    <row r="19" spans="1:86">
      <c r="A19" s="196"/>
      <c r="B19" s="197" t="s">
        <v>54</v>
      </c>
      <c r="C19" s="197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371"/>
      <c r="Q19" s="199"/>
      <c r="R19" s="372"/>
      <c r="S19" s="193"/>
      <c r="T19" s="193"/>
      <c r="U19" s="193"/>
      <c r="V19" s="373"/>
      <c r="W19" s="374"/>
      <c r="X19" s="374"/>
      <c r="Y19" s="374"/>
      <c r="Z19" s="374"/>
      <c r="AA19" s="374"/>
      <c r="AB19" s="374"/>
      <c r="AC19" s="200"/>
      <c r="AD19" s="201"/>
      <c r="AE19" s="23"/>
      <c r="AF19" s="375"/>
      <c r="AG19" s="193"/>
      <c r="AH19" s="193"/>
      <c r="AI19" s="193"/>
      <c r="AJ19" s="373"/>
      <c r="AK19" s="373"/>
      <c r="AL19" s="373"/>
      <c r="AM19" s="373"/>
      <c r="AN19" s="193">
        <f t="shared" ref="AN19:AQ19" si="58">30</f>
        <v>30</v>
      </c>
      <c r="AO19" s="193">
        <f t="shared" si="58"/>
        <v>30</v>
      </c>
      <c r="AP19" s="193">
        <f t="shared" si="58"/>
        <v>30</v>
      </c>
      <c r="AQ19" s="193">
        <f t="shared" si="58"/>
        <v>30</v>
      </c>
      <c r="AR19" s="292"/>
      <c r="AS19" s="23"/>
      <c r="AT19" s="193">
        <v>28</v>
      </c>
      <c r="AU19" s="193">
        <v>29</v>
      </c>
      <c r="AV19" s="193">
        <v>29</v>
      </c>
      <c r="AW19" s="193">
        <v>29</v>
      </c>
      <c r="AX19" s="193">
        <v>29</v>
      </c>
      <c r="AY19" s="193">
        <v>27</v>
      </c>
      <c r="AZ19" s="193">
        <v>27</v>
      </c>
      <c r="BA19" s="193">
        <v>27</v>
      </c>
      <c r="BB19" s="193">
        <v>27</v>
      </c>
      <c r="BC19" s="193">
        <v>26.07</v>
      </c>
      <c r="BD19" s="193">
        <v>26.07</v>
      </c>
      <c r="BE19" s="193">
        <v>26.07</v>
      </c>
      <c r="BF19" s="375"/>
      <c r="BG19" s="93"/>
      <c r="BH19" s="193">
        <v>27</v>
      </c>
      <c r="BI19" s="193">
        <v>27</v>
      </c>
      <c r="BJ19" s="193">
        <v>27</v>
      </c>
      <c r="BK19" s="193">
        <v>27</v>
      </c>
      <c r="BL19" s="193">
        <v>27</v>
      </c>
      <c r="BM19" s="193">
        <v>27</v>
      </c>
      <c r="BN19" s="193">
        <v>27</v>
      </c>
      <c r="BO19" s="193">
        <v>27</v>
      </c>
      <c r="BP19" s="193">
        <v>27</v>
      </c>
      <c r="BQ19" s="193">
        <v>27</v>
      </c>
      <c r="BR19" s="193">
        <v>27</v>
      </c>
      <c r="BS19" s="193">
        <v>27</v>
      </c>
      <c r="BT19" s="193"/>
      <c r="BU19" s="177"/>
      <c r="BV19" s="193">
        <v>27</v>
      </c>
      <c r="BW19" s="193">
        <v>27</v>
      </c>
      <c r="BX19" s="193">
        <v>27</v>
      </c>
      <c r="BY19" s="193">
        <v>27</v>
      </c>
      <c r="BZ19" s="193">
        <v>27</v>
      </c>
      <c r="CA19" s="193">
        <v>27</v>
      </c>
      <c r="CB19" s="193">
        <v>27</v>
      </c>
      <c r="CC19" s="193">
        <v>27</v>
      </c>
      <c r="CD19" s="193">
        <v>27</v>
      </c>
      <c r="CE19" s="193">
        <v>27</v>
      </c>
      <c r="CF19" s="193">
        <v>27</v>
      </c>
      <c r="CG19" s="193">
        <v>27</v>
      </c>
      <c r="CH19" s="193"/>
    </row>
    <row r="20" spans="1:86">
      <c r="A20" s="202"/>
      <c r="B20" s="376" t="s">
        <v>268</v>
      </c>
      <c r="C20" s="377"/>
      <c r="D20" s="203">
        <v>82250</v>
      </c>
      <c r="E20" s="203">
        <v>117000</v>
      </c>
      <c r="F20" s="203">
        <v>121750</v>
      </c>
      <c r="G20" s="203">
        <v>150000</v>
      </c>
      <c r="H20" s="203">
        <v>99500</v>
      </c>
      <c r="I20" s="203">
        <v>102000</v>
      </c>
      <c r="J20" s="203">
        <v>177632</v>
      </c>
      <c r="K20" s="203">
        <v>178158</v>
      </c>
      <c r="L20" s="203">
        <v>199211</v>
      </c>
      <c r="M20" s="203">
        <v>229474</v>
      </c>
      <c r="N20" s="203">
        <v>122368</v>
      </c>
      <c r="O20" s="203">
        <v>38421</v>
      </c>
      <c r="P20" s="378">
        <f>SUM(D20:O20)</f>
        <v>1617764</v>
      </c>
      <c r="Q20" s="204"/>
      <c r="R20" s="379">
        <v>115619.79612330014</v>
      </c>
      <c r="S20" s="205">
        <v>123327.78253152016</v>
      </c>
      <c r="T20" s="205">
        <v>128854</v>
      </c>
      <c r="U20" s="205">
        <f>126016*0.15</f>
        <v>18902.399999999998</v>
      </c>
      <c r="V20" s="206">
        <v>35234</v>
      </c>
      <c r="W20" s="206">
        <v>56469.381950239796</v>
      </c>
      <c r="X20" s="206">
        <v>118413.33333333299</v>
      </c>
      <c r="Y20" s="206">
        <v>198797.08333333331</v>
      </c>
      <c r="Z20" s="206">
        <v>242087.5</v>
      </c>
      <c r="AA20" s="206">
        <v>140000</v>
      </c>
      <c r="AB20" s="206">
        <v>0</v>
      </c>
      <c r="AC20" s="205">
        <v>-45300</v>
      </c>
      <c r="AD20" s="380">
        <f>SUM(R20:AC20)</f>
        <v>1132405.2772717264</v>
      </c>
      <c r="AE20" s="23"/>
      <c r="AF20" s="381">
        <v>90146</v>
      </c>
      <c r="AG20" s="205">
        <v>155577</v>
      </c>
      <c r="AH20" s="205">
        <v>62953</v>
      </c>
      <c r="AI20" s="205">
        <v>73261</v>
      </c>
      <c r="AJ20" s="206">
        <v>91856</v>
      </c>
      <c r="AK20" s="206">
        <v>120000</v>
      </c>
      <c r="AL20" s="206">
        <v>110295</v>
      </c>
      <c r="AM20" s="206">
        <v>200203</v>
      </c>
      <c r="AN20" s="205">
        <f t="shared" ref="AN20:AQ20" si="59">AN18/AN19</f>
        <v>223833.33333333334</v>
      </c>
      <c r="AO20" s="205">
        <f t="shared" si="59"/>
        <v>218500</v>
      </c>
      <c r="AP20" s="205">
        <f t="shared" si="59"/>
        <v>88000</v>
      </c>
      <c r="AQ20" s="205">
        <f t="shared" si="59"/>
        <v>43400</v>
      </c>
      <c r="AR20" s="364">
        <f>SUM(AF20:AQ20)</f>
        <v>1478024.3333333333</v>
      </c>
      <c r="AS20" s="23"/>
      <c r="AT20" s="205">
        <f t="shared" ref="AT20:BE20" si="60">AT18/AT19</f>
        <v>116596.25</v>
      </c>
      <c r="AU20" s="205">
        <f t="shared" si="60"/>
        <v>133233.10344827586</v>
      </c>
      <c r="AV20" s="205">
        <f t="shared" si="60"/>
        <v>118249.13793103448</v>
      </c>
      <c r="AW20" s="205">
        <f t="shared" si="60"/>
        <v>121564.13793103448</v>
      </c>
      <c r="AX20" s="205">
        <f t="shared" si="60"/>
        <v>86533.965517241377</v>
      </c>
      <c r="AY20" s="205">
        <f t="shared" si="60"/>
        <v>104777.77777777778</v>
      </c>
      <c r="AZ20" s="205">
        <f t="shared" si="60"/>
        <v>135777.77777777778</v>
      </c>
      <c r="BA20" s="205">
        <f t="shared" si="60"/>
        <v>211296.29629629629</v>
      </c>
      <c r="BB20" s="205">
        <f t="shared" si="60"/>
        <v>210777.77777777778</v>
      </c>
      <c r="BC20" s="205">
        <f t="shared" si="60"/>
        <v>214806.29075565783</v>
      </c>
      <c r="BD20" s="205">
        <f t="shared" si="60"/>
        <v>93210.586881472962</v>
      </c>
      <c r="BE20" s="205">
        <f t="shared" si="60"/>
        <v>30686.612965093977</v>
      </c>
      <c r="BF20" s="205">
        <f>SUM(AT20:BE20)</f>
        <v>1577509.7150594404</v>
      </c>
      <c r="BG20" s="27">
        <f>BF20-AR20</f>
        <v>99485.381726107094</v>
      </c>
      <c r="BH20" s="205">
        <f t="shared" ref="BH20:BT20" si="61">BH17</f>
        <v>116600</v>
      </c>
      <c r="BI20" s="205">
        <f t="shared" si="61"/>
        <v>111533.33333333333</v>
      </c>
      <c r="BJ20" s="205">
        <f t="shared" si="61"/>
        <v>128533.33333333331</v>
      </c>
      <c r="BK20" s="205">
        <f t="shared" si="61"/>
        <v>115333.33333333333</v>
      </c>
      <c r="BL20" s="205">
        <f t="shared" si="61"/>
        <v>88983.333333333328</v>
      </c>
      <c r="BM20" s="205">
        <f t="shared" si="61"/>
        <v>85906.666666666672</v>
      </c>
      <c r="BN20" s="205">
        <f t="shared" si="61"/>
        <v>123400.00000000001</v>
      </c>
      <c r="BO20" s="205">
        <f t="shared" si="61"/>
        <v>154033.33333333334</v>
      </c>
      <c r="BP20" s="205">
        <f t="shared" si="61"/>
        <v>165433.33333333331</v>
      </c>
      <c r="BQ20" s="205">
        <f t="shared" si="61"/>
        <v>151266.66666666666</v>
      </c>
      <c r="BR20" s="205">
        <f t="shared" si="61"/>
        <v>74666.666666666672</v>
      </c>
      <c r="BS20" s="205">
        <f t="shared" si="61"/>
        <v>28933.333333333336</v>
      </c>
      <c r="BT20" s="205">
        <f t="shared" si="61"/>
        <v>1344623.3333333333</v>
      </c>
      <c r="BU20" s="184">
        <f>BT20/BF50-1</f>
        <v>4.5550835651166688E-2</v>
      </c>
      <c r="BV20" s="205">
        <f t="shared" ref="BV20:CH20" si="62">BV17</f>
        <v>115746.75</v>
      </c>
      <c r="BW20" s="205">
        <f t="shared" si="62"/>
        <v>108199.35</v>
      </c>
      <c r="BX20" s="205">
        <f t="shared" si="62"/>
        <v>134959.99999999997</v>
      </c>
      <c r="BY20" s="205">
        <f t="shared" si="62"/>
        <v>121100</v>
      </c>
      <c r="BZ20" s="205">
        <f t="shared" si="62"/>
        <v>93432.5</v>
      </c>
      <c r="CA20" s="205">
        <f t="shared" si="62"/>
        <v>90202.000000000015</v>
      </c>
      <c r="CB20" s="205">
        <f t="shared" si="62"/>
        <v>129570.00000000001</v>
      </c>
      <c r="CC20" s="205">
        <f t="shared" si="62"/>
        <v>161735.00000000003</v>
      </c>
      <c r="CD20" s="205">
        <f t="shared" si="62"/>
        <v>173705</v>
      </c>
      <c r="CE20" s="205">
        <f t="shared" si="62"/>
        <v>158830</v>
      </c>
      <c r="CF20" s="205">
        <f t="shared" si="62"/>
        <v>78400.000000000015</v>
      </c>
      <c r="CG20" s="205">
        <f t="shared" si="62"/>
        <v>30380.000000000004</v>
      </c>
      <c r="CH20" s="205">
        <f t="shared" si="62"/>
        <v>1396260.6</v>
      </c>
    </row>
    <row r="21" spans="1:86">
      <c r="A21" s="207"/>
      <c r="B21" s="208"/>
      <c r="C21" s="209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310"/>
      <c r="Q21" s="84"/>
      <c r="R21" s="309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311"/>
      <c r="AE21" s="23"/>
      <c r="AF21" s="312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6"/>
      <c r="AS21" s="23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2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17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</row>
    <row r="22" spans="1:86" hidden="1">
      <c r="A22" s="94">
        <v>1</v>
      </c>
      <c r="B22" s="1092" t="s">
        <v>56</v>
      </c>
      <c r="C22" s="1127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314">
        <f t="shared" ref="P22:P34" si="63">SUM(D22:O22)</f>
        <v>0</v>
      </c>
      <c r="Q22" s="90"/>
      <c r="R22" s="313">
        <v>7017.5438596491231</v>
      </c>
      <c r="S22" s="91">
        <v>7017.5438596491231</v>
      </c>
      <c r="T22" s="91">
        <f>7017.54385964912/2</f>
        <v>3508.7719298245602</v>
      </c>
      <c r="U22" s="91">
        <f>96*U3</f>
        <v>96</v>
      </c>
      <c r="V22" s="91">
        <v>3000</v>
      </c>
      <c r="W22" s="91">
        <v>7200</v>
      </c>
      <c r="X22" s="91">
        <v>8500</v>
      </c>
      <c r="Y22" s="91">
        <v>8500</v>
      </c>
      <c r="Z22" s="91">
        <v>8500</v>
      </c>
      <c r="AA22" s="91">
        <v>9000</v>
      </c>
      <c r="AB22" s="91">
        <v>9500</v>
      </c>
      <c r="AC22" s="91">
        <v>8500</v>
      </c>
      <c r="AD22" s="315">
        <f t="shared" ref="AD22:AD36" si="64">SUM(R22:AC22)</f>
        <v>80339.859649122809</v>
      </c>
      <c r="AE22" s="23"/>
      <c r="AF22" s="316">
        <v>8000</v>
      </c>
      <c r="AG22" s="91">
        <v>4000</v>
      </c>
      <c r="AH22" s="91">
        <v>5673</v>
      </c>
      <c r="AI22" s="91">
        <v>4500</v>
      </c>
      <c r="AJ22" s="91">
        <v>7892</v>
      </c>
      <c r="AK22" s="91">
        <v>6400</v>
      </c>
      <c r="AL22" s="91">
        <v>8000</v>
      </c>
      <c r="AM22" s="91">
        <v>8000</v>
      </c>
      <c r="AN22" s="91">
        <v>8000</v>
      </c>
      <c r="AO22" s="91">
        <v>8000</v>
      </c>
      <c r="AP22" s="91">
        <v>8800</v>
      </c>
      <c r="AQ22" s="91">
        <v>6400</v>
      </c>
      <c r="AR22" s="92">
        <f t="shared" ref="AR22:AR40" si="65">SUM(AF22:AQ22)</f>
        <v>83665</v>
      </c>
      <c r="AS22" s="23"/>
      <c r="AT22" s="91">
        <v>4861</v>
      </c>
      <c r="AU22" s="91">
        <v>5809</v>
      </c>
      <c r="AV22" s="91">
        <v>5072</v>
      </c>
      <c r="AW22" s="91">
        <v>4725</v>
      </c>
      <c r="AX22" s="317">
        <v>5832</v>
      </c>
      <c r="AY22" s="317">
        <v>5832</v>
      </c>
      <c r="AZ22" s="317">
        <v>5567</v>
      </c>
      <c r="BA22" s="317">
        <v>5567</v>
      </c>
      <c r="BB22" s="317">
        <v>5832</v>
      </c>
      <c r="BC22" s="317">
        <v>6892</v>
      </c>
      <c r="BD22" s="317">
        <v>7422</v>
      </c>
      <c r="BE22" s="317">
        <v>4241</v>
      </c>
      <c r="BF22" s="91">
        <f t="shared" ref="BF22:BF54" si="66">SUM(AT22:BE22)</f>
        <v>67652</v>
      </c>
      <c r="BG22" s="93">
        <f t="shared" ref="BG22:BG40" si="67">BF22/AR22-1</f>
        <v>-0.19139425088149165</v>
      </c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177"/>
      <c r="BV22" s="91"/>
      <c r="BW22" s="91"/>
      <c r="BX22" s="91"/>
      <c r="BY22" s="91"/>
      <c r="BZ22" s="91"/>
      <c r="CA22" s="91"/>
      <c r="CB22" s="91"/>
      <c r="CC22" s="91"/>
      <c r="CD22" s="91"/>
      <c r="CE22" s="91"/>
      <c r="CF22" s="91"/>
      <c r="CG22" s="91"/>
      <c r="CH22" s="91"/>
    </row>
    <row r="23" spans="1:86" hidden="1">
      <c r="A23" s="94">
        <v>2</v>
      </c>
      <c r="B23" s="1092" t="s">
        <v>57</v>
      </c>
      <c r="C23" s="1127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314">
        <f t="shared" si="63"/>
        <v>0</v>
      </c>
      <c r="Q23" s="90"/>
      <c r="R23" s="313">
        <v>2909</v>
      </c>
      <c r="S23" s="91">
        <v>2545</v>
      </c>
      <c r="T23" s="91">
        <f>2727/1.2</f>
        <v>2272.5</v>
      </c>
      <c r="U23" s="91">
        <f>2*U3</f>
        <v>2</v>
      </c>
      <c r="V23" s="91">
        <v>500</v>
      </c>
      <c r="W23" s="91">
        <v>1300</v>
      </c>
      <c r="X23" s="91">
        <v>3200</v>
      </c>
      <c r="Y23" s="91">
        <v>3200</v>
      </c>
      <c r="Z23" s="91">
        <v>3600</v>
      </c>
      <c r="AA23" s="91">
        <v>3600</v>
      </c>
      <c r="AB23" s="91">
        <v>3600</v>
      </c>
      <c r="AC23" s="91">
        <v>4500</v>
      </c>
      <c r="AD23" s="315">
        <f t="shared" si="64"/>
        <v>31228.5</v>
      </c>
      <c r="AE23" s="23"/>
      <c r="AF23" s="316">
        <v>4000</v>
      </c>
      <c r="AG23" s="91">
        <v>1500</v>
      </c>
      <c r="AH23" s="91">
        <v>189</v>
      </c>
      <c r="AI23" s="91">
        <v>1842</v>
      </c>
      <c r="AJ23" s="91">
        <v>3764</v>
      </c>
      <c r="AK23" s="91">
        <v>3200</v>
      </c>
      <c r="AL23" s="91">
        <v>6000</v>
      </c>
      <c r="AM23" s="91">
        <v>5000</v>
      </c>
      <c r="AN23" s="91">
        <v>5000</v>
      </c>
      <c r="AO23" s="91">
        <v>5000</v>
      </c>
      <c r="AP23" s="91">
        <v>5000</v>
      </c>
      <c r="AQ23" s="91">
        <v>9000</v>
      </c>
      <c r="AR23" s="92">
        <f t="shared" si="65"/>
        <v>49495</v>
      </c>
      <c r="AS23" s="23"/>
      <c r="AT23" s="91">
        <v>5468</v>
      </c>
      <c r="AU23" s="91">
        <v>5468</v>
      </c>
      <c r="AV23" s="91">
        <v>6249</v>
      </c>
      <c r="AW23" s="91">
        <v>6249</v>
      </c>
      <c r="AX23" s="317">
        <v>3923</v>
      </c>
      <c r="AY23" s="317">
        <v>3923</v>
      </c>
      <c r="AZ23" s="317">
        <v>3745</v>
      </c>
      <c r="BA23" s="317">
        <v>3745</v>
      </c>
      <c r="BB23" s="317">
        <v>3923</v>
      </c>
      <c r="BC23" s="317">
        <v>4636</v>
      </c>
      <c r="BD23" s="317">
        <v>4993</v>
      </c>
      <c r="BE23" s="317">
        <v>7133</v>
      </c>
      <c r="BF23" s="91">
        <f t="shared" si="66"/>
        <v>59455</v>
      </c>
      <c r="BG23" s="93">
        <f t="shared" si="67"/>
        <v>0.20123244772199222</v>
      </c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177"/>
      <c r="BV23" s="91"/>
      <c r="BW23" s="91"/>
      <c r="BX23" s="91"/>
      <c r="BY23" s="91"/>
      <c r="BZ23" s="91"/>
      <c r="CA23" s="91"/>
      <c r="CB23" s="91"/>
      <c r="CC23" s="91"/>
      <c r="CD23" s="91"/>
      <c r="CE23" s="91"/>
      <c r="CF23" s="91"/>
      <c r="CG23" s="91"/>
      <c r="CH23" s="91"/>
    </row>
    <row r="24" spans="1:86" hidden="1">
      <c r="A24" s="94">
        <v>3</v>
      </c>
      <c r="B24" s="1092" t="s">
        <v>58</v>
      </c>
      <c r="C24" s="1127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314">
        <f t="shared" si="63"/>
        <v>0</v>
      </c>
      <c r="Q24" s="90"/>
      <c r="R24" s="313">
        <v>746</v>
      </c>
      <c r="S24" s="91">
        <v>653</v>
      </c>
      <c r="T24" s="91">
        <v>700</v>
      </c>
      <c r="U24" s="91">
        <v>0</v>
      </c>
      <c r="V24" s="91">
        <v>200</v>
      </c>
      <c r="W24" s="91">
        <v>400</v>
      </c>
      <c r="X24" s="91">
        <v>900</v>
      </c>
      <c r="Y24" s="91">
        <v>900</v>
      </c>
      <c r="Z24" s="91">
        <v>900</v>
      </c>
      <c r="AA24" s="91">
        <v>900</v>
      </c>
      <c r="AB24" s="91">
        <v>900</v>
      </c>
      <c r="AC24" s="91">
        <v>1200</v>
      </c>
      <c r="AD24" s="315">
        <f t="shared" si="64"/>
        <v>8399</v>
      </c>
      <c r="AE24" s="23"/>
      <c r="AF24" s="316">
        <v>1800</v>
      </c>
      <c r="AG24" s="91">
        <v>1200</v>
      </c>
      <c r="AH24" s="91">
        <v>230</v>
      </c>
      <c r="AI24" s="91">
        <v>472</v>
      </c>
      <c r="AJ24" s="91">
        <v>1495</v>
      </c>
      <c r="AK24" s="91">
        <v>1200</v>
      </c>
      <c r="AL24" s="91">
        <v>1500</v>
      </c>
      <c r="AM24" s="91">
        <v>1500</v>
      </c>
      <c r="AN24" s="91">
        <v>1500</v>
      </c>
      <c r="AO24" s="91">
        <v>1500</v>
      </c>
      <c r="AP24" s="91">
        <v>1650</v>
      </c>
      <c r="AQ24" s="91">
        <v>2400</v>
      </c>
      <c r="AR24" s="92">
        <f t="shared" si="65"/>
        <v>16447</v>
      </c>
      <c r="AS24" s="23"/>
      <c r="AT24" s="91">
        <v>2438</v>
      </c>
      <c r="AU24" s="91">
        <v>1501</v>
      </c>
      <c r="AV24" s="91">
        <v>1566</v>
      </c>
      <c r="AW24" s="91">
        <v>2127</v>
      </c>
      <c r="AX24" s="317">
        <v>1928</v>
      </c>
      <c r="AY24" s="317">
        <v>1928</v>
      </c>
      <c r="AZ24" s="317">
        <v>1840</v>
      </c>
      <c r="BA24" s="317">
        <v>1840</v>
      </c>
      <c r="BB24" s="317">
        <v>1928</v>
      </c>
      <c r="BC24" s="317">
        <v>2278</v>
      </c>
      <c r="BD24" s="317">
        <v>2454</v>
      </c>
      <c r="BE24" s="317">
        <v>3505</v>
      </c>
      <c r="BF24" s="91">
        <f t="shared" si="66"/>
        <v>25333</v>
      </c>
      <c r="BG24" s="93">
        <f t="shared" si="67"/>
        <v>0.54028090229221126</v>
      </c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177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1"/>
      <c r="CG24" s="91"/>
      <c r="CH24" s="91"/>
    </row>
    <row r="25" spans="1:86" hidden="1">
      <c r="A25" s="94">
        <v>4</v>
      </c>
      <c r="B25" s="1092" t="s">
        <v>59</v>
      </c>
      <c r="C25" s="1127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314">
        <f t="shared" si="63"/>
        <v>0</v>
      </c>
      <c r="Q25" s="90"/>
      <c r="R25" s="313">
        <v>1455</v>
      </c>
      <c r="S25" s="91">
        <f>2036</f>
        <v>2036</v>
      </c>
      <c r="T25" s="91">
        <f>2182/2</f>
        <v>1091</v>
      </c>
      <c r="U25" s="91">
        <v>0</v>
      </c>
      <c r="V25" s="91">
        <v>200</v>
      </c>
      <c r="W25" s="91">
        <v>900</v>
      </c>
      <c r="X25" s="91">
        <v>1600</v>
      </c>
      <c r="Y25" s="91">
        <v>1600</v>
      </c>
      <c r="Z25" s="91">
        <v>1600</v>
      </c>
      <c r="AA25" s="91">
        <v>1600</v>
      </c>
      <c r="AB25" s="91">
        <v>2200</v>
      </c>
      <c r="AC25" s="91">
        <v>2500</v>
      </c>
      <c r="AD25" s="315">
        <f t="shared" si="64"/>
        <v>16782</v>
      </c>
      <c r="AE25" s="23"/>
      <c r="AF25" s="316">
        <v>2200</v>
      </c>
      <c r="AG25" s="91">
        <v>1500</v>
      </c>
      <c r="AH25" s="91">
        <v>121</v>
      </c>
      <c r="AI25" s="91">
        <v>565</v>
      </c>
      <c r="AJ25" s="91">
        <v>1514</v>
      </c>
      <c r="AK25" s="91">
        <v>1760</v>
      </c>
      <c r="AL25" s="91">
        <v>1800</v>
      </c>
      <c r="AM25" s="91">
        <v>2200</v>
      </c>
      <c r="AN25" s="91">
        <v>2200</v>
      </c>
      <c r="AO25" s="91">
        <v>2200</v>
      </c>
      <c r="AP25" s="91">
        <v>2420</v>
      </c>
      <c r="AQ25" s="91">
        <v>3520</v>
      </c>
      <c r="AR25" s="92">
        <f t="shared" si="65"/>
        <v>22000</v>
      </c>
      <c r="AS25" s="23"/>
      <c r="AT25" s="91">
        <v>1529</v>
      </c>
      <c r="AU25" s="91">
        <v>1516</v>
      </c>
      <c r="AV25" s="91">
        <v>1586</v>
      </c>
      <c r="AW25" s="91">
        <v>1979</v>
      </c>
      <c r="AX25" s="317">
        <v>1283</v>
      </c>
      <c r="AY25" s="317">
        <v>1283</v>
      </c>
      <c r="AZ25" s="317">
        <v>1224</v>
      </c>
      <c r="BA25" s="317">
        <v>1224</v>
      </c>
      <c r="BB25" s="317">
        <v>1283</v>
      </c>
      <c r="BC25" s="317">
        <v>1516</v>
      </c>
      <c r="BD25" s="317">
        <v>1632</v>
      </c>
      <c r="BE25" s="317">
        <v>2332</v>
      </c>
      <c r="BF25" s="91">
        <f t="shared" si="66"/>
        <v>18387</v>
      </c>
      <c r="BG25" s="93">
        <f t="shared" si="67"/>
        <v>-0.16422727272727278</v>
      </c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177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</row>
    <row r="26" spans="1:86" hidden="1">
      <c r="A26" s="94">
        <v>5</v>
      </c>
      <c r="B26" s="1092" t="s">
        <v>60</v>
      </c>
      <c r="C26" s="1127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314">
        <f t="shared" si="63"/>
        <v>0</v>
      </c>
      <c r="Q26" s="90"/>
      <c r="R26" s="313">
        <v>1353</v>
      </c>
      <c r="S26" s="91">
        <v>1184</v>
      </c>
      <c r="T26" s="91">
        <v>1268</v>
      </c>
      <c r="U26" s="91">
        <f t="shared" ref="U26:V26" si="68">10*U3</f>
        <v>10</v>
      </c>
      <c r="V26" s="91">
        <f t="shared" si="68"/>
        <v>120</v>
      </c>
      <c r="W26" s="91">
        <v>600</v>
      </c>
      <c r="X26" s="91">
        <v>1600</v>
      </c>
      <c r="Y26" s="91">
        <v>1600</v>
      </c>
      <c r="Z26" s="91">
        <v>1600</v>
      </c>
      <c r="AA26" s="91">
        <v>1600</v>
      </c>
      <c r="AB26" s="91">
        <v>1600</v>
      </c>
      <c r="AC26" s="91">
        <v>2200</v>
      </c>
      <c r="AD26" s="315">
        <f t="shared" si="64"/>
        <v>14735</v>
      </c>
      <c r="AE26" s="23"/>
      <c r="AF26" s="316">
        <v>1800</v>
      </c>
      <c r="AG26" s="91">
        <v>1200</v>
      </c>
      <c r="AH26" s="91">
        <v>181</v>
      </c>
      <c r="AI26" s="91">
        <v>628</v>
      </c>
      <c r="AJ26" s="91">
        <v>1169</v>
      </c>
      <c r="AK26" s="91">
        <v>960</v>
      </c>
      <c r="AL26" s="91">
        <v>1500</v>
      </c>
      <c r="AM26" s="91">
        <v>1200</v>
      </c>
      <c r="AN26" s="91">
        <v>1200</v>
      </c>
      <c r="AO26" s="91">
        <v>1200</v>
      </c>
      <c r="AP26" s="91">
        <v>1320</v>
      </c>
      <c r="AQ26" s="91">
        <v>1920</v>
      </c>
      <c r="AR26" s="92">
        <f t="shared" si="65"/>
        <v>14278</v>
      </c>
      <c r="AS26" s="23"/>
      <c r="AT26" s="91">
        <v>1496</v>
      </c>
      <c r="AU26" s="91">
        <v>1200</v>
      </c>
      <c r="AV26" s="91">
        <v>1227</v>
      </c>
      <c r="AW26" s="91">
        <v>1655</v>
      </c>
      <c r="AX26" s="317">
        <v>1141</v>
      </c>
      <c r="AY26" s="317">
        <v>1141</v>
      </c>
      <c r="AZ26" s="317">
        <v>1089</v>
      </c>
      <c r="BA26" s="317">
        <v>1089</v>
      </c>
      <c r="BB26" s="317">
        <v>1141</v>
      </c>
      <c r="BC26" s="317">
        <v>1349</v>
      </c>
      <c r="BD26" s="317">
        <v>1453</v>
      </c>
      <c r="BE26" s="317">
        <v>2075</v>
      </c>
      <c r="BF26" s="91">
        <f t="shared" si="66"/>
        <v>16056</v>
      </c>
      <c r="BG26" s="93">
        <f t="shared" si="67"/>
        <v>0.1245272447121446</v>
      </c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177"/>
      <c r="BV26" s="91"/>
      <c r="BW26" s="91"/>
      <c r="BX26" s="91"/>
      <c r="BY26" s="91"/>
      <c r="BZ26" s="91"/>
      <c r="CA26" s="91"/>
      <c r="CB26" s="91"/>
      <c r="CC26" s="91"/>
      <c r="CD26" s="91"/>
      <c r="CE26" s="91"/>
      <c r="CF26" s="91"/>
      <c r="CG26" s="91"/>
      <c r="CH26" s="91"/>
    </row>
    <row r="27" spans="1:86" hidden="1">
      <c r="A27" s="94">
        <v>6</v>
      </c>
      <c r="B27" s="1092" t="s">
        <v>61</v>
      </c>
      <c r="C27" s="1127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314">
        <f t="shared" si="63"/>
        <v>0</v>
      </c>
      <c r="Q27" s="90"/>
      <c r="R27" s="313">
        <v>1455</v>
      </c>
      <c r="S27" s="91">
        <v>1273</v>
      </c>
      <c r="T27" s="91">
        <v>1364</v>
      </c>
      <c r="U27" s="91">
        <v>0</v>
      </c>
      <c r="V27" s="91">
        <v>200</v>
      </c>
      <c r="W27" s="91">
        <v>800</v>
      </c>
      <c r="X27" s="91">
        <v>1600</v>
      </c>
      <c r="Y27" s="91">
        <v>1600</v>
      </c>
      <c r="Z27" s="91">
        <v>1600</v>
      </c>
      <c r="AA27" s="91">
        <v>1600</v>
      </c>
      <c r="AB27" s="91">
        <v>1800</v>
      </c>
      <c r="AC27" s="91">
        <v>2400</v>
      </c>
      <c r="AD27" s="315">
        <f t="shared" si="64"/>
        <v>15692</v>
      </c>
      <c r="AE27" s="23"/>
      <c r="AF27" s="316">
        <v>1500</v>
      </c>
      <c r="AG27" s="91">
        <v>1200</v>
      </c>
      <c r="AH27" s="91">
        <v>127</v>
      </c>
      <c r="AI27" s="91">
        <v>426</v>
      </c>
      <c r="AJ27" s="91">
        <v>1063</v>
      </c>
      <c r="AK27" s="91">
        <v>960</v>
      </c>
      <c r="AL27" s="91">
        <v>1500</v>
      </c>
      <c r="AM27" s="91">
        <v>1200</v>
      </c>
      <c r="AN27" s="91">
        <v>1200</v>
      </c>
      <c r="AO27" s="91">
        <v>1200</v>
      </c>
      <c r="AP27" s="91">
        <v>1320</v>
      </c>
      <c r="AQ27" s="91">
        <v>1920</v>
      </c>
      <c r="AR27" s="92">
        <f t="shared" si="65"/>
        <v>13616</v>
      </c>
      <c r="AS27" s="23"/>
      <c r="AT27" s="91">
        <v>1222</v>
      </c>
      <c r="AU27" s="91">
        <v>1200</v>
      </c>
      <c r="AV27" s="91">
        <v>1117</v>
      </c>
      <c r="AW27" s="91">
        <v>1463</v>
      </c>
      <c r="AX27" s="317">
        <v>1087</v>
      </c>
      <c r="AY27" s="317">
        <v>1087</v>
      </c>
      <c r="AZ27" s="317">
        <v>1038</v>
      </c>
      <c r="BA27" s="317">
        <v>1038</v>
      </c>
      <c r="BB27" s="317">
        <v>1087</v>
      </c>
      <c r="BC27" s="317">
        <v>1285</v>
      </c>
      <c r="BD27" s="317">
        <v>1384</v>
      </c>
      <c r="BE27" s="317">
        <v>1977</v>
      </c>
      <c r="BF27" s="91">
        <f t="shared" si="66"/>
        <v>14985</v>
      </c>
      <c r="BG27" s="93">
        <f t="shared" si="67"/>
        <v>0.10054347826086962</v>
      </c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177"/>
      <c r="BV27" s="91"/>
      <c r="BW27" s="91"/>
      <c r="BX27" s="91"/>
      <c r="BY27" s="91"/>
      <c r="BZ27" s="91"/>
      <c r="CA27" s="91"/>
      <c r="CB27" s="91"/>
      <c r="CC27" s="91"/>
      <c r="CD27" s="91"/>
      <c r="CE27" s="91"/>
      <c r="CF27" s="91"/>
      <c r="CG27" s="91"/>
      <c r="CH27" s="91"/>
    </row>
    <row r="28" spans="1:86" hidden="1">
      <c r="A28" s="94">
        <v>7</v>
      </c>
      <c r="B28" s="1092" t="s">
        <v>62</v>
      </c>
      <c r="C28" s="1127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314">
        <f t="shared" si="63"/>
        <v>0</v>
      </c>
      <c r="Q28" s="90"/>
      <c r="R28" s="313">
        <v>2000</v>
      </c>
      <c r="S28" s="91">
        <f>2182</f>
        <v>2182</v>
      </c>
      <c r="T28" s="91">
        <f>2455/2</f>
        <v>1227.5</v>
      </c>
      <c r="U28" s="91">
        <f>4*U3</f>
        <v>4</v>
      </c>
      <c r="V28" s="91">
        <v>200</v>
      </c>
      <c r="W28" s="91">
        <v>700</v>
      </c>
      <c r="X28" s="91">
        <v>1600</v>
      </c>
      <c r="Y28" s="91">
        <v>1600</v>
      </c>
      <c r="Z28" s="91">
        <v>1600</v>
      </c>
      <c r="AA28" s="91">
        <v>1600</v>
      </c>
      <c r="AB28" s="91">
        <v>2500</v>
      </c>
      <c r="AC28" s="91">
        <v>3200</v>
      </c>
      <c r="AD28" s="315">
        <f t="shared" si="64"/>
        <v>18413.5</v>
      </c>
      <c r="AE28" s="23"/>
      <c r="AF28" s="316">
        <v>2600</v>
      </c>
      <c r="AG28" s="91">
        <v>1000</v>
      </c>
      <c r="AH28" s="91">
        <v>195</v>
      </c>
      <c r="AI28" s="91">
        <v>844</v>
      </c>
      <c r="AJ28" s="91">
        <v>1973</v>
      </c>
      <c r="AK28" s="91">
        <v>1840</v>
      </c>
      <c r="AL28" s="91">
        <v>2000</v>
      </c>
      <c r="AM28" s="91">
        <v>2300</v>
      </c>
      <c r="AN28" s="91">
        <v>2300</v>
      </c>
      <c r="AO28" s="91">
        <v>2300</v>
      </c>
      <c r="AP28" s="91">
        <v>2530</v>
      </c>
      <c r="AQ28" s="91">
        <v>3680</v>
      </c>
      <c r="AR28" s="92">
        <f t="shared" si="65"/>
        <v>23562</v>
      </c>
      <c r="AS28" s="23"/>
      <c r="AT28" s="91">
        <v>1888</v>
      </c>
      <c r="AU28" s="91">
        <v>1414</v>
      </c>
      <c r="AV28" s="91">
        <v>2073</v>
      </c>
      <c r="AW28" s="91">
        <v>2338</v>
      </c>
      <c r="AX28" s="317">
        <v>1857</v>
      </c>
      <c r="AY28" s="317">
        <v>1857</v>
      </c>
      <c r="AZ28" s="317">
        <v>1772</v>
      </c>
      <c r="BA28" s="317">
        <v>1772</v>
      </c>
      <c r="BB28" s="317">
        <v>1857</v>
      </c>
      <c r="BC28" s="317">
        <v>2194</v>
      </c>
      <c r="BD28" s="317">
        <v>2363</v>
      </c>
      <c r="BE28" s="317">
        <v>3376</v>
      </c>
      <c r="BF28" s="91">
        <f t="shared" si="66"/>
        <v>24761</v>
      </c>
      <c r="BG28" s="93">
        <f t="shared" si="67"/>
        <v>5.0887021475256811E-2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177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  <c r="CH28" s="91"/>
    </row>
    <row r="29" spans="1:86" hidden="1">
      <c r="A29" s="94">
        <v>8</v>
      </c>
      <c r="B29" s="1092" t="s">
        <v>269</v>
      </c>
      <c r="C29" s="1127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314">
        <f t="shared" si="63"/>
        <v>0</v>
      </c>
      <c r="Q29" s="90"/>
      <c r="R29" s="313">
        <v>1636</v>
      </c>
      <c r="S29" s="91">
        <v>1636</v>
      </c>
      <c r="T29" s="91">
        <f t="shared" ref="T29:T30" si="69">1818/2</f>
        <v>909</v>
      </c>
      <c r="U29" s="91">
        <v>0</v>
      </c>
      <c r="V29" s="91">
        <v>200</v>
      </c>
      <c r="W29" s="91">
        <v>300</v>
      </c>
      <c r="X29" s="91">
        <v>1000</v>
      </c>
      <c r="Y29" s="91">
        <v>1200</v>
      </c>
      <c r="Z29" s="91">
        <v>1600</v>
      </c>
      <c r="AA29" s="91">
        <v>1600</v>
      </c>
      <c r="AB29" s="91">
        <v>1800</v>
      </c>
      <c r="AC29" s="91">
        <v>2300</v>
      </c>
      <c r="AD29" s="315">
        <f t="shared" si="64"/>
        <v>14181</v>
      </c>
      <c r="AE29" s="23"/>
      <c r="AF29" s="316">
        <v>1500</v>
      </c>
      <c r="AG29" s="91">
        <v>1000</v>
      </c>
      <c r="AH29" s="91">
        <v>126</v>
      </c>
      <c r="AI29" s="91">
        <v>387</v>
      </c>
      <c r="AJ29" s="91">
        <v>895</v>
      </c>
      <c r="AK29" s="91">
        <v>800</v>
      </c>
      <c r="AL29" s="91">
        <v>1500</v>
      </c>
      <c r="AM29" s="91">
        <v>1000</v>
      </c>
      <c r="AN29" s="91">
        <v>1000</v>
      </c>
      <c r="AO29" s="91">
        <v>1000</v>
      </c>
      <c r="AP29" s="91">
        <v>1100</v>
      </c>
      <c r="AQ29" s="91">
        <v>1600</v>
      </c>
      <c r="AR29" s="92">
        <f t="shared" si="65"/>
        <v>11908</v>
      </c>
      <c r="AS29" s="23"/>
      <c r="AT29" s="91">
        <v>1182</v>
      </c>
      <c r="AU29" s="91">
        <v>1200</v>
      </c>
      <c r="AV29" s="91">
        <v>932</v>
      </c>
      <c r="AW29" s="91">
        <v>1020</v>
      </c>
      <c r="AX29" s="317">
        <v>0</v>
      </c>
      <c r="AY29" s="317">
        <v>0</v>
      </c>
      <c r="AZ29" s="317">
        <v>0</v>
      </c>
      <c r="BA29" s="317">
        <v>0</v>
      </c>
      <c r="BB29" s="317">
        <v>0</v>
      </c>
      <c r="BC29" s="317">
        <v>0</v>
      </c>
      <c r="BD29" s="317">
        <v>0</v>
      </c>
      <c r="BE29" s="317">
        <v>0</v>
      </c>
      <c r="BF29" s="91">
        <f t="shared" si="66"/>
        <v>4334</v>
      </c>
      <c r="BG29" s="93">
        <f t="shared" si="67"/>
        <v>-0.63604299630500505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177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  <c r="CH29" s="91"/>
    </row>
    <row r="30" spans="1:86" hidden="1">
      <c r="A30" s="94">
        <v>9</v>
      </c>
      <c r="B30" s="1092" t="s">
        <v>64</v>
      </c>
      <c r="C30" s="1127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314">
        <f t="shared" si="63"/>
        <v>0</v>
      </c>
      <c r="Q30" s="90"/>
      <c r="R30" s="313">
        <v>1636</v>
      </c>
      <c r="S30" s="91">
        <v>1636</v>
      </c>
      <c r="T30" s="91">
        <f t="shared" si="69"/>
        <v>909</v>
      </c>
      <c r="U30" s="91">
        <f>0.5*U3</f>
        <v>0.5</v>
      </c>
      <c r="V30" s="91">
        <v>200</v>
      </c>
      <c r="W30" s="91">
        <v>300</v>
      </c>
      <c r="X30" s="91">
        <v>1000</v>
      </c>
      <c r="Y30" s="91">
        <v>1200</v>
      </c>
      <c r="Z30" s="91">
        <v>1600</v>
      </c>
      <c r="AA30" s="91">
        <v>1600</v>
      </c>
      <c r="AB30" s="91">
        <v>1800</v>
      </c>
      <c r="AC30" s="91">
        <v>2300</v>
      </c>
      <c r="AD30" s="315">
        <f t="shared" si="64"/>
        <v>14181.5</v>
      </c>
      <c r="AE30" s="23"/>
      <c r="AF30" s="316">
        <v>1500</v>
      </c>
      <c r="AG30" s="91">
        <v>1000</v>
      </c>
      <c r="AH30" s="91">
        <v>764</v>
      </c>
      <c r="AI30" s="91">
        <v>561</v>
      </c>
      <c r="AJ30" s="91">
        <v>1353</v>
      </c>
      <c r="AK30" s="91">
        <v>960</v>
      </c>
      <c r="AL30" s="91">
        <v>1500</v>
      </c>
      <c r="AM30" s="91">
        <v>1200</v>
      </c>
      <c r="AN30" s="91">
        <v>1200</v>
      </c>
      <c r="AO30" s="91">
        <v>1200</v>
      </c>
      <c r="AP30" s="91">
        <v>1320</v>
      </c>
      <c r="AQ30" s="91">
        <v>1920</v>
      </c>
      <c r="AR30" s="92">
        <f t="shared" si="65"/>
        <v>14478</v>
      </c>
      <c r="AS30" s="23"/>
      <c r="AT30" s="91">
        <v>1285</v>
      </c>
      <c r="AU30" s="91">
        <v>957</v>
      </c>
      <c r="AV30" s="91">
        <v>1426</v>
      </c>
      <c r="AW30" s="91">
        <v>1595</v>
      </c>
      <c r="AX30" s="317">
        <v>1767</v>
      </c>
      <c r="AY30" s="317">
        <v>1767</v>
      </c>
      <c r="AZ30" s="317">
        <v>1686</v>
      </c>
      <c r="BA30" s="317">
        <v>1686</v>
      </c>
      <c r="BB30" s="317">
        <v>1767</v>
      </c>
      <c r="BC30" s="317">
        <v>2088</v>
      </c>
      <c r="BD30" s="317">
        <v>2248</v>
      </c>
      <c r="BE30" s="317">
        <v>3212</v>
      </c>
      <c r="BF30" s="91">
        <f t="shared" si="66"/>
        <v>21484</v>
      </c>
      <c r="BG30" s="93">
        <f t="shared" si="67"/>
        <v>0.48390661693604087</v>
      </c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177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</row>
    <row r="31" spans="1:86" hidden="1">
      <c r="A31" s="94">
        <v>10</v>
      </c>
      <c r="B31" s="1092" t="s">
        <v>270</v>
      </c>
      <c r="C31" s="1127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314">
        <f t="shared" si="63"/>
        <v>0</v>
      </c>
      <c r="Q31" s="90"/>
      <c r="R31" s="313">
        <v>0</v>
      </c>
      <c r="S31" s="91">
        <v>0</v>
      </c>
      <c r="T31" s="91">
        <v>0</v>
      </c>
      <c r="U31" s="91">
        <v>0</v>
      </c>
      <c r="V31" s="91">
        <v>3500</v>
      </c>
      <c r="W31" s="91">
        <v>350</v>
      </c>
      <c r="X31" s="91">
        <v>800</v>
      </c>
      <c r="Y31" s="91">
        <v>1000</v>
      </c>
      <c r="Z31" s="91">
        <v>1600</v>
      </c>
      <c r="AA31" s="91">
        <v>2000</v>
      </c>
      <c r="AB31" s="91">
        <v>2400</v>
      </c>
      <c r="AC31" s="91">
        <v>3000</v>
      </c>
      <c r="AD31" s="315">
        <f t="shared" si="64"/>
        <v>14650</v>
      </c>
      <c r="AE31" s="23"/>
      <c r="AF31" s="316">
        <v>2500</v>
      </c>
      <c r="AG31" s="91">
        <v>1000</v>
      </c>
      <c r="AH31" s="91">
        <f>2500*0.15</f>
        <v>375</v>
      </c>
      <c r="AI31" s="91">
        <v>787</v>
      </c>
      <c r="AJ31" s="91">
        <v>1569</v>
      </c>
      <c r="AK31" s="91">
        <v>2000</v>
      </c>
      <c r="AL31" s="91">
        <v>2500</v>
      </c>
      <c r="AM31" s="91">
        <v>2500</v>
      </c>
      <c r="AN31" s="91">
        <v>2500</v>
      </c>
      <c r="AO31" s="91">
        <v>2500</v>
      </c>
      <c r="AP31" s="91">
        <v>2750</v>
      </c>
      <c r="AQ31" s="91">
        <v>4000</v>
      </c>
      <c r="AR31" s="92">
        <f t="shared" si="65"/>
        <v>24981</v>
      </c>
      <c r="AS31" s="23"/>
      <c r="AT31" s="91">
        <v>1806</v>
      </c>
      <c r="AU31" s="91">
        <v>2046</v>
      </c>
      <c r="AV31" s="91">
        <v>1646</v>
      </c>
      <c r="AW31" s="91">
        <v>1902</v>
      </c>
      <c r="AX31" s="317">
        <v>1545</v>
      </c>
      <c r="AY31" s="317">
        <v>1545</v>
      </c>
      <c r="AZ31" s="317">
        <v>1475</v>
      </c>
      <c r="BA31" s="317">
        <v>1475</v>
      </c>
      <c r="BB31" s="317">
        <v>1545</v>
      </c>
      <c r="BC31" s="317">
        <v>1826</v>
      </c>
      <c r="BD31" s="317">
        <v>0</v>
      </c>
      <c r="BE31" s="317">
        <v>0</v>
      </c>
      <c r="BF31" s="91">
        <f t="shared" si="66"/>
        <v>16811</v>
      </c>
      <c r="BG31" s="93">
        <f t="shared" si="67"/>
        <v>-0.32704855690324641</v>
      </c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177"/>
      <c r="BV31" s="91"/>
      <c r="BW31" s="91"/>
      <c r="BX31" s="91"/>
      <c r="BY31" s="91"/>
      <c r="BZ31" s="91"/>
      <c r="CA31" s="91"/>
      <c r="CB31" s="91"/>
      <c r="CC31" s="91"/>
      <c r="CD31" s="91"/>
      <c r="CE31" s="91"/>
      <c r="CF31" s="91"/>
      <c r="CG31" s="91"/>
      <c r="CH31" s="91"/>
    </row>
    <row r="32" spans="1:86" hidden="1">
      <c r="A32" s="94">
        <v>11</v>
      </c>
      <c r="B32" s="210" t="s">
        <v>271</v>
      </c>
      <c r="C32" s="211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314">
        <f t="shared" si="63"/>
        <v>0</v>
      </c>
      <c r="Q32" s="90"/>
      <c r="R32" s="313">
        <v>0</v>
      </c>
      <c r="S32" s="91">
        <v>0</v>
      </c>
      <c r="T32" s="91">
        <v>0</v>
      </c>
      <c r="U32" s="91">
        <v>0</v>
      </c>
      <c r="V32" s="91">
        <v>4000</v>
      </c>
      <c r="W32" s="91">
        <v>100</v>
      </c>
      <c r="X32" s="91">
        <v>800</v>
      </c>
      <c r="Y32" s="91">
        <v>800</v>
      </c>
      <c r="Z32" s="91">
        <v>1200</v>
      </c>
      <c r="AA32" s="91">
        <v>1200</v>
      </c>
      <c r="AB32" s="91">
        <v>1800</v>
      </c>
      <c r="AC32" s="91">
        <v>2300</v>
      </c>
      <c r="AD32" s="315">
        <f t="shared" si="64"/>
        <v>12200</v>
      </c>
      <c r="AE32" s="23"/>
      <c r="AF32" s="316">
        <v>1500</v>
      </c>
      <c r="AG32" s="91">
        <v>1000</v>
      </c>
      <c r="AH32" s="91">
        <f t="shared" ref="AH32:AH33" si="70">1500*0.15</f>
        <v>225</v>
      </c>
      <c r="AI32" s="91">
        <v>324</v>
      </c>
      <c r="AJ32" s="91">
        <v>869</v>
      </c>
      <c r="AK32" s="91">
        <v>800</v>
      </c>
      <c r="AL32" s="91">
        <v>1500</v>
      </c>
      <c r="AM32" s="91">
        <v>1000</v>
      </c>
      <c r="AN32" s="91">
        <v>1000</v>
      </c>
      <c r="AO32" s="91">
        <v>1000</v>
      </c>
      <c r="AP32" s="91">
        <v>1100</v>
      </c>
      <c r="AQ32" s="91">
        <v>1600</v>
      </c>
      <c r="AR32" s="92">
        <f t="shared" si="65"/>
        <v>11918</v>
      </c>
      <c r="AS32" s="23"/>
      <c r="AT32" s="91">
        <v>1191</v>
      </c>
      <c r="AU32" s="91">
        <v>1191</v>
      </c>
      <c r="AV32" s="91">
        <v>1191</v>
      </c>
      <c r="AW32" s="91">
        <v>1191</v>
      </c>
      <c r="AX32" s="317">
        <v>876</v>
      </c>
      <c r="AY32" s="317">
        <v>876</v>
      </c>
      <c r="AZ32" s="317">
        <v>836</v>
      </c>
      <c r="BA32" s="317">
        <v>836</v>
      </c>
      <c r="BB32" s="317">
        <v>876</v>
      </c>
      <c r="BC32" s="317">
        <v>1035</v>
      </c>
      <c r="BD32" s="317">
        <v>0</v>
      </c>
      <c r="BE32" s="317">
        <v>0</v>
      </c>
      <c r="BF32" s="91">
        <f t="shared" si="66"/>
        <v>10099</v>
      </c>
      <c r="BG32" s="93">
        <f t="shared" si="67"/>
        <v>-0.15262627957711028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177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</row>
    <row r="33" spans="1:86" hidden="1">
      <c r="A33" s="94">
        <v>12</v>
      </c>
      <c r="B33" s="210" t="s">
        <v>272</v>
      </c>
      <c r="C33" s="211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314">
        <f t="shared" si="63"/>
        <v>0</v>
      </c>
      <c r="Q33" s="90"/>
      <c r="R33" s="313">
        <v>0</v>
      </c>
      <c r="S33" s="91">
        <v>0</v>
      </c>
      <c r="T33" s="91">
        <v>0</v>
      </c>
      <c r="U33" s="91">
        <v>0</v>
      </c>
      <c r="V33" s="91">
        <v>4000</v>
      </c>
      <c r="W33" s="91">
        <v>0</v>
      </c>
      <c r="X33" s="91">
        <v>800</v>
      </c>
      <c r="Y33" s="91">
        <v>1000</v>
      </c>
      <c r="Z33" s="91">
        <v>1200</v>
      </c>
      <c r="AA33" s="91">
        <v>1200</v>
      </c>
      <c r="AB33" s="91">
        <v>1800</v>
      </c>
      <c r="AC33" s="91">
        <v>2300</v>
      </c>
      <c r="AD33" s="315">
        <f t="shared" si="64"/>
        <v>12300</v>
      </c>
      <c r="AE33" s="23"/>
      <c r="AF33" s="316">
        <v>1500</v>
      </c>
      <c r="AG33" s="91">
        <v>1200</v>
      </c>
      <c r="AH33" s="91">
        <f t="shared" si="70"/>
        <v>225</v>
      </c>
      <c r="AI33" s="91">
        <v>332</v>
      </c>
      <c r="AJ33" s="91">
        <v>945</v>
      </c>
      <c r="AK33" s="91">
        <v>960</v>
      </c>
      <c r="AL33" s="91">
        <v>1500</v>
      </c>
      <c r="AM33" s="91">
        <v>1200</v>
      </c>
      <c r="AN33" s="91">
        <v>1200</v>
      </c>
      <c r="AO33" s="91">
        <v>1200</v>
      </c>
      <c r="AP33" s="91">
        <v>1320</v>
      </c>
      <c r="AQ33" s="91">
        <v>1920</v>
      </c>
      <c r="AR33" s="92">
        <f t="shared" si="65"/>
        <v>13502</v>
      </c>
      <c r="AS33" s="23"/>
      <c r="AT33" s="91">
        <v>1254</v>
      </c>
      <c r="AU33" s="91">
        <v>1254</v>
      </c>
      <c r="AV33" s="91">
        <v>1254</v>
      </c>
      <c r="AW33" s="91">
        <v>1254</v>
      </c>
      <c r="AX33" s="317">
        <v>1236</v>
      </c>
      <c r="AY33" s="317">
        <v>1236</v>
      </c>
      <c r="AZ33" s="317">
        <v>0</v>
      </c>
      <c r="BA33" s="317">
        <v>0</v>
      </c>
      <c r="BB33" s="317">
        <v>0</v>
      </c>
      <c r="BC33" s="317">
        <v>0</v>
      </c>
      <c r="BD33" s="317">
        <v>0</v>
      </c>
      <c r="BE33" s="317">
        <v>0</v>
      </c>
      <c r="BF33" s="91">
        <f t="shared" si="66"/>
        <v>7488</v>
      </c>
      <c r="BG33" s="93">
        <f t="shared" si="67"/>
        <v>-0.44541549400088876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177"/>
      <c r="BV33" s="91"/>
      <c r="BW33" s="91"/>
      <c r="BX33" s="91"/>
      <c r="BY33" s="91"/>
      <c r="BZ33" s="91"/>
      <c r="CA33" s="91"/>
      <c r="CB33" s="91"/>
      <c r="CC33" s="91"/>
      <c r="CD33" s="91"/>
      <c r="CE33" s="91"/>
      <c r="CF33" s="91"/>
      <c r="CG33" s="91"/>
      <c r="CH33" s="91"/>
    </row>
    <row r="34" spans="1:86" hidden="1">
      <c r="A34" s="94">
        <v>13</v>
      </c>
      <c r="B34" s="210" t="s">
        <v>67</v>
      </c>
      <c r="C34" s="212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si="63"/>
        <v>0</v>
      </c>
      <c r="Q34" s="90"/>
      <c r="R34" s="313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2000</v>
      </c>
      <c r="Y34" s="91">
        <v>800</v>
      </c>
      <c r="Z34" s="91">
        <v>800</v>
      </c>
      <c r="AA34" s="91">
        <v>1200</v>
      </c>
      <c r="AB34" s="91">
        <v>1800</v>
      </c>
      <c r="AC34" s="91">
        <v>2300</v>
      </c>
      <c r="AD34" s="315">
        <f t="shared" si="64"/>
        <v>8900</v>
      </c>
      <c r="AE34" s="23"/>
      <c r="AF34" s="316">
        <v>1800</v>
      </c>
      <c r="AG34" s="91">
        <v>1200</v>
      </c>
      <c r="AH34" s="91">
        <f>1800*0.15</f>
        <v>270</v>
      </c>
      <c r="AI34" s="91">
        <v>896</v>
      </c>
      <c r="AJ34" s="91">
        <v>1339</v>
      </c>
      <c r="AK34" s="91">
        <v>1600</v>
      </c>
      <c r="AL34" s="91">
        <v>1800</v>
      </c>
      <c r="AM34" s="91">
        <v>2000</v>
      </c>
      <c r="AN34" s="91">
        <v>2000</v>
      </c>
      <c r="AO34" s="91">
        <v>2000</v>
      </c>
      <c r="AP34" s="91">
        <v>2200</v>
      </c>
      <c r="AQ34" s="91">
        <v>3200</v>
      </c>
      <c r="AR34" s="92">
        <f t="shared" si="65"/>
        <v>20305</v>
      </c>
      <c r="AS34" s="23"/>
      <c r="AT34" s="91">
        <v>1980</v>
      </c>
      <c r="AU34" s="91">
        <v>1980</v>
      </c>
      <c r="AV34" s="91">
        <v>1980</v>
      </c>
      <c r="AW34" s="91">
        <v>1980</v>
      </c>
      <c r="AX34" s="317">
        <v>1409</v>
      </c>
      <c r="AY34" s="317">
        <v>1409</v>
      </c>
      <c r="AZ34" s="317">
        <v>1345</v>
      </c>
      <c r="BA34" s="317">
        <v>1345</v>
      </c>
      <c r="BB34" s="317">
        <v>1409</v>
      </c>
      <c r="BC34" s="317">
        <v>1665</v>
      </c>
      <c r="BD34" s="317">
        <v>1793</v>
      </c>
      <c r="BE34" s="317">
        <v>2562</v>
      </c>
      <c r="BF34" s="91">
        <f t="shared" si="66"/>
        <v>20857</v>
      </c>
      <c r="BG34" s="93">
        <f t="shared" si="67"/>
        <v>2.7185422309775831E-2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177"/>
      <c r="BV34" s="91"/>
      <c r="BW34" s="91"/>
      <c r="BX34" s="91"/>
      <c r="BY34" s="91"/>
      <c r="BZ34" s="91"/>
      <c r="CA34" s="91"/>
      <c r="CB34" s="91"/>
      <c r="CC34" s="91"/>
      <c r="CD34" s="91"/>
      <c r="CE34" s="91"/>
      <c r="CF34" s="91"/>
      <c r="CG34" s="91"/>
      <c r="CH34" s="91"/>
    </row>
    <row r="35" spans="1:86" hidden="1">
      <c r="A35" s="94">
        <v>14</v>
      </c>
      <c r="B35" s="210" t="s">
        <v>68</v>
      </c>
      <c r="C35" s="212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/>
      <c r="Q35" s="90"/>
      <c r="R35" s="313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2000</v>
      </c>
      <c r="Z35" s="91">
        <v>800</v>
      </c>
      <c r="AA35" s="91">
        <v>800</v>
      </c>
      <c r="AB35" s="91">
        <v>1200</v>
      </c>
      <c r="AC35" s="91">
        <v>1800</v>
      </c>
      <c r="AD35" s="315">
        <f t="shared" si="64"/>
        <v>6600</v>
      </c>
      <c r="AE35" s="23"/>
      <c r="AF35" s="316">
        <v>1500</v>
      </c>
      <c r="AG35" s="91">
        <v>1200</v>
      </c>
      <c r="AH35" s="91">
        <f>1500*0.15</f>
        <v>225</v>
      </c>
      <c r="AI35" s="91">
        <v>374</v>
      </c>
      <c r="AJ35" s="91">
        <v>990</v>
      </c>
      <c r="AK35" s="91">
        <v>960</v>
      </c>
      <c r="AL35" s="91">
        <v>1800</v>
      </c>
      <c r="AM35" s="91">
        <v>1200</v>
      </c>
      <c r="AN35" s="91">
        <v>1200</v>
      </c>
      <c r="AO35" s="91">
        <v>1200</v>
      </c>
      <c r="AP35" s="91">
        <v>1320</v>
      </c>
      <c r="AQ35" s="91">
        <v>1920</v>
      </c>
      <c r="AR35" s="92">
        <f t="shared" si="65"/>
        <v>13889</v>
      </c>
      <c r="AS35" s="23"/>
      <c r="AT35" s="91">
        <v>1518</v>
      </c>
      <c r="AU35" s="91">
        <v>1518</v>
      </c>
      <c r="AV35" s="91">
        <v>1518</v>
      </c>
      <c r="AW35" s="91">
        <v>1518</v>
      </c>
      <c r="AX35" s="317">
        <v>1276</v>
      </c>
      <c r="AY35" s="317">
        <v>1276</v>
      </c>
      <c r="AZ35" s="317">
        <v>1218</v>
      </c>
      <c r="BA35" s="317">
        <v>1218</v>
      </c>
      <c r="BB35" s="317">
        <v>1276</v>
      </c>
      <c r="BC35" s="317">
        <v>1508</v>
      </c>
      <c r="BD35" s="317">
        <v>1624</v>
      </c>
      <c r="BE35" s="317">
        <v>2320</v>
      </c>
      <c r="BF35" s="91">
        <f t="shared" si="66"/>
        <v>17788</v>
      </c>
      <c r="BG35" s="93">
        <f t="shared" si="67"/>
        <v>0.2807257541939665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177"/>
      <c r="BV35" s="91"/>
      <c r="BW35" s="91"/>
      <c r="BX35" s="91"/>
      <c r="BY35" s="91"/>
      <c r="BZ35" s="91"/>
      <c r="CA35" s="91"/>
      <c r="CB35" s="91"/>
      <c r="CC35" s="91"/>
      <c r="CD35" s="91"/>
      <c r="CE35" s="91"/>
      <c r="CF35" s="91"/>
      <c r="CG35" s="91"/>
      <c r="CH35" s="91"/>
    </row>
    <row r="36" spans="1:86" hidden="1">
      <c r="A36" s="94">
        <v>15</v>
      </c>
      <c r="B36" s="210" t="s">
        <v>69</v>
      </c>
      <c r="C36" s="212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/>
      <c r="Q36" s="90"/>
      <c r="R36" s="313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2000</v>
      </c>
      <c r="AA36" s="91">
        <v>800</v>
      </c>
      <c r="AB36" s="91">
        <v>800</v>
      </c>
      <c r="AC36" s="91">
        <v>1500</v>
      </c>
      <c r="AD36" s="315">
        <f t="shared" si="64"/>
        <v>5100</v>
      </c>
      <c r="AE36" s="23"/>
      <c r="AF36" s="316">
        <v>1800</v>
      </c>
      <c r="AG36" s="91">
        <v>1200</v>
      </c>
      <c r="AH36" s="91">
        <f>1800*0.4</f>
        <v>720</v>
      </c>
      <c r="AI36" s="91">
        <v>1147</v>
      </c>
      <c r="AJ36" s="91">
        <v>1155</v>
      </c>
      <c r="AK36" s="91">
        <v>1600</v>
      </c>
      <c r="AL36" s="91">
        <v>1800</v>
      </c>
      <c r="AM36" s="91">
        <v>2000</v>
      </c>
      <c r="AN36" s="91">
        <v>2000</v>
      </c>
      <c r="AO36" s="91">
        <v>2000</v>
      </c>
      <c r="AP36" s="91">
        <v>2200</v>
      </c>
      <c r="AQ36" s="91">
        <v>3200</v>
      </c>
      <c r="AR36" s="92">
        <f t="shared" si="65"/>
        <v>20822</v>
      </c>
      <c r="AS36" s="23"/>
      <c r="AT36" s="91">
        <v>1544</v>
      </c>
      <c r="AU36" s="91">
        <v>1544</v>
      </c>
      <c r="AV36" s="91">
        <v>1544</v>
      </c>
      <c r="AW36" s="91">
        <v>1544</v>
      </c>
      <c r="AX36" s="317">
        <v>862</v>
      </c>
      <c r="AY36" s="317">
        <v>862</v>
      </c>
      <c r="AZ36" s="317">
        <v>823</v>
      </c>
      <c r="BA36" s="317">
        <v>823</v>
      </c>
      <c r="BB36" s="317">
        <v>862</v>
      </c>
      <c r="BC36" s="317">
        <v>1019</v>
      </c>
      <c r="BD36" s="317">
        <v>1098</v>
      </c>
      <c r="BE36" s="317">
        <v>1568</v>
      </c>
      <c r="BF36" s="91">
        <f t="shared" si="66"/>
        <v>14093</v>
      </c>
      <c r="BG36" s="93">
        <f t="shared" si="67"/>
        <v>-0.32316780328498707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177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1"/>
      <c r="CG36" s="91"/>
      <c r="CH36" s="91"/>
    </row>
    <row r="37" spans="1:86" hidden="1">
      <c r="A37" s="94">
        <v>16</v>
      </c>
      <c r="B37" s="210" t="s">
        <v>273</v>
      </c>
      <c r="C37" s="212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/>
      <c r="Q37" s="90"/>
      <c r="R37" s="313"/>
      <c r="S37" s="91"/>
      <c r="T37" s="91"/>
      <c r="U37" s="91"/>
      <c r="V37" s="91"/>
      <c r="W37" s="91"/>
      <c r="X37" s="91"/>
      <c r="Y37" s="91"/>
      <c r="Z37" s="91"/>
      <c r="AA37" s="91">
        <v>800</v>
      </c>
      <c r="AB37" s="91">
        <v>800</v>
      </c>
      <c r="AC37" s="91">
        <v>1500</v>
      </c>
      <c r="AD37" s="315"/>
      <c r="AE37" s="23"/>
      <c r="AF37" s="316">
        <v>1500</v>
      </c>
      <c r="AG37" s="91">
        <v>1200</v>
      </c>
      <c r="AH37" s="91">
        <f>1500*0.15</f>
        <v>225</v>
      </c>
      <c r="AI37" s="91">
        <v>192</v>
      </c>
      <c r="AJ37" s="91">
        <v>663</v>
      </c>
      <c r="AK37" s="91">
        <v>800</v>
      </c>
      <c r="AL37" s="91">
        <v>1500</v>
      </c>
      <c r="AM37" s="91">
        <v>1000</v>
      </c>
      <c r="AN37" s="91">
        <v>1000</v>
      </c>
      <c r="AO37" s="91">
        <v>1000</v>
      </c>
      <c r="AP37" s="91">
        <v>1100</v>
      </c>
      <c r="AQ37" s="91">
        <v>1600</v>
      </c>
      <c r="AR37" s="92">
        <f t="shared" si="65"/>
        <v>11780</v>
      </c>
      <c r="AS37" s="23"/>
      <c r="AT37" s="91">
        <v>960</v>
      </c>
      <c r="AU37" s="91">
        <v>960</v>
      </c>
      <c r="AV37" s="91">
        <v>960</v>
      </c>
      <c r="AW37" s="91">
        <v>960</v>
      </c>
      <c r="AX37" s="317">
        <v>1414</v>
      </c>
      <c r="AY37" s="317">
        <v>1414</v>
      </c>
      <c r="AZ37" s="317">
        <v>1350</v>
      </c>
      <c r="BA37" s="317">
        <v>1350</v>
      </c>
      <c r="BB37" s="317">
        <v>1414</v>
      </c>
      <c r="BC37" s="317">
        <v>1671</v>
      </c>
      <c r="BD37" s="317">
        <v>1800</v>
      </c>
      <c r="BE37" s="317">
        <v>2571</v>
      </c>
      <c r="BF37" s="91">
        <f t="shared" si="66"/>
        <v>16824</v>
      </c>
      <c r="BG37" s="93">
        <f t="shared" si="67"/>
        <v>0.42818336162988113</v>
      </c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177"/>
      <c r="BV37" s="91"/>
      <c r="BW37" s="91"/>
      <c r="BX37" s="91"/>
      <c r="BY37" s="91"/>
      <c r="BZ37" s="91"/>
      <c r="CA37" s="91"/>
      <c r="CB37" s="91"/>
      <c r="CC37" s="91"/>
      <c r="CD37" s="91"/>
      <c r="CE37" s="91"/>
      <c r="CF37" s="91"/>
      <c r="CG37" s="91"/>
      <c r="CH37" s="91"/>
    </row>
    <row r="38" spans="1:86" hidden="1">
      <c r="A38" s="94" t="s">
        <v>274</v>
      </c>
      <c r="B38" s="210" t="s">
        <v>275</v>
      </c>
      <c r="C38" s="213">
        <v>44378</v>
      </c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/>
      <c r="Q38" s="90"/>
      <c r="R38" s="313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315"/>
      <c r="AE38" s="23"/>
      <c r="AF38" s="316">
        <v>0</v>
      </c>
      <c r="AG38" s="91">
        <v>0</v>
      </c>
      <c r="AH38" s="91">
        <v>0</v>
      </c>
      <c r="AI38" s="91">
        <v>0</v>
      </c>
      <c r="AJ38" s="91">
        <v>0</v>
      </c>
      <c r="AK38" s="91">
        <v>400</v>
      </c>
      <c r="AL38" s="91">
        <v>500</v>
      </c>
      <c r="AM38" s="91">
        <v>500</v>
      </c>
      <c r="AN38" s="91">
        <v>600</v>
      </c>
      <c r="AO38" s="91">
        <v>600</v>
      </c>
      <c r="AP38" s="91">
        <v>660</v>
      </c>
      <c r="AQ38" s="91">
        <v>960</v>
      </c>
      <c r="AR38" s="92">
        <f t="shared" si="65"/>
        <v>4220</v>
      </c>
      <c r="AS38" s="23"/>
      <c r="AT38" s="91">
        <v>960</v>
      </c>
      <c r="AU38" s="91">
        <v>960</v>
      </c>
      <c r="AV38" s="91">
        <v>960</v>
      </c>
      <c r="AW38" s="91">
        <v>960</v>
      </c>
      <c r="AX38" s="317">
        <v>580</v>
      </c>
      <c r="AY38" s="317">
        <v>580</v>
      </c>
      <c r="AZ38" s="317">
        <v>554</v>
      </c>
      <c r="BA38" s="317">
        <v>554</v>
      </c>
      <c r="BB38" s="317">
        <v>580</v>
      </c>
      <c r="BC38" s="317">
        <v>686</v>
      </c>
      <c r="BD38" s="317">
        <v>739</v>
      </c>
      <c r="BE38" s="317">
        <v>1055</v>
      </c>
      <c r="BF38" s="91">
        <f t="shared" si="66"/>
        <v>9168</v>
      </c>
      <c r="BG38" s="93">
        <f t="shared" si="67"/>
        <v>1.172511848341232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177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</row>
    <row r="39" spans="1:86" hidden="1">
      <c r="A39" s="94" t="s">
        <v>274</v>
      </c>
      <c r="B39" s="210" t="s">
        <v>70</v>
      </c>
      <c r="C39" s="213">
        <v>44440</v>
      </c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314"/>
      <c r="Q39" s="90"/>
      <c r="R39" s="313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315"/>
      <c r="AE39" s="23"/>
      <c r="AF39" s="316">
        <v>0</v>
      </c>
      <c r="AG39" s="91">
        <v>0</v>
      </c>
      <c r="AH39" s="91">
        <v>0</v>
      </c>
      <c r="AI39" s="91">
        <v>0</v>
      </c>
      <c r="AJ39" s="91">
        <v>0</v>
      </c>
      <c r="AK39" s="91">
        <v>0</v>
      </c>
      <c r="AL39" s="91">
        <v>2500</v>
      </c>
      <c r="AM39" s="91">
        <v>2000</v>
      </c>
      <c r="AN39" s="91">
        <v>500</v>
      </c>
      <c r="AO39" s="91">
        <v>600</v>
      </c>
      <c r="AP39" s="91">
        <v>660</v>
      </c>
      <c r="AQ39" s="91">
        <v>960</v>
      </c>
      <c r="AR39" s="92">
        <f t="shared" si="65"/>
        <v>7220</v>
      </c>
      <c r="AS39" s="23"/>
      <c r="AT39" s="91">
        <v>1518</v>
      </c>
      <c r="AU39" s="91">
        <v>1518</v>
      </c>
      <c r="AV39" s="91">
        <v>1518</v>
      </c>
      <c r="AW39" s="91">
        <v>1518</v>
      </c>
      <c r="AX39" s="317">
        <v>1943</v>
      </c>
      <c r="AY39" s="317">
        <v>1943</v>
      </c>
      <c r="AZ39" s="317">
        <v>1854</v>
      </c>
      <c r="BA39" s="317">
        <v>1854</v>
      </c>
      <c r="BB39" s="317">
        <v>1943</v>
      </c>
      <c r="BC39" s="317">
        <v>2296</v>
      </c>
      <c r="BD39" s="317">
        <v>2472</v>
      </c>
      <c r="BE39" s="317">
        <v>3532</v>
      </c>
      <c r="BF39" s="91">
        <f t="shared" si="66"/>
        <v>23909</v>
      </c>
      <c r="BG39" s="93">
        <f t="shared" si="67"/>
        <v>2.3114958448753464</v>
      </c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177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</row>
    <row r="40" spans="1:86" hidden="1">
      <c r="A40" s="318">
        <v>18</v>
      </c>
      <c r="B40" s="382" t="s">
        <v>65</v>
      </c>
      <c r="C40" s="383">
        <v>44682</v>
      </c>
      <c r="D40" s="321"/>
      <c r="E40" s="321"/>
      <c r="F40" s="321"/>
      <c r="G40" s="321"/>
      <c r="H40" s="321"/>
      <c r="I40" s="321"/>
      <c r="J40" s="321"/>
      <c r="K40" s="321"/>
      <c r="L40" s="321"/>
      <c r="M40" s="321"/>
      <c r="N40" s="321"/>
      <c r="O40" s="321"/>
      <c r="P40" s="321"/>
      <c r="Q40" s="321"/>
      <c r="R40" s="321"/>
      <c r="S40" s="321"/>
      <c r="T40" s="321"/>
      <c r="U40" s="321"/>
      <c r="V40" s="321"/>
      <c r="W40" s="321"/>
      <c r="X40" s="321"/>
      <c r="Y40" s="321"/>
      <c r="Z40" s="321"/>
      <c r="AA40" s="321"/>
      <c r="AB40" s="321"/>
      <c r="AC40" s="321"/>
      <c r="AD40" s="321"/>
      <c r="AE40" s="322"/>
      <c r="AF40" s="323">
        <v>0</v>
      </c>
      <c r="AG40" s="323">
        <v>0</v>
      </c>
      <c r="AH40" s="323">
        <v>0</v>
      </c>
      <c r="AI40" s="323">
        <v>0</v>
      </c>
      <c r="AJ40" s="323">
        <v>0</v>
      </c>
      <c r="AK40" s="323">
        <v>0</v>
      </c>
      <c r="AL40" s="323">
        <v>0</v>
      </c>
      <c r="AM40" s="323">
        <v>0</v>
      </c>
      <c r="AN40" s="323">
        <v>0</v>
      </c>
      <c r="AO40" s="323">
        <v>0</v>
      </c>
      <c r="AP40" s="323">
        <v>0</v>
      </c>
      <c r="AQ40" s="323">
        <v>0</v>
      </c>
      <c r="AR40" s="324">
        <f t="shared" si="65"/>
        <v>0</v>
      </c>
      <c r="AS40" s="322"/>
      <c r="AT40" s="323">
        <v>0</v>
      </c>
      <c r="AU40" s="323">
        <v>0</v>
      </c>
      <c r="AV40" s="323">
        <v>0</v>
      </c>
      <c r="AW40" s="323">
        <v>0</v>
      </c>
      <c r="AX40" s="317">
        <v>800</v>
      </c>
      <c r="AY40" s="317">
        <v>800</v>
      </c>
      <c r="AZ40" s="317">
        <v>800</v>
      </c>
      <c r="BA40" s="317">
        <v>1050</v>
      </c>
      <c r="BB40" s="317">
        <v>1100</v>
      </c>
      <c r="BC40" s="317">
        <v>1300</v>
      </c>
      <c r="BD40" s="317">
        <v>1400</v>
      </c>
      <c r="BE40" s="317">
        <v>2000</v>
      </c>
      <c r="BF40" s="323">
        <f t="shared" si="66"/>
        <v>9250</v>
      </c>
      <c r="BG40" s="325" t="e">
        <f t="shared" si="67"/>
        <v>#DIV/0!</v>
      </c>
      <c r="BH40" s="323"/>
      <c r="BI40" s="323"/>
      <c r="BJ40" s="323"/>
      <c r="BK40" s="323"/>
      <c r="BL40" s="317"/>
      <c r="BM40" s="317"/>
      <c r="BN40" s="317"/>
      <c r="BO40" s="317"/>
      <c r="BP40" s="317"/>
      <c r="BQ40" s="317"/>
      <c r="BR40" s="317"/>
      <c r="BS40" s="317"/>
      <c r="BT40" s="317"/>
      <c r="BU40" s="325"/>
      <c r="BV40" s="323"/>
      <c r="BW40" s="323"/>
      <c r="BX40" s="323"/>
      <c r="BY40" s="323"/>
      <c r="BZ40" s="317"/>
      <c r="CA40" s="317"/>
      <c r="CB40" s="317"/>
      <c r="CC40" s="317"/>
      <c r="CD40" s="317"/>
      <c r="CE40" s="317"/>
      <c r="CF40" s="317"/>
      <c r="CG40" s="317"/>
      <c r="CH40" s="317"/>
    </row>
    <row r="41" spans="1:86" hidden="1">
      <c r="A41" s="95"/>
      <c r="B41" s="214" t="s">
        <v>276</v>
      </c>
      <c r="C41" s="215">
        <v>44870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23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8"/>
      <c r="AS41" s="23"/>
      <c r="AT41" s="97"/>
      <c r="AU41" s="97"/>
      <c r="AV41" s="97"/>
      <c r="AW41" s="97"/>
      <c r="AX41" s="91"/>
      <c r="AY41" s="91"/>
      <c r="AZ41" s="91"/>
      <c r="BA41" s="91"/>
      <c r="BB41" s="91"/>
      <c r="BC41" s="91"/>
      <c r="BD41" s="91">
        <v>600</v>
      </c>
      <c r="BE41" s="91">
        <v>700</v>
      </c>
      <c r="BF41" s="323">
        <f t="shared" si="66"/>
        <v>1300</v>
      </c>
      <c r="BG41" s="93"/>
      <c r="BH41" s="97"/>
      <c r="BI41" s="97"/>
      <c r="BJ41" s="97"/>
      <c r="BK41" s="97"/>
      <c r="BL41" s="91"/>
      <c r="BM41" s="91"/>
      <c r="BN41" s="91"/>
      <c r="BO41" s="91"/>
      <c r="BP41" s="91"/>
      <c r="BQ41" s="91"/>
      <c r="BR41" s="91"/>
      <c r="BS41" s="91"/>
      <c r="BT41" s="91"/>
      <c r="BU41" s="177"/>
      <c r="BV41" s="97"/>
      <c r="BW41" s="97"/>
      <c r="BX41" s="97"/>
      <c r="BY41" s="97"/>
      <c r="BZ41" s="91"/>
      <c r="CA41" s="91"/>
      <c r="CB41" s="91"/>
      <c r="CC41" s="91"/>
      <c r="CD41" s="91"/>
      <c r="CE41" s="91"/>
      <c r="CF41" s="91"/>
      <c r="CG41" s="91"/>
      <c r="CH41" s="91"/>
    </row>
    <row r="42" spans="1:86" hidden="1">
      <c r="A42" s="95"/>
      <c r="B42" s="216" t="s">
        <v>71</v>
      </c>
      <c r="C42" s="211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ref="P42:P43" si="71">SUM(D42:O42)</f>
        <v>0</v>
      </c>
      <c r="Q42" s="90"/>
      <c r="R42" s="313">
        <v>350</v>
      </c>
      <c r="S42" s="91">
        <v>350</v>
      </c>
      <c r="T42" s="91">
        <v>450</v>
      </c>
      <c r="U42" s="91">
        <v>800</v>
      </c>
      <c r="V42" s="91">
        <v>531</v>
      </c>
      <c r="W42" s="91">
        <v>750</v>
      </c>
      <c r="X42" s="91">
        <v>650</v>
      </c>
      <c r="Y42" s="91">
        <v>750</v>
      </c>
      <c r="Z42" s="91">
        <v>900</v>
      </c>
      <c r="AA42" s="91">
        <v>1000</v>
      </c>
      <c r="AB42" s="91">
        <v>1200</v>
      </c>
      <c r="AC42" s="91">
        <v>1500</v>
      </c>
      <c r="AD42" s="315">
        <f t="shared" ref="AD42:AD43" si="72">SUM(R42:AC42)</f>
        <v>9231</v>
      </c>
      <c r="AE42" s="23"/>
      <c r="AF42" s="316">
        <v>1500</v>
      </c>
      <c r="AG42" s="91">
        <v>800</v>
      </c>
      <c r="AH42" s="91">
        <v>800</v>
      </c>
      <c r="AI42" s="91">
        <v>1820</v>
      </c>
      <c r="AJ42" s="91">
        <v>1630</v>
      </c>
      <c r="AK42" s="91">
        <v>1360</v>
      </c>
      <c r="AL42" s="91">
        <v>1000</v>
      </c>
      <c r="AM42" s="91">
        <v>1700</v>
      </c>
      <c r="AN42" s="91">
        <v>1700</v>
      </c>
      <c r="AO42" s="91">
        <v>1700</v>
      </c>
      <c r="AP42" s="91">
        <v>1870</v>
      </c>
      <c r="AQ42" s="91">
        <v>2720</v>
      </c>
      <c r="AR42" s="92">
        <f t="shared" ref="AR42:AR43" si="73">SUM(AF42:AQ42)</f>
        <v>18600</v>
      </c>
      <c r="AS42" s="23"/>
      <c r="AT42" s="91">
        <v>2053</v>
      </c>
      <c r="AU42" s="91">
        <v>2053</v>
      </c>
      <c r="AV42" s="91">
        <v>2053</v>
      </c>
      <c r="AW42" s="91">
        <v>2053</v>
      </c>
      <c r="AX42" s="91">
        <v>2807</v>
      </c>
      <c r="AY42" s="91">
        <v>2807</v>
      </c>
      <c r="AZ42" s="91">
        <v>2680</v>
      </c>
      <c r="BA42" s="91">
        <v>2680</v>
      </c>
      <c r="BB42" s="91">
        <v>2807</v>
      </c>
      <c r="BC42" s="91">
        <v>3318</v>
      </c>
      <c r="BD42" s="91">
        <v>5870</v>
      </c>
      <c r="BE42" s="91">
        <v>5104</v>
      </c>
      <c r="BF42" s="91">
        <f t="shared" si="66"/>
        <v>36285</v>
      </c>
      <c r="BG42" s="93">
        <f>BF42/AR42-1</f>
        <v>0.95080645161290334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177"/>
      <c r="BV42" s="91"/>
      <c r="BW42" s="91"/>
      <c r="BX42" s="91"/>
      <c r="BY42" s="91"/>
      <c r="BZ42" s="91"/>
      <c r="CA42" s="91"/>
      <c r="CB42" s="91"/>
      <c r="CC42" s="91"/>
      <c r="CD42" s="91"/>
      <c r="CE42" s="91"/>
      <c r="CF42" s="91"/>
      <c r="CG42" s="91"/>
      <c r="CH42" s="91"/>
    </row>
    <row r="43" spans="1:86">
      <c r="A43" s="217"/>
      <c r="B43" s="218" t="s">
        <v>277</v>
      </c>
      <c r="C43" s="219"/>
      <c r="D43" s="220">
        <f t="shared" ref="D43:O43" si="74">SUM(D22:D42)</f>
        <v>0</v>
      </c>
      <c r="E43" s="220">
        <f t="shared" si="74"/>
        <v>0</v>
      </c>
      <c r="F43" s="220">
        <f t="shared" si="74"/>
        <v>0</v>
      </c>
      <c r="G43" s="220">
        <f t="shared" si="74"/>
        <v>0</v>
      </c>
      <c r="H43" s="220">
        <f t="shared" si="74"/>
        <v>0</v>
      </c>
      <c r="I43" s="220">
        <f t="shared" si="74"/>
        <v>0</v>
      </c>
      <c r="J43" s="220">
        <f t="shared" si="74"/>
        <v>0</v>
      </c>
      <c r="K43" s="220">
        <f t="shared" si="74"/>
        <v>0</v>
      </c>
      <c r="L43" s="220">
        <f t="shared" si="74"/>
        <v>0</v>
      </c>
      <c r="M43" s="220">
        <f t="shared" si="74"/>
        <v>0</v>
      </c>
      <c r="N43" s="220">
        <f t="shared" si="74"/>
        <v>0</v>
      </c>
      <c r="O43" s="220">
        <f t="shared" si="74"/>
        <v>0</v>
      </c>
      <c r="P43" s="384">
        <f t="shared" si="71"/>
        <v>0</v>
      </c>
      <c r="Q43" s="221"/>
      <c r="R43" s="385">
        <f t="shared" ref="R43:AC43" si="75">SUM(R22:R42)</f>
        <v>20557.543859649122</v>
      </c>
      <c r="S43" s="222">
        <f t="shared" si="75"/>
        <v>20512.543859649122</v>
      </c>
      <c r="T43" s="222">
        <f t="shared" si="75"/>
        <v>13699.771929824561</v>
      </c>
      <c r="U43" s="222">
        <f t="shared" si="75"/>
        <v>912.5</v>
      </c>
      <c r="V43" s="222">
        <f t="shared" si="75"/>
        <v>16851</v>
      </c>
      <c r="W43" s="222">
        <f t="shared" si="75"/>
        <v>13700</v>
      </c>
      <c r="X43" s="222">
        <f t="shared" si="75"/>
        <v>26050</v>
      </c>
      <c r="Y43" s="222">
        <f t="shared" si="75"/>
        <v>27750</v>
      </c>
      <c r="Z43" s="222">
        <f t="shared" si="75"/>
        <v>31100</v>
      </c>
      <c r="AA43" s="222">
        <f t="shared" si="75"/>
        <v>32100</v>
      </c>
      <c r="AB43" s="222">
        <f t="shared" si="75"/>
        <v>37500</v>
      </c>
      <c r="AC43" s="222">
        <f t="shared" si="75"/>
        <v>45300</v>
      </c>
      <c r="AD43" s="386">
        <f t="shared" si="72"/>
        <v>286033.35964912281</v>
      </c>
      <c r="AE43" s="113"/>
      <c r="AF43" s="222">
        <f t="shared" ref="AF43:AQ43" si="76">SUM(AF22:AF42)</f>
        <v>38500</v>
      </c>
      <c r="AG43" s="222">
        <f t="shared" si="76"/>
        <v>22400</v>
      </c>
      <c r="AH43" s="222">
        <f t="shared" si="76"/>
        <v>10671</v>
      </c>
      <c r="AI43" s="222">
        <f t="shared" si="76"/>
        <v>16097</v>
      </c>
      <c r="AJ43" s="222">
        <f t="shared" si="76"/>
        <v>30278</v>
      </c>
      <c r="AK43" s="222">
        <f t="shared" si="76"/>
        <v>28560</v>
      </c>
      <c r="AL43" s="222">
        <f t="shared" si="76"/>
        <v>41700</v>
      </c>
      <c r="AM43" s="222">
        <f t="shared" si="76"/>
        <v>38700</v>
      </c>
      <c r="AN43" s="222">
        <f t="shared" si="76"/>
        <v>37300</v>
      </c>
      <c r="AO43" s="222">
        <f t="shared" si="76"/>
        <v>37400</v>
      </c>
      <c r="AP43" s="222">
        <f t="shared" si="76"/>
        <v>40640</v>
      </c>
      <c r="AQ43" s="222">
        <f t="shared" si="76"/>
        <v>54440</v>
      </c>
      <c r="AR43" s="222">
        <f t="shared" si="73"/>
        <v>396686</v>
      </c>
      <c r="AS43" s="113"/>
      <c r="AT43" s="222">
        <f t="shared" ref="AT43:BE43" si="77">SUM(AT22:AT42)</f>
        <v>36153</v>
      </c>
      <c r="AU43" s="222">
        <f t="shared" si="77"/>
        <v>35289</v>
      </c>
      <c r="AV43" s="222">
        <f t="shared" si="77"/>
        <v>35872</v>
      </c>
      <c r="AW43" s="222">
        <f t="shared" si="77"/>
        <v>38031</v>
      </c>
      <c r="AX43" s="222">
        <f t="shared" si="77"/>
        <v>33566</v>
      </c>
      <c r="AY43" s="222">
        <f t="shared" si="77"/>
        <v>33566</v>
      </c>
      <c r="AZ43" s="222">
        <f t="shared" si="77"/>
        <v>30896</v>
      </c>
      <c r="BA43" s="222">
        <f t="shared" si="77"/>
        <v>31146</v>
      </c>
      <c r="BB43" s="222">
        <f t="shared" si="77"/>
        <v>32630</v>
      </c>
      <c r="BC43" s="222">
        <f t="shared" si="77"/>
        <v>38562</v>
      </c>
      <c r="BD43" s="222">
        <f t="shared" si="77"/>
        <v>41345</v>
      </c>
      <c r="BE43" s="222">
        <f t="shared" si="77"/>
        <v>49263</v>
      </c>
      <c r="BF43" s="222">
        <f t="shared" si="66"/>
        <v>436319</v>
      </c>
      <c r="BG43" s="183">
        <f>BF43-AR43</f>
        <v>39633</v>
      </c>
      <c r="BH43" s="222">
        <v>33315</v>
      </c>
      <c r="BI43" s="222">
        <v>29268</v>
      </c>
      <c r="BJ43" s="222">
        <v>29930</v>
      </c>
      <c r="BK43" s="222">
        <v>30255</v>
      </c>
      <c r="BL43" s="222">
        <v>36970</v>
      </c>
      <c r="BM43" s="222">
        <v>39172</v>
      </c>
      <c r="BN43" s="222">
        <v>45812</v>
      </c>
      <c r="BO43" s="222">
        <v>37831</v>
      </c>
      <c r="BP43" s="222">
        <v>37530</v>
      </c>
      <c r="BQ43" s="222">
        <v>40114</v>
      </c>
      <c r="BR43" s="222">
        <v>44245</v>
      </c>
      <c r="BS43" s="222">
        <v>59028</v>
      </c>
      <c r="BT43" s="222">
        <f>SUM(BH43:BS43)</f>
        <v>463470</v>
      </c>
      <c r="BU43" s="184">
        <f>BT43/BF52-1</f>
        <v>0.15952725253060995</v>
      </c>
      <c r="BV43" s="222">
        <f t="shared" ref="BV43:BW43" si="78">BH52*1.05</f>
        <v>35801.85</v>
      </c>
      <c r="BW43" s="222">
        <f t="shared" si="78"/>
        <v>27020.7</v>
      </c>
      <c r="BX43" s="222">
        <f t="shared" ref="BX43:CG43" si="79">BJ43*1.05</f>
        <v>31426.5</v>
      </c>
      <c r="BY43" s="222">
        <f t="shared" si="79"/>
        <v>31767.75</v>
      </c>
      <c r="BZ43" s="222">
        <f t="shared" si="79"/>
        <v>38818.5</v>
      </c>
      <c r="CA43" s="222">
        <f t="shared" si="79"/>
        <v>41130.6</v>
      </c>
      <c r="CB43" s="222">
        <f t="shared" si="79"/>
        <v>48102.6</v>
      </c>
      <c r="CC43" s="222">
        <f t="shared" si="79"/>
        <v>39722.550000000003</v>
      </c>
      <c r="CD43" s="222">
        <f t="shared" si="79"/>
        <v>39406.5</v>
      </c>
      <c r="CE43" s="222">
        <f t="shared" si="79"/>
        <v>42119.700000000004</v>
      </c>
      <c r="CF43" s="222">
        <f t="shared" si="79"/>
        <v>46457.25</v>
      </c>
      <c r="CG43" s="222">
        <f t="shared" si="79"/>
        <v>61979.4</v>
      </c>
      <c r="CH43" s="222">
        <f>SUM(BV43:CG43)</f>
        <v>483753.9</v>
      </c>
    </row>
    <row r="44" spans="1:86">
      <c r="A44" s="223"/>
      <c r="B44" s="224" t="s">
        <v>278</v>
      </c>
      <c r="C44" s="225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39"/>
      <c r="Q44" s="39"/>
      <c r="R44" s="227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9"/>
      <c r="AE44" s="173"/>
      <c r="AF44" s="228"/>
      <c r="AG44" s="228"/>
      <c r="AH44" s="228"/>
      <c r="AI44" s="228"/>
      <c r="AJ44" s="228"/>
      <c r="AK44" s="228"/>
      <c r="AL44" s="230"/>
      <c r="AM44" s="228"/>
      <c r="AN44" s="228"/>
      <c r="AO44" s="228"/>
      <c r="AP44" s="230"/>
      <c r="AQ44" s="230"/>
      <c r="AR44" s="228"/>
      <c r="AS44" s="173"/>
      <c r="AT44" s="228"/>
      <c r="AU44" s="228"/>
      <c r="AV44" s="228"/>
      <c r="AW44" s="228"/>
      <c r="AX44" s="228"/>
      <c r="AY44" s="228">
        <v>15000</v>
      </c>
      <c r="AZ44" s="228">
        <v>15000</v>
      </c>
      <c r="BA44" s="228">
        <f t="shared" ref="BA44:BB44" si="80">BA43*70%</f>
        <v>21802.199999999997</v>
      </c>
      <c r="BB44" s="228">
        <f t="shared" si="80"/>
        <v>22841</v>
      </c>
      <c r="BC44" s="228">
        <v>35000</v>
      </c>
      <c r="BD44" s="228">
        <v>35000</v>
      </c>
      <c r="BE44" s="228">
        <v>42000</v>
      </c>
      <c r="BF44" s="228">
        <f t="shared" si="66"/>
        <v>186643.20000000001</v>
      </c>
      <c r="BG44" s="174"/>
      <c r="BH44" s="228"/>
      <c r="BI44" s="228"/>
      <c r="BJ44" s="228"/>
      <c r="BK44" s="228"/>
      <c r="BL44" s="44"/>
      <c r="BM44" s="44"/>
      <c r="BN44" s="44"/>
      <c r="BO44" s="44"/>
      <c r="BP44" s="44"/>
      <c r="BQ44" s="44"/>
      <c r="BR44" s="44"/>
      <c r="BS44" s="44"/>
      <c r="BT44" s="44"/>
      <c r="BU44" s="173"/>
      <c r="BV44" s="228"/>
      <c r="BW44" s="228"/>
      <c r="BX44" s="228"/>
      <c r="BY44" s="228"/>
      <c r="BZ44" s="44"/>
      <c r="CA44" s="44"/>
      <c r="CB44" s="44"/>
      <c r="CC44" s="44"/>
      <c r="CD44" s="44"/>
      <c r="CE44" s="44"/>
      <c r="CF44" s="44"/>
      <c r="CG44" s="44"/>
      <c r="CH44" s="44"/>
    </row>
    <row r="45" spans="1:86">
      <c r="A45" s="1100" t="s">
        <v>74</v>
      </c>
      <c r="B45" s="1126"/>
      <c r="C45" s="167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9"/>
      <c r="Q45" s="170"/>
      <c r="R45" s="171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358"/>
      <c r="AE45" s="173"/>
      <c r="AF45" s="172"/>
      <c r="AG45" s="172"/>
      <c r="AH45" s="172"/>
      <c r="AI45" s="172"/>
      <c r="AJ45" s="172"/>
      <c r="AK45" s="172"/>
      <c r="AL45" s="231">
        <f>AL43/AVERAGE($AF$43:$AQ$43)</f>
        <v>1.2614511225503295</v>
      </c>
      <c r="AM45" s="172"/>
      <c r="AN45" s="172"/>
      <c r="AO45" s="172"/>
      <c r="AP45" s="231">
        <f t="shared" ref="AP45:AQ45" si="81">AP43/AVERAGE($AF$43:$AQ$43)</f>
        <v>1.2293854585238704</v>
      </c>
      <c r="AQ45" s="231">
        <f t="shared" si="81"/>
        <v>1.6468441033966412</v>
      </c>
      <c r="AR45" s="172"/>
      <c r="AS45" s="173"/>
      <c r="AT45" s="172">
        <v>109190</v>
      </c>
      <c r="AU45" s="172">
        <v>153667</v>
      </c>
      <c r="AV45" s="172">
        <v>178778</v>
      </c>
      <c r="AW45" s="172">
        <v>151970</v>
      </c>
      <c r="AX45" s="172">
        <v>142416</v>
      </c>
      <c r="AY45" s="172">
        <v>177335</v>
      </c>
      <c r="AZ45" s="172">
        <v>152230</v>
      </c>
      <c r="BA45" s="172">
        <v>245527</v>
      </c>
      <c r="BB45" s="172">
        <f>5261504/27</f>
        <v>194870.51851851851</v>
      </c>
      <c r="BC45" s="172">
        <f>5784000/27</f>
        <v>214222.22222222222</v>
      </c>
      <c r="BD45" s="172">
        <f>3224000/27</f>
        <v>119407.4074074074</v>
      </c>
      <c r="BE45" s="172">
        <f>909800/27</f>
        <v>33696.296296296299</v>
      </c>
      <c r="BF45" s="172">
        <f t="shared" si="66"/>
        <v>1873309.4444444445</v>
      </c>
      <c r="BG45" s="174"/>
      <c r="BH45" s="172"/>
      <c r="BI45" s="172"/>
      <c r="BJ45" s="172"/>
      <c r="BK45" s="172"/>
      <c r="BL45" s="175"/>
      <c r="BM45" s="175"/>
      <c r="BN45" s="175"/>
      <c r="BO45" s="175"/>
      <c r="BP45" s="175"/>
      <c r="BQ45" s="175"/>
      <c r="BR45" s="175"/>
      <c r="BS45" s="175"/>
      <c r="BT45" s="175"/>
      <c r="BU45" s="173"/>
      <c r="BV45" s="172"/>
      <c r="BW45" s="172"/>
      <c r="BX45" s="172"/>
      <c r="BY45" s="172"/>
      <c r="BZ45" s="175"/>
      <c r="CA45" s="175"/>
      <c r="CB45" s="175"/>
      <c r="CC45" s="175"/>
      <c r="CD45" s="175"/>
      <c r="CE45" s="175"/>
      <c r="CF45" s="175"/>
      <c r="CG45" s="175"/>
      <c r="CH45" s="175"/>
    </row>
    <row r="46" spans="1:86">
      <c r="A46" s="110" t="s">
        <v>75</v>
      </c>
      <c r="B46" s="110"/>
      <c r="C46" s="147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343"/>
      <c r="Q46" s="84"/>
      <c r="R46" s="34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344"/>
      <c r="AE46" s="113"/>
      <c r="AF46" s="345">
        <v>133791</v>
      </c>
      <c r="AG46" s="112">
        <v>166459</v>
      </c>
      <c r="AH46" s="112">
        <v>149450</v>
      </c>
      <c r="AI46" s="112">
        <v>151073</v>
      </c>
      <c r="AJ46" s="112">
        <v>192944</v>
      </c>
      <c r="AK46" s="112">
        <v>166139</v>
      </c>
      <c r="AL46" s="112">
        <v>151874</v>
      </c>
      <c r="AM46" s="112">
        <v>157771</v>
      </c>
      <c r="AN46" s="112">
        <v>200312</v>
      </c>
      <c r="AO46" s="112">
        <v>202691</v>
      </c>
      <c r="AP46" s="112">
        <v>207768</v>
      </c>
      <c r="AQ46" s="112">
        <v>113286</v>
      </c>
      <c r="AR46" s="112">
        <f>SUM(AF46:AK46)</f>
        <v>959856</v>
      </c>
      <c r="AS46" s="23"/>
      <c r="AT46" s="112">
        <v>89680</v>
      </c>
      <c r="AU46" s="112">
        <v>128308</v>
      </c>
      <c r="AV46" s="112">
        <v>144871</v>
      </c>
      <c r="AW46" s="114">
        <v>161772</v>
      </c>
      <c r="AX46" s="114">
        <v>144516</v>
      </c>
      <c r="AY46" s="114">
        <v>103667</v>
      </c>
      <c r="AZ46" s="114">
        <v>141023</v>
      </c>
      <c r="BA46" s="114">
        <v>172093</v>
      </c>
      <c r="BB46" s="114">
        <f>166606+10000</f>
        <v>176606</v>
      </c>
      <c r="BC46" s="114">
        <v>181091</v>
      </c>
      <c r="BD46" s="114">
        <v>169802</v>
      </c>
      <c r="BE46" s="114">
        <v>120406</v>
      </c>
      <c r="BF46" s="114">
        <f t="shared" si="66"/>
        <v>1733835</v>
      </c>
      <c r="BG46" s="27">
        <f>BG43/AR43</f>
        <v>9.9910256474894502E-2</v>
      </c>
      <c r="BH46" s="112"/>
      <c r="BI46" s="112"/>
      <c r="BJ46" s="112"/>
      <c r="BK46" s="114"/>
      <c r="BL46" s="114"/>
      <c r="BM46" s="114"/>
      <c r="BN46" s="114"/>
      <c r="BO46" s="114"/>
      <c r="BP46" s="114"/>
      <c r="BQ46" s="114"/>
      <c r="BR46" s="114"/>
      <c r="BS46" s="114"/>
      <c r="BT46" s="114"/>
      <c r="BU46" s="23"/>
      <c r="BV46" s="112"/>
      <c r="BW46" s="112"/>
      <c r="BX46" s="112"/>
      <c r="BY46" s="114"/>
      <c r="BZ46" s="114"/>
      <c r="CA46" s="114"/>
      <c r="CB46" s="114"/>
      <c r="CC46" s="114"/>
      <c r="CD46" s="114"/>
      <c r="CE46" s="114"/>
      <c r="CF46" s="114"/>
      <c r="CG46" s="114"/>
      <c r="CH46" s="114"/>
    </row>
    <row r="47" spans="1:86" ht="15.75" customHeight="1">
      <c r="A47" s="232"/>
      <c r="B47" s="233" t="s">
        <v>76</v>
      </c>
      <c r="C47" s="387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388"/>
      <c r="Q47" s="235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90"/>
      <c r="AE47" s="23"/>
      <c r="AF47" s="389">
        <f t="shared" ref="AF47:AQ47" si="82">AF46-AF15</f>
        <v>133789.61233193052</v>
      </c>
      <c r="AG47" s="389">
        <f t="shared" si="82"/>
        <v>166455.18212811041</v>
      </c>
      <c r="AH47" s="389">
        <f t="shared" si="82"/>
        <v>149445.6750486806</v>
      </c>
      <c r="AI47" s="389">
        <f t="shared" si="82"/>
        <v>151069.89671180834</v>
      </c>
      <c r="AJ47" s="389">
        <f t="shared" si="82"/>
        <v>192941.30225498116</v>
      </c>
      <c r="AK47" s="389">
        <f t="shared" si="82"/>
        <v>166135.93659001941</v>
      </c>
      <c r="AL47" s="389">
        <f t="shared" si="82"/>
        <v>151872.02367906639</v>
      </c>
      <c r="AM47" s="389">
        <f t="shared" si="82"/>
        <v>157769.11460684196</v>
      </c>
      <c r="AN47" s="389">
        <f t="shared" si="82"/>
        <v>200310.23982805785</v>
      </c>
      <c r="AO47" s="389">
        <f t="shared" si="82"/>
        <v>202687.95708177862</v>
      </c>
      <c r="AP47" s="389">
        <f t="shared" si="82"/>
        <v>207764.67332379395</v>
      </c>
      <c r="AQ47" s="389">
        <f t="shared" si="82"/>
        <v>113283.89842503319</v>
      </c>
      <c r="AR47" s="236">
        <f t="shared" ref="AR47:AR55" si="83">SUM(AF47:AQ47)</f>
        <v>1993525.5120101024</v>
      </c>
      <c r="AS47" s="23"/>
      <c r="AT47" s="389">
        <f t="shared" ref="AT47:BE47" si="84">AT46-AT45</f>
        <v>-19510</v>
      </c>
      <c r="AU47" s="389">
        <f t="shared" si="84"/>
        <v>-25359</v>
      </c>
      <c r="AV47" s="389">
        <f t="shared" si="84"/>
        <v>-33907</v>
      </c>
      <c r="AW47" s="389">
        <f t="shared" si="84"/>
        <v>9802</v>
      </c>
      <c r="AX47" s="389">
        <f t="shared" si="84"/>
        <v>2100</v>
      </c>
      <c r="AY47" s="389">
        <f t="shared" si="84"/>
        <v>-73668</v>
      </c>
      <c r="AZ47" s="389">
        <f t="shared" si="84"/>
        <v>-11207</v>
      </c>
      <c r="BA47" s="389">
        <f t="shared" si="84"/>
        <v>-73434</v>
      </c>
      <c r="BB47" s="389">
        <f t="shared" si="84"/>
        <v>-18264.518518518511</v>
      </c>
      <c r="BC47" s="389">
        <f t="shared" si="84"/>
        <v>-33131.222222222219</v>
      </c>
      <c r="BD47" s="389">
        <f t="shared" si="84"/>
        <v>50394.592592592599</v>
      </c>
      <c r="BE47" s="389">
        <f t="shared" si="84"/>
        <v>86709.703703703708</v>
      </c>
      <c r="BF47" s="237">
        <f t="shared" si="66"/>
        <v>-139474.44444444444</v>
      </c>
      <c r="BG47" s="27"/>
      <c r="BH47" s="389"/>
      <c r="BI47" s="389"/>
      <c r="BJ47" s="389"/>
      <c r="BK47" s="389"/>
      <c r="BL47" s="237"/>
      <c r="BM47" s="237"/>
      <c r="BN47" s="237"/>
      <c r="BO47" s="237"/>
      <c r="BP47" s="237"/>
      <c r="BQ47" s="237"/>
      <c r="BR47" s="237"/>
      <c r="BS47" s="237"/>
      <c r="BT47" s="237"/>
      <c r="BU47" s="23"/>
      <c r="BV47" s="389"/>
      <c r="BW47" s="389"/>
      <c r="BX47" s="389"/>
      <c r="BY47" s="389"/>
      <c r="BZ47" s="237"/>
      <c r="CA47" s="237"/>
      <c r="CB47" s="237"/>
      <c r="CC47" s="237"/>
      <c r="CD47" s="237"/>
      <c r="CE47" s="237"/>
      <c r="CF47" s="237"/>
      <c r="CG47" s="237"/>
      <c r="CH47" s="237"/>
    </row>
    <row r="48" spans="1:86" ht="15.75" customHeight="1">
      <c r="A48" s="94">
        <v>5</v>
      </c>
      <c r="B48" s="210" t="s">
        <v>77</v>
      </c>
      <c r="C48" s="335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>
        <v>0</v>
      </c>
      <c r="P48" s="314">
        <f>SUM(D48:O48)</f>
        <v>0</v>
      </c>
      <c r="Q48" s="90"/>
      <c r="R48" s="313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315">
        <f>SUM(R48:AC48)</f>
        <v>0</v>
      </c>
      <c r="AE48" s="23"/>
      <c r="AF48" s="316">
        <v>0</v>
      </c>
      <c r="AG48" s="91">
        <v>0</v>
      </c>
      <c r="AH48" s="91">
        <v>0</v>
      </c>
      <c r="AI48" s="91">
        <v>0</v>
      </c>
      <c r="AJ48" s="91">
        <v>0</v>
      </c>
      <c r="AK48" s="91">
        <v>0</v>
      </c>
      <c r="AL48" s="91">
        <v>0</v>
      </c>
      <c r="AM48" s="91">
        <v>0</v>
      </c>
      <c r="AN48" s="91">
        <v>0</v>
      </c>
      <c r="AO48" s="91">
        <v>0</v>
      </c>
      <c r="AP48" s="91"/>
      <c r="AQ48" s="91">
        <v>8938</v>
      </c>
      <c r="AR48" s="92">
        <f t="shared" si="83"/>
        <v>8938</v>
      </c>
      <c r="AS48" s="23"/>
      <c r="AT48" s="91">
        <v>106642</v>
      </c>
      <c r="AU48" s="91">
        <v>90699</v>
      </c>
      <c r="AV48" s="91">
        <v>89681</v>
      </c>
      <c r="AW48" s="91">
        <v>58790</v>
      </c>
      <c r="AX48" s="91">
        <v>35520</v>
      </c>
      <c r="AY48" s="91">
        <v>61551</v>
      </c>
      <c r="AZ48" s="91">
        <v>71511</v>
      </c>
      <c r="BA48" s="91">
        <v>63617</v>
      </c>
      <c r="BB48" s="91">
        <v>66748</v>
      </c>
      <c r="BC48" s="91">
        <v>75532</v>
      </c>
      <c r="BD48" s="91">
        <v>37786</v>
      </c>
      <c r="BE48" s="91">
        <v>4503</v>
      </c>
      <c r="BF48" s="91">
        <f t="shared" si="66"/>
        <v>762580</v>
      </c>
      <c r="BG48" s="27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23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</row>
    <row r="49" spans="1:86">
      <c r="A49" s="110" t="s">
        <v>78</v>
      </c>
      <c r="B49" s="110"/>
      <c r="C49" s="147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343"/>
      <c r="Q49" s="84"/>
      <c r="R49" s="34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344"/>
      <c r="AE49" s="113"/>
      <c r="AF49" s="345">
        <f t="shared" ref="AF49:AQ49" si="85">AF50+AF52</f>
        <v>118364</v>
      </c>
      <c r="AG49" s="345">
        <f t="shared" si="85"/>
        <v>173742</v>
      </c>
      <c r="AH49" s="345">
        <f t="shared" si="85"/>
        <v>73470</v>
      </c>
      <c r="AI49" s="345">
        <f t="shared" si="85"/>
        <v>87377</v>
      </c>
      <c r="AJ49" s="345">
        <f t="shared" si="85"/>
        <v>119657</v>
      </c>
      <c r="AK49" s="345">
        <f t="shared" si="85"/>
        <v>154747</v>
      </c>
      <c r="AL49" s="345">
        <f t="shared" si="85"/>
        <v>138073</v>
      </c>
      <c r="AM49" s="345">
        <f t="shared" si="85"/>
        <v>180773</v>
      </c>
      <c r="AN49" s="345">
        <f t="shared" si="85"/>
        <v>194598</v>
      </c>
      <c r="AO49" s="345">
        <f t="shared" si="85"/>
        <v>242931</v>
      </c>
      <c r="AP49" s="345">
        <f t="shared" si="85"/>
        <v>107346</v>
      </c>
      <c r="AQ49" s="345">
        <f t="shared" si="85"/>
        <v>87384</v>
      </c>
      <c r="AR49" s="112">
        <f t="shared" si="83"/>
        <v>1678462</v>
      </c>
      <c r="AS49" s="23"/>
      <c r="AT49" s="345">
        <f t="shared" ref="AT49:BE49" si="86">AT50+AT52</f>
        <v>155346</v>
      </c>
      <c r="AU49" s="345">
        <f t="shared" si="86"/>
        <v>123370</v>
      </c>
      <c r="AV49" s="345">
        <f t="shared" si="86"/>
        <v>144065</v>
      </c>
      <c r="AW49" s="345">
        <f t="shared" si="86"/>
        <v>127865</v>
      </c>
      <c r="AX49" s="345">
        <f t="shared" si="86"/>
        <v>123461</v>
      </c>
      <c r="AY49" s="345">
        <f t="shared" si="86"/>
        <v>121196</v>
      </c>
      <c r="AZ49" s="345">
        <f t="shared" si="86"/>
        <v>168029</v>
      </c>
      <c r="BA49" s="345">
        <f t="shared" si="86"/>
        <v>164268</v>
      </c>
      <c r="BB49" s="345">
        <f t="shared" si="86"/>
        <v>185112</v>
      </c>
      <c r="BC49" s="345">
        <f t="shared" si="86"/>
        <v>147235</v>
      </c>
      <c r="BD49" s="345">
        <f t="shared" si="86"/>
        <v>135608</v>
      </c>
      <c r="BE49" s="345">
        <f t="shared" si="86"/>
        <v>90194</v>
      </c>
      <c r="BF49" s="114">
        <f t="shared" si="66"/>
        <v>1685749</v>
      </c>
      <c r="BG49" s="93">
        <f t="shared" ref="BG49:BG50" si="87">BF49/AR49-1</f>
        <v>4.3414745165515356E-3</v>
      </c>
      <c r="BH49" s="345">
        <f t="shared" ref="BH49:BI49" si="88">BH50+BH52</f>
        <v>144332</v>
      </c>
      <c r="BI49" s="345">
        <f t="shared" si="88"/>
        <v>128781</v>
      </c>
      <c r="BJ49" s="345"/>
      <c r="BK49" s="345"/>
      <c r="BL49" s="112"/>
      <c r="BM49" s="112"/>
      <c r="BN49" s="112"/>
      <c r="BO49" s="112"/>
      <c r="BP49" s="112"/>
      <c r="BQ49" s="112"/>
      <c r="BR49" s="112"/>
      <c r="BS49" s="112"/>
      <c r="BT49" s="112"/>
      <c r="BU49" s="113"/>
      <c r="BV49" s="345"/>
      <c r="BW49" s="345"/>
      <c r="BX49" s="345"/>
      <c r="BY49" s="345"/>
      <c r="BZ49" s="112"/>
      <c r="CA49" s="112"/>
      <c r="CB49" s="112"/>
      <c r="CC49" s="112"/>
      <c r="CD49" s="112"/>
      <c r="CE49" s="112"/>
      <c r="CF49" s="112"/>
      <c r="CG49" s="112"/>
      <c r="CH49" s="112"/>
    </row>
    <row r="50" spans="1:86" ht="15.75" customHeight="1">
      <c r="A50" s="210"/>
      <c r="B50" s="210" t="s">
        <v>79</v>
      </c>
      <c r="C50" s="316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92193</v>
      </c>
      <c r="AG50" s="91">
        <v>152006</v>
      </c>
      <c r="AH50" s="91">
        <v>62734</v>
      </c>
      <c r="AI50" s="91">
        <v>71526</v>
      </c>
      <c r="AJ50" s="91">
        <v>89409</v>
      </c>
      <c r="AK50" s="91">
        <v>120675</v>
      </c>
      <c r="AL50" s="91">
        <v>100592</v>
      </c>
      <c r="AM50" s="91">
        <v>148128</v>
      </c>
      <c r="AN50" s="91">
        <v>164346</v>
      </c>
      <c r="AO50" s="91">
        <v>203437</v>
      </c>
      <c r="AP50" s="91">
        <v>64957</v>
      </c>
      <c r="AQ50" s="91">
        <v>31837</v>
      </c>
      <c r="AR50" s="92">
        <f t="shared" si="83"/>
        <v>1301840</v>
      </c>
      <c r="AS50" s="23"/>
      <c r="AT50" s="91">
        <v>125048</v>
      </c>
      <c r="AU50" s="91">
        <v>96006</v>
      </c>
      <c r="AV50" s="91">
        <v>111470</v>
      </c>
      <c r="AW50" s="91">
        <v>99222</v>
      </c>
      <c r="AX50" s="91">
        <v>91253</v>
      </c>
      <c r="AY50" s="91">
        <v>90595</v>
      </c>
      <c r="AZ50" s="91">
        <v>129147</v>
      </c>
      <c r="BA50" s="91">
        <v>133525</v>
      </c>
      <c r="BB50" s="91">
        <v>159291</v>
      </c>
      <c r="BC50" s="91">
        <v>115573</v>
      </c>
      <c r="BD50" s="91">
        <v>98386</v>
      </c>
      <c r="BE50" s="91">
        <v>36527</v>
      </c>
      <c r="BF50" s="91">
        <f t="shared" si="66"/>
        <v>1286043</v>
      </c>
      <c r="BG50" s="93">
        <f t="shared" si="87"/>
        <v>-1.2134363669882631E-2</v>
      </c>
      <c r="BH50" s="91">
        <v>110235</v>
      </c>
      <c r="BI50" s="91">
        <v>103047</v>
      </c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23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</row>
    <row r="51" spans="1:86" ht="15.75" customHeight="1">
      <c r="A51" s="232"/>
      <c r="B51" s="233" t="s">
        <v>279</v>
      </c>
      <c r="C51" s="387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388"/>
      <c r="Q51" s="235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90"/>
      <c r="AE51" s="23"/>
      <c r="AF51" s="389">
        <f t="shared" ref="AF51:AQ51" si="89">AF50-AF20</f>
        <v>2047</v>
      </c>
      <c r="AG51" s="389">
        <f t="shared" si="89"/>
        <v>-3571</v>
      </c>
      <c r="AH51" s="389">
        <f t="shared" si="89"/>
        <v>-219</v>
      </c>
      <c r="AI51" s="389">
        <f t="shared" si="89"/>
        <v>-1735</v>
      </c>
      <c r="AJ51" s="389">
        <f t="shared" si="89"/>
        <v>-2447</v>
      </c>
      <c r="AK51" s="389">
        <f t="shared" si="89"/>
        <v>675</v>
      </c>
      <c r="AL51" s="389">
        <f t="shared" si="89"/>
        <v>-9703</v>
      </c>
      <c r="AM51" s="389">
        <f t="shared" si="89"/>
        <v>-52075</v>
      </c>
      <c r="AN51" s="389">
        <f t="shared" si="89"/>
        <v>-59487.333333333343</v>
      </c>
      <c r="AO51" s="389">
        <f t="shared" si="89"/>
        <v>-15063</v>
      </c>
      <c r="AP51" s="389">
        <f t="shared" si="89"/>
        <v>-23043</v>
      </c>
      <c r="AQ51" s="389">
        <f t="shared" si="89"/>
        <v>-11563</v>
      </c>
      <c r="AR51" s="236">
        <f t="shared" si="83"/>
        <v>-176184.33333333334</v>
      </c>
      <c r="AS51" s="23"/>
      <c r="AT51" s="389">
        <f t="shared" ref="AT51:BE51" si="90">AT50-AT20</f>
        <v>8451.75</v>
      </c>
      <c r="AU51" s="389">
        <f t="shared" si="90"/>
        <v>-37227.103448275855</v>
      </c>
      <c r="AV51" s="389">
        <f t="shared" si="90"/>
        <v>-6779.1379310344782</v>
      </c>
      <c r="AW51" s="389">
        <f t="shared" si="90"/>
        <v>-22342.137931034478</v>
      </c>
      <c r="AX51" s="389">
        <f t="shared" si="90"/>
        <v>4719.0344827586232</v>
      </c>
      <c r="AY51" s="389">
        <f t="shared" si="90"/>
        <v>-14182.777777777781</v>
      </c>
      <c r="AZ51" s="389">
        <f t="shared" si="90"/>
        <v>-6630.777777777781</v>
      </c>
      <c r="BA51" s="389">
        <f t="shared" si="90"/>
        <v>-77771.296296296292</v>
      </c>
      <c r="BB51" s="389">
        <f t="shared" si="90"/>
        <v>-51486.777777777781</v>
      </c>
      <c r="BC51" s="389">
        <f t="shared" si="90"/>
        <v>-99233.290755657828</v>
      </c>
      <c r="BD51" s="389">
        <f t="shared" si="90"/>
        <v>5175.413118527038</v>
      </c>
      <c r="BE51" s="389">
        <f t="shared" si="90"/>
        <v>5840.3870349060235</v>
      </c>
      <c r="BF51" s="237">
        <f t="shared" si="66"/>
        <v>-291466.71505944064</v>
      </c>
      <c r="BG51" s="27"/>
      <c r="BH51" s="389">
        <v>5840.3870349060235</v>
      </c>
      <c r="BI51" s="389">
        <v>5840.3870349060235</v>
      </c>
      <c r="BJ51" s="389"/>
      <c r="BK51" s="389"/>
      <c r="BL51" s="237"/>
      <c r="BM51" s="237"/>
      <c r="BN51" s="237"/>
      <c r="BO51" s="237"/>
      <c r="BP51" s="237"/>
      <c r="BQ51" s="237"/>
      <c r="BR51" s="237"/>
      <c r="BS51" s="237"/>
      <c r="BT51" s="237"/>
      <c r="BU51" s="23"/>
      <c r="BV51" s="389"/>
      <c r="BW51" s="389"/>
      <c r="BX51" s="389"/>
      <c r="BY51" s="389"/>
      <c r="BZ51" s="237"/>
      <c r="CA51" s="237"/>
      <c r="CB51" s="237"/>
      <c r="CC51" s="237"/>
      <c r="CD51" s="237"/>
      <c r="CE51" s="237"/>
      <c r="CF51" s="237"/>
      <c r="CG51" s="237"/>
      <c r="CH51" s="237"/>
    </row>
    <row r="52" spans="1:86" ht="15.75" customHeight="1">
      <c r="A52" s="94"/>
      <c r="B52" s="94" t="s">
        <v>81</v>
      </c>
      <c r="C52" s="335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/>
      <c r="Q52" s="90"/>
      <c r="R52" s="316"/>
      <c r="S52" s="316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5"/>
      <c r="AE52" s="23"/>
      <c r="AF52" s="316">
        <v>26171</v>
      </c>
      <c r="AG52" s="316">
        <v>21736</v>
      </c>
      <c r="AH52" s="316">
        <v>10736</v>
      </c>
      <c r="AI52" s="316">
        <v>15851</v>
      </c>
      <c r="AJ52" s="316">
        <v>30248</v>
      </c>
      <c r="AK52" s="316">
        <v>34072</v>
      </c>
      <c r="AL52" s="316">
        <v>37481</v>
      </c>
      <c r="AM52" s="91">
        <v>32645</v>
      </c>
      <c r="AN52" s="91">
        <v>30252</v>
      </c>
      <c r="AO52" s="91">
        <v>39494</v>
      </c>
      <c r="AP52" s="91">
        <v>42389</v>
      </c>
      <c r="AQ52" s="91">
        <v>55547</v>
      </c>
      <c r="AR52" s="92">
        <f t="shared" si="83"/>
        <v>376622</v>
      </c>
      <c r="AS52" s="23"/>
      <c r="AT52" s="91">
        <v>30298</v>
      </c>
      <c r="AU52" s="91">
        <v>27364</v>
      </c>
      <c r="AV52" s="91">
        <v>32595</v>
      </c>
      <c r="AW52" s="91">
        <v>28643</v>
      </c>
      <c r="AX52" s="91">
        <v>32208</v>
      </c>
      <c r="AY52" s="91">
        <v>30601</v>
      </c>
      <c r="AZ52" s="91">
        <v>38882</v>
      </c>
      <c r="BA52" s="91">
        <v>30743</v>
      </c>
      <c r="BB52" s="91">
        <f>24621+1200</f>
        <v>25821</v>
      </c>
      <c r="BC52" s="91">
        <v>31662</v>
      </c>
      <c r="BD52" s="91">
        <v>37222</v>
      </c>
      <c r="BE52" s="91">
        <v>53667</v>
      </c>
      <c r="BF52" s="91">
        <f t="shared" si="66"/>
        <v>399706</v>
      </c>
      <c r="BG52" s="93">
        <f>BF52/AR52-1</f>
        <v>6.1292224033646425E-2</v>
      </c>
      <c r="BH52" s="91">
        <v>34097</v>
      </c>
      <c r="BI52" s="91">
        <v>25734</v>
      </c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23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</row>
    <row r="53" spans="1:86" ht="15.75" customHeight="1">
      <c r="A53" s="232"/>
      <c r="B53" s="233" t="s">
        <v>280</v>
      </c>
      <c r="C53" s="387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388"/>
      <c r="Q53" s="235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90"/>
      <c r="AE53" s="23"/>
      <c r="AF53" s="389">
        <f t="shared" ref="AF53:AQ53" si="91">AF52-AF43</f>
        <v>-12329</v>
      </c>
      <c r="AG53" s="389">
        <f t="shared" si="91"/>
        <v>-664</v>
      </c>
      <c r="AH53" s="389">
        <f t="shared" si="91"/>
        <v>65</v>
      </c>
      <c r="AI53" s="389">
        <f t="shared" si="91"/>
        <v>-246</v>
      </c>
      <c r="AJ53" s="389">
        <f t="shared" si="91"/>
        <v>-30</v>
      </c>
      <c r="AK53" s="389">
        <f t="shared" si="91"/>
        <v>5512</v>
      </c>
      <c r="AL53" s="389">
        <f t="shared" si="91"/>
        <v>-4219</v>
      </c>
      <c r="AM53" s="389">
        <f t="shared" si="91"/>
        <v>-6055</v>
      </c>
      <c r="AN53" s="389">
        <f t="shared" si="91"/>
        <v>-7048</v>
      </c>
      <c r="AO53" s="389">
        <f t="shared" si="91"/>
        <v>2094</v>
      </c>
      <c r="AP53" s="389">
        <f t="shared" si="91"/>
        <v>1749</v>
      </c>
      <c r="AQ53" s="389">
        <f t="shared" si="91"/>
        <v>1107</v>
      </c>
      <c r="AR53" s="236">
        <f t="shared" si="83"/>
        <v>-20064</v>
      </c>
      <c r="AS53" s="23"/>
      <c r="AT53" s="389">
        <f t="shared" ref="AT53:BE53" si="92">AT52-AT43</f>
        <v>-5855</v>
      </c>
      <c r="AU53" s="389">
        <f t="shared" si="92"/>
        <v>-7925</v>
      </c>
      <c r="AV53" s="389">
        <f t="shared" si="92"/>
        <v>-3277</v>
      </c>
      <c r="AW53" s="389">
        <f t="shared" si="92"/>
        <v>-9388</v>
      </c>
      <c r="AX53" s="389">
        <f t="shared" si="92"/>
        <v>-1358</v>
      </c>
      <c r="AY53" s="389">
        <f t="shared" si="92"/>
        <v>-2965</v>
      </c>
      <c r="AZ53" s="389">
        <f t="shared" si="92"/>
        <v>7986</v>
      </c>
      <c r="BA53" s="389">
        <f t="shared" si="92"/>
        <v>-403</v>
      </c>
      <c r="BB53" s="389">
        <f t="shared" si="92"/>
        <v>-6809</v>
      </c>
      <c r="BC53" s="389">
        <f t="shared" si="92"/>
        <v>-6900</v>
      </c>
      <c r="BD53" s="389">
        <f t="shared" si="92"/>
        <v>-4123</v>
      </c>
      <c r="BE53" s="389">
        <f t="shared" si="92"/>
        <v>4404</v>
      </c>
      <c r="BF53" s="237">
        <f t="shared" si="66"/>
        <v>-36613</v>
      </c>
      <c r="BG53" s="27"/>
      <c r="BH53" s="389">
        <v>-4123</v>
      </c>
      <c r="BI53" s="389">
        <v>-4123</v>
      </c>
      <c r="BJ53" s="389"/>
      <c r="BK53" s="389"/>
      <c r="BL53" s="237"/>
      <c r="BM53" s="237"/>
      <c r="BN53" s="237"/>
      <c r="BO53" s="237"/>
      <c r="BP53" s="237"/>
      <c r="BQ53" s="237"/>
      <c r="BR53" s="237"/>
      <c r="BS53" s="237"/>
      <c r="BT53" s="237"/>
      <c r="BU53" s="23"/>
      <c r="BV53" s="389"/>
      <c r="BW53" s="389"/>
      <c r="BX53" s="389"/>
      <c r="BY53" s="389"/>
      <c r="BZ53" s="237"/>
      <c r="CA53" s="237"/>
      <c r="CB53" s="237"/>
      <c r="CC53" s="237"/>
      <c r="CD53" s="237"/>
      <c r="CE53" s="237"/>
      <c r="CF53" s="237"/>
      <c r="CG53" s="237"/>
      <c r="CH53" s="237"/>
    </row>
    <row r="54" spans="1:86" ht="15.75" customHeight="1">
      <c r="A54" s="232" t="s">
        <v>83</v>
      </c>
      <c r="B54" s="238"/>
      <c r="C54" s="387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388"/>
      <c r="Q54" s="235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90"/>
      <c r="AE54" s="23"/>
      <c r="AF54" s="389">
        <f t="shared" ref="AF54:AQ54" si="93">AF49-AF16</f>
        <v>-10282</v>
      </c>
      <c r="AG54" s="389">
        <f t="shared" si="93"/>
        <v>-4235</v>
      </c>
      <c r="AH54" s="389">
        <f t="shared" si="93"/>
        <v>-154</v>
      </c>
      <c r="AI54" s="389">
        <f t="shared" si="93"/>
        <v>-1981</v>
      </c>
      <c r="AJ54" s="389">
        <f t="shared" si="93"/>
        <v>-2477</v>
      </c>
      <c r="AK54" s="389">
        <f t="shared" si="93"/>
        <v>6187</v>
      </c>
      <c r="AL54" s="389">
        <f t="shared" si="93"/>
        <v>-13922</v>
      </c>
      <c r="AM54" s="389">
        <f t="shared" si="93"/>
        <v>-58130</v>
      </c>
      <c r="AN54" s="389">
        <f t="shared" si="93"/>
        <v>-66535.333333333343</v>
      </c>
      <c r="AO54" s="389">
        <f t="shared" si="93"/>
        <v>-12969</v>
      </c>
      <c r="AP54" s="389">
        <f t="shared" si="93"/>
        <v>-21294</v>
      </c>
      <c r="AQ54" s="389">
        <f t="shared" si="93"/>
        <v>-10456</v>
      </c>
      <c r="AR54" s="236">
        <f t="shared" si="83"/>
        <v>-196248.33333333334</v>
      </c>
      <c r="AS54" s="23"/>
      <c r="AT54" s="389">
        <f t="shared" ref="AT54:BE54" si="94">AT49-AT16</f>
        <v>2596.75</v>
      </c>
      <c r="AU54" s="389">
        <f t="shared" si="94"/>
        <v>-45152.103448275855</v>
      </c>
      <c r="AV54" s="389">
        <f t="shared" si="94"/>
        <v>-10056.137931034493</v>
      </c>
      <c r="AW54" s="389">
        <f t="shared" si="94"/>
        <v>-31730.137931034493</v>
      </c>
      <c r="AX54" s="389">
        <f t="shared" si="94"/>
        <v>3361.0344827586232</v>
      </c>
      <c r="AY54" s="389">
        <f t="shared" si="94"/>
        <v>-17147.777777777781</v>
      </c>
      <c r="AZ54" s="389">
        <f t="shared" si="94"/>
        <v>1355.222222222219</v>
      </c>
      <c r="BA54" s="389">
        <f t="shared" si="94"/>
        <v>-78174.296296296292</v>
      </c>
      <c r="BB54" s="389">
        <f t="shared" si="94"/>
        <v>-58295.777777777781</v>
      </c>
      <c r="BC54" s="389">
        <f t="shared" si="94"/>
        <v>-106133.29075565783</v>
      </c>
      <c r="BD54" s="389">
        <f t="shared" si="94"/>
        <v>1052.413118527038</v>
      </c>
      <c r="BE54" s="389">
        <f t="shared" si="94"/>
        <v>17507.387034906016</v>
      </c>
      <c r="BF54" s="237">
        <f t="shared" si="66"/>
        <v>-320816.71505944064</v>
      </c>
      <c r="BG54" s="27"/>
      <c r="BH54" s="389">
        <f t="shared" ref="BH54:BI54" si="95">BH49-BH16</f>
        <v>-5583</v>
      </c>
      <c r="BI54" s="389">
        <f t="shared" si="95"/>
        <v>-12020.333333333314</v>
      </c>
      <c r="BJ54" s="389"/>
      <c r="BK54" s="389"/>
      <c r="BL54" s="237"/>
      <c r="BM54" s="237"/>
      <c r="BN54" s="237"/>
      <c r="BO54" s="237"/>
      <c r="BP54" s="237"/>
      <c r="BQ54" s="237"/>
      <c r="BR54" s="237"/>
      <c r="BS54" s="237"/>
      <c r="BT54" s="237"/>
      <c r="BU54" s="23"/>
      <c r="BV54" s="389"/>
      <c r="BW54" s="389"/>
      <c r="BX54" s="389"/>
      <c r="BY54" s="389"/>
      <c r="BZ54" s="237"/>
      <c r="CA54" s="237"/>
      <c r="CB54" s="237"/>
      <c r="CC54" s="237"/>
      <c r="CD54" s="237"/>
      <c r="CE54" s="237"/>
      <c r="CF54" s="237"/>
      <c r="CG54" s="237"/>
      <c r="CH54" s="237"/>
    </row>
    <row r="55" spans="1:86" ht="15.75" customHeight="1">
      <c r="A55" s="232" t="s">
        <v>85</v>
      </c>
      <c r="B55" s="238"/>
      <c r="C55" s="387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388"/>
      <c r="Q55" s="235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90"/>
      <c r="AE55" s="23"/>
      <c r="AF55" s="389">
        <f t="shared" ref="AF55:AQ55" si="96">AF50-AF17</f>
        <v>92193</v>
      </c>
      <c r="AG55" s="389">
        <f t="shared" si="96"/>
        <v>152006</v>
      </c>
      <c r="AH55" s="389">
        <f t="shared" si="96"/>
        <v>62734</v>
      </c>
      <c r="AI55" s="389">
        <f t="shared" si="96"/>
        <v>71526</v>
      </c>
      <c r="AJ55" s="389">
        <f t="shared" si="96"/>
        <v>89409</v>
      </c>
      <c r="AK55" s="389">
        <f t="shared" si="96"/>
        <v>120675</v>
      </c>
      <c r="AL55" s="389">
        <f t="shared" si="96"/>
        <v>100592</v>
      </c>
      <c r="AM55" s="389">
        <f t="shared" si="96"/>
        <v>148128</v>
      </c>
      <c r="AN55" s="389">
        <f t="shared" si="96"/>
        <v>164346</v>
      </c>
      <c r="AO55" s="389">
        <f t="shared" si="96"/>
        <v>203437</v>
      </c>
      <c r="AP55" s="389">
        <f t="shared" si="96"/>
        <v>64957</v>
      </c>
      <c r="AQ55" s="389">
        <f t="shared" si="96"/>
        <v>31837</v>
      </c>
      <c r="AR55" s="236">
        <f t="shared" si="83"/>
        <v>1301840</v>
      </c>
      <c r="AS55" s="23"/>
      <c r="AT55" s="391">
        <f t="shared" ref="AT55:BE55" si="97">AT54/AT16</f>
        <v>1.7000083470131603E-2</v>
      </c>
      <c r="AU55" s="391">
        <f t="shared" si="97"/>
        <v>-0.26792985919579565</v>
      </c>
      <c r="AV55" s="391">
        <f t="shared" si="97"/>
        <v>-6.5248272015318062E-2</v>
      </c>
      <c r="AW55" s="391">
        <f t="shared" si="97"/>
        <v>-0.19881644480138216</v>
      </c>
      <c r="AX55" s="391">
        <f t="shared" si="97"/>
        <v>2.798530764170884E-2</v>
      </c>
      <c r="AY55" s="391">
        <f t="shared" si="97"/>
        <v>-0.12395048084722922</v>
      </c>
      <c r="AZ55" s="391">
        <f t="shared" si="97"/>
        <v>8.1309864112464342E-3</v>
      </c>
      <c r="BA55" s="391">
        <f t="shared" si="97"/>
        <v>-0.32244495902957893</v>
      </c>
      <c r="BB55" s="391">
        <f t="shared" si="97"/>
        <v>-0.23949841829212068</v>
      </c>
      <c r="BC55" s="391">
        <f t="shared" si="97"/>
        <v>-0.41888939787658819</v>
      </c>
      <c r="BD55" s="391">
        <f t="shared" si="97"/>
        <v>7.8214003811977375E-3</v>
      </c>
      <c r="BE55" s="391">
        <f t="shared" si="97"/>
        <v>0.24086123043473662</v>
      </c>
      <c r="BF55" s="239">
        <f>AVERAGE(AT55:BE55)</f>
        <v>-0.11124823530991597</v>
      </c>
      <c r="BG55" s="27"/>
      <c r="BH55" s="391">
        <f t="shared" ref="BH55:BI55" si="98">BH54/BH16</f>
        <v>-3.7241103291865391E-2</v>
      </c>
      <c r="BI55" s="391">
        <f t="shared" si="98"/>
        <v>-8.537087716972365E-2</v>
      </c>
      <c r="BJ55" s="391"/>
      <c r="BK55" s="391"/>
      <c r="BL55" s="239"/>
      <c r="BM55" s="239"/>
      <c r="BN55" s="239"/>
      <c r="BO55" s="239"/>
      <c r="BP55" s="239"/>
      <c r="BQ55" s="239"/>
      <c r="BR55" s="239"/>
      <c r="BS55" s="239"/>
      <c r="BT55" s="239"/>
      <c r="BU55" s="177"/>
      <c r="BV55" s="391"/>
      <c r="BW55" s="391"/>
      <c r="BX55" s="391"/>
      <c r="BY55" s="391"/>
      <c r="BZ55" s="239"/>
      <c r="CA55" s="239"/>
      <c r="CB55" s="239"/>
      <c r="CC55" s="239"/>
      <c r="CD55" s="239"/>
      <c r="CE55" s="239"/>
      <c r="CF55" s="239"/>
      <c r="CG55" s="239"/>
      <c r="CH55" s="239"/>
    </row>
    <row r="56" spans="1:86" ht="15.75" customHeight="1">
      <c r="A56" s="1101" t="s">
        <v>86</v>
      </c>
      <c r="B56" s="1127"/>
      <c r="C56" s="24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384"/>
      <c r="Q56" s="221"/>
      <c r="R56" s="385"/>
      <c r="S56" s="222"/>
      <c r="T56" s="222"/>
      <c r="U56" s="222"/>
      <c r="V56" s="222"/>
      <c r="W56" s="222"/>
      <c r="X56" s="222"/>
      <c r="Y56" s="222"/>
      <c r="Z56" s="222"/>
      <c r="AA56" s="222"/>
      <c r="AB56" s="222"/>
      <c r="AC56" s="222"/>
      <c r="AD56" s="222"/>
      <c r="AE56" s="113"/>
      <c r="AF56" s="392"/>
      <c r="AG56" s="222"/>
      <c r="AH56" s="222"/>
      <c r="AI56" s="222"/>
      <c r="AJ56" s="222"/>
      <c r="AK56" s="222"/>
      <c r="AL56" s="222"/>
      <c r="AM56" s="222"/>
      <c r="AN56" s="222"/>
      <c r="AO56" s="222"/>
      <c r="AP56" s="222"/>
      <c r="AQ56" s="222"/>
      <c r="AR56" s="222"/>
      <c r="AS56" s="23"/>
      <c r="AT56" s="222"/>
      <c r="AU56" s="222"/>
      <c r="AV56" s="222"/>
      <c r="AW56" s="222"/>
      <c r="AX56" s="222"/>
      <c r="AY56" s="222"/>
      <c r="AZ56" s="222"/>
      <c r="BA56" s="222"/>
      <c r="BB56" s="222"/>
      <c r="BC56" s="222"/>
      <c r="BD56" s="222"/>
      <c r="BE56" s="222"/>
      <c r="BF56" s="222"/>
      <c r="BG56" s="27"/>
      <c r="BH56" s="222"/>
      <c r="BI56" s="222"/>
      <c r="BJ56" s="222"/>
      <c r="BK56" s="222"/>
      <c r="BL56" s="222"/>
      <c r="BM56" s="222"/>
      <c r="BN56" s="222"/>
      <c r="BO56" s="222"/>
      <c r="BP56" s="222"/>
      <c r="BQ56" s="222"/>
      <c r="BR56" s="222"/>
      <c r="BS56" s="222"/>
      <c r="BT56" s="222"/>
      <c r="BU56" s="113"/>
      <c r="BV56" s="222"/>
      <c r="BW56" s="222"/>
      <c r="BX56" s="222"/>
      <c r="BY56" s="222"/>
      <c r="BZ56" s="222"/>
      <c r="CA56" s="222"/>
      <c r="CB56" s="222"/>
      <c r="CC56" s="222"/>
      <c r="CD56" s="222"/>
      <c r="CE56" s="222"/>
      <c r="CF56" s="222"/>
      <c r="CG56" s="222"/>
      <c r="CH56" s="222"/>
    </row>
    <row r="57" spans="1:86" ht="15.75" customHeight="1">
      <c r="A57" s="94">
        <v>7</v>
      </c>
      <c r="B57" s="210" t="s">
        <v>90</v>
      </c>
      <c r="C57" s="335"/>
      <c r="D57" s="89">
        <v>98048</v>
      </c>
      <c r="E57" s="89">
        <v>128688</v>
      </c>
      <c r="F57" s="89">
        <v>124704</v>
      </c>
      <c r="G57" s="89">
        <v>157500</v>
      </c>
      <c r="H57" s="89">
        <v>182600</v>
      </c>
      <c r="I57" s="89">
        <v>157700</v>
      </c>
      <c r="J57" s="89">
        <v>181700</v>
      </c>
      <c r="K57" s="89">
        <v>165900</v>
      </c>
      <c r="L57" s="89">
        <v>174300</v>
      </c>
      <c r="M57" s="89">
        <v>215800</v>
      </c>
      <c r="N57" s="89">
        <v>180000</v>
      </c>
      <c r="O57" s="89">
        <v>112500</v>
      </c>
      <c r="P57" s="314">
        <f t="shared" ref="P57:P58" si="99">SUM(D57:O57)</f>
        <v>1879440</v>
      </c>
      <c r="Q57" s="90"/>
      <c r="R57" s="313">
        <v>158400</v>
      </c>
      <c r="S57" s="91">
        <v>161000</v>
      </c>
      <c r="T57" s="91">
        <v>117800</v>
      </c>
      <c r="U57" s="91">
        <v>2000</v>
      </c>
      <c r="V57" s="91">
        <v>53800</v>
      </c>
      <c r="W57" s="91">
        <v>190600</v>
      </c>
      <c r="X57" s="91">
        <v>187900</v>
      </c>
      <c r="Y57" s="91">
        <v>196800</v>
      </c>
      <c r="Z57" s="91">
        <v>192300</v>
      </c>
      <c r="AA57" s="91">
        <v>182300</v>
      </c>
      <c r="AB57" s="91">
        <v>175000</v>
      </c>
      <c r="AC57" s="91">
        <v>134100</v>
      </c>
      <c r="AD57" s="315">
        <f>SUM(R57:AC57)</f>
        <v>1752000</v>
      </c>
      <c r="AE57" s="23"/>
      <c r="AF57" s="316">
        <f t="shared" ref="AF57:AL57" si="100">SUM(AF58,AF60)</f>
        <v>161400</v>
      </c>
      <c r="AG57" s="316">
        <f t="shared" si="100"/>
        <v>166000</v>
      </c>
      <c r="AH57" s="316">
        <f t="shared" si="100"/>
        <v>150471</v>
      </c>
      <c r="AI57" s="316">
        <f t="shared" si="100"/>
        <v>149040</v>
      </c>
      <c r="AJ57" s="316">
        <f t="shared" si="100"/>
        <v>196360</v>
      </c>
      <c r="AK57" s="316">
        <f t="shared" si="100"/>
        <v>163300</v>
      </c>
      <c r="AL57" s="316">
        <f t="shared" si="100"/>
        <v>190000</v>
      </c>
      <c r="AM57" s="316">
        <f t="shared" ref="AM57:AQ57" si="101">SUM(AM58,AM60,AM61)</f>
        <v>167000</v>
      </c>
      <c r="AN57" s="316">
        <f t="shared" si="101"/>
        <v>170500</v>
      </c>
      <c r="AO57" s="316">
        <f t="shared" si="101"/>
        <v>140000</v>
      </c>
      <c r="AP57" s="316">
        <f t="shared" si="101"/>
        <v>130000</v>
      </c>
      <c r="AQ57" s="316">
        <f t="shared" si="101"/>
        <v>100000</v>
      </c>
      <c r="AR57" s="92">
        <f t="shared" ref="AR57:AR58" si="102">SUM(AF57:AQ57)</f>
        <v>1884071</v>
      </c>
      <c r="AS57" s="23"/>
      <c r="AT57" s="316">
        <f t="shared" ref="AT57:BC57" si="103">SUM(AT58,AT60,AT61)</f>
        <v>133000</v>
      </c>
      <c r="AU57" s="316">
        <f t="shared" si="103"/>
        <v>125180</v>
      </c>
      <c r="AV57" s="316">
        <f t="shared" si="103"/>
        <v>117228</v>
      </c>
      <c r="AW57" s="316">
        <f t="shared" si="103"/>
        <v>127500</v>
      </c>
      <c r="AX57" s="316">
        <f t="shared" si="103"/>
        <v>140000</v>
      </c>
      <c r="AY57" s="316">
        <f t="shared" si="103"/>
        <v>158342.99999899999</v>
      </c>
      <c r="AZ57" s="316">
        <f t="shared" si="103"/>
        <v>152409</v>
      </c>
      <c r="BA57" s="316">
        <f t="shared" si="103"/>
        <v>173520</v>
      </c>
      <c r="BB57" s="316">
        <f t="shared" si="103"/>
        <v>165000</v>
      </c>
      <c r="BC57" s="316">
        <f t="shared" si="103"/>
        <v>157500</v>
      </c>
      <c r="BD57" s="316">
        <v>129431</v>
      </c>
      <c r="BE57" s="316">
        <v>61700</v>
      </c>
      <c r="BF57" s="91">
        <f t="shared" ref="BF57:BF58" si="104">SUM(AT57:BE57)</f>
        <v>1640810.999999</v>
      </c>
      <c r="BG57" s="27">
        <f>BF57-AR57</f>
        <v>-243260.00000100001</v>
      </c>
      <c r="BH57" s="339">
        <f t="shared" ref="BH57:BS57" si="105">SUM(BH58,BH60,BH61)</f>
        <v>139760</v>
      </c>
      <c r="BI57" s="339">
        <f t="shared" si="105"/>
        <v>116580</v>
      </c>
      <c r="BJ57" s="339">
        <f t="shared" si="105"/>
        <v>148340</v>
      </c>
      <c r="BK57" s="339">
        <f t="shared" si="105"/>
        <v>112360</v>
      </c>
      <c r="BL57" s="339">
        <f t="shared" si="105"/>
        <v>181680</v>
      </c>
      <c r="BM57" s="339">
        <f t="shared" si="105"/>
        <v>181340</v>
      </c>
      <c r="BN57" s="339">
        <f t="shared" si="105"/>
        <v>172700</v>
      </c>
      <c r="BO57" s="339">
        <f t="shared" si="105"/>
        <v>167100</v>
      </c>
      <c r="BP57" s="339">
        <f t="shared" si="105"/>
        <v>153720</v>
      </c>
      <c r="BQ57" s="339">
        <f t="shared" si="105"/>
        <v>157200</v>
      </c>
      <c r="BR57" s="339">
        <f t="shared" si="105"/>
        <v>133180</v>
      </c>
      <c r="BS57" s="339">
        <f t="shared" si="105"/>
        <v>69700</v>
      </c>
      <c r="BT57" s="339">
        <f t="shared" ref="BT57:BT58" si="106">SUM(BH57:BS57)</f>
        <v>1733660</v>
      </c>
      <c r="BU57" s="23"/>
      <c r="BV57" s="339">
        <f t="shared" ref="BV57:CG57" si="107">SUM(BV58,BV60,BV61)</f>
        <v>165163.63636363635</v>
      </c>
      <c r="BW57" s="339">
        <f t="shared" si="107"/>
        <v>140389.09090909091</v>
      </c>
      <c r="BX57" s="339">
        <f t="shared" si="107"/>
        <v>189938.18181818182</v>
      </c>
      <c r="BY57" s="339">
        <f t="shared" si="107"/>
        <v>148647.27272727274</v>
      </c>
      <c r="BZ57" s="339">
        <f t="shared" si="107"/>
        <v>181680</v>
      </c>
      <c r="CA57" s="339">
        <f t="shared" si="107"/>
        <v>173421.81818181818</v>
      </c>
      <c r="CB57" s="339">
        <f t="shared" si="107"/>
        <v>173421.81818181818</v>
      </c>
      <c r="CC57" s="339">
        <f t="shared" si="107"/>
        <v>189938.18181818182</v>
      </c>
      <c r="CD57" s="339">
        <f t="shared" si="107"/>
        <v>165163.63636363635</v>
      </c>
      <c r="CE57" s="339">
        <f t="shared" si="107"/>
        <v>173421.81818181818</v>
      </c>
      <c r="CF57" s="339">
        <f t="shared" si="107"/>
        <v>165163.63636363635</v>
      </c>
      <c r="CG57" s="339">
        <f t="shared" si="107"/>
        <v>99098.181818181823</v>
      </c>
      <c r="CH57" s="339">
        <f t="shared" ref="CH57:CH58" si="108">SUM(BV57:CG57)</f>
        <v>1965447.2727272727</v>
      </c>
    </row>
    <row r="58" spans="1:86" ht="15.75" customHeight="1">
      <c r="A58" s="94"/>
      <c r="B58" s="210" t="s">
        <v>91</v>
      </c>
      <c r="C58" s="335"/>
      <c r="D58" s="89">
        <v>98048</v>
      </c>
      <c r="E58" s="89">
        <v>128688</v>
      </c>
      <c r="F58" s="89">
        <v>124704</v>
      </c>
      <c r="G58" s="89">
        <v>157500</v>
      </c>
      <c r="H58" s="89">
        <v>182600</v>
      </c>
      <c r="I58" s="89">
        <v>157700</v>
      </c>
      <c r="J58" s="89">
        <v>181700</v>
      </c>
      <c r="K58" s="89">
        <v>165900</v>
      </c>
      <c r="L58" s="89">
        <v>174300</v>
      </c>
      <c r="M58" s="89">
        <v>215800</v>
      </c>
      <c r="N58" s="89">
        <v>180000</v>
      </c>
      <c r="O58" s="89">
        <v>112500</v>
      </c>
      <c r="P58" s="314">
        <f t="shared" si="99"/>
        <v>1879440</v>
      </c>
      <c r="Q58" s="90"/>
      <c r="R58" s="313">
        <v>158400</v>
      </c>
      <c r="S58" s="91">
        <v>146000</v>
      </c>
      <c r="T58" s="91">
        <v>102200</v>
      </c>
      <c r="U58" s="91">
        <v>0</v>
      </c>
      <c r="V58" s="91">
        <v>43800</v>
      </c>
      <c r="W58" s="91">
        <v>160600</v>
      </c>
      <c r="X58" s="91">
        <v>167900</v>
      </c>
      <c r="Y58" s="91">
        <v>153300</v>
      </c>
      <c r="Z58" s="91">
        <v>153300</v>
      </c>
      <c r="AA58" s="91">
        <v>153300</v>
      </c>
      <c r="AB58" s="91">
        <v>146000</v>
      </c>
      <c r="AC58" s="91">
        <v>124100</v>
      </c>
      <c r="AD58" s="315"/>
      <c r="AE58" s="23"/>
      <c r="AF58" s="316">
        <v>131400</v>
      </c>
      <c r="AG58" s="91">
        <v>146000</v>
      </c>
      <c r="AH58" s="91">
        <v>125511</v>
      </c>
      <c r="AI58" s="91">
        <v>135000</v>
      </c>
      <c r="AJ58" s="91">
        <v>177320</v>
      </c>
      <c r="AK58" s="91">
        <v>151300</v>
      </c>
      <c r="AL58" s="91">
        <v>176000</v>
      </c>
      <c r="AM58" s="91">
        <f t="shared" ref="AM58:AP58" si="109">AM59*AM3</f>
        <v>154000</v>
      </c>
      <c r="AN58" s="91">
        <f t="shared" si="109"/>
        <v>157500</v>
      </c>
      <c r="AO58" s="91">
        <f t="shared" si="109"/>
        <v>140000</v>
      </c>
      <c r="AP58" s="91">
        <f t="shared" si="109"/>
        <v>130000</v>
      </c>
      <c r="AQ58" s="91">
        <f>AQ59*AQ3+16000</f>
        <v>100000</v>
      </c>
      <c r="AR58" s="92">
        <f t="shared" si="102"/>
        <v>1724031</v>
      </c>
      <c r="AS58" s="23"/>
      <c r="AT58" s="91">
        <f>AT59*AT3</f>
        <v>133000</v>
      </c>
      <c r="AU58" s="91">
        <f>125180</f>
        <v>125180</v>
      </c>
      <c r="AV58" s="91">
        <f>AV59*AV3+7428</f>
        <v>117228</v>
      </c>
      <c r="AW58" s="91">
        <f t="shared" ref="AW58:AY58" si="110">AW59*AW3</f>
        <v>123500</v>
      </c>
      <c r="AX58" s="91">
        <f t="shared" si="110"/>
        <v>132000</v>
      </c>
      <c r="AY58" s="91">
        <f t="shared" si="110"/>
        <v>153342.99999899999</v>
      </c>
      <c r="AZ58" s="91">
        <v>142409</v>
      </c>
      <c r="BA58" s="91">
        <v>163520</v>
      </c>
      <c r="BB58" s="91">
        <f t="shared" ref="BB58:BC58" si="111">BB59*BB3</f>
        <v>165000</v>
      </c>
      <c r="BC58" s="91">
        <f t="shared" si="111"/>
        <v>157500</v>
      </c>
      <c r="BD58" s="316">
        <v>129431</v>
      </c>
      <c r="BE58" s="316">
        <v>61700</v>
      </c>
      <c r="BF58" s="91">
        <f t="shared" si="104"/>
        <v>1603810.999999</v>
      </c>
      <c r="BG58" s="27">
        <f>BF58+BF61-AR58-AR61</f>
        <v>-113040.00000100001</v>
      </c>
      <c r="BH58" s="91">
        <v>136760</v>
      </c>
      <c r="BI58" s="91">
        <v>116580</v>
      </c>
      <c r="BJ58" s="91">
        <v>148340</v>
      </c>
      <c r="BK58" s="91">
        <v>112360</v>
      </c>
      <c r="BL58" s="91">
        <v>181680</v>
      </c>
      <c r="BM58" s="91">
        <v>181340</v>
      </c>
      <c r="BN58" s="91">
        <v>172700</v>
      </c>
      <c r="BO58" s="91">
        <v>167100</v>
      </c>
      <c r="BP58" s="91">
        <v>153720</v>
      </c>
      <c r="BQ58" s="91">
        <v>157200</v>
      </c>
      <c r="BR58" s="91">
        <v>133180</v>
      </c>
      <c r="BS58" s="91">
        <v>69700</v>
      </c>
      <c r="BT58" s="91">
        <f t="shared" si="106"/>
        <v>1730660</v>
      </c>
      <c r="BU58" s="23"/>
      <c r="BV58" s="91">
        <v>165163.63636363635</v>
      </c>
      <c r="BW58" s="91">
        <v>140389.09090909091</v>
      </c>
      <c r="BX58" s="91">
        <v>189938.18181818182</v>
      </c>
      <c r="BY58" s="91">
        <v>148647.27272727274</v>
      </c>
      <c r="BZ58" s="91">
        <v>181680</v>
      </c>
      <c r="CA58" s="91">
        <v>173421.81818181818</v>
      </c>
      <c r="CB58" s="91">
        <v>173421.81818181818</v>
      </c>
      <c r="CC58" s="91">
        <v>189938.18181818182</v>
      </c>
      <c r="CD58" s="91">
        <v>165163.63636363635</v>
      </c>
      <c r="CE58" s="91">
        <v>173421.81818181818</v>
      </c>
      <c r="CF58" s="91">
        <v>165163.63636363635</v>
      </c>
      <c r="CG58" s="91">
        <v>99098.181818181823</v>
      </c>
      <c r="CH58" s="91">
        <f t="shared" si="108"/>
        <v>1965447.2727272727</v>
      </c>
    </row>
    <row r="59" spans="1:86" ht="15.75" customHeight="1">
      <c r="A59" s="94"/>
      <c r="B59" s="210" t="s">
        <v>92</v>
      </c>
      <c r="C59" s="335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314"/>
      <c r="Q59" s="90"/>
      <c r="R59" s="316">
        <f t="shared" ref="R59:AC59" si="112">R58/R3</f>
        <v>7200</v>
      </c>
      <c r="S59" s="316">
        <f t="shared" si="112"/>
        <v>7300</v>
      </c>
      <c r="T59" s="316">
        <f t="shared" si="112"/>
        <v>7300</v>
      </c>
      <c r="U59" s="316">
        <f t="shared" si="112"/>
        <v>0</v>
      </c>
      <c r="V59" s="316">
        <f t="shared" si="112"/>
        <v>3650</v>
      </c>
      <c r="W59" s="316">
        <f t="shared" si="112"/>
        <v>7300</v>
      </c>
      <c r="X59" s="316">
        <f t="shared" si="112"/>
        <v>7300</v>
      </c>
      <c r="Y59" s="316">
        <f t="shared" si="112"/>
        <v>7300</v>
      </c>
      <c r="Z59" s="316">
        <f t="shared" si="112"/>
        <v>7300</v>
      </c>
      <c r="AA59" s="316">
        <f t="shared" si="112"/>
        <v>7300</v>
      </c>
      <c r="AB59" s="316">
        <f t="shared" si="112"/>
        <v>7300</v>
      </c>
      <c r="AC59" s="316">
        <f t="shared" si="112"/>
        <v>7300</v>
      </c>
      <c r="AD59" s="315"/>
      <c r="AE59" s="23"/>
      <c r="AF59" s="316">
        <f t="shared" ref="AF59:AL59" si="113">AF58/AF3</f>
        <v>7300</v>
      </c>
      <c r="AG59" s="316">
        <f t="shared" si="113"/>
        <v>7300</v>
      </c>
      <c r="AH59" s="316">
        <f t="shared" si="113"/>
        <v>6275.55</v>
      </c>
      <c r="AI59" s="316">
        <f t="shared" si="113"/>
        <v>6750</v>
      </c>
      <c r="AJ59" s="316">
        <f t="shared" si="113"/>
        <v>8060</v>
      </c>
      <c r="AK59" s="316">
        <f t="shared" si="113"/>
        <v>7565</v>
      </c>
      <c r="AL59" s="316">
        <f t="shared" si="113"/>
        <v>8000</v>
      </c>
      <c r="AM59" s="91">
        <v>7000</v>
      </c>
      <c r="AN59" s="91">
        <v>7500</v>
      </c>
      <c r="AO59" s="91">
        <v>7000</v>
      </c>
      <c r="AP59" s="91">
        <v>6500</v>
      </c>
      <c r="AQ59" s="91">
        <v>7000</v>
      </c>
      <c r="AR59" s="92">
        <f>AVERAGE(AF59:AQ59)</f>
        <v>7187.5458333333336</v>
      </c>
      <c r="AS59" s="23"/>
      <c r="AT59" s="91">
        <v>7000</v>
      </c>
      <c r="AU59" s="91">
        <f>AU58/AU3</f>
        <v>6588.4210526315792</v>
      </c>
      <c r="AV59" s="91">
        <v>6100</v>
      </c>
      <c r="AW59" s="91">
        <v>6500</v>
      </c>
      <c r="AX59" s="91">
        <v>6000</v>
      </c>
      <c r="AY59" s="91">
        <v>7302.0476189999999</v>
      </c>
      <c r="AZ59" s="91">
        <v>7000</v>
      </c>
      <c r="BA59" s="91">
        <f>BA58/BA3</f>
        <v>7432.727272727273</v>
      </c>
      <c r="BB59" s="91">
        <v>7500</v>
      </c>
      <c r="BC59" s="91">
        <v>7500</v>
      </c>
      <c r="BD59" s="91">
        <f t="shared" ref="BD59:BE59" si="114">BD58/BD3</f>
        <v>6471.55</v>
      </c>
      <c r="BE59" s="91">
        <f t="shared" si="114"/>
        <v>6170</v>
      </c>
      <c r="BF59" s="91">
        <f>AVERAGE(AT59:BE59)</f>
        <v>6797.0621620299053</v>
      </c>
      <c r="BG59" s="27"/>
      <c r="BH59" s="91">
        <f t="shared" ref="BH59:BS59" si="115">BH58/BH3</f>
        <v>6838</v>
      </c>
      <c r="BI59" s="91">
        <f t="shared" si="115"/>
        <v>6857.6470588235297</v>
      </c>
      <c r="BJ59" s="91">
        <f t="shared" si="115"/>
        <v>6449.565217391304</v>
      </c>
      <c r="BK59" s="91">
        <f t="shared" si="115"/>
        <v>6242.2222222222226</v>
      </c>
      <c r="BL59" s="91">
        <f t="shared" si="115"/>
        <v>8258.181818181818</v>
      </c>
      <c r="BM59" s="91">
        <f t="shared" si="115"/>
        <v>8635.2380952380954</v>
      </c>
      <c r="BN59" s="91">
        <f t="shared" si="115"/>
        <v>8223.8095238095229</v>
      </c>
      <c r="BO59" s="91">
        <f t="shared" si="115"/>
        <v>7265.217391304348</v>
      </c>
      <c r="BP59" s="91">
        <f t="shared" si="115"/>
        <v>7686</v>
      </c>
      <c r="BQ59" s="91">
        <f t="shared" si="115"/>
        <v>7485.7142857142853</v>
      </c>
      <c r="BR59" s="91">
        <f t="shared" si="115"/>
        <v>6659</v>
      </c>
      <c r="BS59" s="91">
        <f t="shared" si="115"/>
        <v>5808.333333333333</v>
      </c>
      <c r="BT59" s="91"/>
      <c r="BU59" s="23"/>
      <c r="BV59" s="91">
        <f>BS59</f>
        <v>5808.333333333333</v>
      </c>
      <c r="BW59" s="91">
        <f t="shared" ref="BW59:CG59" si="116">BV59</f>
        <v>5808.333333333333</v>
      </c>
      <c r="BX59" s="91">
        <f t="shared" si="116"/>
        <v>5808.333333333333</v>
      </c>
      <c r="BY59" s="91">
        <f t="shared" si="116"/>
        <v>5808.333333333333</v>
      </c>
      <c r="BZ59" s="91">
        <f t="shared" si="116"/>
        <v>5808.333333333333</v>
      </c>
      <c r="CA59" s="91">
        <f t="shared" si="116"/>
        <v>5808.333333333333</v>
      </c>
      <c r="CB59" s="91">
        <f t="shared" si="116"/>
        <v>5808.333333333333</v>
      </c>
      <c r="CC59" s="91">
        <f t="shared" si="116"/>
        <v>5808.333333333333</v>
      </c>
      <c r="CD59" s="91">
        <f t="shared" si="116"/>
        <v>5808.333333333333</v>
      </c>
      <c r="CE59" s="91">
        <f t="shared" si="116"/>
        <v>5808.333333333333</v>
      </c>
      <c r="CF59" s="91">
        <f t="shared" si="116"/>
        <v>5808.333333333333</v>
      </c>
      <c r="CG59" s="91">
        <f t="shared" si="116"/>
        <v>5808.333333333333</v>
      </c>
      <c r="CH59" s="91"/>
    </row>
    <row r="60" spans="1:86" ht="15.75" customHeight="1">
      <c r="A60" s="94"/>
      <c r="B60" s="210" t="s">
        <v>281</v>
      </c>
      <c r="C60" s="335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314"/>
      <c r="Q60" s="90"/>
      <c r="R60" s="313"/>
      <c r="S60" s="91">
        <v>15000</v>
      </c>
      <c r="T60" s="91">
        <v>15600</v>
      </c>
      <c r="U60" s="91">
        <v>2000</v>
      </c>
      <c r="V60" s="91">
        <v>10000</v>
      </c>
      <c r="W60" s="91">
        <v>30000</v>
      </c>
      <c r="X60" s="91">
        <v>20000</v>
      </c>
      <c r="Y60" s="91">
        <v>30000</v>
      </c>
      <c r="Z60" s="91">
        <v>30000</v>
      </c>
      <c r="AA60" s="91">
        <v>20000</v>
      </c>
      <c r="AB60" s="91">
        <v>20000</v>
      </c>
      <c r="AC60" s="91">
        <v>10000</v>
      </c>
      <c r="AD60" s="315"/>
      <c r="AE60" s="23"/>
      <c r="AF60" s="316">
        <v>30000</v>
      </c>
      <c r="AG60" s="91">
        <v>20000</v>
      </c>
      <c r="AH60" s="91">
        <v>24960</v>
      </c>
      <c r="AI60" s="91">
        <v>14040</v>
      </c>
      <c r="AJ60" s="91">
        <v>19040</v>
      </c>
      <c r="AK60" s="91">
        <v>12000</v>
      </c>
      <c r="AL60" s="91">
        <v>14000</v>
      </c>
      <c r="AM60" s="91">
        <v>13000</v>
      </c>
      <c r="AN60" s="91">
        <v>13000</v>
      </c>
      <c r="AO60" s="91">
        <v>0</v>
      </c>
      <c r="AP60" s="91">
        <v>0</v>
      </c>
      <c r="AQ60" s="91">
        <v>0</v>
      </c>
      <c r="AR60" s="92">
        <f t="shared" ref="AR60:AR61" si="117">SUM(AF60:AQ60)</f>
        <v>160040</v>
      </c>
      <c r="AS60" s="23"/>
      <c r="AT60" s="91">
        <v>0</v>
      </c>
      <c r="AU60" s="91">
        <v>0</v>
      </c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>
        <f t="shared" ref="BF60:BF61" si="118">SUM(AT60:BE60)</f>
        <v>0</v>
      </c>
      <c r="BG60" s="27">
        <f>BF60-AR60</f>
        <v>-160040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>
        <f t="shared" ref="BT60:BT61" si="119">SUM(BH60:BS60)</f>
        <v>0</v>
      </c>
      <c r="BU60" s="23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>
        <f t="shared" ref="CH60:CH61" si="120">SUM(BV60:CG60)</f>
        <v>0</v>
      </c>
    </row>
    <row r="61" spans="1:86" ht="15.75" customHeight="1">
      <c r="A61" s="94"/>
      <c r="B61" s="210" t="s">
        <v>637</v>
      </c>
      <c r="C61" s="335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/>
      <c r="Q61" s="90"/>
      <c r="R61" s="313"/>
      <c r="S61" s="91"/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13500</v>
      </c>
      <c r="Z61" s="91">
        <v>9000</v>
      </c>
      <c r="AA61" s="91">
        <v>9000</v>
      </c>
      <c r="AB61" s="91">
        <v>9000</v>
      </c>
      <c r="AC61" s="91">
        <v>0</v>
      </c>
      <c r="AD61" s="315"/>
      <c r="AE61" s="23"/>
      <c r="AF61" s="91">
        <v>13500</v>
      </c>
      <c r="AG61" s="91">
        <v>13500</v>
      </c>
      <c r="AH61" s="91">
        <v>2820</v>
      </c>
      <c r="AI61" s="91">
        <v>0</v>
      </c>
      <c r="AJ61" s="91">
        <v>0</v>
      </c>
      <c r="AK61" s="91">
        <v>0</v>
      </c>
      <c r="AL61" s="91">
        <v>0</v>
      </c>
      <c r="AM61" s="91"/>
      <c r="AN61" s="91"/>
      <c r="AO61" s="91"/>
      <c r="AP61" s="91"/>
      <c r="AQ61" s="91"/>
      <c r="AR61" s="92">
        <f t="shared" si="117"/>
        <v>29820</v>
      </c>
      <c r="AS61" s="23"/>
      <c r="AT61" s="91"/>
      <c r="AU61" s="91"/>
      <c r="AV61" s="91"/>
      <c r="AW61" s="91">
        <v>4000</v>
      </c>
      <c r="AX61" s="91">
        <v>8000</v>
      </c>
      <c r="AY61" s="91">
        <v>5000</v>
      </c>
      <c r="AZ61" s="91">
        <v>10000</v>
      </c>
      <c r="BA61" s="91">
        <v>10000</v>
      </c>
      <c r="BB61" s="91">
        <v>0</v>
      </c>
      <c r="BC61" s="91">
        <v>0</v>
      </c>
      <c r="BD61" s="91">
        <v>0</v>
      </c>
      <c r="BE61" s="91"/>
      <c r="BF61" s="91">
        <f t="shared" si="118"/>
        <v>37000</v>
      </c>
      <c r="BG61" s="27"/>
      <c r="BH61" s="91">
        <v>3000</v>
      </c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>
        <f t="shared" si="119"/>
        <v>3000</v>
      </c>
      <c r="BU61" s="23"/>
      <c r="BV61" s="91"/>
      <c r="BW61" s="91"/>
      <c r="BX61" s="91"/>
      <c r="BY61" s="91"/>
      <c r="BZ61" s="91"/>
      <c r="CA61" s="91"/>
      <c r="CB61" s="91"/>
      <c r="CC61" s="91"/>
      <c r="CD61" s="91"/>
      <c r="CE61" s="91"/>
      <c r="CF61" s="91"/>
      <c r="CG61" s="91"/>
      <c r="CH61" s="91">
        <f t="shared" si="120"/>
        <v>0</v>
      </c>
    </row>
    <row r="62" spans="1:86" ht="15.75" customHeight="1">
      <c r="A62" s="94"/>
      <c r="B62" s="210" t="s">
        <v>283</v>
      </c>
      <c r="C62" s="335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315"/>
      <c r="AE62" s="23"/>
      <c r="AF62" s="91"/>
      <c r="AG62" s="91"/>
      <c r="AH62" s="91"/>
      <c r="AI62" s="91"/>
      <c r="AJ62" s="91"/>
      <c r="AK62" s="91"/>
      <c r="AL62" s="91"/>
      <c r="AM62" s="91"/>
      <c r="AN62" s="91"/>
      <c r="AO62" s="91">
        <f t="shared" ref="AO62:AQ62" si="121">AO57*9.68</f>
        <v>1355200</v>
      </c>
      <c r="AP62" s="91">
        <f t="shared" si="121"/>
        <v>1258400</v>
      </c>
      <c r="AQ62" s="91">
        <f t="shared" si="121"/>
        <v>968000</v>
      </c>
      <c r="AR62" s="92"/>
      <c r="AS62" s="23"/>
      <c r="AT62" s="91">
        <f t="shared" ref="AT62:BF62" si="122">AT57*9.68</f>
        <v>1287440</v>
      </c>
      <c r="AU62" s="91">
        <f t="shared" si="122"/>
        <v>1211742.3999999999</v>
      </c>
      <c r="AV62" s="91">
        <f t="shared" si="122"/>
        <v>1134767.04</v>
      </c>
      <c r="AW62" s="91">
        <f t="shared" si="122"/>
        <v>1234200</v>
      </c>
      <c r="AX62" s="91">
        <f t="shared" si="122"/>
        <v>1355200</v>
      </c>
      <c r="AY62" s="91">
        <f t="shared" si="122"/>
        <v>1532760.2399903198</v>
      </c>
      <c r="AZ62" s="91">
        <f t="shared" si="122"/>
        <v>1475319.1199999999</v>
      </c>
      <c r="BA62" s="91">
        <f t="shared" si="122"/>
        <v>1679673.5999999999</v>
      </c>
      <c r="BB62" s="91">
        <f t="shared" si="122"/>
        <v>1597200</v>
      </c>
      <c r="BC62" s="91">
        <f t="shared" si="122"/>
        <v>1524600</v>
      </c>
      <c r="BD62" s="91">
        <f t="shared" si="122"/>
        <v>1252892.08</v>
      </c>
      <c r="BE62" s="91">
        <f t="shared" si="122"/>
        <v>597256</v>
      </c>
      <c r="BF62" s="91">
        <f t="shared" si="122"/>
        <v>15883050.47999032</v>
      </c>
      <c r="BG62" s="27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23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1"/>
      <c r="CG62" s="91"/>
      <c r="CH62" s="91"/>
    </row>
    <row r="63" spans="1:86">
      <c r="A63" s="110" t="s">
        <v>99</v>
      </c>
      <c r="B63" s="110" t="s">
        <v>100</v>
      </c>
      <c r="C63" s="147"/>
      <c r="D63" s="111">
        <v>95972</v>
      </c>
      <c r="E63" s="111">
        <v>130805</v>
      </c>
      <c r="F63" s="111">
        <v>121914</v>
      </c>
      <c r="G63" s="111">
        <v>165455</v>
      </c>
      <c r="H63" s="111">
        <v>192013</v>
      </c>
      <c r="I63" s="111">
        <v>167281</v>
      </c>
      <c r="J63" s="111">
        <v>181409</v>
      </c>
      <c r="K63" s="111">
        <v>163138</v>
      </c>
      <c r="L63" s="111">
        <v>169051</v>
      </c>
      <c r="M63" s="111">
        <v>183254</v>
      </c>
      <c r="N63" s="111"/>
      <c r="O63" s="111"/>
      <c r="P63" s="343">
        <f>SUM(D63:O63)</f>
        <v>1570292</v>
      </c>
      <c r="Q63" s="84"/>
      <c r="R63" s="342">
        <v>149582</v>
      </c>
      <c r="S63" s="112">
        <v>152735</v>
      </c>
      <c r="T63" s="112">
        <v>107681</v>
      </c>
      <c r="U63" s="112">
        <v>2974</v>
      </c>
      <c r="V63" s="112">
        <v>32639</v>
      </c>
      <c r="W63" s="112">
        <v>153121</v>
      </c>
      <c r="X63" s="112">
        <v>198635</v>
      </c>
      <c r="Y63" s="112">
        <v>160489</v>
      </c>
      <c r="Z63" s="112">
        <v>160893</v>
      </c>
      <c r="AA63" s="112">
        <v>180999</v>
      </c>
      <c r="AB63" s="112">
        <v>167265</v>
      </c>
      <c r="AC63" s="112">
        <v>135424</v>
      </c>
      <c r="AD63" s="344">
        <f>SUM(R63:AC63)</f>
        <v>1602437</v>
      </c>
      <c r="AE63" s="113"/>
      <c r="AF63" s="345">
        <v>145616</v>
      </c>
      <c r="AG63" s="112">
        <v>168450</v>
      </c>
      <c r="AH63" s="112">
        <v>153291</v>
      </c>
      <c r="AI63" s="112">
        <v>149378</v>
      </c>
      <c r="AJ63" s="112">
        <v>196360</v>
      </c>
      <c r="AK63" s="112">
        <v>170558</v>
      </c>
      <c r="AL63" s="112">
        <v>171758</v>
      </c>
      <c r="AM63" s="112">
        <f t="shared" ref="AM63:AQ63" si="123">SUM(AM64:AM65)</f>
        <v>168974</v>
      </c>
      <c r="AN63" s="112">
        <f t="shared" si="123"/>
        <v>144792</v>
      </c>
      <c r="AO63" s="112">
        <f t="shared" si="123"/>
        <v>141375</v>
      </c>
      <c r="AP63" s="112">
        <f t="shared" si="123"/>
        <v>143221</v>
      </c>
      <c r="AQ63" s="112">
        <f t="shared" si="123"/>
        <v>85543</v>
      </c>
      <c r="AR63" s="112">
        <f t="shared" ref="AR63:AR67" si="124">SUM(AF63:AQ63)</f>
        <v>1839316</v>
      </c>
      <c r="AS63" s="23"/>
      <c r="AT63" s="112">
        <f t="shared" ref="AT63:BE63" si="125">SUM(AT64:AT65)</f>
        <v>120211</v>
      </c>
      <c r="AU63" s="112">
        <f t="shared" si="125"/>
        <v>120216</v>
      </c>
      <c r="AV63" s="112">
        <f t="shared" si="125"/>
        <v>101053</v>
      </c>
      <c r="AW63" s="112">
        <f t="shared" si="125"/>
        <v>137388</v>
      </c>
      <c r="AX63" s="112">
        <f t="shared" si="125"/>
        <v>137400</v>
      </c>
      <c r="AY63" s="112">
        <f t="shared" si="125"/>
        <v>135412</v>
      </c>
      <c r="AZ63" s="112">
        <f t="shared" si="125"/>
        <v>157032</v>
      </c>
      <c r="BA63" s="112">
        <f t="shared" si="125"/>
        <v>173287</v>
      </c>
      <c r="BB63" s="114">
        <f t="shared" si="125"/>
        <v>166815</v>
      </c>
      <c r="BC63" s="114">
        <f t="shared" si="125"/>
        <v>153816</v>
      </c>
      <c r="BD63" s="114">
        <f t="shared" si="125"/>
        <v>138051</v>
      </c>
      <c r="BE63" s="114">
        <f t="shared" si="125"/>
        <v>55950</v>
      </c>
      <c r="BF63" s="114">
        <f t="shared" ref="BF63:BF67" si="126">SUM(AT63:BE63)</f>
        <v>1596631</v>
      </c>
      <c r="BG63" s="93">
        <f>BF63/AR63-1</f>
        <v>-0.1319430701412917</v>
      </c>
      <c r="BH63" s="112">
        <f t="shared" ref="BH63:BI63" si="127">SUM(BH64:BH65)</f>
        <v>138562</v>
      </c>
      <c r="BI63" s="112">
        <f t="shared" si="127"/>
        <v>109391</v>
      </c>
      <c r="BJ63" s="112"/>
      <c r="BK63" s="112"/>
      <c r="BL63" s="112"/>
      <c r="BM63" s="112"/>
      <c r="BN63" s="112"/>
      <c r="BO63" s="112"/>
      <c r="BP63" s="112"/>
      <c r="BQ63" s="112"/>
      <c r="BR63" s="112"/>
      <c r="BS63" s="112"/>
      <c r="BT63" s="112"/>
      <c r="BU63" s="113"/>
      <c r="BV63" s="112"/>
      <c r="BW63" s="112"/>
      <c r="BX63" s="112"/>
      <c r="BY63" s="112"/>
      <c r="BZ63" s="112"/>
      <c r="CA63" s="112"/>
      <c r="CB63" s="112"/>
      <c r="CC63" s="112"/>
      <c r="CD63" s="112"/>
      <c r="CE63" s="112"/>
      <c r="CF63" s="112"/>
      <c r="CG63" s="112"/>
      <c r="CH63" s="112"/>
    </row>
    <row r="64" spans="1:86" ht="15.75" customHeight="1">
      <c r="A64" s="115"/>
      <c r="B64" s="115" t="s">
        <v>101</v>
      </c>
      <c r="C64" s="24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66"/>
      <c r="Q64" s="116"/>
      <c r="R64" s="265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67"/>
      <c r="AE64" s="23"/>
      <c r="AF64" s="348">
        <v>126362</v>
      </c>
      <c r="AG64" s="22">
        <v>153970</v>
      </c>
      <c r="AH64" s="22">
        <v>128331</v>
      </c>
      <c r="AI64" s="22">
        <v>135338</v>
      </c>
      <c r="AJ64" s="22">
        <v>177312</v>
      </c>
      <c r="AK64" s="22">
        <v>150818</v>
      </c>
      <c r="AL64" s="22">
        <v>158858</v>
      </c>
      <c r="AM64" s="22">
        <v>153933</v>
      </c>
      <c r="AN64" s="22">
        <v>134244</v>
      </c>
      <c r="AO64" s="22">
        <v>137435</v>
      </c>
      <c r="AP64" s="22">
        <v>143221</v>
      </c>
      <c r="AQ64" s="22">
        <v>85543</v>
      </c>
      <c r="AR64" s="117">
        <f t="shared" si="124"/>
        <v>1685365</v>
      </c>
      <c r="AS64" s="23"/>
      <c r="AT64" s="22">
        <v>120211</v>
      </c>
      <c r="AU64" s="22">
        <v>120216</v>
      </c>
      <c r="AV64" s="22">
        <v>101053</v>
      </c>
      <c r="AW64" s="22">
        <v>137388</v>
      </c>
      <c r="AX64" s="22">
        <v>137400</v>
      </c>
      <c r="AY64" s="22">
        <v>135412</v>
      </c>
      <c r="AZ64" s="22">
        <v>157032</v>
      </c>
      <c r="BA64" s="22">
        <v>172227</v>
      </c>
      <c r="BB64" s="22">
        <f>157995+8500</f>
        <v>166495</v>
      </c>
      <c r="BC64" s="22">
        <v>153816</v>
      </c>
      <c r="BD64" s="22">
        <v>138051</v>
      </c>
      <c r="BE64" s="22">
        <v>55950</v>
      </c>
      <c r="BF64" s="22">
        <f t="shared" si="126"/>
        <v>1595251</v>
      </c>
      <c r="BG64" s="27"/>
      <c r="BH64" s="22">
        <v>138562</v>
      </c>
      <c r="BI64" s="22">
        <v>109391</v>
      </c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3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</row>
    <row r="65" spans="1:77" ht="15.75" customHeight="1">
      <c r="A65" s="115"/>
      <c r="B65" s="115" t="s">
        <v>102</v>
      </c>
      <c r="C65" s="24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66"/>
      <c r="Q65" s="116"/>
      <c r="R65" s="265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67"/>
      <c r="AE65" s="23"/>
      <c r="AF65" s="22">
        <f t="shared" ref="AF65:AL65" si="128">AF63-AF64</f>
        <v>19254</v>
      </c>
      <c r="AG65" s="22">
        <f t="shared" si="128"/>
        <v>14480</v>
      </c>
      <c r="AH65" s="22">
        <f t="shared" si="128"/>
        <v>24960</v>
      </c>
      <c r="AI65" s="22">
        <f t="shared" si="128"/>
        <v>14040</v>
      </c>
      <c r="AJ65" s="22">
        <f t="shared" si="128"/>
        <v>19048</v>
      </c>
      <c r="AK65" s="22">
        <f t="shared" si="128"/>
        <v>19740</v>
      </c>
      <c r="AL65" s="22">
        <f t="shared" si="128"/>
        <v>12900</v>
      </c>
      <c r="AM65" s="22">
        <v>15041</v>
      </c>
      <c r="AN65" s="22">
        <v>10548</v>
      </c>
      <c r="AO65" s="22">
        <v>3940</v>
      </c>
      <c r="AP65" s="22">
        <v>0</v>
      </c>
      <c r="AQ65" s="22">
        <v>0</v>
      </c>
      <c r="AR65" s="117">
        <f t="shared" si="124"/>
        <v>153951</v>
      </c>
      <c r="AS65" s="23"/>
      <c r="AT65" s="22">
        <v>0</v>
      </c>
      <c r="AU65" s="22">
        <v>0</v>
      </c>
      <c r="AV65" s="22">
        <v>0</v>
      </c>
      <c r="AW65" s="22">
        <v>0</v>
      </c>
      <c r="AX65" s="22">
        <v>0</v>
      </c>
      <c r="AY65" s="22">
        <v>0</v>
      </c>
      <c r="AZ65" s="22">
        <v>0</v>
      </c>
      <c r="BA65" s="22">
        <v>1060</v>
      </c>
      <c r="BB65" s="22">
        <v>320</v>
      </c>
      <c r="BC65" s="22">
        <v>0</v>
      </c>
      <c r="BD65" s="22">
        <v>0</v>
      </c>
      <c r="BE65" s="22"/>
      <c r="BF65" s="22">
        <f t="shared" si="126"/>
        <v>1380</v>
      </c>
      <c r="BG65" s="27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3"/>
      <c r="BV65" s="22"/>
      <c r="BW65" s="22"/>
      <c r="BX65" s="22"/>
      <c r="BY65" s="22"/>
    </row>
    <row r="66" spans="1:77" ht="15.75" customHeight="1">
      <c r="A66" s="232" t="s">
        <v>103</v>
      </c>
      <c r="B66" s="238"/>
      <c r="C66" s="387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388"/>
      <c r="Q66" s="235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90"/>
      <c r="AE66" s="23"/>
      <c r="AF66" s="389">
        <f t="shared" ref="AF66:AQ66" si="129">AF63-AF57</f>
        <v>-15784</v>
      </c>
      <c r="AG66" s="389">
        <f t="shared" si="129"/>
        <v>2450</v>
      </c>
      <c r="AH66" s="389">
        <f t="shared" si="129"/>
        <v>2820</v>
      </c>
      <c r="AI66" s="389">
        <f t="shared" si="129"/>
        <v>338</v>
      </c>
      <c r="AJ66" s="389">
        <f t="shared" si="129"/>
        <v>0</v>
      </c>
      <c r="AK66" s="389">
        <f t="shared" si="129"/>
        <v>7258</v>
      </c>
      <c r="AL66" s="389">
        <f t="shared" si="129"/>
        <v>-18242</v>
      </c>
      <c r="AM66" s="389">
        <f t="shared" si="129"/>
        <v>1974</v>
      </c>
      <c r="AN66" s="389">
        <f t="shared" si="129"/>
        <v>-25708</v>
      </c>
      <c r="AO66" s="389">
        <f t="shared" si="129"/>
        <v>1375</v>
      </c>
      <c r="AP66" s="389">
        <f t="shared" si="129"/>
        <v>13221</v>
      </c>
      <c r="AQ66" s="389">
        <f t="shared" si="129"/>
        <v>-14457</v>
      </c>
      <c r="AR66" s="236">
        <f t="shared" si="124"/>
        <v>-44755</v>
      </c>
      <c r="AS66" s="23"/>
      <c r="AT66" s="389">
        <f t="shared" ref="AT66:BE66" si="130">AT63-AT57</f>
        <v>-12789</v>
      </c>
      <c r="AU66" s="389">
        <f t="shared" si="130"/>
        <v>-4964</v>
      </c>
      <c r="AV66" s="389">
        <f t="shared" si="130"/>
        <v>-16175</v>
      </c>
      <c r="AW66" s="389">
        <f t="shared" si="130"/>
        <v>9888</v>
      </c>
      <c r="AX66" s="389">
        <f t="shared" si="130"/>
        <v>-2600</v>
      </c>
      <c r="AY66" s="389">
        <f t="shared" si="130"/>
        <v>-22930.999998999992</v>
      </c>
      <c r="AZ66" s="389">
        <f t="shared" si="130"/>
        <v>4623</v>
      </c>
      <c r="BA66" s="389">
        <f t="shared" si="130"/>
        <v>-233</v>
      </c>
      <c r="BB66" s="389">
        <f t="shared" si="130"/>
        <v>1815</v>
      </c>
      <c r="BC66" s="389">
        <f t="shared" si="130"/>
        <v>-3684</v>
      </c>
      <c r="BD66" s="389">
        <f t="shared" si="130"/>
        <v>8620</v>
      </c>
      <c r="BE66" s="389">
        <f t="shared" si="130"/>
        <v>-5750</v>
      </c>
      <c r="BF66" s="237">
        <f t="shared" si="126"/>
        <v>-44179.999998999992</v>
      </c>
      <c r="BG66" s="27"/>
      <c r="BH66" s="389">
        <f t="shared" ref="BH66:BK66" si="131">BH63-BH57</f>
        <v>-1198</v>
      </c>
      <c r="BI66" s="389">
        <f t="shared" si="131"/>
        <v>-7189</v>
      </c>
      <c r="BJ66" s="389">
        <f t="shared" si="131"/>
        <v>-148340</v>
      </c>
      <c r="BK66" s="389">
        <f t="shared" si="131"/>
        <v>-112360</v>
      </c>
      <c r="BL66" s="237"/>
      <c r="BM66" s="237"/>
      <c r="BN66" s="237"/>
      <c r="BO66" s="237"/>
      <c r="BP66" s="237"/>
      <c r="BQ66" s="237"/>
      <c r="BR66" s="237"/>
      <c r="BS66" s="237"/>
      <c r="BT66" s="237"/>
      <c r="BU66" s="23"/>
      <c r="BV66" s="389">
        <f t="shared" ref="BV66:BY66" si="132">BV63-BV57</f>
        <v>-165163.63636363635</v>
      </c>
      <c r="BW66" s="389">
        <f t="shared" si="132"/>
        <v>-140389.09090909091</v>
      </c>
      <c r="BX66" s="389">
        <f t="shared" si="132"/>
        <v>-189938.18181818182</v>
      </c>
      <c r="BY66" s="389">
        <f t="shared" si="132"/>
        <v>-148647.27272727274</v>
      </c>
    </row>
    <row r="67" spans="1:77" ht="15.75" customHeight="1">
      <c r="A67" s="218" t="s">
        <v>638</v>
      </c>
      <c r="B67" s="393"/>
      <c r="C67" s="240"/>
      <c r="D67" s="220" t="e">
        <f t="shared" ref="D67:F67" si="133">#REF!-#REF!</f>
        <v>#REF!</v>
      </c>
      <c r="E67" s="220" t="e">
        <f t="shared" si="133"/>
        <v>#REF!</v>
      </c>
      <c r="F67" s="220" t="e">
        <f t="shared" si="133"/>
        <v>#REF!</v>
      </c>
      <c r="G67" s="220" t="e">
        <f t="shared" ref="G67:I67" si="134">G57-#REF!</f>
        <v>#REF!</v>
      </c>
      <c r="H67" s="220" t="e">
        <f t="shared" si="134"/>
        <v>#REF!</v>
      </c>
      <c r="I67" s="220" t="e">
        <f t="shared" si="134"/>
        <v>#REF!</v>
      </c>
      <c r="J67" s="220" t="e">
        <f t="shared" ref="J67:K67" si="135">#REF!-#REF!</f>
        <v>#REF!</v>
      </c>
      <c r="K67" s="220" t="e">
        <f t="shared" si="135"/>
        <v>#REF!</v>
      </c>
      <c r="L67" s="220">
        <f t="shared" ref="L67:O67" si="136">L57-L16</f>
        <v>-24911</v>
      </c>
      <c r="M67" s="220">
        <f t="shared" si="136"/>
        <v>-13674</v>
      </c>
      <c r="N67" s="220">
        <f t="shared" si="136"/>
        <v>57632</v>
      </c>
      <c r="O67" s="220">
        <f t="shared" si="136"/>
        <v>74079</v>
      </c>
      <c r="P67" s="384" t="e">
        <f>SUM(D67:O67)</f>
        <v>#REF!</v>
      </c>
      <c r="Q67" s="221"/>
      <c r="R67" s="385">
        <f t="shared" ref="R67:AD67" si="137">R57-R16</f>
        <v>22222.660017050745</v>
      </c>
      <c r="S67" s="222">
        <f t="shared" si="137"/>
        <v>17159.673608830723</v>
      </c>
      <c r="T67" s="222">
        <f t="shared" si="137"/>
        <v>-24753.77192982455</v>
      </c>
      <c r="U67" s="222">
        <f t="shared" si="137"/>
        <v>-17814.899999999998</v>
      </c>
      <c r="V67" s="222">
        <f t="shared" si="137"/>
        <v>1715</v>
      </c>
      <c r="W67" s="222">
        <f t="shared" si="137"/>
        <v>120430.6180497602</v>
      </c>
      <c r="X67" s="222">
        <f t="shared" si="137"/>
        <v>43436.666666667006</v>
      </c>
      <c r="Y67" s="222">
        <f t="shared" si="137"/>
        <v>-29747.083333333314</v>
      </c>
      <c r="Z67" s="222">
        <f t="shared" si="137"/>
        <v>-80887.5</v>
      </c>
      <c r="AA67" s="222">
        <f t="shared" si="137"/>
        <v>10200</v>
      </c>
      <c r="AB67" s="222">
        <f t="shared" si="137"/>
        <v>137500</v>
      </c>
      <c r="AC67" s="222">
        <f t="shared" si="137"/>
        <v>134100</v>
      </c>
      <c r="AD67" s="394">
        <f t="shared" si="137"/>
        <v>333561.36307915067</v>
      </c>
      <c r="AE67" s="113"/>
      <c r="AF67" s="392">
        <f t="shared" ref="AF67:AQ67" si="138">AF57-AF16</f>
        <v>32754</v>
      </c>
      <c r="AG67" s="222">
        <f t="shared" si="138"/>
        <v>-11977</v>
      </c>
      <c r="AH67" s="222">
        <f t="shared" si="138"/>
        <v>76847</v>
      </c>
      <c r="AI67" s="222">
        <f t="shared" si="138"/>
        <v>59682</v>
      </c>
      <c r="AJ67" s="222">
        <f t="shared" si="138"/>
        <v>74226</v>
      </c>
      <c r="AK67" s="222">
        <f t="shared" si="138"/>
        <v>14740</v>
      </c>
      <c r="AL67" s="222">
        <f t="shared" si="138"/>
        <v>38005</v>
      </c>
      <c r="AM67" s="222">
        <f t="shared" si="138"/>
        <v>-71903</v>
      </c>
      <c r="AN67" s="222">
        <f t="shared" si="138"/>
        <v>-90633.333333333343</v>
      </c>
      <c r="AO67" s="222">
        <f t="shared" si="138"/>
        <v>-115900</v>
      </c>
      <c r="AP67" s="222">
        <f t="shared" si="138"/>
        <v>1360</v>
      </c>
      <c r="AQ67" s="222">
        <f t="shared" si="138"/>
        <v>2160</v>
      </c>
      <c r="AR67" s="242">
        <f t="shared" si="124"/>
        <v>9360.666666666657</v>
      </c>
      <c r="AS67" s="23"/>
      <c r="AT67" s="222">
        <f t="shared" ref="AT67:BE67" si="139">AT57-AT16</f>
        <v>-19749.25</v>
      </c>
      <c r="AU67" s="222">
        <f t="shared" si="139"/>
        <v>-43342.103448275855</v>
      </c>
      <c r="AV67" s="222">
        <f t="shared" si="139"/>
        <v>-36893.137931034493</v>
      </c>
      <c r="AW67" s="222">
        <f t="shared" si="139"/>
        <v>-32095.137931034493</v>
      </c>
      <c r="AX67" s="222">
        <f t="shared" si="139"/>
        <v>19900.034482758623</v>
      </c>
      <c r="AY67" s="222">
        <f t="shared" si="139"/>
        <v>19999.222221222211</v>
      </c>
      <c r="AZ67" s="222">
        <f t="shared" si="139"/>
        <v>-14264.777777777781</v>
      </c>
      <c r="BA67" s="222">
        <f t="shared" si="139"/>
        <v>-68922.296296296292</v>
      </c>
      <c r="BB67" s="222">
        <f t="shared" si="139"/>
        <v>-78407.777777777781</v>
      </c>
      <c r="BC67" s="222">
        <f t="shared" si="139"/>
        <v>-95868.290755657828</v>
      </c>
      <c r="BD67" s="222">
        <f t="shared" si="139"/>
        <v>-5124.586881472962</v>
      </c>
      <c r="BE67" s="222">
        <f t="shared" si="139"/>
        <v>-10986.612965093984</v>
      </c>
      <c r="BF67" s="222">
        <f t="shared" si="126"/>
        <v>-365754.71506044065</v>
      </c>
      <c r="BG67" s="27"/>
      <c r="BH67" s="222">
        <f t="shared" ref="BH67:BK67" si="140">BH57-BH16</f>
        <v>-10155</v>
      </c>
      <c r="BI67" s="222">
        <f t="shared" si="140"/>
        <v>-24221.333333333314</v>
      </c>
      <c r="BJ67" s="222">
        <f t="shared" si="140"/>
        <v>-10123.333333333314</v>
      </c>
      <c r="BK67" s="222">
        <f t="shared" si="140"/>
        <v>-33228.333333333314</v>
      </c>
      <c r="BL67" s="222"/>
      <c r="BM67" s="222"/>
      <c r="BN67" s="222"/>
      <c r="BO67" s="222"/>
      <c r="BP67" s="222"/>
      <c r="BQ67" s="222"/>
      <c r="BR67" s="222"/>
      <c r="BS67" s="222"/>
      <c r="BT67" s="222"/>
      <c r="BU67" s="113"/>
      <c r="BV67" s="222">
        <f t="shared" ref="BV67:BY67" si="141">BV57-BV16</f>
        <v>13615.036363636347</v>
      </c>
      <c r="BW67" s="222">
        <f t="shared" si="141"/>
        <v>5169.0409090908943</v>
      </c>
      <c r="BX67" s="222">
        <f t="shared" si="141"/>
        <v>23551.681818181853</v>
      </c>
      <c r="BY67" s="222">
        <f t="shared" si="141"/>
        <v>-4220.4772727272648</v>
      </c>
    </row>
    <row r="68" spans="1:77">
      <c r="AE68" s="118"/>
      <c r="AS68" s="118"/>
      <c r="BG68" s="119"/>
      <c r="BU68" s="118"/>
      <c r="BV68" s="118"/>
      <c r="BW68" s="118"/>
      <c r="BX68" s="118"/>
      <c r="BY68" s="118"/>
    </row>
    <row r="69" spans="1:77" ht="15.75" customHeight="1">
      <c r="Q69" s="11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E69" s="118"/>
      <c r="AO69" s="1"/>
      <c r="AP69" s="1"/>
      <c r="AQ69" s="1"/>
      <c r="AR69" s="1"/>
      <c r="AS69" s="120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21"/>
      <c r="BH69" s="1"/>
      <c r="BI69" s="122">
        <f>BI6+SUM(BJ58:BS58)-SUM(BJ16:BS16)</f>
        <v>262001</v>
      </c>
      <c r="BN69" s="123"/>
      <c r="BO69" s="123"/>
      <c r="BP69" s="123"/>
      <c r="BQ69" s="1"/>
      <c r="BR69" s="1"/>
      <c r="BS69" s="1"/>
      <c r="BT69" s="1"/>
      <c r="BU69" s="120"/>
      <c r="BV69" s="120"/>
      <c r="BW69" s="120"/>
      <c r="BX69" s="120"/>
      <c r="BY69" s="120"/>
    </row>
    <row r="70" spans="1:77" ht="15.75" customHeight="1">
      <c r="C70" s="2"/>
      <c r="Q70" s="11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120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2"/>
      <c r="AS70" s="124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125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124"/>
      <c r="BV70" s="124"/>
      <c r="BW70" s="124"/>
      <c r="BX70" s="124"/>
      <c r="BY70" s="124"/>
    </row>
    <row r="71" spans="1:77" ht="15.75" customHeight="1">
      <c r="C71" s="2"/>
      <c r="Q71" s="11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120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2"/>
      <c r="AS71" s="124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125"/>
      <c r="BH71" s="2"/>
      <c r="BI71" s="243" t="str">
        <f t="shared" ref="BI71:BM71" si="142">BI4</f>
        <v>FEV</v>
      </c>
      <c r="BJ71" s="243" t="str">
        <f t="shared" si="142"/>
        <v>MAR</v>
      </c>
      <c r="BK71" s="243" t="str">
        <f t="shared" si="142"/>
        <v>ABR</v>
      </c>
      <c r="BL71" s="243" t="str">
        <f t="shared" si="142"/>
        <v>MAI</v>
      </c>
      <c r="BM71" s="243" t="str">
        <f t="shared" si="142"/>
        <v>JUN</v>
      </c>
      <c r="BN71" s="2"/>
      <c r="BO71" s="2"/>
      <c r="BP71" s="2"/>
      <c r="BQ71" s="2"/>
      <c r="BR71" s="2"/>
      <c r="BS71" s="2"/>
      <c r="BT71" s="2"/>
      <c r="BU71" s="124"/>
      <c r="BV71" s="124"/>
      <c r="BW71" s="124"/>
      <c r="BX71" s="124"/>
      <c r="BY71" s="124"/>
    </row>
    <row r="72" spans="1:77" ht="15.75" customHeight="1">
      <c r="C72" s="2"/>
      <c r="Q72" s="11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124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124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125"/>
      <c r="BH72" s="2"/>
      <c r="BI72" s="244">
        <f t="shared" ref="BI72:BM72" si="143">SUM(BI57:BJ57)*7*0.5</f>
        <v>927220</v>
      </c>
      <c r="BJ72" s="244">
        <f t="shared" si="143"/>
        <v>912450</v>
      </c>
      <c r="BK72" s="244">
        <f t="shared" si="143"/>
        <v>1029140</v>
      </c>
      <c r="BL72" s="244">
        <f t="shared" si="143"/>
        <v>1270570</v>
      </c>
      <c r="BM72" s="244">
        <f t="shared" si="143"/>
        <v>1239140</v>
      </c>
      <c r="BN72" s="2"/>
      <c r="BO72" s="2"/>
      <c r="BP72" s="2"/>
      <c r="BQ72" s="2"/>
      <c r="BR72" s="2"/>
      <c r="BS72" s="2"/>
      <c r="BT72" s="2"/>
      <c r="BU72" s="124"/>
      <c r="BV72" s="124"/>
      <c r="BW72" s="124"/>
      <c r="BX72" s="124"/>
      <c r="BY72" s="124"/>
    </row>
  </sheetData>
  <mergeCells count="23">
    <mergeCell ref="B31:C31"/>
    <mergeCell ref="A45:B45"/>
    <mergeCell ref="A56:B56"/>
    <mergeCell ref="BH1:BS1"/>
    <mergeCell ref="BH2:BS2"/>
    <mergeCell ref="A14:B14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R1:AD1"/>
    <mergeCell ref="AF1:AR1"/>
    <mergeCell ref="AT1:BF1"/>
    <mergeCell ref="BV1:CG1"/>
    <mergeCell ref="D2:P2"/>
    <mergeCell ref="R2:AD2"/>
    <mergeCell ref="AT2:BF2"/>
    <mergeCell ref="BV2:CG2"/>
  </mergeCells>
  <pageMargins left="0.25" right="0.25" top="0.75" bottom="0.75" header="0" footer="0"/>
  <pageSetup paperSize="9" scale="55" orientation="landscape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CH72"/>
  <sheetViews>
    <sheetView showGridLines="0" workbookViewId="0">
      <pane xSplit="3" ySplit="5" topLeftCell="D6" activePane="bottomRight" state="frozen"/>
      <selection pane="bottomRight" activeCell="D6" sqref="D6"/>
      <selection pane="bottomLeft" activeCell="A6" sqref="A6"/>
      <selection pane="topRight" activeCell="D1" sqref="D1"/>
    </sheetView>
  </sheetViews>
  <sheetFormatPr defaultColWidth="14.42578125" defaultRowHeight="15" customHeight="1" outlineLevelCol="2"/>
  <cols>
    <col min="1" max="1" width="16.85546875" customWidth="1"/>
    <col min="2" max="2" width="28.7109375" customWidth="1"/>
    <col min="3" max="3" width="10.14062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customWidth="1" collapsed="1"/>
    <col min="18" max="18" width="12" customWidth="1"/>
    <col min="19" max="19" width="13.140625" customWidth="1"/>
    <col min="20" max="20" width="13.140625" hidden="1" customWidth="1" outlineLevel="2"/>
    <col min="21" max="21" width="11.7109375" hidden="1" customWidth="1" outlineLevel="2"/>
    <col min="22" max="22" width="13" hidden="1" customWidth="1" outlineLevel="2"/>
    <col min="23" max="23" width="8.85546875" hidden="1" customWidth="1" outlineLevel="2"/>
    <col min="24" max="24" width="13.140625" hidden="1" customWidth="1" outlineLevel="2"/>
    <col min="25" max="25" width="10.7109375" hidden="1" customWidth="1" outlineLevel="2"/>
    <col min="26" max="26" width="11.140625" hidden="1" customWidth="1" outlineLevel="2"/>
    <col min="27" max="27" width="10.7109375" hidden="1" customWidth="1" outlineLevel="2"/>
    <col min="28" max="28" width="10.5703125" hidden="1" customWidth="1" outlineLevel="2"/>
    <col min="29" max="29" width="9.5703125" hidden="1" customWidth="1" outlineLevel="2"/>
    <col min="30" max="30" width="11.5703125" customWidth="1" collapsed="1"/>
    <col min="31" max="31" width="6.42578125" customWidth="1"/>
    <col min="32" max="33" width="12" customWidth="1"/>
    <col min="34" max="34" width="14.7109375" customWidth="1"/>
    <col min="35" max="40" width="15" customWidth="1"/>
    <col min="41" max="42" width="9.140625" customWidth="1"/>
    <col min="43" max="43" width="10.28515625" customWidth="1"/>
    <col min="44" max="44" width="11" customWidth="1"/>
    <col min="45" max="45" width="2.7109375" customWidth="1"/>
    <col min="46" max="46" width="15.140625" customWidth="1"/>
    <col min="47" max="48" width="15" customWidth="1"/>
    <col min="49" max="49" width="13.140625" customWidth="1"/>
    <col min="50" max="50" width="13.42578125" customWidth="1"/>
    <col min="51" max="51" width="12.7109375" customWidth="1"/>
    <col min="52" max="52" width="12.85546875" customWidth="1"/>
    <col min="53" max="53" width="12.42578125" customWidth="1"/>
    <col min="54" max="54" width="12.85546875" customWidth="1"/>
    <col min="55" max="55" width="14" customWidth="1"/>
    <col min="56" max="57" width="11.7109375" customWidth="1"/>
    <col min="58" max="58" width="17.140625" customWidth="1"/>
    <col min="59" max="59" width="9.140625" customWidth="1"/>
    <col min="60" max="60" width="15.140625" customWidth="1"/>
    <col min="61" max="62" width="15" customWidth="1"/>
    <col min="63" max="63" width="13.140625" customWidth="1"/>
    <col min="64" max="64" width="17.42578125" customWidth="1"/>
    <col min="65" max="65" width="19" customWidth="1"/>
    <col min="66" max="86" width="13.140625" customWidth="1"/>
  </cols>
  <sheetData>
    <row r="1" spans="1:86" ht="16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145"/>
      <c r="BV1" s="1081" t="s">
        <v>0</v>
      </c>
      <c r="BW1" s="1113"/>
      <c r="BX1" s="1113"/>
      <c r="BY1" s="1113"/>
      <c r="BZ1" s="1113"/>
      <c r="CA1" s="1113"/>
      <c r="CB1" s="1113"/>
      <c r="CC1" s="1113"/>
      <c r="CD1" s="1113"/>
      <c r="CE1" s="1113"/>
      <c r="CF1" s="1113"/>
      <c r="CG1" s="1114"/>
    </row>
    <row r="2" spans="1:86" ht="15.75">
      <c r="A2" s="4"/>
      <c r="B2" s="4"/>
      <c r="C2" s="2"/>
      <c r="D2" s="1099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249">
        <v>2021</v>
      </c>
      <c r="AG2" s="249"/>
      <c r="AH2" s="249"/>
      <c r="AI2" s="249"/>
      <c r="AJ2" s="249"/>
      <c r="AK2" s="249"/>
      <c r="AL2" s="249"/>
      <c r="AM2" s="249"/>
      <c r="AN2" s="249"/>
      <c r="AO2" s="249"/>
      <c r="AP2" s="249"/>
      <c r="AQ2" s="250"/>
      <c r="AR2" s="251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145"/>
      <c r="BV2" s="1077">
        <v>2024</v>
      </c>
      <c r="BW2" s="1115"/>
      <c r="BX2" s="1115"/>
      <c r="BY2" s="1115"/>
      <c r="BZ2" s="1115"/>
      <c r="CA2" s="1115"/>
      <c r="CB2" s="1115"/>
      <c r="CC2" s="1115"/>
      <c r="CD2" s="1115"/>
      <c r="CE2" s="1115"/>
      <c r="CF2" s="1115"/>
      <c r="CG2" s="1116"/>
    </row>
    <row r="3" spans="1:86">
      <c r="A3" s="3" t="s">
        <v>5</v>
      </c>
      <c r="B3" s="3"/>
      <c r="C3" s="252">
        <f>150/210</f>
        <v>0.7142857142857143</v>
      </c>
      <c r="D3" s="252">
        <v>16</v>
      </c>
      <c r="E3" s="252">
        <v>21</v>
      </c>
      <c r="F3" s="252">
        <v>18</v>
      </c>
      <c r="G3" s="252">
        <v>21</v>
      </c>
      <c r="H3" s="252">
        <v>22</v>
      </c>
      <c r="I3" s="252">
        <v>19</v>
      </c>
      <c r="J3" s="252">
        <v>23</v>
      </c>
      <c r="K3" s="252">
        <v>21</v>
      </c>
      <c r="L3" s="252">
        <v>21</v>
      </c>
      <c r="M3" s="252">
        <v>26</v>
      </c>
      <c r="N3" s="252">
        <v>24</v>
      </c>
      <c r="O3" s="252">
        <v>15</v>
      </c>
      <c r="P3" s="4"/>
      <c r="Q3" s="247"/>
      <c r="R3" s="252">
        <v>22</v>
      </c>
      <c r="S3" s="252">
        <v>20</v>
      </c>
      <c r="T3" s="252">
        <v>14</v>
      </c>
      <c r="U3" s="252">
        <v>1</v>
      </c>
      <c r="V3" s="252">
        <v>12</v>
      </c>
      <c r="W3" s="252">
        <v>22</v>
      </c>
      <c r="X3" s="252">
        <v>23</v>
      </c>
      <c r="Y3" s="252">
        <v>21</v>
      </c>
      <c r="Z3" s="252">
        <v>21</v>
      </c>
      <c r="AA3" s="252">
        <v>21</v>
      </c>
      <c r="AB3" s="252">
        <v>20</v>
      </c>
      <c r="AC3" s="252">
        <v>17</v>
      </c>
      <c r="AD3" s="2"/>
      <c r="AE3" s="253"/>
      <c r="AF3" s="254">
        <v>18</v>
      </c>
      <c r="AG3" s="252">
        <v>20</v>
      </c>
      <c r="AH3" s="248">
        <v>20</v>
      </c>
      <c r="AI3" s="248">
        <v>20</v>
      </c>
      <c r="AJ3" s="252">
        <v>22</v>
      </c>
      <c r="AK3" s="252">
        <v>20</v>
      </c>
      <c r="AL3" s="252">
        <v>22</v>
      </c>
      <c r="AM3" s="252">
        <v>22</v>
      </c>
      <c r="AN3" s="252">
        <v>21</v>
      </c>
      <c r="AO3" s="252">
        <v>20</v>
      </c>
      <c r="AP3" s="252">
        <v>20</v>
      </c>
      <c r="AQ3" s="248">
        <v>12</v>
      </c>
      <c r="AR3" s="2"/>
      <c r="AS3" s="124"/>
      <c r="AT3" s="253">
        <v>19</v>
      </c>
      <c r="AU3" s="248">
        <v>19</v>
      </c>
      <c r="AV3" s="248">
        <v>18</v>
      </c>
      <c r="AW3" s="248">
        <v>19</v>
      </c>
      <c r="AX3" s="248">
        <v>22</v>
      </c>
      <c r="AY3" s="248">
        <v>21</v>
      </c>
      <c r="AZ3" s="248">
        <v>21</v>
      </c>
      <c r="BA3" s="248">
        <v>22</v>
      </c>
      <c r="BB3" s="248">
        <v>22</v>
      </c>
      <c r="BC3" s="248">
        <v>21</v>
      </c>
      <c r="BD3" s="248">
        <v>20</v>
      </c>
      <c r="BE3" s="248">
        <v>10</v>
      </c>
      <c r="BF3" s="2"/>
      <c r="BG3" s="125"/>
      <c r="BH3" s="253">
        <v>20</v>
      </c>
      <c r="BI3" s="248">
        <v>17</v>
      </c>
      <c r="BJ3" s="248">
        <v>23</v>
      </c>
      <c r="BK3" s="248">
        <v>18</v>
      </c>
      <c r="BL3" s="248">
        <v>22</v>
      </c>
      <c r="BM3" s="248">
        <v>21</v>
      </c>
      <c r="BN3" s="248">
        <v>21</v>
      </c>
      <c r="BO3" s="248">
        <v>23</v>
      </c>
      <c r="BP3" s="248">
        <v>20</v>
      </c>
      <c r="BQ3" s="248">
        <v>21</v>
      </c>
      <c r="BR3" s="248">
        <v>20</v>
      </c>
      <c r="BS3" s="248">
        <v>12</v>
      </c>
      <c r="BT3" s="248"/>
      <c r="BU3" s="248"/>
      <c r="BV3" s="253">
        <v>20</v>
      </c>
      <c r="BW3" s="248">
        <v>18</v>
      </c>
      <c r="BX3" s="248">
        <v>19</v>
      </c>
      <c r="BY3" s="248">
        <v>22</v>
      </c>
      <c r="BZ3" s="248">
        <v>20</v>
      </c>
      <c r="CA3" s="248">
        <v>21</v>
      </c>
      <c r="CB3" s="248">
        <v>21</v>
      </c>
      <c r="CC3" s="248">
        <v>23</v>
      </c>
      <c r="CD3" s="248">
        <v>20</v>
      </c>
      <c r="CE3" s="248">
        <v>21</v>
      </c>
      <c r="CF3" s="248">
        <v>20</v>
      </c>
      <c r="CG3" s="248">
        <v>12</v>
      </c>
      <c r="CH3" s="248"/>
    </row>
    <row r="4" spans="1:86">
      <c r="A4" s="8"/>
      <c r="B4" s="8"/>
      <c r="C4" s="146"/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258" t="s">
        <v>26</v>
      </c>
      <c r="Q4" s="10"/>
      <c r="R4" s="257" t="s">
        <v>14</v>
      </c>
      <c r="S4" s="9" t="s">
        <v>15</v>
      </c>
      <c r="T4" s="9" t="s">
        <v>16</v>
      </c>
      <c r="U4" s="9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  <c r="AA4" s="9" t="s">
        <v>23</v>
      </c>
      <c r="AB4" s="9" t="s">
        <v>24</v>
      </c>
      <c r="AC4" s="9" t="s">
        <v>25</v>
      </c>
      <c r="AD4" s="258" t="s">
        <v>26</v>
      </c>
      <c r="AE4" s="11"/>
      <c r="AF4" s="257" t="s">
        <v>14</v>
      </c>
      <c r="AG4" s="9" t="s">
        <v>15</v>
      </c>
      <c r="AH4" s="9" t="s">
        <v>16</v>
      </c>
      <c r="AI4" s="9" t="s">
        <v>17</v>
      </c>
      <c r="AJ4" s="9" t="s">
        <v>18</v>
      </c>
      <c r="AK4" s="9" t="s">
        <v>19</v>
      </c>
      <c r="AL4" s="9" t="s">
        <v>20</v>
      </c>
      <c r="AM4" s="9" t="s">
        <v>21</v>
      </c>
      <c r="AN4" s="9" t="s">
        <v>22</v>
      </c>
      <c r="AO4" s="9" t="s">
        <v>23</v>
      </c>
      <c r="AP4" s="9" t="s">
        <v>24</v>
      </c>
      <c r="AQ4" s="9" t="s">
        <v>25</v>
      </c>
      <c r="AR4" s="9" t="s">
        <v>26</v>
      </c>
      <c r="AS4" s="11"/>
      <c r="AT4" s="9" t="s">
        <v>14</v>
      </c>
      <c r="AU4" s="9" t="s">
        <v>15</v>
      </c>
      <c r="AV4" s="9" t="s">
        <v>16</v>
      </c>
      <c r="AW4" s="9" t="s">
        <v>17</v>
      </c>
      <c r="AX4" s="9" t="s">
        <v>18</v>
      </c>
      <c r="AY4" s="9" t="s">
        <v>19</v>
      </c>
      <c r="AZ4" s="9" t="s">
        <v>20</v>
      </c>
      <c r="BA4" s="9" t="s">
        <v>21</v>
      </c>
      <c r="BB4" s="9" t="s">
        <v>22</v>
      </c>
      <c r="BC4" s="9" t="s">
        <v>23</v>
      </c>
      <c r="BD4" s="9" t="s">
        <v>24</v>
      </c>
      <c r="BE4" s="9" t="s">
        <v>25</v>
      </c>
      <c r="BF4" s="9" t="s">
        <v>26</v>
      </c>
      <c r="BG4" s="10"/>
      <c r="BH4" s="9" t="s">
        <v>14</v>
      </c>
      <c r="BI4" s="9" t="s">
        <v>15</v>
      </c>
      <c r="BJ4" s="9" t="s">
        <v>16</v>
      </c>
      <c r="BK4" s="9" t="s">
        <v>17</v>
      </c>
      <c r="BL4" s="9" t="s">
        <v>18</v>
      </c>
      <c r="BM4" s="9" t="s">
        <v>19</v>
      </c>
      <c r="BN4" s="9" t="s">
        <v>20</v>
      </c>
      <c r="BO4" s="9" t="s">
        <v>21</v>
      </c>
      <c r="BP4" s="9" t="s">
        <v>22</v>
      </c>
      <c r="BQ4" s="9" t="s">
        <v>23</v>
      </c>
      <c r="BR4" s="9" t="s">
        <v>24</v>
      </c>
      <c r="BS4" s="9" t="s">
        <v>25</v>
      </c>
      <c r="BT4" s="9" t="s">
        <v>26</v>
      </c>
      <c r="BU4" s="11"/>
      <c r="BV4" s="9" t="s">
        <v>14</v>
      </c>
      <c r="BW4" s="9" t="s">
        <v>15</v>
      </c>
      <c r="BX4" s="9" t="s">
        <v>16</v>
      </c>
      <c r="BY4" s="9" t="s">
        <v>17</v>
      </c>
      <c r="BZ4" s="9" t="s">
        <v>18</v>
      </c>
      <c r="CA4" s="9" t="s">
        <v>19</v>
      </c>
      <c r="CB4" s="9" t="s">
        <v>20</v>
      </c>
      <c r="CC4" s="9" t="s">
        <v>21</v>
      </c>
      <c r="CD4" s="9" t="s">
        <v>22</v>
      </c>
      <c r="CE4" s="9" t="s">
        <v>23</v>
      </c>
      <c r="CF4" s="9" t="s">
        <v>24</v>
      </c>
      <c r="CG4" s="9" t="s">
        <v>25</v>
      </c>
      <c r="CH4" s="9" t="s">
        <v>26</v>
      </c>
    </row>
    <row r="5" spans="1:86">
      <c r="A5" s="110"/>
      <c r="B5" s="110"/>
      <c r="C5" s="147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343"/>
      <c r="Q5" s="84"/>
      <c r="R5" s="345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344"/>
      <c r="AE5" s="113"/>
      <c r="AF5" s="345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23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27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3"/>
      <c r="BV5" s="112"/>
      <c r="BW5" s="112"/>
      <c r="BX5" s="112"/>
      <c r="BY5" s="112"/>
      <c r="BZ5" s="112"/>
      <c r="CA5" s="112"/>
      <c r="CB5" s="112"/>
      <c r="CC5" s="112"/>
      <c r="CD5" s="112"/>
      <c r="CE5" s="112"/>
      <c r="CF5" s="112"/>
      <c r="CG5" s="112"/>
      <c r="CH5" s="112"/>
    </row>
    <row r="6" spans="1:86">
      <c r="A6" s="148" t="s">
        <v>28</v>
      </c>
      <c r="B6" s="149" t="s">
        <v>263</v>
      </c>
      <c r="C6" s="150"/>
      <c r="D6" s="151">
        <f t="shared" ref="D6:O6" si="0">SUM(D7:D9)</f>
        <v>304786</v>
      </c>
      <c r="E6" s="151">
        <f t="shared" si="0"/>
        <v>311986</v>
      </c>
      <c r="F6" s="151">
        <f t="shared" si="0"/>
        <v>328231</v>
      </c>
      <c r="G6" s="151">
        <f t="shared" si="0"/>
        <v>317873</v>
      </c>
      <c r="H6" s="151">
        <f t="shared" si="0"/>
        <v>347196</v>
      </c>
      <c r="I6" s="151">
        <f t="shared" si="0"/>
        <v>402253</v>
      </c>
      <c r="J6" s="151">
        <f t="shared" si="0"/>
        <v>454488</v>
      </c>
      <c r="K6" s="151">
        <f t="shared" si="0"/>
        <v>447182</v>
      </c>
      <c r="L6" s="151">
        <f t="shared" si="0"/>
        <v>416931</v>
      </c>
      <c r="M6" s="151">
        <f t="shared" si="0"/>
        <v>304402</v>
      </c>
      <c r="N6" s="151">
        <f t="shared" si="0"/>
        <v>0</v>
      </c>
      <c r="O6" s="151">
        <f t="shared" si="0"/>
        <v>188264</v>
      </c>
      <c r="P6" s="350"/>
      <c r="Q6" s="152"/>
      <c r="R6" s="151">
        <f t="shared" ref="R6:AC6" si="1">SUM(R7:R9)</f>
        <v>283359</v>
      </c>
      <c r="S6" s="151">
        <f t="shared" si="1"/>
        <v>342718</v>
      </c>
      <c r="T6" s="151">
        <f t="shared" si="1"/>
        <v>313212</v>
      </c>
      <c r="U6" s="151">
        <f t="shared" si="1"/>
        <v>298093</v>
      </c>
      <c r="V6" s="151">
        <f t="shared" si="1"/>
        <v>206617</v>
      </c>
      <c r="W6" s="151">
        <f t="shared" si="1"/>
        <v>235875</v>
      </c>
      <c r="X6" s="151">
        <f t="shared" si="1"/>
        <v>360135</v>
      </c>
      <c r="Y6" s="151">
        <f t="shared" si="1"/>
        <v>361665</v>
      </c>
      <c r="Z6" s="151">
        <f t="shared" si="1"/>
        <v>353400</v>
      </c>
      <c r="AA6" s="151">
        <f t="shared" si="1"/>
        <v>272097</v>
      </c>
      <c r="AB6" s="151">
        <f t="shared" si="1"/>
        <v>170626</v>
      </c>
      <c r="AC6" s="151">
        <f t="shared" si="1"/>
        <v>197551</v>
      </c>
      <c r="AD6" s="351"/>
      <c r="AE6" s="153"/>
      <c r="AF6" s="151">
        <f t="shared" ref="AF6:AQ6" si="2">SUM(AF7:AF10)</f>
        <v>246973</v>
      </c>
      <c r="AG6" s="151">
        <f t="shared" si="2"/>
        <v>281087</v>
      </c>
      <c r="AH6" s="151">
        <f t="shared" si="2"/>
        <v>386469</v>
      </c>
      <c r="AI6" s="151">
        <f t="shared" si="2"/>
        <v>379017</v>
      </c>
      <c r="AJ6" s="151">
        <f t="shared" si="2"/>
        <v>400777</v>
      </c>
      <c r="AK6" s="151">
        <f t="shared" si="2"/>
        <v>465623</v>
      </c>
      <c r="AL6" s="151">
        <f t="shared" si="2"/>
        <v>472149</v>
      </c>
      <c r="AM6" s="151">
        <f t="shared" si="2"/>
        <v>492339</v>
      </c>
      <c r="AN6" s="151">
        <f t="shared" si="2"/>
        <v>450428</v>
      </c>
      <c r="AO6" s="151">
        <f t="shared" si="2"/>
        <v>391441</v>
      </c>
      <c r="AP6" s="151">
        <f t="shared" si="2"/>
        <v>325482</v>
      </c>
      <c r="AQ6" s="151">
        <f t="shared" si="2"/>
        <v>321014</v>
      </c>
      <c r="AR6" s="151">
        <f t="shared" ref="AR6:AR15" si="3">AQ6</f>
        <v>321014</v>
      </c>
      <c r="AS6" s="154"/>
      <c r="AT6" s="151">
        <f t="shared" ref="AT6:BE6" si="4">SUM(AT7:AT10)</f>
        <v>350303</v>
      </c>
      <c r="AU6" s="151">
        <f t="shared" si="4"/>
        <v>323931</v>
      </c>
      <c r="AV6" s="151">
        <f t="shared" si="4"/>
        <v>307980</v>
      </c>
      <c r="AW6" s="151">
        <f t="shared" si="4"/>
        <v>292777</v>
      </c>
      <c r="AX6" s="155">
        <f t="shared" si="4"/>
        <v>296754</v>
      </c>
      <c r="AY6" s="155">
        <f t="shared" si="4"/>
        <v>344037</v>
      </c>
      <c r="AZ6" s="155">
        <f t="shared" si="4"/>
        <v>367566</v>
      </c>
      <c r="BA6" s="155">
        <f t="shared" si="4"/>
        <v>372442</v>
      </c>
      <c r="BB6" s="155">
        <f t="shared" si="4"/>
        <v>375154</v>
      </c>
      <c r="BC6" s="155">
        <f t="shared" si="4"/>
        <v>340466</v>
      </c>
      <c r="BD6" s="155">
        <f t="shared" si="4"/>
        <v>314581</v>
      </c>
      <c r="BE6" s="151">
        <f t="shared" si="4"/>
        <v>253219</v>
      </c>
      <c r="BF6" s="151">
        <f t="shared" ref="BF6:BF11" si="5">BE6</f>
        <v>253219</v>
      </c>
      <c r="BG6" s="156"/>
      <c r="BH6" s="151">
        <f t="shared" ref="BH6:BI6" si="6">SUM(BH7:BH10)</f>
        <v>307512</v>
      </c>
      <c r="BI6" s="151">
        <f t="shared" si="6"/>
        <v>302058</v>
      </c>
      <c r="BJ6" s="151">
        <f t="shared" ref="BJ6:BS6" si="7">BI6+BJ57-BJ16</f>
        <v>291934.66666666669</v>
      </c>
      <c r="BK6" s="151">
        <f t="shared" si="7"/>
        <v>245891.51851851854</v>
      </c>
      <c r="BL6" s="151">
        <f t="shared" si="7"/>
        <v>290931.1481481482</v>
      </c>
      <c r="BM6" s="151">
        <f t="shared" si="7"/>
        <v>342347.29629629635</v>
      </c>
      <c r="BN6" s="157">
        <f t="shared" si="7"/>
        <v>379384.18518518528</v>
      </c>
      <c r="BO6" s="157">
        <f t="shared" si="7"/>
        <v>378205.03703703714</v>
      </c>
      <c r="BP6" s="151">
        <f t="shared" si="7"/>
        <v>334420.22222222225</v>
      </c>
      <c r="BQ6" s="151">
        <f t="shared" si="7"/>
        <v>282152.1481481482</v>
      </c>
      <c r="BR6" s="151">
        <f t="shared" si="7"/>
        <v>286124.18518518523</v>
      </c>
      <c r="BS6" s="151">
        <f t="shared" si="7"/>
        <v>251248.03703703708</v>
      </c>
      <c r="BT6" s="151">
        <f t="shared" ref="BT6:BT14" si="8">BS6</f>
        <v>251248.03703703708</v>
      </c>
      <c r="BU6" s="153"/>
      <c r="BV6" s="151">
        <f>BT6</f>
        <v>251248.03703703708</v>
      </c>
      <c r="BW6" s="151">
        <f t="shared" ref="BW6:CG6" si="9">BV6+BW57-BW16</f>
        <v>231842.68703703707</v>
      </c>
      <c r="BX6" s="151">
        <f t="shared" si="9"/>
        <v>191573.68703703713</v>
      </c>
      <c r="BY6" s="151">
        <f t="shared" si="9"/>
        <v>171061.13148148154</v>
      </c>
      <c r="BZ6" s="151">
        <f t="shared" si="9"/>
        <v>161457.24259259267</v>
      </c>
      <c r="CA6" s="157">
        <f t="shared" si="9"/>
        <v>159799.79814814823</v>
      </c>
      <c r="CB6" s="157">
        <f t="shared" si="9"/>
        <v>107760.13148148154</v>
      </c>
      <c r="CC6" s="157">
        <f t="shared" si="9"/>
        <v>41080.575925925979</v>
      </c>
      <c r="CD6" s="151">
        <f t="shared" si="9"/>
        <v>-58274.979629629583</v>
      </c>
      <c r="CE6" s="151">
        <f t="shared" si="9"/>
        <v>-137127.75740740736</v>
      </c>
      <c r="CF6" s="151">
        <f t="shared" si="9"/>
        <v>-137303.86851851849</v>
      </c>
      <c r="CG6" s="151">
        <f t="shared" si="9"/>
        <v>-151379.42407407405</v>
      </c>
      <c r="CH6" s="151">
        <f t="shared" ref="CH6:CH14" si="10">CG6</f>
        <v>-151379.42407407405</v>
      </c>
    </row>
    <row r="7" spans="1:86">
      <c r="A7" s="19">
        <v>1</v>
      </c>
      <c r="B7" s="158" t="s">
        <v>264</v>
      </c>
      <c r="C7" s="264"/>
      <c r="D7" s="20">
        <v>197000</v>
      </c>
      <c r="E7" s="20">
        <v>223027</v>
      </c>
      <c r="F7" s="20">
        <v>230513</v>
      </c>
      <c r="G7" s="20">
        <v>231174</v>
      </c>
      <c r="H7" s="20">
        <v>255028</v>
      </c>
      <c r="I7" s="20">
        <f>316386+3241</f>
        <v>319627</v>
      </c>
      <c r="J7" s="20">
        <v>377712</v>
      </c>
      <c r="K7" s="20">
        <v>382411</v>
      </c>
      <c r="L7" s="20">
        <v>394107</v>
      </c>
      <c r="M7" s="20">
        <v>267954</v>
      </c>
      <c r="N7" s="20"/>
      <c r="O7" s="20">
        <v>143875</v>
      </c>
      <c r="P7" s="266"/>
      <c r="Q7" s="21"/>
      <c r="R7" s="265">
        <v>208084</v>
      </c>
      <c r="S7" s="22">
        <v>268431</v>
      </c>
      <c r="T7" s="22">
        <v>250616</v>
      </c>
      <c r="U7" s="22">
        <v>237088</v>
      </c>
      <c r="V7" s="22">
        <v>147777</v>
      </c>
      <c r="W7" s="22">
        <v>215818</v>
      </c>
      <c r="X7" s="22">
        <v>273510</v>
      </c>
      <c r="Y7" s="22">
        <v>299059</v>
      </c>
      <c r="Z7" s="22">
        <v>304980</v>
      </c>
      <c r="AA7" s="22">
        <v>231197</v>
      </c>
      <c r="AB7" s="22">
        <v>143086</v>
      </c>
      <c r="AC7" s="22">
        <v>172491</v>
      </c>
      <c r="AD7" s="267"/>
      <c r="AE7" s="23"/>
      <c r="AF7" s="22">
        <v>198695</v>
      </c>
      <c r="AG7" s="22">
        <v>234210</v>
      </c>
      <c r="AH7" s="22">
        <v>327560</v>
      </c>
      <c r="AI7" s="22">
        <v>332523</v>
      </c>
      <c r="AJ7" s="24">
        <v>356667</v>
      </c>
      <c r="AK7" s="22">
        <v>384165</v>
      </c>
      <c r="AL7" s="22">
        <v>317268</v>
      </c>
      <c r="AM7" s="22">
        <v>370708</v>
      </c>
      <c r="AN7" s="22">
        <v>354503</v>
      </c>
      <c r="AO7" s="22">
        <v>314605</v>
      </c>
      <c r="AP7" s="25">
        <v>90490</v>
      </c>
      <c r="AQ7" s="22">
        <v>58348</v>
      </c>
      <c r="AR7" s="22">
        <f t="shared" si="3"/>
        <v>58348</v>
      </c>
      <c r="AS7" s="23"/>
      <c r="AT7" s="22">
        <v>158701</v>
      </c>
      <c r="AU7" s="22">
        <v>115369</v>
      </c>
      <c r="AV7" s="22">
        <v>142379</v>
      </c>
      <c r="AW7" s="22">
        <v>118765</v>
      </c>
      <c r="AX7" s="22">
        <v>113246</v>
      </c>
      <c r="AY7" s="22">
        <v>106776</v>
      </c>
      <c r="AZ7" s="22">
        <v>175234</v>
      </c>
      <c r="BA7" s="22">
        <v>151553</v>
      </c>
      <c r="BB7" s="352">
        <v>167082</v>
      </c>
      <c r="BC7" s="22">
        <v>150959</v>
      </c>
      <c r="BD7" s="22">
        <v>119787</v>
      </c>
      <c r="BE7" s="22">
        <v>65426</v>
      </c>
      <c r="BF7" s="22">
        <f t="shared" si="5"/>
        <v>65426</v>
      </c>
      <c r="BG7" s="27"/>
      <c r="BH7" s="22">
        <v>166918</v>
      </c>
      <c r="BI7" s="22">
        <v>167160</v>
      </c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>
        <f t="shared" si="8"/>
        <v>0</v>
      </c>
      <c r="BU7" s="23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>
        <f t="shared" si="10"/>
        <v>0</v>
      </c>
    </row>
    <row r="8" spans="1:86">
      <c r="A8" s="19">
        <v>2</v>
      </c>
      <c r="B8" s="158" t="s">
        <v>265</v>
      </c>
      <c r="C8" s="264"/>
      <c r="D8" s="20">
        <v>73670</v>
      </c>
      <c r="E8" s="20">
        <v>59682</v>
      </c>
      <c r="F8" s="20">
        <v>54710</v>
      </c>
      <c r="G8" s="20">
        <v>56175</v>
      </c>
      <c r="H8" s="20">
        <v>58933</v>
      </c>
      <c r="I8" s="20">
        <v>42784</v>
      </c>
      <c r="J8" s="20">
        <v>35755</v>
      </c>
      <c r="K8" s="20">
        <v>33547</v>
      </c>
      <c r="L8" s="20">
        <v>22824</v>
      </c>
      <c r="M8" s="20">
        <v>26162</v>
      </c>
      <c r="N8" s="20"/>
      <c r="O8" s="20">
        <v>44389</v>
      </c>
      <c r="P8" s="266"/>
      <c r="Q8" s="21"/>
      <c r="R8" s="265">
        <v>39759</v>
      </c>
      <c r="S8" s="22">
        <v>38325</v>
      </c>
      <c r="T8" s="22">
        <v>26634</v>
      </c>
      <c r="U8" s="22">
        <f>14430+2754+7859</f>
        <v>25043</v>
      </c>
      <c r="V8" s="22">
        <v>23840</v>
      </c>
      <c r="W8" s="22">
        <v>20057</v>
      </c>
      <c r="X8" s="22">
        <v>80502</v>
      </c>
      <c r="Y8" s="22">
        <v>56483</v>
      </c>
      <c r="Z8" s="22">
        <v>44233</v>
      </c>
      <c r="AA8" s="22">
        <v>38155</v>
      </c>
      <c r="AB8" s="22">
        <v>27540</v>
      </c>
      <c r="AC8" s="22">
        <v>25060</v>
      </c>
      <c r="AD8" s="267"/>
      <c r="AE8" s="23"/>
      <c r="AF8" s="22">
        <v>21326</v>
      </c>
      <c r="AG8" s="22">
        <v>17804</v>
      </c>
      <c r="AH8" s="22">
        <v>27157</v>
      </c>
      <c r="AI8" s="22">
        <v>19677</v>
      </c>
      <c r="AJ8" s="22">
        <v>18817</v>
      </c>
      <c r="AK8" s="22">
        <v>25034</v>
      </c>
      <c r="AL8" s="22">
        <v>28090</v>
      </c>
      <c r="AM8" s="22">
        <v>25660</v>
      </c>
      <c r="AN8" s="22">
        <v>33752</v>
      </c>
      <c r="AO8" s="22">
        <v>24699</v>
      </c>
      <c r="AP8" s="25">
        <v>19340</v>
      </c>
      <c r="AQ8" s="22">
        <v>29842</v>
      </c>
      <c r="AR8" s="22">
        <f t="shared" si="3"/>
        <v>29842</v>
      </c>
      <c r="AS8" s="23"/>
      <c r="AT8" s="22">
        <v>46493</v>
      </c>
      <c r="AU8" s="22">
        <v>37125</v>
      </c>
      <c r="AV8" s="22">
        <v>38574</v>
      </c>
      <c r="AW8" s="22">
        <v>43626</v>
      </c>
      <c r="AX8" s="22">
        <v>39641</v>
      </c>
      <c r="AY8" s="22">
        <v>55553</v>
      </c>
      <c r="AZ8" s="22">
        <v>48023</v>
      </c>
      <c r="BA8" s="22">
        <v>55043</v>
      </c>
      <c r="BB8" s="352">
        <v>50383</v>
      </c>
      <c r="BC8" s="22">
        <v>54355</v>
      </c>
      <c r="BD8" s="22">
        <v>82473</v>
      </c>
      <c r="BE8" s="22">
        <v>65398</v>
      </c>
      <c r="BF8" s="22">
        <f t="shared" si="5"/>
        <v>65398</v>
      </c>
      <c r="BG8" s="27"/>
      <c r="BH8" s="22">
        <v>68747</v>
      </c>
      <c r="BI8" s="22">
        <v>62843</v>
      </c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>
        <f t="shared" si="8"/>
        <v>0</v>
      </c>
      <c r="BU8" s="23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>
        <f t="shared" si="10"/>
        <v>0</v>
      </c>
    </row>
    <row r="9" spans="1:86">
      <c r="A9" s="19">
        <v>3</v>
      </c>
      <c r="B9" s="158" t="s">
        <v>636</v>
      </c>
      <c r="C9" s="264"/>
      <c r="D9" s="269">
        <v>34116</v>
      </c>
      <c r="E9" s="269">
        <v>29277</v>
      </c>
      <c r="F9" s="269">
        <v>43008</v>
      </c>
      <c r="G9" s="269">
        <v>30524</v>
      </c>
      <c r="H9" s="269">
        <v>33235</v>
      </c>
      <c r="I9" s="269">
        <v>39842</v>
      </c>
      <c r="J9" s="269">
        <v>41021</v>
      </c>
      <c r="K9" s="269">
        <v>31224</v>
      </c>
      <c r="L9" s="269"/>
      <c r="M9" s="269">
        <v>10286</v>
      </c>
      <c r="N9" s="269"/>
      <c r="O9" s="269"/>
      <c r="P9" s="266"/>
      <c r="Q9" s="21"/>
      <c r="R9" s="268">
        <v>35516</v>
      </c>
      <c r="S9" s="270">
        <v>35962</v>
      </c>
      <c r="T9" s="270">
        <v>35962</v>
      </c>
      <c r="U9" s="270">
        <v>35962</v>
      </c>
      <c r="V9" s="270">
        <v>35000</v>
      </c>
      <c r="W9" s="270"/>
      <c r="X9" s="270">
        <v>6123</v>
      </c>
      <c r="Y9" s="270">
        <v>6123</v>
      </c>
      <c r="Z9" s="270">
        <v>4187</v>
      </c>
      <c r="AA9" s="270">
        <v>2745</v>
      </c>
      <c r="AB9" s="270"/>
      <c r="AC9" s="270"/>
      <c r="AD9" s="267"/>
      <c r="AE9" s="23"/>
      <c r="AF9" s="270">
        <v>8366</v>
      </c>
      <c r="AG9" s="270">
        <v>11534</v>
      </c>
      <c r="AH9" s="270">
        <v>11507</v>
      </c>
      <c r="AI9" s="270">
        <v>9148</v>
      </c>
      <c r="AJ9" s="22">
        <v>8524</v>
      </c>
      <c r="AK9" s="270">
        <v>25290</v>
      </c>
      <c r="AL9" s="270">
        <v>91080</v>
      </c>
      <c r="AM9" s="270">
        <v>66830</v>
      </c>
      <c r="AN9" s="270">
        <v>36866</v>
      </c>
      <c r="AO9" s="270">
        <v>16173</v>
      </c>
      <c r="AP9" s="271">
        <v>178274</v>
      </c>
      <c r="AQ9" s="270">
        <v>210665</v>
      </c>
      <c r="AR9" s="22">
        <f t="shared" si="3"/>
        <v>210665</v>
      </c>
      <c r="AS9" s="23"/>
      <c r="AT9" s="270">
        <v>121075</v>
      </c>
      <c r="AU9" s="270">
        <v>149376</v>
      </c>
      <c r="AV9" s="270">
        <v>104538</v>
      </c>
      <c r="AW9" s="270">
        <v>105262</v>
      </c>
      <c r="AX9" s="270">
        <v>121073</v>
      </c>
      <c r="AY9" s="270">
        <v>163931</v>
      </c>
      <c r="AZ9" s="270">
        <v>109964</v>
      </c>
      <c r="BA9" s="270">
        <v>148266</v>
      </c>
      <c r="BB9" s="352">
        <v>130697</v>
      </c>
      <c r="BC9" s="270">
        <v>113779</v>
      </c>
      <c r="BD9" s="270">
        <v>91119</v>
      </c>
      <c r="BE9" s="270">
        <v>103286</v>
      </c>
      <c r="BF9" s="22">
        <f t="shared" si="5"/>
        <v>103286</v>
      </c>
      <c r="BG9" s="27"/>
      <c r="BH9" s="270">
        <v>49631</v>
      </c>
      <c r="BI9" s="270">
        <v>52953</v>
      </c>
      <c r="BJ9" s="270"/>
      <c r="BK9" s="270"/>
      <c r="BL9" s="22"/>
      <c r="BM9" s="22"/>
      <c r="BN9" s="22"/>
      <c r="BO9" s="22"/>
      <c r="BP9" s="22"/>
      <c r="BQ9" s="22"/>
      <c r="BR9" s="22"/>
      <c r="BS9" s="22"/>
      <c r="BT9" s="22">
        <f t="shared" si="8"/>
        <v>0</v>
      </c>
      <c r="BU9" s="23"/>
      <c r="BV9" s="270"/>
      <c r="BW9" s="270"/>
      <c r="BX9" s="270"/>
      <c r="BY9" s="270"/>
      <c r="BZ9" s="22"/>
      <c r="CA9" s="22"/>
      <c r="CB9" s="22"/>
      <c r="CC9" s="22"/>
      <c r="CD9" s="22"/>
      <c r="CE9" s="22"/>
      <c r="CF9" s="22"/>
      <c r="CG9" s="22"/>
      <c r="CH9" s="22">
        <f t="shared" si="10"/>
        <v>0</v>
      </c>
    </row>
    <row r="10" spans="1:86">
      <c r="A10" s="19">
        <v>1</v>
      </c>
      <c r="B10" s="158" t="s">
        <v>267</v>
      </c>
      <c r="C10" s="159"/>
      <c r="D10" s="20">
        <v>6409</v>
      </c>
      <c r="E10" s="20">
        <v>6860</v>
      </c>
      <c r="F10" s="20">
        <v>4970</v>
      </c>
      <c r="G10" s="20">
        <v>31203</v>
      </c>
      <c r="H10" s="20">
        <v>31499</v>
      </c>
      <c r="I10" s="20">
        <v>25903</v>
      </c>
      <c r="J10" s="20">
        <v>18606</v>
      </c>
      <c r="K10" s="20">
        <v>16014</v>
      </c>
      <c r="L10" s="20">
        <v>13416</v>
      </c>
      <c r="M10" s="20">
        <v>40079</v>
      </c>
      <c r="N10" s="20"/>
      <c r="O10" s="20">
        <v>0</v>
      </c>
      <c r="P10" s="266"/>
      <c r="Q10" s="21"/>
      <c r="R10" s="265">
        <v>3376</v>
      </c>
      <c r="S10" s="22">
        <v>11736</v>
      </c>
      <c r="T10" s="22">
        <v>22454</v>
      </c>
      <c r="U10" s="22">
        <v>21384</v>
      </c>
      <c r="V10" s="22">
        <v>66870</v>
      </c>
      <c r="W10" s="22">
        <v>73769</v>
      </c>
      <c r="X10" s="22">
        <v>13944</v>
      </c>
      <c r="Y10" s="22">
        <v>32750</v>
      </c>
      <c r="Z10" s="22">
        <v>18536</v>
      </c>
      <c r="AA10" s="22">
        <v>40211</v>
      </c>
      <c r="AB10" s="22">
        <v>44457</v>
      </c>
      <c r="AC10" s="22">
        <v>24504</v>
      </c>
      <c r="AD10" s="267"/>
      <c r="AE10" s="23"/>
      <c r="AF10" s="22">
        <v>18586</v>
      </c>
      <c r="AG10" s="22">
        <v>17539</v>
      </c>
      <c r="AH10" s="22">
        <v>20245</v>
      </c>
      <c r="AI10" s="22">
        <v>17669</v>
      </c>
      <c r="AJ10" s="22">
        <v>16769</v>
      </c>
      <c r="AK10" s="22">
        <v>31134</v>
      </c>
      <c r="AL10" s="22">
        <v>35711</v>
      </c>
      <c r="AM10" s="22">
        <v>29141</v>
      </c>
      <c r="AN10" s="22">
        <v>25307</v>
      </c>
      <c r="AO10" s="22">
        <v>35964</v>
      </c>
      <c r="AP10" s="25">
        <v>37378</v>
      </c>
      <c r="AQ10" s="22">
        <v>22159</v>
      </c>
      <c r="AR10" s="22">
        <f t="shared" si="3"/>
        <v>22159</v>
      </c>
      <c r="AS10" s="23"/>
      <c r="AT10" s="22">
        <v>24034</v>
      </c>
      <c r="AU10" s="270">
        <v>22061</v>
      </c>
      <c r="AV10" s="22">
        <v>22489</v>
      </c>
      <c r="AW10" s="22">
        <v>25124</v>
      </c>
      <c r="AX10" s="22">
        <v>22794</v>
      </c>
      <c r="AY10" s="22">
        <v>17777</v>
      </c>
      <c r="AZ10" s="22">
        <v>34345</v>
      </c>
      <c r="BA10" s="22">
        <v>17580</v>
      </c>
      <c r="BB10" s="352">
        <v>26992</v>
      </c>
      <c r="BC10" s="22">
        <v>21373</v>
      </c>
      <c r="BD10" s="22">
        <v>21202</v>
      </c>
      <c r="BE10" s="22">
        <v>19109</v>
      </c>
      <c r="BF10" s="22">
        <f t="shared" si="5"/>
        <v>19109</v>
      </c>
      <c r="BG10" s="27"/>
      <c r="BH10" s="22">
        <v>22216</v>
      </c>
      <c r="BI10" s="270">
        <v>19102</v>
      </c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>
        <f t="shared" si="8"/>
        <v>0</v>
      </c>
      <c r="BU10" s="23"/>
      <c r="BV10" s="22"/>
      <c r="BW10" s="270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>
        <f t="shared" si="10"/>
        <v>0</v>
      </c>
    </row>
    <row r="11" spans="1:86">
      <c r="A11" s="160"/>
      <c r="B11" s="160" t="s">
        <v>41</v>
      </c>
      <c r="C11" s="161"/>
      <c r="D11" s="162">
        <f t="shared" ref="D11:O11" si="11">D6-D9</f>
        <v>270670</v>
      </c>
      <c r="E11" s="162">
        <f t="shared" si="11"/>
        <v>282709</v>
      </c>
      <c r="F11" s="162">
        <f t="shared" si="11"/>
        <v>285223</v>
      </c>
      <c r="G11" s="162">
        <f t="shared" si="11"/>
        <v>287349</v>
      </c>
      <c r="H11" s="162">
        <f t="shared" si="11"/>
        <v>313961</v>
      </c>
      <c r="I11" s="162">
        <f t="shared" si="11"/>
        <v>362411</v>
      </c>
      <c r="J11" s="162">
        <f t="shared" si="11"/>
        <v>413467</v>
      </c>
      <c r="K11" s="162">
        <f t="shared" si="11"/>
        <v>415958</v>
      </c>
      <c r="L11" s="162">
        <f t="shared" si="11"/>
        <v>416931</v>
      </c>
      <c r="M11" s="162">
        <f t="shared" si="11"/>
        <v>294116</v>
      </c>
      <c r="N11" s="162">
        <f t="shared" si="11"/>
        <v>0</v>
      </c>
      <c r="O11" s="162">
        <f t="shared" si="11"/>
        <v>188264</v>
      </c>
      <c r="P11" s="353"/>
      <c r="Q11" s="163"/>
      <c r="R11" s="354">
        <f t="shared" ref="R11:AB11" si="12">R6-R9</f>
        <v>247843</v>
      </c>
      <c r="S11" s="164">
        <f t="shared" si="12"/>
        <v>306756</v>
      </c>
      <c r="T11" s="164">
        <f t="shared" si="12"/>
        <v>277250</v>
      </c>
      <c r="U11" s="164">
        <f t="shared" si="12"/>
        <v>262131</v>
      </c>
      <c r="V11" s="164">
        <f t="shared" si="12"/>
        <v>171617</v>
      </c>
      <c r="W11" s="164">
        <f t="shared" si="12"/>
        <v>235875</v>
      </c>
      <c r="X11" s="164">
        <f t="shared" si="12"/>
        <v>354012</v>
      </c>
      <c r="Y11" s="164">
        <f t="shared" si="12"/>
        <v>355542</v>
      </c>
      <c r="Z11" s="164">
        <f t="shared" si="12"/>
        <v>349213</v>
      </c>
      <c r="AA11" s="164">
        <f t="shared" si="12"/>
        <v>269352</v>
      </c>
      <c r="AB11" s="164">
        <f t="shared" si="12"/>
        <v>170626</v>
      </c>
      <c r="AC11" s="164"/>
      <c r="AD11" s="355"/>
      <c r="AE11" s="154"/>
      <c r="AF11" s="164">
        <f t="shared" ref="AF11:AQ11" si="13">AF6-AF9</f>
        <v>238607</v>
      </c>
      <c r="AG11" s="164">
        <f t="shared" si="13"/>
        <v>269553</v>
      </c>
      <c r="AH11" s="164">
        <f t="shared" si="13"/>
        <v>374962</v>
      </c>
      <c r="AI11" s="164">
        <f t="shared" si="13"/>
        <v>369869</v>
      </c>
      <c r="AJ11" s="164">
        <f t="shared" si="13"/>
        <v>392253</v>
      </c>
      <c r="AK11" s="164">
        <f t="shared" si="13"/>
        <v>440333</v>
      </c>
      <c r="AL11" s="164">
        <f t="shared" si="13"/>
        <v>381069</v>
      </c>
      <c r="AM11" s="164">
        <f t="shared" si="13"/>
        <v>425509</v>
      </c>
      <c r="AN11" s="164">
        <f t="shared" si="13"/>
        <v>413562</v>
      </c>
      <c r="AO11" s="164">
        <f t="shared" si="13"/>
        <v>375268</v>
      </c>
      <c r="AP11" s="164">
        <f t="shared" si="13"/>
        <v>147208</v>
      </c>
      <c r="AQ11" s="164">
        <f t="shared" si="13"/>
        <v>110349</v>
      </c>
      <c r="AR11" s="164">
        <f t="shared" si="3"/>
        <v>110349</v>
      </c>
      <c r="AS11" s="154"/>
      <c r="AT11" s="164">
        <f t="shared" ref="AT11:BE11" si="14">AT6-AT9</f>
        <v>229228</v>
      </c>
      <c r="AU11" s="164">
        <f t="shared" si="14"/>
        <v>174555</v>
      </c>
      <c r="AV11" s="164">
        <f t="shared" si="14"/>
        <v>203442</v>
      </c>
      <c r="AW11" s="164">
        <f t="shared" si="14"/>
        <v>187515</v>
      </c>
      <c r="AX11" s="164">
        <f t="shared" si="14"/>
        <v>175681</v>
      </c>
      <c r="AY11" s="164">
        <f t="shared" si="14"/>
        <v>180106</v>
      </c>
      <c r="AZ11" s="164">
        <f t="shared" si="14"/>
        <v>257602</v>
      </c>
      <c r="BA11" s="164">
        <f t="shared" si="14"/>
        <v>224176</v>
      </c>
      <c r="BB11" s="164">
        <f t="shared" si="14"/>
        <v>244457</v>
      </c>
      <c r="BC11" s="164">
        <f t="shared" si="14"/>
        <v>226687</v>
      </c>
      <c r="BD11" s="164">
        <f t="shared" si="14"/>
        <v>223462</v>
      </c>
      <c r="BE11" s="164">
        <f t="shared" si="14"/>
        <v>149933</v>
      </c>
      <c r="BF11" s="164">
        <f t="shared" si="5"/>
        <v>149933</v>
      </c>
      <c r="BG11" s="156"/>
      <c r="BH11" s="164">
        <f t="shared" ref="BH11:BS11" si="15">BH6-BH9</f>
        <v>257881</v>
      </c>
      <c r="BI11" s="164">
        <f t="shared" si="15"/>
        <v>249105</v>
      </c>
      <c r="BJ11" s="164">
        <f t="shared" si="15"/>
        <v>291934.66666666669</v>
      </c>
      <c r="BK11" s="164">
        <f t="shared" si="15"/>
        <v>245891.51851851854</v>
      </c>
      <c r="BL11" s="164">
        <f t="shared" si="15"/>
        <v>290931.1481481482</v>
      </c>
      <c r="BM11" s="164">
        <f t="shared" si="15"/>
        <v>342347.29629629635</v>
      </c>
      <c r="BN11" s="164">
        <f t="shared" si="15"/>
        <v>379384.18518518528</v>
      </c>
      <c r="BO11" s="164">
        <f t="shared" si="15"/>
        <v>378205.03703703714</v>
      </c>
      <c r="BP11" s="164">
        <f t="shared" si="15"/>
        <v>334420.22222222225</v>
      </c>
      <c r="BQ11" s="164">
        <f t="shared" si="15"/>
        <v>282152.1481481482</v>
      </c>
      <c r="BR11" s="164">
        <f t="shared" si="15"/>
        <v>286124.18518518523</v>
      </c>
      <c r="BS11" s="164">
        <f t="shared" si="15"/>
        <v>251248.03703703708</v>
      </c>
      <c r="BT11" s="164">
        <f t="shared" si="8"/>
        <v>251248.03703703708</v>
      </c>
      <c r="BU11" s="154"/>
      <c r="BV11" s="164">
        <f t="shared" ref="BV11:CG11" si="16">BV6-BV9</f>
        <v>251248.03703703708</v>
      </c>
      <c r="BW11" s="164">
        <f t="shared" si="16"/>
        <v>231842.68703703707</v>
      </c>
      <c r="BX11" s="164">
        <f t="shared" si="16"/>
        <v>191573.68703703713</v>
      </c>
      <c r="BY11" s="164">
        <f t="shared" si="16"/>
        <v>171061.13148148154</v>
      </c>
      <c r="BZ11" s="164">
        <f t="shared" si="16"/>
        <v>161457.24259259267</v>
      </c>
      <c r="CA11" s="164">
        <f t="shared" si="16"/>
        <v>159799.79814814823</v>
      </c>
      <c r="CB11" s="164">
        <f t="shared" si="16"/>
        <v>107760.13148148154</v>
      </c>
      <c r="CC11" s="164">
        <f t="shared" si="16"/>
        <v>41080.575925925979</v>
      </c>
      <c r="CD11" s="164">
        <f t="shared" si="16"/>
        <v>-58274.979629629583</v>
      </c>
      <c r="CE11" s="164">
        <f t="shared" si="16"/>
        <v>-137127.75740740736</v>
      </c>
      <c r="CF11" s="164">
        <f t="shared" si="16"/>
        <v>-137303.86851851849</v>
      </c>
      <c r="CG11" s="164">
        <f t="shared" si="16"/>
        <v>-151379.42407407405</v>
      </c>
      <c r="CH11" s="164">
        <f t="shared" si="10"/>
        <v>-151379.42407407405</v>
      </c>
    </row>
    <row r="12" spans="1:86">
      <c r="A12" s="148" t="s">
        <v>42</v>
      </c>
      <c r="B12" s="148"/>
      <c r="C12" s="150" t="s">
        <v>43</v>
      </c>
      <c r="D12" s="165">
        <f>D7-D9</f>
        <v>162884</v>
      </c>
      <c r="E12" s="165">
        <f t="shared" ref="E12:O12" si="17">E7+E10-E9-E48</f>
        <v>200610</v>
      </c>
      <c r="F12" s="165">
        <f t="shared" si="17"/>
        <v>192475</v>
      </c>
      <c r="G12" s="165">
        <f t="shared" si="17"/>
        <v>231853</v>
      </c>
      <c r="H12" s="165">
        <f t="shared" si="17"/>
        <v>253292</v>
      </c>
      <c r="I12" s="165">
        <f t="shared" si="17"/>
        <v>305688</v>
      </c>
      <c r="J12" s="165">
        <f t="shared" si="17"/>
        <v>355297</v>
      </c>
      <c r="K12" s="165">
        <f t="shared" si="17"/>
        <v>367201</v>
      </c>
      <c r="L12" s="165">
        <f t="shared" si="17"/>
        <v>407523</v>
      </c>
      <c r="M12" s="165">
        <f t="shared" si="17"/>
        <v>297747</v>
      </c>
      <c r="N12" s="165">
        <f t="shared" si="17"/>
        <v>0</v>
      </c>
      <c r="O12" s="165">
        <f t="shared" si="17"/>
        <v>143875</v>
      </c>
      <c r="P12" s="350">
        <f>J12</f>
        <v>355297</v>
      </c>
      <c r="Q12" s="152"/>
      <c r="R12" s="356">
        <f>R7-R9</f>
        <v>172568</v>
      </c>
      <c r="S12" s="151">
        <f t="shared" ref="S12:AC12" si="18">S7+S10-S9-S48</f>
        <v>244205</v>
      </c>
      <c r="T12" s="151">
        <f t="shared" si="18"/>
        <v>237108</v>
      </c>
      <c r="U12" s="151">
        <f t="shared" si="18"/>
        <v>222510</v>
      </c>
      <c r="V12" s="151">
        <f t="shared" si="18"/>
        <v>179647</v>
      </c>
      <c r="W12" s="151">
        <f t="shared" si="18"/>
        <v>289587</v>
      </c>
      <c r="X12" s="151">
        <f t="shared" si="18"/>
        <v>281331</v>
      </c>
      <c r="Y12" s="151">
        <f t="shared" si="18"/>
        <v>325686</v>
      </c>
      <c r="Z12" s="151">
        <f t="shared" si="18"/>
        <v>319329</v>
      </c>
      <c r="AA12" s="151">
        <f t="shared" si="18"/>
        <v>268663</v>
      </c>
      <c r="AB12" s="151">
        <f t="shared" si="18"/>
        <v>187543</v>
      </c>
      <c r="AC12" s="151">
        <f t="shared" si="18"/>
        <v>196995</v>
      </c>
      <c r="AD12" s="351">
        <f>X12</f>
        <v>281331</v>
      </c>
      <c r="AE12" s="153"/>
      <c r="AF12" s="151">
        <f t="shared" ref="AF12:AQ12" si="19">AF7+AF9+AF8</f>
        <v>228387</v>
      </c>
      <c r="AG12" s="151">
        <f t="shared" si="19"/>
        <v>263548</v>
      </c>
      <c r="AH12" s="151">
        <f t="shared" si="19"/>
        <v>366224</v>
      </c>
      <c r="AI12" s="151">
        <f t="shared" si="19"/>
        <v>361348</v>
      </c>
      <c r="AJ12" s="151">
        <f t="shared" si="19"/>
        <v>384008</v>
      </c>
      <c r="AK12" s="151">
        <f t="shared" si="19"/>
        <v>434489</v>
      </c>
      <c r="AL12" s="151">
        <f t="shared" si="19"/>
        <v>436438</v>
      </c>
      <c r="AM12" s="151">
        <f t="shared" si="19"/>
        <v>463198</v>
      </c>
      <c r="AN12" s="151">
        <f t="shared" si="19"/>
        <v>425121</v>
      </c>
      <c r="AO12" s="151">
        <f t="shared" si="19"/>
        <v>355477</v>
      </c>
      <c r="AP12" s="151">
        <f t="shared" si="19"/>
        <v>288104</v>
      </c>
      <c r="AQ12" s="151">
        <f t="shared" si="19"/>
        <v>298855</v>
      </c>
      <c r="AR12" s="151">
        <f t="shared" si="3"/>
        <v>298855</v>
      </c>
      <c r="AS12" s="154"/>
      <c r="AT12" s="151">
        <f t="shared" ref="AT12:BE12" si="20">AT7+AT9+AT8</f>
        <v>326269</v>
      </c>
      <c r="AU12" s="151">
        <f t="shared" si="20"/>
        <v>301870</v>
      </c>
      <c r="AV12" s="151">
        <f t="shared" si="20"/>
        <v>285491</v>
      </c>
      <c r="AW12" s="151">
        <f t="shared" si="20"/>
        <v>267653</v>
      </c>
      <c r="AX12" s="151">
        <f t="shared" si="20"/>
        <v>273960</v>
      </c>
      <c r="AY12" s="151">
        <f t="shared" si="20"/>
        <v>326260</v>
      </c>
      <c r="AZ12" s="151">
        <f t="shared" si="20"/>
        <v>333221</v>
      </c>
      <c r="BA12" s="151">
        <f t="shared" si="20"/>
        <v>354862</v>
      </c>
      <c r="BB12" s="151">
        <f t="shared" si="20"/>
        <v>348162</v>
      </c>
      <c r="BC12" s="151">
        <f t="shared" si="20"/>
        <v>319093</v>
      </c>
      <c r="BD12" s="151">
        <f t="shared" si="20"/>
        <v>293379</v>
      </c>
      <c r="BE12" s="151">
        <f t="shared" si="20"/>
        <v>234110</v>
      </c>
      <c r="BF12" s="164">
        <f t="shared" ref="BF12:BF13" si="21">SUM(AT12:BE12)</f>
        <v>3664330</v>
      </c>
      <c r="BG12" s="156"/>
      <c r="BH12" s="151">
        <f t="shared" ref="BH12:BS12" si="22">BH7+BH9+BH8</f>
        <v>285296</v>
      </c>
      <c r="BI12" s="151">
        <f t="shared" si="22"/>
        <v>282956</v>
      </c>
      <c r="BJ12" s="151">
        <f t="shared" si="22"/>
        <v>0</v>
      </c>
      <c r="BK12" s="151">
        <f t="shared" si="22"/>
        <v>0</v>
      </c>
      <c r="BL12" s="151">
        <f t="shared" si="22"/>
        <v>0</v>
      </c>
      <c r="BM12" s="151">
        <f t="shared" si="22"/>
        <v>0</v>
      </c>
      <c r="BN12" s="151">
        <f t="shared" si="22"/>
        <v>0</v>
      </c>
      <c r="BO12" s="151">
        <f t="shared" si="22"/>
        <v>0</v>
      </c>
      <c r="BP12" s="151">
        <f t="shared" si="22"/>
        <v>0</v>
      </c>
      <c r="BQ12" s="151">
        <f t="shared" si="22"/>
        <v>0</v>
      </c>
      <c r="BR12" s="151">
        <f t="shared" si="22"/>
        <v>0</v>
      </c>
      <c r="BS12" s="151">
        <f t="shared" si="22"/>
        <v>0</v>
      </c>
      <c r="BT12" s="151">
        <f t="shared" si="8"/>
        <v>0</v>
      </c>
      <c r="BU12" s="153"/>
      <c r="BV12" s="151">
        <f t="shared" ref="BV12:CG12" si="23">BV7+BV9+BV8</f>
        <v>0</v>
      </c>
      <c r="BW12" s="151">
        <f t="shared" si="23"/>
        <v>0</v>
      </c>
      <c r="BX12" s="151">
        <f t="shared" si="23"/>
        <v>0</v>
      </c>
      <c r="BY12" s="151">
        <f t="shared" si="23"/>
        <v>0</v>
      </c>
      <c r="BZ12" s="151">
        <f t="shared" si="23"/>
        <v>0</v>
      </c>
      <c r="CA12" s="151">
        <f t="shared" si="23"/>
        <v>0</v>
      </c>
      <c r="CB12" s="151">
        <f t="shared" si="23"/>
        <v>0</v>
      </c>
      <c r="CC12" s="151">
        <f t="shared" si="23"/>
        <v>0</v>
      </c>
      <c r="CD12" s="151">
        <f t="shared" si="23"/>
        <v>0</v>
      </c>
      <c r="CE12" s="151">
        <f t="shared" si="23"/>
        <v>0</v>
      </c>
      <c r="CF12" s="151">
        <f t="shared" si="23"/>
        <v>0</v>
      </c>
      <c r="CG12" s="151">
        <f t="shared" si="23"/>
        <v>0</v>
      </c>
      <c r="CH12" s="151">
        <f t="shared" si="10"/>
        <v>0</v>
      </c>
    </row>
    <row r="13" spans="1:86">
      <c r="A13" s="148" t="s">
        <v>44</v>
      </c>
      <c r="B13" s="148"/>
      <c r="C13" s="150" t="s">
        <v>45</v>
      </c>
      <c r="D13" s="165">
        <f t="shared" ref="D13:O13" si="24">D6-D10-D9</f>
        <v>264261</v>
      </c>
      <c r="E13" s="165">
        <f t="shared" si="24"/>
        <v>275849</v>
      </c>
      <c r="F13" s="165">
        <f t="shared" si="24"/>
        <v>280253</v>
      </c>
      <c r="G13" s="165">
        <f t="shared" si="24"/>
        <v>256146</v>
      </c>
      <c r="H13" s="165">
        <f t="shared" si="24"/>
        <v>282462</v>
      </c>
      <c r="I13" s="165">
        <f t="shared" si="24"/>
        <v>336508</v>
      </c>
      <c r="J13" s="165">
        <f t="shared" si="24"/>
        <v>394861</v>
      </c>
      <c r="K13" s="165">
        <f t="shared" si="24"/>
        <v>399944</v>
      </c>
      <c r="L13" s="165">
        <f t="shared" si="24"/>
        <v>403515</v>
      </c>
      <c r="M13" s="165">
        <f t="shared" si="24"/>
        <v>254037</v>
      </c>
      <c r="N13" s="165">
        <f t="shared" si="24"/>
        <v>0</v>
      </c>
      <c r="O13" s="165">
        <f t="shared" si="24"/>
        <v>188264</v>
      </c>
      <c r="P13" s="350">
        <f t="shared" ref="P13:P14" si="25">O13</f>
        <v>188264</v>
      </c>
      <c r="Q13" s="152"/>
      <c r="R13" s="356">
        <f t="shared" ref="R13:AC13" si="26">R6-R10-R9</f>
        <v>244467</v>
      </c>
      <c r="S13" s="151">
        <f t="shared" si="26"/>
        <v>295020</v>
      </c>
      <c r="T13" s="151">
        <f t="shared" si="26"/>
        <v>254796</v>
      </c>
      <c r="U13" s="151">
        <f t="shared" si="26"/>
        <v>240747</v>
      </c>
      <c r="V13" s="151">
        <f t="shared" si="26"/>
        <v>104747</v>
      </c>
      <c r="W13" s="151">
        <f t="shared" si="26"/>
        <v>162106</v>
      </c>
      <c r="X13" s="151">
        <f t="shared" si="26"/>
        <v>340068</v>
      </c>
      <c r="Y13" s="151">
        <f t="shared" si="26"/>
        <v>322792</v>
      </c>
      <c r="Z13" s="151">
        <f t="shared" si="26"/>
        <v>330677</v>
      </c>
      <c r="AA13" s="151">
        <f t="shared" si="26"/>
        <v>229141</v>
      </c>
      <c r="AB13" s="151">
        <f t="shared" si="26"/>
        <v>126169</v>
      </c>
      <c r="AC13" s="151">
        <f t="shared" si="26"/>
        <v>173047</v>
      </c>
      <c r="AD13" s="351">
        <f t="shared" ref="AD13:AD14" si="27">AC13</f>
        <v>173047</v>
      </c>
      <c r="AE13" s="153"/>
      <c r="AF13" s="357">
        <f t="shared" ref="AF13:AQ13" si="28">AF12-AF9</f>
        <v>220021</v>
      </c>
      <c r="AG13" s="357">
        <f t="shared" si="28"/>
        <v>252014</v>
      </c>
      <c r="AH13" s="357">
        <f t="shared" si="28"/>
        <v>354717</v>
      </c>
      <c r="AI13" s="357">
        <f t="shared" si="28"/>
        <v>352200</v>
      </c>
      <c r="AJ13" s="357">
        <f t="shared" si="28"/>
        <v>375484</v>
      </c>
      <c r="AK13" s="357">
        <f t="shared" si="28"/>
        <v>409199</v>
      </c>
      <c r="AL13" s="357">
        <f t="shared" si="28"/>
        <v>345358</v>
      </c>
      <c r="AM13" s="357">
        <f t="shared" si="28"/>
        <v>396368</v>
      </c>
      <c r="AN13" s="357">
        <f t="shared" si="28"/>
        <v>388255</v>
      </c>
      <c r="AO13" s="357">
        <f t="shared" si="28"/>
        <v>339304</v>
      </c>
      <c r="AP13" s="357">
        <f t="shared" si="28"/>
        <v>109830</v>
      </c>
      <c r="AQ13" s="357">
        <f t="shared" si="28"/>
        <v>88190</v>
      </c>
      <c r="AR13" s="151">
        <f t="shared" si="3"/>
        <v>88190</v>
      </c>
      <c r="AS13" s="154"/>
      <c r="AT13" s="357">
        <f t="shared" ref="AT13:BE13" si="29">AT12-AT9</f>
        <v>205194</v>
      </c>
      <c r="AU13" s="357">
        <f t="shared" si="29"/>
        <v>152494</v>
      </c>
      <c r="AV13" s="357">
        <f t="shared" si="29"/>
        <v>180953</v>
      </c>
      <c r="AW13" s="357">
        <f t="shared" si="29"/>
        <v>162391</v>
      </c>
      <c r="AX13" s="357">
        <f t="shared" si="29"/>
        <v>152887</v>
      </c>
      <c r="AY13" s="357">
        <f t="shared" si="29"/>
        <v>162329</v>
      </c>
      <c r="AZ13" s="357">
        <f t="shared" si="29"/>
        <v>223257</v>
      </c>
      <c r="BA13" s="357">
        <f t="shared" si="29"/>
        <v>206596</v>
      </c>
      <c r="BB13" s="357">
        <f t="shared" si="29"/>
        <v>217465</v>
      </c>
      <c r="BC13" s="357">
        <f t="shared" si="29"/>
        <v>205314</v>
      </c>
      <c r="BD13" s="357">
        <f t="shared" si="29"/>
        <v>202260</v>
      </c>
      <c r="BE13" s="357">
        <f t="shared" si="29"/>
        <v>130824</v>
      </c>
      <c r="BF13" s="164">
        <f t="shared" si="21"/>
        <v>2201964</v>
      </c>
      <c r="BG13" s="166">
        <f>SUM(AT16:AY16)/SUM(AF49:AK49)-1</f>
        <v>0.2283258050797119</v>
      </c>
      <c r="BH13" s="357">
        <f t="shared" ref="BH13:BS13" si="30">BH12-BH9</f>
        <v>235665</v>
      </c>
      <c r="BI13" s="357">
        <f t="shared" si="30"/>
        <v>230003</v>
      </c>
      <c r="BJ13" s="357">
        <f t="shared" si="30"/>
        <v>0</v>
      </c>
      <c r="BK13" s="357">
        <f t="shared" si="30"/>
        <v>0</v>
      </c>
      <c r="BL13" s="151">
        <f t="shared" si="30"/>
        <v>0</v>
      </c>
      <c r="BM13" s="151">
        <f t="shared" si="30"/>
        <v>0</v>
      </c>
      <c r="BN13" s="151">
        <f t="shared" si="30"/>
        <v>0</v>
      </c>
      <c r="BO13" s="151">
        <f t="shared" si="30"/>
        <v>0</v>
      </c>
      <c r="BP13" s="151">
        <f t="shared" si="30"/>
        <v>0</v>
      </c>
      <c r="BQ13" s="151">
        <f t="shared" si="30"/>
        <v>0</v>
      </c>
      <c r="BR13" s="151">
        <f t="shared" si="30"/>
        <v>0</v>
      </c>
      <c r="BS13" s="151">
        <f t="shared" si="30"/>
        <v>0</v>
      </c>
      <c r="BT13" s="151">
        <f t="shared" si="8"/>
        <v>0</v>
      </c>
      <c r="BU13" s="153"/>
      <c r="BV13" s="357">
        <f t="shared" ref="BV13:CG13" si="31">BV12-BV9</f>
        <v>0</v>
      </c>
      <c r="BW13" s="357">
        <f t="shared" si="31"/>
        <v>0</v>
      </c>
      <c r="BX13" s="357">
        <f t="shared" si="31"/>
        <v>0</v>
      </c>
      <c r="BY13" s="357">
        <f t="shared" si="31"/>
        <v>0</v>
      </c>
      <c r="BZ13" s="151">
        <f t="shared" si="31"/>
        <v>0</v>
      </c>
      <c r="CA13" s="151">
        <f t="shared" si="31"/>
        <v>0</v>
      </c>
      <c r="CB13" s="151">
        <f t="shared" si="31"/>
        <v>0</v>
      </c>
      <c r="CC13" s="151">
        <f t="shared" si="31"/>
        <v>0</v>
      </c>
      <c r="CD13" s="151">
        <f t="shared" si="31"/>
        <v>0</v>
      </c>
      <c r="CE13" s="151">
        <f t="shared" si="31"/>
        <v>0</v>
      </c>
      <c r="CF13" s="151">
        <f t="shared" si="31"/>
        <v>0</v>
      </c>
      <c r="CG13" s="151">
        <f t="shared" si="31"/>
        <v>0</v>
      </c>
      <c r="CH13" s="151">
        <f t="shared" si="10"/>
        <v>0</v>
      </c>
    </row>
    <row r="14" spans="1:86">
      <c r="A14" s="1100" t="s">
        <v>46</v>
      </c>
      <c r="B14" s="1126"/>
      <c r="C14" s="167" t="s">
        <v>47</v>
      </c>
      <c r="D14" s="168">
        <f t="shared" ref="D14:O14" si="32">D6</f>
        <v>304786</v>
      </c>
      <c r="E14" s="168">
        <f t="shared" si="32"/>
        <v>311986</v>
      </c>
      <c r="F14" s="168">
        <f t="shared" si="32"/>
        <v>328231</v>
      </c>
      <c r="G14" s="168">
        <f t="shared" si="32"/>
        <v>317873</v>
      </c>
      <c r="H14" s="168">
        <f t="shared" si="32"/>
        <v>347196</v>
      </c>
      <c r="I14" s="168">
        <f t="shared" si="32"/>
        <v>402253</v>
      </c>
      <c r="J14" s="168">
        <f t="shared" si="32"/>
        <v>454488</v>
      </c>
      <c r="K14" s="168">
        <f t="shared" si="32"/>
        <v>447182</v>
      </c>
      <c r="L14" s="168">
        <f t="shared" si="32"/>
        <v>416931</v>
      </c>
      <c r="M14" s="168">
        <f t="shared" si="32"/>
        <v>304402</v>
      </c>
      <c r="N14" s="168">
        <f t="shared" si="32"/>
        <v>0</v>
      </c>
      <c r="O14" s="168">
        <f t="shared" si="32"/>
        <v>188264</v>
      </c>
      <c r="P14" s="169">
        <f t="shared" si="25"/>
        <v>188264</v>
      </c>
      <c r="Q14" s="170"/>
      <c r="R14" s="171">
        <f t="shared" ref="R14:AC14" si="33">R6</f>
        <v>283359</v>
      </c>
      <c r="S14" s="172">
        <f t="shared" si="33"/>
        <v>342718</v>
      </c>
      <c r="T14" s="172">
        <f t="shared" si="33"/>
        <v>313212</v>
      </c>
      <c r="U14" s="172">
        <f t="shared" si="33"/>
        <v>298093</v>
      </c>
      <c r="V14" s="172">
        <f t="shared" si="33"/>
        <v>206617</v>
      </c>
      <c r="W14" s="172">
        <f t="shared" si="33"/>
        <v>235875</v>
      </c>
      <c r="X14" s="172">
        <f t="shared" si="33"/>
        <v>360135</v>
      </c>
      <c r="Y14" s="172">
        <f t="shared" si="33"/>
        <v>361665</v>
      </c>
      <c r="Z14" s="172">
        <f t="shared" si="33"/>
        <v>353400</v>
      </c>
      <c r="AA14" s="172">
        <f t="shared" si="33"/>
        <v>272097</v>
      </c>
      <c r="AB14" s="172">
        <f t="shared" si="33"/>
        <v>170626</v>
      </c>
      <c r="AC14" s="172">
        <f t="shared" si="33"/>
        <v>197551</v>
      </c>
      <c r="AD14" s="358">
        <f t="shared" si="27"/>
        <v>197551</v>
      </c>
      <c r="AE14" s="173"/>
      <c r="AF14" s="172">
        <f t="shared" ref="AF14:AQ14" si="34">AF6-AF48</f>
        <v>246973</v>
      </c>
      <c r="AG14" s="172">
        <f t="shared" si="34"/>
        <v>281087</v>
      </c>
      <c r="AH14" s="172">
        <f t="shared" si="34"/>
        <v>386469</v>
      </c>
      <c r="AI14" s="172">
        <f t="shared" si="34"/>
        <v>379017</v>
      </c>
      <c r="AJ14" s="172">
        <f t="shared" si="34"/>
        <v>400777</v>
      </c>
      <c r="AK14" s="172">
        <f t="shared" si="34"/>
        <v>465623</v>
      </c>
      <c r="AL14" s="172">
        <f t="shared" si="34"/>
        <v>472149</v>
      </c>
      <c r="AM14" s="172">
        <f t="shared" si="34"/>
        <v>492339</v>
      </c>
      <c r="AN14" s="172">
        <f t="shared" si="34"/>
        <v>450428</v>
      </c>
      <c r="AO14" s="172">
        <f t="shared" si="34"/>
        <v>391441</v>
      </c>
      <c r="AP14" s="172">
        <f t="shared" si="34"/>
        <v>325482</v>
      </c>
      <c r="AQ14" s="172">
        <f t="shared" si="34"/>
        <v>312076</v>
      </c>
      <c r="AR14" s="172">
        <f t="shared" si="3"/>
        <v>312076</v>
      </c>
      <c r="AS14" s="173"/>
      <c r="AT14" s="172">
        <f t="shared" ref="AT14:BB14" si="35">AT6-AT48</f>
        <v>243661</v>
      </c>
      <c r="AU14" s="172">
        <f t="shared" si="35"/>
        <v>233232</v>
      </c>
      <c r="AV14" s="172">
        <f t="shared" si="35"/>
        <v>218299</v>
      </c>
      <c r="AW14" s="172">
        <f t="shared" si="35"/>
        <v>233987</v>
      </c>
      <c r="AX14" s="172">
        <f t="shared" si="35"/>
        <v>261234</v>
      </c>
      <c r="AY14" s="172">
        <f t="shared" si="35"/>
        <v>282486</v>
      </c>
      <c r="AZ14" s="172">
        <f t="shared" si="35"/>
        <v>296055</v>
      </c>
      <c r="BA14" s="172">
        <f t="shared" si="35"/>
        <v>308825</v>
      </c>
      <c r="BB14" s="172">
        <f t="shared" si="35"/>
        <v>308406</v>
      </c>
      <c r="BC14" s="172">
        <f t="shared" ref="BC14:BE14" si="36">BB14-BC16+BC57-BC48</f>
        <v>137005.70924434217</v>
      </c>
      <c r="BD14" s="172">
        <f t="shared" si="36"/>
        <v>94095.12236286921</v>
      </c>
      <c r="BE14" s="172">
        <f t="shared" si="36"/>
        <v>78605.509397775226</v>
      </c>
      <c r="BF14" s="172">
        <f>BE14</f>
        <v>78605.509397775226</v>
      </c>
      <c r="BG14" s="174">
        <f>BG16/AR16</f>
        <v>7.0333736034655189E-2</v>
      </c>
      <c r="BH14" s="172">
        <f t="shared" ref="BH14:BS14" si="37">BH6-BH48</f>
        <v>307512</v>
      </c>
      <c r="BI14" s="172">
        <f t="shared" si="37"/>
        <v>302058</v>
      </c>
      <c r="BJ14" s="172">
        <f t="shared" si="37"/>
        <v>291934.66666666669</v>
      </c>
      <c r="BK14" s="172">
        <f t="shared" si="37"/>
        <v>245891.51851851854</v>
      </c>
      <c r="BL14" s="175">
        <f t="shared" si="37"/>
        <v>290931.1481481482</v>
      </c>
      <c r="BM14" s="175">
        <f t="shared" si="37"/>
        <v>342347.29629629635</v>
      </c>
      <c r="BN14" s="175">
        <f t="shared" si="37"/>
        <v>379384.18518518528</v>
      </c>
      <c r="BO14" s="175">
        <f t="shared" si="37"/>
        <v>378205.03703703714</v>
      </c>
      <c r="BP14" s="175">
        <f t="shared" si="37"/>
        <v>334420.22222222225</v>
      </c>
      <c r="BQ14" s="175">
        <f t="shared" si="37"/>
        <v>282152.1481481482</v>
      </c>
      <c r="BR14" s="175">
        <f t="shared" si="37"/>
        <v>286124.18518518523</v>
      </c>
      <c r="BS14" s="175">
        <f t="shared" si="37"/>
        <v>251248.03703703708</v>
      </c>
      <c r="BT14" s="175">
        <f t="shared" si="8"/>
        <v>251248.03703703708</v>
      </c>
      <c r="BU14" s="173"/>
      <c r="BV14" s="172">
        <f t="shared" ref="BV14:CG14" si="38">BV6-BV48</f>
        <v>251248.03703703708</v>
      </c>
      <c r="BW14" s="172">
        <f t="shared" si="38"/>
        <v>231842.68703703707</v>
      </c>
      <c r="BX14" s="172">
        <f t="shared" si="38"/>
        <v>191573.68703703713</v>
      </c>
      <c r="BY14" s="172">
        <f t="shared" si="38"/>
        <v>171061.13148148154</v>
      </c>
      <c r="BZ14" s="175">
        <f t="shared" si="38"/>
        <v>161457.24259259267</v>
      </c>
      <c r="CA14" s="175">
        <f t="shared" si="38"/>
        <v>159799.79814814823</v>
      </c>
      <c r="CB14" s="175">
        <f t="shared" si="38"/>
        <v>107760.13148148154</v>
      </c>
      <c r="CC14" s="175">
        <f t="shared" si="38"/>
        <v>41080.575925925979</v>
      </c>
      <c r="CD14" s="175">
        <f t="shared" si="38"/>
        <v>-58274.979629629583</v>
      </c>
      <c r="CE14" s="175">
        <f t="shared" si="38"/>
        <v>-137127.75740740736</v>
      </c>
      <c r="CF14" s="175">
        <f t="shared" si="38"/>
        <v>-137303.86851851849</v>
      </c>
      <c r="CG14" s="175">
        <f t="shared" si="38"/>
        <v>-151379.42407407405</v>
      </c>
      <c r="CH14" s="175">
        <f t="shared" si="10"/>
        <v>-151379.42407407405</v>
      </c>
    </row>
    <row r="15" spans="1:86">
      <c r="A15" s="176"/>
      <c r="B15" s="359" t="s">
        <v>48</v>
      </c>
      <c r="C15" s="282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284"/>
      <c r="Q15" s="49"/>
      <c r="R15" s="283"/>
      <c r="S15" s="50"/>
      <c r="T15" s="50"/>
      <c r="U15" s="50"/>
      <c r="V15" s="51"/>
      <c r="W15" s="51"/>
      <c r="X15" s="51"/>
      <c r="Y15" s="51"/>
      <c r="Z15" s="51"/>
      <c r="AA15" s="51"/>
      <c r="AB15" s="51"/>
      <c r="AC15" s="50"/>
      <c r="AD15" s="285"/>
      <c r="AE15" s="23"/>
      <c r="AF15" s="286">
        <f t="shared" ref="AF15:AP15" si="39">AF6/AG16</f>
        <v>1.3876680694696506</v>
      </c>
      <c r="AG15" s="286">
        <f t="shared" si="39"/>
        <v>3.8178718896012169</v>
      </c>
      <c r="AH15" s="286">
        <f t="shared" si="39"/>
        <v>4.3249513194118041</v>
      </c>
      <c r="AI15" s="286">
        <f t="shared" si="39"/>
        <v>3.1032881916583426</v>
      </c>
      <c r="AJ15" s="286">
        <f t="shared" si="39"/>
        <v>2.6977450188476038</v>
      </c>
      <c r="AK15" s="286">
        <f t="shared" si="39"/>
        <v>3.0634099805914667</v>
      </c>
      <c r="AL15" s="286">
        <f t="shared" si="39"/>
        <v>1.9763209336006664</v>
      </c>
      <c r="AM15" s="286">
        <f t="shared" si="39"/>
        <v>1.8853931580291039</v>
      </c>
      <c r="AN15" s="286">
        <f t="shared" si="39"/>
        <v>1.7601719421649082</v>
      </c>
      <c r="AO15" s="286">
        <f t="shared" si="39"/>
        <v>3.0429182213930348</v>
      </c>
      <c r="AP15" s="286">
        <f t="shared" si="39"/>
        <v>3.3266762060506951</v>
      </c>
      <c r="AQ15" s="286">
        <f>AQ6/AT16</f>
        <v>2.1015749668165311</v>
      </c>
      <c r="AR15" s="287">
        <f t="shared" si="3"/>
        <v>2.1015749668165311</v>
      </c>
      <c r="AS15" s="23"/>
      <c r="AT15" s="286">
        <f t="shared" ref="AT15:AX15" si="40">AT6/AU16</f>
        <v>2.078676878772272</v>
      </c>
      <c r="AU15" s="286">
        <f t="shared" si="40"/>
        <v>2.1017947592948043</v>
      </c>
      <c r="AV15" s="286">
        <f t="shared" si="40"/>
        <v>1.9297580364452378</v>
      </c>
      <c r="AW15" s="286">
        <f t="shared" si="40"/>
        <v>2.4377775525503322</v>
      </c>
      <c r="AX15" s="286">
        <f t="shared" si="40"/>
        <v>2.1450476831468146</v>
      </c>
      <c r="AY15" s="286">
        <f t="shared" ref="AY15:BD15" si="41">AY6/(AZ45+AZ44)</f>
        <v>2.0572684326974824</v>
      </c>
      <c r="AZ15" s="286">
        <f t="shared" si="41"/>
        <v>1.3749564207725904</v>
      </c>
      <c r="BA15" s="286">
        <f t="shared" si="41"/>
        <v>1.7107133445873244</v>
      </c>
      <c r="BB15" s="286">
        <f t="shared" si="41"/>
        <v>1.5052991529201962</v>
      </c>
      <c r="BC15" s="286">
        <f t="shared" si="41"/>
        <v>2.204984888462461</v>
      </c>
      <c r="BD15" s="286">
        <f t="shared" si="41"/>
        <v>4.1558308053625606</v>
      </c>
      <c r="BE15" s="286">
        <f>BE6/BH16</f>
        <v>1.689083814161358</v>
      </c>
      <c r="BF15" s="52"/>
      <c r="BG15" s="27"/>
      <c r="BH15" s="286">
        <f t="shared" ref="BH15:BM15" si="42">BH6/BI16</f>
        <v>2.1840134089639305</v>
      </c>
      <c r="BI15" s="286">
        <f t="shared" si="42"/>
        <v>1.9061696712173166</v>
      </c>
      <c r="BJ15" s="286">
        <f t="shared" si="42"/>
        <v>1.8429852567932037</v>
      </c>
      <c r="BK15" s="286">
        <f t="shared" si="42"/>
        <v>1.8101505307155188</v>
      </c>
      <c r="BL15" s="286">
        <f t="shared" si="42"/>
        <v>2.1610668848511798</v>
      </c>
      <c r="BM15" s="286">
        <f t="shared" si="42"/>
        <v>1.8715365938005932</v>
      </c>
      <c r="BN15" s="53"/>
      <c r="BO15" s="53"/>
      <c r="BP15" s="53"/>
      <c r="BQ15" s="53"/>
      <c r="BR15" s="53"/>
      <c r="BS15" s="53"/>
      <c r="BT15" s="53"/>
      <c r="BU15" s="177"/>
      <c r="BV15" s="286">
        <f t="shared" ref="BV15:CA15" si="43">BV6/BW16</f>
        <v>1.8276924450572232</v>
      </c>
      <c r="BW15" s="286">
        <f t="shared" si="43"/>
        <v>1.4060445572019959</v>
      </c>
      <c r="BX15" s="286">
        <f t="shared" si="43"/>
        <v>1.1623872414680385</v>
      </c>
      <c r="BY15" s="286">
        <f t="shared" si="43"/>
        <v>1.2150618428823801</v>
      </c>
      <c r="BZ15" s="286">
        <f t="shared" si="43"/>
        <v>1.1582594035025078</v>
      </c>
      <c r="CA15" s="286">
        <f t="shared" si="43"/>
        <v>0.84203246315786218</v>
      </c>
      <c r="CB15" s="53"/>
      <c r="CC15" s="53"/>
      <c r="CD15" s="53"/>
      <c r="CE15" s="53"/>
      <c r="CF15" s="53"/>
      <c r="CG15" s="53"/>
      <c r="CH15" s="53"/>
    </row>
    <row r="16" spans="1:86" ht="15.75">
      <c r="A16" s="178">
        <v>6</v>
      </c>
      <c r="B16" s="179" t="s">
        <v>49</v>
      </c>
      <c r="C16" s="180"/>
      <c r="D16" s="181">
        <f t="shared" ref="D16:P16" si="44">SUM(D20:D42)</f>
        <v>82250</v>
      </c>
      <c r="E16" s="181">
        <f t="shared" si="44"/>
        <v>117000</v>
      </c>
      <c r="F16" s="181">
        <f t="shared" si="44"/>
        <v>121750</v>
      </c>
      <c r="G16" s="181">
        <f t="shared" si="44"/>
        <v>150000</v>
      </c>
      <c r="H16" s="181">
        <f t="shared" si="44"/>
        <v>99500</v>
      </c>
      <c r="I16" s="181">
        <f t="shared" si="44"/>
        <v>102000</v>
      </c>
      <c r="J16" s="181">
        <f t="shared" si="44"/>
        <v>177632</v>
      </c>
      <c r="K16" s="181">
        <f t="shared" si="44"/>
        <v>178158</v>
      </c>
      <c r="L16" s="181">
        <f t="shared" si="44"/>
        <v>199211</v>
      </c>
      <c r="M16" s="181">
        <f t="shared" si="44"/>
        <v>229474</v>
      </c>
      <c r="N16" s="181">
        <f t="shared" si="44"/>
        <v>122368</v>
      </c>
      <c r="O16" s="181">
        <f t="shared" si="44"/>
        <v>38421</v>
      </c>
      <c r="P16" s="360">
        <f t="shared" si="44"/>
        <v>1617764</v>
      </c>
      <c r="Q16" s="170"/>
      <c r="R16" s="361">
        <f t="shared" ref="R16:AC16" si="45">R20+R43</f>
        <v>136177.33998294926</v>
      </c>
      <c r="S16" s="182">
        <f t="shared" si="45"/>
        <v>143840.32639116928</v>
      </c>
      <c r="T16" s="182">
        <f t="shared" si="45"/>
        <v>142553.77192982455</v>
      </c>
      <c r="U16" s="182">
        <f t="shared" si="45"/>
        <v>19814.899999999998</v>
      </c>
      <c r="V16" s="182">
        <f t="shared" si="45"/>
        <v>52085</v>
      </c>
      <c r="W16" s="362">
        <f t="shared" si="45"/>
        <v>70169.381950239796</v>
      </c>
      <c r="X16" s="362">
        <f t="shared" si="45"/>
        <v>144463.33333333299</v>
      </c>
      <c r="Y16" s="362">
        <f t="shared" si="45"/>
        <v>226547.08333333331</v>
      </c>
      <c r="Z16" s="362">
        <f t="shared" si="45"/>
        <v>273187.5</v>
      </c>
      <c r="AA16" s="362">
        <f t="shared" si="45"/>
        <v>172100</v>
      </c>
      <c r="AB16" s="362">
        <f t="shared" si="45"/>
        <v>37500</v>
      </c>
      <c r="AC16" s="362">
        <f t="shared" si="45"/>
        <v>0</v>
      </c>
      <c r="AD16" s="363">
        <f>SUM(R16:AC16)</f>
        <v>1418438.6369208493</v>
      </c>
      <c r="AE16" s="113"/>
      <c r="AF16" s="364">
        <f t="shared" ref="AF16:AQ16" si="46">AF20+AF43</f>
        <v>128646</v>
      </c>
      <c r="AG16" s="182">
        <f t="shared" si="46"/>
        <v>177977</v>
      </c>
      <c r="AH16" s="182">
        <f t="shared" si="46"/>
        <v>73624</v>
      </c>
      <c r="AI16" s="182">
        <f t="shared" si="46"/>
        <v>89358</v>
      </c>
      <c r="AJ16" s="182">
        <f t="shared" si="46"/>
        <v>122134</v>
      </c>
      <c r="AK16" s="182">
        <f t="shared" si="46"/>
        <v>148560</v>
      </c>
      <c r="AL16" s="182">
        <f t="shared" si="46"/>
        <v>151995</v>
      </c>
      <c r="AM16" s="182">
        <f t="shared" si="46"/>
        <v>238903</v>
      </c>
      <c r="AN16" s="182">
        <f t="shared" si="46"/>
        <v>261133.33333333334</v>
      </c>
      <c r="AO16" s="182">
        <f t="shared" si="46"/>
        <v>255900</v>
      </c>
      <c r="AP16" s="182">
        <f t="shared" si="46"/>
        <v>128640</v>
      </c>
      <c r="AQ16" s="182">
        <f t="shared" si="46"/>
        <v>97840</v>
      </c>
      <c r="AR16" s="182">
        <f>SUM(AF16:AQ16)</f>
        <v>1874710.3333333333</v>
      </c>
      <c r="AS16" s="113"/>
      <c r="AT16" s="182">
        <f t="shared" ref="AT16:BD16" si="47">AT20+AT43</f>
        <v>152749.25</v>
      </c>
      <c r="AU16" s="182">
        <f t="shared" si="47"/>
        <v>168522.10344827586</v>
      </c>
      <c r="AV16" s="182">
        <f t="shared" si="47"/>
        <v>154121.13793103449</v>
      </c>
      <c r="AW16" s="182">
        <f t="shared" si="47"/>
        <v>159595.13793103449</v>
      </c>
      <c r="AX16" s="182">
        <f t="shared" si="47"/>
        <v>120099.96551724138</v>
      </c>
      <c r="AY16" s="182">
        <f t="shared" si="47"/>
        <v>138343.77777777778</v>
      </c>
      <c r="AZ16" s="182">
        <f t="shared" si="47"/>
        <v>166673.77777777778</v>
      </c>
      <c r="BA16" s="182">
        <f t="shared" si="47"/>
        <v>242442.29629629629</v>
      </c>
      <c r="BB16" s="182">
        <f t="shared" si="47"/>
        <v>243407.77777777778</v>
      </c>
      <c r="BC16" s="182">
        <f t="shared" si="47"/>
        <v>253368.29075565783</v>
      </c>
      <c r="BD16" s="182">
        <f t="shared" si="47"/>
        <v>134555.58688147296</v>
      </c>
      <c r="BE16" s="182">
        <f>BE20+BE44</f>
        <v>72686.612965093984</v>
      </c>
      <c r="BF16" s="182">
        <f t="shared" ref="BF16:BF18" si="48">SUM(AT16:BE16)</f>
        <v>2006565.7150594404</v>
      </c>
      <c r="BG16" s="183">
        <f>BF16-AR16</f>
        <v>131855.38172610709</v>
      </c>
      <c r="BH16" s="182">
        <f t="shared" ref="BH16:BS16" si="49">BH17+BH43</f>
        <v>149915</v>
      </c>
      <c r="BI16" s="182">
        <f t="shared" si="49"/>
        <v>140801.33333333331</v>
      </c>
      <c r="BJ16" s="182">
        <f t="shared" si="49"/>
        <v>158463.33333333331</v>
      </c>
      <c r="BK16" s="182">
        <f t="shared" si="49"/>
        <v>158403.14814814815</v>
      </c>
      <c r="BL16" s="182">
        <f t="shared" si="49"/>
        <v>135840.37037037036</v>
      </c>
      <c r="BM16" s="182">
        <f t="shared" si="49"/>
        <v>134623.85185185185</v>
      </c>
      <c r="BN16" s="182">
        <f t="shared" si="49"/>
        <v>182923.11111111112</v>
      </c>
      <c r="BO16" s="182">
        <f t="shared" si="49"/>
        <v>208979.14814814815</v>
      </c>
      <c r="BP16" s="182">
        <f t="shared" si="49"/>
        <v>221344.8148148148</v>
      </c>
      <c r="BQ16" s="182">
        <f t="shared" si="49"/>
        <v>208188.07407407407</v>
      </c>
      <c r="BR16" s="182">
        <f t="shared" si="49"/>
        <v>127207.96296296296</v>
      </c>
      <c r="BS16" s="182">
        <f t="shared" si="49"/>
        <v>91176.148148148146</v>
      </c>
      <c r="BT16" s="182">
        <f t="shared" ref="BT16:BT17" si="50">SUM(BH16:BS16)</f>
        <v>1917866.2962962964</v>
      </c>
      <c r="BU16" s="184">
        <f>BT16/BF49-1</f>
        <v>0.13769386563260388</v>
      </c>
      <c r="BV16" s="182">
        <f t="shared" ref="BV16:CG16" si="51">BV17+BV43</f>
        <v>149061.75</v>
      </c>
      <c r="BW16" s="182">
        <f t="shared" si="51"/>
        <v>137467.35</v>
      </c>
      <c r="BX16" s="182">
        <f t="shared" si="51"/>
        <v>164889.99999999997</v>
      </c>
      <c r="BY16" s="182">
        <f t="shared" si="51"/>
        <v>164810.55555555556</v>
      </c>
      <c r="BZ16" s="182">
        <f t="shared" si="51"/>
        <v>140783.88888888888</v>
      </c>
      <c r="CA16" s="182">
        <f t="shared" si="51"/>
        <v>139396.44444444444</v>
      </c>
      <c r="CB16" s="182">
        <f t="shared" si="51"/>
        <v>189778.66666666669</v>
      </c>
      <c r="CC16" s="182">
        <f t="shared" si="51"/>
        <v>217536.55555555556</v>
      </c>
      <c r="CD16" s="182">
        <f t="shared" si="51"/>
        <v>230535.55555555556</v>
      </c>
      <c r="CE16" s="182">
        <f t="shared" si="51"/>
        <v>216591.77777777778</v>
      </c>
      <c r="CF16" s="182">
        <f t="shared" si="51"/>
        <v>131356.11111111112</v>
      </c>
      <c r="CG16" s="182">
        <f t="shared" si="51"/>
        <v>92783.555555555562</v>
      </c>
      <c r="CH16" s="182">
        <f t="shared" ref="CH16:CH17" si="52">SUM(BV16:CG16)</f>
        <v>1974992.2111111111</v>
      </c>
    </row>
    <row r="17" spans="1:86">
      <c r="A17" s="185"/>
      <c r="B17" s="186" t="s">
        <v>51</v>
      </c>
      <c r="C17" s="187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365"/>
      <c r="Q17" s="189"/>
      <c r="R17" s="366"/>
      <c r="S17" s="135"/>
      <c r="T17" s="135"/>
      <c r="U17" s="135"/>
      <c r="V17" s="367"/>
      <c r="W17" s="368"/>
      <c r="X17" s="368"/>
      <c r="Y17" s="368"/>
      <c r="Z17" s="368"/>
      <c r="AA17" s="368"/>
      <c r="AB17" s="368"/>
      <c r="AC17" s="190"/>
      <c r="AD17" s="191"/>
      <c r="AE17" s="192"/>
      <c r="AF17" s="369"/>
      <c r="AG17" s="135"/>
      <c r="AH17" s="135"/>
      <c r="AI17" s="135"/>
      <c r="AJ17" s="367"/>
      <c r="AK17" s="367"/>
      <c r="AL17" s="367"/>
      <c r="AM17" s="367"/>
      <c r="AN17" s="135"/>
      <c r="AO17" s="135"/>
      <c r="AP17" s="135"/>
      <c r="AQ17" s="135"/>
      <c r="AR17" s="370"/>
      <c r="AS17" s="192"/>
      <c r="AT17" s="135"/>
      <c r="AU17" s="135"/>
      <c r="AV17" s="135"/>
      <c r="AW17" s="135"/>
      <c r="AX17" s="135"/>
      <c r="AY17" s="193">
        <f t="shared" ref="AY17:BA17" si="53">AY20+AY44</f>
        <v>119777.77777777778</v>
      </c>
      <c r="AZ17" s="193">
        <f t="shared" si="53"/>
        <v>150777.77777777778</v>
      </c>
      <c r="BA17" s="193">
        <f t="shared" si="53"/>
        <v>233098.4962962963</v>
      </c>
      <c r="BB17" s="193">
        <f>BB18/BB19</f>
        <v>210777.77777777778</v>
      </c>
      <c r="BC17" s="193">
        <f>BC20+BC44</f>
        <v>249806.29075565783</v>
      </c>
      <c r="BD17" s="193">
        <f t="shared" ref="BD17:BE17" si="54">BD20+BD44*0.85</f>
        <v>122960.58688147296</v>
      </c>
      <c r="BE17" s="193">
        <f t="shared" si="54"/>
        <v>66386.612965093984</v>
      </c>
      <c r="BF17" s="193">
        <f t="shared" si="48"/>
        <v>1153585.3202318544</v>
      </c>
      <c r="BG17" s="194"/>
      <c r="BH17" s="193">
        <f t="shared" ref="BH17:BJ17" si="55">BH18/BH19-0.1*BH18/BH19</f>
        <v>116600</v>
      </c>
      <c r="BI17" s="193">
        <f t="shared" si="55"/>
        <v>111533.33333333333</v>
      </c>
      <c r="BJ17" s="193">
        <f t="shared" si="55"/>
        <v>128533.33333333331</v>
      </c>
      <c r="BK17" s="193">
        <f t="shared" ref="BK17:BS17" si="56">BK18/BK19</f>
        <v>128148.14814814815</v>
      </c>
      <c r="BL17" s="193">
        <f t="shared" si="56"/>
        <v>98870.370370370365</v>
      </c>
      <c r="BM17" s="193">
        <f t="shared" si="56"/>
        <v>95451.851851851854</v>
      </c>
      <c r="BN17" s="193">
        <f t="shared" si="56"/>
        <v>137111.11111111112</v>
      </c>
      <c r="BO17" s="193">
        <f t="shared" si="56"/>
        <v>171148.14814814815</v>
      </c>
      <c r="BP17" s="193">
        <f t="shared" si="56"/>
        <v>183814.8148148148</v>
      </c>
      <c r="BQ17" s="193">
        <f t="shared" si="56"/>
        <v>168074.07407407407</v>
      </c>
      <c r="BR17" s="193">
        <f t="shared" si="56"/>
        <v>82962.962962962964</v>
      </c>
      <c r="BS17" s="193">
        <f t="shared" si="56"/>
        <v>32148.14814814815</v>
      </c>
      <c r="BT17" s="193">
        <f t="shared" si="50"/>
        <v>1454396.2962962964</v>
      </c>
      <c r="BU17" s="177"/>
      <c r="BV17" s="193">
        <f t="shared" ref="BV17:BW17" si="57">BH50*1.05</f>
        <v>115746.75</v>
      </c>
      <c r="BW17" s="193">
        <f t="shared" si="57"/>
        <v>108199.35</v>
      </c>
      <c r="BX17" s="193">
        <f t="shared" ref="BX17:CG17" si="58">BJ17*1.05</f>
        <v>134959.99999999997</v>
      </c>
      <c r="BY17" s="193">
        <f t="shared" si="58"/>
        <v>134555.55555555556</v>
      </c>
      <c r="BZ17" s="193">
        <f t="shared" si="58"/>
        <v>103813.88888888889</v>
      </c>
      <c r="CA17" s="193">
        <f t="shared" si="58"/>
        <v>100224.44444444445</v>
      </c>
      <c r="CB17" s="193">
        <f t="shared" si="58"/>
        <v>143966.66666666669</v>
      </c>
      <c r="CC17" s="193">
        <f t="shared" si="58"/>
        <v>179705.55555555556</v>
      </c>
      <c r="CD17" s="193">
        <f t="shared" si="58"/>
        <v>193005.55555555556</v>
      </c>
      <c r="CE17" s="193">
        <f t="shared" si="58"/>
        <v>176477.77777777778</v>
      </c>
      <c r="CF17" s="193">
        <f t="shared" si="58"/>
        <v>87111.111111111109</v>
      </c>
      <c r="CG17" s="193">
        <f t="shared" si="58"/>
        <v>33755.555555555562</v>
      </c>
      <c r="CH17" s="193">
        <f t="shared" si="52"/>
        <v>1511522.2111111109</v>
      </c>
    </row>
    <row r="18" spans="1:86">
      <c r="A18" s="185"/>
      <c r="B18" s="195" t="s">
        <v>52</v>
      </c>
      <c r="C18" s="195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365"/>
      <c r="Q18" s="189"/>
      <c r="R18" s="366"/>
      <c r="S18" s="135"/>
      <c r="T18" s="135"/>
      <c r="U18" s="135"/>
      <c r="V18" s="367"/>
      <c r="W18" s="368"/>
      <c r="X18" s="368"/>
      <c r="Y18" s="368"/>
      <c r="Z18" s="368"/>
      <c r="AA18" s="368"/>
      <c r="AB18" s="368"/>
      <c r="AC18" s="190"/>
      <c r="AD18" s="191"/>
      <c r="AE18" s="192"/>
      <c r="AF18" s="369"/>
      <c r="AG18" s="135"/>
      <c r="AH18" s="135" t="s">
        <v>53</v>
      </c>
      <c r="AI18" s="135"/>
      <c r="AJ18" s="367"/>
      <c r="AK18" s="367"/>
      <c r="AL18" s="367"/>
      <c r="AM18" s="367"/>
      <c r="AN18" s="135">
        <v>6715000</v>
      </c>
      <c r="AO18" s="135">
        <v>6555000</v>
      </c>
      <c r="AP18" s="135">
        <v>2640000</v>
      </c>
      <c r="AQ18" s="135">
        <v>1302000</v>
      </c>
      <c r="AR18" s="370"/>
      <c r="AS18" s="192"/>
      <c r="AT18" s="135">
        <v>3264695</v>
      </c>
      <c r="AU18" s="135">
        <v>3863760</v>
      </c>
      <c r="AV18" s="135">
        <v>3429225</v>
      </c>
      <c r="AW18" s="135">
        <v>3525360</v>
      </c>
      <c r="AX18" s="135">
        <v>2509485</v>
      </c>
      <c r="AY18" s="135">
        <v>2829000</v>
      </c>
      <c r="AZ18" s="135">
        <v>3666000</v>
      </c>
      <c r="BA18" s="135">
        <v>5705000</v>
      </c>
      <c r="BB18" s="135">
        <v>5691000</v>
      </c>
      <c r="BC18" s="135">
        <v>5600000</v>
      </c>
      <c r="BD18" s="135">
        <v>2430000</v>
      </c>
      <c r="BE18" s="135">
        <v>800000</v>
      </c>
      <c r="BF18" s="193">
        <f t="shared" si="48"/>
        <v>43313525</v>
      </c>
      <c r="BG18" s="194"/>
      <c r="BH18" s="135">
        <v>3498000</v>
      </c>
      <c r="BI18" s="135">
        <v>3346000</v>
      </c>
      <c r="BJ18" s="135">
        <v>3856000</v>
      </c>
      <c r="BK18" s="135">
        <v>3460000</v>
      </c>
      <c r="BL18" s="135">
        <v>2669500</v>
      </c>
      <c r="BM18" s="135">
        <v>2577200</v>
      </c>
      <c r="BN18" s="135">
        <v>3702000</v>
      </c>
      <c r="BO18" s="135">
        <v>4621000</v>
      </c>
      <c r="BP18" s="135">
        <v>4963000</v>
      </c>
      <c r="BQ18" s="135">
        <v>4538000</v>
      </c>
      <c r="BR18" s="135">
        <v>2240000</v>
      </c>
      <c r="BS18" s="135">
        <v>868000</v>
      </c>
      <c r="BT18" s="135"/>
      <c r="BU18" s="177"/>
      <c r="BV18" s="135">
        <v>3498000</v>
      </c>
      <c r="BW18" s="135">
        <v>3346000</v>
      </c>
      <c r="BX18" s="135">
        <v>3856000</v>
      </c>
      <c r="BY18" s="135">
        <v>3460000</v>
      </c>
      <c r="BZ18" s="135">
        <v>2669500</v>
      </c>
      <c r="CA18" s="135">
        <v>2577200</v>
      </c>
      <c r="CB18" s="135">
        <v>3702000</v>
      </c>
      <c r="CC18" s="135">
        <v>4621000</v>
      </c>
      <c r="CD18" s="135">
        <v>4963000</v>
      </c>
      <c r="CE18" s="135">
        <v>4538000</v>
      </c>
      <c r="CF18" s="135">
        <v>2240000</v>
      </c>
      <c r="CG18" s="135">
        <v>868000</v>
      </c>
      <c r="CH18" s="135"/>
    </row>
    <row r="19" spans="1:86">
      <c r="A19" s="196"/>
      <c r="B19" s="197" t="s">
        <v>54</v>
      </c>
      <c r="C19" s="197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371"/>
      <c r="Q19" s="199"/>
      <c r="R19" s="372"/>
      <c r="S19" s="193"/>
      <c r="T19" s="193"/>
      <c r="U19" s="193"/>
      <c r="V19" s="373"/>
      <c r="W19" s="374"/>
      <c r="X19" s="374"/>
      <c r="Y19" s="374"/>
      <c r="Z19" s="374"/>
      <c r="AA19" s="374"/>
      <c r="AB19" s="374"/>
      <c r="AC19" s="200"/>
      <c r="AD19" s="201"/>
      <c r="AE19" s="23"/>
      <c r="AF19" s="375"/>
      <c r="AG19" s="193"/>
      <c r="AH19" s="193"/>
      <c r="AI19" s="193"/>
      <c r="AJ19" s="373"/>
      <c r="AK19" s="373"/>
      <c r="AL19" s="373"/>
      <c r="AM19" s="373"/>
      <c r="AN19" s="193">
        <f t="shared" ref="AN19:AQ19" si="59">30</f>
        <v>30</v>
      </c>
      <c r="AO19" s="193">
        <f t="shared" si="59"/>
        <v>30</v>
      </c>
      <c r="AP19" s="193">
        <f t="shared" si="59"/>
        <v>30</v>
      </c>
      <c r="AQ19" s="193">
        <f t="shared" si="59"/>
        <v>30</v>
      </c>
      <c r="AR19" s="292"/>
      <c r="AS19" s="23"/>
      <c r="AT19" s="193">
        <v>28</v>
      </c>
      <c r="AU19" s="193">
        <v>29</v>
      </c>
      <c r="AV19" s="193">
        <v>29</v>
      </c>
      <c r="AW19" s="193">
        <v>29</v>
      </c>
      <c r="AX19" s="193">
        <v>29</v>
      </c>
      <c r="AY19" s="193">
        <v>27</v>
      </c>
      <c r="AZ19" s="193">
        <v>27</v>
      </c>
      <c r="BA19" s="193">
        <v>27</v>
      </c>
      <c r="BB19" s="193">
        <v>27</v>
      </c>
      <c r="BC19" s="193">
        <v>26.07</v>
      </c>
      <c r="BD19" s="193">
        <v>26.07</v>
      </c>
      <c r="BE19" s="193">
        <v>26.07</v>
      </c>
      <c r="BF19" s="375"/>
      <c r="BG19" s="93"/>
      <c r="BH19" s="193">
        <v>27</v>
      </c>
      <c r="BI19" s="193">
        <v>27</v>
      </c>
      <c r="BJ19" s="193">
        <v>27</v>
      </c>
      <c r="BK19" s="193">
        <v>27</v>
      </c>
      <c r="BL19" s="193">
        <v>27</v>
      </c>
      <c r="BM19" s="193">
        <v>27</v>
      </c>
      <c r="BN19" s="193">
        <v>27</v>
      </c>
      <c r="BO19" s="193">
        <v>27</v>
      </c>
      <c r="BP19" s="193">
        <v>27</v>
      </c>
      <c r="BQ19" s="193">
        <v>27</v>
      </c>
      <c r="BR19" s="193">
        <v>27</v>
      </c>
      <c r="BS19" s="193">
        <v>27</v>
      </c>
      <c r="BT19" s="193"/>
      <c r="BU19" s="177"/>
      <c r="BV19" s="193">
        <v>27</v>
      </c>
      <c r="BW19" s="193">
        <v>27</v>
      </c>
      <c r="BX19" s="193">
        <v>27</v>
      </c>
      <c r="BY19" s="193">
        <v>27</v>
      </c>
      <c r="BZ19" s="193">
        <v>27</v>
      </c>
      <c r="CA19" s="193">
        <v>27</v>
      </c>
      <c r="CB19" s="193">
        <v>27</v>
      </c>
      <c r="CC19" s="193">
        <v>27</v>
      </c>
      <c r="CD19" s="193">
        <v>27</v>
      </c>
      <c r="CE19" s="193">
        <v>27</v>
      </c>
      <c r="CF19" s="193">
        <v>27</v>
      </c>
      <c r="CG19" s="193">
        <v>27</v>
      </c>
      <c r="CH19" s="193"/>
    </row>
    <row r="20" spans="1:86">
      <c r="A20" s="202"/>
      <c r="B20" s="376" t="s">
        <v>268</v>
      </c>
      <c r="C20" s="377"/>
      <c r="D20" s="203">
        <v>82250</v>
      </c>
      <c r="E20" s="203">
        <v>117000</v>
      </c>
      <c r="F20" s="203">
        <v>121750</v>
      </c>
      <c r="G20" s="203">
        <v>150000</v>
      </c>
      <c r="H20" s="203">
        <v>99500</v>
      </c>
      <c r="I20" s="203">
        <v>102000</v>
      </c>
      <c r="J20" s="203">
        <v>177632</v>
      </c>
      <c r="K20" s="203">
        <v>178158</v>
      </c>
      <c r="L20" s="203">
        <v>199211</v>
      </c>
      <c r="M20" s="203">
        <v>229474</v>
      </c>
      <c r="N20" s="203">
        <v>122368</v>
      </c>
      <c r="O20" s="203">
        <v>38421</v>
      </c>
      <c r="P20" s="378">
        <f>SUM(D20:O20)</f>
        <v>1617764</v>
      </c>
      <c r="Q20" s="204"/>
      <c r="R20" s="379">
        <v>115619.79612330014</v>
      </c>
      <c r="S20" s="205">
        <v>123327.78253152016</v>
      </c>
      <c r="T20" s="205">
        <v>128854</v>
      </c>
      <c r="U20" s="205">
        <f>126016*0.15</f>
        <v>18902.399999999998</v>
      </c>
      <c r="V20" s="206">
        <v>35234</v>
      </c>
      <c r="W20" s="206">
        <v>56469.381950239796</v>
      </c>
      <c r="X20" s="206">
        <v>118413.33333333299</v>
      </c>
      <c r="Y20" s="206">
        <v>198797.08333333331</v>
      </c>
      <c r="Z20" s="206">
        <v>242087.5</v>
      </c>
      <c r="AA20" s="206">
        <v>140000</v>
      </c>
      <c r="AB20" s="206">
        <v>0</v>
      </c>
      <c r="AC20" s="205">
        <v>-45300</v>
      </c>
      <c r="AD20" s="380">
        <f>SUM(R20:AC20)</f>
        <v>1132405.2772717264</v>
      </c>
      <c r="AE20" s="23"/>
      <c r="AF20" s="381">
        <v>90146</v>
      </c>
      <c r="AG20" s="205">
        <v>155577</v>
      </c>
      <c r="AH20" s="205">
        <v>62953</v>
      </c>
      <c r="AI20" s="205">
        <v>73261</v>
      </c>
      <c r="AJ20" s="206">
        <v>91856</v>
      </c>
      <c r="AK20" s="206">
        <v>120000</v>
      </c>
      <c r="AL20" s="206">
        <v>110295</v>
      </c>
      <c r="AM20" s="206">
        <v>200203</v>
      </c>
      <c r="AN20" s="205">
        <f t="shared" ref="AN20:AQ20" si="60">AN18/AN19</f>
        <v>223833.33333333334</v>
      </c>
      <c r="AO20" s="205">
        <f t="shared" si="60"/>
        <v>218500</v>
      </c>
      <c r="AP20" s="205">
        <f t="shared" si="60"/>
        <v>88000</v>
      </c>
      <c r="AQ20" s="205">
        <f t="shared" si="60"/>
        <v>43400</v>
      </c>
      <c r="AR20" s="364">
        <f>SUM(AF20:AQ20)</f>
        <v>1478024.3333333333</v>
      </c>
      <c r="AS20" s="23"/>
      <c r="AT20" s="205">
        <f t="shared" ref="AT20:BE20" si="61">AT18/AT19</f>
        <v>116596.25</v>
      </c>
      <c r="AU20" s="205">
        <f t="shared" si="61"/>
        <v>133233.10344827586</v>
      </c>
      <c r="AV20" s="205">
        <f t="shared" si="61"/>
        <v>118249.13793103448</v>
      </c>
      <c r="AW20" s="205">
        <f t="shared" si="61"/>
        <v>121564.13793103448</v>
      </c>
      <c r="AX20" s="205">
        <f t="shared" si="61"/>
        <v>86533.965517241377</v>
      </c>
      <c r="AY20" s="205">
        <f t="shared" si="61"/>
        <v>104777.77777777778</v>
      </c>
      <c r="AZ20" s="205">
        <f t="shared" si="61"/>
        <v>135777.77777777778</v>
      </c>
      <c r="BA20" s="205">
        <f t="shared" si="61"/>
        <v>211296.29629629629</v>
      </c>
      <c r="BB20" s="205">
        <f t="shared" si="61"/>
        <v>210777.77777777778</v>
      </c>
      <c r="BC20" s="205">
        <f t="shared" si="61"/>
        <v>214806.29075565783</v>
      </c>
      <c r="BD20" s="205">
        <f t="shared" si="61"/>
        <v>93210.586881472962</v>
      </c>
      <c r="BE20" s="205">
        <f t="shared" si="61"/>
        <v>30686.612965093977</v>
      </c>
      <c r="BF20" s="205">
        <f>SUM(AT20:BE20)</f>
        <v>1577509.7150594404</v>
      </c>
      <c r="BG20" s="27">
        <f>BF20-AR20</f>
        <v>99485.381726107094</v>
      </c>
      <c r="BH20" s="205">
        <f t="shared" ref="BH20:BT20" si="62">BH17</f>
        <v>116600</v>
      </c>
      <c r="BI20" s="205">
        <f t="shared" si="62"/>
        <v>111533.33333333333</v>
      </c>
      <c r="BJ20" s="205">
        <f t="shared" si="62"/>
        <v>128533.33333333331</v>
      </c>
      <c r="BK20" s="205">
        <f t="shared" si="62"/>
        <v>128148.14814814815</v>
      </c>
      <c r="BL20" s="205">
        <f t="shared" si="62"/>
        <v>98870.370370370365</v>
      </c>
      <c r="BM20" s="205">
        <f t="shared" si="62"/>
        <v>95451.851851851854</v>
      </c>
      <c r="BN20" s="205">
        <f t="shared" si="62"/>
        <v>137111.11111111112</v>
      </c>
      <c r="BO20" s="205">
        <f t="shared" si="62"/>
        <v>171148.14814814815</v>
      </c>
      <c r="BP20" s="205">
        <f t="shared" si="62"/>
        <v>183814.8148148148</v>
      </c>
      <c r="BQ20" s="205">
        <f t="shared" si="62"/>
        <v>168074.07407407407</v>
      </c>
      <c r="BR20" s="205">
        <f t="shared" si="62"/>
        <v>82962.962962962964</v>
      </c>
      <c r="BS20" s="205">
        <f t="shared" si="62"/>
        <v>32148.14814814815</v>
      </c>
      <c r="BT20" s="205">
        <f t="shared" si="62"/>
        <v>1454396.2962962964</v>
      </c>
      <c r="BU20" s="184">
        <f>BT20/BF50-1</f>
        <v>0.13090798386702196</v>
      </c>
      <c r="BV20" s="205">
        <f t="shared" ref="BV20:CH20" si="63">BV17</f>
        <v>115746.75</v>
      </c>
      <c r="BW20" s="205">
        <f t="shared" si="63"/>
        <v>108199.35</v>
      </c>
      <c r="BX20" s="205">
        <f t="shared" si="63"/>
        <v>134959.99999999997</v>
      </c>
      <c r="BY20" s="205">
        <f t="shared" si="63"/>
        <v>134555.55555555556</v>
      </c>
      <c r="BZ20" s="205">
        <f t="shared" si="63"/>
        <v>103813.88888888889</v>
      </c>
      <c r="CA20" s="205">
        <f t="shared" si="63"/>
        <v>100224.44444444445</v>
      </c>
      <c r="CB20" s="205">
        <f t="shared" si="63"/>
        <v>143966.66666666669</v>
      </c>
      <c r="CC20" s="205">
        <f t="shared" si="63"/>
        <v>179705.55555555556</v>
      </c>
      <c r="CD20" s="205">
        <f t="shared" si="63"/>
        <v>193005.55555555556</v>
      </c>
      <c r="CE20" s="205">
        <f t="shared" si="63"/>
        <v>176477.77777777778</v>
      </c>
      <c r="CF20" s="205">
        <f t="shared" si="63"/>
        <v>87111.111111111109</v>
      </c>
      <c r="CG20" s="205">
        <f t="shared" si="63"/>
        <v>33755.555555555562</v>
      </c>
      <c r="CH20" s="205">
        <f t="shared" si="63"/>
        <v>1511522.2111111109</v>
      </c>
    </row>
    <row r="21" spans="1:86">
      <c r="A21" s="207"/>
      <c r="B21" s="208"/>
      <c r="C21" s="209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310"/>
      <c r="Q21" s="84"/>
      <c r="R21" s="309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311"/>
      <c r="AE21" s="23"/>
      <c r="AF21" s="312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6"/>
      <c r="AS21" s="23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2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17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</row>
    <row r="22" spans="1:86" hidden="1">
      <c r="A22" s="94">
        <v>1</v>
      </c>
      <c r="B22" s="1092" t="s">
        <v>56</v>
      </c>
      <c r="C22" s="1127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314">
        <f t="shared" ref="P22:P34" si="64">SUM(D22:O22)</f>
        <v>0</v>
      </c>
      <c r="Q22" s="90"/>
      <c r="R22" s="313">
        <v>7017.5438596491231</v>
      </c>
      <c r="S22" s="91">
        <v>7017.5438596491231</v>
      </c>
      <c r="T22" s="91">
        <f>7017.54385964912/2</f>
        <v>3508.7719298245602</v>
      </c>
      <c r="U22" s="91">
        <f>96*U3</f>
        <v>96</v>
      </c>
      <c r="V22" s="91">
        <v>3000</v>
      </c>
      <c r="W22" s="91">
        <v>7200</v>
      </c>
      <c r="X22" s="91">
        <v>8500</v>
      </c>
      <c r="Y22" s="91">
        <v>8500</v>
      </c>
      <c r="Z22" s="91">
        <v>8500</v>
      </c>
      <c r="AA22" s="91">
        <v>9000</v>
      </c>
      <c r="AB22" s="91">
        <v>9500</v>
      </c>
      <c r="AC22" s="91">
        <v>8500</v>
      </c>
      <c r="AD22" s="315">
        <f t="shared" ref="AD22:AD36" si="65">SUM(R22:AC22)</f>
        <v>80339.859649122809</v>
      </c>
      <c r="AE22" s="23"/>
      <c r="AF22" s="316">
        <v>8000</v>
      </c>
      <c r="AG22" s="91">
        <v>4000</v>
      </c>
      <c r="AH22" s="91">
        <v>5673</v>
      </c>
      <c r="AI22" s="91">
        <v>4500</v>
      </c>
      <c r="AJ22" s="91">
        <v>7892</v>
      </c>
      <c r="AK22" s="91">
        <v>6400</v>
      </c>
      <c r="AL22" s="91">
        <v>8000</v>
      </c>
      <c r="AM22" s="91">
        <v>8000</v>
      </c>
      <c r="AN22" s="91">
        <v>8000</v>
      </c>
      <c r="AO22" s="91">
        <v>8000</v>
      </c>
      <c r="AP22" s="91">
        <v>8800</v>
      </c>
      <c r="AQ22" s="91">
        <v>6400</v>
      </c>
      <c r="AR22" s="92">
        <f t="shared" ref="AR22:AR40" si="66">SUM(AF22:AQ22)</f>
        <v>83665</v>
      </c>
      <c r="AS22" s="23"/>
      <c r="AT22" s="91">
        <v>4861</v>
      </c>
      <c r="AU22" s="91">
        <v>5809</v>
      </c>
      <c r="AV22" s="91">
        <v>5072</v>
      </c>
      <c r="AW22" s="91">
        <v>4725</v>
      </c>
      <c r="AX22" s="317">
        <v>5832</v>
      </c>
      <c r="AY22" s="317">
        <v>5832</v>
      </c>
      <c r="AZ22" s="317">
        <v>5567</v>
      </c>
      <c r="BA22" s="317">
        <v>5567</v>
      </c>
      <c r="BB22" s="317">
        <v>5832</v>
      </c>
      <c r="BC22" s="317">
        <v>6892</v>
      </c>
      <c r="BD22" s="317">
        <v>7422</v>
      </c>
      <c r="BE22" s="317">
        <v>4241</v>
      </c>
      <c r="BF22" s="91">
        <f t="shared" ref="BF22:BF54" si="67">SUM(AT22:BE22)</f>
        <v>67652</v>
      </c>
      <c r="BG22" s="93">
        <f t="shared" ref="BG22:BG40" si="68">BF22/AR22-1</f>
        <v>-0.19139425088149165</v>
      </c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177"/>
      <c r="BV22" s="91"/>
      <c r="BW22" s="91"/>
      <c r="BX22" s="91"/>
      <c r="BY22" s="91"/>
      <c r="BZ22" s="91"/>
      <c r="CA22" s="91"/>
      <c r="CB22" s="91"/>
      <c r="CC22" s="91"/>
      <c r="CD22" s="91"/>
      <c r="CE22" s="91"/>
      <c r="CF22" s="91"/>
      <c r="CG22" s="91"/>
      <c r="CH22" s="91"/>
    </row>
    <row r="23" spans="1:86" hidden="1">
      <c r="A23" s="94">
        <v>2</v>
      </c>
      <c r="B23" s="1092" t="s">
        <v>57</v>
      </c>
      <c r="C23" s="1127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314">
        <f t="shared" si="64"/>
        <v>0</v>
      </c>
      <c r="Q23" s="90"/>
      <c r="R23" s="313">
        <v>2909</v>
      </c>
      <c r="S23" s="91">
        <v>2545</v>
      </c>
      <c r="T23" s="91">
        <f>2727/1.2</f>
        <v>2272.5</v>
      </c>
      <c r="U23" s="91">
        <f>2*U3</f>
        <v>2</v>
      </c>
      <c r="V23" s="91">
        <v>500</v>
      </c>
      <c r="W23" s="91">
        <v>1300</v>
      </c>
      <c r="X23" s="91">
        <v>3200</v>
      </c>
      <c r="Y23" s="91">
        <v>3200</v>
      </c>
      <c r="Z23" s="91">
        <v>3600</v>
      </c>
      <c r="AA23" s="91">
        <v>3600</v>
      </c>
      <c r="AB23" s="91">
        <v>3600</v>
      </c>
      <c r="AC23" s="91">
        <v>4500</v>
      </c>
      <c r="AD23" s="315">
        <f t="shared" si="65"/>
        <v>31228.5</v>
      </c>
      <c r="AE23" s="23"/>
      <c r="AF23" s="316">
        <v>4000</v>
      </c>
      <c r="AG23" s="91">
        <v>1500</v>
      </c>
      <c r="AH23" s="91">
        <v>189</v>
      </c>
      <c r="AI23" s="91">
        <v>1842</v>
      </c>
      <c r="AJ23" s="91">
        <v>3764</v>
      </c>
      <c r="AK23" s="91">
        <v>3200</v>
      </c>
      <c r="AL23" s="91">
        <v>6000</v>
      </c>
      <c r="AM23" s="91">
        <v>5000</v>
      </c>
      <c r="AN23" s="91">
        <v>5000</v>
      </c>
      <c r="AO23" s="91">
        <v>5000</v>
      </c>
      <c r="AP23" s="91">
        <v>5000</v>
      </c>
      <c r="AQ23" s="91">
        <v>9000</v>
      </c>
      <c r="AR23" s="92">
        <f t="shared" si="66"/>
        <v>49495</v>
      </c>
      <c r="AS23" s="23"/>
      <c r="AT23" s="91">
        <v>5468</v>
      </c>
      <c r="AU23" s="91">
        <v>5468</v>
      </c>
      <c r="AV23" s="91">
        <v>6249</v>
      </c>
      <c r="AW23" s="91">
        <v>6249</v>
      </c>
      <c r="AX23" s="317">
        <v>3923</v>
      </c>
      <c r="AY23" s="317">
        <v>3923</v>
      </c>
      <c r="AZ23" s="317">
        <v>3745</v>
      </c>
      <c r="BA23" s="317">
        <v>3745</v>
      </c>
      <c r="BB23" s="317">
        <v>3923</v>
      </c>
      <c r="BC23" s="317">
        <v>4636</v>
      </c>
      <c r="BD23" s="317">
        <v>4993</v>
      </c>
      <c r="BE23" s="317">
        <v>7133</v>
      </c>
      <c r="BF23" s="91">
        <f t="shared" si="67"/>
        <v>59455</v>
      </c>
      <c r="BG23" s="93">
        <f t="shared" si="68"/>
        <v>0.20123244772199222</v>
      </c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177"/>
      <c r="BV23" s="91"/>
      <c r="BW23" s="91"/>
      <c r="BX23" s="91"/>
      <c r="BY23" s="91"/>
      <c r="BZ23" s="91"/>
      <c r="CA23" s="91"/>
      <c r="CB23" s="91"/>
      <c r="CC23" s="91"/>
      <c r="CD23" s="91"/>
      <c r="CE23" s="91"/>
      <c r="CF23" s="91"/>
      <c r="CG23" s="91"/>
      <c r="CH23" s="91"/>
    </row>
    <row r="24" spans="1:86" hidden="1">
      <c r="A24" s="94">
        <v>3</v>
      </c>
      <c r="B24" s="1092" t="s">
        <v>58</v>
      </c>
      <c r="C24" s="1127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314">
        <f t="shared" si="64"/>
        <v>0</v>
      </c>
      <c r="Q24" s="90"/>
      <c r="R24" s="313">
        <v>746</v>
      </c>
      <c r="S24" s="91">
        <v>653</v>
      </c>
      <c r="T24" s="91">
        <v>700</v>
      </c>
      <c r="U24" s="91">
        <v>0</v>
      </c>
      <c r="V24" s="91">
        <v>200</v>
      </c>
      <c r="W24" s="91">
        <v>400</v>
      </c>
      <c r="X24" s="91">
        <v>900</v>
      </c>
      <c r="Y24" s="91">
        <v>900</v>
      </c>
      <c r="Z24" s="91">
        <v>900</v>
      </c>
      <c r="AA24" s="91">
        <v>900</v>
      </c>
      <c r="AB24" s="91">
        <v>900</v>
      </c>
      <c r="AC24" s="91">
        <v>1200</v>
      </c>
      <c r="AD24" s="315">
        <f t="shared" si="65"/>
        <v>8399</v>
      </c>
      <c r="AE24" s="23"/>
      <c r="AF24" s="316">
        <v>1800</v>
      </c>
      <c r="AG24" s="91">
        <v>1200</v>
      </c>
      <c r="AH24" s="91">
        <v>230</v>
      </c>
      <c r="AI24" s="91">
        <v>472</v>
      </c>
      <c r="AJ24" s="91">
        <v>1495</v>
      </c>
      <c r="AK24" s="91">
        <v>1200</v>
      </c>
      <c r="AL24" s="91">
        <v>1500</v>
      </c>
      <c r="AM24" s="91">
        <v>1500</v>
      </c>
      <c r="AN24" s="91">
        <v>1500</v>
      </c>
      <c r="AO24" s="91">
        <v>1500</v>
      </c>
      <c r="AP24" s="91">
        <v>1650</v>
      </c>
      <c r="AQ24" s="91">
        <v>2400</v>
      </c>
      <c r="AR24" s="92">
        <f t="shared" si="66"/>
        <v>16447</v>
      </c>
      <c r="AS24" s="23"/>
      <c r="AT24" s="91">
        <v>2438</v>
      </c>
      <c r="AU24" s="91">
        <v>1501</v>
      </c>
      <c r="AV24" s="91">
        <v>1566</v>
      </c>
      <c r="AW24" s="91">
        <v>2127</v>
      </c>
      <c r="AX24" s="317">
        <v>1928</v>
      </c>
      <c r="AY24" s="317">
        <v>1928</v>
      </c>
      <c r="AZ24" s="317">
        <v>1840</v>
      </c>
      <c r="BA24" s="317">
        <v>1840</v>
      </c>
      <c r="BB24" s="317">
        <v>1928</v>
      </c>
      <c r="BC24" s="317">
        <v>2278</v>
      </c>
      <c r="BD24" s="317">
        <v>2454</v>
      </c>
      <c r="BE24" s="317">
        <v>3505</v>
      </c>
      <c r="BF24" s="91">
        <f t="shared" si="67"/>
        <v>25333</v>
      </c>
      <c r="BG24" s="93">
        <f t="shared" si="68"/>
        <v>0.54028090229221126</v>
      </c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177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1"/>
      <c r="CG24" s="91"/>
      <c r="CH24" s="91"/>
    </row>
    <row r="25" spans="1:86" hidden="1">
      <c r="A25" s="94">
        <v>4</v>
      </c>
      <c r="B25" s="1092" t="s">
        <v>59</v>
      </c>
      <c r="C25" s="1127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314">
        <f t="shared" si="64"/>
        <v>0</v>
      </c>
      <c r="Q25" s="90"/>
      <c r="R25" s="313">
        <v>1455</v>
      </c>
      <c r="S25" s="91">
        <f>2036</f>
        <v>2036</v>
      </c>
      <c r="T25" s="91">
        <f>2182/2</f>
        <v>1091</v>
      </c>
      <c r="U25" s="91">
        <v>0</v>
      </c>
      <c r="V25" s="91">
        <v>200</v>
      </c>
      <c r="W25" s="91">
        <v>900</v>
      </c>
      <c r="X25" s="91">
        <v>1600</v>
      </c>
      <c r="Y25" s="91">
        <v>1600</v>
      </c>
      <c r="Z25" s="91">
        <v>1600</v>
      </c>
      <c r="AA25" s="91">
        <v>1600</v>
      </c>
      <c r="AB25" s="91">
        <v>2200</v>
      </c>
      <c r="AC25" s="91">
        <v>2500</v>
      </c>
      <c r="AD25" s="315">
        <f t="shared" si="65"/>
        <v>16782</v>
      </c>
      <c r="AE25" s="23"/>
      <c r="AF25" s="316">
        <v>2200</v>
      </c>
      <c r="AG25" s="91">
        <v>1500</v>
      </c>
      <c r="AH25" s="91">
        <v>121</v>
      </c>
      <c r="AI25" s="91">
        <v>565</v>
      </c>
      <c r="AJ25" s="91">
        <v>1514</v>
      </c>
      <c r="AK25" s="91">
        <v>1760</v>
      </c>
      <c r="AL25" s="91">
        <v>1800</v>
      </c>
      <c r="AM25" s="91">
        <v>2200</v>
      </c>
      <c r="AN25" s="91">
        <v>2200</v>
      </c>
      <c r="AO25" s="91">
        <v>2200</v>
      </c>
      <c r="AP25" s="91">
        <v>2420</v>
      </c>
      <c r="AQ25" s="91">
        <v>3520</v>
      </c>
      <c r="AR25" s="92">
        <f t="shared" si="66"/>
        <v>22000</v>
      </c>
      <c r="AS25" s="23"/>
      <c r="AT25" s="91">
        <v>1529</v>
      </c>
      <c r="AU25" s="91">
        <v>1516</v>
      </c>
      <c r="AV25" s="91">
        <v>1586</v>
      </c>
      <c r="AW25" s="91">
        <v>1979</v>
      </c>
      <c r="AX25" s="317">
        <v>1283</v>
      </c>
      <c r="AY25" s="317">
        <v>1283</v>
      </c>
      <c r="AZ25" s="317">
        <v>1224</v>
      </c>
      <c r="BA25" s="317">
        <v>1224</v>
      </c>
      <c r="BB25" s="317">
        <v>1283</v>
      </c>
      <c r="BC25" s="317">
        <v>1516</v>
      </c>
      <c r="BD25" s="317">
        <v>1632</v>
      </c>
      <c r="BE25" s="317">
        <v>2332</v>
      </c>
      <c r="BF25" s="91">
        <f t="shared" si="67"/>
        <v>18387</v>
      </c>
      <c r="BG25" s="93">
        <f t="shared" si="68"/>
        <v>-0.16422727272727278</v>
      </c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177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</row>
    <row r="26" spans="1:86" hidden="1">
      <c r="A26" s="94">
        <v>5</v>
      </c>
      <c r="B26" s="1092" t="s">
        <v>60</v>
      </c>
      <c r="C26" s="1127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314">
        <f t="shared" si="64"/>
        <v>0</v>
      </c>
      <c r="Q26" s="90"/>
      <c r="R26" s="313">
        <v>1353</v>
      </c>
      <c r="S26" s="91">
        <v>1184</v>
      </c>
      <c r="T26" s="91">
        <v>1268</v>
      </c>
      <c r="U26" s="91">
        <f t="shared" ref="U26:V26" si="69">10*U3</f>
        <v>10</v>
      </c>
      <c r="V26" s="91">
        <f t="shared" si="69"/>
        <v>120</v>
      </c>
      <c r="W26" s="91">
        <v>600</v>
      </c>
      <c r="X26" s="91">
        <v>1600</v>
      </c>
      <c r="Y26" s="91">
        <v>1600</v>
      </c>
      <c r="Z26" s="91">
        <v>1600</v>
      </c>
      <c r="AA26" s="91">
        <v>1600</v>
      </c>
      <c r="AB26" s="91">
        <v>1600</v>
      </c>
      <c r="AC26" s="91">
        <v>2200</v>
      </c>
      <c r="AD26" s="315">
        <f t="shared" si="65"/>
        <v>14735</v>
      </c>
      <c r="AE26" s="23"/>
      <c r="AF26" s="316">
        <v>1800</v>
      </c>
      <c r="AG26" s="91">
        <v>1200</v>
      </c>
      <c r="AH26" s="91">
        <v>181</v>
      </c>
      <c r="AI26" s="91">
        <v>628</v>
      </c>
      <c r="AJ26" s="91">
        <v>1169</v>
      </c>
      <c r="AK26" s="91">
        <v>960</v>
      </c>
      <c r="AL26" s="91">
        <v>1500</v>
      </c>
      <c r="AM26" s="91">
        <v>1200</v>
      </c>
      <c r="AN26" s="91">
        <v>1200</v>
      </c>
      <c r="AO26" s="91">
        <v>1200</v>
      </c>
      <c r="AP26" s="91">
        <v>1320</v>
      </c>
      <c r="AQ26" s="91">
        <v>1920</v>
      </c>
      <c r="AR26" s="92">
        <f t="shared" si="66"/>
        <v>14278</v>
      </c>
      <c r="AS26" s="23"/>
      <c r="AT26" s="91">
        <v>1496</v>
      </c>
      <c r="AU26" s="91">
        <v>1200</v>
      </c>
      <c r="AV26" s="91">
        <v>1227</v>
      </c>
      <c r="AW26" s="91">
        <v>1655</v>
      </c>
      <c r="AX26" s="317">
        <v>1141</v>
      </c>
      <c r="AY26" s="317">
        <v>1141</v>
      </c>
      <c r="AZ26" s="317">
        <v>1089</v>
      </c>
      <c r="BA26" s="317">
        <v>1089</v>
      </c>
      <c r="BB26" s="317">
        <v>1141</v>
      </c>
      <c r="BC26" s="317">
        <v>1349</v>
      </c>
      <c r="BD26" s="317">
        <v>1453</v>
      </c>
      <c r="BE26" s="317">
        <v>2075</v>
      </c>
      <c r="BF26" s="91">
        <f t="shared" si="67"/>
        <v>16056</v>
      </c>
      <c r="BG26" s="93">
        <f t="shared" si="68"/>
        <v>0.1245272447121446</v>
      </c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177"/>
      <c r="BV26" s="91"/>
      <c r="BW26" s="91"/>
      <c r="BX26" s="91"/>
      <c r="BY26" s="91"/>
      <c r="BZ26" s="91"/>
      <c r="CA26" s="91"/>
      <c r="CB26" s="91"/>
      <c r="CC26" s="91"/>
      <c r="CD26" s="91"/>
      <c r="CE26" s="91"/>
      <c r="CF26" s="91"/>
      <c r="CG26" s="91"/>
      <c r="CH26" s="91"/>
    </row>
    <row r="27" spans="1:86" hidden="1">
      <c r="A27" s="94">
        <v>6</v>
      </c>
      <c r="B27" s="1092" t="s">
        <v>61</v>
      </c>
      <c r="C27" s="1127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314">
        <f t="shared" si="64"/>
        <v>0</v>
      </c>
      <c r="Q27" s="90"/>
      <c r="R27" s="313">
        <v>1455</v>
      </c>
      <c r="S27" s="91">
        <v>1273</v>
      </c>
      <c r="T27" s="91">
        <v>1364</v>
      </c>
      <c r="U27" s="91">
        <v>0</v>
      </c>
      <c r="V27" s="91">
        <v>200</v>
      </c>
      <c r="W27" s="91">
        <v>800</v>
      </c>
      <c r="X27" s="91">
        <v>1600</v>
      </c>
      <c r="Y27" s="91">
        <v>1600</v>
      </c>
      <c r="Z27" s="91">
        <v>1600</v>
      </c>
      <c r="AA27" s="91">
        <v>1600</v>
      </c>
      <c r="AB27" s="91">
        <v>1800</v>
      </c>
      <c r="AC27" s="91">
        <v>2400</v>
      </c>
      <c r="AD27" s="315">
        <f t="shared" si="65"/>
        <v>15692</v>
      </c>
      <c r="AE27" s="23"/>
      <c r="AF27" s="316">
        <v>1500</v>
      </c>
      <c r="AG27" s="91">
        <v>1200</v>
      </c>
      <c r="AH27" s="91">
        <v>127</v>
      </c>
      <c r="AI27" s="91">
        <v>426</v>
      </c>
      <c r="AJ27" s="91">
        <v>1063</v>
      </c>
      <c r="AK27" s="91">
        <v>960</v>
      </c>
      <c r="AL27" s="91">
        <v>1500</v>
      </c>
      <c r="AM27" s="91">
        <v>1200</v>
      </c>
      <c r="AN27" s="91">
        <v>1200</v>
      </c>
      <c r="AO27" s="91">
        <v>1200</v>
      </c>
      <c r="AP27" s="91">
        <v>1320</v>
      </c>
      <c r="AQ27" s="91">
        <v>1920</v>
      </c>
      <c r="AR27" s="92">
        <f t="shared" si="66"/>
        <v>13616</v>
      </c>
      <c r="AS27" s="23"/>
      <c r="AT27" s="91">
        <v>1222</v>
      </c>
      <c r="AU27" s="91">
        <v>1200</v>
      </c>
      <c r="AV27" s="91">
        <v>1117</v>
      </c>
      <c r="AW27" s="91">
        <v>1463</v>
      </c>
      <c r="AX27" s="317">
        <v>1087</v>
      </c>
      <c r="AY27" s="317">
        <v>1087</v>
      </c>
      <c r="AZ27" s="317">
        <v>1038</v>
      </c>
      <c r="BA27" s="317">
        <v>1038</v>
      </c>
      <c r="BB27" s="317">
        <v>1087</v>
      </c>
      <c r="BC27" s="317">
        <v>1285</v>
      </c>
      <c r="BD27" s="317">
        <v>1384</v>
      </c>
      <c r="BE27" s="317">
        <v>1977</v>
      </c>
      <c r="BF27" s="91">
        <f t="shared" si="67"/>
        <v>14985</v>
      </c>
      <c r="BG27" s="93">
        <f t="shared" si="68"/>
        <v>0.10054347826086962</v>
      </c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177"/>
      <c r="BV27" s="91"/>
      <c r="BW27" s="91"/>
      <c r="BX27" s="91"/>
      <c r="BY27" s="91"/>
      <c r="BZ27" s="91"/>
      <c r="CA27" s="91"/>
      <c r="CB27" s="91"/>
      <c r="CC27" s="91"/>
      <c r="CD27" s="91"/>
      <c r="CE27" s="91"/>
      <c r="CF27" s="91"/>
      <c r="CG27" s="91"/>
      <c r="CH27" s="91"/>
    </row>
    <row r="28" spans="1:86" hidden="1">
      <c r="A28" s="94">
        <v>7</v>
      </c>
      <c r="B28" s="1092" t="s">
        <v>62</v>
      </c>
      <c r="C28" s="1127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314">
        <f t="shared" si="64"/>
        <v>0</v>
      </c>
      <c r="Q28" s="90"/>
      <c r="R28" s="313">
        <v>2000</v>
      </c>
      <c r="S28" s="91">
        <f>2182</f>
        <v>2182</v>
      </c>
      <c r="T28" s="91">
        <f>2455/2</f>
        <v>1227.5</v>
      </c>
      <c r="U28" s="91">
        <f>4*U3</f>
        <v>4</v>
      </c>
      <c r="V28" s="91">
        <v>200</v>
      </c>
      <c r="W28" s="91">
        <v>700</v>
      </c>
      <c r="X28" s="91">
        <v>1600</v>
      </c>
      <c r="Y28" s="91">
        <v>1600</v>
      </c>
      <c r="Z28" s="91">
        <v>1600</v>
      </c>
      <c r="AA28" s="91">
        <v>1600</v>
      </c>
      <c r="AB28" s="91">
        <v>2500</v>
      </c>
      <c r="AC28" s="91">
        <v>3200</v>
      </c>
      <c r="AD28" s="315">
        <f t="shared" si="65"/>
        <v>18413.5</v>
      </c>
      <c r="AE28" s="23"/>
      <c r="AF28" s="316">
        <v>2600</v>
      </c>
      <c r="AG28" s="91">
        <v>1000</v>
      </c>
      <c r="AH28" s="91">
        <v>195</v>
      </c>
      <c r="AI28" s="91">
        <v>844</v>
      </c>
      <c r="AJ28" s="91">
        <v>1973</v>
      </c>
      <c r="AK28" s="91">
        <v>1840</v>
      </c>
      <c r="AL28" s="91">
        <v>2000</v>
      </c>
      <c r="AM28" s="91">
        <v>2300</v>
      </c>
      <c r="AN28" s="91">
        <v>2300</v>
      </c>
      <c r="AO28" s="91">
        <v>2300</v>
      </c>
      <c r="AP28" s="91">
        <v>2530</v>
      </c>
      <c r="AQ28" s="91">
        <v>3680</v>
      </c>
      <c r="AR28" s="92">
        <f t="shared" si="66"/>
        <v>23562</v>
      </c>
      <c r="AS28" s="23"/>
      <c r="AT28" s="91">
        <v>1888</v>
      </c>
      <c r="AU28" s="91">
        <v>1414</v>
      </c>
      <c r="AV28" s="91">
        <v>2073</v>
      </c>
      <c r="AW28" s="91">
        <v>2338</v>
      </c>
      <c r="AX28" s="317">
        <v>1857</v>
      </c>
      <c r="AY28" s="317">
        <v>1857</v>
      </c>
      <c r="AZ28" s="317">
        <v>1772</v>
      </c>
      <c r="BA28" s="317">
        <v>1772</v>
      </c>
      <c r="BB28" s="317">
        <v>1857</v>
      </c>
      <c r="BC28" s="317">
        <v>2194</v>
      </c>
      <c r="BD28" s="317">
        <v>2363</v>
      </c>
      <c r="BE28" s="317">
        <v>3376</v>
      </c>
      <c r="BF28" s="91">
        <f t="shared" si="67"/>
        <v>24761</v>
      </c>
      <c r="BG28" s="93">
        <f t="shared" si="68"/>
        <v>5.0887021475256811E-2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177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  <c r="CH28" s="91"/>
    </row>
    <row r="29" spans="1:86" hidden="1">
      <c r="A29" s="94">
        <v>8</v>
      </c>
      <c r="B29" s="1092" t="s">
        <v>269</v>
      </c>
      <c r="C29" s="1127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314">
        <f t="shared" si="64"/>
        <v>0</v>
      </c>
      <c r="Q29" s="90"/>
      <c r="R29" s="313">
        <v>1636</v>
      </c>
      <c r="S29" s="91">
        <v>1636</v>
      </c>
      <c r="T29" s="91">
        <f t="shared" ref="T29:T30" si="70">1818/2</f>
        <v>909</v>
      </c>
      <c r="U29" s="91">
        <v>0</v>
      </c>
      <c r="V29" s="91">
        <v>200</v>
      </c>
      <c r="W29" s="91">
        <v>300</v>
      </c>
      <c r="X29" s="91">
        <v>1000</v>
      </c>
      <c r="Y29" s="91">
        <v>1200</v>
      </c>
      <c r="Z29" s="91">
        <v>1600</v>
      </c>
      <c r="AA29" s="91">
        <v>1600</v>
      </c>
      <c r="AB29" s="91">
        <v>1800</v>
      </c>
      <c r="AC29" s="91">
        <v>2300</v>
      </c>
      <c r="AD29" s="315">
        <f t="shared" si="65"/>
        <v>14181</v>
      </c>
      <c r="AE29" s="23"/>
      <c r="AF29" s="316">
        <v>1500</v>
      </c>
      <c r="AG29" s="91">
        <v>1000</v>
      </c>
      <c r="AH29" s="91">
        <v>126</v>
      </c>
      <c r="AI29" s="91">
        <v>387</v>
      </c>
      <c r="AJ29" s="91">
        <v>895</v>
      </c>
      <c r="AK29" s="91">
        <v>800</v>
      </c>
      <c r="AL29" s="91">
        <v>1500</v>
      </c>
      <c r="AM29" s="91">
        <v>1000</v>
      </c>
      <c r="AN29" s="91">
        <v>1000</v>
      </c>
      <c r="AO29" s="91">
        <v>1000</v>
      </c>
      <c r="AP29" s="91">
        <v>1100</v>
      </c>
      <c r="AQ29" s="91">
        <v>1600</v>
      </c>
      <c r="AR29" s="92">
        <f t="shared" si="66"/>
        <v>11908</v>
      </c>
      <c r="AS29" s="23"/>
      <c r="AT29" s="91">
        <v>1182</v>
      </c>
      <c r="AU29" s="91">
        <v>1200</v>
      </c>
      <c r="AV29" s="91">
        <v>932</v>
      </c>
      <c r="AW29" s="91">
        <v>1020</v>
      </c>
      <c r="AX29" s="317">
        <v>0</v>
      </c>
      <c r="AY29" s="317">
        <v>0</v>
      </c>
      <c r="AZ29" s="317">
        <v>0</v>
      </c>
      <c r="BA29" s="317">
        <v>0</v>
      </c>
      <c r="BB29" s="317">
        <v>0</v>
      </c>
      <c r="BC29" s="317">
        <v>0</v>
      </c>
      <c r="BD29" s="317">
        <v>0</v>
      </c>
      <c r="BE29" s="317">
        <v>0</v>
      </c>
      <c r="BF29" s="91">
        <f t="shared" si="67"/>
        <v>4334</v>
      </c>
      <c r="BG29" s="93">
        <f t="shared" si="68"/>
        <v>-0.63604299630500505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177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  <c r="CH29" s="91"/>
    </row>
    <row r="30" spans="1:86" hidden="1">
      <c r="A30" s="94">
        <v>9</v>
      </c>
      <c r="B30" s="1092" t="s">
        <v>64</v>
      </c>
      <c r="C30" s="1127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314">
        <f t="shared" si="64"/>
        <v>0</v>
      </c>
      <c r="Q30" s="90"/>
      <c r="R30" s="313">
        <v>1636</v>
      </c>
      <c r="S30" s="91">
        <v>1636</v>
      </c>
      <c r="T30" s="91">
        <f t="shared" si="70"/>
        <v>909</v>
      </c>
      <c r="U30" s="91">
        <f>0.5*U3</f>
        <v>0.5</v>
      </c>
      <c r="V30" s="91">
        <v>200</v>
      </c>
      <c r="W30" s="91">
        <v>300</v>
      </c>
      <c r="X30" s="91">
        <v>1000</v>
      </c>
      <c r="Y30" s="91">
        <v>1200</v>
      </c>
      <c r="Z30" s="91">
        <v>1600</v>
      </c>
      <c r="AA30" s="91">
        <v>1600</v>
      </c>
      <c r="AB30" s="91">
        <v>1800</v>
      </c>
      <c r="AC30" s="91">
        <v>2300</v>
      </c>
      <c r="AD30" s="315">
        <f t="shared" si="65"/>
        <v>14181.5</v>
      </c>
      <c r="AE30" s="23"/>
      <c r="AF30" s="316">
        <v>1500</v>
      </c>
      <c r="AG30" s="91">
        <v>1000</v>
      </c>
      <c r="AH30" s="91">
        <v>764</v>
      </c>
      <c r="AI30" s="91">
        <v>561</v>
      </c>
      <c r="AJ30" s="91">
        <v>1353</v>
      </c>
      <c r="AK30" s="91">
        <v>960</v>
      </c>
      <c r="AL30" s="91">
        <v>1500</v>
      </c>
      <c r="AM30" s="91">
        <v>1200</v>
      </c>
      <c r="AN30" s="91">
        <v>1200</v>
      </c>
      <c r="AO30" s="91">
        <v>1200</v>
      </c>
      <c r="AP30" s="91">
        <v>1320</v>
      </c>
      <c r="AQ30" s="91">
        <v>1920</v>
      </c>
      <c r="AR30" s="92">
        <f t="shared" si="66"/>
        <v>14478</v>
      </c>
      <c r="AS30" s="23"/>
      <c r="AT30" s="91">
        <v>1285</v>
      </c>
      <c r="AU30" s="91">
        <v>957</v>
      </c>
      <c r="AV30" s="91">
        <v>1426</v>
      </c>
      <c r="AW30" s="91">
        <v>1595</v>
      </c>
      <c r="AX30" s="317">
        <v>1767</v>
      </c>
      <c r="AY30" s="317">
        <v>1767</v>
      </c>
      <c r="AZ30" s="317">
        <v>1686</v>
      </c>
      <c r="BA30" s="317">
        <v>1686</v>
      </c>
      <c r="BB30" s="317">
        <v>1767</v>
      </c>
      <c r="BC30" s="317">
        <v>2088</v>
      </c>
      <c r="BD30" s="317">
        <v>2248</v>
      </c>
      <c r="BE30" s="317">
        <v>3212</v>
      </c>
      <c r="BF30" s="91">
        <f t="shared" si="67"/>
        <v>21484</v>
      </c>
      <c r="BG30" s="93">
        <f t="shared" si="68"/>
        <v>0.48390661693604087</v>
      </c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177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</row>
    <row r="31" spans="1:86" hidden="1">
      <c r="A31" s="94">
        <v>10</v>
      </c>
      <c r="B31" s="1092" t="s">
        <v>270</v>
      </c>
      <c r="C31" s="1127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314">
        <f t="shared" si="64"/>
        <v>0</v>
      </c>
      <c r="Q31" s="90"/>
      <c r="R31" s="313">
        <v>0</v>
      </c>
      <c r="S31" s="91">
        <v>0</v>
      </c>
      <c r="T31" s="91">
        <v>0</v>
      </c>
      <c r="U31" s="91">
        <v>0</v>
      </c>
      <c r="V31" s="91">
        <v>3500</v>
      </c>
      <c r="W31" s="91">
        <v>350</v>
      </c>
      <c r="X31" s="91">
        <v>800</v>
      </c>
      <c r="Y31" s="91">
        <v>1000</v>
      </c>
      <c r="Z31" s="91">
        <v>1600</v>
      </c>
      <c r="AA31" s="91">
        <v>2000</v>
      </c>
      <c r="AB31" s="91">
        <v>2400</v>
      </c>
      <c r="AC31" s="91">
        <v>3000</v>
      </c>
      <c r="AD31" s="315">
        <f t="shared" si="65"/>
        <v>14650</v>
      </c>
      <c r="AE31" s="23"/>
      <c r="AF31" s="316">
        <v>2500</v>
      </c>
      <c r="AG31" s="91">
        <v>1000</v>
      </c>
      <c r="AH31" s="91">
        <f>2500*0.15</f>
        <v>375</v>
      </c>
      <c r="AI31" s="91">
        <v>787</v>
      </c>
      <c r="AJ31" s="91">
        <v>1569</v>
      </c>
      <c r="AK31" s="91">
        <v>2000</v>
      </c>
      <c r="AL31" s="91">
        <v>2500</v>
      </c>
      <c r="AM31" s="91">
        <v>2500</v>
      </c>
      <c r="AN31" s="91">
        <v>2500</v>
      </c>
      <c r="AO31" s="91">
        <v>2500</v>
      </c>
      <c r="AP31" s="91">
        <v>2750</v>
      </c>
      <c r="AQ31" s="91">
        <v>4000</v>
      </c>
      <c r="AR31" s="92">
        <f t="shared" si="66"/>
        <v>24981</v>
      </c>
      <c r="AS31" s="23"/>
      <c r="AT31" s="91">
        <v>1806</v>
      </c>
      <c r="AU31" s="91">
        <v>2046</v>
      </c>
      <c r="AV31" s="91">
        <v>1646</v>
      </c>
      <c r="AW31" s="91">
        <v>1902</v>
      </c>
      <c r="AX31" s="317">
        <v>1545</v>
      </c>
      <c r="AY31" s="317">
        <v>1545</v>
      </c>
      <c r="AZ31" s="317">
        <v>1475</v>
      </c>
      <c r="BA31" s="317">
        <v>1475</v>
      </c>
      <c r="BB31" s="317">
        <v>1545</v>
      </c>
      <c r="BC31" s="317">
        <v>1826</v>
      </c>
      <c r="BD31" s="317">
        <v>0</v>
      </c>
      <c r="BE31" s="317">
        <v>0</v>
      </c>
      <c r="BF31" s="91">
        <f t="shared" si="67"/>
        <v>16811</v>
      </c>
      <c r="BG31" s="93">
        <f t="shared" si="68"/>
        <v>-0.32704855690324641</v>
      </c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177"/>
      <c r="BV31" s="91"/>
      <c r="BW31" s="91"/>
      <c r="BX31" s="91"/>
      <c r="BY31" s="91"/>
      <c r="BZ31" s="91"/>
      <c r="CA31" s="91"/>
      <c r="CB31" s="91"/>
      <c r="CC31" s="91"/>
      <c r="CD31" s="91"/>
      <c r="CE31" s="91"/>
      <c r="CF31" s="91"/>
      <c r="CG31" s="91"/>
      <c r="CH31" s="91"/>
    </row>
    <row r="32" spans="1:86" hidden="1">
      <c r="A32" s="94">
        <v>11</v>
      </c>
      <c r="B32" s="210" t="s">
        <v>271</v>
      </c>
      <c r="C32" s="211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314">
        <f t="shared" si="64"/>
        <v>0</v>
      </c>
      <c r="Q32" s="90"/>
      <c r="R32" s="313">
        <v>0</v>
      </c>
      <c r="S32" s="91">
        <v>0</v>
      </c>
      <c r="T32" s="91">
        <v>0</v>
      </c>
      <c r="U32" s="91">
        <v>0</v>
      </c>
      <c r="V32" s="91">
        <v>4000</v>
      </c>
      <c r="W32" s="91">
        <v>100</v>
      </c>
      <c r="X32" s="91">
        <v>800</v>
      </c>
      <c r="Y32" s="91">
        <v>800</v>
      </c>
      <c r="Z32" s="91">
        <v>1200</v>
      </c>
      <c r="AA32" s="91">
        <v>1200</v>
      </c>
      <c r="AB32" s="91">
        <v>1800</v>
      </c>
      <c r="AC32" s="91">
        <v>2300</v>
      </c>
      <c r="AD32" s="315">
        <f t="shared" si="65"/>
        <v>12200</v>
      </c>
      <c r="AE32" s="23"/>
      <c r="AF32" s="316">
        <v>1500</v>
      </c>
      <c r="AG32" s="91">
        <v>1000</v>
      </c>
      <c r="AH32" s="91">
        <f t="shared" ref="AH32:AH33" si="71">1500*0.15</f>
        <v>225</v>
      </c>
      <c r="AI32" s="91">
        <v>324</v>
      </c>
      <c r="AJ32" s="91">
        <v>869</v>
      </c>
      <c r="AK32" s="91">
        <v>800</v>
      </c>
      <c r="AL32" s="91">
        <v>1500</v>
      </c>
      <c r="AM32" s="91">
        <v>1000</v>
      </c>
      <c r="AN32" s="91">
        <v>1000</v>
      </c>
      <c r="AO32" s="91">
        <v>1000</v>
      </c>
      <c r="AP32" s="91">
        <v>1100</v>
      </c>
      <c r="AQ32" s="91">
        <v>1600</v>
      </c>
      <c r="AR32" s="92">
        <f t="shared" si="66"/>
        <v>11918</v>
      </c>
      <c r="AS32" s="23"/>
      <c r="AT32" s="91">
        <v>1191</v>
      </c>
      <c r="AU32" s="91">
        <v>1191</v>
      </c>
      <c r="AV32" s="91">
        <v>1191</v>
      </c>
      <c r="AW32" s="91">
        <v>1191</v>
      </c>
      <c r="AX32" s="317">
        <v>876</v>
      </c>
      <c r="AY32" s="317">
        <v>876</v>
      </c>
      <c r="AZ32" s="317">
        <v>836</v>
      </c>
      <c r="BA32" s="317">
        <v>836</v>
      </c>
      <c r="BB32" s="317">
        <v>876</v>
      </c>
      <c r="BC32" s="317">
        <v>1035</v>
      </c>
      <c r="BD32" s="317">
        <v>0</v>
      </c>
      <c r="BE32" s="317">
        <v>0</v>
      </c>
      <c r="BF32" s="91">
        <f t="shared" si="67"/>
        <v>10099</v>
      </c>
      <c r="BG32" s="93">
        <f t="shared" si="68"/>
        <v>-0.15262627957711028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177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</row>
    <row r="33" spans="1:86" hidden="1">
      <c r="A33" s="94">
        <v>12</v>
      </c>
      <c r="B33" s="210" t="s">
        <v>272</v>
      </c>
      <c r="C33" s="211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314">
        <f t="shared" si="64"/>
        <v>0</v>
      </c>
      <c r="Q33" s="90"/>
      <c r="R33" s="313">
        <v>0</v>
      </c>
      <c r="S33" s="91">
        <v>0</v>
      </c>
      <c r="T33" s="91">
        <v>0</v>
      </c>
      <c r="U33" s="91">
        <v>0</v>
      </c>
      <c r="V33" s="91">
        <v>4000</v>
      </c>
      <c r="W33" s="91">
        <v>0</v>
      </c>
      <c r="X33" s="91">
        <v>800</v>
      </c>
      <c r="Y33" s="91">
        <v>1000</v>
      </c>
      <c r="Z33" s="91">
        <v>1200</v>
      </c>
      <c r="AA33" s="91">
        <v>1200</v>
      </c>
      <c r="AB33" s="91">
        <v>1800</v>
      </c>
      <c r="AC33" s="91">
        <v>2300</v>
      </c>
      <c r="AD33" s="315">
        <f t="shared" si="65"/>
        <v>12300</v>
      </c>
      <c r="AE33" s="23"/>
      <c r="AF33" s="316">
        <v>1500</v>
      </c>
      <c r="AG33" s="91">
        <v>1200</v>
      </c>
      <c r="AH33" s="91">
        <f t="shared" si="71"/>
        <v>225</v>
      </c>
      <c r="AI33" s="91">
        <v>332</v>
      </c>
      <c r="AJ33" s="91">
        <v>945</v>
      </c>
      <c r="AK33" s="91">
        <v>960</v>
      </c>
      <c r="AL33" s="91">
        <v>1500</v>
      </c>
      <c r="AM33" s="91">
        <v>1200</v>
      </c>
      <c r="AN33" s="91">
        <v>1200</v>
      </c>
      <c r="AO33" s="91">
        <v>1200</v>
      </c>
      <c r="AP33" s="91">
        <v>1320</v>
      </c>
      <c r="AQ33" s="91">
        <v>1920</v>
      </c>
      <c r="AR33" s="92">
        <f t="shared" si="66"/>
        <v>13502</v>
      </c>
      <c r="AS33" s="23"/>
      <c r="AT33" s="91">
        <v>1254</v>
      </c>
      <c r="AU33" s="91">
        <v>1254</v>
      </c>
      <c r="AV33" s="91">
        <v>1254</v>
      </c>
      <c r="AW33" s="91">
        <v>1254</v>
      </c>
      <c r="AX33" s="317">
        <v>1236</v>
      </c>
      <c r="AY33" s="317">
        <v>1236</v>
      </c>
      <c r="AZ33" s="317">
        <v>0</v>
      </c>
      <c r="BA33" s="317">
        <v>0</v>
      </c>
      <c r="BB33" s="317">
        <v>0</v>
      </c>
      <c r="BC33" s="317">
        <v>0</v>
      </c>
      <c r="BD33" s="317">
        <v>0</v>
      </c>
      <c r="BE33" s="317">
        <v>0</v>
      </c>
      <c r="BF33" s="91">
        <f t="shared" si="67"/>
        <v>7488</v>
      </c>
      <c r="BG33" s="93">
        <f t="shared" si="68"/>
        <v>-0.44541549400088876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177"/>
      <c r="BV33" s="91"/>
      <c r="BW33" s="91"/>
      <c r="BX33" s="91"/>
      <c r="BY33" s="91"/>
      <c r="BZ33" s="91"/>
      <c r="CA33" s="91"/>
      <c r="CB33" s="91"/>
      <c r="CC33" s="91"/>
      <c r="CD33" s="91"/>
      <c r="CE33" s="91"/>
      <c r="CF33" s="91"/>
      <c r="CG33" s="91"/>
      <c r="CH33" s="91"/>
    </row>
    <row r="34" spans="1:86" hidden="1">
      <c r="A34" s="94">
        <v>13</v>
      </c>
      <c r="B34" s="210" t="s">
        <v>67</v>
      </c>
      <c r="C34" s="212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si="64"/>
        <v>0</v>
      </c>
      <c r="Q34" s="90"/>
      <c r="R34" s="313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2000</v>
      </c>
      <c r="Y34" s="91">
        <v>800</v>
      </c>
      <c r="Z34" s="91">
        <v>800</v>
      </c>
      <c r="AA34" s="91">
        <v>1200</v>
      </c>
      <c r="AB34" s="91">
        <v>1800</v>
      </c>
      <c r="AC34" s="91">
        <v>2300</v>
      </c>
      <c r="AD34" s="315">
        <f t="shared" si="65"/>
        <v>8900</v>
      </c>
      <c r="AE34" s="23"/>
      <c r="AF34" s="316">
        <v>1800</v>
      </c>
      <c r="AG34" s="91">
        <v>1200</v>
      </c>
      <c r="AH34" s="91">
        <f>1800*0.15</f>
        <v>270</v>
      </c>
      <c r="AI34" s="91">
        <v>896</v>
      </c>
      <c r="AJ34" s="91">
        <v>1339</v>
      </c>
      <c r="AK34" s="91">
        <v>1600</v>
      </c>
      <c r="AL34" s="91">
        <v>1800</v>
      </c>
      <c r="AM34" s="91">
        <v>2000</v>
      </c>
      <c r="AN34" s="91">
        <v>2000</v>
      </c>
      <c r="AO34" s="91">
        <v>2000</v>
      </c>
      <c r="AP34" s="91">
        <v>2200</v>
      </c>
      <c r="AQ34" s="91">
        <v>3200</v>
      </c>
      <c r="AR34" s="92">
        <f t="shared" si="66"/>
        <v>20305</v>
      </c>
      <c r="AS34" s="23"/>
      <c r="AT34" s="91">
        <v>1980</v>
      </c>
      <c r="AU34" s="91">
        <v>1980</v>
      </c>
      <c r="AV34" s="91">
        <v>1980</v>
      </c>
      <c r="AW34" s="91">
        <v>1980</v>
      </c>
      <c r="AX34" s="317">
        <v>1409</v>
      </c>
      <c r="AY34" s="317">
        <v>1409</v>
      </c>
      <c r="AZ34" s="317">
        <v>1345</v>
      </c>
      <c r="BA34" s="317">
        <v>1345</v>
      </c>
      <c r="BB34" s="317">
        <v>1409</v>
      </c>
      <c r="BC34" s="317">
        <v>1665</v>
      </c>
      <c r="BD34" s="317">
        <v>1793</v>
      </c>
      <c r="BE34" s="317">
        <v>2562</v>
      </c>
      <c r="BF34" s="91">
        <f t="shared" si="67"/>
        <v>20857</v>
      </c>
      <c r="BG34" s="93">
        <f t="shared" si="68"/>
        <v>2.7185422309775831E-2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177"/>
      <c r="BV34" s="91"/>
      <c r="BW34" s="91"/>
      <c r="BX34" s="91"/>
      <c r="BY34" s="91"/>
      <c r="BZ34" s="91"/>
      <c r="CA34" s="91"/>
      <c r="CB34" s="91"/>
      <c r="CC34" s="91"/>
      <c r="CD34" s="91"/>
      <c r="CE34" s="91"/>
      <c r="CF34" s="91"/>
      <c r="CG34" s="91"/>
      <c r="CH34" s="91"/>
    </row>
    <row r="35" spans="1:86" hidden="1">
      <c r="A35" s="94">
        <v>14</v>
      </c>
      <c r="B35" s="210" t="s">
        <v>68</v>
      </c>
      <c r="C35" s="212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/>
      <c r="Q35" s="90"/>
      <c r="R35" s="313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2000</v>
      </c>
      <c r="Z35" s="91">
        <v>800</v>
      </c>
      <c r="AA35" s="91">
        <v>800</v>
      </c>
      <c r="AB35" s="91">
        <v>1200</v>
      </c>
      <c r="AC35" s="91">
        <v>1800</v>
      </c>
      <c r="AD35" s="315">
        <f t="shared" si="65"/>
        <v>6600</v>
      </c>
      <c r="AE35" s="23"/>
      <c r="AF35" s="316">
        <v>1500</v>
      </c>
      <c r="AG35" s="91">
        <v>1200</v>
      </c>
      <c r="AH35" s="91">
        <f>1500*0.15</f>
        <v>225</v>
      </c>
      <c r="AI35" s="91">
        <v>374</v>
      </c>
      <c r="AJ35" s="91">
        <v>990</v>
      </c>
      <c r="AK35" s="91">
        <v>960</v>
      </c>
      <c r="AL35" s="91">
        <v>1800</v>
      </c>
      <c r="AM35" s="91">
        <v>1200</v>
      </c>
      <c r="AN35" s="91">
        <v>1200</v>
      </c>
      <c r="AO35" s="91">
        <v>1200</v>
      </c>
      <c r="AP35" s="91">
        <v>1320</v>
      </c>
      <c r="AQ35" s="91">
        <v>1920</v>
      </c>
      <c r="AR35" s="92">
        <f t="shared" si="66"/>
        <v>13889</v>
      </c>
      <c r="AS35" s="23"/>
      <c r="AT35" s="91">
        <v>1518</v>
      </c>
      <c r="AU35" s="91">
        <v>1518</v>
      </c>
      <c r="AV35" s="91">
        <v>1518</v>
      </c>
      <c r="AW35" s="91">
        <v>1518</v>
      </c>
      <c r="AX35" s="317">
        <v>1276</v>
      </c>
      <c r="AY35" s="317">
        <v>1276</v>
      </c>
      <c r="AZ35" s="317">
        <v>1218</v>
      </c>
      <c r="BA35" s="317">
        <v>1218</v>
      </c>
      <c r="BB35" s="317">
        <v>1276</v>
      </c>
      <c r="BC35" s="317">
        <v>1508</v>
      </c>
      <c r="BD35" s="317">
        <v>1624</v>
      </c>
      <c r="BE35" s="317">
        <v>2320</v>
      </c>
      <c r="BF35" s="91">
        <f t="shared" si="67"/>
        <v>17788</v>
      </c>
      <c r="BG35" s="93">
        <f t="shared" si="68"/>
        <v>0.2807257541939665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177"/>
      <c r="BV35" s="91"/>
      <c r="BW35" s="91"/>
      <c r="BX35" s="91"/>
      <c r="BY35" s="91"/>
      <c r="BZ35" s="91"/>
      <c r="CA35" s="91"/>
      <c r="CB35" s="91"/>
      <c r="CC35" s="91"/>
      <c r="CD35" s="91"/>
      <c r="CE35" s="91"/>
      <c r="CF35" s="91"/>
      <c r="CG35" s="91"/>
      <c r="CH35" s="91"/>
    </row>
    <row r="36" spans="1:86" hidden="1">
      <c r="A36" s="94">
        <v>15</v>
      </c>
      <c r="B36" s="210" t="s">
        <v>69</v>
      </c>
      <c r="C36" s="212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/>
      <c r="Q36" s="90"/>
      <c r="R36" s="313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2000</v>
      </c>
      <c r="AA36" s="91">
        <v>800</v>
      </c>
      <c r="AB36" s="91">
        <v>800</v>
      </c>
      <c r="AC36" s="91">
        <v>1500</v>
      </c>
      <c r="AD36" s="315">
        <f t="shared" si="65"/>
        <v>5100</v>
      </c>
      <c r="AE36" s="23"/>
      <c r="AF36" s="316">
        <v>1800</v>
      </c>
      <c r="AG36" s="91">
        <v>1200</v>
      </c>
      <c r="AH36" s="91">
        <f>1800*0.4</f>
        <v>720</v>
      </c>
      <c r="AI36" s="91">
        <v>1147</v>
      </c>
      <c r="AJ36" s="91">
        <v>1155</v>
      </c>
      <c r="AK36" s="91">
        <v>1600</v>
      </c>
      <c r="AL36" s="91">
        <v>1800</v>
      </c>
      <c r="AM36" s="91">
        <v>2000</v>
      </c>
      <c r="AN36" s="91">
        <v>2000</v>
      </c>
      <c r="AO36" s="91">
        <v>2000</v>
      </c>
      <c r="AP36" s="91">
        <v>2200</v>
      </c>
      <c r="AQ36" s="91">
        <v>3200</v>
      </c>
      <c r="AR36" s="92">
        <f t="shared" si="66"/>
        <v>20822</v>
      </c>
      <c r="AS36" s="23"/>
      <c r="AT36" s="91">
        <v>1544</v>
      </c>
      <c r="AU36" s="91">
        <v>1544</v>
      </c>
      <c r="AV36" s="91">
        <v>1544</v>
      </c>
      <c r="AW36" s="91">
        <v>1544</v>
      </c>
      <c r="AX36" s="317">
        <v>862</v>
      </c>
      <c r="AY36" s="317">
        <v>862</v>
      </c>
      <c r="AZ36" s="317">
        <v>823</v>
      </c>
      <c r="BA36" s="317">
        <v>823</v>
      </c>
      <c r="BB36" s="317">
        <v>862</v>
      </c>
      <c r="BC36" s="317">
        <v>1019</v>
      </c>
      <c r="BD36" s="317">
        <v>1098</v>
      </c>
      <c r="BE36" s="317">
        <v>1568</v>
      </c>
      <c r="BF36" s="91">
        <f t="shared" si="67"/>
        <v>14093</v>
      </c>
      <c r="BG36" s="93">
        <f t="shared" si="68"/>
        <v>-0.32316780328498707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177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1"/>
      <c r="CG36" s="91"/>
      <c r="CH36" s="91"/>
    </row>
    <row r="37" spans="1:86" hidden="1">
      <c r="A37" s="94">
        <v>16</v>
      </c>
      <c r="B37" s="210" t="s">
        <v>273</v>
      </c>
      <c r="C37" s="212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/>
      <c r="Q37" s="90"/>
      <c r="R37" s="313"/>
      <c r="S37" s="91"/>
      <c r="T37" s="91"/>
      <c r="U37" s="91"/>
      <c r="V37" s="91"/>
      <c r="W37" s="91"/>
      <c r="X37" s="91"/>
      <c r="Y37" s="91"/>
      <c r="Z37" s="91"/>
      <c r="AA37" s="91">
        <v>800</v>
      </c>
      <c r="AB37" s="91">
        <v>800</v>
      </c>
      <c r="AC37" s="91">
        <v>1500</v>
      </c>
      <c r="AD37" s="315"/>
      <c r="AE37" s="23"/>
      <c r="AF37" s="316">
        <v>1500</v>
      </c>
      <c r="AG37" s="91">
        <v>1200</v>
      </c>
      <c r="AH37" s="91">
        <f>1500*0.15</f>
        <v>225</v>
      </c>
      <c r="AI37" s="91">
        <v>192</v>
      </c>
      <c r="AJ37" s="91">
        <v>663</v>
      </c>
      <c r="AK37" s="91">
        <v>800</v>
      </c>
      <c r="AL37" s="91">
        <v>1500</v>
      </c>
      <c r="AM37" s="91">
        <v>1000</v>
      </c>
      <c r="AN37" s="91">
        <v>1000</v>
      </c>
      <c r="AO37" s="91">
        <v>1000</v>
      </c>
      <c r="AP37" s="91">
        <v>1100</v>
      </c>
      <c r="AQ37" s="91">
        <v>1600</v>
      </c>
      <c r="AR37" s="92">
        <f t="shared" si="66"/>
        <v>11780</v>
      </c>
      <c r="AS37" s="23"/>
      <c r="AT37" s="91">
        <v>960</v>
      </c>
      <c r="AU37" s="91">
        <v>960</v>
      </c>
      <c r="AV37" s="91">
        <v>960</v>
      </c>
      <c r="AW37" s="91">
        <v>960</v>
      </c>
      <c r="AX37" s="317">
        <v>1414</v>
      </c>
      <c r="AY37" s="317">
        <v>1414</v>
      </c>
      <c r="AZ37" s="317">
        <v>1350</v>
      </c>
      <c r="BA37" s="317">
        <v>1350</v>
      </c>
      <c r="BB37" s="317">
        <v>1414</v>
      </c>
      <c r="BC37" s="317">
        <v>1671</v>
      </c>
      <c r="BD37" s="317">
        <v>1800</v>
      </c>
      <c r="BE37" s="317">
        <v>2571</v>
      </c>
      <c r="BF37" s="91">
        <f t="shared" si="67"/>
        <v>16824</v>
      </c>
      <c r="BG37" s="93">
        <f t="shared" si="68"/>
        <v>0.42818336162988113</v>
      </c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177"/>
      <c r="BV37" s="91"/>
      <c r="BW37" s="91"/>
      <c r="BX37" s="91"/>
      <c r="BY37" s="91"/>
      <c r="BZ37" s="91"/>
      <c r="CA37" s="91"/>
      <c r="CB37" s="91"/>
      <c r="CC37" s="91"/>
      <c r="CD37" s="91"/>
      <c r="CE37" s="91"/>
      <c r="CF37" s="91"/>
      <c r="CG37" s="91"/>
      <c r="CH37" s="91"/>
    </row>
    <row r="38" spans="1:86" hidden="1">
      <c r="A38" s="94" t="s">
        <v>274</v>
      </c>
      <c r="B38" s="210" t="s">
        <v>275</v>
      </c>
      <c r="C38" s="213">
        <v>44378</v>
      </c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/>
      <c r="Q38" s="90"/>
      <c r="R38" s="313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315"/>
      <c r="AE38" s="23"/>
      <c r="AF38" s="316">
        <v>0</v>
      </c>
      <c r="AG38" s="91">
        <v>0</v>
      </c>
      <c r="AH38" s="91">
        <v>0</v>
      </c>
      <c r="AI38" s="91">
        <v>0</v>
      </c>
      <c r="AJ38" s="91">
        <v>0</v>
      </c>
      <c r="AK38" s="91">
        <v>400</v>
      </c>
      <c r="AL38" s="91">
        <v>500</v>
      </c>
      <c r="AM38" s="91">
        <v>500</v>
      </c>
      <c r="AN38" s="91">
        <v>600</v>
      </c>
      <c r="AO38" s="91">
        <v>600</v>
      </c>
      <c r="AP38" s="91">
        <v>660</v>
      </c>
      <c r="AQ38" s="91">
        <v>960</v>
      </c>
      <c r="AR38" s="92">
        <f t="shared" si="66"/>
        <v>4220</v>
      </c>
      <c r="AS38" s="23"/>
      <c r="AT38" s="91">
        <v>960</v>
      </c>
      <c r="AU38" s="91">
        <v>960</v>
      </c>
      <c r="AV38" s="91">
        <v>960</v>
      </c>
      <c r="AW38" s="91">
        <v>960</v>
      </c>
      <c r="AX38" s="317">
        <v>580</v>
      </c>
      <c r="AY38" s="317">
        <v>580</v>
      </c>
      <c r="AZ38" s="317">
        <v>554</v>
      </c>
      <c r="BA38" s="317">
        <v>554</v>
      </c>
      <c r="BB38" s="317">
        <v>580</v>
      </c>
      <c r="BC38" s="317">
        <v>686</v>
      </c>
      <c r="BD38" s="317">
        <v>739</v>
      </c>
      <c r="BE38" s="317">
        <v>1055</v>
      </c>
      <c r="BF38" s="91">
        <f t="shared" si="67"/>
        <v>9168</v>
      </c>
      <c r="BG38" s="93">
        <f t="shared" si="68"/>
        <v>1.172511848341232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177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</row>
    <row r="39" spans="1:86" hidden="1">
      <c r="A39" s="94" t="s">
        <v>274</v>
      </c>
      <c r="B39" s="210" t="s">
        <v>70</v>
      </c>
      <c r="C39" s="213">
        <v>44440</v>
      </c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314"/>
      <c r="Q39" s="90"/>
      <c r="R39" s="313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315"/>
      <c r="AE39" s="23"/>
      <c r="AF39" s="316">
        <v>0</v>
      </c>
      <c r="AG39" s="91">
        <v>0</v>
      </c>
      <c r="AH39" s="91">
        <v>0</v>
      </c>
      <c r="AI39" s="91">
        <v>0</v>
      </c>
      <c r="AJ39" s="91">
        <v>0</v>
      </c>
      <c r="AK39" s="91">
        <v>0</v>
      </c>
      <c r="AL39" s="91">
        <v>2500</v>
      </c>
      <c r="AM39" s="91">
        <v>2000</v>
      </c>
      <c r="AN39" s="91">
        <v>500</v>
      </c>
      <c r="AO39" s="91">
        <v>600</v>
      </c>
      <c r="AP39" s="91">
        <v>660</v>
      </c>
      <c r="AQ39" s="91">
        <v>960</v>
      </c>
      <c r="AR39" s="92">
        <f t="shared" si="66"/>
        <v>7220</v>
      </c>
      <c r="AS39" s="23"/>
      <c r="AT39" s="91">
        <v>1518</v>
      </c>
      <c r="AU39" s="91">
        <v>1518</v>
      </c>
      <c r="AV39" s="91">
        <v>1518</v>
      </c>
      <c r="AW39" s="91">
        <v>1518</v>
      </c>
      <c r="AX39" s="317">
        <v>1943</v>
      </c>
      <c r="AY39" s="317">
        <v>1943</v>
      </c>
      <c r="AZ39" s="317">
        <v>1854</v>
      </c>
      <c r="BA39" s="317">
        <v>1854</v>
      </c>
      <c r="BB39" s="317">
        <v>1943</v>
      </c>
      <c r="BC39" s="317">
        <v>2296</v>
      </c>
      <c r="BD39" s="317">
        <v>2472</v>
      </c>
      <c r="BE39" s="317">
        <v>3532</v>
      </c>
      <c r="BF39" s="91">
        <f t="shared" si="67"/>
        <v>23909</v>
      </c>
      <c r="BG39" s="93">
        <f t="shared" si="68"/>
        <v>2.3114958448753464</v>
      </c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177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</row>
    <row r="40" spans="1:86" hidden="1">
      <c r="A40" s="318">
        <v>18</v>
      </c>
      <c r="B40" s="382" t="s">
        <v>65</v>
      </c>
      <c r="C40" s="383">
        <v>44682</v>
      </c>
      <c r="D40" s="321"/>
      <c r="E40" s="321"/>
      <c r="F40" s="321"/>
      <c r="G40" s="321"/>
      <c r="H40" s="321"/>
      <c r="I40" s="321"/>
      <c r="J40" s="321"/>
      <c r="K40" s="321"/>
      <c r="L40" s="321"/>
      <c r="M40" s="321"/>
      <c r="N40" s="321"/>
      <c r="O40" s="321"/>
      <c r="P40" s="321"/>
      <c r="Q40" s="321"/>
      <c r="R40" s="321"/>
      <c r="S40" s="321"/>
      <c r="T40" s="321"/>
      <c r="U40" s="321"/>
      <c r="V40" s="321"/>
      <c r="W40" s="321"/>
      <c r="X40" s="321"/>
      <c r="Y40" s="321"/>
      <c r="Z40" s="321"/>
      <c r="AA40" s="321"/>
      <c r="AB40" s="321"/>
      <c r="AC40" s="321"/>
      <c r="AD40" s="321"/>
      <c r="AE40" s="322"/>
      <c r="AF40" s="323">
        <v>0</v>
      </c>
      <c r="AG40" s="323">
        <v>0</v>
      </c>
      <c r="AH40" s="323">
        <v>0</v>
      </c>
      <c r="AI40" s="323">
        <v>0</v>
      </c>
      <c r="AJ40" s="323">
        <v>0</v>
      </c>
      <c r="AK40" s="323">
        <v>0</v>
      </c>
      <c r="AL40" s="323">
        <v>0</v>
      </c>
      <c r="AM40" s="323">
        <v>0</v>
      </c>
      <c r="AN40" s="323">
        <v>0</v>
      </c>
      <c r="AO40" s="323">
        <v>0</v>
      </c>
      <c r="AP40" s="323">
        <v>0</v>
      </c>
      <c r="AQ40" s="323">
        <v>0</v>
      </c>
      <c r="AR40" s="324">
        <f t="shared" si="66"/>
        <v>0</v>
      </c>
      <c r="AS40" s="322"/>
      <c r="AT40" s="323">
        <v>0</v>
      </c>
      <c r="AU40" s="323">
        <v>0</v>
      </c>
      <c r="AV40" s="323">
        <v>0</v>
      </c>
      <c r="AW40" s="323">
        <v>0</v>
      </c>
      <c r="AX40" s="317">
        <v>800</v>
      </c>
      <c r="AY40" s="317">
        <v>800</v>
      </c>
      <c r="AZ40" s="317">
        <v>800</v>
      </c>
      <c r="BA40" s="317">
        <v>1050</v>
      </c>
      <c r="BB40" s="317">
        <v>1100</v>
      </c>
      <c r="BC40" s="317">
        <v>1300</v>
      </c>
      <c r="BD40" s="317">
        <v>1400</v>
      </c>
      <c r="BE40" s="317">
        <v>2000</v>
      </c>
      <c r="BF40" s="323">
        <f t="shared" si="67"/>
        <v>9250</v>
      </c>
      <c r="BG40" s="325" t="e">
        <f t="shared" si="68"/>
        <v>#DIV/0!</v>
      </c>
      <c r="BH40" s="323"/>
      <c r="BI40" s="323"/>
      <c r="BJ40" s="323"/>
      <c r="BK40" s="323"/>
      <c r="BL40" s="317"/>
      <c r="BM40" s="317"/>
      <c r="BN40" s="317"/>
      <c r="BO40" s="317"/>
      <c r="BP40" s="317"/>
      <c r="BQ40" s="317"/>
      <c r="BR40" s="317"/>
      <c r="BS40" s="317"/>
      <c r="BT40" s="317"/>
      <c r="BU40" s="325"/>
      <c r="BV40" s="323"/>
      <c r="BW40" s="323"/>
      <c r="BX40" s="323"/>
      <c r="BY40" s="323"/>
      <c r="BZ40" s="317"/>
      <c r="CA40" s="317"/>
      <c r="CB40" s="317"/>
      <c r="CC40" s="317"/>
      <c r="CD40" s="317"/>
      <c r="CE40" s="317"/>
      <c r="CF40" s="317"/>
      <c r="CG40" s="317"/>
      <c r="CH40" s="317"/>
    </row>
    <row r="41" spans="1:86" hidden="1">
      <c r="A41" s="95"/>
      <c r="B41" s="214" t="s">
        <v>276</v>
      </c>
      <c r="C41" s="215">
        <v>44870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23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8"/>
      <c r="AS41" s="23"/>
      <c r="AT41" s="97"/>
      <c r="AU41" s="97"/>
      <c r="AV41" s="97"/>
      <c r="AW41" s="97"/>
      <c r="AX41" s="91"/>
      <c r="AY41" s="91"/>
      <c r="AZ41" s="91"/>
      <c r="BA41" s="91"/>
      <c r="BB41" s="91"/>
      <c r="BC41" s="91"/>
      <c r="BD41" s="91">
        <v>600</v>
      </c>
      <c r="BE41" s="91">
        <v>700</v>
      </c>
      <c r="BF41" s="323">
        <f t="shared" si="67"/>
        <v>1300</v>
      </c>
      <c r="BG41" s="93"/>
      <c r="BH41" s="97"/>
      <c r="BI41" s="97"/>
      <c r="BJ41" s="97"/>
      <c r="BK41" s="97"/>
      <c r="BL41" s="91"/>
      <c r="BM41" s="91"/>
      <c r="BN41" s="91"/>
      <c r="BO41" s="91"/>
      <c r="BP41" s="91"/>
      <c r="BQ41" s="91"/>
      <c r="BR41" s="91"/>
      <c r="BS41" s="91"/>
      <c r="BT41" s="91"/>
      <c r="BU41" s="177"/>
      <c r="BV41" s="97"/>
      <c r="BW41" s="97"/>
      <c r="BX41" s="97"/>
      <c r="BY41" s="97"/>
      <c r="BZ41" s="91"/>
      <c r="CA41" s="91"/>
      <c r="CB41" s="91"/>
      <c r="CC41" s="91"/>
      <c r="CD41" s="91"/>
      <c r="CE41" s="91"/>
      <c r="CF41" s="91"/>
      <c r="CG41" s="91"/>
      <c r="CH41" s="91"/>
    </row>
    <row r="42" spans="1:86" hidden="1">
      <c r="A42" s="95"/>
      <c r="B42" s="216" t="s">
        <v>71</v>
      </c>
      <c r="C42" s="211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ref="P42:P43" si="72">SUM(D42:O42)</f>
        <v>0</v>
      </c>
      <c r="Q42" s="90"/>
      <c r="R42" s="313">
        <v>350</v>
      </c>
      <c r="S42" s="91">
        <v>350</v>
      </c>
      <c r="T42" s="91">
        <v>450</v>
      </c>
      <c r="U42" s="91">
        <v>800</v>
      </c>
      <c r="V42" s="91">
        <v>531</v>
      </c>
      <c r="W42" s="91">
        <v>750</v>
      </c>
      <c r="X42" s="91">
        <v>650</v>
      </c>
      <c r="Y42" s="91">
        <v>750</v>
      </c>
      <c r="Z42" s="91">
        <v>900</v>
      </c>
      <c r="AA42" s="91">
        <v>1000</v>
      </c>
      <c r="AB42" s="91">
        <v>1200</v>
      </c>
      <c r="AC42" s="91">
        <v>1500</v>
      </c>
      <c r="AD42" s="315">
        <f t="shared" ref="AD42:AD43" si="73">SUM(R42:AC42)</f>
        <v>9231</v>
      </c>
      <c r="AE42" s="23"/>
      <c r="AF42" s="316">
        <v>1500</v>
      </c>
      <c r="AG42" s="91">
        <v>800</v>
      </c>
      <c r="AH42" s="91">
        <v>800</v>
      </c>
      <c r="AI42" s="91">
        <v>1820</v>
      </c>
      <c r="AJ42" s="91">
        <v>1630</v>
      </c>
      <c r="AK42" s="91">
        <v>1360</v>
      </c>
      <c r="AL42" s="91">
        <v>1000</v>
      </c>
      <c r="AM42" s="91">
        <v>1700</v>
      </c>
      <c r="AN42" s="91">
        <v>1700</v>
      </c>
      <c r="AO42" s="91">
        <v>1700</v>
      </c>
      <c r="AP42" s="91">
        <v>1870</v>
      </c>
      <c r="AQ42" s="91">
        <v>2720</v>
      </c>
      <c r="AR42" s="92">
        <f t="shared" ref="AR42:AR43" si="74">SUM(AF42:AQ42)</f>
        <v>18600</v>
      </c>
      <c r="AS42" s="23"/>
      <c r="AT42" s="91">
        <v>2053</v>
      </c>
      <c r="AU42" s="91">
        <v>2053</v>
      </c>
      <c r="AV42" s="91">
        <v>2053</v>
      </c>
      <c r="AW42" s="91">
        <v>2053</v>
      </c>
      <c r="AX42" s="91">
        <v>2807</v>
      </c>
      <c r="AY42" s="91">
        <v>2807</v>
      </c>
      <c r="AZ42" s="91">
        <v>2680</v>
      </c>
      <c r="BA42" s="91">
        <v>2680</v>
      </c>
      <c r="BB42" s="91">
        <v>2807</v>
      </c>
      <c r="BC42" s="91">
        <v>3318</v>
      </c>
      <c r="BD42" s="91">
        <v>5870</v>
      </c>
      <c r="BE42" s="91">
        <v>5104</v>
      </c>
      <c r="BF42" s="91">
        <f t="shared" si="67"/>
        <v>36285</v>
      </c>
      <c r="BG42" s="93">
        <f>BF42/AR42-1</f>
        <v>0.95080645161290334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177"/>
      <c r="BV42" s="91"/>
      <c r="BW42" s="91"/>
      <c r="BX42" s="91"/>
      <c r="BY42" s="91"/>
      <c r="BZ42" s="91"/>
      <c r="CA42" s="91"/>
      <c r="CB42" s="91"/>
      <c r="CC42" s="91"/>
      <c r="CD42" s="91"/>
      <c r="CE42" s="91"/>
      <c r="CF42" s="91"/>
      <c r="CG42" s="91"/>
      <c r="CH42" s="91"/>
    </row>
    <row r="43" spans="1:86">
      <c r="A43" s="217"/>
      <c r="B43" s="218" t="s">
        <v>277</v>
      </c>
      <c r="C43" s="219"/>
      <c r="D43" s="220">
        <f t="shared" ref="D43:O43" si="75">SUM(D22:D42)</f>
        <v>0</v>
      </c>
      <c r="E43" s="220">
        <f t="shared" si="75"/>
        <v>0</v>
      </c>
      <c r="F43" s="220">
        <f t="shared" si="75"/>
        <v>0</v>
      </c>
      <c r="G43" s="220">
        <f t="shared" si="75"/>
        <v>0</v>
      </c>
      <c r="H43" s="220">
        <f t="shared" si="75"/>
        <v>0</v>
      </c>
      <c r="I43" s="220">
        <f t="shared" si="75"/>
        <v>0</v>
      </c>
      <c r="J43" s="220">
        <f t="shared" si="75"/>
        <v>0</v>
      </c>
      <c r="K43" s="220">
        <f t="shared" si="75"/>
        <v>0</v>
      </c>
      <c r="L43" s="220">
        <f t="shared" si="75"/>
        <v>0</v>
      </c>
      <c r="M43" s="220">
        <f t="shared" si="75"/>
        <v>0</v>
      </c>
      <c r="N43" s="220">
        <f t="shared" si="75"/>
        <v>0</v>
      </c>
      <c r="O43" s="220">
        <f t="shared" si="75"/>
        <v>0</v>
      </c>
      <c r="P43" s="384">
        <f t="shared" si="72"/>
        <v>0</v>
      </c>
      <c r="Q43" s="221"/>
      <c r="R43" s="385">
        <f t="shared" ref="R43:AC43" si="76">SUM(R22:R42)</f>
        <v>20557.543859649122</v>
      </c>
      <c r="S43" s="222">
        <f t="shared" si="76"/>
        <v>20512.543859649122</v>
      </c>
      <c r="T43" s="222">
        <f t="shared" si="76"/>
        <v>13699.771929824561</v>
      </c>
      <c r="U43" s="222">
        <f t="shared" si="76"/>
        <v>912.5</v>
      </c>
      <c r="V43" s="222">
        <f t="shared" si="76"/>
        <v>16851</v>
      </c>
      <c r="W43" s="222">
        <f t="shared" si="76"/>
        <v>13700</v>
      </c>
      <c r="X43" s="222">
        <f t="shared" si="76"/>
        <v>26050</v>
      </c>
      <c r="Y43" s="222">
        <f t="shared" si="76"/>
        <v>27750</v>
      </c>
      <c r="Z43" s="222">
        <f t="shared" si="76"/>
        <v>31100</v>
      </c>
      <c r="AA43" s="222">
        <f t="shared" si="76"/>
        <v>32100</v>
      </c>
      <c r="AB43" s="222">
        <f t="shared" si="76"/>
        <v>37500</v>
      </c>
      <c r="AC43" s="222">
        <f t="shared" si="76"/>
        <v>45300</v>
      </c>
      <c r="AD43" s="386">
        <f t="shared" si="73"/>
        <v>286033.35964912281</v>
      </c>
      <c r="AE43" s="113"/>
      <c r="AF43" s="222">
        <f t="shared" ref="AF43:AQ43" si="77">SUM(AF22:AF42)</f>
        <v>38500</v>
      </c>
      <c r="AG43" s="222">
        <f t="shared" si="77"/>
        <v>22400</v>
      </c>
      <c r="AH43" s="222">
        <f t="shared" si="77"/>
        <v>10671</v>
      </c>
      <c r="AI43" s="222">
        <f t="shared" si="77"/>
        <v>16097</v>
      </c>
      <c r="AJ43" s="222">
        <f t="shared" si="77"/>
        <v>30278</v>
      </c>
      <c r="AK43" s="222">
        <f t="shared" si="77"/>
        <v>28560</v>
      </c>
      <c r="AL43" s="222">
        <f t="shared" si="77"/>
        <v>41700</v>
      </c>
      <c r="AM43" s="222">
        <f t="shared" si="77"/>
        <v>38700</v>
      </c>
      <c r="AN43" s="222">
        <f t="shared" si="77"/>
        <v>37300</v>
      </c>
      <c r="AO43" s="222">
        <f t="shared" si="77"/>
        <v>37400</v>
      </c>
      <c r="AP43" s="222">
        <f t="shared" si="77"/>
        <v>40640</v>
      </c>
      <c r="AQ43" s="222">
        <f t="shared" si="77"/>
        <v>54440</v>
      </c>
      <c r="AR43" s="222">
        <f t="shared" si="74"/>
        <v>396686</v>
      </c>
      <c r="AS43" s="113"/>
      <c r="AT43" s="222">
        <f t="shared" ref="AT43:BE43" si="78">SUM(AT22:AT42)</f>
        <v>36153</v>
      </c>
      <c r="AU43" s="222">
        <f t="shared" si="78"/>
        <v>35289</v>
      </c>
      <c r="AV43" s="222">
        <f t="shared" si="78"/>
        <v>35872</v>
      </c>
      <c r="AW43" s="222">
        <f t="shared" si="78"/>
        <v>38031</v>
      </c>
      <c r="AX43" s="222">
        <f t="shared" si="78"/>
        <v>33566</v>
      </c>
      <c r="AY43" s="222">
        <f t="shared" si="78"/>
        <v>33566</v>
      </c>
      <c r="AZ43" s="222">
        <f t="shared" si="78"/>
        <v>30896</v>
      </c>
      <c r="BA43" s="222">
        <f t="shared" si="78"/>
        <v>31146</v>
      </c>
      <c r="BB43" s="222">
        <f t="shared" si="78"/>
        <v>32630</v>
      </c>
      <c r="BC43" s="222">
        <f t="shared" si="78"/>
        <v>38562</v>
      </c>
      <c r="BD43" s="222">
        <f t="shared" si="78"/>
        <v>41345</v>
      </c>
      <c r="BE43" s="222">
        <f t="shared" si="78"/>
        <v>49263</v>
      </c>
      <c r="BF43" s="222">
        <f t="shared" si="67"/>
        <v>436319</v>
      </c>
      <c r="BG43" s="183">
        <f>BF43-AR43</f>
        <v>39633</v>
      </c>
      <c r="BH43" s="222">
        <v>33315</v>
      </c>
      <c r="BI43" s="222">
        <v>29268</v>
      </c>
      <c r="BJ43" s="222">
        <v>29930</v>
      </c>
      <c r="BK43" s="222">
        <v>30255</v>
      </c>
      <c r="BL43" s="222">
        <v>36970</v>
      </c>
      <c r="BM43" s="222">
        <v>39172</v>
      </c>
      <c r="BN43" s="222">
        <v>45812</v>
      </c>
      <c r="BO43" s="222">
        <v>37831</v>
      </c>
      <c r="BP43" s="222">
        <v>37530</v>
      </c>
      <c r="BQ43" s="222">
        <v>40114</v>
      </c>
      <c r="BR43" s="222">
        <v>44245</v>
      </c>
      <c r="BS43" s="222">
        <v>59028</v>
      </c>
      <c r="BT43" s="222">
        <f>SUM(BH43:BS43)</f>
        <v>463470</v>
      </c>
      <c r="BU43" s="184">
        <f>BT43/BF52-1</f>
        <v>0.15952725253060995</v>
      </c>
      <c r="BV43" s="222">
        <v>33315</v>
      </c>
      <c r="BW43" s="222">
        <v>29268</v>
      </c>
      <c r="BX43" s="222">
        <v>29930</v>
      </c>
      <c r="BY43" s="222">
        <v>30255</v>
      </c>
      <c r="BZ43" s="222">
        <v>36970</v>
      </c>
      <c r="CA43" s="222">
        <v>39172</v>
      </c>
      <c r="CB43" s="222">
        <v>45812</v>
      </c>
      <c r="CC43" s="222">
        <v>37831</v>
      </c>
      <c r="CD43" s="222">
        <v>37530</v>
      </c>
      <c r="CE43" s="222">
        <v>40114</v>
      </c>
      <c r="CF43" s="222">
        <v>44245</v>
      </c>
      <c r="CG43" s="222">
        <v>59028</v>
      </c>
      <c r="CH43" s="222">
        <f>SUM(BV43:CG43)</f>
        <v>463470</v>
      </c>
    </row>
    <row r="44" spans="1:86">
      <c r="A44" s="223"/>
      <c r="B44" s="224" t="s">
        <v>278</v>
      </c>
      <c r="C44" s="225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39"/>
      <c r="Q44" s="39"/>
      <c r="R44" s="227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9"/>
      <c r="AE44" s="173"/>
      <c r="AF44" s="228"/>
      <c r="AG44" s="228"/>
      <c r="AH44" s="228"/>
      <c r="AI44" s="228"/>
      <c r="AJ44" s="228"/>
      <c r="AK44" s="228"/>
      <c r="AL44" s="230"/>
      <c r="AM44" s="228"/>
      <c r="AN44" s="228"/>
      <c r="AO44" s="228"/>
      <c r="AP44" s="230"/>
      <c r="AQ44" s="230"/>
      <c r="AR44" s="228"/>
      <c r="AS44" s="173"/>
      <c r="AT44" s="228"/>
      <c r="AU44" s="228"/>
      <c r="AV44" s="228"/>
      <c r="AW44" s="228"/>
      <c r="AX44" s="228"/>
      <c r="AY44" s="228">
        <v>15000</v>
      </c>
      <c r="AZ44" s="228">
        <v>15000</v>
      </c>
      <c r="BA44" s="228">
        <f t="shared" ref="BA44:BB44" si="79">BA43*70%</f>
        <v>21802.199999999997</v>
      </c>
      <c r="BB44" s="228">
        <f t="shared" si="79"/>
        <v>22841</v>
      </c>
      <c r="BC44" s="228">
        <v>35000</v>
      </c>
      <c r="BD44" s="228">
        <v>35000</v>
      </c>
      <c r="BE44" s="228">
        <v>42000</v>
      </c>
      <c r="BF44" s="228">
        <f t="shared" si="67"/>
        <v>186643.20000000001</v>
      </c>
      <c r="BG44" s="174"/>
      <c r="BH44" s="228"/>
      <c r="BI44" s="228"/>
      <c r="BJ44" s="228"/>
      <c r="BK44" s="228"/>
      <c r="BL44" s="44"/>
      <c r="BM44" s="44"/>
      <c r="BN44" s="44"/>
      <c r="BO44" s="44"/>
      <c r="BP44" s="44"/>
      <c r="BQ44" s="44"/>
      <c r="BR44" s="44"/>
      <c r="BS44" s="44"/>
      <c r="BT44" s="44"/>
      <c r="BU44" s="173"/>
      <c r="BV44" s="228"/>
      <c r="BW44" s="228"/>
      <c r="BX44" s="228"/>
      <c r="BY44" s="228"/>
      <c r="BZ44" s="44"/>
      <c r="CA44" s="44"/>
      <c r="CB44" s="44"/>
      <c r="CC44" s="44"/>
      <c r="CD44" s="44"/>
      <c r="CE44" s="44"/>
      <c r="CF44" s="44"/>
      <c r="CG44" s="44"/>
      <c r="CH44" s="44"/>
    </row>
    <row r="45" spans="1:86">
      <c r="A45" s="1100" t="s">
        <v>74</v>
      </c>
      <c r="B45" s="1126"/>
      <c r="C45" s="167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9"/>
      <c r="Q45" s="170"/>
      <c r="R45" s="171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358"/>
      <c r="AE45" s="173"/>
      <c r="AF45" s="172"/>
      <c r="AG45" s="172"/>
      <c r="AH45" s="172"/>
      <c r="AI45" s="172"/>
      <c r="AJ45" s="172"/>
      <c r="AK45" s="172"/>
      <c r="AL45" s="231">
        <f>AL43/AVERAGE($AF$43:$AQ$43)</f>
        <v>1.2614511225503295</v>
      </c>
      <c r="AM45" s="172"/>
      <c r="AN45" s="172"/>
      <c r="AO45" s="172"/>
      <c r="AP45" s="231">
        <f t="shared" ref="AP45:AQ45" si="80">AP43/AVERAGE($AF$43:$AQ$43)</f>
        <v>1.2293854585238704</v>
      </c>
      <c r="AQ45" s="231">
        <f t="shared" si="80"/>
        <v>1.6468441033966412</v>
      </c>
      <c r="AR45" s="172"/>
      <c r="AS45" s="173"/>
      <c r="AT45" s="172">
        <v>109190</v>
      </c>
      <c r="AU45" s="172">
        <v>153667</v>
      </c>
      <c r="AV45" s="172">
        <v>178778</v>
      </c>
      <c r="AW45" s="172">
        <v>151970</v>
      </c>
      <c r="AX45" s="172">
        <v>142416</v>
      </c>
      <c r="AY45" s="172">
        <v>177335</v>
      </c>
      <c r="AZ45" s="172">
        <v>152230</v>
      </c>
      <c r="BA45" s="172">
        <v>245527</v>
      </c>
      <c r="BB45" s="172">
        <f>5261504/27</f>
        <v>194870.51851851851</v>
      </c>
      <c r="BC45" s="172">
        <f>5784000/27</f>
        <v>214222.22222222222</v>
      </c>
      <c r="BD45" s="172">
        <f>3224000/27</f>
        <v>119407.4074074074</v>
      </c>
      <c r="BE45" s="172">
        <f>909800/27</f>
        <v>33696.296296296299</v>
      </c>
      <c r="BF45" s="172">
        <f t="shared" si="67"/>
        <v>1873309.4444444445</v>
      </c>
      <c r="BG45" s="174"/>
      <c r="BH45" s="172"/>
      <c r="BI45" s="172"/>
      <c r="BJ45" s="172"/>
      <c r="BK45" s="172"/>
      <c r="BL45" s="175"/>
      <c r="BM45" s="175"/>
      <c r="BN45" s="175"/>
      <c r="BO45" s="175"/>
      <c r="BP45" s="175"/>
      <c r="BQ45" s="175"/>
      <c r="BR45" s="175"/>
      <c r="BS45" s="175"/>
      <c r="BT45" s="175"/>
      <c r="BU45" s="173"/>
      <c r="BV45" s="172"/>
      <c r="BW45" s="172"/>
      <c r="BX45" s="172"/>
      <c r="BY45" s="172"/>
      <c r="BZ45" s="175"/>
      <c r="CA45" s="175"/>
      <c r="CB45" s="175"/>
      <c r="CC45" s="175"/>
      <c r="CD45" s="175"/>
      <c r="CE45" s="175"/>
      <c r="CF45" s="175"/>
      <c r="CG45" s="175"/>
      <c r="CH45" s="175"/>
    </row>
    <row r="46" spans="1:86">
      <c r="A46" s="110" t="s">
        <v>75</v>
      </c>
      <c r="B46" s="110"/>
      <c r="C46" s="147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343"/>
      <c r="Q46" s="84"/>
      <c r="R46" s="34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344"/>
      <c r="AE46" s="113"/>
      <c r="AF46" s="345">
        <v>133791</v>
      </c>
      <c r="AG46" s="112">
        <v>166459</v>
      </c>
      <c r="AH46" s="112">
        <v>149450</v>
      </c>
      <c r="AI46" s="112">
        <v>151073</v>
      </c>
      <c r="AJ46" s="112">
        <v>192944</v>
      </c>
      <c r="AK46" s="112">
        <v>166139</v>
      </c>
      <c r="AL46" s="112">
        <v>151874</v>
      </c>
      <c r="AM46" s="112">
        <v>157771</v>
      </c>
      <c r="AN46" s="112">
        <v>200312</v>
      </c>
      <c r="AO46" s="112">
        <v>202691</v>
      </c>
      <c r="AP46" s="112">
        <v>207768</v>
      </c>
      <c r="AQ46" s="112">
        <v>113286</v>
      </c>
      <c r="AR46" s="112">
        <f>SUM(AF46:AK46)</f>
        <v>959856</v>
      </c>
      <c r="AS46" s="23"/>
      <c r="AT46" s="112">
        <v>89680</v>
      </c>
      <c r="AU46" s="112">
        <v>128308</v>
      </c>
      <c r="AV46" s="112">
        <v>144871</v>
      </c>
      <c r="AW46" s="114">
        <v>161772</v>
      </c>
      <c r="AX46" s="114">
        <v>144516</v>
      </c>
      <c r="AY46" s="114">
        <v>103667</v>
      </c>
      <c r="AZ46" s="114">
        <v>141023</v>
      </c>
      <c r="BA46" s="114">
        <v>172093</v>
      </c>
      <c r="BB46" s="114">
        <f>166606+10000</f>
        <v>176606</v>
      </c>
      <c r="BC46" s="114">
        <v>181091</v>
      </c>
      <c r="BD46" s="114">
        <v>169802</v>
      </c>
      <c r="BE46" s="114">
        <v>120406</v>
      </c>
      <c r="BF46" s="114">
        <f t="shared" si="67"/>
        <v>1733835</v>
      </c>
      <c r="BG46" s="27">
        <f>BG43/AR43</f>
        <v>9.9910256474894502E-2</v>
      </c>
      <c r="BH46" s="112"/>
      <c r="BI46" s="112"/>
      <c r="BJ46" s="112"/>
      <c r="BK46" s="114"/>
      <c r="BL46" s="114"/>
      <c r="BM46" s="114"/>
      <c r="BN46" s="114"/>
      <c r="BO46" s="114"/>
      <c r="BP46" s="114"/>
      <c r="BQ46" s="114"/>
      <c r="BR46" s="114"/>
      <c r="BS46" s="114"/>
      <c r="BT46" s="114"/>
      <c r="BU46" s="23"/>
      <c r="BV46" s="112"/>
      <c r="BW46" s="112"/>
      <c r="BX46" s="112"/>
      <c r="BY46" s="114"/>
      <c r="BZ46" s="114"/>
      <c r="CA46" s="114"/>
      <c r="CB46" s="114"/>
      <c r="CC46" s="114"/>
      <c r="CD46" s="114"/>
      <c r="CE46" s="114"/>
      <c r="CF46" s="114"/>
      <c r="CG46" s="114"/>
      <c r="CH46" s="114"/>
    </row>
    <row r="47" spans="1:86" ht="15.75" customHeight="1">
      <c r="A47" s="232"/>
      <c r="B47" s="233" t="s">
        <v>76</v>
      </c>
      <c r="C47" s="387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388"/>
      <c r="Q47" s="235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90"/>
      <c r="AE47" s="23"/>
      <c r="AF47" s="389">
        <f t="shared" ref="AF47:AQ47" si="81">AF46-AF15</f>
        <v>133789.61233193052</v>
      </c>
      <c r="AG47" s="389">
        <f t="shared" si="81"/>
        <v>166455.18212811041</v>
      </c>
      <c r="AH47" s="389">
        <f t="shared" si="81"/>
        <v>149445.6750486806</v>
      </c>
      <c r="AI47" s="389">
        <f t="shared" si="81"/>
        <v>151069.89671180834</v>
      </c>
      <c r="AJ47" s="389">
        <f t="shared" si="81"/>
        <v>192941.30225498116</v>
      </c>
      <c r="AK47" s="389">
        <f t="shared" si="81"/>
        <v>166135.93659001941</v>
      </c>
      <c r="AL47" s="389">
        <f t="shared" si="81"/>
        <v>151872.02367906639</v>
      </c>
      <c r="AM47" s="389">
        <f t="shared" si="81"/>
        <v>157769.11460684196</v>
      </c>
      <c r="AN47" s="389">
        <f t="shared" si="81"/>
        <v>200310.23982805785</v>
      </c>
      <c r="AO47" s="389">
        <f t="shared" si="81"/>
        <v>202687.95708177862</v>
      </c>
      <c r="AP47" s="389">
        <f t="shared" si="81"/>
        <v>207764.67332379395</v>
      </c>
      <c r="AQ47" s="389">
        <f t="shared" si="81"/>
        <v>113283.89842503319</v>
      </c>
      <c r="AR47" s="236">
        <f t="shared" ref="AR47:AR55" si="82">SUM(AF47:AQ47)</f>
        <v>1993525.5120101024</v>
      </c>
      <c r="AS47" s="23"/>
      <c r="AT47" s="389">
        <f t="shared" ref="AT47:BE47" si="83">AT46-AT45</f>
        <v>-19510</v>
      </c>
      <c r="AU47" s="389">
        <f t="shared" si="83"/>
        <v>-25359</v>
      </c>
      <c r="AV47" s="389">
        <f t="shared" si="83"/>
        <v>-33907</v>
      </c>
      <c r="AW47" s="389">
        <f t="shared" si="83"/>
        <v>9802</v>
      </c>
      <c r="AX47" s="389">
        <f t="shared" si="83"/>
        <v>2100</v>
      </c>
      <c r="AY47" s="389">
        <f t="shared" si="83"/>
        <v>-73668</v>
      </c>
      <c r="AZ47" s="389">
        <f t="shared" si="83"/>
        <v>-11207</v>
      </c>
      <c r="BA47" s="389">
        <f t="shared" si="83"/>
        <v>-73434</v>
      </c>
      <c r="BB47" s="389">
        <f t="shared" si="83"/>
        <v>-18264.518518518511</v>
      </c>
      <c r="BC47" s="389">
        <f t="shared" si="83"/>
        <v>-33131.222222222219</v>
      </c>
      <c r="BD47" s="389">
        <f t="shared" si="83"/>
        <v>50394.592592592599</v>
      </c>
      <c r="BE47" s="389">
        <f t="shared" si="83"/>
        <v>86709.703703703708</v>
      </c>
      <c r="BF47" s="237">
        <f t="shared" si="67"/>
        <v>-139474.44444444444</v>
      </c>
      <c r="BG47" s="27"/>
      <c r="BH47" s="389"/>
      <c r="BI47" s="389"/>
      <c r="BJ47" s="389"/>
      <c r="BK47" s="389"/>
      <c r="BL47" s="237"/>
      <c r="BM47" s="237"/>
      <c r="BN47" s="237"/>
      <c r="BO47" s="237"/>
      <c r="BP47" s="237"/>
      <c r="BQ47" s="237"/>
      <c r="BR47" s="237"/>
      <c r="BS47" s="237"/>
      <c r="BT47" s="237"/>
      <c r="BU47" s="23"/>
      <c r="BV47" s="389"/>
      <c r="BW47" s="389"/>
      <c r="BX47" s="389"/>
      <c r="BY47" s="389"/>
      <c r="BZ47" s="237"/>
      <c r="CA47" s="237"/>
      <c r="CB47" s="237"/>
      <c r="CC47" s="237"/>
      <c r="CD47" s="237"/>
      <c r="CE47" s="237"/>
      <c r="CF47" s="237"/>
      <c r="CG47" s="237"/>
      <c r="CH47" s="237"/>
    </row>
    <row r="48" spans="1:86" ht="15.75" customHeight="1">
      <c r="A48" s="94">
        <v>5</v>
      </c>
      <c r="B48" s="210" t="s">
        <v>77</v>
      </c>
      <c r="C48" s="335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>
        <v>0</v>
      </c>
      <c r="P48" s="314">
        <f>SUM(D48:O48)</f>
        <v>0</v>
      </c>
      <c r="Q48" s="90"/>
      <c r="R48" s="313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315">
        <f>SUM(R48:AC48)</f>
        <v>0</v>
      </c>
      <c r="AE48" s="23"/>
      <c r="AF48" s="316">
        <v>0</v>
      </c>
      <c r="AG48" s="91">
        <v>0</v>
      </c>
      <c r="AH48" s="91">
        <v>0</v>
      </c>
      <c r="AI48" s="91">
        <v>0</v>
      </c>
      <c r="AJ48" s="91">
        <v>0</v>
      </c>
      <c r="AK48" s="91">
        <v>0</v>
      </c>
      <c r="AL48" s="91">
        <v>0</v>
      </c>
      <c r="AM48" s="91">
        <v>0</v>
      </c>
      <c r="AN48" s="91">
        <v>0</v>
      </c>
      <c r="AO48" s="91">
        <v>0</v>
      </c>
      <c r="AP48" s="91"/>
      <c r="AQ48" s="91">
        <v>8938</v>
      </c>
      <c r="AR48" s="92">
        <f t="shared" si="82"/>
        <v>8938</v>
      </c>
      <c r="AS48" s="23"/>
      <c r="AT48" s="91">
        <v>106642</v>
      </c>
      <c r="AU48" s="91">
        <v>90699</v>
      </c>
      <c r="AV48" s="91">
        <v>89681</v>
      </c>
      <c r="AW48" s="91">
        <v>58790</v>
      </c>
      <c r="AX48" s="91">
        <v>35520</v>
      </c>
      <c r="AY48" s="91">
        <v>61551</v>
      </c>
      <c r="AZ48" s="91">
        <v>71511</v>
      </c>
      <c r="BA48" s="91">
        <v>63617</v>
      </c>
      <c r="BB48" s="91">
        <v>66748</v>
      </c>
      <c r="BC48" s="91">
        <v>75532</v>
      </c>
      <c r="BD48" s="91">
        <v>37786</v>
      </c>
      <c r="BE48" s="91">
        <v>4503</v>
      </c>
      <c r="BF48" s="91">
        <f t="shared" si="67"/>
        <v>762580</v>
      </c>
      <c r="BG48" s="27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23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</row>
    <row r="49" spans="1:86">
      <c r="A49" s="110" t="s">
        <v>78</v>
      </c>
      <c r="B49" s="110"/>
      <c r="C49" s="147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343"/>
      <c r="Q49" s="84"/>
      <c r="R49" s="34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344"/>
      <c r="AE49" s="113"/>
      <c r="AF49" s="345">
        <f t="shared" ref="AF49:AQ49" si="84">AF50+AF52</f>
        <v>118364</v>
      </c>
      <c r="AG49" s="345">
        <f t="shared" si="84"/>
        <v>173742</v>
      </c>
      <c r="AH49" s="345">
        <f t="shared" si="84"/>
        <v>73470</v>
      </c>
      <c r="AI49" s="345">
        <f t="shared" si="84"/>
        <v>87377</v>
      </c>
      <c r="AJ49" s="345">
        <f t="shared" si="84"/>
        <v>119657</v>
      </c>
      <c r="AK49" s="345">
        <f t="shared" si="84"/>
        <v>154747</v>
      </c>
      <c r="AL49" s="345">
        <f t="shared" si="84"/>
        <v>138073</v>
      </c>
      <c r="AM49" s="345">
        <f t="shared" si="84"/>
        <v>180773</v>
      </c>
      <c r="AN49" s="345">
        <f t="shared" si="84"/>
        <v>194598</v>
      </c>
      <c r="AO49" s="345">
        <f t="shared" si="84"/>
        <v>242931</v>
      </c>
      <c r="AP49" s="345">
        <f t="shared" si="84"/>
        <v>107346</v>
      </c>
      <c r="AQ49" s="345">
        <f t="shared" si="84"/>
        <v>87384</v>
      </c>
      <c r="AR49" s="112">
        <f t="shared" si="82"/>
        <v>1678462</v>
      </c>
      <c r="AS49" s="23"/>
      <c r="AT49" s="345">
        <f t="shared" ref="AT49:BE49" si="85">AT50+AT52</f>
        <v>155346</v>
      </c>
      <c r="AU49" s="345">
        <f t="shared" si="85"/>
        <v>123370</v>
      </c>
      <c r="AV49" s="345">
        <f t="shared" si="85"/>
        <v>144065</v>
      </c>
      <c r="AW49" s="345">
        <f t="shared" si="85"/>
        <v>127865</v>
      </c>
      <c r="AX49" s="345">
        <f t="shared" si="85"/>
        <v>123461</v>
      </c>
      <c r="AY49" s="345">
        <f t="shared" si="85"/>
        <v>121196</v>
      </c>
      <c r="AZ49" s="345">
        <f t="shared" si="85"/>
        <v>168029</v>
      </c>
      <c r="BA49" s="345">
        <f t="shared" si="85"/>
        <v>164268</v>
      </c>
      <c r="BB49" s="345">
        <f t="shared" si="85"/>
        <v>185112</v>
      </c>
      <c r="BC49" s="345">
        <f t="shared" si="85"/>
        <v>147235</v>
      </c>
      <c r="BD49" s="345">
        <f t="shared" si="85"/>
        <v>135608</v>
      </c>
      <c r="BE49" s="345">
        <f t="shared" si="85"/>
        <v>90194</v>
      </c>
      <c r="BF49" s="114">
        <f t="shared" si="67"/>
        <v>1685749</v>
      </c>
      <c r="BG49" s="93">
        <f t="shared" ref="BG49:BG50" si="86">BF49/AR49-1</f>
        <v>4.3414745165515356E-3</v>
      </c>
      <c r="BH49" s="345">
        <v>144332</v>
      </c>
      <c r="BI49" s="345">
        <v>128781</v>
      </c>
      <c r="BJ49" s="345"/>
      <c r="BK49" s="345"/>
      <c r="BL49" s="112"/>
      <c r="BM49" s="112"/>
      <c r="BN49" s="112"/>
      <c r="BO49" s="112"/>
      <c r="BP49" s="112"/>
      <c r="BQ49" s="112"/>
      <c r="BR49" s="112"/>
      <c r="BS49" s="112"/>
      <c r="BT49" s="112"/>
      <c r="BU49" s="113"/>
      <c r="BV49" s="345"/>
      <c r="BW49" s="345"/>
      <c r="BX49" s="345"/>
      <c r="BY49" s="345"/>
      <c r="BZ49" s="112"/>
      <c r="CA49" s="112"/>
      <c r="CB49" s="112"/>
      <c r="CC49" s="112"/>
      <c r="CD49" s="112"/>
      <c r="CE49" s="112"/>
      <c r="CF49" s="112"/>
      <c r="CG49" s="112"/>
      <c r="CH49" s="112"/>
    </row>
    <row r="50" spans="1:86" ht="15.75" customHeight="1">
      <c r="A50" s="210"/>
      <c r="B50" s="210" t="s">
        <v>79</v>
      </c>
      <c r="C50" s="316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92193</v>
      </c>
      <c r="AG50" s="91">
        <v>152006</v>
      </c>
      <c r="AH50" s="91">
        <v>62734</v>
      </c>
      <c r="AI50" s="91">
        <v>71526</v>
      </c>
      <c r="AJ50" s="91">
        <v>89409</v>
      </c>
      <c r="AK50" s="91">
        <v>120675</v>
      </c>
      <c r="AL50" s="91">
        <v>100592</v>
      </c>
      <c r="AM50" s="91">
        <v>148128</v>
      </c>
      <c r="AN50" s="91">
        <v>164346</v>
      </c>
      <c r="AO50" s="91">
        <v>203437</v>
      </c>
      <c r="AP50" s="91">
        <v>64957</v>
      </c>
      <c r="AQ50" s="91">
        <v>31837</v>
      </c>
      <c r="AR50" s="92">
        <f t="shared" si="82"/>
        <v>1301840</v>
      </c>
      <c r="AS50" s="23"/>
      <c r="AT50" s="91">
        <v>125048</v>
      </c>
      <c r="AU50" s="91">
        <v>96006</v>
      </c>
      <c r="AV50" s="91">
        <v>111470</v>
      </c>
      <c r="AW50" s="91">
        <v>99222</v>
      </c>
      <c r="AX50" s="91">
        <v>91253</v>
      </c>
      <c r="AY50" s="91">
        <v>90595</v>
      </c>
      <c r="AZ50" s="91">
        <v>129147</v>
      </c>
      <c r="BA50" s="91">
        <v>133525</v>
      </c>
      <c r="BB50" s="91">
        <v>159291</v>
      </c>
      <c r="BC50" s="91">
        <v>115573</v>
      </c>
      <c r="BD50" s="91">
        <v>98386</v>
      </c>
      <c r="BE50" s="91">
        <v>36527</v>
      </c>
      <c r="BF50" s="91">
        <f t="shared" si="67"/>
        <v>1286043</v>
      </c>
      <c r="BG50" s="93">
        <f t="shared" si="86"/>
        <v>-1.2134363669882631E-2</v>
      </c>
      <c r="BH50" s="91">
        <v>110235</v>
      </c>
      <c r="BI50" s="91">
        <v>103047</v>
      </c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23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</row>
    <row r="51" spans="1:86" ht="15.75" customHeight="1">
      <c r="A51" s="232"/>
      <c r="B51" s="233" t="s">
        <v>279</v>
      </c>
      <c r="C51" s="387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388"/>
      <c r="Q51" s="235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90"/>
      <c r="AE51" s="23"/>
      <c r="AF51" s="389">
        <f t="shared" ref="AF51:AQ51" si="87">AF50-AF20</f>
        <v>2047</v>
      </c>
      <c r="AG51" s="389">
        <f t="shared" si="87"/>
        <v>-3571</v>
      </c>
      <c r="AH51" s="389">
        <f t="shared" si="87"/>
        <v>-219</v>
      </c>
      <c r="AI51" s="389">
        <f t="shared" si="87"/>
        <v>-1735</v>
      </c>
      <c r="AJ51" s="389">
        <f t="shared" si="87"/>
        <v>-2447</v>
      </c>
      <c r="AK51" s="389">
        <f t="shared" si="87"/>
        <v>675</v>
      </c>
      <c r="AL51" s="389">
        <f t="shared" si="87"/>
        <v>-9703</v>
      </c>
      <c r="AM51" s="389">
        <f t="shared" si="87"/>
        <v>-52075</v>
      </c>
      <c r="AN51" s="389">
        <f t="shared" si="87"/>
        <v>-59487.333333333343</v>
      </c>
      <c r="AO51" s="389">
        <f t="shared" si="87"/>
        <v>-15063</v>
      </c>
      <c r="AP51" s="389">
        <f t="shared" si="87"/>
        <v>-23043</v>
      </c>
      <c r="AQ51" s="389">
        <f t="shared" si="87"/>
        <v>-11563</v>
      </c>
      <c r="AR51" s="236">
        <f t="shared" si="82"/>
        <v>-176184.33333333334</v>
      </c>
      <c r="AS51" s="23"/>
      <c r="AT51" s="389">
        <f t="shared" ref="AT51:BE51" si="88">AT50-AT20</f>
        <v>8451.75</v>
      </c>
      <c r="AU51" s="389">
        <f t="shared" si="88"/>
        <v>-37227.103448275855</v>
      </c>
      <c r="AV51" s="389">
        <f t="shared" si="88"/>
        <v>-6779.1379310344782</v>
      </c>
      <c r="AW51" s="389">
        <f t="shared" si="88"/>
        <v>-22342.137931034478</v>
      </c>
      <c r="AX51" s="389">
        <f t="shared" si="88"/>
        <v>4719.0344827586232</v>
      </c>
      <c r="AY51" s="389">
        <f t="shared" si="88"/>
        <v>-14182.777777777781</v>
      </c>
      <c r="AZ51" s="389">
        <f t="shared" si="88"/>
        <v>-6630.777777777781</v>
      </c>
      <c r="BA51" s="389">
        <f t="shared" si="88"/>
        <v>-77771.296296296292</v>
      </c>
      <c r="BB51" s="389">
        <f t="shared" si="88"/>
        <v>-51486.777777777781</v>
      </c>
      <c r="BC51" s="389">
        <f t="shared" si="88"/>
        <v>-99233.290755657828</v>
      </c>
      <c r="BD51" s="389">
        <f t="shared" si="88"/>
        <v>5175.413118527038</v>
      </c>
      <c r="BE51" s="389">
        <f t="shared" si="88"/>
        <v>5840.3870349060235</v>
      </c>
      <c r="BF51" s="237">
        <f t="shared" si="67"/>
        <v>-291466.71505944064</v>
      </c>
      <c r="BG51" s="27"/>
      <c r="BH51" s="389">
        <v>5840.3870349060235</v>
      </c>
      <c r="BI51" s="389">
        <v>5840.3870349060235</v>
      </c>
      <c r="BJ51" s="389"/>
      <c r="BK51" s="389"/>
      <c r="BL51" s="237"/>
      <c r="BM51" s="237"/>
      <c r="BN51" s="237"/>
      <c r="BO51" s="237"/>
      <c r="BP51" s="237"/>
      <c r="BQ51" s="237"/>
      <c r="BR51" s="237"/>
      <c r="BS51" s="237"/>
      <c r="BT51" s="237"/>
      <c r="BU51" s="23"/>
      <c r="BV51" s="389"/>
      <c r="BW51" s="389"/>
      <c r="BX51" s="389"/>
      <c r="BY51" s="389"/>
      <c r="BZ51" s="237"/>
      <c r="CA51" s="237"/>
      <c r="CB51" s="237"/>
      <c r="CC51" s="237"/>
      <c r="CD51" s="237"/>
      <c r="CE51" s="237"/>
      <c r="CF51" s="237"/>
      <c r="CG51" s="237"/>
      <c r="CH51" s="237"/>
    </row>
    <row r="52" spans="1:86" ht="15.75" customHeight="1">
      <c r="A52" s="94"/>
      <c r="B52" s="94" t="s">
        <v>81</v>
      </c>
      <c r="C52" s="335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/>
      <c r="Q52" s="90"/>
      <c r="R52" s="316"/>
      <c r="S52" s="316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5"/>
      <c r="AE52" s="23"/>
      <c r="AF52" s="316">
        <v>26171</v>
      </c>
      <c r="AG52" s="316">
        <v>21736</v>
      </c>
      <c r="AH52" s="316">
        <v>10736</v>
      </c>
      <c r="AI52" s="316">
        <v>15851</v>
      </c>
      <c r="AJ52" s="316">
        <v>30248</v>
      </c>
      <c r="AK52" s="316">
        <v>34072</v>
      </c>
      <c r="AL52" s="316">
        <v>37481</v>
      </c>
      <c r="AM52" s="91">
        <v>32645</v>
      </c>
      <c r="AN52" s="91">
        <v>30252</v>
      </c>
      <c r="AO52" s="91">
        <v>39494</v>
      </c>
      <c r="AP52" s="91">
        <v>42389</v>
      </c>
      <c r="AQ52" s="91">
        <v>55547</v>
      </c>
      <c r="AR52" s="92">
        <f t="shared" si="82"/>
        <v>376622</v>
      </c>
      <c r="AS52" s="23"/>
      <c r="AT52" s="91">
        <v>30298</v>
      </c>
      <c r="AU52" s="91">
        <v>27364</v>
      </c>
      <c r="AV52" s="91">
        <v>32595</v>
      </c>
      <c r="AW52" s="91">
        <v>28643</v>
      </c>
      <c r="AX52" s="91">
        <v>32208</v>
      </c>
      <c r="AY52" s="91">
        <v>30601</v>
      </c>
      <c r="AZ52" s="91">
        <v>38882</v>
      </c>
      <c r="BA52" s="91">
        <v>30743</v>
      </c>
      <c r="BB52" s="91">
        <f>24621+1200</f>
        <v>25821</v>
      </c>
      <c r="BC52" s="91">
        <v>31662</v>
      </c>
      <c r="BD52" s="91">
        <v>37222</v>
      </c>
      <c r="BE52" s="91">
        <v>53667</v>
      </c>
      <c r="BF52" s="91">
        <f t="shared" si="67"/>
        <v>399706</v>
      </c>
      <c r="BG52" s="93">
        <f>BF52/AR52-1</f>
        <v>6.1292224033646425E-2</v>
      </c>
      <c r="BH52" s="91">
        <v>34097</v>
      </c>
      <c r="BI52" s="91">
        <v>25734</v>
      </c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23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</row>
    <row r="53" spans="1:86" ht="15.75" customHeight="1">
      <c r="A53" s="232"/>
      <c r="B53" s="233" t="s">
        <v>280</v>
      </c>
      <c r="C53" s="387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388"/>
      <c r="Q53" s="235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90"/>
      <c r="AE53" s="23"/>
      <c r="AF53" s="389">
        <f t="shared" ref="AF53:AQ53" si="89">AF52-AF43</f>
        <v>-12329</v>
      </c>
      <c r="AG53" s="389">
        <f t="shared" si="89"/>
        <v>-664</v>
      </c>
      <c r="AH53" s="389">
        <f t="shared" si="89"/>
        <v>65</v>
      </c>
      <c r="AI53" s="389">
        <f t="shared" si="89"/>
        <v>-246</v>
      </c>
      <c r="AJ53" s="389">
        <f t="shared" si="89"/>
        <v>-30</v>
      </c>
      <c r="AK53" s="389">
        <f t="shared" si="89"/>
        <v>5512</v>
      </c>
      <c r="AL53" s="389">
        <f t="shared" si="89"/>
        <v>-4219</v>
      </c>
      <c r="AM53" s="389">
        <f t="shared" si="89"/>
        <v>-6055</v>
      </c>
      <c r="AN53" s="389">
        <f t="shared" si="89"/>
        <v>-7048</v>
      </c>
      <c r="AO53" s="389">
        <f t="shared" si="89"/>
        <v>2094</v>
      </c>
      <c r="AP53" s="389">
        <f t="shared" si="89"/>
        <v>1749</v>
      </c>
      <c r="AQ53" s="389">
        <f t="shared" si="89"/>
        <v>1107</v>
      </c>
      <c r="AR53" s="236">
        <f t="shared" si="82"/>
        <v>-20064</v>
      </c>
      <c r="AS53" s="23"/>
      <c r="AT53" s="389">
        <f t="shared" ref="AT53:BE53" si="90">AT52-AT43</f>
        <v>-5855</v>
      </c>
      <c r="AU53" s="389">
        <f t="shared" si="90"/>
        <v>-7925</v>
      </c>
      <c r="AV53" s="389">
        <f t="shared" si="90"/>
        <v>-3277</v>
      </c>
      <c r="AW53" s="389">
        <f t="shared" si="90"/>
        <v>-9388</v>
      </c>
      <c r="AX53" s="389">
        <f t="shared" si="90"/>
        <v>-1358</v>
      </c>
      <c r="AY53" s="389">
        <f t="shared" si="90"/>
        <v>-2965</v>
      </c>
      <c r="AZ53" s="389">
        <f t="shared" si="90"/>
        <v>7986</v>
      </c>
      <c r="BA53" s="389">
        <f t="shared" si="90"/>
        <v>-403</v>
      </c>
      <c r="BB53" s="389">
        <f t="shared" si="90"/>
        <v>-6809</v>
      </c>
      <c r="BC53" s="389">
        <f t="shared" si="90"/>
        <v>-6900</v>
      </c>
      <c r="BD53" s="389">
        <f t="shared" si="90"/>
        <v>-4123</v>
      </c>
      <c r="BE53" s="389">
        <f t="shared" si="90"/>
        <v>4404</v>
      </c>
      <c r="BF53" s="237">
        <f t="shared" si="67"/>
        <v>-36613</v>
      </c>
      <c r="BG53" s="27"/>
      <c r="BH53" s="389">
        <v>-4123</v>
      </c>
      <c r="BI53" s="389">
        <v>-4123</v>
      </c>
      <c r="BJ53" s="389"/>
      <c r="BK53" s="389"/>
      <c r="BL53" s="237"/>
      <c r="BM53" s="237"/>
      <c r="BN53" s="237"/>
      <c r="BO53" s="237"/>
      <c r="BP53" s="237"/>
      <c r="BQ53" s="237"/>
      <c r="BR53" s="237"/>
      <c r="BS53" s="237"/>
      <c r="BT53" s="237"/>
      <c r="BU53" s="23"/>
      <c r="BV53" s="389"/>
      <c r="BW53" s="389"/>
      <c r="BX53" s="389"/>
      <c r="BY53" s="389"/>
      <c r="BZ53" s="237"/>
      <c r="CA53" s="237"/>
      <c r="CB53" s="237"/>
      <c r="CC53" s="237"/>
      <c r="CD53" s="237"/>
      <c r="CE53" s="237"/>
      <c r="CF53" s="237"/>
      <c r="CG53" s="237"/>
      <c r="CH53" s="237"/>
    </row>
    <row r="54" spans="1:86" ht="15.75" customHeight="1">
      <c r="A54" s="232" t="s">
        <v>83</v>
      </c>
      <c r="B54" s="238"/>
      <c r="C54" s="387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388"/>
      <c r="Q54" s="235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90"/>
      <c r="AE54" s="23"/>
      <c r="AF54" s="389">
        <f t="shared" ref="AF54:AQ54" si="91">AF49-AF16</f>
        <v>-10282</v>
      </c>
      <c r="AG54" s="389">
        <f t="shared" si="91"/>
        <v>-4235</v>
      </c>
      <c r="AH54" s="389">
        <f t="shared" si="91"/>
        <v>-154</v>
      </c>
      <c r="AI54" s="389">
        <f t="shared" si="91"/>
        <v>-1981</v>
      </c>
      <c r="AJ54" s="389">
        <f t="shared" si="91"/>
        <v>-2477</v>
      </c>
      <c r="AK54" s="389">
        <f t="shared" si="91"/>
        <v>6187</v>
      </c>
      <c r="AL54" s="389">
        <f t="shared" si="91"/>
        <v>-13922</v>
      </c>
      <c r="AM54" s="389">
        <f t="shared" si="91"/>
        <v>-58130</v>
      </c>
      <c r="AN54" s="389">
        <f t="shared" si="91"/>
        <v>-66535.333333333343</v>
      </c>
      <c r="AO54" s="389">
        <f t="shared" si="91"/>
        <v>-12969</v>
      </c>
      <c r="AP54" s="389">
        <f t="shared" si="91"/>
        <v>-21294</v>
      </c>
      <c r="AQ54" s="389">
        <f t="shared" si="91"/>
        <v>-10456</v>
      </c>
      <c r="AR54" s="236">
        <f t="shared" si="82"/>
        <v>-196248.33333333334</v>
      </c>
      <c r="AS54" s="23"/>
      <c r="AT54" s="389">
        <f t="shared" ref="AT54:BE54" si="92">AT49-AT16</f>
        <v>2596.75</v>
      </c>
      <c r="AU54" s="389">
        <f t="shared" si="92"/>
        <v>-45152.103448275855</v>
      </c>
      <c r="AV54" s="389">
        <f t="shared" si="92"/>
        <v>-10056.137931034493</v>
      </c>
      <c r="AW54" s="389">
        <f t="shared" si="92"/>
        <v>-31730.137931034493</v>
      </c>
      <c r="AX54" s="389">
        <f t="shared" si="92"/>
        <v>3361.0344827586232</v>
      </c>
      <c r="AY54" s="389">
        <f t="shared" si="92"/>
        <v>-17147.777777777781</v>
      </c>
      <c r="AZ54" s="389">
        <f t="shared" si="92"/>
        <v>1355.222222222219</v>
      </c>
      <c r="BA54" s="389">
        <f t="shared" si="92"/>
        <v>-78174.296296296292</v>
      </c>
      <c r="BB54" s="389">
        <f t="shared" si="92"/>
        <v>-58295.777777777781</v>
      </c>
      <c r="BC54" s="389">
        <f t="shared" si="92"/>
        <v>-106133.29075565783</v>
      </c>
      <c r="BD54" s="389">
        <f t="shared" si="92"/>
        <v>1052.413118527038</v>
      </c>
      <c r="BE54" s="389">
        <f t="shared" si="92"/>
        <v>17507.387034906016</v>
      </c>
      <c r="BF54" s="237">
        <f t="shared" si="67"/>
        <v>-320816.71505944064</v>
      </c>
      <c r="BG54" s="27"/>
      <c r="BH54" s="389">
        <v>-5583</v>
      </c>
      <c r="BI54" s="389">
        <v>-12020.333333333314</v>
      </c>
      <c r="BJ54" s="389"/>
      <c r="BK54" s="389"/>
      <c r="BL54" s="237"/>
      <c r="BM54" s="237"/>
      <c r="BN54" s="237"/>
      <c r="BO54" s="237"/>
      <c r="BP54" s="237"/>
      <c r="BQ54" s="237"/>
      <c r="BR54" s="237"/>
      <c r="BS54" s="237"/>
      <c r="BT54" s="237"/>
      <c r="BU54" s="23"/>
      <c r="BV54" s="389"/>
      <c r="BW54" s="389"/>
      <c r="BX54" s="389"/>
      <c r="BY54" s="389"/>
      <c r="BZ54" s="237"/>
      <c r="CA54" s="237"/>
      <c r="CB54" s="237"/>
      <c r="CC54" s="237"/>
      <c r="CD54" s="237"/>
      <c r="CE54" s="237"/>
      <c r="CF54" s="237"/>
      <c r="CG54" s="237"/>
      <c r="CH54" s="237"/>
    </row>
    <row r="55" spans="1:86" ht="15.75" customHeight="1">
      <c r="A55" s="232" t="s">
        <v>85</v>
      </c>
      <c r="B55" s="238"/>
      <c r="C55" s="387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388"/>
      <c r="Q55" s="235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90"/>
      <c r="AE55" s="23"/>
      <c r="AF55" s="389">
        <f t="shared" ref="AF55:AQ55" si="93">AF50-AF17</f>
        <v>92193</v>
      </c>
      <c r="AG55" s="389">
        <f t="shared" si="93"/>
        <v>152006</v>
      </c>
      <c r="AH55" s="389">
        <f t="shared" si="93"/>
        <v>62734</v>
      </c>
      <c r="AI55" s="389">
        <f t="shared" si="93"/>
        <v>71526</v>
      </c>
      <c r="AJ55" s="389">
        <f t="shared" si="93"/>
        <v>89409</v>
      </c>
      <c r="AK55" s="389">
        <f t="shared" si="93"/>
        <v>120675</v>
      </c>
      <c r="AL55" s="389">
        <f t="shared" si="93"/>
        <v>100592</v>
      </c>
      <c r="AM55" s="389">
        <f t="shared" si="93"/>
        <v>148128</v>
      </c>
      <c r="AN55" s="389">
        <f t="shared" si="93"/>
        <v>164346</v>
      </c>
      <c r="AO55" s="389">
        <f t="shared" si="93"/>
        <v>203437</v>
      </c>
      <c r="AP55" s="389">
        <f t="shared" si="93"/>
        <v>64957</v>
      </c>
      <c r="AQ55" s="389">
        <f t="shared" si="93"/>
        <v>31837</v>
      </c>
      <c r="AR55" s="236">
        <f t="shared" si="82"/>
        <v>1301840</v>
      </c>
      <c r="AS55" s="23"/>
      <c r="AT55" s="391">
        <f t="shared" ref="AT55:BE55" si="94">AT54/AT16</f>
        <v>1.7000083470131603E-2</v>
      </c>
      <c r="AU55" s="391">
        <f t="shared" si="94"/>
        <v>-0.26792985919579565</v>
      </c>
      <c r="AV55" s="391">
        <f t="shared" si="94"/>
        <v>-6.5248272015318062E-2</v>
      </c>
      <c r="AW55" s="391">
        <f t="shared" si="94"/>
        <v>-0.19881644480138216</v>
      </c>
      <c r="AX55" s="391">
        <f t="shared" si="94"/>
        <v>2.798530764170884E-2</v>
      </c>
      <c r="AY55" s="391">
        <f t="shared" si="94"/>
        <v>-0.12395048084722922</v>
      </c>
      <c r="AZ55" s="391">
        <f t="shared" si="94"/>
        <v>8.1309864112464342E-3</v>
      </c>
      <c r="BA55" s="391">
        <f t="shared" si="94"/>
        <v>-0.32244495902957893</v>
      </c>
      <c r="BB55" s="391">
        <f t="shared" si="94"/>
        <v>-0.23949841829212068</v>
      </c>
      <c r="BC55" s="391">
        <f t="shared" si="94"/>
        <v>-0.41888939787658819</v>
      </c>
      <c r="BD55" s="391">
        <f t="shared" si="94"/>
        <v>7.8214003811977375E-3</v>
      </c>
      <c r="BE55" s="391">
        <f t="shared" si="94"/>
        <v>0.24086123043473662</v>
      </c>
      <c r="BF55" s="239">
        <f>AVERAGE(AT55:BE55)</f>
        <v>-0.11124823530991597</v>
      </c>
      <c r="BG55" s="27"/>
      <c r="BH55" s="391">
        <v>-3.7241103291865391E-2</v>
      </c>
      <c r="BI55" s="391">
        <v>-8.537087716972365E-2</v>
      </c>
      <c r="BJ55" s="391"/>
      <c r="BK55" s="391"/>
      <c r="BL55" s="239"/>
      <c r="BM55" s="239"/>
      <c r="BN55" s="239"/>
      <c r="BO55" s="239"/>
      <c r="BP55" s="239"/>
      <c r="BQ55" s="239"/>
      <c r="BR55" s="239"/>
      <c r="BS55" s="239"/>
      <c r="BT55" s="239"/>
      <c r="BU55" s="177"/>
      <c r="BV55" s="391"/>
      <c r="BW55" s="391"/>
      <c r="BX55" s="391"/>
      <c r="BY55" s="391"/>
      <c r="BZ55" s="239"/>
      <c r="CA55" s="239"/>
      <c r="CB55" s="239"/>
      <c r="CC55" s="239"/>
      <c r="CD55" s="239"/>
      <c r="CE55" s="239"/>
      <c r="CF55" s="239"/>
      <c r="CG55" s="239"/>
      <c r="CH55" s="239"/>
    </row>
    <row r="56" spans="1:86" ht="15.75" customHeight="1">
      <c r="A56" s="1101" t="s">
        <v>86</v>
      </c>
      <c r="B56" s="1127"/>
      <c r="C56" s="24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384"/>
      <c r="Q56" s="221"/>
      <c r="R56" s="385"/>
      <c r="S56" s="222"/>
      <c r="T56" s="222"/>
      <c r="U56" s="222"/>
      <c r="V56" s="222"/>
      <c r="W56" s="222"/>
      <c r="X56" s="222"/>
      <c r="Y56" s="222"/>
      <c r="Z56" s="222"/>
      <c r="AA56" s="222"/>
      <c r="AB56" s="222"/>
      <c r="AC56" s="222"/>
      <c r="AD56" s="222"/>
      <c r="AE56" s="113"/>
      <c r="AF56" s="392"/>
      <c r="AG56" s="222"/>
      <c r="AH56" s="222"/>
      <c r="AI56" s="222"/>
      <c r="AJ56" s="222"/>
      <c r="AK56" s="222"/>
      <c r="AL56" s="222"/>
      <c r="AM56" s="222"/>
      <c r="AN56" s="222"/>
      <c r="AO56" s="222"/>
      <c r="AP56" s="222"/>
      <c r="AQ56" s="222"/>
      <c r="AR56" s="222"/>
      <c r="AS56" s="23"/>
      <c r="AT56" s="222"/>
      <c r="AU56" s="222"/>
      <c r="AV56" s="222"/>
      <c r="AW56" s="222"/>
      <c r="AX56" s="222"/>
      <c r="AY56" s="222"/>
      <c r="AZ56" s="222"/>
      <c r="BA56" s="222"/>
      <c r="BB56" s="222"/>
      <c r="BC56" s="222"/>
      <c r="BD56" s="222"/>
      <c r="BE56" s="222"/>
      <c r="BF56" s="222"/>
      <c r="BG56" s="27"/>
      <c r="BH56" s="222"/>
      <c r="BI56" s="222"/>
      <c r="BJ56" s="222"/>
      <c r="BK56" s="222"/>
      <c r="BL56" s="222"/>
      <c r="BM56" s="222"/>
      <c r="BN56" s="222"/>
      <c r="BO56" s="222"/>
      <c r="BP56" s="222"/>
      <c r="BQ56" s="222"/>
      <c r="BR56" s="222"/>
      <c r="BS56" s="222"/>
      <c r="BT56" s="222"/>
      <c r="BU56" s="113"/>
      <c r="BV56" s="222"/>
      <c r="BW56" s="222"/>
      <c r="BX56" s="222"/>
      <c r="BY56" s="222"/>
      <c r="BZ56" s="222"/>
      <c r="CA56" s="222"/>
      <c r="CB56" s="222"/>
      <c r="CC56" s="222"/>
      <c r="CD56" s="222"/>
      <c r="CE56" s="222"/>
      <c r="CF56" s="222"/>
      <c r="CG56" s="222"/>
      <c r="CH56" s="222"/>
    </row>
    <row r="57" spans="1:86" ht="15.75" customHeight="1">
      <c r="A57" s="94">
        <v>7</v>
      </c>
      <c r="B57" s="210" t="s">
        <v>90</v>
      </c>
      <c r="C57" s="335"/>
      <c r="D57" s="89">
        <v>98048</v>
      </c>
      <c r="E57" s="89">
        <v>128688</v>
      </c>
      <c r="F57" s="89">
        <v>124704</v>
      </c>
      <c r="G57" s="89">
        <v>157500</v>
      </c>
      <c r="H57" s="89">
        <v>182600</v>
      </c>
      <c r="I57" s="89">
        <v>157700</v>
      </c>
      <c r="J57" s="89">
        <v>181700</v>
      </c>
      <c r="K57" s="89">
        <v>165900</v>
      </c>
      <c r="L57" s="89">
        <v>174300</v>
      </c>
      <c r="M57" s="89">
        <v>215800</v>
      </c>
      <c r="N57" s="89">
        <v>180000</v>
      </c>
      <c r="O57" s="89">
        <v>112500</v>
      </c>
      <c r="P57" s="314">
        <f t="shared" ref="P57:P58" si="95">SUM(D57:O57)</f>
        <v>1879440</v>
      </c>
      <c r="Q57" s="90"/>
      <c r="R57" s="313">
        <v>158400</v>
      </c>
      <c r="S57" s="91">
        <v>161000</v>
      </c>
      <c r="T57" s="91">
        <v>117800</v>
      </c>
      <c r="U57" s="91">
        <v>2000</v>
      </c>
      <c r="V57" s="91">
        <v>53800</v>
      </c>
      <c r="W57" s="91">
        <v>190600</v>
      </c>
      <c r="X57" s="91">
        <v>187900</v>
      </c>
      <c r="Y57" s="91">
        <v>196800</v>
      </c>
      <c r="Z57" s="91">
        <v>192300</v>
      </c>
      <c r="AA57" s="91">
        <v>182300</v>
      </c>
      <c r="AB57" s="91">
        <v>175000</v>
      </c>
      <c r="AC57" s="91">
        <v>134100</v>
      </c>
      <c r="AD57" s="315">
        <f>SUM(R57:AC57)</f>
        <v>1752000</v>
      </c>
      <c r="AE57" s="23"/>
      <c r="AF57" s="316">
        <f t="shared" ref="AF57:AL57" si="96">SUM(AF58,AF60)</f>
        <v>161400</v>
      </c>
      <c r="AG57" s="316">
        <f t="shared" si="96"/>
        <v>166000</v>
      </c>
      <c r="AH57" s="316">
        <f t="shared" si="96"/>
        <v>150471</v>
      </c>
      <c r="AI57" s="316">
        <f t="shared" si="96"/>
        <v>149040</v>
      </c>
      <c r="AJ57" s="316">
        <f t="shared" si="96"/>
        <v>196360</v>
      </c>
      <c r="AK57" s="316">
        <f t="shared" si="96"/>
        <v>163300</v>
      </c>
      <c r="AL57" s="316">
        <f t="shared" si="96"/>
        <v>190000</v>
      </c>
      <c r="AM57" s="316">
        <f t="shared" ref="AM57:AQ57" si="97">SUM(AM58,AM60,AM61)</f>
        <v>167000</v>
      </c>
      <c r="AN57" s="316">
        <f t="shared" si="97"/>
        <v>170500</v>
      </c>
      <c r="AO57" s="316">
        <f t="shared" si="97"/>
        <v>140000</v>
      </c>
      <c r="AP57" s="316">
        <f t="shared" si="97"/>
        <v>130000</v>
      </c>
      <c r="AQ57" s="316">
        <f t="shared" si="97"/>
        <v>100000</v>
      </c>
      <c r="AR57" s="92">
        <f t="shared" ref="AR57:AR58" si="98">SUM(AF57:AQ57)</f>
        <v>1884071</v>
      </c>
      <c r="AS57" s="23"/>
      <c r="AT57" s="316">
        <f t="shared" ref="AT57:BC57" si="99">SUM(AT58,AT60,AT61)</f>
        <v>133000</v>
      </c>
      <c r="AU57" s="316">
        <f t="shared" si="99"/>
        <v>125180</v>
      </c>
      <c r="AV57" s="316">
        <f t="shared" si="99"/>
        <v>117228</v>
      </c>
      <c r="AW57" s="316">
        <f t="shared" si="99"/>
        <v>127500</v>
      </c>
      <c r="AX57" s="316">
        <f t="shared" si="99"/>
        <v>140000</v>
      </c>
      <c r="AY57" s="316">
        <f t="shared" si="99"/>
        <v>158342.99999899999</v>
      </c>
      <c r="AZ57" s="316">
        <f t="shared" si="99"/>
        <v>152409</v>
      </c>
      <c r="BA57" s="316">
        <f t="shared" si="99"/>
        <v>173520</v>
      </c>
      <c r="BB57" s="316">
        <f t="shared" si="99"/>
        <v>165000</v>
      </c>
      <c r="BC57" s="316">
        <f t="shared" si="99"/>
        <v>157500</v>
      </c>
      <c r="BD57" s="316">
        <v>129431</v>
      </c>
      <c r="BE57" s="316">
        <v>61700</v>
      </c>
      <c r="BF57" s="91">
        <f t="shared" ref="BF57:BF58" si="100">SUM(AT57:BE57)</f>
        <v>1640810.999999</v>
      </c>
      <c r="BG57" s="27">
        <f>BF57-AR57</f>
        <v>-243260.00000100001</v>
      </c>
      <c r="BH57" s="339">
        <f t="shared" ref="BH57:BS57" si="101">SUM(BH58,BH60,BH61)</f>
        <v>139760</v>
      </c>
      <c r="BI57" s="339">
        <f t="shared" si="101"/>
        <v>116580</v>
      </c>
      <c r="BJ57" s="339">
        <f t="shared" si="101"/>
        <v>148340</v>
      </c>
      <c r="BK57" s="339">
        <f t="shared" si="101"/>
        <v>112360</v>
      </c>
      <c r="BL57" s="339">
        <f t="shared" si="101"/>
        <v>180880</v>
      </c>
      <c r="BM57" s="339">
        <f t="shared" si="101"/>
        <v>186040</v>
      </c>
      <c r="BN57" s="339">
        <f t="shared" si="101"/>
        <v>219960</v>
      </c>
      <c r="BO57" s="339">
        <f t="shared" si="101"/>
        <v>207800</v>
      </c>
      <c r="BP57" s="339">
        <f t="shared" si="101"/>
        <v>177560</v>
      </c>
      <c r="BQ57" s="339">
        <f t="shared" si="101"/>
        <v>155920</v>
      </c>
      <c r="BR57" s="339">
        <f t="shared" si="101"/>
        <v>131180</v>
      </c>
      <c r="BS57" s="339">
        <f t="shared" si="101"/>
        <v>56300</v>
      </c>
      <c r="BT57" s="339">
        <f t="shared" ref="BT57:BT58" si="102">SUM(BH57:BS57)</f>
        <v>1832680</v>
      </c>
      <c r="BU57" s="23"/>
      <c r="BV57" s="339">
        <f t="shared" ref="BV57:CG57" si="103">SUM(BV58,BV60,BV61)</f>
        <v>131180</v>
      </c>
      <c r="BW57" s="339">
        <f t="shared" si="103"/>
        <v>118062</v>
      </c>
      <c r="BX57" s="339">
        <f t="shared" si="103"/>
        <v>124621</v>
      </c>
      <c r="BY57" s="339">
        <f t="shared" si="103"/>
        <v>144298</v>
      </c>
      <c r="BZ57" s="339">
        <f t="shared" si="103"/>
        <v>131180</v>
      </c>
      <c r="CA57" s="339">
        <f t="shared" si="103"/>
        <v>137739</v>
      </c>
      <c r="CB57" s="339">
        <f t="shared" si="103"/>
        <v>137739</v>
      </c>
      <c r="CC57" s="339">
        <f t="shared" si="103"/>
        <v>150857</v>
      </c>
      <c r="CD57" s="339">
        <f t="shared" si="103"/>
        <v>131180</v>
      </c>
      <c r="CE57" s="339">
        <f t="shared" si="103"/>
        <v>137739</v>
      </c>
      <c r="CF57" s="339">
        <f t="shared" si="103"/>
        <v>131180</v>
      </c>
      <c r="CG57" s="339">
        <f t="shared" si="103"/>
        <v>78708</v>
      </c>
      <c r="CH57" s="339">
        <f t="shared" ref="CH57:CH58" si="104">SUM(BV57:CG57)</f>
        <v>1554483</v>
      </c>
    </row>
    <row r="58" spans="1:86" ht="15.75" customHeight="1">
      <c r="A58" s="94"/>
      <c r="B58" s="210" t="s">
        <v>91</v>
      </c>
      <c r="C58" s="335"/>
      <c r="D58" s="89">
        <v>98048</v>
      </c>
      <c r="E58" s="89">
        <v>128688</v>
      </c>
      <c r="F58" s="89">
        <v>124704</v>
      </c>
      <c r="G58" s="89">
        <v>157500</v>
      </c>
      <c r="H58" s="89">
        <v>182600</v>
      </c>
      <c r="I58" s="89">
        <v>157700</v>
      </c>
      <c r="J58" s="89">
        <v>181700</v>
      </c>
      <c r="K58" s="89">
        <v>165900</v>
      </c>
      <c r="L58" s="89">
        <v>174300</v>
      </c>
      <c r="M58" s="89">
        <v>215800</v>
      </c>
      <c r="N58" s="89">
        <v>180000</v>
      </c>
      <c r="O58" s="89">
        <v>112500</v>
      </c>
      <c r="P58" s="314">
        <f t="shared" si="95"/>
        <v>1879440</v>
      </c>
      <c r="Q58" s="90"/>
      <c r="R58" s="313">
        <v>158400</v>
      </c>
      <c r="S58" s="91">
        <v>146000</v>
      </c>
      <c r="T58" s="91">
        <v>102200</v>
      </c>
      <c r="U58" s="91">
        <v>0</v>
      </c>
      <c r="V58" s="91">
        <v>43800</v>
      </c>
      <c r="W58" s="91">
        <v>160600</v>
      </c>
      <c r="X58" s="91">
        <v>167900</v>
      </c>
      <c r="Y58" s="91">
        <v>153300</v>
      </c>
      <c r="Z58" s="91">
        <v>153300</v>
      </c>
      <c r="AA58" s="91">
        <v>153300</v>
      </c>
      <c r="AB58" s="91">
        <v>146000</v>
      </c>
      <c r="AC58" s="91">
        <v>124100</v>
      </c>
      <c r="AD58" s="315"/>
      <c r="AE58" s="23"/>
      <c r="AF58" s="316">
        <v>131400</v>
      </c>
      <c r="AG58" s="91">
        <v>146000</v>
      </c>
      <c r="AH58" s="91">
        <v>125511</v>
      </c>
      <c r="AI58" s="91">
        <v>135000</v>
      </c>
      <c r="AJ58" s="91">
        <v>177320</v>
      </c>
      <c r="AK58" s="91">
        <v>151300</v>
      </c>
      <c r="AL58" s="91">
        <v>176000</v>
      </c>
      <c r="AM58" s="91">
        <f t="shared" ref="AM58:AP58" si="105">AM59*AM3</f>
        <v>154000</v>
      </c>
      <c r="AN58" s="91">
        <f t="shared" si="105"/>
        <v>157500</v>
      </c>
      <c r="AO58" s="91">
        <f t="shared" si="105"/>
        <v>140000</v>
      </c>
      <c r="AP58" s="91">
        <f t="shared" si="105"/>
        <v>130000</v>
      </c>
      <c r="AQ58" s="91">
        <f>AQ59*AQ3+16000</f>
        <v>100000</v>
      </c>
      <c r="AR58" s="92">
        <f t="shared" si="98"/>
        <v>1724031</v>
      </c>
      <c r="AS58" s="23"/>
      <c r="AT58" s="91">
        <f>AT59*AT3</f>
        <v>133000</v>
      </c>
      <c r="AU58" s="91">
        <f>125180</f>
        <v>125180</v>
      </c>
      <c r="AV58" s="91">
        <f>AV59*AV3+7428</f>
        <v>117228</v>
      </c>
      <c r="AW58" s="91">
        <f t="shared" ref="AW58:AY58" si="106">AW59*AW3</f>
        <v>123500</v>
      </c>
      <c r="AX58" s="91">
        <f t="shared" si="106"/>
        <v>132000</v>
      </c>
      <c r="AY58" s="91">
        <f t="shared" si="106"/>
        <v>153342.99999899999</v>
      </c>
      <c r="AZ58" s="91">
        <v>142409</v>
      </c>
      <c r="BA58" s="91">
        <v>163520</v>
      </c>
      <c r="BB58" s="91">
        <f t="shared" ref="BB58:BC58" si="107">BB59*BB3</f>
        <v>165000</v>
      </c>
      <c r="BC58" s="91">
        <f t="shared" si="107"/>
        <v>157500</v>
      </c>
      <c r="BD58" s="316">
        <v>129431</v>
      </c>
      <c r="BE58" s="316">
        <v>61700</v>
      </c>
      <c r="BF58" s="91">
        <f t="shared" si="100"/>
        <v>1603810.999999</v>
      </c>
      <c r="BG58" s="27">
        <f>BF58+BF61-AR58-AR61</f>
        <v>-113040.00000100001</v>
      </c>
      <c r="BH58" s="91">
        <v>136760</v>
      </c>
      <c r="BI58" s="91">
        <v>116580</v>
      </c>
      <c r="BJ58" s="91">
        <v>148340</v>
      </c>
      <c r="BK58" s="91">
        <v>112360</v>
      </c>
      <c r="BL58" s="91">
        <v>180880</v>
      </c>
      <c r="BM58" s="91">
        <v>186040</v>
      </c>
      <c r="BN58" s="91">
        <v>219960</v>
      </c>
      <c r="BO58" s="91">
        <v>207800</v>
      </c>
      <c r="BP58" s="91">
        <v>177560</v>
      </c>
      <c r="BQ58" s="91">
        <v>155920</v>
      </c>
      <c r="BR58" s="91">
        <v>131180</v>
      </c>
      <c r="BS58" s="91">
        <v>56300</v>
      </c>
      <c r="BT58" s="91">
        <f t="shared" si="102"/>
        <v>1829680</v>
      </c>
      <c r="BU58" s="23"/>
      <c r="BV58" s="91">
        <f t="shared" ref="BV58:CG58" si="108">BV59*BV3</f>
        <v>131180</v>
      </c>
      <c r="BW58" s="91">
        <f t="shared" si="108"/>
        <v>118062</v>
      </c>
      <c r="BX58" s="91">
        <f t="shared" si="108"/>
        <v>124621</v>
      </c>
      <c r="BY58" s="91">
        <f t="shared" si="108"/>
        <v>144298</v>
      </c>
      <c r="BZ58" s="91">
        <f t="shared" si="108"/>
        <v>131180</v>
      </c>
      <c r="CA58" s="91">
        <f t="shared" si="108"/>
        <v>137739</v>
      </c>
      <c r="CB58" s="91">
        <f t="shared" si="108"/>
        <v>137739</v>
      </c>
      <c r="CC58" s="91">
        <f t="shared" si="108"/>
        <v>150857</v>
      </c>
      <c r="CD58" s="91">
        <f t="shared" si="108"/>
        <v>131180</v>
      </c>
      <c r="CE58" s="91">
        <f t="shared" si="108"/>
        <v>137739</v>
      </c>
      <c r="CF58" s="91">
        <f t="shared" si="108"/>
        <v>131180</v>
      </c>
      <c r="CG58" s="91">
        <f t="shared" si="108"/>
        <v>78708</v>
      </c>
      <c r="CH58" s="91">
        <f t="shared" si="104"/>
        <v>1554483</v>
      </c>
    </row>
    <row r="59" spans="1:86" ht="15.75" customHeight="1">
      <c r="A59" s="94"/>
      <c r="B59" s="210" t="s">
        <v>92</v>
      </c>
      <c r="C59" s="335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314"/>
      <c r="Q59" s="90"/>
      <c r="R59" s="316">
        <f t="shared" ref="R59:AC59" si="109">R58/R3</f>
        <v>7200</v>
      </c>
      <c r="S59" s="316">
        <f t="shared" si="109"/>
        <v>7300</v>
      </c>
      <c r="T59" s="316">
        <f t="shared" si="109"/>
        <v>7300</v>
      </c>
      <c r="U59" s="316">
        <f t="shared" si="109"/>
        <v>0</v>
      </c>
      <c r="V59" s="316">
        <f t="shared" si="109"/>
        <v>3650</v>
      </c>
      <c r="W59" s="316">
        <f t="shared" si="109"/>
        <v>7300</v>
      </c>
      <c r="X59" s="316">
        <f t="shared" si="109"/>
        <v>7300</v>
      </c>
      <c r="Y59" s="316">
        <f t="shared" si="109"/>
        <v>7300</v>
      </c>
      <c r="Z59" s="316">
        <f t="shared" si="109"/>
        <v>7300</v>
      </c>
      <c r="AA59" s="316">
        <f t="shared" si="109"/>
        <v>7300</v>
      </c>
      <c r="AB59" s="316">
        <f t="shared" si="109"/>
        <v>7300</v>
      </c>
      <c r="AC59" s="316">
        <f t="shared" si="109"/>
        <v>7300</v>
      </c>
      <c r="AD59" s="315"/>
      <c r="AE59" s="23"/>
      <c r="AF59" s="316">
        <f t="shared" ref="AF59:AL59" si="110">AF58/AF3</f>
        <v>7300</v>
      </c>
      <c r="AG59" s="316">
        <f t="shared" si="110"/>
        <v>7300</v>
      </c>
      <c r="AH59" s="316">
        <f t="shared" si="110"/>
        <v>6275.55</v>
      </c>
      <c r="AI59" s="316">
        <f t="shared" si="110"/>
        <v>6750</v>
      </c>
      <c r="AJ59" s="316">
        <f t="shared" si="110"/>
        <v>8060</v>
      </c>
      <c r="AK59" s="316">
        <f t="shared" si="110"/>
        <v>7565</v>
      </c>
      <c r="AL59" s="316">
        <f t="shared" si="110"/>
        <v>8000</v>
      </c>
      <c r="AM59" s="91">
        <v>7000</v>
      </c>
      <c r="AN59" s="91">
        <v>7500</v>
      </c>
      <c r="AO59" s="91">
        <v>7000</v>
      </c>
      <c r="AP59" s="91">
        <v>6500</v>
      </c>
      <c r="AQ59" s="91">
        <v>7000</v>
      </c>
      <c r="AR59" s="92">
        <f>AVERAGE(AF59:AQ59)</f>
        <v>7187.5458333333336</v>
      </c>
      <c r="AS59" s="23"/>
      <c r="AT59" s="91">
        <v>7000</v>
      </c>
      <c r="AU59" s="91">
        <f>AU58/AU3</f>
        <v>6588.4210526315792</v>
      </c>
      <c r="AV59" s="91">
        <v>6100</v>
      </c>
      <c r="AW59" s="91">
        <v>6500</v>
      </c>
      <c r="AX59" s="91">
        <v>6000</v>
      </c>
      <c r="AY59" s="91">
        <v>7302.0476189999999</v>
      </c>
      <c r="AZ59" s="91">
        <v>7000</v>
      </c>
      <c r="BA59" s="91">
        <f>BA58/BA3</f>
        <v>7432.727272727273</v>
      </c>
      <c r="BB59" s="91">
        <v>7500</v>
      </c>
      <c r="BC59" s="91">
        <v>7500</v>
      </c>
      <c r="BD59" s="91">
        <f t="shared" ref="BD59:BE59" si="111">BD58/BD3</f>
        <v>6471.55</v>
      </c>
      <c r="BE59" s="91">
        <f t="shared" si="111"/>
        <v>6170</v>
      </c>
      <c r="BF59" s="91">
        <f>AVERAGE(AT59:BE59)</f>
        <v>6797.0621620299053</v>
      </c>
      <c r="BG59" s="27"/>
      <c r="BH59" s="91">
        <f t="shared" ref="BH59:BR59" si="112">BH58/BH3</f>
        <v>6838</v>
      </c>
      <c r="BI59" s="91">
        <f t="shared" si="112"/>
        <v>6857.6470588235297</v>
      </c>
      <c r="BJ59" s="91">
        <f t="shared" si="112"/>
        <v>6449.565217391304</v>
      </c>
      <c r="BK59" s="91">
        <f t="shared" si="112"/>
        <v>6242.2222222222226</v>
      </c>
      <c r="BL59" s="91">
        <f t="shared" si="112"/>
        <v>8221.818181818182</v>
      </c>
      <c r="BM59" s="91">
        <f t="shared" si="112"/>
        <v>8859.0476190476184</v>
      </c>
      <c r="BN59" s="91">
        <f t="shared" si="112"/>
        <v>10474.285714285714</v>
      </c>
      <c r="BO59" s="91">
        <f t="shared" si="112"/>
        <v>9034.782608695652</v>
      </c>
      <c r="BP59" s="91">
        <f t="shared" si="112"/>
        <v>8878</v>
      </c>
      <c r="BQ59" s="91">
        <f t="shared" si="112"/>
        <v>7424.7619047619046</v>
      </c>
      <c r="BR59" s="91">
        <f t="shared" si="112"/>
        <v>6559</v>
      </c>
      <c r="BS59" s="91">
        <f>BR59</f>
        <v>6559</v>
      </c>
      <c r="BT59" s="91"/>
      <c r="BU59" s="23"/>
      <c r="BV59" s="91">
        <f>BR59</f>
        <v>6559</v>
      </c>
      <c r="BW59" s="91">
        <f t="shared" ref="BW59:CG59" si="113">BV59</f>
        <v>6559</v>
      </c>
      <c r="BX59" s="91">
        <f t="shared" si="113"/>
        <v>6559</v>
      </c>
      <c r="BY59" s="91">
        <f t="shared" si="113"/>
        <v>6559</v>
      </c>
      <c r="BZ59" s="91">
        <f t="shared" si="113"/>
        <v>6559</v>
      </c>
      <c r="CA59" s="91">
        <f t="shared" si="113"/>
        <v>6559</v>
      </c>
      <c r="CB59" s="91">
        <f t="shared" si="113"/>
        <v>6559</v>
      </c>
      <c r="CC59" s="91">
        <f t="shared" si="113"/>
        <v>6559</v>
      </c>
      <c r="CD59" s="91">
        <f t="shared" si="113"/>
        <v>6559</v>
      </c>
      <c r="CE59" s="91">
        <f t="shared" si="113"/>
        <v>6559</v>
      </c>
      <c r="CF59" s="91">
        <f t="shared" si="113"/>
        <v>6559</v>
      </c>
      <c r="CG59" s="91">
        <f t="shared" si="113"/>
        <v>6559</v>
      </c>
      <c r="CH59" s="91"/>
    </row>
    <row r="60" spans="1:86" ht="15.75" customHeight="1">
      <c r="A60" s="94"/>
      <c r="B60" s="210" t="s">
        <v>281</v>
      </c>
      <c r="C60" s="335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314"/>
      <c r="Q60" s="90"/>
      <c r="R60" s="313"/>
      <c r="S60" s="91">
        <v>15000</v>
      </c>
      <c r="T60" s="91">
        <v>15600</v>
      </c>
      <c r="U60" s="91">
        <v>2000</v>
      </c>
      <c r="V60" s="91">
        <v>10000</v>
      </c>
      <c r="W60" s="91">
        <v>30000</v>
      </c>
      <c r="X60" s="91">
        <v>20000</v>
      </c>
      <c r="Y60" s="91">
        <v>30000</v>
      </c>
      <c r="Z60" s="91">
        <v>30000</v>
      </c>
      <c r="AA60" s="91">
        <v>20000</v>
      </c>
      <c r="AB60" s="91">
        <v>20000</v>
      </c>
      <c r="AC60" s="91">
        <v>10000</v>
      </c>
      <c r="AD60" s="315"/>
      <c r="AE60" s="23"/>
      <c r="AF60" s="316">
        <v>30000</v>
      </c>
      <c r="AG60" s="91">
        <v>20000</v>
      </c>
      <c r="AH60" s="91">
        <v>24960</v>
      </c>
      <c r="AI60" s="91">
        <v>14040</v>
      </c>
      <c r="AJ60" s="91">
        <v>19040</v>
      </c>
      <c r="AK60" s="91">
        <v>12000</v>
      </c>
      <c r="AL60" s="91">
        <v>14000</v>
      </c>
      <c r="AM60" s="91">
        <v>13000</v>
      </c>
      <c r="AN60" s="91">
        <v>13000</v>
      </c>
      <c r="AO60" s="91">
        <v>0</v>
      </c>
      <c r="AP60" s="91">
        <v>0</v>
      </c>
      <c r="AQ60" s="91">
        <v>0</v>
      </c>
      <c r="AR60" s="92">
        <f t="shared" ref="AR60:AR61" si="114">SUM(AF60:AQ60)</f>
        <v>160040</v>
      </c>
      <c r="AS60" s="23"/>
      <c r="AT60" s="91">
        <v>0</v>
      </c>
      <c r="AU60" s="91">
        <v>0</v>
      </c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>
        <f t="shared" ref="BF60:BF61" si="115">SUM(AT60:BE60)</f>
        <v>0</v>
      </c>
      <c r="BG60" s="27">
        <f>BF60-AR60</f>
        <v>-160040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>
        <f t="shared" ref="BT60:BT61" si="116">SUM(BH60:BS60)</f>
        <v>0</v>
      </c>
      <c r="BU60" s="23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>
        <f t="shared" ref="CH60:CH61" si="117">SUM(BV60:CG60)</f>
        <v>0</v>
      </c>
    </row>
    <row r="61" spans="1:86" ht="15.75" customHeight="1">
      <c r="A61" s="94"/>
      <c r="B61" s="210" t="s">
        <v>637</v>
      </c>
      <c r="C61" s="335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/>
      <c r="Q61" s="90"/>
      <c r="R61" s="313"/>
      <c r="S61" s="91"/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13500</v>
      </c>
      <c r="Z61" s="91">
        <v>9000</v>
      </c>
      <c r="AA61" s="91">
        <v>9000</v>
      </c>
      <c r="AB61" s="91">
        <v>9000</v>
      </c>
      <c r="AC61" s="91">
        <v>0</v>
      </c>
      <c r="AD61" s="315"/>
      <c r="AE61" s="23"/>
      <c r="AF61" s="91">
        <v>13500</v>
      </c>
      <c r="AG61" s="91">
        <v>13500</v>
      </c>
      <c r="AH61" s="91">
        <v>2820</v>
      </c>
      <c r="AI61" s="91">
        <v>0</v>
      </c>
      <c r="AJ61" s="91">
        <v>0</v>
      </c>
      <c r="AK61" s="91">
        <v>0</v>
      </c>
      <c r="AL61" s="91">
        <v>0</v>
      </c>
      <c r="AM61" s="91"/>
      <c r="AN61" s="91"/>
      <c r="AO61" s="91"/>
      <c r="AP61" s="91"/>
      <c r="AQ61" s="91"/>
      <c r="AR61" s="92">
        <f t="shared" si="114"/>
        <v>29820</v>
      </c>
      <c r="AS61" s="23"/>
      <c r="AT61" s="91"/>
      <c r="AU61" s="91"/>
      <c r="AV61" s="91"/>
      <c r="AW61" s="91">
        <v>4000</v>
      </c>
      <c r="AX61" s="91">
        <v>8000</v>
      </c>
      <c r="AY61" s="91">
        <v>5000</v>
      </c>
      <c r="AZ61" s="91">
        <v>10000</v>
      </c>
      <c r="BA61" s="91">
        <v>10000</v>
      </c>
      <c r="BB61" s="91">
        <v>0</v>
      </c>
      <c r="BC61" s="91">
        <v>0</v>
      </c>
      <c r="BD61" s="91">
        <v>0</v>
      </c>
      <c r="BE61" s="91"/>
      <c r="BF61" s="91">
        <f t="shared" si="115"/>
        <v>37000</v>
      </c>
      <c r="BG61" s="27"/>
      <c r="BH61" s="91">
        <v>3000</v>
      </c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>
        <f t="shared" si="116"/>
        <v>3000</v>
      </c>
      <c r="BU61" s="23"/>
      <c r="BV61" s="91"/>
      <c r="BW61" s="91"/>
      <c r="BX61" s="91"/>
      <c r="BY61" s="91"/>
      <c r="BZ61" s="91"/>
      <c r="CA61" s="91"/>
      <c r="CB61" s="91"/>
      <c r="CC61" s="91"/>
      <c r="CD61" s="91"/>
      <c r="CE61" s="91"/>
      <c r="CF61" s="91"/>
      <c r="CG61" s="91"/>
      <c r="CH61" s="91">
        <f t="shared" si="117"/>
        <v>0</v>
      </c>
    </row>
    <row r="62" spans="1:86" ht="15.75" customHeight="1">
      <c r="A62" s="94"/>
      <c r="B62" s="210" t="s">
        <v>283</v>
      </c>
      <c r="C62" s="335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315"/>
      <c r="AE62" s="23"/>
      <c r="AF62" s="91"/>
      <c r="AG62" s="91"/>
      <c r="AH62" s="91"/>
      <c r="AI62" s="91"/>
      <c r="AJ62" s="91"/>
      <c r="AK62" s="91"/>
      <c r="AL62" s="91"/>
      <c r="AM62" s="91"/>
      <c r="AN62" s="91"/>
      <c r="AO62" s="91">
        <f t="shared" ref="AO62:AQ62" si="118">AO57*9.68</f>
        <v>1355200</v>
      </c>
      <c r="AP62" s="91">
        <f t="shared" si="118"/>
        <v>1258400</v>
      </c>
      <c r="AQ62" s="91">
        <f t="shared" si="118"/>
        <v>968000</v>
      </c>
      <c r="AR62" s="92"/>
      <c r="AS62" s="23"/>
      <c r="AT62" s="91">
        <f t="shared" ref="AT62:BF62" si="119">AT57*9.68</f>
        <v>1287440</v>
      </c>
      <c r="AU62" s="91">
        <f t="shared" si="119"/>
        <v>1211742.3999999999</v>
      </c>
      <c r="AV62" s="91">
        <f t="shared" si="119"/>
        <v>1134767.04</v>
      </c>
      <c r="AW62" s="91">
        <f t="shared" si="119"/>
        <v>1234200</v>
      </c>
      <c r="AX62" s="91">
        <f t="shared" si="119"/>
        <v>1355200</v>
      </c>
      <c r="AY62" s="91">
        <f t="shared" si="119"/>
        <v>1532760.2399903198</v>
      </c>
      <c r="AZ62" s="91">
        <f t="shared" si="119"/>
        <v>1475319.1199999999</v>
      </c>
      <c r="BA62" s="91">
        <f t="shared" si="119"/>
        <v>1679673.5999999999</v>
      </c>
      <c r="BB62" s="91">
        <f t="shared" si="119"/>
        <v>1597200</v>
      </c>
      <c r="BC62" s="91">
        <f t="shared" si="119"/>
        <v>1524600</v>
      </c>
      <c r="BD62" s="91">
        <f t="shared" si="119"/>
        <v>1252892.08</v>
      </c>
      <c r="BE62" s="91">
        <f t="shared" si="119"/>
        <v>597256</v>
      </c>
      <c r="BF62" s="91">
        <f t="shared" si="119"/>
        <v>15883050.47999032</v>
      </c>
      <c r="BG62" s="27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23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1"/>
      <c r="CG62" s="91"/>
      <c r="CH62" s="91"/>
    </row>
    <row r="63" spans="1:86">
      <c r="A63" s="110" t="s">
        <v>99</v>
      </c>
      <c r="B63" s="110" t="s">
        <v>100</v>
      </c>
      <c r="C63" s="147"/>
      <c r="D63" s="111">
        <v>95972</v>
      </c>
      <c r="E63" s="111">
        <v>130805</v>
      </c>
      <c r="F63" s="111">
        <v>121914</v>
      </c>
      <c r="G63" s="111">
        <v>165455</v>
      </c>
      <c r="H63" s="111">
        <v>192013</v>
      </c>
      <c r="I63" s="111">
        <v>167281</v>
      </c>
      <c r="J63" s="111">
        <v>181409</v>
      </c>
      <c r="K63" s="111">
        <v>163138</v>
      </c>
      <c r="L63" s="111">
        <v>169051</v>
      </c>
      <c r="M63" s="111">
        <v>183254</v>
      </c>
      <c r="N63" s="111"/>
      <c r="O63" s="111"/>
      <c r="P63" s="343">
        <f>SUM(D63:O63)</f>
        <v>1570292</v>
      </c>
      <c r="Q63" s="84"/>
      <c r="R63" s="342">
        <v>149582</v>
      </c>
      <c r="S63" s="112">
        <v>152735</v>
      </c>
      <c r="T63" s="112">
        <v>107681</v>
      </c>
      <c r="U63" s="112">
        <v>2974</v>
      </c>
      <c r="V63" s="112">
        <v>32639</v>
      </c>
      <c r="W63" s="112">
        <v>153121</v>
      </c>
      <c r="X63" s="112">
        <v>198635</v>
      </c>
      <c r="Y63" s="112">
        <v>160489</v>
      </c>
      <c r="Z63" s="112">
        <v>160893</v>
      </c>
      <c r="AA63" s="112">
        <v>180999</v>
      </c>
      <c r="AB63" s="112">
        <v>167265</v>
      </c>
      <c r="AC63" s="112">
        <v>135424</v>
      </c>
      <c r="AD63" s="344">
        <f>SUM(R63:AC63)</f>
        <v>1602437</v>
      </c>
      <c r="AE63" s="113"/>
      <c r="AF63" s="345">
        <v>145616</v>
      </c>
      <c r="AG63" s="112">
        <v>168450</v>
      </c>
      <c r="AH63" s="112">
        <v>153291</v>
      </c>
      <c r="AI63" s="112">
        <v>149378</v>
      </c>
      <c r="AJ63" s="112">
        <v>196360</v>
      </c>
      <c r="AK63" s="112">
        <v>170558</v>
      </c>
      <c r="AL63" s="112">
        <v>171758</v>
      </c>
      <c r="AM63" s="112">
        <f t="shared" ref="AM63:AQ63" si="120">SUM(AM64:AM65)</f>
        <v>168974</v>
      </c>
      <c r="AN63" s="112">
        <f t="shared" si="120"/>
        <v>144792</v>
      </c>
      <c r="AO63" s="112">
        <f t="shared" si="120"/>
        <v>141375</v>
      </c>
      <c r="AP63" s="112">
        <f t="shared" si="120"/>
        <v>143221</v>
      </c>
      <c r="AQ63" s="112">
        <f t="shared" si="120"/>
        <v>85543</v>
      </c>
      <c r="AR63" s="112">
        <f t="shared" ref="AR63:AR67" si="121">SUM(AF63:AQ63)</f>
        <v>1839316</v>
      </c>
      <c r="AS63" s="23"/>
      <c r="AT63" s="112">
        <f t="shared" ref="AT63:BE63" si="122">SUM(AT64:AT65)</f>
        <v>120211</v>
      </c>
      <c r="AU63" s="112">
        <f t="shared" si="122"/>
        <v>120216</v>
      </c>
      <c r="AV63" s="112">
        <f t="shared" si="122"/>
        <v>101053</v>
      </c>
      <c r="AW63" s="112">
        <f t="shared" si="122"/>
        <v>137388</v>
      </c>
      <c r="AX63" s="112">
        <f t="shared" si="122"/>
        <v>137400</v>
      </c>
      <c r="AY63" s="112">
        <f t="shared" si="122"/>
        <v>135412</v>
      </c>
      <c r="AZ63" s="112">
        <f t="shared" si="122"/>
        <v>157032</v>
      </c>
      <c r="BA63" s="112">
        <f t="shared" si="122"/>
        <v>173287</v>
      </c>
      <c r="BB63" s="114">
        <f t="shared" si="122"/>
        <v>166815</v>
      </c>
      <c r="BC63" s="114">
        <f t="shared" si="122"/>
        <v>153816</v>
      </c>
      <c r="BD63" s="114">
        <f t="shared" si="122"/>
        <v>138051</v>
      </c>
      <c r="BE63" s="114">
        <f t="shared" si="122"/>
        <v>55950</v>
      </c>
      <c r="BF63" s="114">
        <f t="shared" ref="BF63:BF67" si="123">SUM(AT63:BE63)</f>
        <v>1596631</v>
      </c>
      <c r="BG63" s="93">
        <f>BF63/AR63-1</f>
        <v>-0.1319430701412917</v>
      </c>
      <c r="BH63" s="112">
        <f t="shared" ref="BH63:BI63" si="124">SUM(BH64:BH65)</f>
        <v>138562</v>
      </c>
      <c r="BI63" s="112">
        <f t="shared" si="124"/>
        <v>109391</v>
      </c>
      <c r="BJ63" s="112"/>
      <c r="BK63" s="112"/>
      <c r="BL63" s="112"/>
      <c r="BM63" s="112"/>
      <c r="BN63" s="112"/>
      <c r="BO63" s="112"/>
      <c r="BP63" s="112"/>
      <c r="BQ63" s="112"/>
      <c r="BR63" s="112"/>
      <c r="BS63" s="112"/>
      <c r="BT63" s="112"/>
      <c r="BU63" s="113"/>
      <c r="BV63" s="112"/>
      <c r="BW63" s="112"/>
      <c r="BX63" s="112"/>
      <c r="BY63" s="112"/>
      <c r="BZ63" s="112"/>
      <c r="CA63" s="112"/>
      <c r="CB63" s="112"/>
      <c r="CC63" s="112"/>
      <c r="CD63" s="112"/>
      <c r="CE63" s="112"/>
      <c r="CF63" s="112"/>
      <c r="CG63" s="112"/>
      <c r="CH63" s="112"/>
    </row>
    <row r="64" spans="1:86" ht="15.75" customHeight="1">
      <c r="A64" s="115"/>
      <c r="B64" s="115" t="s">
        <v>101</v>
      </c>
      <c r="C64" s="24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66"/>
      <c r="Q64" s="116"/>
      <c r="R64" s="265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67"/>
      <c r="AE64" s="23"/>
      <c r="AF64" s="348">
        <v>126362</v>
      </c>
      <c r="AG64" s="22">
        <v>153970</v>
      </c>
      <c r="AH64" s="22">
        <v>128331</v>
      </c>
      <c r="AI64" s="22">
        <v>135338</v>
      </c>
      <c r="AJ64" s="22">
        <v>177312</v>
      </c>
      <c r="AK64" s="22">
        <v>150818</v>
      </c>
      <c r="AL64" s="22">
        <v>158858</v>
      </c>
      <c r="AM64" s="22">
        <v>153933</v>
      </c>
      <c r="AN64" s="22">
        <v>134244</v>
      </c>
      <c r="AO64" s="22">
        <v>137435</v>
      </c>
      <c r="AP64" s="22">
        <v>143221</v>
      </c>
      <c r="AQ64" s="22">
        <v>85543</v>
      </c>
      <c r="AR64" s="117">
        <f t="shared" si="121"/>
        <v>1685365</v>
      </c>
      <c r="AS64" s="23"/>
      <c r="AT64" s="22">
        <v>120211</v>
      </c>
      <c r="AU64" s="22">
        <v>120216</v>
      </c>
      <c r="AV64" s="22">
        <v>101053</v>
      </c>
      <c r="AW64" s="22">
        <v>137388</v>
      </c>
      <c r="AX64" s="22">
        <v>137400</v>
      </c>
      <c r="AY64" s="22">
        <v>135412</v>
      </c>
      <c r="AZ64" s="22">
        <v>157032</v>
      </c>
      <c r="BA64" s="22">
        <v>172227</v>
      </c>
      <c r="BB64" s="22">
        <f>157995+8500</f>
        <v>166495</v>
      </c>
      <c r="BC64" s="22">
        <v>153816</v>
      </c>
      <c r="BD64" s="22">
        <v>138051</v>
      </c>
      <c r="BE64" s="22">
        <v>55950</v>
      </c>
      <c r="BF64" s="22">
        <f t="shared" si="123"/>
        <v>1595251</v>
      </c>
      <c r="BG64" s="27"/>
      <c r="BH64" s="22">
        <v>138562</v>
      </c>
      <c r="BI64" s="22">
        <v>109391</v>
      </c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3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</row>
    <row r="65" spans="1:77" ht="15.75" customHeight="1">
      <c r="A65" s="115"/>
      <c r="B65" s="115" t="s">
        <v>102</v>
      </c>
      <c r="C65" s="24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66"/>
      <c r="Q65" s="116"/>
      <c r="R65" s="265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67"/>
      <c r="AE65" s="23"/>
      <c r="AF65" s="22">
        <f t="shared" ref="AF65:AL65" si="125">AF63-AF64</f>
        <v>19254</v>
      </c>
      <c r="AG65" s="22">
        <f t="shared" si="125"/>
        <v>14480</v>
      </c>
      <c r="AH65" s="22">
        <f t="shared" si="125"/>
        <v>24960</v>
      </c>
      <c r="AI65" s="22">
        <f t="shared" si="125"/>
        <v>14040</v>
      </c>
      <c r="AJ65" s="22">
        <f t="shared" si="125"/>
        <v>19048</v>
      </c>
      <c r="AK65" s="22">
        <f t="shared" si="125"/>
        <v>19740</v>
      </c>
      <c r="AL65" s="22">
        <f t="shared" si="125"/>
        <v>12900</v>
      </c>
      <c r="AM65" s="22">
        <v>15041</v>
      </c>
      <c r="AN65" s="22">
        <v>10548</v>
      </c>
      <c r="AO65" s="22">
        <v>3940</v>
      </c>
      <c r="AP65" s="22">
        <v>0</v>
      </c>
      <c r="AQ65" s="22">
        <v>0</v>
      </c>
      <c r="AR65" s="117">
        <f t="shared" si="121"/>
        <v>153951</v>
      </c>
      <c r="AS65" s="23"/>
      <c r="AT65" s="22">
        <v>0</v>
      </c>
      <c r="AU65" s="22">
        <v>0</v>
      </c>
      <c r="AV65" s="22">
        <v>0</v>
      </c>
      <c r="AW65" s="22">
        <v>0</v>
      </c>
      <c r="AX65" s="22">
        <v>0</v>
      </c>
      <c r="AY65" s="22">
        <v>0</v>
      </c>
      <c r="AZ65" s="22">
        <v>0</v>
      </c>
      <c r="BA65" s="22">
        <v>1060</v>
      </c>
      <c r="BB65" s="22">
        <v>320</v>
      </c>
      <c r="BC65" s="22">
        <v>0</v>
      </c>
      <c r="BD65" s="22">
        <v>0</v>
      </c>
      <c r="BE65" s="22"/>
      <c r="BF65" s="22">
        <f t="shared" si="123"/>
        <v>1380</v>
      </c>
      <c r="BG65" s="27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3"/>
      <c r="BV65" s="22"/>
      <c r="BW65" s="22"/>
      <c r="BX65" s="22"/>
      <c r="BY65" s="22"/>
    </row>
    <row r="66" spans="1:77" ht="15.75" customHeight="1">
      <c r="A66" s="232" t="s">
        <v>103</v>
      </c>
      <c r="B66" s="238"/>
      <c r="C66" s="387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388"/>
      <c r="Q66" s="235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90"/>
      <c r="AE66" s="23"/>
      <c r="AF66" s="389">
        <f t="shared" ref="AF66:AQ66" si="126">AF63-AF57</f>
        <v>-15784</v>
      </c>
      <c r="AG66" s="389">
        <f t="shared" si="126"/>
        <v>2450</v>
      </c>
      <c r="AH66" s="389">
        <f t="shared" si="126"/>
        <v>2820</v>
      </c>
      <c r="AI66" s="389">
        <f t="shared" si="126"/>
        <v>338</v>
      </c>
      <c r="AJ66" s="389">
        <f t="shared" si="126"/>
        <v>0</v>
      </c>
      <c r="AK66" s="389">
        <f t="shared" si="126"/>
        <v>7258</v>
      </c>
      <c r="AL66" s="389">
        <f t="shared" si="126"/>
        <v>-18242</v>
      </c>
      <c r="AM66" s="389">
        <f t="shared" si="126"/>
        <v>1974</v>
      </c>
      <c r="AN66" s="389">
        <f t="shared" si="126"/>
        <v>-25708</v>
      </c>
      <c r="AO66" s="389">
        <f t="shared" si="126"/>
        <v>1375</v>
      </c>
      <c r="AP66" s="389">
        <f t="shared" si="126"/>
        <v>13221</v>
      </c>
      <c r="AQ66" s="389">
        <f t="shared" si="126"/>
        <v>-14457</v>
      </c>
      <c r="AR66" s="236">
        <f t="shared" si="121"/>
        <v>-44755</v>
      </c>
      <c r="AS66" s="23"/>
      <c r="AT66" s="389">
        <f t="shared" ref="AT66:BE66" si="127">AT63-AT57</f>
        <v>-12789</v>
      </c>
      <c r="AU66" s="389">
        <f t="shared" si="127"/>
        <v>-4964</v>
      </c>
      <c r="AV66" s="389">
        <f t="shared" si="127"/>
        <v>-16175</v>
      </c>
      <c r="AW66" s="389">
        <f t="shared" si="127"/>
        <v>9888</v>
      </c>
      <c r="AX66" s="389">
        <f t="shared" si="127"/>
        <v>-2600</v>
      </c>
      <c r="AY66" s="389">
        <f t="shared" si="127"/>
        <v>-22930.999998999992</v>
      </c>
      <c r="AZ66" s="389">
        <f t="shared" si="127"/>
        <v>4623</v>
      </c>
      <c r="BA66" s="389">
        <f t="shared" si="127"/>
        <v>-233</v>
      </c>
      <c r="BB66" s="389">
        <f t="shared" si="127"/>
        <v>1815</v>
      </c>
      <c r="BC66" s="389">
        <f t="shared" si="127"/>
        <v>-3684</v>
      </c>
      <c r="BD66" s="389">
        <f t="shared" si="127"/>
        <v>8620</v>
      </c>
      <c r="BE66" s="389">
        <f t="shared" si="127"/>
        <v>-5750</v>
      </c>
      <c r="BF66" s="237">
        <f t="shared" si="123"/>
        <v>-44179.999998999992</v>
      </c>
      <c r="BG66" s="27"/>
      <c r="BH66" s="389">
        <f t="shared" ref="BH66:BK66" si="128">BH63-BH57</f>
        <v>-1198</v>
      </c>
      <c r="BI66" s="389">
        <f t="shared" si="128"/>
        <v>-7189</v>
      </c>
      <c r="BJ66" s="389">
        <f t="shared" si="128"/>
        <v>-148340</v>
      </c>
      <c r="BK66" s="389">
        <f t="shared" si="128"/>
        <v>-112360</v>
      </c>
      <c r="BL66" s="237"/>
      <c r="BM66" s="237"/>
      <c r="BN66" s="237"/>
      <c r="BO66" s="237"/>
      <c r="BP66" s="237"/>
      <c r="BQ66" s="237"/>
      <c r="BR66" s="237"/>
      <c r="BS66" s="237"/>
      <c r="BT66" s="237"/>
      <c r="BU66" s="23"/>
      <c r="BV66" s="389">
        <f t="shared" ref="BV66:BY66" si="129">BV63-BV57</f>
        <v>-131180</v>
      </c>
      <c r="BW66" s="389">
        <f t="shared" si="129"/>
        <v>-118062</v>
      </c>
      <c r="BX66" s="389">
        <f t="shared" si="129"/>
        <v>-124621</v>
      </c>
      <c r="BY66" s="389">
        <f t="shared" si="129"/>
        <v>-144298</v>
      </c>
    </row>
    <row r="67" spans="1:77" ht="15.75" customHeight="1">
      <c r="A67" s="218" t="s">
        <v>638</v>
      </c>
      <c r="B67" s="393"/>
      <c r="C67" s="240"/>
      <c r="D67" s="220" t="e">
        <f t="shared" ref="D67:F67" si="130">#REF!-#REF!</f>
        <v>#REF!</v>
      </c>
      <c r="E67" s="220" t="e">
        <f t="shared" si="130"/>
        <v>#REF!</v>
      </c>
      <c r="F67" s="220" t="e">
        <f t="shared" si="130"/>
        <v>#REF!</v>
      </c>
      <c r="G67" s="220" t="e">
        <f t="shared" ref="G67:I67" si="131">G57-#REF!</f>
        <v>#REF!</v>
      </c>
      <c r="H67" s="220" t="e">
        <f t="shared" si="131"/>
        <v>#REF!</v>
      </c>
      <c r="I67" s="220" t="e">
        <f t="shared" si="131"/>
        <v>#REF!</v>
      </c>
      <c r="J67" s="220" t="e">
        <f t="shared" ref="J67:K67" si="132">#REF!-#REF!</f>
        <v>#REF!</v>
      </c>
      <c r="K67" s="220" t="e">
        <f t="shared" si="132"/>
        <v>#REF!</v>
      </c>
      <c r="L67" s="220">
        <f t="shared" ref="L67:O67" si="133">L57-L16</f>
        <v>-24911</v>
      </c>
      <c r="M67" s="220">
        <f t="shared" si="133"/>
        <v>-13674</v>
      </c>
      <c r="N67" s="220">
        <f t="shared" si="133"/>
        <v>57632</v>
      </c>
      <c r="O67" s="220">
        <f t="shared" si="133"/>
        <v>74079</v>
      </c>
      <c r="P67" s="384" t="e">
        <f>SUM(D67:O67)</f>
        <v>#REF!</v>
      </c>
      <c r="Q67" s="221"/>
      <c r="R67" s="385">
        <f t="shared" ref="R67:AD67" si="134">R57-R16</f>
        <v>22222.660017050745</v>
      </c>
      <c r="S67" s="222">
        <f t="shared" si="134"/>
        <v>17159.673608830723</v>
      </c>
      <c r="T67" s="222">
        <f t="shared" si="134"/>
        <v>-24753.77192982455</v>
      </c>
      <c r="U67" s="222">
        <f t="shared" si="134"/>
        <v>-17814.899999999998</v>
      </c>
      <c r="V67" s="222">
        <f t="shared" si="134"/>
        <v>1715</v>
      </c>
      <c r="W67" s="222">
        <f t="shared" si="134"/>
        <v>120430.6180497602</v>
      </c>
      <c r="X67" s="222">
        <f t="shared" si="134"/>
        <v>43436.666666667006</v>
      </c>
      <c r="Y67" s="222">
        <f t="shared" si="134"/>
        <v>-29747.083333333314</v>
      </c>
      <c r="Z67" s="222">
        <f t="shared" si="134"/>
        <v>-80887.5</v>
      </c>
      <c r="AA67" s="222">
        <f t="shared" si="134"/>
        <v>10200</v>
      </c>
      <c r="AB67" s="222">
        <f t="shared" si="134"/>
        <v>137500</v>
      </c>
      <c r="AC67" s="222">
        <f t="shared" si="134"/>
        <v>134100</v>
      </c>
      <c r="AD67" s="394">
        <f t="shared" si="134"/>
        <v>333561.36307915067</v>
      </c>
      <c r="AE67" s="113"/>
      <c r="AF67" s="392">
        <f t="shared" ref="AF67:AQ67" si="135">AF57-AF16</f>
        <v>32754</v>
      </c>
      <c r="AG67" s="222">
        <f t="shared" si="135"/>
        <v>-11977</v>
      </c>
      <c r="AH67" s="222">
        <f t="shared" si="135"/>
        <v>76847</v>
      </c>
      <c r="AI67" s="222">
        <f t="shared" si="135"/>
        <v>59682</v>
      </c>
      <c r="AJ67" s="222">
        <f t="shared" si="135"/>
        <v>74226</v>
      </c>
      <c r="AK67" s="222">
        <f t="shared" si="135"/>
        <v>14740</v>
      </c>
      <c r="AL67" s="222">
        <f t="shared" si="135"/>
        <v>38005</v>
      </c>
      <c r="AM67" s="222">
        <f t="shared" si="135"/>
        <v>-71903</v>
      </c>
      <c r="AN67" s="222">
        <f t="shared" si="135"/>
        <v>-90633.333333333343</v>
      </c>
      <c r="AO67" s="222">
        <f t="shared" si="135"/>
        <v>-115900</v>
      </c>
      <c r="AP67" s="222">
        <f t="shared" si="135"/>
        <v>1360</v>
      </c>
      <c r="AQ67" s="222">
        <f t="shared" si="135"/>
        <v>2160</v>
      </c>
      <c r="AR67" s="242">
        <f t="shared" si="121"/>
        <v>9360.666666666657</v>
      </c>
      <c r="AS67" s="23"/>
      <c r="AT67" s="222">
        <f t="shared" ref="AT67:BE67" si="136">AT57-AT16</f>
        <v>-19749.25</v>
      </c>
      <c r="AU67" s="222">
        <f t="shared" si="136"/>
        <v>-43342.103448275855</v>
      </c>
      <c r="AV67" s="222">
        <f t="shared" si="136"/>
        <v>-36893.137931034493</v>
      </c>
      <c r="AW67" s="222">
        <f t="shared" si="136"/>
        <v>-32095.137931034493</v>
      </c>
      <c r="AX67" s="222">
        <f t="shared" si="136"/>
        <v>19900.034482758623</v>
      </c>
      <c r="AY67" s="222">
        <f t="shared" si="136"/>
        <v>19999.222221222211</v>
      </c>
      <c r="AZ67" s="222">
        <f t="shared" si="136"/>
        <v>-14264.777777777781</v>
      </c>
      <c r="BA67" s="222">
        <f t="shared" si="136"/>
        <v>-68922.296296296292</v>
      </c>
      <c r="BB67" s="222">
        <f t="shared" si="136"/>
        <v>-78407.777777777781</v>
      </c>
      <c r="BC67" s="222">
        <f t="shared" si="136"/>
        <v>-95868.290755657828</v>
      </c>
      <c r="BD67" s="222">
        <f t="shared" si="136"/>
        <v>-5124.586881472962</v>
      </c>
      <c r="BE67" s="222">
        <f t="shared" si="136"/>
        <v>-10986.612965093984</v>
      </c>
      <c r="BF67" s="222">
        <f t="shared" si="123"/>
        <v>-365754.71506044065</v>
      </c>
      <c r="BG67" s="27"/>
      <c r="BH67" s="222">
        <f t="shared" ref="BH67:BK67" si="137">BH57-BH16</f>
        <v>-10155</v>
      </c>
      <c r="BI67" s="222">
        <f t="shared" si="137"/>
        <v>-24221.333333333314</v>
      </c>
      <c r="BJ67" s="222">
        <f t="shared" si="137"/>
        <v>-10123.333333333314</v>
      </c>
      <c r="BK67" s="222">
        <f t="shared" si="137"/>
        <v>-46043.148148148146</v>
      </c>
      <c r="BL67" s="222"/>
      <c r="BM67" s="222"/>
      <c r="BN67" s="222"/>
      <c r="BO67" s="222"/>
      <c r="BP67" s="222"/>
      <c r="BQ67" s="222"/>
      <c r="BR67" s="222"/>
      <c r="BS67" s="222"/>
      <c r="BT67" s="222"/>
      <c r="BU67" s="113"/>
      <c r="BV67" s="222">
        <f t="shared" ref="BV67:BY67" si="138">BV57-BV16</f>
        <v>-17881.75</v>
      </c>
      <c r="BW67" s="222">
        <f t="shared" si="138"/>
        <v>-19405.350000000006</v>
      </c>
      <c r="BX67" s="222">
        <f t="shared" si="138"/>
        <v>-40268.999999999971</v>
      </c>
      <c r="BY67" s="222">
        <f t="shared" si="138"/>
        <v>-20512.555555555562</v>
      </c>
    </row>
    <row r="68" spans="1:77">
      <c r="AE68" s="118"/>
      <c r="AS68" s="118"/>
      <c r="BG68" s="119"/>
      <c r="BU68" s="118"/>
      <c r="BV68" s="118"/>
      <c r="BW68" s="118"/>
      <c r="BX68" s="118"/>
      <c r="BY68" s="118"/>
    </row>
    <row r="69" spans="1:77" ht="15.75" customHeight="1">
      <c r="Q69" s="11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E69" s="118"/>
      <c r="AO69" s="1"/>
      <c r="AP69" s="1"/>
      <c r="AQ69" s="1"/>
      <c r="AR69" s="1"/>
      <c r="AS69" s="120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21"/>
      <c r="BH69" s="1"/>
      <c r="BI69" s="122">
        <f>BI6+SUM(BJ58:BS58)-SUM(BJ16:BS16)</f>
        <v>251248.03703703708</v>
      </c>
      <c r="BN69" s="123"/>
      <c r="BO69" s="123"/>
      <c r="BP69" s="123"/>
      <c r="BQ69" s="1"/>
      <c r="BR69" s="1"/>
      <c r="BS69" s="1"/>
      <c r="BT69" s="1"/>
      <c r="BU69" s="120"/>
      <c r="BV69" s="120"/>
      <c r="BW69" s="120"/>
      <c r="BX69" s="120"/>
      <c r="BY69" s="120"/>
    </row>
    <row r="70" spans="1:77" ht="15.75" customHeight="1">
      <c r="C70" s="2"/>
      <c r="Q70" s="11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120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2"/>
      <c r="AS70" s="124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125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124"/>
      <c r="BV70" s="124"/>
      <c r="BW70" s="124"/>
      <c r="BX70" s="124"/>
      <c r="BY70" s="124"/>
    </row>
    <row r="71" spans="1:77" ht="15.75" customHeight="1">
      <c r="C71" s="2"/>
      <c r="Q71" s="11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120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2"/>
      <c r="AS71" s="124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125"/>
      <c r="BH71" s="2"/>
      <c r="BI71" s="243" t="str">
        <f t="shared" ref="BI71:BM71" si="139">BI4</f>
        <v>FEV</v>
      </c>
      <c r="BJ71" s="243" t="str">
        <f t="shared" si="139"/>
        <v>MAR</v>
      </c>
      <c r="BK71" s="243" t="str">
        <f t="shared" si="139"/>
        <v>ABR</v>
      </c>
      <c r="BL71" s="243" t="str">
        <f t="shared" si="139"/>
        <v>MAI</v>
      </c>
      <c r="BM71" s="243" t="str">
        <f t="shared" si="139"/>
        <v>JUN</v>
      </c>
      <c r="BN71" s="2"/>
      <c r="BO71" s="2"/>
      <c r="BP71" s="2"/>
      <c r="BQ71" s="2"/>
      <c r="BR71" s="2"/>
      <c r="BS71" s="2"/>
      <c r="BT71" s="2"/>
      <c r="BU71" s="124"/>
      <c r="BV71" s="124"/>
      <c r="BW71" s="124"/>
      <c r="BX71" s="124"/>
      <c r="BY71" s="124"/>
    </row>
    <row r="72" spans="1:77" ht="15.75" customHeight="1">
      <c r="C72" s="2"/>
      <c r="Q72" s="11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124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124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125"/>
      <c r="BH72" s="2"/>
      <c r="BI72" s="244">
        <f t="shared" ref="BI72:BM72" si="140">SUM(BI57:BJ57)*7*0.5</f>
        <v>927220</v>
      </c>
      <c r="BJ72" s="244">
        <f t="shared" si="140"/>
        <v>912450</v>
      </c>
      <c r="BK72" s="244">
        <f t="shared" si="140"/>
        <v>1026340</v>
      </c>
      <c r="BL72" s="244">
        <f t="shared" si="140"/>
        <v>1284220</v>
      </c>
      <c r="BM72" s="244">
        <f t="shared" si="140"/>
        <v>1421000</v>
      </c>
      <c r="BN72" s="2"/>
      <c r="BO72" s="2"/>
      <c r="BP72" s="2"/>
      <c r="BQ72" s="2"/>
      <c r="BR72" s="2"/>
      <c r="BS72" s="2"/>
      <c r="BT72" s="2"/>
      <c r="BU72" s="124"/>
      <c r="BV72" s="124"/>
      <c r="BW72" s="124"/>
      <c r="BX72" s="124"/>
      <c r="BY72" s="124"/>
    </row>
  </sheetData>
  <mergeCells count="23">
    <mergeCell ref="B31:C31"/>
    <mergeCell ref="A45:B45"/>
    <mergeCell ref="A56:B56"/>
    <mergeCell ref="BH1:BS1"/>
    <mergeCell ref="BH2:BS2"/>
    <mergeCell ref="A14:B14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R1:AD1"/>
    <mergeCell ref="AF1:AR1"/>
    <mergeCell ref="AT1:BF1"/>
    <mergeCell ref="BV1:CG1"/>
    <mergeCell ref="D2:P2"/>
    <mergeCell ref="R2:AD2"/>
    <mergeCell ref="AT2:BF2"/>
    <mergeCell ref="BV2:CG2"/>
  </mergeCells>
  <pageMargins left="0.25" right="0.25" top="0.75" bottom="0.75" header="0" footer="0"/>
  <pageSetup paperSize="9" scale="55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67"/>
  <sheetViews>
    <sheetView showGridLines="0" workbookViewId="0">
      <pane xSplit="3" ySplit="5" topLeftCell="Q6" activePane="bottomRight" state="frozen"/>
      <selection pane="bottomRight" activeCell="D6" sqref="D6"/>
      <selection pane="bottomLeft" activeCell="A6" sqref="A6"/>
      <selection pane="topRight" activeCell="D1" sqref="D1"/>
    </sheetView>
  </sheetViews>
  <sheetFormatPr defaultColWidth="14.42578125" defaultRowHeight="15" customHeight="1" outlineLevelCol="2"/>
  <cols>
    <col min="1" max="1" width="16.85546875" customWidth="1"/>
    <col min="2" max="2" width="28.7109375" customWidth="1"/>
    <col min="3" max="3" width="10.14062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customWidth="1" collapsed="1"/>
    <col min="18" max="18" width="12" customWidth="1"/>
    <col min="19" max="19" width="13.140625" customWidth="1"/>
    <col min="20" max="20" width="13.140625" hidden="1" customWidth="1" outlineLevel="2"/>
    <col min="21" max="21" width="11.7109375" hidden="1" customWidth="1" outlineLevel="2"/>
    <col min="22" max="22" width="13" hidden="1" customWidth="1" outlineLevel="2"/>
    <col min="23" max="23" width="8.85546875" hidden="1" customWidth="1" outlineLevel="2"/>
    <col min="24" max="24" width="13.140625" hidden="1" customWidth="1" outlineLevel="2"/>
    <col min="25" max="25" width="10.7109375" hidden="1" customWidth="1" outlineLevel="2"/>
    <col min="26" max="26" width="11.140625" hidden="1" customWidth="1" outlineLevel="2"/>
    <col min="27" max="27" width="10.7109375" hidden="1" customWidth="1" outlineLevel="2"/>
    <col min="28" max="28" width="10.5703125" hidden="1" customWidth="1" outlineLevel="2"/>
    <col min="29" max="29" width="9.5703125" hidden="1" customWidth="1" outlineLevel="2"/>
    <col min="30" max="30" width="11.5703125" customWidth="1" collapsed="1"/>
    <col min="31" max="31" width="6.42578125" customWidth="1"/>
    <col min="32" max="33" width="12" customWidth="1"/>
    <col min="34" max="34" width="14.7109375" customWidth="1"/>
    <col min="35" max="35" width="10.7109375" customWidth="1"/>
    <col min="36" max="42" width="9.140625" customWidth="1"/>
    <col min="43" max="43" width="10.28515625" customWidth="1"/>
    <col min="44" max="44" width="11" customWidth="1"/>
    <col min="45" max="45" width="2.7109375" customWidth="1"/>
    <col min="46" max="46" width="15.140625" customWidth="1"/>
    <col min="47" max="48" width="15" customWidth="1"/>
    <col min="49" max="49" width="13.140625" customWidth="1"/>
    <col min="50" max="50" width="13.42578125" customWidth="1"/>
    <col min="51" max="51" width="12.7109375" customWidth="1"/>
    <col min="52" max="52" width="12.85546875" customWidth="1"/>
    <col min="53" max="53" width="12.42578125" customWidth="1"/>
    <col min="54" max="54" width="12.85546875" customWidth="1"/>
    <col min="55" max="55" width="14" customWidth="1"/>
    <col min="56" max="57" width="11.7109375" customWidth="1"/>
    <col min="58" max="58" width="17.140625" customWidth="1"/>
    <col min="59" max="59" width="9.140625" customWidth="1"/>
    <col min="60" max="60" width="15.140625" customWidth="1"/>
    <col min="61" max="62" width="15" customWidth="1"/>
    <col min="63" max="73" width="13.140625" customWidth="1"/>
  </cols>
  <sheetData>
    <row r="1" spans="1:73" ht="16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145"/>
    </row>
    <row r="2" spans="1:73" ht="15.75">
      <c r="A2" s="4"/>
      <c r="B2" s="4"/>
      <c r="C2" s="2"/>
      <c r="D2" s="1099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249">
        <v>2021</v>
      </c>
      <c r="AG2" s="249"/>
      <c r="AH2" s="249"/>
      <c r="AI2" s="249"/>
      <c r="AJ2" s="249"/>
      <c r="AK2" s="249"/>
      <c r="AL2" s="249"/>
      <c r="AM2" s="249"/>
      <c r="AN2" s="249"/>
      <c r="AO2" s="249"/>
      <c r="AP2" s="249"/>
      <c r="AQ2" s="250"/>
      <c r="AR2" s="251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145"/>
    </row>
    <row r="3" spans="1:73">
      <c r="A3" s="3" t="s">
        <v>5</v>
      </c>
      <c r="B3" s="3"/>
      <c r="C3" s="252">
        <f>150/210</f>
        <v>0.7142857142857143</v>
      </c>
      <c r="D3" s="252">
        <v>16</v>
      </c>
      <c r="E3" s="252">
        <v>21</v>
      </c>
      <c r="F3" s="252">
        <v>18</v>
      </c>
      <c r="G3" s="252">
        <v>21</v>
      </c>
      <c r="H3" s="252">
        <v>22</v>
      </c>
      <c r="I3" s="252">
        <v>19</v>
      </c>
      <c r="J3" s="252">
        <v>23</v>
      </c>
      <c r="K3" s="252">
        <v>21</v>
      </c>
      <c r="L3" s="252">
        <v>21</v>
      </c>
      <c r="M3" s="252">
        <v>26</v>
      </c>
      <c r="N3" s="252">
        <v>24</v>
      </c>
      <c r="O3" s="252">
        <v>15</v>
      </c>
      <c r="P3" s="4"/>
      <c r="Q3" s="247"/>
      <c r="R3" s="252">
        <v>22</v>
      </c>
      <c r="S3" s="252">
        <v>20</v>
      </c>
      <c r="T3" s="252">
        <v>14</v>
      </c>
      <c r="U3" s="252">
        <v>1</v>
      </c>
      <c r="V3" s="252">
        <v>12</v>
      </c>
      <c r="W3" s="252">
        <v>22</v>
      </c>
      <c r="X3" s="252">
        <v>23</v>
      </c>
      <c r="Y3" s="252">
        <v>21</v>
      </c>
      <c r="Z3" s="252">
        <v>21</v>
      </c>
      <c r="AA3" s="252">
        <v>21</v>
      </c>
      <c r="AB3" s="252">
        <v>20</v>
      </c>
      <c r="AC3" s="252">
        <v>17</v>
      </c>
      <c r="AD3" s="2"/>
      <c r="AE3" s="253"/>
      <c r="AF3" s="254">
        <v>18</v>
      </c>
      <c r="AG3" s="252">
        <v>20</v>
      </c>
      <c r="AH3" s="248">
        <v>20</v>
      </c>
      <c r="AI3" s="248">
        <v>20</v>
      </c>
      <c r="AJ3" s="252">
        <v>22</v>
      </c>
      <c r="AK3" s="252">
        <v>20</v>
      </c>
      <c r="AL3" s="252">
        <v>22</v>
      </c>
      <c r="AM3" s="252">
        <v>22</v>
      </c>
      <c r="AN3" s="252">
        <v>21</v>
      </c>
      <c r="AO3" s="252">
        <v>20</v>
      </c>
      <c r="AP3" s="252">
        <v>20</v>
      </c>
      <c r="AQ3" s="248">
        <v>12</v>
      </c>
      <c r="AR3" s="2"/>
      <c r="AS3" s="124"/>
      <c r="AT3" s="253">
        <v>19</v>
      </c>
      <c r="AU3" s="248">
        <v>19</v>
      </c>
      <c r="AV3" s="248">
        <v>18</v>
      </c>
      <c r="AW3" s="248">
        <v>19</v>
      </c>
      <c r="AX3" s="248">
        <v>22</v>
      </c>
      <c r="AY3" s="248">
        <v>21</v>
      </c>
      <c r="AZ3" s="248">
        <v>21</v>
      </c>
      <c r="BA3" s="248">
        <v>22</v>
      </c>
      <c r="BB3" s="248">
        <v>22</v>
      </c>
      <c r="BC3" s="248">
        <v>21</v>
      </c>
      <c r="BD3" s="248">
        <v>20</v>
      </c>
      <c r="BE3" s="248">
        <v>10</v>
      </c>
      <c r="BF3" s="2"/>
      <c r="BG3" s="125"/>
      <c r="BH3" s="253">
        <v>20</v>
      </c>
      <c r="BI3" s="248">
        <v>20</v>
      </c>
      <c r="BJ3" s="248">
        <v>23</v>
      </c>
      <c r="BK3" s="248">
        <v>18</v>
      </c>
      <c r="BL3" s="248">
        <v>22</v>
      </c>
      <c r="BM3" s="248">
        <v>21</v>
      </c>
      <c r="BN3" s="248">
        <v>21</v>
      </c>
      <c r="BO3" s="248">
        <v>23</v>
      </c>
      <c r="BP3" s="248">
        <v>20</v>
      </c>
      <c r="BQ3" s="248">
        <v>21</v>
      </c>
      <c r="BR3" s="248">
        <v>20</v>
      </c>
      <c r="BS3" s="248">
        <v>12</v>
      </c>
      <c r="BT3" s="248"/>
      <c r="BU3" s="248"/>
    </row>
    <row r="4" spans="1:73">
      <c r="A4" s="8"/>
      <c r="B4" s="8"/>
      <c r="C4" s="146"/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258" t="s">
        <v>26</v>
      </c>
      <c r="Q4" s="10"/>
      <c r="R4" s="257" t="s">
        <v>14</v>
      </c>
      <c r="S4" s="9" t="s">
        <v>15</v>
      </c>
      <c r="T4" s="9" t="s">
        <v>16</v>
      </c>
      <c r="U4" s="9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  <c r="AA4" s="9" t="s">
        <v>23</v>
      </c>
      <c r="AB4" s="9" t="s">
        <v>24</v>
      </c>
      <c r="AC4" s="9" t="s">
        <v>25</v>
      </c>
      <c r="AD4" s="258" t="s">
        <v>26</v>
      </c>
      <c r="AE4" s="11"/>
      <c r="AF4" s="257" t="s">
        <v>14</v>
      </c>
      <c r="AG4" s="9" t="s">
        <v>15</v>
      </c>
      <c r="AH4" s="9" t="s">
        <v>16</v>
      </c>
      <c r="AI4" s="9" t="s">
        <v>17</v>
      </c>
      <c r="AJ4" s="9" t="s">
        <v>18</v>
      </c>
      <c r="AK4" s="9" t="s">
        <v>19</v>
      </c>
      <c r="AL4" s="9" t="s">
        <v>20</v>
      </c>
      <c r="AM4" s="9" t="s">
        <v>21</v>
      </c>
      <c r="AN4" s="9" t="s">
        <v>22</v>
      </c>
      <c r="AO4" s="9" t="s">
        <v>23</v>
      </c>
      <c r="AP4" s="9" t="s">
        <v>24</v>
      </c>
      <c r="AQ4" s="9" t="s">
        <v>25</v>
      </c>
      <c r="AR4" s="9" t="s">
        <v>26</v>
      </c>
      <c r="AS4" s="11"/>
      <c r="AT4" s="9" t="s">
        <v>14</v>
      </c>
      <c r="AU4" s="9" t="s">
        <v>15</v>
      </c>
      <c r="AV4" s="9" t="s">
        <v>16</v>
      </c>
      <c r="AW4" s="9" t="s">
        <v>17</v>
      </c>
      <c r="AX4" s="9" t="s">
        <v>18</v>
      </c>
      <c r="AY4" s="9" t="s">
        <v>19</v>
      </c>
      <c r="AZ4" s="9" t="s">
        <v>20</v>
      </c>
      <c r="BA4" s="9" t="s">
        <v>21</v>
      </c>
      <c r="BB4" s="9" t="s">
        <v>22</v>
      </c>
      <c r="BC4" s="9" t="s">
        <v>23</v>
      </c>
      <c r="BD4" s="9" t="s">
        <v>24</v>
      </c>
      <c r="BE4" s="9" t="s">
        <v>25</v>
      </c>
      <c r="BF4" s="9" t="s">
        <v>26</v>
      </c>
      <c r="BG4" s="10"/>
      <c r="BH4" s="9" t="s">
        <v>14</v>
      </c>
      <c r="BI4" s="9" t="s">
        <v>15</v>
      </c>
      <c r="BJ4" s="9" t="s">
        <v>16</v>
      </c>
      <c r="BK4" s="9" t="s">
        <v>17</v>
      </c>
      <c r="BL4" s="9" t="s">
        <v>18</v>
      </c>
      <c r="BM4" s="9" t="s">
        <v>19</v>
      </c>
      <c r="BN4" s="9" t="s">
        <v>20</v>
      </c>
      <c r="BO4" s="9" t="s">
        <v>21</v>
      </c>
      <c r="BP4" s="9" t="s">
        <v>22</v>
      </c>
      <c r="BQ4" s="9" t="s">
        <v>23</v>
      </c>
      <c r="BR4" s="9" t="s">
        <v>24</v>
      </c>
      <c r="BS4" s="9" t="s">
        <v>25</v>
      </c>
      <c r="BT4" s="9" t="s">
        <v>26</v>
      </c>
      <c r="BU4" s="11"/>
    </row>
    <row r="5" spans="1:73">
      <c r="A5" s="110"/>
      <c r="B5" s="110"/>
      <c r="C5" s="147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343"/>
      <c r="Q5" s="84"/>
      <c r="R5" s="345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344"/>
      <c r="AE5" s="113"/>
      <c r="AF5" s="345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23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27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3"/>
    </row>
    <row r="6" spans="1:73">
      <c r="A6" s="148" t="s">
        <v>28</v>
      </c>
      <c r="B6" s="149" t="s">
        <v>263</v>
      </c>
      <c r="C6" s="150"/>
      <c r="D6" s="151">
        <f t="shared" ref="D6:O6" si="0">SUM(D7:D9)</f>
        <v>304786</v>
      </c>
      <c r="E6" s="151">
        <f t="shared" si="0"/>
        <v>311986</v>
      </c>
      <c r="F6" s="151">
        <f t="shared" si="0"/>
        <v>328231</v>
      </c>
      <c r="G6" s="151">
        <f t="shared" si="0"/>
        <v>317873</v>
      </c>
      <c r="H6" s="151">
        <f t="shared" si="0"/>
        <v>347196</v>
      </c>
      <c r="I6" s="151">
        <f t="shared" si="0"/>
        <v>402253</v>
      </c>
      <c r="J6" s="151">
        <f t="shared" si="0"/>
        <v>454488</v>
      </c>
      <c r="K6" s="151">
        <f t="shared" si="0"/>
        <v>447182</v>
      </c>
      <c r="L6" s="151">
        <f t="shared" si="0"/>
        <v>416931</v>
      </c>
      <c r="M6" s="151">
        <f t="shared" si="0"/>
        <v>304402</v>
      </c>
      <c r="N6" s="151">
        <f t="shared" si="0"/>
        <v>0</v>
      </c>
      <c r="O6" s="151">
        <f t="shared" si="0"/>
        <v>188264</v>
      </c>
      <c r="P6" s="350"/>
      <c r="Q6" s="152"/>
      <c r="R6" s="151">
        <f t="shared" ref="R6:AC6" si="1">SUM(R7:R9)</f>
        <v>283359</v>
      </c>
      <c r="S6" s="151">
        <f t="shared" si="1"/>
        <v>342718</v>
      </c>
      <c r="T6" s="151">
        <f t="shared" si="1"/>
        <v>313212</v>
      </c>
      <c r="U6" s="151">
        <f t="shared" si="1"/>
        <v>298093</v>
      </c>
      <c r="V6" s="151">
        <f t="shared" si="1"/>
        <v>206617</v>
      </c>
      <c r="W6" s="151">
        <f t="shared" si="1"/>
        <v>235875</v>
      </c>
      <c r="X6" s="151">
        <f t="shared" si="1"/>
        <v>360135</v>
      </c>
      <c r="Y6" s="151">
        <f t="shared" si="1"/>
        <v>361665</v>
      </c>
      <c r="Z6" s="151">
        <f t="shared" si="1"/>
        <v>353400</v>
      </c>
      <c r="AA6" s="151">
        <f t="shared" si="1"/>
        <v>272097</v>
      </c>
      <c r="AB6" s="151">
        <f t="shared" si="1"/>
        <v>170626</v>
      </c>
      <c r="AC6" s="151">
        <f t="shared" si="1"/>
        <v>197551</v>
      </c>
      <c r="AD6" s="351"/>
      <c r="AE6" s="153"/>
      <c r="AF6" s="151">
        <f t="shared" ref="AF6:AQ6" si="2">SUM(AF7:AF10)</f>
        <v>246973</v>
      </c>
      <c r="AG6" s="151">
        <f t="shared" si="2"/>
        <v>281087</v>
      </c>
      <c r="AH6" s="151">
        <f t="shared" si="2"/>
        <v>386469</v>
      </c>
      <c r="AI6" s="151">
        <f t="shared" si="2"/>
        <v>379017</v>
      </c>
      <c r="AJ6" s="151">
        <f t="shared" si="2"/>
        <v>400777</v>
      </c>
      <c r="AK6" s="151">
        <f t="shared" si="2"/>
        <v>465623</v>
      </c>
      <c r="AL6" s="151">
        <f t="shared" si="2"/>
        <v>472149</v>
      </c>
      <c r="AM6" s="151">
        <f t="shared" si="2"/>
        <v>492339</v>
      </c>
      <c r="AN6" s="151">
        <f t="shared" si="2"/>
        <v>450428</v>
      </c>
      <c r="AO6" s="151">
        <f t="shared" si="2"/>
        <v>391441</v>
      </c>
      <c r="AP6" s="151">
        <f t="shared" si="2"/>
        <v>325482</v>
      </c>
      <c r="AQ6" s="151">
        <f t="shared" si="2"/>
        <v>321014</v>
      </c>
      <c r="AR6" s="151">
        <f t="shared" ref="AR6:AR15" si="3">AQ6</f>
        <v>321014</v>
      </c>
      <c r="AS6" s="154"/>
      <c r="AT6" s="151">
        <f t="shared" ref="AT6:BE6" si="4">SUM(AT7:AT10)</f>
        <v>350303</v>
      </c>
      <c r="AU6" s="151">
        <f t="shared" si="4"/>
        <v>323931</v>
      </c>
      <c r="AV6" s="151">
        <f t="shared" si="4"/>
        <v>307980</v>
      </c>
      <c r="AW6" s="151">
        <f t="shared" si="4"/>
        <v>292777</v>
      </c>
      <c r="AX6" s="155">
        <f t="shared" si="4"/>
        <v>296754</v>
      </c>
      <c r="AY6" s="155">
        <f t="shared" si="4"/>
        <v>344037</v>
      </c>
      <c r="AZ6" s="155">
        <f t="shared" si="4"/>
        <v>367566</v>
      </c>
      <c r="BA6" s="155">
        <f t="shared" si="4"/>
        <v>372442</v>
      </c>
      <c r="BB6" s="155">
        <f t="shared" si="4"/>
        <v>375154</v>
      </c>
      <c r="BC6" s="155">
        <f t="shared" si="4"/>
        <v>340466</v>
      </c>
      <c r="BD6" s="155">
        <f t="shared" si="4"/>
        <v>314581</v>
      </c>
      <c r="BE6" s="151">
        <f t="shared" si="4"/>
        <v>253219</v>
      </c>
      <c r="BF6" s="151">
        <f t="shared" ref="BF6:BF11" si="5">BE6</f>
        <v>253219</v>
      </c>
      <c r="BG6" s="156"/>
      <c r="BH6" s="151">
        <f>BF6+BH57-BH16</f>
        <v>243064</v>
      </c>
      <c r="BI6" s="151">
        <f t="shared" ref="BI6:BS6" si="6">BH6+BI57-BI16</f>
        <v>245222.66666666669</v>
      </c>
      <c r="BJ6" s="151">
        <f t="shared" si="6"/>
        <v>216379.33333333337</v>
      </c>
      <c r="BK6" s="151">
        <f t="shared" si="6"/>
        <v>193411.00000000006</v>
      </c>
      <c r="BL6" s="151">
        <f t="shared" si="6"/>
        <v>217017.66666666674</v>
      </c>
      <c r="BM6" s="157">
        <f t="shared" si="6"/>
        <v>233379.00000000006</v>
      </c>
      <c r="BN6" s="157">
        <f t="shared" si="6"/>
        <v>226607.00000000006</v>
      </c>
      <c r="BO6" s="151">
        <f t="shared" si="6"/>
        <v>212653.14285714287</v>
      </c>
      <c r="BP6" s="151">
        <f t="shared" si="6"/>
        <v>164394.57142857142</v>
      </c>
      <c r="BQ6" s="151">
        <f t="shared" si="6"/>
        <v>135453.90476190476</v>
      </c>
      <c r="BR6" s="151">
        <f t="shared" si="6"/>
        <v>152505.8744588744</v>
      </c>
      <c r="BS6" s="151">
        <f t="shared" si="6"/>
        <v>146122.72294372288</v>
      </c>
      <c r="BT6" s="151">
        <f t="shared" ref="BT6:BT14" si="7">BS6</f>
        <v>146122.72294372288</v>
      </c>
      <c r="BU6" s="113"/>
    </row>
    <row r="7" spans="1:73">
      <c r="A7" s="19">
        <v>1</v>
      </c>
      <c r="B7" s="158" t="s">
        <v>264</v>
      </c>
      <c r="C7" s="264"/>
      <c r="D7" s="20">
        <v>197000</v>
      </c>
      <c r="E7" s="20">
        <v>223027</v>
      </c>
      <c r="F7" s="20">
        <v>230513</v>
      </c>
      <c r="G7" s="20">
        <v>231174</v>
      </c>
      <c r="H7" s="20">
        <v>255028</v>
      </c>
      <c r="I7" s="20">
        <f>316386+3241</f>
        <v>319627</v>
      </c>
      <c r="J7" s="20">
        <v>377712</v>
      </c>
      <c r="K7" s="20">
        <v>382411</v>
      </c>
      <c r="L7" s="20">
        <v>394107</v>
      </c>
      <c r="M7" s="20">
        <v>267954</v>
      </c>
      <c r="N7" s="20"/>
      <c r="O7" s="20">
        <v>143875</v>
      </c>
      <c r="P7" s="266"/>
      <c r="Q7" s="21"/>
      <c r="R7" s="265">
        <v>208084</v>
      </c>
      <c r="S7" s="22">
        <v>268431</v>
      </c>
      <c r="T7" s="22">
        <v>250616</v>
      </c>
      <c r="U7" s="22">
        <v>237088</v>
      </c>
      <c r="V7" s="22">
        <v>147777</v>
      </c>
      <c r="W7" s="22">
        <v>215818</v>
      </c>
      <c r="X7" s="22">
        <v>273510</v>
      </c>
      <c r="Y7" s="22">
        <v>299059</v>
      </c>
      <c r="Z7" s="22">
        <v>304980</v>
      </c>
      <c r="AA7" s="22">
        <v>231197</v>
      </c>
      <c r="AB7" s="22">
        <v>143086</v>
      </c>
      <c r="AC7" s="22">
        <v>172491</v>
      </c>
      <c r="AD7" s="267"/>
      <c r="AE7" s="23"/>
      <c r="AF7" s="22">
        <v>198695</v>
      </c>
      <c r="AG7" s="22">
        <v>234210</v>
      </c>
      <c r="AH7" s="22">
        <v>327560</v>
      </c>
      <c r="AI7" s="22">
        <v>332523</v>
      </c>
      <c r="AJ7" s="24">
        <v>356667</v>
      </c>
      <c r="AK7" s="22">
        <v>384165</v>
      </c>
      <c r="AL7" s="22">
        <v>317268</v>
      </c>
      <c r="AM7" s="22">
        <v>370708</v>
      </c>
      <c r="AN7" s="22">
        <v>354503</v>
      </c>
      <c r="AO7" s="22">
        <v>314605</v>
      </c>
      <c r="AP7" s="25">
        <v>90490</v>
      </c>
      <c r="AQ7" s="22">
        <v>58348</v>
      </c>
      <c r="AR7" s="22">
        <f t="shared" si="3"/>
        <v>58348</v>
      </c>
      <c r="AS7" s="23"/>
      <c r="AT7" s="22">
        <v>158701</v>
      </c>
      <c r="AU7" s="22">
        <v>115369</v>
      </c>
      <c r="AV7" s="22">
        <v>142379</v>
      </c>
      <c r="AW7" s="22">
        <v>118765</v>
      </c>
      <c r="AX7" s="22">
        <v>113246</v>
      </c>
      <c r="AY7" s="22">
        <v>106776</v>
      </c>
      <c r="AZ7" s="22">
        <v>175234</v>
      </c>
      <c r="BA7" s="22">
        <v>151553</v>
      </c>
      <c r="BB7" s="352">
        <v>167082</v>
      </c>
      <c r="BC7" s="22">
        <v>150959</v>
      </c>
      <c r="BD7" s="22">
        <v>119787</v>
      </c>
      <c r="BE7" s="22">
        <v>65426</v>
      </c>
      <c r="BF7" s="22">
        <f t="shared" si="5"/>
        <v>65426</v>
      </c>
      <c r="BG7" s="27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>
        <f t="shared" si="7"/>
        <v>0</v>
      </c>
      <c r="BU7" s="23"/>
    </row>
    <row r="8" spans="1:73">
      <c r="A8" s="19">
        <v>2</v>
      </c>
      <c r="B8" s="158" t="s">
        <v>265</v>
      </c>
      <c r="C8" s="264"/>
      <c r="D8" s="20">
        <v>73670</v>
      </c>
      <c r="E8" s="20">
        <v>59682</v>
      </c>
      <c r="F8" s="20">
        <v>54710</v>
      </c>
      <c r="G8" s="20">
        <v>56175</v>
      </c>
      <c r="H8" s="20">
        <v>58933</v>
      </c>
      <c r="I8" s="20">
        <v>42784</v>
      </c>
      <c r="J8" s="20">
        <v>35755</v>
      </c>
      <c r="K8" s="20">
        <v>33547</v>
      </c>
      <c r="L8" s="20">
        <v>22824</v>
      </c>
      <c r="M8" s="20">
        <v>26162</v>
      </c>
      <c r="N8" s="20"/>
      <c r="O8" s="20">
        <v>44389</v>
      </c>
      <c r="P8" s="266"/>
      <c r="Q8" s="21"/>
      <c r="R8" s="265">
        <v>39759</v>
      </c>
      <c r="S8" s="22">
        <v>38325</v>
      </c>
      <c r="T8" s="22">
        <v>26634</v>
      </c>
      <c r="U8" s="22">
        <f>14430+2754+7859</f>
        <v>25043</v>
      </c>
      <c r="V8" s="22">
        <v>23840</v>
      </c>
      <c r="W8" s="22">
        <v>20057</v>
      </c>
      <c r="X8" s="22">
        <v>80502</v>
      </c>
      <c r="Y8" s="22">
        <v>56483</v>
      </c>
      <c r="Z8" s="22">
        <v>44233</v>
      </c>
      <c r="AA8" s="22">
        <v>38155</v>
      </c>
      <c r="AB8" s="22">
        <v>27540</v>
      </c>
      <c r="AC8" s="22">
        <v>25060</v>
      </c>
      <c r="AD8" s="267"/>
      <c r="AE8" s="23"/>
      <c r="AF8" s="22">
        <v>21326</v>
      </c>
      <c r="AG8" s="22">
        <v>17804</v>
      </c>
      <c r="AH8" s="22">
        <v>27157</v>
      </c>
      <c r="AI8" s="22">
        <v>19677</v>
      </c>
      <c r="AJ8" s="22">
        <v>18817</v>
      </c>
      <c r="AK8" s="22">
        <v>25034</v>
      </c>
      <c r="AL8" s="22">
        <v>28090</v>
      </c>
      <c r="AM8" s="22">
        <v>25660</v>
      </c>
      <c r="AN8" s="22">
        <v>33752</v>
      </c>
      <c r="AO8" s="22">
        <v>24699</v>
      </c>
      <c r="AP8" s="25">
        <v>19340</v>
      </c>
      <c r="AQ8" s="22">
        <v>29842</v>
      </c>
      <c r="AR8" s="22">
        <f t="shared" si="3"/>
        <v>29842</v>
      </c>
      <c r="AS8" s="23"/>
      <c r="AT8" s="22">
        <v>46493</v>
      </c>
      <c r="AU8" s="22">
        <v>37125</v>
      </c>
      <c r="AV8" s="22">
        <v>38574</v>
      </c>
      <c r="AW8" s="22">
        <v>43626</v>
      </c>
      <c r="AX8" s="22">
        <v>39641</v>
      </c>
      <c r="AY8" s="22">
        <v>55553</v>
      </c>
      <c r="AZ8" s="22">
        <v>48023</v>
      </c>
      <c r="BA8" s="22">
        <v>55043</v>
      </c>
      <c r="BB8" s="352">
        <v>50383</v>
      </c>
      <c r="BC8" s="22">
        <v>54355</v>
      </c>
      <c r="BD8" s="22">
        <v>82473</v>
      </c>
      <c r="BE8" s="22">
        <v>65398</v>
      </c>
      <c r="BF8" s="22">
        <f t="shared" si="5"/>
        <v>65398</v>
      </c>
      <c r="BG8" s="27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>
        <f t="shared" si="7"/>
        <v>0</v>
      </c>
      <c r="BU8" s="23"/>
    </row>
    <row r="9" spans="1:73">
      <c r="A9" s="19">
        <v>3</v>
      </c>
      <c r="B9" s="158" t="s">
        <v>636</v>
      </c>
      <c r="C9" s="264"/>
      <c r="D9" s="269">
        <v>34116</v>
      </c>
      <c r="E9" s="269">
        <v>29277</v>
      </c>
      <c r="F9" s="269">
        <v>43008</v>
      </c>
      <c r="G9" s="269">
        <v>30524</v>
      </c>
      <c r="H9" s="269">
        <v>33235</v>
      </c>
      <c r="I9" s="269">
        <v>39842</v>
      </c>
      <c r="J9" s="269">
        <v>41021</v>
      </c>
      <c r="K9" s="269">
        <v>31224</v>
      </c>
      <c r="L9" s="269"/>
      <c r="M9" s="269">
        <v>10286</v>
      </c>
      <c r="N9" s="269"/>
      <c r="O9" s="269"/>
      <c r="P9" s="266"/>
      <c r="Q9" s="21"/>
      <c r="R9" s="268">
        <v>35516</v>
      </c>
      <c r="S9" s="270">
        <v>35962</v>
      </c>
      <c r="T9" s="270">
        <v>35962</v>
      </c>
      <c r="U9" s="270">
        <v>35962</v>
      </c>
      <c r="V9" s="270">
        <v>35000</v>
      </c>
      <c r="W9" s="270"/>
      <c r="X9" s="270">
        <v>6123</v>
      </c>
      <c r="Y9" s="270">
        <v>6123</v>
      </c>
      <c r="Z9" s="270">
        <v>4187</v>
      </c>
      <c r="AA9" s="270">
        <v>2745</v>
      </c>
      <c r="AB9" s="270"/>
      <c r="AC9" s="270"/>
      <c r="AD9" s="267"/>
      <c r="AE9" s="23"/>
      <c r="AF9" s="270">
        <v>8366</v>
      </c>
      <c r="AG9" s="270">
        <v>11534</v>
      </c>
      <c r="AH9" s="270">
        <v>11507</v>
      </c>
      <c r="AI9" s="270">
        <v>9148</v>
      </c>
      <c r="AJ9" s="22">
        <v>8524</v>
      </c>
      <c r="AK9" s="270">
        <v>25290</v>
      </c>
      <c r="AL9" s="270">
        <v>91080</v>
      </c>
      <c r="AM9" s="270">
        <v>66830</v>
      </c>
      <c r="AN9" s="270">
        <v>36866</v>
      </c>
      <c r="AO9" s="270">
        <v>16173</v>
      </c>
      <c r="AP9" s="271">
        <v>178274</v>
      </c>
      <c r="AQ9" s="270">
        <v>210665</v>
      </c>
      <c r="AR9" s="22">
        <f t="shared" si="3"/>
        <v>210665</v>
      </c>
      <c r="AS9" s="23"/>
      <c r="AT9" s="270">
        <v>121075</v>
      </c>
      <c r="AU9" s="270">
        <v>149376</v>
      </c>
      <c r="AV9" s="270">
        <v>104538</v>
      </c>
      <c r="AW9" s="270">
        <v>105262</v>
      </c>
      <c r="AX9" s="270">
        <v>121073</v>
      </c>
      <c r="AY9" s="270">
        <v>163931</v>
      </c>
      <c r="AZ9" s="270">
        <v>109964</v>
      </c>
      <c r="BA9" s="270">
        <v>148266</v>
      </c>
      <c r="BB9" s="352">
        <v>130697</v>
      </c>
      <c r="BC9" s="270">
        <v>113779</v>
      </c>
      <c r="BD9" s="270">
        <v>91119</v>
      </c>
      <c r="BE9" s="270">
        <v>103286</v>
      </c>
      <c r="BF9" s="22">
        <f t="shared" si="5"/>
        <v>103286</v>
      </c>
      <c r="BG9" s="27"/>
      <c r="BH9" s="270"/>
      <c r="BI9" s="270"/>
      <c r="BJ9" s="270"/>
      <c r="BK9" s="270"/>
      <c r="BL9" s="22"/>
      <c r="BM9" s="22"/>
      <c r="BN9" s="22"/>
      <c r="BO9" s="22"/>
      <c r="BP9" s="22"/>
      <c r="BQ9" s="22"/>
      <c r="BR9" s="22"/>
      <c r="BS9" s="22"/>
      <c r="BT9" s="22">
        <f t="shared" si="7"/>
        <v>0</v>
      </c>
      <c r="BU9" s="23"/>
    </row>
    <row r="10" spans="1:73">
      <c r="A10" s="19">
        <v>1</v>
      </c>
      <c r="B10" s="158" t="s">
        <v>267</v>
      </c>
      <c r="C10" s="159"/>
      <c r="D10" s="20">
        <v>6409</v>
      </c>
      <c r="E10" s="20">
        <v>6860</v>
      </c>
      <c r="F10" s="20">
        <v>4970</v>
      </c>
      <c r="G10" s="20">
        <v>31203</v>
      </c>
      <c r="H10" s="20">
        <v>31499</v>
      </c>
      <c r="I10" s="20">
        <v>25903</v>
      </c>
      <c r="J10" s="20">
        <v>18606</v>
      </c>
      <c r="K10" s="20">
        <v>16014</v>
      </c>
      <c r="L10" s="20">
        <v>13416</v>
      </c>
      <c r="M10" s="20">
        <v>40079</v>
      </c>
      <c r="N10" s="20"/>
      <c r="O10" s="20">
        <v>0</v>
      </c>
      <c r="P10" s="266"/>
      <c r="Q10" s="21"/>
      <c r="R10" s="265">
        <v>3376</v>
      </c>
      <c r="S10" s="22">
        <v>11736</v>
      </c>
      <c r="T10" s="22">
        <v>22454</v>
      </c>
      <c r="U10" s="22">
        <v>21384</v>
      </c>
      <c r="V10" s="22">
        <v>66870</v>
      </c>
      <c r="W10" s="22">
        <v>73769</v>
      </c>
      <c r="X10" s="22">
        <v>13944</v>
      </c>
      <c r="Y10" s="22">
        <v>32750</v>
      </c>
      <c r="Z10" s="22">
        <v>18536</v>
      </c>
      <c r="AA10" s="22">
        <v>40211</v>
      </c>
      <c r="AB10" s="22">
        <v>44457</v>
      </c>
      <c r="AC10" s="22">
        <v>24504</v>
      </c>
      <c r="AD10" s="267"/>
      <c r="AE10" s="23"/>
      <c r="AF10" s="22">
        <v>18586</v>
      </c>
      <c r="AG10" s="22">
        <v>17539</v>
      </c>
      <c r="AH10" s="22">
        <v>20245</v>
      </c>
      <c r="AI10" s="22">
        <v>17669</v>
      </c>
      <c r="AJ10" s="22">
        <v>16769</v>
      </c>
      <c r="AK10" s="22">
        <v>31134</v>
      </c>
      <c r="AL10" s="22">
        <v>35711</v>
      </c>
      <c r="AM10" s="22">
        <v>29141</v>
      </c>
      <c r="AN10" s="22">
        <v>25307</v>
      </c>
      <c r="AO10" s="22">
        <v>35964</v>
      </c>
      <c r="AP10" s="25">
        <v>37378</v>
      </c>
      <c r="AQ10" s="22">
        <v>22159</v>
      </c>
      <c r="AR10" s="22">
        <f t="shared" si="3"/>
        <v>22159</v>
      </c>
      <c r="AS10" s="23"/>
      <c r="AT10" s="22">
        <v>24034</v>
      </c>
      <c r="AU10" s="270">
        <v>22061</v>
      </c>
      <c r="AV10" s="22">
        <v>22489</v>
      </c>
      <c r="AW10" s="22">
        <v>25124</v>
      </c>
      <c r="AX10" s="22">
        <v>22794</v>
      </c>
      <c r="AY10" s="22">
        <v>17777</v>
      </c>
      <c r="AZ10" s="22">
        <v>34345</v>
      </c>
      <c r="BA10" s="22">
        <v>17580</v>
      </c>
      <c r="BB10" s="352">
        <v>26992</v>
      </c>
      <c r="BC10" s="22">
        <v>21373</v>
      </c>
      <c r="BD10" s="22">
        <v>21202</v>
      </c>
      <c r="BE10" s="22">
        <v>19109</v>
      </c>
      <c r="BF10" s="22">
        <f t="shared" si="5"/>
        <v>19109</v>
      </c>
      <c r="BG10" s="27"/>
      <c r="BH10" s="22"/>
      <c r="BI10" s="270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>
        <f t="shared" si="7"/>
        <v>0</v>
      </c>
      <c r="BU10" s="23"/>
    </row>
    <row r="11" spans="1:73">
      <c r="A11" s="160"/>
      <c r="B11" s="160" t="s">
        <v>41</v>
      </c>
      <c r="C11" s="161"/>
      <c r="D11" s="162">
        <f t="shared" ref="D11:O11" si="8">D6-D9</f>
        <v>270670</v>
      </c>
      <c r="E11" s="162">
        <f t="shared" si="8"/>
        <v>282709</v>
      </c>
      <c r="F11" s="162">
        <f t="shared" si="8"/>
        <v>285223</v>
      </c>
      <c r="G11" s="162">
        <f t="shared" si="8"/>
        <v>287349</v>
      </c>
      <c r="H11" s="162">
        <f t="shared" si="8"/>
        <v>313961</v>
      </c>
      <c r="I11" s="162">
        <f t="shared" si="8"/>
        <v>362411</v>
      </c>
      <c r="J11" s="162">
        <f t="shared" si="8"/>
        <v>413467</v>
      </c>
      <c r="K11" s="162">
        <f t="shared" si="8"/>
        <v>415958</v>
      </c>
      <c r="L11" s="162">
        <f t="shared" si="8"/>
        <v>416931</v>
      </c>
      <c r="M11" s="162">
        <f t="shared" si="8"/>
        <v>294116</v>
      </c>
      <c r="N11" s="162">
        <f t="shared" si="8"/>
        <v>0</v>
      </c>
      <c r="O11" s="162">
        <f t="shared" si="8"/>
        <v>188264</v>
      </c>
      <c r="P11" s="353"/>
      <c r="Q11" s="163"/>
      <c r="R11" s="354">
        <f t="shared" ref="R11:AB11" si="9">R6-R9</f>
        <v>247843</v>
      </c>
      <c r="S11" s="164">
        <f t="shared" si="9"/>
        <v>306756</v>
      </c>
      <c r="T11" s="164">
        <f t="shared" si="9"/>
        <v>277250</v>
      </c>
      <c r="U11" s="164">
        <f t="shared" si="9"/>
        <v>262131</v>
      </c>
      <c r="V11" s="164">
        <f t="shared" si="9"/>
        <v>171617</v>
      </c>
      <c r="W11" s="164">
        <f t="shared" si="9"/>
        <v>235875</v>
      </c>
      <c r="X11" s="164">
        <f t="shared" si="9"/>
        <v>354012</v>
      </c>
      <c r="Y11" s="164">
        <f t="shared" si="9"/>
        <v>355542</v>
      </c>
      <c r="Z11" s="164">
        <f t="shared" si="9"/>
        <v>349213</v>
      </c>
      <c r="AA11" s="164">
        <f t="shared" si="9"/>
        <v>269352</v>
      </c>
      <c r="AB11" s="164">
        <f t="shared" si="9"/>
        <v>170626</v>
      </c>
      <c r="AC11" s="164"/>
      <c r="AD11" s="355"/>
      <c r="AE11" s="154"/>
      <c r="AF11" s="164">
        <f t="shared" ref="AF11:AQ11" si="10">AF6-AF9</f>
        <v>238607</v>
      </c>
      <c r="AG11" s="164">
        <f t="shared" si="10"/>
        <v>269553</v>
      </c>
      <c r="AH11" s="164">
        <f t="shared" si="10"/>
        <v>374962</v>
      </c>
      <c r="AI11" s="164">
        <f t="shared" si="10"/>
        <v>369869</v>
      </c>
      <c r="AJ11" s="164">
        <f t="shared" si="10"/>
        <v>392253</v>
      </c>
      <c r="AK11" s="164">
        <f t="shared" si="10"/>
        <v>440333</v>
      </c>
      <c r="AL11" s="164">
        <f t="shared" si="10"/>
        <v>381069</v>
      </c>
      <c r="AM11" s="164">
        <f t="shared" si="10"/>
        <v>425509</v>
      </c>
      <c r="AN11" s="164">
        <f t="shared" si="10"/>
        <v>413562</v>
      </c>
      <c r="AO11" s="164">
        <f t="shared" si="10"/>
        <v>375268</v>
      </c>
      <c r="AP11" s="164">
        <f t="shared" si="10"/>
        <v>147208</v>
      </c>
      <c r="AQ11" s="164">
        <f t="shared" si="10"/>
        <v>110349</v>
      </c>
      <c r="AR11" s="164">
        <f t="shared" si="3"/>
        <v>110349</v>
      </c>
      <c r="AS11" s="154"/>
      <c r="AT11" s="164">
        <f t="shared" ref="AT11:BE11" si="11">AT6-AT9</f>
        <v>229228</v>
      </c>
      <c r="AU11" s="164">
        <f t="shared" si="11"/>
        <v>174555</v>
      </c>
      <c r="AV11" s="164">
        <f t="shared" si="11"/>
        <v>203442</v>
      </c>
      <c r="AW11" s="164">
        <f t="shared" si="11"/>
        <v>187515</v>
      </c>
      <c r="AX11" s="164">
        <f t="shared" si="11"/>
        <v>175681</v>
      </c>
      <c r="AY11" s="164">
        <f t="shared" si="11"/>
        <v>180106</v>
      </c>
      <c r="AZ11" s="164">
        <f t="shared" si="11"/>
        <v>257602</v>
      </c>
      <c r="BA11" s="164">
        <f t="shared" si="11"/>
        <v>224176</v>
      </c>
      <c r="BB11" s="164">
        <f t="shared" si="11"/>
        <v>244457</v>
      </c>
      <c r="BC11" s="164">
        <f t="shared" si="11"/>
        <v>226687</v>
      </c>
      <c r="BD11" s="164">
        <f t="shared" si="11"/>
        <v>223462</v>
      </c>
      <c r="BE11" s="164">
        <f t="shared" si="11"/>
        <v>149933</v>
      </c>
      <c r="BF11" s="164">
        <f t="shared" si="5"/>
        <v>149933</v>
      </c>
      <c r="BG11" s="156"/>
      <c r="BH11" s="164">
        <f t="shared" ref="BH11:BS11" si="12">BH6-BH9</f>
        <v>243064</v>
      </c>
      <c r="BI11" s="164">
        <f t="shared" si="12"/>
        <v>245222.66666666669</v>
      </c>
      <c r="BJ11" s="164">
        <f t="shared" si="12"/>
        <v>216379.33333333337</v>
      </c>
      <c r="BK11" s="164">
        <f t="shared" si="12"/>
        <v>193411.00000000006</v>
      </c>
      <c r="BL11" s="164">
        <f t="shared" si="12"/>
        <v>217017.66666666674</v>
      </c>
      <c r="BM11" s="164">
        <f t="shared" si="12"/>
        <v>233379.00000000006</v>
      </c>
      <c r="BN11" s="164">
        <f t="shared" si="12"/>
        <v>226607.00000000006</v>
      </c>
      <c r="BO11" s="164">
        <f t="shared" si="12"/>
        <v>212653.14285714287</v>
      </c>
      <c r="BP11" s="164">
        <f t="shared" si="12"/>
        <v>164394.57142857142</v>
      </c>
      <c r="BQ11" s="164">
        <f t="shared" si="12"/>
        <v>135453.90476190476</v>
      </c>
      <c r="BR11" s="164">
        <f t="shared" si="12"/>
        <v>152505.8744588744</v>
      </c>
      <c r="BS11" s="164">
        <f t="shared" si="12"/>
        <v>146122.72294372288</v>
      </c>
      <c r="BT11" s="164">
        <f t="shared" si="7"/>
        <v>146122.72294372288</v>
      </c>
      <c r="BU11" s="154"/>
    </row>
    <row r="12" spans="1:73">
      <c r="A12" s="148" t="s">
        <v>42</v>
      </c>
      <c r="B12" s="148"/>
      <c r="C12" s="150" t="s">
        <v>43</v>
      </c>
      <c r="D12" s="165">
        <f>D7-D9</f>
        <v>162884</v>
      </c>
      <c r="E12" s="165">
        <f t="shared" ref="E12:O12" si="13">E7+E10-E9-E48</f>
        <v>200610</v>
      </c>
      <c r="F12" s="165">
        <f t="shared" si="13"/>
        <v>192475</v>
      </c>
      <c r="G12" s="165">
        <f t="shared" si="13"/>
        <v>231853</v>
      </c>
      <c r="H12" s="165">
        <f t="shared" si="13"/>
        <v>253292</v>
      </c>
      <c r="I12" s="165">
        <f t="shared" si="13"/>
        <v>305688</v>
      </c>
      <c r="J12" s="165">
        <f t="shared" si="13"/>
        <v>355297</v>
      </c>
      <c r="K12" s="165">
        <f t="shared" si="13"/>
        <v>367201</v>
      </c>
      <c r="L12" s="165">
        <f t="shared" si="13"/>
        <v>407523</v>
      </c>
      <c r="M12" s="165">
        <f t="shared" si="13"/>
        <v>297747</v>
      </c>
      <c r="N12" s="165">
        <f t="shared" si="13"/>
        <v>0</v>
      </c>
      <c r="O12" s="165">
        <f t="shared" si="13"/>
        <v>143875</v>
      </c>
      <c r="P12" s="350">
        <f>J12</f>
        <v>355297</v>
      </c>
      <c r="Q12" s="152"/>
      <c r="R12" s="356">
        <f>R7-R9</f>
        <v>172568</v>
      </c>
      <c r="S12" s="151">
        <f t="shared" ref="S12:AC12" si="14">S7+S10-S9-S48</f>
        <v>244205</v>
      </c>
      <c r="T12" s="151">
        <f t="shared" si="14"/>
        <v>237108</v>
      </c>
      <c r="U12" s="151">
        <f t="shared" si="14"/>
        <v>222510</v>
      </c>
      <c r="V12" s="151">
        <f t="shared" si="14"/>
        <v>179647</v>
      </c>
      <c r="W12" s="151">
        <f t="shared" si="14"/>
        <v>289587</v>
      </c>
      <c r="X12" s="151">
        <f t="shared" si="14"/>
        <v>281331</v>
      </c>
      <c r="Y12" s="151">
        <f t="shared" si="14"/>
        <v>325686</v>
      </c>
      <c r="Z12" s="151">
        <f t="shared" si="14"/>
        <v>319329</v>
      </c>
      <c r="AA12" s="151">
        <f t="shared" si="14"/>
        <v>268663</v>
      </c>
      <c r="AB12" s="151">
        <f t="shared" si="14"/>
        <v>187543</v>
      </c>
      <c r="AC12" s="151">
        <f t="shared" si="14"/>
        <v>196995</v>
      </c>
      <c r="AD12" s="351">
        <f>X12</f>
        <v>281331</v>
      </c>
      <c r="AE12" s="153"/>
      <c r="AF12" s="151">
        <f t="shared" ref="AF12:AQ12" si="15">AF7+AF9+AF8</f>
        <v>228387</v>
      </c>
      <c r="AG12" s="151">
        <f t="shared" si="15"/>
        <v>263548</v>
      </c>
      <c r="AH12" s="151">
        <f t="shared" si="15"/>
        <v>366224</v>
      </c>
      <c r="AI12" s="151">
        <f t="shared" si="15"/>
        <v>361348</v>
      </c>
      <c r="AJ12" s="151">
        <f t="shared" si="15"/>
        <v>384008</v>
      </c>
      <c r="AK12" s="151">
        <f t="shared" si="15"/>
        <v>434489</v>
      </c>
      <c r="AL12" s="151">
        <f t="shared" si="15"/>
        <v>436438</v>
      </c>
      <c r="AM12" s="151">
        <f t="shared" si="15"/>
        <v>463198</v>
      </c>
      <c r="AN12" s="151">
        <f t="shared" si="15"/>
        <v>425121</v>
      </c>
      <c r="AO12" s="151">
        <f t="shared" si="15"/>
        <v>355477</v>
      </c>
      <c r="AP12" s="151">
        <f t="shared" si="15"/>
        <v>288104</v>
      </c>
      <c r="AQ12" s="151">
        <f t="shared" si="15"/>
        <v>298855</v>
      </c>
      <c r="AR12" s="151">
        <f t="shared" si="3"/>
        <v>298855</v>
      </c>
      <c r="AS12" s="154"/>
      <c r="AT12" s="151">
        <f t="shared" ref="AT12:BE12" si="16">AT7+AT9+AT8</f>
        <v>326269</v>
      </c>
      <c r="AU12" s="151">
        <f t="shared" si="16"/>
        <v>301870</v>
      </c>
      <c r="AV12" s="151">
        <f t="shared" si="16"/>
        <v>285491</v>
      </c>
      <c r="AW12" s="151">
        <f t="shared" si="16"/>
        <v>267653</v>
      </c>
      <c r="AX12" s="151">
        <f t="shared" si="16"/>
        <v>273960</v>
      </c>
      <c r="AY12" s="151">
        <f t="shared" si="16"/>
        <v>326260</v>
      </c>
      <c r="AZ12" s="151">
        <f t="shared" si="16"/>
        <v>333221</v>
      </c>
      <c r="BA12" s="151">
        <f t="shared" si="16"/>
        <v>354862</v>
      </c>
      <c r="BB12" s="151">
        <f t="shared" si="16"/>
        <v>348162</v>
      </c>
      <c r="BC12" s="151">
        <f t="shared" si="16"/>
        <v>319093</v>
      </c>
      <c r="BD12" s="151">
        <f t="shared" si="16"/>
        <v>293379</v>
      </c>
      <c r="BE12" s="151">
        <f t="shared" si="16"/>
        <v>234110</v>
      </c>
      <c r="BF12" s="164">
        <f t="shared" ref="BF12:BF13" si="17">SUM(AT12:BE12)</f>
        <v>3664330</v>
      </c>
      <c r="BG12" s="156"/>
      <c r="BH12" s="151">
        <f t="shared" ref="BH12:BS12" si="18">BH7+BH9+BH8</f>
        <v>0</v>
      </c>
      <c r="BI12" s="151">
        <f t="shared" si="18"/>
        <v>0</v>
      </c>
      <c r="BJ12" s="151">
        <f t="shared" si="18"/>
        <v>0</v>
      </c>
      <c r="BK12" s="151">
        <f t="shared" si="18"/>
        <v>0</v>
      </c>
      <c r="BL12" s="151">
        <f t="shared" si="18"/>
        <v>0</v>
      </c>
      <c r="BM12" s="151">
        <f t="shared" si="18"/>
        <v>0</v>
      </c>
      <c r="BN12" s="151">
        <f t="shared" si="18"/>
        <v>0</v>
      </c>
      <c r="BO12" s="151">
        <f t="shared" si="18"/>
        <v>0</v>
      </c>
      <c r="BP12" s="151">
        <f t="shared" si="18"/>
        <v>0</v>
      </c>
      <c r="BQ12" s="151">
        <f t="shared" si="18"/>
        <v>0</v>
      </c>
      <c r="BR12" s="151">
        <f t="shared" si="18"/>
        <v>0</v>
      </c>
      <c r="BS12" s="151">
        <f t="shared" si="18"/>
        <v>0</v>
      </c>
      <c r="BT12" s="151">
        <f t="shared" si="7"/>
        <v>0</v>
      </c>
      <c r="BU12" s="153"/>
    </row>
    <row r="13" spans="1:73">
      <c r="A13" s="148" t="s">
        <v>44</v>
      </c>
      <c r="B13" s="148"/>
      <c r="C13" s="150" t="s">
        <v>45</v>
      </c>
      <c r="D13" s="165">
        <f t="shared" ref="D13:O13" si="19">D6-D10-D9</f>
        <v>264261</v>
      </c>
      <c r="E13" s="165">
        <f t="shared" si="19"/>
        <v>275849</v>
      </c>
      <c r="F13" s="165">
        <f t="shared" si="19"/>
        <v>280253</v>
      </c>
      <c r="G13" s="165">
        <f t="shared" si="19"/>
        <v>256146</v>
      </c>
      <c r="H13" s="165">
        <f t="shared" si="19"/>
        <v>282462</v>
      </c>
      <c r="I13" s="165">
        <f t="shared" si="19"/>
        <v>336508</v>
      </c>
      <c r="J13" s="165">
        <f t="shared" si="19"/>
        <v>394861</v>
      </c>
      <c r="K13" s="165">
        <f t="shared" si="19"/>
        <v>399944</v>
      </c>
      <c r="L13" s="165">
        <f t="shared" si="19"/>
        <v>403515</v>
      </c>
      <c r="M13" s="165">
        <f t="shared" si="19"/>
        <v>254037</v>
      </c>
      <c r="N13" s="165">
        <f t="shared" si="19"/>
        <v>0</v>
      </c>
      <c r="O13" s="165">
        <f t="shared" si="19"/>
        <v>188264</v>
      </c>
      <c r="P13" s="350">
        <f t="shared" ref="P13:P14" si="20">O13</f>
        <v>188264</v>
      </c>
      <c r="Q13" s="152"/>
      <c r="R13" s="356">
        <f t="shared" ref="R13:AC13" si="21">R6-R10-R9</f>
        <v>244467</v>
      </c>
      <c r="S13" s="151">
        <f t="shared" si="21"/>
        <v>295020</v>
      </c>
      <c r="T13" s="151">
        <f t="shared" si="21"/>
        <v>254796</v>
      </c>
      <c r="U13" s="151">
        <f t="shared" si="21"/>
        <v>240747</v>
      </c>
      <c r="V13" s="151">
        <f t="shared" si="21"/>
        <v>104747</v>
      </c>
      <c r="W13" s="151">
        <f t="shared" si="21"/>
        <v>162106</v>
      </c>
      <c r="X13" s="151">
        <f t="shared" si="21"/>
        <v>340068</v>
      </c>
      <c r="Y13" s="151">
        <f t="shared" si="21"/>
        <v>322792</v>
      </c>
      <c r="Z13" s="151">
        <f t="shared" si="21"/>
        <v>330677</v>
      </c>
      <c r="AA13" s="151">
        <f t="shared" si="21"/>
        <v>229141</v>
      </c>
      <c r="AB13" s="151">
        <f t="shared" si="21"/>
        <v>126169</v>
      </c>
      <c r="AC13" s="151">
        <f t="shared" si="21"/>
        <v>173047</v>
      </c>
      <c r="AD13" s="351">
        <f t="shared" ref="AD13:AD14" si="22">AC13</f>
        <v>173047</v>
      </c>
      <c r="AE13" s="153"/>
      <c r="AF13" s="357">
        <f t="shared" ref="AF13:AQ13" si="23">AF12-AF9</f>
        <v>220021</v>
      </c>
      <c r="AG13" s="357">
        <f t="shared" si="23"/>
        <v>252014</v>
      </c>
      <c r="AH13" s="357">
        <f t="shared" si="23"/>
        <v>354717</v>
      </c>
      <c r="AI13" s="357">
        <f t="shared" si="23"/>
        <v>352200</v>
      </c>
      <c r="AJ13" s="357">
        <f t="shared" si="23"/>
        <v>375484</v>
      </c>
      <c r="AK13" s="357">
        <f t="shared" si="23"/>
        <v>409199</v>
      </c>
      <c r="AL13" s="357">
        <f t="shared" si="23"/>
        <v>345358</v>
      </c>
      <c r="AM13" s="357">
        <f t="shared" si="23"/>
        <v>396368</v>
      </c>
      <c r="AN13" s="357">
        <f t="shared" si="23"/>
        <v>388255</v>
      </c>
      <c r="AO13" s="357">
        <f t="shared" si="23"/>
        <v>339304</v>
      </c>
      <c r="AP13" s="357">
        <f t="shared" si="23"/>
        <v>109830</v>
      </c>
      <c r="AQ13" s="357">
        <f t="shared" si="23"/>
        <v>88190</v>
      </c>
      <c r="AR13" s="151">
        <f t="shared" si="3"/>
        <v>88190</v>
      </c>
      <c r="AS13" s="154"/>
      <c r="AT13" s="357">
        <f t="shared" ref="AT13:BE13" si="24">AT12-AT9</f>
        <v>205194</v>
      </c>
      <c r="AU13" s="357">
        <f t="shared" si="24"/>
        <v>152494</v>
      </c>
      <c r="AV13" s="357">
        <f t="shared" si="24"/>
        <v>180953</v>
      </c>
      <c r="AW13" s="357">
        <f t="shared" si="24"/>
        <v>162391</v>
      </c>
      <c r="AX13" s="357">
        <f t="shared" si="24"/>
        <v>152887</v>
      </c>
      <c r="AY13" s="357">
        <f t="shared" si="24"/>
        <v>162329</v>
      </c>
      <c r="AZ13" s="357">
        <f t="shared" si="24"/>
        <v>223257</v>
      </c>
      <c r="BA13" s="357">
        <f t="shared" si="24"/>
        <v>206596</v>
      </c>
      <c r="BB13" s="357">
        <f t="shared" si="24"/>
        <v>217465</v>
      </c>
      <c r="BC13" s="357">
        <f t="shared" si="24"/>
        <v>205314</v>
      </c>
      <c r="BD13" s="357">
        <f t="shared" si="24"/>
        <v>202260</v>
      </c>
      <c r="BE13" s="357">
        <f t="shared" si="24"/>
        <v>130824</v>
      </c>
      <c r="BF13" s="164">
        <f t="shared" si="17"/>
        <v>2201964</v>
      </c>
      <c r="BG13" s="166">
        <f>SUM(AT16:AY16)/SUM(AF49:AK49)-1</f>
        <v>0.2283258050797119</v>
      </c>
      <c r="BH13" s="357">
        <f t="shared" ref="BH13:BS13" si="25">BH12-BH9</f>
        <v>0</v>
      </c>
      <c r="BI13" s="357">
        <f t="shared" si="25"/>
        <v>0</v>
      </c>
      <c r="BJ13" s="357">
        <f t="shared" si="25"/>
        <v>0</v>
      </c>
      <c r="BK13" s="357">
        <f t="shared" si="25"/>
        <v>0</v>
      </c>
      <c r="BL13" s="151">
        <f t="shared" si="25"/>
        <v>0</v>
      </c>
      <c r="BM13" s="151">
        <f t="shared" si="25"/>
        <v>0</v>
      </c>
      <c r="BN13" s="151">
        <f t="shared" si="25"/>
        <v>0</v>
      </c>
      <c r="BO13" s="151">
        <f t="shared" si="25"/>
        <v>0</v>
      </c>
      <c r="BP13" s="151">
        <f t="shared" si="25"/>
        <v>0</v>
      </c>
      <c r="BQ13" s="151">
        <f t="shared" si="25"/>
        <v>0</v>
      </c>
      <c r="BR13" s="151">
        <f t="shared" si="25"/>
        <v>0</v>
      </c>
      <c r="BS13" s="151">
        <f t="shared" si="25"/>
        <v>0</v>
      </c>
      <c r="BT13" s="151">
        <f t="shared" si="7"/>
        <v>0</v>
      </c>
      <c r="BU13" s="153"/>
    </row>
    <row r="14" spans="1:73">
      <c r="A14" s="1100" t="s">
        <v>46</v>
      </c>
      <c r="B14" s="1126"/>
      <c r="C14" s="167" t="s">
        <v>47</v>
      </c>
      <c r="D14" s="168">
        <f t="shared" ref="D14:O14" si="26">D6</f>
        <v>304786</v>
      </c>
      <c r="E14" s="168">
        <f t="shared" si="26"/>
        <v>311986</v>
      </c>
      <c r="F14" s="168">
        <f t="shared" si="26"/>
        <v>328231</v>
      </c>
      <c r="G14" s="168">
        <f t="shared" si="26"/>
        <v>317873</v>
      </c>
      <c r="H14" s="168">
        <f t="shared" si="26"/>
        <v>347196</v>
      </c>
      <c r="I14" s="168">
        <f t="shared" si="26"/>
        <v>402253</v>
      </c>
      <c r="J14" s="168">
        <f t="shared" si="26"/>
        <v>454488</v>
      </c>
      <c r="K14" s="168">
        <f t="shared" si="26"/>
        <v>447182</v>
      </c>
      <c r="L14" s="168">
        <f t="shared" si="26"/>
        <v>416931</v>
      </c>
      <c r="M14" s="168">
        <f t="shared" si="26"/>
        <v>304402</v>
      </c>
      <c r="N14" s="168">
        <f t="shared" si="26"/>
        <v>0</v>
      </c>
      <c r="O14" s="168">
        <f t="shared" si="26"/>
        <v>188264</v>
      </c>
      <c r="P14" s="169">
        <f t="shared" si="20"/>
        <v>188264</v>
      </c>
      <c r="Q14" s="170"/>
      <c r="R14" s="171">
        <f t="shared" ref="R14:AC14" si="27">R6</f>
        <v>283359</v>
      </c>
      <c r="S14" s="172">
        <f t="shared" si="27"/>
        <v>342718</v>
      </c>
      <c r="T14" s="172">
        <f t="shared" si="27"/>
        <v>313212</v>
      </c>
      <c r="U14" s="172">
        <f t="shared" si="27"/>
        <v>298093</v>
      </c>
      <c r="V14" s="172">
        <f t="shared" si="27"/>
        <v>206617</v>
      </c>
      <c r="W14" s="172">
        <f t="shared" si="27"/>
        <v>235875</v>
      </c>
      <c r="X14" s="172">
        <f t="shared" si="27"/>
        <v>360135</v>
      </c>
      <c r="Y14" s="172">
        <f t="shared" si="27"/>
        <v>361665</v>
      </c>
      <c r="Z14" s="172">
        <f t="shared" si="27"/>
        <v>353400</v>
      </c>
      <c r="AA14" s="172">
        <f t="shared" si="27"/>
        <v>272097</v>
      </c>
      <c r="AB14" s="172">
        <f t="shared" si="27"/>
        <v>170626</v>
      </c>
      <c r="AC14" s="172">
        <f t="shared" si="27"/>
        <v>197551</v>
      </c>
      <c r="AD14" s="358">
        <f t="shared" si="22"/>
        <v>197551</v>
      </c>
      <c r="AE14" s="173"/>
      <c r="AF14" s="172">
        <f t="shared" ref="AF14:AQ14" si="28">AF6-AF48</f>
        <v>246973</v>
      </c>
      <c r="AG14" s="172">
        <f t="shared" si="28"/>
        <v>281087</v>
      </c>
      <c r="AH14" s="172">
        <f t="shared" si="28"/>
        <v>386469</v>
      </c>
      <c r="AI14" s="172">
        <f t="shared" si="28"/>
        <v>379017</v>
      </c>
      <c r="AJ14" s="172">
        <f t="shared" si="28"/>
        <v>400777</v>
      </c>
      <c r="AK14" s="172">
        <f t="shared" si="28"/>
        <v>465623</v>
      </c>
      <c r="AL14" s="172">
        <f t="shared" si="28"/>
        <v>472149</v>
      </c>
      <c r="AM14" s="172">
        <f t="shared" si="28"/>
        <v>492339</v>
      </c>
      <c r="AN14" s="172">
        <f t="shared" si="28"/>
        <v>450428</v>
      </c>
      <c r="AO14" s="172">
        <f t="shared" si="28"/>
        <v>391441</v>
      </c>
      <c r="AP14" s="172">
        <f t="shared" si="28"/>
        <v>325482</v>
      </c>
      <c r="AQ14" s="172">
        <f t="shared" si="28"/>
        <v>312076</v>
      </c>
      <c r="AR14" s="172">
        <f t="shared" si="3"/>
        <v>312076</v>
      </c>
      <c r="AS14" s="173"/>
      <c r="AT14" s="172">
        <f t="shared" ref="AT14:BB14" si="29">AT6-AT48</f>
        <v>243661</v>
      </c>
      <c r="AU14" s="172">
        <f t="shared" si="29"/>
        <v>233232</v>
      </c>
      <c r="AV14" s="172">
        <f t="shared" si="29"/>
        <v>218299</v>
      </c>
      <c r="AW14" s="172">
        <f t="shared" si="29"/>
        <v>233987</v>
      </c>
      <c r="AX14" s="172">
        <f t="shared" si="29"/>
        <v>261234</v>
      </c>
      <c r="AY14" s="172">
        <f t="shared" si="29"/>
        <v>282486</v>
      </c>
      <c r="AZ14" s="172">
        <f t="shared" si="29"/>
        <v>296055</v>
      </c>
      <c r="BA14" s="172">
        <f t="shared" si="29"/>
        <v>308825</v>
      </c>
      <c r="BB14" s="172">
        <f t="shared" si="29"/>
        <v>308406</v>
      </c>
      <c r="BC14" s="172">
        <f t="shared" ref="BC14:BE14" si="30">BB14-BC16+BC57-BC48</f>
        <v>137005.70924434217</v>
      </c>
      <c r="BD14" s="172">
        <f t="shared" si="30"/>
        <v>94095.12236286921</v>
      </c>
      <c r="BE14" s="172">
        <f t="shared" si="30"/>
        <v>78605.509397775226</v>
      </c>
      <c r="BF14" s="172">
        <f>BE14</f>
        <v>78605.509397775226</v>
      </c>
      <c r="BG14" s="174">
        <f>BG16/AR16</f>
        <v>7.0333736034655189E-2</v>
      </c>
      <c r="BH14" s="172">
        <f t="shared" ref="BH14:BS14" si="31">BH6-BH48</f>
        <v>243064</v>
      </c>
      <c r="BI14" s="172">
        <f t="shared" si="31"/>
        <v>245222.66666666669</v>
      </c>
      <c r="BJ14" s="172">
        <f t="shared" si="31"/>
        <v>216379.33333333337</v>
      </c>
      <c r="BK14" s="172">
        <f t="shared" si="31"/>
        <v>193411.00000000006</v>
      </c>
      <c r="BL14" s="175">
        <f t="shared" si="31"/>
        <v>217017.66666666674</v>
      </c>
      <c r="BM14" s="175">
        <f t="shared" si="31"/>
        <v>233379.00000000006</v>
      </c>
      <c r="BN14" s="175">
        <f t="shared" si="31"/>
        <v>226607.00000000006</v>
      </c>
      <c r="BO14" s="175">
        <f t="shared" si="31"/>
        <v>212653.14285714287</v>
      </c>
      <c r="BP14" s="175">
        <f t="shared" si="31"/>
        <v>164394.57142857142</v>
      </c>
      <c r="BQ14" s="175">
        <f t="shared" si="31"/>
        <v>135453.90476190476</v>
      </c>
      <c r="BR14" s="175">
        <f t="shared" si="31"/>
        <v>152505.8744588744</v>
      </c>
      <c r="BS14" s="175">
        <f t="shared" si="31"/>
        <v>146122.72294372288</v>
      </c>
      <c r="BT14" s="175">
        <f t="shared" si="7"/>
        <v>146122.72294372288</v>
      </c>
      <c r="BU14" s="173"/>
    </row>
    <row r="15" spans="1:73">
      <c r="A15" s="176"/>
      <c r="B15" s="359" t="s">
        <v>48</v>
      </c>
      <c r="C15" s="282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284"/>
      <c r="Q15" s="49"/>
      <c r="R15" s="283"/>
      <c r="S15" s="50"/>
      <c r="T15" s="50"/>
      <c r="U15" s="50"/>
      <c r="V15" s="51"/>
      <c r="W15" s="51"/>
      <c r="X15" s="51"/>
      <c r="Y15" s="51"/>
      <c r="Z15" s="51"/>
      <c r="AA15" s="51"/>
      <c r="AB15" s="51"/>
      <c r="AC15" s="50"/>
      <c r="AD15" s="285"/>
      <c r="AE15" s="23"/>
      <c r="AF15" s="286">
        <f t="shared" ref="AF15:AP15" si="32">AF6/AG16</f>
        <v>1.3876680694696506</v>
      </c>
      <c r="AG15" s="286">
        <f t="shared" si="32"/>
        <v>3.8178718896012169</v>
      </c>
      <c r="AH15" s="286">
        <f t="shared" si="32"/>
        <v>4.3249513194118041</v>
      </c>
      <c r="AI15" s="286">
        <f t="shared" si="32"/>
        <v>3.1032881916583426</v>
      </c>
      <c r="AJ15" s="286">
        <f t="shared" si="32"/>
        <v>2.6977450188476038</v>
      </c>
      <c r="AK15" s="286">
        <f t="shared" si="32"/>
        <v>3.0634099805914667</v>
      </c>
      <c r="AL15" s="286">
        <f t="shared" si="32"/>
        <v>1.9763209336006664</v>
      </c>
      <c r="AM15" s="286">
        <f t="shared" si="32"/>
        <v>1.8853931580291039</v>
      </c>
      <c r="AN15" s="286">
        <f t="shared" si="32"/>
        <v>1.7601719421649082</v>
      </c>
      <c r="AO15" s="286">
        <f t="shared" si="32"/>
        <v>3.0429182213930348</v>
      </c>
      <c r="AP15" s="286">
        <f t="shared" si="32"/>
        <v>3.3266762060506951</v>
      </c>
      <c r="AQ15" s="286">
        <f>AQ6/AT16</f>
        <v>2.1015749668165311</v>
      </c>
      <c r="AR15" s="287">
        <f t="shared" si="3"/>
        <v>2.1015749668165311</v>
      </c>
      <c r="AS15" s="23"/>
      <c r="AT15" s="286">
        <f t="shared" ref="AT15:AX15" si="33">AT6/AU16</f>
        <v>2.078676878772272</v>
      </c>
      <c r="AU15" s="286">
        <f t="shared" si="33"/>
        <v>2.1017947592948043</v>
      </c>
      <c r="AV15" s="286">
        <f t="shared" si="33"/>
        <v>1.9297580364452378</v>
      </c>
      <c r="AW15" s="286">
        <f t="shared" si="33"/>
        <v>2.4377775525503322</v>
      </c>
      <c r="AX15" s="286">
        <f t="shared" si="33"/>
        <v>2.1450476831468146</v>
      </c>
      <c r="AY15" s="286">
        <f t="shared" ref="AY15:BD15" si="34">AY6/(AZ45+AZ44)</f>
        <v>2.0572684326974824</v>
      </c>
      <c r="AZ15" s="286">
        <f t="shared" si="34"/>
        <v>1.3749564207725904</v>
      </c>
      <c r="BA15" s="286">
        <f t="shared" si="34"/>
        <v>1.7107133445873244</v>
      </c>
      <c r="BB15" s="286">
        <f t="shared" si="34"/>
        <v>1.5052991529201962</v>
      </c>
      <c r="BC15" s="286">
        <f t="shared" si="34"/>
        <v>2.204984888462461</v>
      </c>
      <c r="BD15" s="286">
        <f t="shared" si="34"/>
        <v>4.1558308053625606</v>
      </c>
      <c r="BE15" s="286">
        <f>BE6/BH16</f>
        <v>1.689083814161358</v>
      </c>
      <c r="BF15" s="52"/>
      <c r="BG15" s="27"/>
      <c r="BH15" s="286">
        <f t="shared" ref="BH15:BM15" si="35">BH6/BI16</f>
        <v>1.7262904707341789</v>
      </c>
      <c r="BI15" s="286">
        <f t="shared" si="35"/>
        <v>1.5475041544836874</v>
      </c>
      <c r="BJ15" s="286">
        <f t="shared" si="35"/>
        <v>1.4862408846862734</v>
      </c>
      <c r="BK15" s="286">
        <f t="shared" si="35"/>
        <v>1.5355766686074213</v>
      </c>
      <c r="BL15" s="286">
        <f t="shared" si="35"/>
        <v>1.7350494089053294</v>
      </c>
      <c r="BM15" s="286">
        <f t="shared" si="35"/>
        <v>1.3792106942770019</v>
      </c>
      <c r="BN15" s="53"/>
      <c r="BO15" s="53"/>
      <c r="BP15" s="53"/>
      <c r="BQ15" s="53"/>
      <c r="BR15" s="53"/>
      <c r="BS15" s="53"/>
      <c r="BT15" s="53"/>
      <c r="BU15" s="177"/>
    </row>
    <row r="16" spans="1:73" ht="15.75">
      <c r="A16" s="178">
        <v>6</v>
      </c>
      <c r="B16" s="179" t="s">
        <v>49</v>
      </c>
      <c r="C16" s="180"/>
      <c r="D16" s="181">
        <f t="shared" ref="D16:P16" si="36">SUM(D20:D42)</f>
        <v>82250</v>
      </c>
      <c r="E16" s="181">
        <f t="shared" si="36"/>
        <v>117000</v>
      </c>
      <c r="F16" s="181">
        <f t="shared" si="36"/>
        <v>121750</v>
      </c>
      <c r="G16" s="181">
        <f t="shared" si="36"/>
        <v>150000</v>
      </c>
      <c r="H16" s="181">
        <f t="shared" si="36"/>
        <v>99500</v>
      </c>
      <c r="I16" s="181">
        <f t="shared" si="36"/>
        <v>102000</v>
      </c>
      <c r="J16" s="181">
        <f t="shared" si="36"/>
        <v>177632</v>
      </c>
      <c r="K16" s="181">
        <f t="shared" si="36"/>
        <v>178158</v>
      </c>
      <c r="L16" s="181">
        <f t="shared" si="36"/>
        <v>199211</v>
      </c>
      <c r="M16" s="181">
        <f t="shared" si="36"/>
        <v>229474</v>
      </c>
      <c r="N16" s="181">
        <f t="shared" si="36"/>
        <v>122368</v>
      </c>
      <c r="O16" s="181">
        <f t="shared" si="36"/>
        <v>38421</v>
      </c>
      <c r="P16" s="360">
        <f t="shared" si="36"/>
        <v>1617764</v>
      </c>
      <c r="Q16" s="170"/>
      <c r="R16" s="361">
        <f t="shared" ref="R16:AC16" si="37">R20+R43</f>
        <v>136177.33998294926</v>
      </c>
      <c r="S16" s="182">
        <f t="shared" si="37"/>
        <v>143840.32639116928</v>
      </c>
      <c r="T16" s="182">
        <f t="shared" si="37"/>
        <v>142553.77192982455</v>
      </c>
      <c r="U16" s="182">
        <f t="shared" si="37"/>
        <v>19814.899999999998</v>
      </c>
      <c r="V16" s="182">
        <f t="shared" si="37"/>
        <v>52085</v>
      </c>
      <c r="W16" s="362">
        <f t="shared" si="37"/>
        <v>70169.381950239796</v>
      </c>
      <c r="X16" s="362">
        <f t="shared" si="37"/>
        <v>144463.33333333299</v>
      </c>
      <c r="Y16" s="362">
        <f t="shared" si="37"/>
        <v>226547.08333333331</v>
      </c>
      <c r="Z16" s="362">
        <f t="shared" si="37"/>
        <v>273187.5</v>
      </c>
      <c r="AA16" s="362">
        <f t="shared" si="37"/>
        <v>172100</v>
      </c>
      <c r="AB16" s="362">
        <f t="shared" si="37"/>
        <v>37500</v>
      </c>
      <c r="AC16" s="362">
        <f t="shared" si="37"/>
        <v>0</v>
      </c>
      <c r="AD16" s="363">
        <f>SUM(R16:AC16)</f>
        <v>1418438.6369208493</v>
      </c>
      <c r="AE16" s="113"/>
      <c r="AF16" s="364">
        <f t="shared" ref="AF16:AQ16" si="38">AF20+AF43</f>
        <v>128646</v>
      </c>
      <c r="AG16" s="182">
        <f t="shared" si="38"/>
        <v>177977</v>
      </c>
      <c r="AH16" s="182">
        <f t="shared" si="38"/>
        <v>73624</v>
      </c>
      <c r="AI16" s="182">
        <f t="shared" si="38"/>
        <v>89358</v>
      </c>
      <c r="AJ16" s="182">
        <f t="shared" si="38"/>
        <v>122134</v>
      </c>
      <c r="AK16" s="182">
        <f t="shared" si="38"/>
        <v>148560</v>
      </c>
      <c r="AL16" s="182">
        <f t="shared" si="38"/>
        <v>151995</v>
      </c>
      <c r="AM16" s="182">
        <f t="shared" si="38"/>
        <v>238903</v>
      </c>
      <c r="AN16" s="182">
        <f t="shared" si="38"/>
        <v>261133.33333333334</v>
      </c>
      <c r="AO16" s="182">
        <f t="shared" si="38"/>
        <v>255900</v>
      </c>
      <c r="AP16" s="182">
        <f t="shared" si="38"/>
        <v>128640</v>
      </c>
      <c r="AQ16" s="182">
        <f t="shared" si="38"/>
        <v>97840</v>
      </c>
      <c r="AR16" s="182">
        <f>SUM(AF16:AQ16)</f>
        <v>1874710.3333333333</v>
      </c>
      <c r="AS16" s="113"/>
      <c r="AT16" s="182">
        <f t="shared" ref="AT16:BD16" si="39">AT20+AT43</f>
        <v>152749.25</v>
      </c>
      <c r="AU16" s="182">
        <f t="shared" si="39"/>
        <v>168522.10344827586</v>
      </c>
      <c r="AV16" s="182">
        <f t="shared" si="39"/>
        <v>154121.13793103449</v>
      </c>
      <c r="AW16" s="182">
        <f t="shared" si="39"/>
        <v>159595.13793103449</v>
      </c>
      <c r="AX16" s="182">
        <f t="shared" si="39"/>
        <v>120099.96551724138</v>
      </c>
      <c r="AY16" s="182">
        <f t="shared" si="39"/>
        <v>138343.77777777778</v>
      </c>
      <c r="AZ16" s="182">
        <f t="shared" si="39"/>
        <v>166673.77777777778</v>
      </c>
      <c r="BA16" s="182">
        <f t="shared" si="39"/>
        <v>242442.29629629629</v>
      </c>
      <c r="BB16" s="182">
        <f t="shared" si="39"/>
        <v>243407.77777777778</v>
      </c>
      <c r="BC16" s="182">
        <f t="shared" si="39"/>
        <v>253368.29075565783</v>
      </c>
      <c r="BD16" s="182">
        <f t="shared" si="39"/>
        <v>134555.58688147296</v>
      </c>
      <c r="BE16" s="182">
        <f>BE20+BE44</f>
        <v>72686.612965093984</v>
      </c>
      <c r="BF16" s="182">
        <f t="shared" ref="BF16:BF18" si="40">SUM(AT16:BE16)</f>
        <v>2006565.7150594404</v>
      </c>
      <c r="BG16" s="183">
        <f>BF16-AR16</f>
        <v>131855.38172610709</v>
      </c>
      <c r="BH16" s="182">
        <f t="shared" ref="BH16:BS16" si="41">BH17+BH43</f>
        <v>149915</v>
      </c>
      <c r="BI16" s="182">
        <f t="shared" si="41"/>
        <v>140801.33333333331</v>
      </c>
      <c r="BJ16" s="182">
        <f t="shared" si="41"/>
        <v>158463.33333333331</v>
      </c>
      <c r="BK16" s="182">
        <f t="shared" si="41"/>
        <v>145588.33333333331</v>
      </c>
      <c r="BL16" s="182">
        <f t="shared" si="41"/>
        <v>125953.33333333333</v>
      </c>
      <c r="BM16" s="182">
        <f t="shared" si="41"/>
        <v>125078.66666666667</v>
      </c>
      <c r="BN16" s="182">
        <f t="shared" si="41"/>
        <v>169212</v>
      </c>
      <c r="BO16" s="182">
        <f t="shared" si="41"/>
        <v>191864.33333333334</v>
      </c>
      <c r="BP16" s="182">
        <f t="shared" si="41"/>
        <v>202963.33333333331</v>
      </c>
      <c r="BQ16" s="182">
        <f t="shared" si="41"/>
        <v>191380.66666666666</v>
      </c>
      <c r="BR16" s="182">
        <f t="shared" si="41"/>
        <v>118911.66666666667</v>
      </c>
      <c r="BS16" s="182">
        <f t="shared" si="41"/>
        <v>87961.333333333343</v>
      </c>
      <c r="BT16" s="182">
        <f t="shared" ref="BT16:BT17" si="42">SUM(BH16:BS16)</f>
        <v>1808093.3333333333</v>
      </c>
      <c r="BU16" s="184">
        <f>BT16/BF49-1</f>
        <v>7.2575652326255735E-2</v>
      </c>
    </row>
    <row r="17" spans="1:73">
      <c r="A17" s="185"/>
      <c r="B17" s="186" t="s">
        <v>51</v>
      </c>
      <c r="C17" s="187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365"/>
      <c r="Q17" s="189"/>
      <c r="R17" s="366"/>
      <c r="S17" s="135"/>
      <c r="T17" s="135"/>
      <c r="U17" s="135"/>
      <c r="V17" s="367"/>
      <c r="W17" s="368"/>
      <c r="X17" s="368"/>
      <c r="Y17" s="368"/>
      <c r="Z17" s="368"/>
      <c r="AA17" s="368"/>
      <c r="AB17" s="368"/>
      <c r="AC17" s="190"/>
      <c r="AD17" s="191"/>
      <c r="AE17" s="192"/>
      <c r="AF17" s="369"/>
      <c r="AG17" s="135"/>
      <c r="AH17" s="135"/>
      <c r="AI17" s="135"/>
      <c r="AJ17" s="367"/>
      <c r="AK17" s="367"/>
      <c r="AL17" s="367"/>
      <c r="AM17" s="367"/>
      <c r="AN17" s="135"/>
      <c r="AO17" s="135"/>
      <c r="AP17" s="135"/>
      <c r="AQ17" s="135"/>
      <c r="AR17" s="370"/>
      <c r="AS17" s="192"/>
      <c r="AT17" s="135"/>
      <c r="AU17" s="135"/>
      <c r="AV17" s="135"/>
      <c r="AW17" s="135"/>
      <c r="AX17" s="135"/>
      <c r="AY17" s="193">
        <f t="shared" ref="AY17:BA17" si="43">AY20+AY44</f>
        <v>119777.77777777778</v>
      </c>
      <c r="AZ17" s="193">
        <f t="shared" si="43"/>
        <v>150777.77777777778</v>
      </c>
      <c r="BA17" s="193">
        <f t="shared" si="43"/>
        <v>233098.4962962963</v>
      </c>
      <c r="BB17" s="193">
        <f>BB18/BB19</f>
        <v>210777.77777777778</v>
      </c>
      <c r="BC17" s="193">
        <f>BC20+BC44</f>
        <v>249806.29075565783</v>
      </c>
      <c r="BD17" s="193">
        <f t="shared" ref="BD17:BE17" si="44">BD20+BD44*0.85</f>
        <v>122960.58688147296</v>
      </c>
      <c r="BE17" s="193">
        <f t="shared" si="44"/>
        <v>66386.612965093984</v>
      </c>
      <c r="BF17" s="193">
        <f t="shared" si="40"/>
        <v>1153585.3202318544</v>
      </c>
      <c r="BG17" s="194"/>
      <c r="BH17" s="193">
        <f t="shared" ref="BH17:BS17" si="45">BH18/BH19-0.1*BH18/BH19</f>
        <v>116600</v>
      </c>
      <c r="BI17" s="193">
        <f t="shared" si="45"/>
        <v>111533.33333333333</v>
      </c>
      <c r="BJ17" s="193">
        <f t="shared" si="45"/>
        <v>128533.33333333331</v>
      </c>
      <c r="BK17" s="193">
        <f t="shared" si="45"/>
        <v>115333.33333333333</v>
      </c>
      <c r="BL17" s="193">
        <f t="shared" si="45"/>
        <v>88983.333333333328</v>
      </c>
      <c r="BM17" s="193">
        <f t="shared" si="45"/>
        <v>85906.666666666672</v>
      </c>
      <c r="BN17" s="193">
        <f t="shared" si="45"/>
        <v>123400.00000000001</v>
      </c>
      <c r="BO17" s="193">
        <f t="shared" si="45"/>
        <v>154033.33333333334</v>
      </c>
      <c r="BP17" s="193">
        <f t="shared" si="45"/>
        <v>165433.33333333331</v>
      </c>
      <c r="BQ17" s="193">
        <f t="shared" si="45"/>
        <v>151266.66666666666</v>
      </c>
      <c r="BR17" s="193">
        <f t="shared" si="45"/>
        <v>74666.666666666672</v>
      </c>
      <c r="BS17" s="193">
        <f t="shared" si="45"/>
        <v>28933.333333333336</v>
      </c>
      <c r="BT17" s="193">
        <f t="shared" si="42"/>
        <v>1344623.3333333333</v>
      </c>
      <c r="BU17" s="177"/>
    </row>
    <row r="18" spans="1:73">
      <c r="A18" s="185"/>
      <c r="B18" s="195" t="s">
        <v>52</v>
      </c>
      <c r="C18" s="195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365"/>
      <c r="Q18" s="189"/>
      <c r="R18" s="366"/>
      <c r="S18" s="135"/>
      <c r="T18" s="135"/>
      <c r="U18" s="135"/>
      <c r="V18" s="367"/>
      <c r="W18" s="368"/>
      <c r="X18" s="368"/>
      <c r="Y18" s="368"/>
      <c r="Z18" s="368"/>
      <c r="AA18" s="368"/>
      <c r="AB18" s="368"/>
      <c r="AC18" s="190"/>
      <c r="AD18" s="191"/>
      <c r="AE18" s="192"/>
      <c r="AF18" s="369"/>
      <c r="AG18" s="135"/>
      <c r="AH18" s="135" t="s">
        <v>53</v>
      </c>
      <c r="AI18" s="135"/>
      <c r="AJ18" s="367"/>
      <c r="AK18" s="367"/>
      <c r="AL18" s="367"/>
      <c r="AM18" s="367"/>
      <c r="AN18" s="135">
        <v>6715000</v>
      </c>
      <c r="AO18" s="135">
        <v>6555000</v>
      </c>
      <c r="AP18" s="135">
        <v>2640000</v>
      </c>
      <c r="AQ18" s="135">
        <v>1302000</v>
      </c>
      <c r="AR18" s="370"/>
      <c r="AS18" s="192"/>
      <c r="AT18" s="135">
        <v>3264695</v>
      </c>
      <c r="AU18" s="135">
        <v>3863760</v>
      </c>
      <c r="AV18" s="135">
        <v>3429225</v>
      </c>
      <c r="AW18" s="135">
        <v>3525360</v>
      </c>
      <c r="AX18" s="135">
        <v>2509485</v>
      </c>
      <c r="AY18" s="135">
        <v>2829000</v>
      </c>
      <c r="AZ18" s="135">
        <v>3666000</v>
      </c>
      <c r="BA18" s="135">
        <v>5705000</v>
      </c>
      <c r="BB18" s="135">
        <v>5691000</v>
      </c>
      <c r="BC18" s="135">
        <v>5600000</v>
      </c>
      <c r="BD18" s="135">
        <v>2430000</v>
      </c>
      <c r="BE18" s="135">
        <v>800000</v>
      </c>
      <c r="BF18" s="193">
        <f t="shared" si="40"/>
        <v>43313525</v>
      </c>
      <c r="BG18" s="194"/>
      <c r="BH18" s="135">
        <v>3498000</v>
      </c>
      <c r="BI18" s="135">
        <v>3346000</v>
      </c>
      <c r="BJ18" s="135">
        <v>3856000</v>
      </c>
      <c r="BK18" s="135">
        <v>3460000</v>
      </c>
      <c r="BL18" s="135">
        <v>2669500</v>
      </c>
      <c r="BM18" s="135">
        <v>2577200</v>
      </c>
      <c r="BN18" s="135">
        <v>3702000</v>
      </c>
      <c r="BO18" s="135">
        <v>4621000</v>
      </c>
      <c r="BP18" s="135">
        <v>4963000</v>
      </c>
      <c r="BQ18" s="135">
        <v>4538000</v>
      </c>
      <c r="BR18" s="135">
        <v>2240000</v>
      </c>
      <c r="BS18" s="135">
        <v>868000</v>
      </c>
      <c r="BT18" s="135"/>
      <c r="BU18" s="177"/>
    </row>
    <row r="19" spans="1:73">
      <c r="A19" s="196"/>
      <c r="B19" s="197" t="s">
        <v>54</v>
      </c>
      <c r="C19" s="197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371"/>
      <c r="Q19" s="199"/>
      <c r="R19" s="372"/>
      <c r="S19" s="193"/>
      <c r="T19" s="193"/>
      <c r="U19" s="193"/>
      <c r="V19" s="373"/>
      <c r="W19" s="374"/>
      <c r="X19" s="374"/>
      <c r="Y19" s="374"/>
      <c r="Z19" s="374"/>
      <c r="AA19" s="374"/>
      <c r="AB19" s="374"/>
      <c r="AC19" s="200"/>
      <c r="AD19" s="201"/>
      <c r="AE19" s="23"/>
      <c r="AF19" s="375"/>
      <c r="AG19" s="193"/>
      <c r="AH19" s="193"/>
      <c r="AI19" s="193"/>
      <c r="AJ19" s="373"/>
      <c r="AK19" s="373"/>
      <c r="AL19" s="373"/>
      <c r="AM19" s="373"/>
      <c r="AN19" s="193">
        <f t="shared" ref="AN19:AQ19" si="46">30</f>
        <v>30</v>
      </c>
      <c r="AO19" s="193">
        <f t="shared" si="46"/>
        <v>30</v>
      </c>
      <c r="AP19" s="193">
        <f t="shared" si="46"/>
        <v>30</v>
      </c>
      <c r="AQ19" s="193">
        <f t="shared" si="46"/>
        <v>30</v>
      </c>
      <c r="AR19" s="292"/>
      <c r="AS19" s="23"/>
      <c r="AT19" s="193">
        <v>28</v>
      </c>
      <c r="AU19" s="193">
        <v>29</v>
      </c>
      <c r="AV19" s="193">
        <v>29</v>
      </c>
      <c r="AW19" s="193">
        <v>29</v>
      </c>
      <c r="AX19" s="193">
        <v>29</v>
      </c>
      <c r="AY19" s="193">
        <v>27</v>
      </c>
      <c r="AZ19" s="193">
        <v>27</v>
      </c>
      <c r="BA19" s="193">
        <v>27</v>
      </c>
      <c r="BB19" s="193">
        <v>27</v>
      </c>
      <c r="BC19" s="193">
        <v>26.07</v>
      </c>
      <c r="BD19" s="193">
        <v>26.07</v>
      </c>
      <c r="BE19" s="193">
        <v>26.07</v>
      </c>
      <c r="BF19" s="375"/>
      <c r="BG19" s="93"/>
      <c r="BH19" s="193">
        <v>27</v>
      </c>
      <c r="BI19" s="193">
        <v>27</v>
      </c>
      <c r="BJ19" s="193">
        <v>27</v>
      </c>
      <c r="BK19" s="193">
        <v>27</v>
      </c>
      <c r="BL19" s="193">
        <v>27</v>
      </c>
      <c r="BM19" s="193">
        <v>27</v>
      </c>
      <c r="BN19" s="193">
        <v>27</v>
      </c>
      <c r="BO19" s="193">
        <v>27</v>
      </c>
      <c r="BP19" s="193">
        <v>27</v>
      </c>
      <c r="BQ19" s="193">
        <v>27</v>
      </c>
      <c r="BR19" s="193">
        <v>27</v>
      </c>
      <c r="BS19" s="193">
        <v>27</v>
      </c>
      <c r="BT19" s="193"/>
      <c r="BU19" s="177"/>
    </row>
    <row r="20" spans="1:73">
      <c r="A20" s="202"/>
      <c r="B20" s="376" t="s">
        <v>268</v>
      </c>
      <c r="C20" s="377"/>
      <c r="D20" s="203">
        <v>82250</v>
      </c>
      <c r="E20" s="203">
        <v>117000</v>
      </c>
      <c r="F20" s="203">
        <v>121750</v>
      </c>
      <c r="G20" s="203">
        <v>150000</v>
      </c>
      <c r="H20" s="203">
        <v>99500</v>
      </c>
      <c r="I20" s="203">
        <v>102000</v>
      </c>
      <c r="J20" s="203">
        <v>177632</v>
      </c>
      <c r="K20" s="203">
        <v>178158</v>
      </c>
      <c r="L20" s="203">
        <v>199211</v>
      </c>
      <c r="M20" s="203">
        <v>229474</v>
      </c>
      <c r="N20" s="203">
        <v>122368</v>
      </c>
      <c r="O20" s="203">
        <v>38421</v>
      </c>
      <c r="P20" s="378">
        <f>SUM(D20:O20)</f>
        <v>1617764</v>
      </c>
      <c r="Q20" s="204"/>
      <c r="R20" s="379">
        <v>115619.79612330014</v>
      </c>
      <c r="S20" s="205">
        <v>123327.78253152016</v>
      </c>
      <c r="T20" s="205">
        <v>128854</v>
      </c>
      <c r="U20" s="205">
        <f>126016*0.15</f>
        <v>18902.399999999998</v>
      </c>
      <c r="V20" s="206">
        <v>35234</v>
      </c>
      <c r="W20" s="206">
        <v>56469.381950239796</v>
      </c>
      <c r="X20" s="206">
        <v>118413.33333333299</v>
      </c>
      <c r="Y20" s="206">
        <v>198797.08333333331</v>
      </c>
      <c r="Z20" s="206">
        <v>242087.5</v>
      </c>
      <c r="AA20" s="206">
        <v>140000</v>
      </c>
      <c r="AB20" s="206">
        <v>0</v>
      </c>
      <c r="AC20" s="205">
        <v>-45300</v>
      </c>
      <c r="AD20" s="380">
        <f>SUM(R20:AC20)</f>
        <v>1132405.2772717264</v>
      </c>
      <c r="AE20" s="23"/>
      <c r="AF20" s="381">
        <v>90146</v>
      </c>
      <c r="AG20" s="205">
        <v>155577</v>
      </c>
      <c r="AH20" s="205">
        <v>62953</v>
      </c>
      <c r="AI20" s="205">
        <v>73261</v>
      </c>
      <c r="AJ20" s="206">
        <v>91856</v>
      </c>
      <c r="AK20" s="206">
        <v>120000</v>
      </c>
      <c r="AL20" s="206">
        <v>110295</v>
      </c>
      <c r="AM20" s="206">
        <v>200203</v>
      </c>
      <c r="AN20" s="205">
        <f t="shared" ref="AN20:AQ20" si="47">AN18/AN19</f>
        <v>223833.33333333334</v>
      </c>
      <c r="AO20" s="205">
        <f t="shared" si="47"/>
        <v>218500</v>
      </c>
      <c r="AP20" s="205">
        <f t="shared" si="47"/>
        <v>88000</v>
      </c>
      <c r="AQ20" s="205">
        <f t="shared" si="47"/>
        <v>43400</v>
      </c>
      <c r="AR20" s="364">
        <f>SUM(AF20:AQ20)</f>
        <v>1478024.3333333333</v>
      </c>
      <c r="AS20" s="23"/>
      <c r="AT20" s="205">
        <f t="shared" ref="AT20:BE20" si="48">AT18/AT19</f>
        <v>116596.25</v>
      </c>
      <c r="AU20" s="205">
        <f t="shared" si="48"/>
        <v>133233.10344827586</v>
      </c>
      <c r="AV20" s="205">
        <f t="shared" si="48"/>
        <v>118249.13793103448</v>
      </c>
      <c r="AW20" s="205">
        <f t="shared" si="48"/>
        <v>121564.13793103448</v>
      </c>
      <c r="AX20" s="205">
        <f t="shared" si="48"/>
        <v>86533.965517241377</v>
      </c>
      <c r="AY20" s="205">
        <f t="shared" si="48"/>
        <v>104777.77777777778</v>
      </c>
      <c r="AZ20" s="205">
        <f t="shared" si="48"/>
        <v>135777.77777777778</v>
      </c>
      <c r="BA20" s="205">
        <f t="shared" si="48"/>
        <v>211296.29629629629</v>
      </c>
      <c r="BB20" s="205">
        <f t="shared" si="48"/>
        <v>210777.77777777778</v>
      </c>
      <c r="BC20" s="205">
        <f t="shared" si="48"/>
        <v>214806.29075565783</v>
      </c>
      <c r="BD20" s="205">
        <f t="shared" si="48"/>
        <v>93210.586881472962</v>
      </c>
      <c r="BE20" s="205">
        <f t="shared" si="48"/>
        <v>30686.612965093977</v>
      </c>
      <c r="BF20" s="205">
        <f>SUM(AT20:BE20)</f>
        <v>1577509.7150594404</v>
      </c>
      <c r="BG20" s="27">
        <f>BF20-AR20</f>
        <v>99485.381726107094</v>
      </c>
      <c r="BH20" s="205">
        <f t="shared" ref="BH20:BT20" si="49">BH17</f>
        <v>116600</v>
      </c>
      <c r="BI20" s="205">
        <f t="shared" si="49"/>
        <v>111533.33333333333</v>
      </c>
      <c r="BJ20" s="205">
        <f t="shared" si="49"/>
        <v>128533.33333333331</v>
      </c>
      <c r="BK20" s="205">
        <f t="shared" si="49"/>
        <v>115333.33333333333</v>
      </c>
      <c r="BL20" s="205">
        <f t="shared" si="49"/>
        <v>88983.333333333328</v>
      </c>
      <c r="BM20" s="205">
        <f t="shared" si="49"/>
        <v>85906.666666666672</v>
      </c>
      <c r="BN20" s="205">
        <f t="shared" si="49"/>
        <v>123400.00000000001</v>
      </c>
      <c r="BO20" s="205">
        <f t="shared" si="49"/>
        <v>154033.33333333334</v>
      </c>
      <c r="BP20" s="205">
        <f t="shared" si="49"/>
        <v>165433.33333333331</v>
      </c>
      <c r="BQ20" s="205">
        <f t="shared" si="49"/>
        <v>151266.66666666666</v>
      </c>
      <c r="BR20" s="205">
        <f t="shared" si="49"/>
        <v>74666.666666666672</v>
      </c>
      <c r="BS20" s="205">
        <f t="shared" si="49"/>
        <v>28933.333333333336</v>
      </c>
      <c r="BT20" s="205">
        <f t="shared" si="49"/>
        <v>1344623.3333333333</v>
      </c>
      <c r="BU20" s="184">
        <f>BT20/BF50-1</f>
        <v>4.5550835651166688E-2</v>
      </c>
    </row>
    <row r="21" spans="1:73">
      <c r="A21" s="207"/>
      <c r="B21" s="208"/>
      <c r="C21" s="209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310"/>
      <c r="Q21" s="84"/>
      <c r="R21" s="309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311"/>
      <c r="AE21" s="23"/>
      <c r="AF21" s="312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6"/>
      <c r="AS21" s="23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2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177"/>
    </row>
    <row r="22" spans="1:73" hidden="1">
      <c r="A22" s="94">
        <v>1</v>
      </c>
      <c r="B22" s="1092" t="s">
        <v>56</v>
      </c>
      <c r="C22" s="1127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314">
        <f t="shared" ref="P22:P34" si="50">SUM(D22:O22)</f>
        <v>0</v>
      </c>
      <c r="Q22" s="90"/>
      <c r="R22" s="313">
        <v>7017.5438596491231</v>
      </c>
      <c r="S22" s="91">
        <v>7017.5438596491231</v>
      </c>
      <c r="T22" s="91">
        <f>7017.54385964912/2</f>
        <v>3508.7719298245602</v>
      </c>
      <c r="U22" s="91">
        <f>96*U3</f>
        <v>96</v>
      </c>
      <c r="V22" s="91">
        <v>3000</v>
      </c>
      <c r="W22" s="91">
        <v>7200</v>
      </c>
      <c r="X22" s="91">
        <v>8500</v>
      </c>
      <c r="Y22" s="91">
        <v>8500</v>
      </c>
      <c r="Z22" s="91">
        <v>8500</v>
      </c>
      <c r="AA22" s="91">
        <v>9000</v>
      </c>
      <c r="AB22" s="91">
        <v>9500</v>
      </c>
      <c r="AC22" s="91">
        <v>8500</v>
      </c>
      <c r="AD22" s="315">
        <f t="shared" ref="AD22:AD36" si="51">SUM(R22:AC22)</f>
        <v>80339.859649122809</v>
      </c>
      <c r="AE22" s="23"/>
      <c r="AF22" s="316">
        <v>8000</v>
      </c>
      <c r="AG22" s="91">
        <v>4000</v>
      </c>
      <c r="AH22" s="91">
        <v>5673</v>
      </c>
      <c r="AI22" s="91">
        <v>4500</v>
      </c>
      <c r="AJ22" s="91">
        <v>7892</v>
      </c>
      <c r="AK22" s="91">
        <v>6400</v>
      </c>
      <c r="AL22" s="91">
        <v>8000</v>
      </c>
      <c r="AM22" s="91">
        <v>8000</v>
      </c>
      <c r="AN22" s="91">
        <v>8000</v>
      </c>
      <c r="AO22" s="91">
        <v>8000</v>
      </c>
      <c r="AP22" s="91">
        <v>8800</v>
      </c>
      <c r="AQ22" s="91">
        <v>6400</v>
      </c>
      <c r="AR22" s="92">
        <f t="shared" ref="AR22:AR40" si="52">SUM(AF22:AQ22)</f>
        <v>83665</v>
      </c>
      <c r="AS22" s="23"/>
      <c r="AT22" s="91">
        <v>4861</v>
      </c>
      <c r="AU22" s="91">
        <v>5809</v>
      </c>
      <c r="AV22" s="91">
        <v>5072</v>
      </c>
      <c r="AW22" s="91">
        <v>4725</v>
      </c>
      <c r="AX22" s="317">
        <v>5832</v>
      </c>
      <c r="AY22" s="317">
        <v>5832</v>
      </c>
      <c r="AZ22" s="317">
        <v>5567</v>
      </c>
      <c r="BA22" s="317">
        <v>5567</v>
      </c>
      <c r="BB22" s="317">
        <v>5832</v>
      </c>
      <c r="BC22" s="317">
        <v>6892</v>
      </c>
      <c r="BD22" s="317">
        <v>7422</v>
      </c>
      <c r="BE22" s="317">
        <v>4241</v>
      </c>
      <c r="BF22" s="91">
        <f t="shared" ref="BF22:BF54" si="53">SUM(AT22:BE22)</f>
        <v>67652</v>
      </c>
      <c r="BG22" s="93">
        <f t="shared" ref="BG22:BG40" si="54">BF22/AR22-1</f>
        <v>-0.19139425088149165</v>
      </c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177"/>
    </row>
    <row r="23" spans="1:73" hidden="1">
      <c r="A23" s="94">
        <v>2</v>
      </c>
      <c r="B23" s="1092" t="s">
        <v>57</v>
      </c>
      <c r="C23" s="1127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314">
        <f t="shared" si="50"/>
        <v>0</v>
      </c>
      <c r="Q23" s="90"/>
      <c r="R23" s="313">
        <v>2909</v>
      </c>
      <c r="S23" s="91">
        <v>2545</v>
      </c>
      <c r="T23" s="91">
        <f>2727/1.2</f>
        <v>2272.5</v>
      </c>
      <c r="U23" s="91">
        <f>2*U3</f>
        <v>2</v>
      </c>
      <c r="V23" s="91">
        <v>500</v>
      </c>
      <c r="W23" s="91">
        <v>1300</v>
      </c>
      <c r="X23" s="91">
        <v>3200</v>
      </c>
      <c r="Y23" s="91">
        <v>3200</v>
      </c>
      <c r="Z23" s="91">
        <v>3600</v>
      </c>
      <c r="AA23" s="91">
        <v>3600</v>
      </c>
      <c r="AB23" s="91">
        <v>3600</v>
      </c>
      <c r="AC23" s="91">
        <v>4500</v>
      </c>
      <c r="AD23" s="315">
        <f t="shared" si="51"/>
        <v>31228.5</v>
      </c>
      <c r="AE23" s="23"/>
      <c r="AF23" s="316">
        <v>4000</v>
      </c>
      <c r="AG23" s="91">
        <v>1500</v>
      </c>
      <c r="AH23" s="91">
        <v>189</v>
      </c>
      <c r="AI23" s="91">
        <v>1842</v>
      </c>
      <c r="AJ23" s="91">
        <v>3764</v>
      </c>
      <c r="AK23" s="91">
        <v>3200</v>
      </c>
      <c r="AL23" s="91">
        <v>6000</v>
      </c>
      <c r="AM23" s="91">
        <v>5000</v>
      </c>
      <c r="AN23" s="91">
        <v>5000</v>
      </c>
      <c r="AO23" s="91">
        <v>5000</v>
      </c>
      <c r="AP23" s="91">
        <v>5000</v>
      </c>
      <c r="AQ23" s="91">
        <v>9000</v>
      </c>
      <c r="AR23" s="92">
        <f t="shared" si="52"/>
        <v>49495</v>
      </c>
      <c r="AS23" s="23"/>
      <c r="AT23" s="91">
        <v>5468</v>
      </c>
      <c r="AU23" s="91">
        <v>5468</v>
      </c>
      <c r="AV23" s="91">
        <v>6249</v>
      </c>
      <c r="AW23" s="91">
        <v>6249</v>
      </c>
      <c r="AX23" s="317">
        <v>3923</v>
      </c>
      <c r="AY23" s="317">
        <v>3923</v>
      </c>
      <c r="AZ23" s="317">
        <v>3745</v>
      </c>
      <c r="BA23" s="317">
        <v>3745</v>
      </c>
      <c r="BB23" s="317">
        <v>3923</v>
      </c>
      <c r="BC23" s="317">
        <v>4636</v>
      </c>
      <c r="BD23" s="317">
        <v>4993</v>
      </c>
      <c r="BE23" s="317">
        <v>7133</v>
      </c>
      <c r="BF23" s="91">
        <f t="shared" si="53"/>
        <v>59455</v>
      </c>
      <c r="BG23" s="93">
        <f t="shared" si="54"/>
        <v>0.20123244772199222</v>
      </c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177"/>
    </row>
    <row r="24" spans="1:73" hidden="1">
      <c r="A24" s="94">
        <v>3</v>
      </c>
      <c r="B24" s="1092" t="s">
        <v>58</v>
      </c>
      <c r="C24" s="1127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314">
        <f t="shared" si="50"/>
        <v>0</v>
      </c>
      <c r="Q24" s="90"/>
      <c r="R24" s="313">
        <v>746</v>
      </c>
      <c r="S24" s="91">
        <v>653</v>
      </c>
      <c r="T24" s="91">
        <v>700</v>
      </c>
      <c r="U24" s="91">
        <v>0</v>
      </c>
      <c r="V24" s="91">
        <v>200</v>
      </c>
      <c r="W24" s="91">
        <v>400</v>
      </c>
      <c r="X24" s="91">
        <v>900</v>
      </c>
      <c r="Y24" s="91">
        <v>900</v>
      </c>
      <c r="Z24" s="91">
        <v>900</v>
      </c>
      <c r="AA24" s="91">
        <v>900</v>
      </c>
      <c r="AB24" s="91">
        <v>900</v>
      </c>
      <c r="AC24" s="91">
        <v>1200</v>
      </c>
      <c r="AD24" s="315">
        <f t="shared" si="51"/>
        <v>8399</v>
      </c>
      <c r="AE24" s="23"/>
      <c r="AF24" s="316">
        <v>1800</v>
      </c>
      <c r="AG24" s="91">
        <v>1200</v>
      </c>
      <c r="AH24" s="91">
        <v>230</v>
      </c>
      <c r="AI24" s="91">
        <v>472</v>
      </c>
      <c r="AJ24" s="91">
        <v>1495</v>
      </c>
      <c r="AK24" s="91">
        <v>1200</v>
      </c>
      <c r="AL24" s="91">
        <v>1500</v>
      </c>
      <c r="AM24" s="91">
        <v>1500</v>
      </c>
      <c r="AN24" s="91">
        <v>1500</v>
      </c>
      <c r="AO24" s="91">
        <v>1500</v>
      </c>
      <c r="AP24" s="91">
        <v>1650</v>
      </c>
      <c r="AQ24" s="91">
        <v>2400</v>
      </c>
      <c r="AR24" s="92">
        <f t="shared" si="52"/>
        <v>16447</v>
      </c>
      <c r="AS24" s="23"/>
      <c r="AT24" s="91">
        <v>2438</v>
      </c>
      <c r="AU24" s="91">
        <v>1501</v>
      </c>
      <c r="AV24" s="91">
        <v>1566</v>
      </c>
      <c r="AW24" s="91">
        <v>2127</v>
      </c>
      <c r="AX24" s="317">
        <v>1928</v>
      </c>
      <c r="AY24" s="317">
        <v>1928</v>
      </c>
      <c r="AZ24" s="317">
        <v>1840</v>
      </c>
      <c r="BA24" s="317">
        <v>1840</v>
      </c>
      <c r="BB24" s="317">
        <v>1928</v>
      </c>
      <c r="BC24" s="317">
        <v>2278</v>
      </c>
      <c r="BD24" s="317">
        <v>2454</v>
      </c>
      <c r="BE24" s="317">
        <v>3505</v>
      </c>
      <c r="BF24" s="91">
        <f t="shared" si="53"/>
        <v>25333</v>
      </c>
      <c r="BG24" s="93">
        <f t="shared" si="54"/>
        <v>0.54028090229221126</v>
      </c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177"/>
    </row>
    <row r="25" spans="1:73" hidden="1">
      <c r="A25" s="94">
        <v>4</v>
      </c>
      <c r="B25" s="1092" t="s">
        <v>59</v>
      </c>
      <c r="C25" s="1127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314">
        <f t="shared" si="50"/>
        <v>0</v>
      </c>
      <c r="Q25" s="90"/>
      <c r="R25" s="313">
        <v>1455</v>
      </c>
      <c r="S25" s="91">
        <f>2036</f>
        <v>2036</v>
      </c>
      <c r="T25" s="91">
        <f>2182/2</f>
        <v>1091</v>
      </c>
      <c r="U25" s="91">
        <v>0</v>
      </c>
      <c r="V25" s="91">
        <v>200</v>
      </c>
      <c r="W25" s="91">
        <v>900</v>
      </c>
      <c r="X25" s="91">
        <v>1600</v>
      </c>
      <c r="Y25" s="91">
        <v>1600</v>
      </c>
      <c r="Z25" s="91">
        <v>1600</v>
      </c>
      <c r="AA25" s="91">
        <v>1600</v>
      </c>
      <c r="AB25" s="91">
        <v>2200</v>
      </c>
      <c r="AC25" s="91">
        <v>2500</v>
      </c>
      <c r="AD25" s="315">
        <f t="shared" si="51"/>
        <v>16782</v>
      </c>
      <c r="AE25" s="23"/>
      <c r="AF25" s="316">
        <v>2200</v>
      </c>
      <c r="AG25" s="91">
        <v>1500</v>
      </c>
      <c r="AH25" s="91">
        <v>121</v>
      </c>
      <c r="AI25" s="91">
        <v>565</v>
      </c>
      <c r="AJ25" s="91">
        <v>1514</v>
      </c>
      <c r="AK25" s="91">
        <v>1760</v>
      </c>
      <c r="AL25" s="91">
        <v>1800</v>
      </c>
      <c r="AM25" s="91">
        <v>2200</v>
      </c>
      <c r="AN25" s="91">
        <v>2200</v>
      </c>
      <c r="AO25" s="91">
        <v>2200</v>
      </c>
      <c r="AP25" s="91">
        <v>2420</v>
      </c>
      <c r="AQ25" s="91">
        <v>3520</v>
      </c>
      <c r="AR25" s="92">
        <f t="shared" si="52"/>
        <v>22000</v>
      </c>
      <c r="AS25" s="23"/>
      <c r="AT25" s="91">
        <v>1529</v>
      </c>
      <c r="AU25" s="91">
        <v>1516</v>
      </c>
      <c r="AV25" s="91">
        <v>1586</v>
      </c>
      <c r="AW25" s="91">
        <v>1979</v>
      </c>
      <c r="AX25" s="317">
        <v>1283</v>
      </c>
      <c r="AY25" s="317">
        <v>1283</v>
      </c>
      <c r="AZ25" s="317">
        <v>1224</v>
      </c>
      <c r="BA25" s="317">
        <v>1224</v>
      </c>
      <c r="BB25" s="317">
        <v>1283</v>
      </c>
      <c r="BC25" s="317">
        <v>1516</v>
      </c>
      <c r="BD25" s="317">
        <v>1632</v>
      </c>
      <c r="BE25" s="317">
        <v>2332</v>
      </c>
      <c r="BF25" s="91">
        <f t="shared" si="53"/>
        <v>18387</v>
      </c>
      <c r="BG25" s="93">
        <f t="shared" si="54"/>
        <v>-0.16422727272727278</v>
      </c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177"/>
    </row>
    <row r="26" spans="1:73" hidden="1">
      <c r="A26" s="94">
        <v>5</v>
      </c>
      <c r="B26" s="1092" t="s">
        <v>60</v>
      </c>
      <c r="C26" s="1127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314">
        <f t="shared" si="50"/>
        <v>0</v>
      </c>
      <c r="Q26" s="90"/>
      <c r="R26" s="313">
        <v>1353</v>
      </c>
      <c r="S26" s="91">
        <v>1184</v>
      </c>
      <c r="T26" s="91">
        <v>1268</v>
      </c>
      <c r="U26" s="91">
        <f t="shared" ref="U26:V26" si="55">10*U3</f>
        <v>10</v>
      </c>
      <c r="V26" s="91">
        <f t="shared" si="55"/>
        <v>120</v>
      </c>
      <c r="W26" s="91">
        <v>600</v>
      </c>
      <c r="X26" s="91">
        <v>1600</v>
      </c>
      <c r="Y26" s="91">
        <v>1600</v>
      </c>
      <c r="Z26" s="91">
        <v>1600</v>
      </c>
      <c r="AA26" s="91">
        <v>1600</v>
      </c>
      <c r="AB26" s="91">
        <v>1600</v>
      </c>
      <c r="AC26" s="91">
        <v>2200</v>
      </c>
      <c r="AD26" s="315">
        <f t="shared" si="51"/>
        <v>14735</v>
      </c>
      <c r="AE26" s="23"/>
      <c r="AF26" s="316">
        <v>1800</v>
      </c>
      <c r="AG26" s="91">
        <v>1200</v>
      </c>
      <c r="AH26" s="91">
        <v>181</v>
      </c>
      <c r="AI26" s="91">
        <v>628</v>
      </c>
      <c r="AJ26" s="91">
        <v>1169</v>
      </c>
      <c r="AK26" s="91">
        <v>960</v>
      </c>
      <c r="AL26" s="91">
        <v>1500</v>
      </c>
      <c r="AM26" s="91">
        <v>1200</v>
      </c>
      <c r="AN26" s="91">
        <v>1200</v>
      </c>
      <c r="AO26" s="91">
        <v>1200</v>
      </c>
      <c r="AP26" s="91">
        <v>1320</v>
      </c>
      <c r="AQ26" s="91">
        <v>1920</v>
      </c>
      <c r="AR26" s="92">
        <f t="shared" si="52"/>
        <v>14278</v>
      </c>
      <c r="AS26" s="23"/>
      <c r="AT26" s="91">
        <v>1496</v>
      </c>
      <c r="AU26" s="91">
        <v>1200</v>
      </c>
      <c r="AV26" s="91">
        <v>1227</v>
      </c>
      <c r="AW26" s="91">
        <v>1655</v>
      </c>
      <c r="AX26" s="317">
        <v>1141</v>
      </c>
      <c r="AY26" s="317">
        <v>1141</v>
      </c>
      <c r="AZ26" s="317">
        <v>1089</v>
      </c>
      <c r="BA26" s="317">
        <v>1089</v>
      </c>
      <c r="BB26" s="317">
        <v>1141</v>
      </c>
      <c r="BC26" s="317">
        <v>1349</v>
      </c>
      <c r="BD26" s="317">
        <v>1453</v>
      </c>
      <c r="BE26" s="317">
        <v>2075</v>
      </c>
      <c r="BF26" s="91">
        <f t="shared" si="53"/>
        <v>16056</v>
      </c>
      <c r="BG26" s="93">
        <f t="shared" si="54"/>
        <v>0.1245272447121446</v>
      </c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177"/>
    </row>
    <row r="27" spans="1:73" hidden="1">
      <c r="A27" s="94">
        <v>6</v>
      </c>
      <c r="B27" s="1092" t="s">
        <v>61</v>
      </c>
      <c r="C27" s="1127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314">
        <f t="shared" si="50"/>
        <v>0</v>
      </c>
      <c r="Q27" s="90"/>
      <c r="R27" s="313">
        <v>1455</v>
      </c>
      <c r="S27" s="91">
        <v>1273</v>
      </c>
      <c r="T27" s="91">
        <v>1364</v>
      </c>
      <c r="U27" s="91">
        <v>0</v>
      </c>
      <c r="V27" s="91">
        <v>200</v>
      </c>
      <c r="W27" s="91">
        <v>800</v>
      </c>
      <c r="X27" s="91">
        <v>1600</v>
      </c>
      <c r="Y27" s="91">
        <v>1600</v>
      </c>
      <c r="Z27" s="91">
        <v>1600</v>
      </c>
      <c r="AA27" s="91">
        <v>1600</v>
      </c>
      <c r="AB27" s="91">
        <v>1800</v>
      </c>
      <c r="AC27" s="91">
        <v>2400</v>
      </c>
      <c r="AD27" s="315">
        <f t="shared" si="51"/>
        <v>15692</v>
      </c>
      <c r="AE27" s="23"/>
      <c r="AF27" s="316">
        <v>1500</v>
      </c>
      <c r="AG27" s="91">
        <v>1200</v>
      </c>
      <c r="AH27" s="91">
        <v>127</v>
      </c>
      <c r="AI27" s="91">
        <v>426</v>
      </c>
      <c r="AJ27" s="91">
        <v>1063</v>
      </c>
      <c r="AK27" s="91">
        <v>960</v>
      </c>
      <c r="AL27" s="91">
        <v>1500</v>
      </c>
      <c r="AM27" s="91">
        <v>1200</v>
      </c>
      <c r="AN27" s="91">
        <v>1200</v>
      </c>
      <c r="AO27" s="91">
        <v>1200</v>
      </c>
      <c r="AP27" s="91">
        <v>1320</v>
      </c>
      <c r="AQ27" s="91">
        <v>1920</v>
      </c>
      <c r="AR27" s="92">
        <f t="shared" si="52"/>
        <v>13616</v>
      </c>
      <c r="AS27" s="23"/>
      <c r="AT27" s="91">
        <v>1222</v>
      </c>
      <c r="AU27" s="91">
        <v>1200</v>
      </c>
      <c r="AV27" s="91">
        <v>1117</v>
      </c>
      <c r="AW27" s="91">
        <v>1463</v>
      </c>
      <c r="AX27" s="317">
        <v>1087</v>
      </c>
      <c r="AY27" s="317">
        <v>1087</v>
      </c>
      <c r="AZ27" s="317">
        <v>1038</v>
      </c>
      <c r="BA27" s="317">
        <v>1038</v>
      </c>
      <c r="BB27" s="317">
        <v>1087</v>
      </c>
      <c r="BC27" s="317">
        <v>1285</v>
      </c>
      <c r="BD27" s="317">
        <v>1384</v>
      </c>
      <c r="BE27" s="317">
        <v>1977</v>
      </c>
      <c r="BF27" s="91">
        <f t="shared" si="53"/>
        <v>14985</v>
      </c>
      <c r="BG27" s="93">
        <f t="shared" si="54"/>
        <v>0.10054347826086962</v>
      </c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177"/>
    </row>
    <row r="28" spans="1:73" hidden="1">
      <c r="A28" s="94">
        <v>7</v>
      </c>
      <c r="B28" s="1092" t="s">
        <v>62</v>
      </c>
      <c r="C28" s="1127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314">
        <f t="shared" si="50"/>
        <v>0</v>
      </c>
      <c r="Q28" s="90"/>
      <c r="R28" s="313">
        <v>2000</v>
      </c>
      <c r="S28" s="91">
        <f>2182</f>
        <v>2182</v>
      </c>
      <c r="T28" s="91">
        <f>2455/2</f>
        <v>1227.5</v>
      </c>
      <c r="U28" s="91">
        <f>4*U3</f>
        <v>4</v>
      </c>
      <c r="V28" s="91">
        <v>200</v>
      </c>
      <c r="W28" s="91">
        <v>700</v>
      </c>
      <c r="X28" s="91">
        <v>1600</v>
      </c>
      <c r="Y28" s="91">
        <v>1600</v>
      </c>
      <c r="Z28" s="91">
        <v>1600</v>
      </c>
      <c r="AA28" s="91">
        <v>1600</v>
      </c>
      <c r="AB28" s="91">
        <v>2500</v>
      </c>
      <c r="AC28" s="91">
        <v>3200</v>
      </c>
      <c r="AD28" s="315">
        <f t="shared" si="51"/>
        <v>18413.5</v>
      </c>
      <c r="AE28" s="23"/>
      <c r="AF28" s="316">
        <v>2600</v>
      </c>
      <c r="AG28" s="91">
        <v>1000</v>
      </c>
      <c r="AH28" s="91">
        <v>195</v>
      </c>
      <c r="AI28" s="91">
        <v>844</v>
      </c>
      <c r="AJ28" s="91">
        <v>1973</v>
      </c>
      <c r="AK28" s="91">
        <v>1840</v>
      </c>
      <c r="AL28" s="91">
        <v>2000</v>
      </c>
      <c r="AM28" s="91">
        <v>2300</v>
      </c>
      <c r="AN28" s="91">
        <v>2300</v>
      </c>
      <c r="AO28" s="91">
        <v>2300</v>
      </c>
      <c r="AP28" s="91">
        <v>2530</v>
      </c>
      <c r="AQ28" s="91">
        <v>3680</v>
      </c>
      <c r="AR28" s="92">
        <f t="shared" si="52"/>
        <v>23562</v>
      </c>
      <c r="AS28" s="23"/>
      <c r="AT28" s="91">
        <v>1888</v>
      </c>
      <c r="AU28" s="91">
        <v>1414</v>
      </c>
      <c r="AV28" s="91">
        <v>2073</v>
      </c>
      <c r="AW28" s="91">
        <v>2338</v>
      </c>
      <c r="AX28" s="317">
        <v>1857</v>
      </c>
      <c r="AY28" s="317">
        <v>1857</v>
      </c>
      <c r="AZ28" s="317">
        <v>1772</v>
      </c>
      <c r="BA28" s="317">
        <v>1772</v>
      </c>
      <c r="BB28" s="317">
        <v>1857</v>
      </c>
      <c r="BC28" s="317">
        <v>2194</v>
      </c>
      <c r="BD28" s="317">
        <v>2363</v>
      </c>
      <c r="BE28" s="317">
        <v>3376</v>
      </c>
      <c r="BF28" s="91">
        <f t="shared" si="53"/>
        <v>24761</v>
      </c>
      <c r="BG28" s="93">
        <f t="shared" si="54"/>
        <v>5.0887021475256811E-2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177"/>
    </row>
    <row r="29" spans="1:73" hidden="1">
      <c r="A29" s="94">
        <v>8</v>
      </c>
      <c r="B29" s="1092" t="s">
        <v>269</v>
      </c>
      <c r="C29" s="1127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314">
        <f t="shared" si="50"/>
        <v>0</v>
      </c>
      <c r="Q29" s="90"/>
      <c r="R29" s="313">
        <v>1636</v>
      </c>
      <c r="S29" s="91">
        <v>1636</v>
      </c>
      <c r="T29" s="91">
        <f t="shared" ref="T29:T30" si="56">1818/2</f>
        <v>909</v>
      </c>
      <c r="U29" s="91">
        <v>0</v>
      </c>
      <c r="V29" s="91">
        <v>200</v>
      </c>
      <c r="W29" s="91">
        <v>300</v>
      </c>
      <c r="X29" s="91">
        <v>1000</v>
      </c>
      <c r="Y29" s="91">
        <v>1200</v>
      </c>
      <c r="Z29" s="91">
        <v>1600</v>
      </c>
      <c r="AA29" s="91">
        <v>1600</v>
      </c>
      <c r="AB29" s="91">
        <v>1800</v>
      </c>
      <c r="AC29" s="91">
        <v>2300</v>
      </c>
      <c r="AD29" s="315">
        <f t="shared" si="51"/>
        <v>14181</v>
      </c>
      <c r="AE29" s="23"/>
      <c r="AF29" s="316">
        <v>1500</v>
      </c>
      <c r="AG29" s="91">
        <v>1000</v>
      </c>
      <c r="AH29" s="91">
        <v>126</v>
      </c>
      <c r="AI29" s="91">
        <v>387</v>
      </c>
      <c r="AJ29" s="91">
        <v>895</v>
      </c>
      <c r="AK29" s="91">
        <v>800</v>
      </c>
      <c r="AL29" s="91">
        <v>1500</v>
      </c>
      <c r="AM29" s="91">
        <v>1000</v>
      </c>
      <c r="AN29" s="91">
        <v>1000</v>
      </c>
      <c r="AO29" s="91">
        <v>1000</v>
      </c>
      <c r="AP29" s="91">
        <v>1100</v>
      </c>
      <c r="AQ29" s="91">
        <v>1600</v>
      </c>
      <c r="AR29" s="92">
        <f t="shared" si="52"/>
        <v>11908</v>
      </c>
      <c r="AS29" s="23"/>
      <c r="AT29" s="91">
        <v>1182</v>
      </c>
      <c r="AU29" s="91">
        <v>1200</v>
      </c>
      <c r="AV29" s="91">
        <v>932</v>
      </c>
      <c r="AW29" s="91">
        <v>1020</v>
      </c>
      <c r="AX29" s="317">
        <v>0</v>
      </c>
      <c r="AY29" s="317">
        <v>0</v>
      </c>
      <c r="AZ29" s="317">
        <v>0</v>
      </c>
      <c r="BA29" s="317">
        <v>0</v>
      </c>
      <c r="BB29" s="317">
        <v>0</v>
      </c>
      <c r="BC29" s="317">
        <v>0</v>
      </c>
      <c r="BD29" s="317">
        <v>0</v>
      </c>
      <c r="BE29" s="317">
        <v>0</v>
      </c>
      <c r="BF29" s="91">
        <f t="shared" si="53"/>
        <v>4334</v>
      </c>
      <c r="BG29" s="93">
        <f t="shared" si="54"/>
        <v>-0.63604299630500505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177"/>
    </row>
    <row r="30" spans="1:73" hidden="1">
      <c r="A30" s="94">
        <v>9</v>
      </c>
      <c r="B30" s="1092" t="s">
        <v>64</v>
      </c>
      <c r="C30" s="1127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314">
        <f t="shared" si="50"/>
        <v>0</v>
      </c>
      <c r="Q30" s="90"/>
      <c r="R30" s="313">
        <v>1636</v>
      </c>
      <c r="S30" s="91">
        <v>1636</v>
      </c>
      <c r="T30" s="91">
        <f t="shared" si="56"/>
        <v>909</v>
      </c>
      <c r="U30" s="91">
        <f>0.5*U3</f>
        <v>0.5</v>
      </c>
      <c r="V30" s="91">
        <v>200</v>
      </c>
      <c r="W30" s="91">
        <v>300</v>
      </c>
      <c r="X30" s="91">
        <v>1000</v>
      </c>
      <c r="Y30" s="91">
        <v>1200</v>
      </c>
      <c r="Z30" s="91">
        <v>1600</v>
      </c>
      <c r="AA30" s="91">
        <v>1600</v>
      </c>
      <c r="AB30" s="91">
        <v>1800</v>
      </c>
      <c r="AC30" s="91">
        <v>2300</v>
      </c>
      <c r="AD30" s="315">
        <f t="shared" si="51"/>
        <v>14181.5</v>
      </c>
      <c r="AE30" s="23"/>
      <c r="AF30" s="316">
        <v>1500</v>
      </c>
      <c r="AG30" s="91">
        <v>1000</v>
      </c>
      <c r="AH30" s="91">
        <v>764</v>
      </c>
      <c r="AI30" s="91">
        <v>561</v>
      </c>
      <c r="AJ30" s="91">
        <v>1353</v>
      </c>
      <c r="AK30" s="91">
        <v>960</v>
      </c>
      <c r="AL30" s="91">
        <v>1500</v>
      </c>
      <c r="AM30" s="91">
        <v>1200</v>
      </c>
      <c r="AN30" s="91">
        <v>1200</v>
      </c>
      <c r="AO30" s="91">
        <v>1200</v>
      </c>
      <c r="AP30" s="91">
        <v>1320</v>
      </c>
      <c r="AQ30" s="91">
        <v>1920</v>
      </c>
      <c r="AR30" s="92">
        <f t="shared" si="52"/>
        <v>14478</v>
      </c>
      <c r="AS30" s="23"/>
      <c r="AT30" s="91">
        <v>1285</v>
      </c>
      <c r="AU30" s="91">
        <v>957</v>
      </c>
      <c r="AV30" s="91">
        <v>1426</v>
      </c>
      <c r="AW30" s="91">
        <v>1595</v>
      </c>
      <c r="AX30" s="317">
        <v>1767</v>
      </c>
      <c r="AY30" s="317">
        <v>1767</v>
      </c>
      <c r="AZ30" s="317">
        <v>1686</v>
      </c>
      <c r="BA30" s="317">
        <v>1686</v>
      </c>
      <c r="BB30" s="317">
        <v>1767</v>
      </c>
      <c r="BC30" s="317">
        <v>2088</v>
      </c>
      <c r="BD30" s="317">
        <v>2248</v>
      </c>
      <c r="BE30" s="317">
        <v>3212</v>
      </c>
      <c r="BF30" s="91">
        <f t="shared" si="53"/>
        <v>21484</v>
      </c>
      <c r="BG30" s="93">
        <f t="shared" si="54"/>
        <v>0.48390661693604087</v>
      </c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177"/>
    </row>
    <row r="31" spans="1:73" hidden="1">
      <c r="A31" s="94">
        <v>10</v>
      </c>
      <c r="B31" s="1092" t="s">
        <v>270</v>
      </c>
      <c r="C31" s="1127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314">
        <f t="shared" si="50"/>
        <v>0</v>
      </c>
      <c r="Q31" s="90"/>
      <c r="R31" s="313">
        <v>0</v>
      </c>
      <c r="S31" s="91">
        <v>0</v>
      </c>
      <c r="T31" s="91">
        <v>0</v>
      </c>
      <c r="U31" s="91">
        <v>0</v>
      </c>
      <c r="V31" s="91">
        <v>3500</v>
      </c>
      <c r="W31" s="91">
        <v>350</v>
      </c>
      <c r="X31" s="91">
        <v>800</v>
      </c>
      <c r="Y31" s="91">
        <v>1000</v>
      </c>
      <c r="Z31" s="91">
        <v>1600</v>
      </c>
      <c r="AA31" s="91">
        <v>2000</v>
      </c>
      <c r="AB31" s="91">
        <v>2400</v>
      </c>
      <c r="AC31" s="91">
        <v>3000</v>
      </c>
      <c r="AD31" s="315">
        <f t="shared" si="51"/>
        <v>14650</v>
      </c>
      <c r="AE31" s="23"/>
      <c r="AF31" s="316">
        <v>2500</v>
      </c>
      <c r="AG31" s="91">
        <v>1000</v>
      </c>
      <c r="AH31" s="91">
        <f>2500*0.15</f>
        <v>375</v>
      </c>
      <c r="AI31" s="91">
        <v>787</v>
      </c>
      <c r="AJ31" s="91">
        <v>1569</v>
      </c>
      <c r="AK31" s="91">
        <v>2000</v>
      </c>
      <c r="AL31" s="91">
        <v>2500</v>
      </c>
      <c r="AM31" s="91">
        <v>2500</v>
      </c>
      <c r="AN31" s="91">
        <v>2500</v>
      </c>
      <c r="AO31" s="91">
        <v>2500</v>
      </c>
      <c r="AP31" s="91">
        <v>2750</v>
      </c>
      <c r="AQ31" s="91">
        <v>4000</v>
      </c>
      <c r="AR31" s="92">
        <f t="shared" si="52"/>
        <v>24981</v>
      </c>
      <c r="AS31" s="23"/>
      <c r="AT31" s="91">
        <v>1806</v>
      </c>
      <c r="AU31" s="91">
        <v>2046</v>
      </c>
      <c r="AV31" s="91">
        <v>1646</v>
      </c>
      <c r="AW31" s="91">
        <v>1902</v>
      </c>
      <c r="AX31" s="317">
        <v>1545</v>
      </c>
      <c r="AY31" s="317">
        <v>1545</v>
      </c>
      <c r="AZ31" s="317">
        <v>1475</v>
      </c>
      <c r="BA31" s="317">
        <v>1475</v>
      </c>
      <c r="BB31" s="317">
        <v>1545</v>
      </c>
      <c r="BC31" s="317">
        <v>1826</v>
      </c>
      <c r="BD31" s="317">
        <v>0</v>
      </c>
      <c r="BE31" s="317">
        <v>0</v>
      </c>
      <c r="BF31" s="91">
        <f t="shared" si="53"/>
        <v>16811</v>
      </c>
      <c r="BG31" s="93">
        <f t="shared" si="54"/>
        <v>-0.32704855690324641</v>
      </c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177"/>
    </row>
    <row r="32" spans="1:73" hidden="1">
      <c r="A32" s="94">
        <v>11</v>
      </c>
      <c r="B32" s="210" t="s">
        <v>271</v>
      </c>
      <c r="C32" s="211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314">
        <f t="shared" si="50"/>
        <v>0</v>
      </c>
      <c r="Q32" s="90"/>
      <c r="R32" s="313">
        <v>0</v>
      </c>
      <c r="S32" s="91">
        <v>0</v>
      </c>
      <c r="T32" s="91">
        <v>0</v>
      </c>
      <c r="U32" s="91">
        <v>0</v>
      </c>
      <c r="V32" s="91">
        <v>4000</v>
      </c>
      <c r="W32" s="91">
        <v>100</v>
      </c>
      <c r="X32" s="91">
        <v>800</v>
      </c>
      <c r="Y32" s="91">
        <v>800</v>
      </c>
      <c r="Z32" s="91">
        <v>1200</v>
      </c>
      <c r="AA32" s="91">
        <v>1200</v>
      </c>
      <c r="AB32" s="91">
        <v>1800</v>
      </c>
      <c r="AC32" s="91">
        <v>2300</v>
      </c>
      <c r="AD32" s="315">
        <f t="shared" si="51"/>
        <v>12200</v>
      </c>
      <c r="AE32" s="23"/>
      <c r="AF32" s="316">
        <v>1500</v>
      </c>
      <c r="AG32" s="91">
        <v>1000</v>
      </c>
      <c r="AH32" s="91">
        <f t="shared" ref="AH32:AH33" si="57">1500*0.15</f>
        <v>225</v>
      </c>
      <c r="AI32" s="91">
        <v>324</v>
      </c>
      <c r="AJ32" s="91">
        <v>869</v>
      </c>
      <c r="AK32" s="91">
        <v>800</v>
      </c>
      <c r="AL32" s="91">
        <v>1500</v>
      </c>
      <c r="AM32" s="91">
        <v>1000</v>
      </c>
      <c r="AN32" s="91">
        <v>1000</v>
      </c>
      <c r="AO32" s="91">
        <v>1000</v>
      </c>
      <c r="AP32" s="91">
        <v>1100</v>
      </c>
      <c r="AQ32" s="91">
        <v>1600</v>
      </c>
      <c r="AR32" s="92">
        <f t="shared" si="52"/>
        <v>11918</v>
      </c>
      <c r="AS32" s="23"/>
      <c r="AT32" s="91">
        <v>1191</v>
      </c>
      <c r="AU32" s="91">
        <v>1191</v>
      </c>
      <c r="AV32" s="91">
        <v>1191</v>
      </c>
      <c r="AW32" s="91">
        <v>1191</v>
      </c>
      <c r="AX32" s="317">
        <v>876</v>
      </c>
      <c r="AY32" s="317">
        <v>876</v>
      </c>
      <c r="AZ32" s="317">
        <v>836</v>
      </c>
      <c r="BA32" s="317">
        <v>836</v>
      </c>
      <c r="BB32" s="317">
        <v>876</v>
      </c>
      <c r="BC32" s="317">
        <v>1035</v>
      </c>
      <c r="BD32" s="317">
        <v>0</v>
      </c>
      <c r="BE32" s="317">
        <v>0</v>
      </c>
      <c r="BF32" s="91">
        <f t="shared" si="53"/>
        <v>10099</v>
      </c>
      <c r="BG32" s="93">
        <f t="shared" si="54"/>
        <v>-0.15262627957711028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177"/>
    </row>
    <row r="33" spans="1:73" hidden="1">
      <c r="A33" s="94">
        <v>12</v>
      </c>
      <c r="B33" s="210" t="s">
        <v>272</v>
      </c>
      <c r="C33" s="211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314">
        <f t="shared" si="50"/>
        <v>0</v>
      </c>
      <c r="Q33" s="90"/>
      <c r="R33" s="313">
        <v>0</v>
      </c>
      <c r="S33" s="91">
        <v>0</v>
      </c>
      <c r="T33" s="91">
        <v>0</v>
      </c>
      <c r="U33" s="91">
        <v>0</v>
      </c>
      <c r="V33" s="91">
        <v>4000</v>
      </c>
      <c r="W33" s="91">
        <v>0</v>
      </c>
      <c r="X33" s="91">
        <v>800</v>
      </c>
      <c r="Y33" s="91">
        <v>1000</v>
      </c>
      <c r="Z33" s="91">
        <v>1200</v>
      </c>
      <c r="AA33" s="91">
        <v>1200</v>
      </c>
      <c r="AB33" s="91">
        <v>1800</v>
      </c>
      <c r="AC33" s="91">
        <v>2300</v>
      </c>
      <c r="AD33" s="315">
        <f t="shared" si="51"/>
        <v>12300</v>
      </c>
      <c r="AE33" s="23"/>
      <c r="AF33" s="316">
        <v>1500</v>
      </c>
      <c r="AG33" s="91">
        <v>1200</v>
      </c>
      <c r="AH33" s="91">
        <f t="shared" si="57"/>
        <v>225</v>
      </c>
      <c r="AI33" s="91">
        <v>332</v>
      </c>
      <c r="AJ33" s="91">
        <v>945</v>
      </c>
      <c r="AK33" s="91">
        <v>960</v>
      </c>
      <c r="AL33" s="91">
        <v>1500</v>
      </c>
      <c r="AM33" s="91">
        <v>1200</v>
      </c>
      <c r="AN33" s="91">
        <v>1200</v>
      </c>
      <c r="AO33" s="91">
        <v>1200</v>
      </c>
      <c r="AP33" s="91">
        <v>1320</v>
      </c>
      <c r="AQ33" s="91">
        <v>1920</v>
      </c>
      <c r="AR33" s="92">
        <f t="shared" si="52"/>
        <v>13502</v>
      </c>
      <c r="AS33" s="23"/>
      <c r="AT33" s="91">
        <v>1254</v>
      </c>
      <c r="AU33" s="91">
        <v>1254</v>
      </c>
      <c r="AV33" s="91">
        <v>1254</v>
      </c>
      <c r="AW33" s="91">
        <v>1254</v>
      </c>
      <c r="AX33" s="317">
        <v>1236</v>
      </c>
      <c r="AY33" s="317">
        <v>1236</v>
      </c>
      <c r="AZ33" s="317">
        <v>0</v>
      </c>
      <c r="BA33" s="317">
        <v>0</v>
      </c>
      <c r="BB33" s="317">
        <v>0</v>
      </c>
      <c r="BC33" s="317">
        <v>0</v>
      </c>
      <c r="BD33" s="317">
        <v>0</v>
      </c>
      <c r="BE33" s="317">
        <v>0</v>
      </c>
      <c r="BF33" s="91">
        <f t="shared" si="53"/>
        <v>7488</v>
      </c>
      <c r="BG33" s="93">
        <f t="shared" si="54"/>
        <v>-0.44541549400088876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177"/>
    </row>
    <row r="34" spans="1:73" hidden="1">
      <c r="A34" s="94">
        <v>13</v>
      </c>
      <c r="B34" s="210" t="s">
        <v>67</v>
      </c>
      <c r="C34" s="212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si="50"/>
        <v>0</v>
      </c>
      <c r="Q34" s="90"/>
      <c r="R34" s="313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2000</v>
      </c>
      <c r="Y34" s="91">
        <v>800</v>
      </c>
      <c r="Z34" s="91">
        <v>800</v>
      </c>
      <c r="AA34" s="91">
        <v>1200</v>
      </c>
      <c r="AB34" s="91">
        <v>1800</v>
      </c>
      <c r="AC34" s="91">
        <v>2300</v>
      </c>
      <c r="AD34" s="315">
        <f t="shared" si="51"/>
        <v>8900</v>
      </c>
      <c r="AE34" s="23"/>
      <c r="AF34" s="316">
        <v>1800</v>
      </c>
      <c r="AG34" s="91">
        <v>1200</v>
      </c>
      <c r="AH34" s="91">
        <f>1800*0.15</f>
        <v>270</v>
      </c>
      <c r="AI34" s="91">
        <v>896</v>
      </c>
      <c r="AJ34" s="91">
        <v>1339</v>
      </c>
      <c r="AK34" s="91">
        <v>1600</v>
      </c>
      <c r="AL34" s="91">
        <v>1800</v>
      </c>
      <c r="AM34" s="91">
        <v>2000</v>
      </c>
      <c r="AN34" s="91">
        <v>2000</v>
      </c>
      <c r="AO34" s="91">
        <v>2000</v>
      </c>
      <c r="AP34" s="91">
        <v>2200</v>
      </c>
      <c r="AQ34" s="91">
        <v>3200</v>
      </c>
      <c r="AR34" s="92">
        <f t="shared" si="52"/>
        <v>20305</v>
      </c>
      <c r="AS34" s="23"/>
      <c r="AT34" s="91">
        <v>1980</v>
      </c>
      <c r="AU34" s="91">
        <v>1980</v>
      </c>
      <c r="AV34" s="91">
        <v>1980</v>
      </c>
      <c r="AW34" s="91">
        <v>1980</v>
      </c>
      <c r="AX34" s="317">
        <v>1409</v>
      </c>
      <c r="AY34" s="317">
        <v>1409</v>
      </c>
      <c r="AZ34" s="317">
        <v>1345</v>
      </c>
      <c r="BA34" s="317">
        <v>1345</v>
      </c>
      <c r="BB34" s="317">
        <v>1409</v>
      </c>
      <c r="BC34" s="317">
        <v>1665</v>
      </c>
      <c r="BD34" s="317">
        <v>1793</v>
      </c>
      <c r="BE34" s="317">
        <v>2562</v>
      </c>
      <c r="BF34" s="91">
        <f t="shared" si="53"/>
        <v>20857</v>
      </c>
      <c r="BG34" s="93">
        <f t="shared" si="54"/>
        <v>2.7185422309775831E-2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177"/>
    </row>
    <row r="35" spans="1:73" hidden="1">
      <c r="A35" s="94">
        <v>14</v>
      </c>
      <c r="B35" s="210" t="s">
        <v>68</v>
      </c>
      <c r="C35" s="212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/>
      <c r="Q35" s="90"/>
      <c r="R35" s="313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2000</v>
      </c>
      <c r="Z35" s="91">
        <v>800</v>
      </c>
      <c r="AA35" s="91">
        <v>800</v>
      </c>
      <c r="AB35" s="91">
        <v>1200</v>
      </c>
      <c r="AC35" s="91">
        <v>1800</v>
      </c>
      <c r="AD35" s="315">
        <f t="shared" si="51"/>
        <v>6600</v>
      </c>
      <c r="AE35" s="23"/>
      <c r="AF35" s="316">
        <v>1500</v>
      </c>
      <c r="AG35" s="91">
        <v>1200</v>
      </c>
      <c r="AH35" s="91">
        <f>1500*0.15</f>
        <v>225</v>
      </c>
      <c r="AI35" s="91">
        <v>374</v>
      </c>
      <c r="AJ35" s="91">
        <v>990</v>
      </c>
      <c r="AK35" s="91">
        <v>960</v>
      </c>
      <c r="AL35" s="91">
        <v>1800</v>
      </c>
      <c r="AM35" s="91">
        <v>1200</v>
      </c>
      <c r="AN35" s="91">
        <v>1200</v>
      </c>
      <c r="AO35" s="91">
        <v>1200</v>
      </c>
      <c r="AP35" s="91">
        <v>1320</v>
      </c>
      <c r="AQ35" s="91">
        <v>1920</v>
      </c>
      <c r="AR35" s="92">
        <f t="shared" si="52"/>
        <v>13889</v>
      </c>
      <c r="AS35" s="23"/>
      <c r="AT35" s="91">
        <v>1518</v>
      </c>
      <c r="AU35" s="91">
        <v>1518</v>
      </c>
      <c r="AV35" s="91">
        <v>1518</v>
      </c>
      <c r="AW35" s="91">
        <v>1518</v>
      </c>
      <c r="AX35" s="317">
        <v>1276</v>
      </c>
      <c r="AY35" s="317">
        <v>1276</v>
      </c>
      <c r="AZ35" s="317">
        <v>1218</v>
      </c>
      <c r="BA35" s="317">
        <v>1218</v>
      </c>
      <c r="BB35" s="317">
        <v>1276</v>
      </c>
      <c r="BC35" s="317">
        <v>1508</v>
      </c>
      <c r="BD35" s="317">
        <v>1624</v>
      </c>
      <c r="BE35" s="317">
        <v>2320</v>
      </c>
      <c r="BF35" s="91">
        <f t="shared" si="53"/>
        <v>17788</v>
      </c>
      <c r="BG35" s="93">
        <f t="shared" si="54"/>
        <v>0.2807257541939665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177"/>
    </row>
    <row r="36" spans="1:73" hidden="1">
      <c r="A36" s="94">
        <v>15</v>
      </c>
      <c r="B36" s="210" t="s">
        <v>69</v>
      </c>
      <c r="C36" s="212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/>
      <c r="Q36" s="90"/>
      <c r="R36" s="313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2000</v>
      </c>
      <c r="AA36" s="91">
        <v>800</v>
      </c>
      <c r="AB36" s="91">
        <v>800</v>
      </c>
      <c r="AC36" s="91">
        <v>1500</v>
      </c>
      <c r="AD36" s="315">
        <f t="shared" si="51"/>
        <v>5100</v>
      </c>
      <c r="AE36" s="23"/>
      <c r="AF36" s="316">
        <v>1800</v>
      </c>
      <c r="AG36" s="91">
        <v>1200</v>
      </c>
      <c r="AH36" s="91">
        <f>1800*0.4</f>
        <v>720</v>
      </c>
      <c r="AI36" s="91">
        <v>1147</v>
      </c>
      <c r="AJ36" s="91">
        <v>1155</v>
      </c>
      <c r="AK36" s="91">
        <v>1600</v>
      </c>
      <c r="AL36" s="91">
        <v>1800</v>
      </c>
      <c r="AM36" s="91">
        <v>2000</v>
      </c>
      <c r="AN36" s="91">
        <v>2000</v>
      </c>
      <c r="AO36" s="91">
        <v>2000</v>
      </c>
      <c r="AP36" s="91">
        <v>2200</v>
      </c>
      <c r="AQ36" s="91">
        <v>3200</v>
      </c>
      <c r="AR36" s="92">
        <f t="shared" si="52"/>
        <v>20822</v>
      </c>
      <c r="AS36" s="23"/>
      <c r="AT36" s="91">
        <v>1544</v>
      </c>
      <c r="AU36" s="91">
        <v>1544</v>
      </c>
      <c r="AV36" s="91">
        <v>1544</v>
      </c>
      <c r="AW36" s="91">
        <v>1544</v>
      </c>
      <c r="AX36" s="317">
        <v>862</v>
      </c>
      <c r="AY36" s="317">
        <v>862</v>
      </c>
      <c r="AZ36" s="317">
        <v>823</v>
      </c>
      <c r="BA36" s="317">
        <v>823</v>
      </c>
      <c r="BB36" s="317">
        <v>862</v>
      </c>
      <c r="BC36" s="317">
        <v>1019</v>
      </c>
      <c r="BD36" s="317">
        <v>1098</v>
      </c>
      <c r="BE36" s="317">
        <v>1568</v>
      </c>
      <c r="BF36" s="91">
        <f t="shared" si="53"/>
        <v>14093</v>
      </c>
      <c r="BG36" s="93">
        <f t="shared" si="54"/>
        <v>-0.32316780328498707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177"/>
    </row>
    <row r="37" spans="1:73" hidden="1">
      <c r="A37" s="94">
        <v>16</v>
      </c>
      <c r="B37" s="210" t="s">
        <v>273</v>
      </c>
      <c r="C37" s="212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/>
      <c r="Q37" s="90"/>
      <c r="R37" s="313"/>
      <c r="S37" s="91"/>
      <c r="T37" s="91"/>
      <c r="U37" s="91"/>
      <c r="V37" s="91"/>
      <c r="W37" s="91"/>
      <c r="X37" s="91"/>
      <c r="Y37" s="91"/>
      <c r="Z37" s="91"/>
      <c r="AA37" s="91">
        <v>800</v>
      </c>
      <c r="AB37" s="91">
        <v>800</v>
      </c>
      <c r="AC37" s="91">
        <v>1500</v>
      </c>
      <c r="AD37" s="315"/>
      <c r="AE37" s="23"/>
      <c r="AF37" s="316">
        <v>1500</v>
      </c>
      <c r="AG37" s="91">
        <v>1200</v>
      </c>
      <c r="AH37" s="91">
        <f>1500*0.15</f>
        <v>225</v>
      </c>
      <c r="AI37" s="91">
        <v>192</v>
      </c>
      <c r="AJ37" s="91">
        <v>663</v>
      </c>
      <c r="AK37" s="91">
        <v>800</v>
      </c>
      <c r="AL37" s="91">
        <v>1500</v>
      </c>
      <c r="AM37" s="91">
        <v>1000</v>
      </c>
      <c r="AN37" s="91">
        <v>1000</v>
      </c>
      <c r="AO37" s="91">
        <v>1000</v>
      </c>
      <c r="AP37" s="91">
        <v>1100</v>
      </c>
      <c r="AQ37" s="91">
        <v>1600</v>
      </c>
      <c r="AR37" s="92">
        <f t="shared" si="52"/>
        <v>11780</v>
      </c>
      <c r="AS37" s="23"/>
      <c r="AT37" s="91">
        <v>960</v>
      </c>
      <c r="AU37" s="91">
        <v>960</v>
      </c>
      <c r="AV37" s="91">
        <v>960</v>
      </c>
      <c r="AW37" s="91">
        <v>960</v>
      </c>
      <c r="AX37" s="317">
        <v>1414</v>
      </c>
      <c r="AY37" s="317">
        <v>1414</v>
      </c>
      <c r="AZ37" s="317">
        <v>1350</v>
      </c>
      <c r="BA37" s="317">
        <v>1350</v>
      </c>
      <c r="BB37" s="317">
        <v>1414</v>
      </c>
      <c r="BC37" s="317">
        <v>1671</v>
      </c>
      <c r="BD37" s="317">
        <v>1800</v>
      </c>
      <c r="BE37" s="317">
        <v>2571</v>
      </c>
      <c r="BF37" s="91">
        <f t="shared" si="53"/>
        <v>16824</v>
      </c>
      <c r="BG37" s="93">
        <f t="shared" si="54"/>
        <v>0.42818336162988113</v>
      </c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177"/>
    </row>
    <row r="38" spans="1:73" hidden="1">
      <c r="A38" s="94" t="s">
        <v>274</v>
      </c>
      <c r="B38" s="210" t="s">
        <v>275</v>
      </c>
      <c r="C38" s="213">
        <v>44378</v>
      </c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/>
      <c r="Q38" s="90"/>
      <c r="R38" s="313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315"/>
      <c r="AE38" s="23"/>
      <c r="AF38" s="316">
        <v>0</v>
      </c>
      <c r="AG38" s="91">
        <v>0</v>
      </c>
      <c r="AH38" s="91">
        <v>0</v>
      </c>
      <c r="AI38" s="91">
        <v>0</v>
      </c>
      <c r="AJ38" s="91">
        <v>0</v>
      </c>
      <c r="AK38" s="91">
        <v>400</v>
      </c>
      <c r="AL38" s="91">
        <v>500</v>
      </c>
      <c r="AM38" s="91">
        <v>500</v>
      </c>
      <c r="AN38" s="91">
        <v>600</v>
      </c>
      <c r="AO38" s="91">
        <v>600</v>
      </c>
      <c r="AP38" s="91">
        <v>660</v>
      </c>
      <c r="AQ38" s="91">
        <v>960</v>
      </c>
      <c r="AR38" s="92">
        <f t="shared" si="52"/>
        <v>4220</v>
      </c>
      <c r="AS38" s="23"/>
      <c r="AT38" s="91">
        <v>960</v>
      </c>
      <c r="AU38" s="91">
        <v>960</v>
      </c>
      <c r="AV38" s="91">
        <v>960</v>
      </c>
      <c r="AW38" s="91">
        <v>960</v>
      </c>
      <c r="AX38" s="317">
        <v>580</v>
      </c>
      <c r="AY38" s="317">
        <v>580</v>
      </c>
      <c r="AZ38" s="317">
        <v>554</v>
      </c>
      <c r="BA38" s="317">
        <v>554</v>
      </c>
      <c r="BB38" s="317">
        <v>580</v>
      </c>
      <c r="BC38" s="317">
        <v>686</v>
      </c>
      <c r="BD38" s="317">
        <v>739</v>
      </c>
      <c r="BE38" s="317">
        <v>1055</v>
      </c>
      <c r="BF38" s="91">
        <f t="shared" si="53"/>
        <v>9168</v>
      </c>
      <c r="BG38" s="93">
        <f t="shared" si="54"/>
        <v>1.172511848341232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177"/>
    </row>
    <row r="39" spans="1:73" hidden="1">
      <c r="A39" s="94" t="s">
        <v>274</v>
      </c>
      <c r="B39" s="210" t="s">
        <v>70</v>
      </c>
      <c r="C39" s="213">
        <v>44440</v>
      </c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314"/>
      <c r="Q39" s="90"/>
      <c r="R39" s="313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315"/>
      <c r="AE39" s="23"/>
      <c r="AF39" s="316">
        <v>0</v>
      </c>
      <c r="AG39" s="91">
        <v>0</v>
      </c>
      <c r="AH39" s="91">
        <v>0</v>
      </c>
      <c r="AI39" s="91">
        <v>0</v>
      </c>
      <c r="AJ39" s="91">
        <v>0</v>
      </c>
      <c r="AK39" s="91">
        <v>0</v>
      </c>
      <c r="AL39" s="91">
        <v>2500</v>
      </c>
      <c r="AM39" s="91">
        <v>2000</v>
      </c>
      <c r="AN39" s="91">
        <v>500</v>
      </c>
      <c r="AO39" s="91">
        <v>600</v>
      </c>
      <c r="AP39" s="91">
        <v>660</v>
      </c>
      <c r="AQ39" s="91">
        <v>960</v>
      </c>
      <c r="AR39" s="92">
        <f t="shared" si="52"/>
        <v>7220</v>
      </c>
      <c r="AS39" s="23"/>
      <c r="AT39" s="91">
        <v>1518</v>
      </c>
      <c r="AU39" s="91">
        <v>1518</v>
      </c>
      <c r="AV39" s="91">
        <v>1518</v>
      </c>
      <c r="AW39" s="91">
        <v>1518</v>
      </c>
      <c r="AX39" s="317">
        <v>1943</v>
      </c>
      <c r="AY39" s="317">
        <v>1943</v>
      </c>
      <c r="AZ39" s="317">
        <v>1854</v>
      </c>
      <c r="BA39" s="317">
        <v>1854</v>
      </c>
      <c r="BB39" s="317">
        <v>1943</v>
      </c>
      <c r="BC39" s="317">
        <v>2296</v>
      </c>
      <c r="BD39" s="317">
        <v>2472</v>
      </c>
      <c r="BE39" s="317">
        <v>3532</v>
      </c>
      <c r="BF39" s="91">
        <f t="shared" si="53"/>
        <v>23909</v>
      </c>
      <c r="BG39" s="93">
        <f t="shared" si="54"/>
        <v>2.3114958448753464</v>
      </c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177"/>
    </row>
    <row r="40" spans="1:73" hidden="1">
      <c r="A40" s="318">
        <v>18</v>
      </c>
      <c r="B40" s="382" t="s">
        <v>65</v>
      </c>
      <c r="C40" s="383">
        <v>44682</v>
      </c>
      <c r="D40" s="321"/>
      <c r="E40" s="321"/>
      <c r="F40" s="321"/>
      <c r="G40" s="321"/>
      <c r="H40" s="321"/>
      <c r="I40" s="321"/>
      <c r="J40" s="321"/>
      <c r="K40" s="321"/>
      <c r="L40" s="321"/>
      <c r="M40" s="321"/>
      <c r="N40" s="321"/>
      <c r="O40" s="321"/>
      <c r="P40" s="321"/>
      <c r="Q40" s="321"/>
      <c r="R40" s="321"/>
      <c r="S40" s="321"/>
      <c r="T40" s="321"/>
      <c r="U40" s="321"/>
      <c r="V40" s="321"/>
      <c r="W40" s="321"/>
      <c r="X40" s="321"/>
      <c r="Y40" s="321"/>
      <c r="Z40" s="321"/>
      <c r="AA40" s="321"/>
      <c r="AB40" s="321"/>
      <c r="AC40" s="321"/>
      <c r="AD40" s="321"/>
      <c r="AE40" s="322"/>
      <c r="AF40" s="323">
        <v>0</v>
      </c>
      <c r="AG40" s="323">
        <v>0</v>
      </c>
      <c r="AH40" s="323">
        <v>0</v>
      </c>
      <c r="AI40" s="323">
        <v>0</v>
      </c>
      <c r="AJ40" s="323">
        <v>0</v>
      </c>
      <c r="AK40" s="323">
        <v>0</v>
      </c>
      <c r="AL40" s="323">
        <v>0</v>
      </c>
      <c r="AM40" s="323">
        <v>0</v>
      </c>
      <c r="AN40" s="323">
        <v>0</v>
      </c>
      <c r="AO40" s="323">
        <v>0</v>
      </c>
      <c r="AP40" s="323">
        <v>0</v>
      </c>
      <c r="AQ40" s="323">
        <v>0</v>
      </c>
      <c r="AR40" s="324">
        <f t="shared" si="52"/>
        <v>0</v>
      </c>
      <c r="AS40" s="322"/>
      <c r="AT40" s="323">
        <v>0</v>
      </c>
      <c r="AU40" s="323">
        <v>0</v>
      </c>
      <c r="AV40" s="323">
        <v>0</v>
      </c>
      <c r="AW40" s="323">
        <v>0</v>
      </c>
      <c r="AX40" s="317">
        <v>800</v>
      </c>
      <c r="AY40" s="317">
        <v>800</v>
      </c>
      <c r="AZ40" s="317">
        <v>800</v>
      </c>
      <c r="BA40" s="317">
        <v>1050</v>
      </c>
      <c r="BB40" s="317">
        <v>1100</v>
      </c>
      <c r="BC40" s="317">
        <v>1300</v>
      </c>
      <c r="BD40" s="317">
        <v>1400</v>
      </c>
      <c r="BE40" s="317">
        <v>2000</v>
      </c>
      <c r="BF40" s="323">
        <f t="shared" si="53"/>
        <v>9250</v>
      </c>
      <c r="BG40" s="325" t="e">
        <f t="shared" si="54"/>
        <v>#DIV/0!</v>
      </c>
      <c r="BH40" s="323"/>
      <c r="BI40" s="323"/>
      <c r="BJ40" s="323"/>
      <c r="BK40" s="323"/>
      <c r="BL40" s="317"/>
      <c r="BM40" s="317"/>
      <c r="BN40" s="317"/>
      <c r="BO40" s="317"/>
      <c r="BP40" s="317"/>
      <c r="BQ40" s="317"/>
      <c r="BR40" s="317"/>
      <c r="BS40" s="317"/>
      <c r="BT40" s="317"/>
      <c r="BU40" s="325"/>
    </row>
    <row r="41" spans="1:73" hidden="1">
      <c r="A41" s="95"/>
      <c r="B41" s="214" t="s">
        <v>276</v>
      </c>
      <c r="C41" s="215">
        <v>44870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23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8"/>
      <c r="AS41" s="23"/>
      <c r="AT41" s="97"/>
      <c r="AU41" s="97"/>
      <c r="AV41" s="97"/>
      <c r="AW41" s="97"/>
      <c r="AX41" s="91"/>
      <c r="AY41" s="91"/>
      <c r="AZ41" s="91"/>
      <c r="BA41" s="91"/>
      <c r="BB41" s="91"/>
      <c r="BC41" s="91"/>
      <c r="BD41" s="91">
        <v>600</v>
      </c>
      <c r="BE41" s="91">
        <v>700</v>
      </c>
      <c r="BF41" s="323">
        <f t="shared" si="53"/>
        <v>1300</v>
      </c>
      <c r="BG41" s="93"/>
      <c r="BH41" s="97"/>
      <c r="BI41" s="97"/>
      <c r="BJ41" s="97"/>
      <c r="BK41" s="97"/>
      <c r="BL41" s="91"/>
      <c r="BM41" s="91"/>
      <c r="BN41" s="91"/>
      <c r="BO41" s="91"/>
      <c r="BP41" s="91"/>
      <c r="BQ41" s="91"/>
      <c r="BR41" s="91"/>
      <c r="BS41" s="91"/>
      <c r="BT41" s="91"/>
      <c r="BU41" s="177"/>
    </row>
    <row r="42" spans="1:73" hidden="1">
      <c r="A42" s="95"/>
      <c r="B42" s="216" t="s">
        <v>71</v>
      </c>
      <c r="C42" s="211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ref="P42:P43" si="58">SUM(D42:O42)</f>
        <v>0</v>
      </c>
      <c r="Q42" s="90"/>
      <c r="R42" s="313">
        <v>350</v>
      </c>
      <c r="S42" s="91">
        <v>350</v>
      </c>
      <c r="T42" s="91">
        <v>450</v>
      </c>
      <c r="U42" s="91">
        <v>800</v>
      </c>
      <c r="V42" s="91">
        <v>531</v>
      </c>
      <c r="W42" s="91">
        <v>750</v>
      </c>
      <c r="X42" s="91">
        <v>650</v>
      </c>
      <c r="Y42" s="91">
        <v>750</v>
      </c>
      <c r="Z42" s="91">
        <v>900</v>
      </c>
      <c r="AA42" s="91">
        <v>1000</v>
      </c>
      <c r="AB42" s="91">
        <v>1200</v>
      </c>
      <c r="AC42" s="91">
        <v>1500</v>
      </c>
      <c r="AD42" s="315">
        <f t="shared" ref="AD42:AD43" si="59">SUM(R42:AC42)</f>
        <v>9231</v>
      </c>
      <c r="AE42" s="23"/>
      <c r="AF42" s="316">
        <v>1500</v>
      </c>
      <c r="AG42" s="91">
        <v>800</v>
      </c>
      <c r="AH42" s="91">
        <v>800</v>
      </c>
      <c r="AI42" s="91">
        <v>1820</v>
      </c>
      <c r="AJ42" s="91">
        <v>1630</v>
      </c>
      <c r="AK42" s="91">
        <v>1360</v>
      </c>
      <c r="AL42" s="91">
        <v>1000</v>
      </c>
      <c r="AM42" s="91">
        <v>1700</v>
      </c>
      <c r="AN42" s="91">
        <v>1700</v>
      </c>
      <c r="AO42" s="91">
        <v>1700</v>
      </c>
      <c r="AP42" s="91">
        <v>1870</v>
      </c>
      <c r="AQ42" s="91">
        <v>2720</v>
      </c>
      <c r="AR42" s="92">
        <f t="shared" ref="AR42:AR43" si="60">SUM(AF42:AQ42)</f>
        <v>18600</v>
      </c>
      <c r="AS42" s="23"/>
      <c r="AT42" s="91">
        <v>2053</v>
      </c>
      <c r="AU42" s="91">
        <v>2053</v>
      </c>
      <c r="AV42" s="91">
        <v>2053</v>
      </c>
      <c r="AW42" s="91">
        <v>2053</v>
      </c>
      <c r="AX42" s="91">
        <v>2807</v>
      </c>
      <c r="AY42" s="91">
        <v>2807</v>
      </c>
      <c r="AZ42" s="91">
        <v>2680</v>
      </c>
      <c r="BA42" s="91">
        <v>2680</v>
      </c>
      <c r="BB42" s="91">
        <v>2807</v>
      </c>
      <c r="BC42" s="91">
        <v>3318</v>
      </c>
      <c r="BD42" s="91">
        <v>5870</v>
      </c>
      <c r="BE42" s="91">
        <v>5104</v>
      </c>
      <c r="BF42" s="91">
        <f t="shared" si="53"/>
        <v>36285</v>
      </c>
      <c r="BG42" s="93">
        <f>BF42/AR42-1</f>
        <v>0.95080645161290334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177"/>
    </row>
    <row r="43" spans="1:73">
      <c r="A43" s="217"/>
      <c r="B43" s="218" t="s">
        <v>277</v>
      </c>
      <c r="C43" s="219"/>
      <c r="D43" s="220">
        <f t="shared" ref="D43:O43" si="61">SUM(D22:D42)</f>
        <v>0</v>
      </c>
      <c r="E43" s="220">
        <f t="shared" si="61"/>
        <v>0</v>
      </c>
      <c r="F43" s="220">
        <f t="shared" si="61"/>
        <v>0</v>
      </c>
      <c r="G43" s="220">
        <f t="shared" si="61"/>
        <v>0</v>
      </c>
      <c r="H43" s="220">
        <f t="shared" si="61"/>
        <v>0</v>
      </c>
      <c r="I43" s="220">
        <f t="shared" si="61"/>
        <v>0</v>
      </c>
      <c r="J43" s="220">
        <f t="shared" si="61"/>
        <v>0</v>
      </c>
      <c r="K43" s="220">
        <f t="shared" si="61"/>
        <v>0</v>
      </c>
      <c r="L43" s="220">
        <f t="shared" si="61"/>
        <v>0</v>
      </c>
      <c r="M43" s="220">
        <f t="shared" si="61"/>
        <v>0</v>
      </c>
      <c r="N43" s="220">
        <f t="shared" si="61"/>
        <v>0</v>
      </c>
      <c r="O43" s="220">
        <f t="shared" si="61"/>
        <v>0</v>
      </c>
      <c r="P43" s="384">
        <f t="shared" si="58"/>
        <v>0</v>
      </c>
      <c r="Q43" s="221"/>
      <c r="R43" s="385">
        <f t="shared" ref="R43:AC43" si="62">SUM(R22:R42)</f>
        <v>20557.543859649122</v>
      </c>
      <c r="S43" s="222">
        <f t="shared" si="62"/>
        <v>20512.543859649122</v>
      </c>
      <c r="T43" s="222">
        <f t="shared" si="62"/>
        <v>13699.771929824561</v>
      </c>
      <c r="U43" s="222">
        <f t="shared" si="62"/>
        <v>912.5</v>
      </c>
      <c r="V43" s="222">
        <f t="shared" si="62"/>
        <v>16851</v>
      </c>
      <c r="W43" s="222">
        <f t="shared" si="62"/>
        <v>13700</v>
      </c>
      <c r="X43" s="222">
        <f t="shared" si="62"/>
        <v>26050</v>
      </c>
      <c r="Y43" s="222">
        <f t="shared" si="62"/>
        <v>27750</v>
      </c>
      <c r="Z43" s="222">
        <f t="shared" si="62"/>
        <v>31100</v>
      </c>
      <c r="AA43" s="222">
        <f t="shared" si="62"/>
        <v>32100</v>
      </c>
      <c r="AB43" s="222">
        <f t="shared" si="62"/>
        <v>37500</v>
      </c>
      <c r="AC43" s="222">
        <f t="shared" si="62"/>
        <v>45300</v>
      </c>
      <c r="AD43" s="386">
        <f t="shared" si="59"/>
        <v>286033.35964912281</v>
      </c>
      <c r="AE43" s="113"/>
      <c r="AF43" s="222">
        <f t="shared" ref="AF43:AQ43" si="63">SUM(AF22:AF42)</f>
        <v>38500</v>
      </c>
      <c r="AG43" s="222">
        <f t="shared" si="63"/>
        <v>22400</v>
      </c>
      <c r="AH43" s="222">
        <f t="shared" si="63"/>
        <v>10671</v>
      </c>
      <c r="AI43" s="222">
        <f t="shared" si="63"/>
        <v>16097</v>
      </c>
      <c r="AJ43" s="222">
        <f t="shared" si="63"/>
        <v>30278</v>
      </c>
      <c r="AK43" s="222">
        <f t="shared" si="63"/>
        <v>28560</v>
      </c>
      <c r="AL43" s="222">
        <f t="shared" si="63"/>
        <v>41700</v>
      </c>
      <c r="AM43" s="222">
        <f t="shared" si="63"/>
        <v>38700</v>
      </c>
      <c r="AN43" s="222">
        <f t="shared" si="63"/>
        <v>37300</v>
      </c>
      <c r="AO43" s="222">
        <f t="shared" si="63"/>
        <v>37400</v>
      </c>
      <c r="AP43" s="222">
        <f t="shared" si="63"/>
        <v>40640</v>
      </c>
      <c r="AQ43" s="222">
        <f t="shared" si="63"/>
        <v>54440</v>
      </c>
      <c r="AR43" s="222">
        <f t="shared" si="60"/>
        <v>396686</v>
      </c>
      <c r="AS43" s="113"/>
      <c r="AT43" s="222">
        <f t="shared" ref="AT43:BE43" si="64">SUM(AT22:AT42)</f>
        <v>36153</v>
      </c>
      <c r="AU43" s="222">
        <f t="shared" si="64"/>
        <v>35289</v>
      </c>
      <c r="AV43" s="222">
        <f t="shared" si="64"/>
        <v>35872</v>
      </c>
      <c r="AW43" s="222">
        <f t="shared" si="64"/>
        <v>38031</v>
      </c>
      <c r="AX43" s="222">
        <f t="shared" si="64"/>
        <v>33566</v>
      </c>
      <c r="AY43" s="222">
        <f t="shared" si="64"/>
        <v>33566</v>
      </c>
      <c r="AZ43" s="222">
        <f t="shared" si="64"/>
        <v>30896</v>
      </c>
      <c r="BA43" s="222">
        <f t="shared" si="64"/>
        <v>31146</v>
      </c>
      <c r="BB43" s="222">
        <f t="shared" si="64"/>
        <v>32630</v>
      </c>
      <c r="BC43" s="222">
        <f t="shared" si="64"/>
        <v>38562</v>
      </c>
      <c r="BD43" s="222">
        <f t="shared" si="64"/>
        <v>41345</v>
      </c>
      <c r="BE43" s="222">
        <f t="shared" si="64"/>
        <v>49263</v>
      </c>
      <c r="BF43" s="222">
        <f t="shared" si="53"/>
        <v>436319</v>
      </c>
      <c r="BG43" s="183">
        <f>BF43-AR43</f>
        <v>39633</v>
      </c>
      <c r="BH43" s="222">
        <v>33315</v>
      </c>
      <c r="BI43" s="222">
        <v>29268</v>
      </c>
      <c r="BJ43" s="222">
        <v>29930</v>
      </c>
      <c r="BK43" s="222">
        <v>30255</v>
      </c>
      <c r="BL43" s="222">
        <v>36970</v>
      </c>
      <c r="BM43" s="222">
        <v>39172</v>
      </c>
      <c r="BN43" s="222">
        <v>45812</v>
      </c>
      <c r="BO43" s="222">
        <v>37831</v>
      </c>
      <c r="BP43" s="222">
        <v>37530</v>
      </c>
      <c r="BQ43" s="222">
        <v>40114</v>
      </c>
      <c r="BR43" s="222">
        <v>44245</v>
      </c>
      <c r="BS43" s="222">
        <v>59028</v>
      </c>
      <c r="BT43" s="222">
        <f>SUM(BH43:BS43)</f>
        <v>463470</v>
      </c>
      <c r="BU43" s="184">
        <f>BT43/BF52-1</f>
        <v>0.15952725253060995</v>
      </c>
    </row>
    <row r="44" spans="1:73">
      <c r="A44" s="223"/>
      <c r="B44" s="224" t="s">
        <v>278</v>
      </c>
      <c r="C44" s="225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39"/>
      <c r="Q44" s="39"/>
      <c r="R44" s="227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9"/>
      <c r="AE44" s="173"/>
      <c r="AF44" s="228"/>
      <c r="AG44" s="228"/>
      <c r="AH44" s="228"/>
      <c r="AI44" s="228"/>
      <c r="AJ44" s="228"/>
      <c r="AK44" s="228"/>
      <c r="AL44" s="230"/>
      <c r="AM44" s="228"/>
      <c r="AN44" s="228"/>
      <c r="AO44" s="228"/>
      <c r="AP44" s="230"/>
      <c r="AQ44" s="230"/>
      <c r="AR44" s="228"/>
      <c r="AS44" s="173"/>
      <c r="AT44" s="228"/>
      <c r="AU44" s="228"/>
      <c r="AV44" s="228"/>
      <c r="AW44" s="228"/>
      <c r="AX44" s="228"/>
      <c r="AY44" s="228">
        <v>15000</v>
      </c>
      <c r="AZ44" s="228">
        <v>15000</v>
      </c>
      <c r="BA44" s="228">
        <f t="shared" ref="BA44:BB44" si="65">BA43*70%</f>
        <v>21802.199999999997</v>
      </c>
      <c r="BB44" s="228">
        <f t="shared" si="65"/>
        <v>22841</v>
      </c>
      <c r="BC44" s="228">
        <v>35000</v>
      </c>
      <c r="BD44" s="228">
        <v>35000</v>
      </c>
      <c r="BE44" s="228">
        <v>42000</v>
      </c>
      <c r="BF44" s="228">
        <f t="shared" si="53"/>
        <v>186643.20000000001</v>
      </c>
      <c r="BG44" s="174"/>
      <c r="BH44" s="228"/>
      <c r="BI44" s="228"/>
      <c r="BJ44" s="228"/>
      <c r="BK44" s="228"/>
      <c r="BL44" s="44"/>
      <c r="BM44" s="44"/>
      <c r="BN44" s="44"/>
      <c r="BO44" s="44"/>
      <c r="BP44" s="44"/>
      <c r="BQ44" s="44"/>
      <c r="BR44" s="44"/>
      <c r="BS44" s="44"/>
      <c r="BT44" s="44"/>
      <c r="BU44" s="173"/>
    </row>
    <row r="45" spans="1:73">
      <c r="A45" s="1100" t="s">
        <v>74</v>
      </c>
      <c r="B45" s="1126"/>
      <c r="C45" s="167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9"/>
      <c r="Q45" s="170"/>
      <c r="R45" s="171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358"/>
      <c r="AE45" s="173"/>
      <c r="AF45" s="172"/>
      <c r="AG45" s="172"/>
      <c r="AH45" s="172"/>
      <c r="AI45" s="172"/>
      <c r="AJ45" s="172"/>
      <c r="AK45" s="172"/>
      <c r="AL45" s="231">
        <f>AL43/AVERAGE($AF$43:$AQ$43)</f>
        <v>1.2614511225503295</v>
      </c>
      <c r="AM45" s="172"/>
      <c r="AN45" s="172"/>
      <c r="AO45" s="172"/>
      <c r="AP45" s="231">
        <f t="shared" ref="AP45:AQ45" si="66">AP43/AVERAGE($AF$43:$AQ$43)</f>
        <v>1.2293854585238704</v>
      </c>
      <c r="AQ45" s="231">
        <f t="shared" si="66"/>
        <v>1.6468441033966412</v>
      </c>
      <c r="AR45" s="172"/>
      <c r="AS45" s="173"/>
      <c r="AT45" s="172">
        <v>109190</v>
      </c>
      <c r="AU45" s="172">
        <v>153667</v>
      </c>
      <c r="AV45" s="172">
        <v>178778</v>
      </c>
      <c r="AW45" s="172">
        <v>151970</v>
      </c>
      <c r="AX45" s="172">
        <v>142416</v>
      </c>
      <c r="AY45" s="172">
        <v>177335</v>
      </c>
      <c r="AZ45" s="172">
        <v>152230</v>
      </c>
      <c r="BA45" s="172">
        <v>245527</v>
      </c>
      <c r="BB45" s="172">
        <f>5261504/27</f>
        <v>194870.51851851851</v>
      </c>
      <c r="BC45" s="172">
        <f>5784000/27</f>
        <v>214222.22222222222</v>
      </c>
      <c r="BD45" s="172">
        <f>3224000/27</f>
        <v>119407.4074074074</v>
      </c>
      <c r="BE45" s="172">
        <f>909800/27</f>
        <v>33696.296296296299</v>
      </c>
      <c r="BF45" s="172">
        <f t="shared" si="53"/>
        <v>1873309.4444444445</v>
      </c>
      <c r="BG45" s="174"/>
      <c r="BH45" s="172"/>
      <c r="BI45" s="172"/>
      <c r="BJ45" s="172"/>
      <c r="BK45" s="172"/>
      <c r="BL45" s="175"/>
      <c r="BM45" s="175"/>
      <c r="BN45" s="175"/>
      <c r="BO45" s="175"/>
      <c r="BP45" s="175"/>
      <c r="BQ45" s="175"/>
      <c r="BR45" s="175"/>
      <c r="BS45" s="175"/>
      <c r="BT45" s="175"/>
      <c r="BU45" s="173"/>
    </row>
    <row r="46" spans="1:73">
      <c r="A46" s="110" t="s">
        <v>75</v>
      </c>
      <c r="B46" s="110"/>
      <c r="C46" s="147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343"/>
      <c r="Q46" s="84"/>
      <c r="R46" s="34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344"/>
      <c r="AE46" s="113"/>
      <c r="AF46" s="345">
        <v>133791</v>
      </c>
      <c r="AG46" s="112">
        <v>166459</v>
      </c>
      <c r="AH46" s="112">
        <v>149450</v>
      </c>
      <c r="AI46" s="112">
        <v>151073</v>
      </c>
      <c r="AJ46" s="112">
        <v>192944</v>
      </c>
      <c r="AK46" s="112">
        <v>166139</v>
      </c>
      <c r="AL46" s="112">
        <v>151874</v>
      </c>
      <c r="AM46" s="112">
        <v>157771</v>
      </c>
      <c r="AN46" s="112">
        <v>200312</v>
      </c>
      <c r="AO46" s="112">
        <v>202691</v>
      </c>
      <c r="AP46" s="112">
        <v>207768</v>
      </c>
      <c r="AQ46" s="112">
        <v>113286</v>
      </c>
      <c r="AR46" s="112">
        <f>SUM(AF46:AK46)</f>
        <v>959856</v>
      </c>
      <c r="AS46" s="23"/>
      <c r="AT46" s="112">
        <v>89680</v>
      </c>
      <c r="AU46" s="112">
        <v>128308</v>
      </c>
      <c r="AV46" s="112">
        <v>144871</v>
      </c>
      <c r="AW46" s="114">
        <v>161772</v>
      </c>
      <c r="AX46" s="114">
        <v>144516</v>
      </c>
      <c r="AY46" s="114">
        <v>103667</v>
      </c>
      <c r="AZ46" s="114">
        <v>141023</v>
      </c>
      <c r="BA46" s="114">
        <v>172093</v>
      </c>
      <c r="BB46" s="114">
        <f>166606+10000</f>
        <v>176606</v>
      </c>
      <c r="BC46" s="114">
        <v>181091</v>
      </c>
      <c r="BD46" s="114">
        <v>169802</v>
      </c>
      <c r="BE46" s="114">
        <v>120406</v>
      </c>
      <c r="BF46" s="114">
        <f t="shared" si="53"/>
        <v>1733835</v>
      </c>
      <c r="BG46" s="27">
        <f>BG43/AR43</f>
        <v>9.9910256474894502E-2</v>
      </c>
      <c r="BH46" s="112"/>
      <c r="BI46" s="112"/>
      <c r="BJ46" s="112"/>
      <c r="BK46" s="114"/>
      <c r="BL46" s="114"/>
      <c r="BM46" s="114"/>
      <c r="BN46" s="114"/>
      <c r="BO46" s="114"/>
      <c r="BP46" s="114"/>
      <c r="BQ46" s="114"/>
      <c r="BR46" s="114"/>
      <c r="BS46" s="114"/>
      <c r="BT46" s="114"/>
      <c r="BU46" s="23"/>
    </row>
    <row r="47" spans="1:73" ht="15.75" customHeight="1">
      <c r="A47" s="232"/>
      <c r="B47" s="233" t="s">
        <v>76</v>
      </c>
      <c r="C47" s="387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388"/>
      <c r="Q47" s="235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90"/>
      <c r="AE47" s="23"/>
      <c r="AF47" s="389">
        <f t="shared" ref="AF47:AQ47" si="67">AF46-AF15</f>
        <v>133789.61233193052</v>
      </c>
      <c r="AG47" s="389">
        <f t="shared" si="67"/>
        <v>166455.18212811041</v>
      </c>
      <c r="AH47" s="389">
        <f t="shared" si="67"/>
        <v>149445.6750486806</v>
      </c>
      <c r="AI47" s="389">
        <f t="shared" si="67"/>
        <v>151069.89671180834</v>
      </c>
      <c r="AJ47" s="389">
        <f t="shared" si="67"/>
        <v>192941.30225498116</v>
      </c>
      <c r="AK47" s="389">
        <f t="shared" si="67"/>
        <v>166135.93659001941</v>
      </c>
      <c r="AL47" s="389">
        <f t="shared" si="67"/>
        <v>151872.02367906639</v>
      </c>
      <c r="AM47" s="389">
        <f t="shared" si="67"/>
        <v>157769.11460684196</v>
      </c>
      <c r="AN47" s="389">
        <f t="shared" si="67"/>
        <v>200310.23982805785</v>
      </c>
      <c r="AO47" s="389">
        <f t="shared" si="67"/>
        <v>202687.95708177862</v>
      </c>
      <c r="AP47" s="389">
        <f t="shared" si="67"/>
        <v>207764.67332379395</v>
      </c>
      <c r="AQ47" s="389">
        <f t="shared" si="67"/>
        <v>113283.89842503319</v>
      </c>
      <c r="AR47" s="236">
        <f t="shared" ref="AR47:AR55" si="68">SUM(AF47:AQ47)</f>
        <v>1993525.5120101024</v>
      </c>
      <c r="AS47" s="23"/>
      <c r="AT47" s="389">
        <f t="shared" ref="AT47:BE47" si="69">AT46-AT45</f>
        <v>-19510</v>
      </c>
      <c r="AU47" s="389">
        <f t="shared" si="69"/>
        <v>-25359</v>
      </c>
      <c r="AV47" s="389">
        <f t="shared" si="69"/>
        <v>-33907</v>
      </c>
      <c r="AW47" s="389">
        <f t="shared" si="69"/>
        <v>9802</v>
      </c>
      <c r="AX47" s="389">
        <f t="shared" si="69"/>
        <v>2100</v>
      </c>
      <c r="AY47" s="389">
        <f t="shared" si="69"/>
        <v>-73668</v>
      </c>
      <c r="AZ47" s="389">
        <f t="shared" si="69"/>
        <v>-11207</v>
      </c>
      <c r="BA47" s="389">
        <f t="shared" si="69"/>
        <v>-73434</v>
      </c>
      <c r="BB47" s="389">
        <f t="shared" si="69"/>
        <v>-18264.518518518511</v>
      </c>
      <c r="BC47" s="389">
        <f t="shared" si="69"/>
        <v>-33131.222222222219</v>
      </c>
      <c r="BD47" s="389">
        <f t="shared" si="69"/>
        <v>50394.592592592599</v>
      </c>
      <c r="BE47" s="389">
        <f t="shared" si="69"/>
        <v>86709.703703703708</v>
      </c>
      <c r="BF47" s="237">
        <f t="shared" si="53"/>
        <v>-139474.44444444444</v>
      </c>
      <c r="BG47" s="27"/>
      <c r="BH47" s="389"/>
      <c r="BI47" s="389"/>
      <c r="BJ47" s="389"/>
      <c r="BK47" s="389"/>
      <c r="BL47" s="237"/>
      <c r="BM47" s="237"/>
      <c r="BN47" s="237"/>
      <c r="BO47" s="237"/>
      <c r="BP47" s="237"/>
      <c r="BQ47" s="237"/>
      <c r="BR47" s="237"/>
      <c r="BS47" s="237"/>
      <c r="BT47" s="237"/>
      <c r="BU47" s="23"/>
    </row>
    <row r="48" spans="1:73" ht="15.75" customHeight="1">
      <c r="A48" s="94">
        <v>5</v>
      </c>
      <c r="B48" s="210" t="s">
        <v>77</v>
      </c>
      <c r="C48" s="335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>
        <v>0</v>
      </c>
      <c r="P48" s="314">
        <f>SUM(D48:O48)</f>
        <v>0</v>
      </c>
      <c r="Q48" s="90"/>
      <c r="R48" s="313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315">
        <f>SUM(R48:AC48)</f>
        <v>0</v>
      </c>
      <c r="AE48" s="23"/>
      <c r="AF48" s="316">
        <v>0</v>
      </c>
      <c r="AG48" s="91">
        <v>0</v>
      </c>
      <c r="AH48" s="91">
        <v>0</v>
      </c>
      <c r="AI48" s="91">
        <v>0</v>
      </c>
      <c r="AJ48" s="91">
        <v>0</v>
      </c>
      <c r="AK48" s="91">
        <v>0</v>
      </c>
      <c r="AL48" s="91">
        <v>0</v>
      </c>
      <c r="AM48" s="91">
        <v>0</v>
      </c>
      <c r="AN48" s="91">
        <v>0</v>
      </c>
      <c r="AO48" s="91">
        <v>0</v>
      </c>
      <c r="AP48" s="91"/>
      <c r="AQ48" s="91">
        <v>8938</v>
      </c>
      <c r="AR48" s="92">
        <f t="shared" si="68"/>
        <v>8938</v>
      </c>
      <c r="AS48" s="23"/>
      <c r="AT48" s="91">
        <v>106642</v>
      </c>
      <c r="AU48" s="91">
        <v>90699</v>
      </c>
      <c r="AV48" s="91">
        <v>89681</v>
      </c>
      <c r="AW48" s="91">
        <v>58790</v>
      </c>
      <c r="AX48" s="91">
        <v>35520</v>
      </c>
      <c r="AY48" s="91">
        <v>61551</v>
      </c>
      <c r="AZ48" s="91">
        <v>71511</v>
      </c>
      <c r="BA48" s="91">
        <v>63617</v>
      </c>
      <c r="BB48" s="91">
        <v>66748</v>
      </c>
      <c r="BC48" s="91">
        <v>75532</v>
      </c>
      <c r="BD48" s="91">
        <v>37786</v>
      </c>
      <c r="BE48" s="91">
        <v>4503</v>
      </c>
      <c r="BF48" s="91">
        <f t="shared" si="53"/>
        <v>762580</v>
      </c>
      <c r="BG48" s="27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23"/>
    </row>
    <row r="49" spans="1:73">
      <c r="A49" s="110" t="s">
        <v>78</v>
      </c>
      <c r="B49" s="110"/>
      <c r="C49" s="147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343"/>
      <c r="Q49" s="84"/>
      <c r="R49" s="34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344"/>
      <c r="AE49" s="113"/>
      <c r="AF49" s="345">
        <f t="shared" ref="AF49:AQ49" si="70">AF50+AF52</f>
        <v>118364</v>
      </c>
      <c r="AG49" s="345">
        <f t="shared" si="70"/>
        <v>173742</v>
      </c>
      <c r="AH49" s="345">
        <f t="shared" si="70"/>
        <v>73470</v>
      </c>
      <c r="AI49" s="345">
        <f t="shared" si="70"/>
        <v>87377</v>
      </c>
      <c r="AJ49" s="345">
        <f t="shared" si="70"/>
        <v>119657</v>
      </c>
      <c r="AK49" s="345">
        <f t="shared" si="70"/>
        <v>154747</v>
      </c>
      <c r="AL49" s="345">
        <f t="shared" si="70"/>
        <v>138073</v>
      </c>
      <c r="AM49" s="345">
        <f t="shared" si="70"/>
        <v>180773</v>
      </c>
      <c r="AN49" s="345">
        <f t="shared" si="70"/>
        <v>194598</v>
      </c>
      <c r="AO49" s="345">
        <f t="shared" si="70"/>
        <v>242931</v>
      </c>
      <c r="AP49" s="345">
        <f t="shared" si="70"/>
        <v>107346</v>
      </c>
      <c r="AQ49" s="345">
        <f t="shared" si="70"/>
        <v>87384</v>
      </c>
      <c r="AR49" s="112">
        <f t="shared" si="68"/>
        <v>1678462</v>
      </c>
      <c r="AS49" s="23"/>
      <c r="AT49" s="345">
        <f t="shared" ref="AT49:BE49" si="71">AT50+AT52</f>
        <v>155346</v>
      </c>
      <c r="AU49" s="345">
        <f t="shared" si="71"/>
        <v>123370</v>
      </c>
      <c r="AV49" s="345">
        <f t="shared" si="71"/>
        <v>144065</v>
      </c>
      <c r="AW49" s="345">
        <f t="shared" si="71"/>
        <v>127865</v>
      </c>
      <c r="AX49" s="345">
        <f t="shared" si="71"/>
        <v>123461</v>
      </c>
      <c r="AY49" s="345">
        <f t="shared" si="71"/>
        <v>121196</v>
      </c>
      <c r="AZ49" s="345">
        <f t="shared" si="71"/>
        <v>168029</v>
      </c>
      <c r="BA49" s="345">
        <f t="shared" si="71"/>
        <v>164268</v>
      </c>
      <c r="BB49" s="345">
        <f t="shared" si="71"/>
        <v>185112</v>
      </c>
      <c r="BC49" s="345">
        <f t="shared" si="71"/>
        <v>147235</v>
      </c>
      <c r="BD49" s="345">
        <f t="shared" si="71"/>
        <v>135608</v>
      </c>
      <c r="BE49" s="345">
        <f t="shared" si="71"/>
        <v>90194</v>
      </c>
      <c r="BF49" s="114">
        <f t="shared" si="53"/>
        <v>1685749</v>
      </c>
      <c r="BG49" s="93">
        <f t="shared" ref="BG49:BG50" si="72">BF49/AR49-1</f>
        <v>4.3414745165515356E-3</v>
      </c>
      <c r="BH49" s="345"/>
      <c r="BI49" s="345"/>
      <c r="BJ49" s="345"/>
      <c r="BK49" s="345"/>
      <c r="BL49" s="112"/>
      <c r="BM49" s="112"/>
      <c r="BN49" s="112"/>
      <c r="BO49" s="112"/>
      <c r="BP49" s="112"/>
      <c r="BQ49" s="112"/>
      <c r="BR49" s="112"/>
      <c r="BS49" s="112"/>
      <c r="BT49" s="112"/>
      <c r="BU49" s="113"/>
    </row>
    <row r="50" spans="1:73" ht="15.75" customHeight="1">
      <c r="A50" s="210"/>
      <c r="B50" s="210" t="s">
        <v>79</v>
      </c>
      <c r="C50" s="316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92193</v>
      </c>
      <c r="AG50" s="91">
        <v>152006</v>
      </c>
      <c r="AH50" s="91">
        <v>62734</v>
      </c>
      <c r="AI50" s="91">
        <v>71526</v>
      </c>
      <c r="AJ50" s="91">
        <v>89409</v>
      </c>
      <c r="AK50" s="91">
        <v>120675</v>
      </c>
      <c r="AL50" s="91">
        <v>100592</v>
      </c>
      <c r="AM50" s="91">
        <v>148128</v>
      </c>
      <c r="AN50" s="91">
        <v>164346</v>
      </c>
      <c r="AO50" s="91">
        <v>203437</v>
      </c>
      <c r="AP50" s="91">
        <v>64957</v>
      </c>
      <c r="AQ50" s="91">
        <v>31837</v>
      </c>
      <c r="AR50" s="92">
        <f t="shared" si="68"/>
        <v>1301840</v>
      </c>
      <c r="AS50" s="23"/>
      <c r="AT50" s="91">
        <v>125048</v>
      </c>
      <c r="AU50" s="91">
        <v>96006</v>
      </c>
      <c r="AV50" s="91">
        <v>111470</v>
      </c>
      <c r="AW50" s="91">
        <v>99222</v>
      </c>
      <c r="AX50" s="91">
        <v>91253</v>
      </c>
      <c r="AY50" s="91">
        <v>90595</v>
      </c>
      <c r="AZ50" s="91">
        <v>129147</v>
      </c>
      <c r="BA50" s="91">
        <v>133525</v>
      </c>
      <c r="BB50" s="91">
        <v>159291</v>
      </c>
      <c r="BC50" s="91">
        <v>115573</v>
      </c>
      <c r="BD50" s="91">
        <v>98386</v>
      </c>
      <c r="BE50" s="91">
        <v>36527</v>
      </c>
      <c r="BF50" s="91">
        <f t="shared" si="53"/>
        <v>1286043</v>
      </c>
      <c r="BG50" s="93">
        <f t="shared" si="72"/>
        <v>-1.2134363669882631E-2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23"/>
    </row>
    <row r="51" spans="1:73" ht="15.75" customHeight="1">
      <c r="A51" s="232"/>
      <c r="B51" s="233" t="s">
        <v>279</v>
      </c>
      <c r="C51" s="387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388"/>
      <c r="Q51" s="235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90"/>
      <c r="AE51" s="23"/>
      <c r="AF51" s="389">
        <f t="shared" ref="AF51:AQ51" si="73">AF50-AF20</f>
        <v>2047</v>
      </c>
      <c r="AG51" s="389">
        <f t="shared" si="73"/>
        <v>-3571</v>
      </c>
      <c r="AH51" s="389">
        <f t="shared" si="73"/>
        <v>-219</v>
      </c>
      <c r="AI51" s="389">
        <f t="shared" si="73"/>
        <v>-1735</v>
      </c>
      <c r="AJ51" s="389">
        <f t="shared" si="73"/>
        <v>-2447</v>
      </c>
      <c r="AK51" s="389">
        <f t="shared" si="73"/>
        <v>675</v>
      </c>
      <c r="AL51" s="389">
        <f t="shared" si="73"/>
        <v>-9703</v>
      </c>
      <c r="AM51" s="389">
        <f t="shared" si="73"/>
        <v>-52075</v>
      </c>
      <c r="AN51" s="389">
        <f t="shared" si="73"/>
        <v>-59487.333333333343</v>
      </c>
      <c r="AO51" s="389">
        <f t="shared" si="73"/>
        <v>-15063</v>
      </c>
      <c r="AP51" s="389">
        <f t="shared" si="73"/>
        <v>-23043</v>
      </c>
      <c r="AQ51" s="389">
        <f t="shared" si="73"/>
        <v>-11563</v>
      </c>
      <c r="AR51" s="236">
        <f t="shared" si="68"/>
        <v>-176184.33333333334</v>
      </c>
      <c r="AS51" s="23"/>
      <c r="AT51" s="389">
        <f t="shared" ref="AT51:BE51" si="74">AT50-AT20</f>
        <v>8451.75</v>
      </c>
      <c r="AU51" s="389">
        <f t="shared" si="74"/>
        <v>-37227.103448275855</v>
      </c>
      <c r="AV51" s="389">
        <f t="shared" si="74"/>
        <v>-6779.1379310344782</v>
      </c>
      <c r="AW51" s="389">
        <f t="shared" si="74"/>
        <v>-22342.137931034478</v>
      </c>
      <c r="AX51" s="389">
        <f t="shared" si="74"/>
        <v>4719.0344827586232</v>
      </c>
      <c r="AY51" s="389">
        <f t="shared" si="74"/>
        <v>-14182.777777777781</v>
      </c>
      <c r="AZ51" s="389">
        <f t="shared" si="74"/>
        <v>-6630.777777777781</v>
      </c>
      <c r="BA51" s="389">
        <f t="shared" si="74"/>
        <v>-77771.296296296292</v>
      </c>
      <c r="BB51" s="389">
        <f t="shared" si="74"/>
        <v>-51486.777777777781</v>
      </c>
      <c r="BC51" s="389">
        <f t="shared" si="74"/>
        <v>-99233.290755657828</v>
      </c>
      <c r="BD51" s="389">
        <f t="shared" si="74"/>
        <v>5175.413118527038</v>
      </c>
      <c r="BE51" s="389">
        <f t="shared" si="74"/>
        <v>5840.3870349060235</v>
      </c>
      <c r="BF51" s="237">
        <f t="shared" si="53"/>
        <v>-291466.71505944064</v>
      </c>
      <c r="BG51" s="27"/>
      <c r="BH51" s="389"/>
      <c r="BI51" s="389"/>
      <c r="BJ51" s="389"/>
      <c r="BK51" s="389"/>
      <c r="BL51" s="237"/>
      <c r="BM51" s="237"/>
      <c r="BN51" s="237"/>
      <c r="BO51" s="237"/>
      <c r="BP51" s="237"/>
      <c r="BQ51" s="237"/>
      <c r="BR51" s="237"/>
      <c r="BS51" s="237"/>
      <c r="BT51" s="237"/>
      <c r="BU51" s="23"/>
    </row>
    <row r="52" spans="1:73" ht="15.75" customHeight="1">
      <c r="A52" s="94"/>
      <c r="B52" s="94" t="s">
        <v>81</v>
      </c>
      <c r="C52" s="335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/>
      <c r="Q52" s="90"/>
      <c r="R52" s="316"/>
      <c r="S52" s="316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5"/>
      <c r="AE52" s="23"/>
      <c r="AF52" s="316">
        <v>26171</v>
      </c>
      <c r="AG52" s="316">
        <v>21736</v>
      </c>
      <c r="AH52" s="316">
        <v>10736</v>
      </c>
      <c r="AI52" s="316">
        <v>15851</v>
      </c>
      <c r="AJ52" s="316">
        <v>30248</v>
      </c>
      <c r="AK52" s="316">
        <v>34072</v>
      </c>
      <c r="AL52" s="316">
        <v>37481</v>
      </c>
      <c r="AM52" s="91">
        <v>32645</v>
      </c>
      <c r="AN52" s="91">
        <v>30252</v>
      </c>
      <c r="AO52" s="91">
        <v>39494</v>
      </c>
      <c r="AP52" s="91">
        <v>42389</v>
      </c>
      <c r="AQ52" s="91">
        <v>55547</v>
      </c>
      <c r="AR52" s="92">
        <f t="shared" si="68"/>
        <v>376622</v>
      </c>
      <c r="AS52" s="23"/>
      <c r="AT52" s="91">
        <v>30298</v>
      </c>
      <c r="AU52" s="91">
        <v>27364</v>
      </c>
      <c r="AV52" s="91">
        <v>32595</v>
      </c>
      <c r="AW52" s="91">
        <v>28643</v>
      </c>
      <c r="AX52" s="91">
        <v>32208</v>
      </c>
      <c r="AY52" s="91">
        <v>30601</v>
      </c>
      <c r="AZ52" s="91">
        <v>38882</v>
      </c>
      <c r="BA52" s="91">
        <v>30743</v>
      </c>
      <c r="BB52" s="91">
        <f>24621+1200</f>
        <v>25821</v>
      </c>
      <c r="BC52" s="91">
        <v>31662</v>
      </c>
      <c r="BD52" s="91">
        <v>37222</v>
      </c>
      <c r="BE52" s="91">
        <v>53667</v>
      </c>
      <c r="BF52" s="91">
        <f t="shared" si="53"/>
        <v>399706</v>
      </c>
      <c r="BG52" s="93">
        <f>BF52/AR52-1</f>
        <v>6.1292224033646425E-2</v>
      </c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23"/>
    </row>
    <row r="53" spans="1:73" ht="15.75" customHeight="1">
      <c r="A53" s="232"/>
      <c r="B53" s="233" t="s">
        <v>280</v>
      </c>
      <c r="C53" s="387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388"/>
      <c r="Q53" s="235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90"/>
      <c r="AE53" s="23"/>
      <c r="AF53" s="389">
        <f t="shared" ref="AF53:AQ53" si="75">AF52-AF43</f>
        <v>-12329</v>
      </c>
      <c r="AG53" s="389">
        <f t="shared" si="75"/>
        <v>-664</v>
      </c>
      <c r="AH53" s="389">
        <f t="shared" si="75"/>
        <v>65</v>
      </c>
      <c r="AI53" s="389">
        <f t="shared" si="75"/>
        <v>-246</v>
      </c>
      <c r="AJ53" s="389">
        <f t="shared" si="75"/>
        <v>-30</v>
      </c>
      <c r="AK53" s="389">
        <f t="shared" si="75"/>
        <v>5512</v>
      </c>
      <c r="AL53" s="389">
        <f t="shared" si="75"/>
        <v>-4219</v>
      </c>
      <c r="AM53" s="389">
        <f t="shared" si="75"/>
        <v>-6055</v>
      </c>
      <c r="AN53" s="389">
        <f t="shared" si="75"/>
        <v>-7048</v>
      </c>
      <c r="AO53" s="389">
        <f t="shared" si="75"/>
        <v>2094</v>
      </c>
      <c r="AP53" s="389">
        <f t="shared" si="75"/>
        <v>1749</v>
      </c>
      <c r="AQ53" s="389">
        <f t="shared" si="75"/>
        <v>1107</v>
      </c>
      <c r="AR53" s="236">
        <f t="shared" si="68"/>
        <v>-20064</v>
      </c>
      <c r="AS53" s="23"/>
      <c r="AT53" s="389">
        <f t="shared" ref="AT53:BE53" si="76">AT52-AT43</f>
        <v>-5855</v>
      </c>
      <c r="AU53" s="389">
        <f t="shared" si="76"/>
        <v>-7925</v>
      </c>
      <c r="AV53" s="389">
        <f t="shared" si="76"/>
        <v>-3277</v>
      </c>
      <c r="AW53" s="389">
        <f t="shared" si="76"/>
        <v>-9388</v>
      </c>
      <c r="AX53" s="389">
        <f t="shared" si="76"/>
        <v>-1358</v>
      </c>
      <c r="AY53" s="389">
        <f t="shared" si="76"/>
        <v>-2965</v>
      </c>
      <c r="AZ53" s="389">
        <f t="shared" si="76"/>
        <v>7986</v>
      </c>
      <c r="BA53" s="389">
        <f t="shared" si="76"/>
        <v>-403</v>
      </c>
      <c r="BB53" s="389">
        <f t="shared" si="76"/>
        <v>-6809</v>
      </c>
      <c r="BC53" s="389">
        <f t="shared" si="76"/>
        <v>-6900</v>
      </c>
      <c r="BD53" s="389">
        <f t="shared" si="76"/>
        <v>-4123</v>
      </c>
      <c r="BE53" s="389">
        <f t="shared" si="76"/>
        <v>4404</v>
      </c>
      <c r="BF53" s="237">
        <f t="shared" si="53"/>
        <v>-36613</v>
      </c>
      <c r="BG53" s="27"/>
      <c r="BH53" s="389"/>
      <c r="BI53" s="389"/>
      <c r="BJ53" s="389"/>
      <c r="BK53" s="389"/>
      <c r="BL53" s="237"/>
      <c r="BM53" s="237"/>
      <c r="BN53" s="237"/>
      <c r="BO53" s="237"/>
      <c r="BP53" s="237"/>
      <c r="BQ53" s="237"/>
      <c r="BR53" s="237"/>
      <c r="BS53" s="237"/>
      <c r="BT53" s="237"/>
      <c r="BU53" s="23"/>
    </row>
    <row r="54" spans="1:73" ht="15.75" customHeight="1">
      <c r="A54" s="232" t="s">
        <v>83</v>
      </c>
      <c r="B54" s="238"/>
      <c r="C54" s="387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388"/>
      <c r="Q54" s="235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90"/>
      <c r="AE54" s="23"/>
      <c r="AF54" s="389">
        <f t="shared" ref="AF54:AQ54" si="77">AF49-AF16</f>
        <v>-10282</v>
      </c>
      <c r="AG54" s="389">
        <f t="shared" si="77"/>
        <v>-4235</v>
      </c>
      <c r="AH54" s="389">
        <f t="shared" si="77"/>
        <v>-154</v>
      </c>
      <c r="AI54" s="389">
        <f t="shared" si="77"/>
        <v>-1981</v>
      </c>
      <c r="AJ54" s="389">
        <f t="shared" si="77"/>
        <v>-2477</v>
      </c>
      <c r="AK54" s="389">
        <f t="shared" si="77"/>
        <v>6187</v>
      </c>
      <c r="AL54" s="389">
        <f t="shared" si="77"/>
        <v>-13922</v>
      </c>
      <c r="AM54" s="389">
        <f t="shared" si="77"/>
        <v>-58130</v>
      </c>
      <c r="AN54" s="389">
        <f t="shared" si="77"/>
        <v>-66535.333333333343</v>
      </c>
      <c r="AO54" s="389">
        <f t="shared" si="77"/>
        <v>-12969</v>
      </c>
      <c r="AP54" s="389">
        <f t="shared" si="77"/>
        <v>-21294</v>
      </c>
      <c r="AQ54" s="389">
        <f t="shared" si="77"/>
        <v>-10456</v>
      </c>
      <c r="AR54" s="236">
        <f t="shared" si="68"/>
        <v>-196248.33333333334</v>
      </c>
      <c r="AS54" s="23"/>
      <c r="AT54" s="389">
        <f t="shared" ref="AT54:BE54" si="78">AT49-AT16</f>
        <v>2596.75</v>
      </c>
      <c r="AU54" s="389">
        <f t="shared" si="78"/>
        <v>-45152.103448275855</v>
      </c>
      <c r="AV54" s="389">
        <f t="shared" si="78"/>
        <v>-10056.137931034493</v>
      </c>
      <c r="AW54" s="389">
        <f t="shared" si="78"/>
        <v>-31730.137931034493</v>
      </c>
      <c r="AX54" s="389">
        <f t="shared" si="78"/>
        <v>3361.0344827586232</v>
      </c>
      <c r="AY54" s="389">
        <f t="shared" si="78"/>
        <v>-17147.777777777781</v>
      </c>
      <c r="AZ54" s="389">
        <f t="shared" si="78"/>
        <v>1355.222222222219</v>
      </c>
      <c r="BA54" s="389">
        <f t="shared" si="78"/>
        <v>-78174.296296296292</v>
      </c>
      <c r="BB54" s="389">
        <f t="shared" si="78"/>
        <v>-58295.777777777781</v>
      </c>
      <c r="BC54" s="389">
        <f t="shared" si="78"/>
        <v>-106133.29075565783</v>
      </c>
      <c r="BD54" s="389">
        <f t="shared" si="78"/>
        <v>1052.413118527038</v>
      </c>
      <c r="BE54" s="389">
        <f t="shared" si="78"/>
        <v>17507.387034906016</v>
      </c>
      <c r="BF54" s="237">
        <f t="shared" si="53"/>
        <v>-320816.71505944064</v>
      </c>
      <c r="BG54" s="27"/>
      <c r="BH54" s="389"/>
      <c r="BI54" s="389"/>
      <c r="BJ54" s="389"/>
      <c r="BK54" s="389"/>
      <c r="BL54" s="237"/>
      <c r="BM54" s="237"/>
      <c r="BN54" s="237"/>
      <c r="BO54" s="237"/>
      <c r="BP54" s="237"/>
      <c r="BQ54" s="237"/>
      <c r="BR54" s="237"/>
      <c r="BS54" s="237"/>
      <c r="BT54" s="237"/>
      <c r="BU54" s="23"/>
    </row>
    <row r="55" spans="1:73" ht="15.75" customHeight="1">
      <c r="A55" s="232" t="s">
        <v>85</v>
      </c>
      <c r="B55" s="238"/>
      <c r="C55" s="387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388"/>
      <c r="Q55" s="235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90"/>
      <c r="AE55" s="23"/>
      <c r="AF55" s="389">
        <f t="shared" ref="AF55:AQ55" si="79">AF50-AF17</f>
        <v>92193</v>
      </c>
      <c r="AG55" s="389">
        <f t="shared" si="79"/>
        <v>152006</v>
      </c>
      <c r="AH55" s="389">
        <f t="shared" si="79"/>
        <v>62734</v>
      </c>
      <c r="AI55" s="389">
        <f t="shared" si="79"/>
        <v>71526</v>
      </c>
      <c r="AJ55" s="389">
        <f t="shared" si="79"/>
        <v>89409</v>
      </c>
      <c r="AK55" s="389">
        <f t="shared" si="79"/>
        <v>120675</v>
      </c>
      <c r="AL55" s="389">
        <f t="shared" si="79"/>
        <v>100592</v>
      </c>
      <c r="AM55" s="389">
        <f t="shared" si="79"/>
        <v>148128</v>
      </c>
      <c r="AN55" s="389">
        <f t="shared" si="79"/>
        <v>164346</v>
      </c>
      <c r="AO55" s="389">
        <f t="shared" si="79"/>
        <v>203437</v>
      </c>
      <c r="AP55" s="389">
        <f t="shared" si="79"/>
        <v>64957</v>
      </c>
      <c r="AQ55" s="389">
        <f t="shared" si="79"/>
        <v>31837</v>
      </c>
      <c r="AR55" s="236">
        <f t="shared" si="68"/>
        <v>1301840</v>
      </c>
      <c r="AS55" s="23"/>
      <c r="AT55" s="391">
        <f t="shared" ref="AT55:BE55" si="80">AT54/AT16</f>
        <v>1.7000083470131603E-2</v>
      </c>
      <c r="AU55" s="391">
        <f t="shared" si="80"/>
        <v>-0.26792985919579565</v>
      </c>
      <c r="AV55" s="391">
        <f t="shared" si="80"/>
        <v>-6.5248272015318062E-2</v>
      </c>
      <c r="AW55" s="391">
        <f t="shared" si="80"/>
        <v>-0.19881644480138216</v>
      </c>
      <c r="AX55" s="391">
        <f t="shared" si="80"/>
        <v>2.798530764170884E-2</v>
      </c>
      <c r="AY55" s="391">
        <f t="shared" si="80"/>
        <v>-0.12395048084722922</v>
      </c>
      <c r="AZ55" s="391">
        <f t="shared" si="80"/>
        <v>8.1309864112464342E-3</v>
      </c>
      <c r="BA55" s="391">
        <f t="shared" si="80"/>
        <v>-0.32244495902957893</v>
      </c>
      <c r="BB55" s="391">
        <f t="shared" si="80"/>
        <v>-0.23949841829212068</v>
      </c>
      <c r="BC55" s="391">
        <f t="shared" si="80"/>
        <v>-0.41888939787658819</v>
      </c>
      <c r="BD55" s="391">
        <f t="shared" si="80"/>
        <v>7.8214003811977375E-3</v>
      </c>
      <c r="BE55" s="391">
        <f t="shared" si="80"/>
        <v>0.24086123043473662</v>
      </c>
      <c r="BF55" s="239">
        <f>AVERAGE(AT55:BE55)</f>
        <v>-0.11124823530991597</v>
      </c>
      <c r="BG55" s="27"/>
      <c r="BH55" s="391"/>
      <c r="BI55" s="391"/>
      <c r="BJ55" s="391"/>
      <c r="BK55" s="391"/>
      <c r="BL55" s="239"/>
      <c r="BM55" s="239"/>
      <c r="BN55" s="239"/>
      <c r="BO55" s="239"/>
      <c r="BP55" s="239"/>
      <c r="BQ55" s="239"/>
      <c r="BR55" s="239"/>
      <c r="BS55" s="239"/>
      <c r="BT55" s="239"/>
      <c r="BU55" s="177"/>
    </row>
    <row r="56" spans="1:73" ht="15.75" customHeight="1">
      <c r="A56" s="1101" t="s">
        <v>86</v>
      </c>
      <c r="B56" s="1127"/>
      <c r="C56" s="24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384"/>
      <c r="Q56" s="221"/>
      <c r="R56" s="385"/>
      <c r="S56" s="222"/>
      <c r="T56" s="222"/>
      <c r="U56" s="222"/>
      <c r="V56" s="222"/>
      <c r="W56" s="222"/>
      <c r="X56" s="222"/>
      <c r="Y56" s="222"/>
      <c r="Z56" s="222"/>
      <c r="AA56" s="222"/>
      <c r="AB56" s="222"/>
      <c r="AC56" s="222"/>
      <c r="AD56" s="222"/>
      <c r="AE56" s="113"/>
      <c r="AF56" s="392"/>
      <c r="AG56" s="222"/>
      <c r="AH56" s="222"/>
      <c r="AI56" s="222"/>
      <c r="AJ56" s="222"/>
      <c r="AK56" s="222"/>
      <c r="AL56" s="222"/>
      <c r="AM56" s="222"/>
      <c r="AN56" s="222"/>
      <c r="AO56" s="222"/>
      <c r="AP56" s="222"/>
      <c r="AQ56" s="222"/>
      <c r="AR56" s="222"/>
      <c r="AS56" s="23"/>
      <c r="AT56" s="222"/>
      <c r="AU56" s="222"/>
      <c r="AV56" s="222"/>
      <c r="AW56" s="222"/>
      <c r="AX56" s="222"/>
      <c r="AY56" s="222"/>
      <c r="AZ56" s="222"/>
      <c r="BA56" s="222"/>
      <c r="BB56" s="222"/>
      <c r="BC56" s="222"/>
      <c r="BD56" s="222"/>
      <c r="BE56" s="222"/>
      <c r="BF56" s="222"/>
      <c r="BG56" s="27"/>
      <c r="BH56" s="222"/>
      <c r="BI56" s="222"/>
      <c r="BJ56" s="222"/>
      <c r="BK56" s="222"/>
      <c r="BL56" s="222"/>
      <c r="BM56" s="222"/>
      <c r="BN56" s="222"/>
      <c r="BO56" s="222"/>
      <c r="BP56" s="222"/>
      <c r="BQ56" s="222"/>
      <c r="BR56" s="222"/>
      <c r="BS56" s="222"/>
      <c r="BT56" s="222"/>
      <c r="BU56" s="113"/>
    </row>
    <row r="57" spans="1:73" ht="15.75" customHeight="1">
      <c r="A57" s="94">
        <v>7</v>
      </c>
      <c r="B57" s="210" t="s">
        <v>90</v>
      </c>
      <c r="C57" s="335"/>
      <c r="D57" s="89">
        <v>98048</v>
      </c>
      <c r="E57" s="89">
        <v>128688</v>
      </c>
      <c r="F57" s="89">
        <v>124704</v>
      </c>
      <c r="G57" s="89">
        <v>157500</v>
      </c>
      <c r="H57" s="89">
        <v>182600</v>
      </c>
      <c r="I57" s="89">
        <v>157700</v>
      </c>
      <c r="J57" s="89">
        <v>181700</v>
      </c>
      <c r="K57" s="89">
        <v>165900</v>
      </c>
      <c r="L57" s="89">
        <v>174300</v>
      </c>
      <c r="M57" s="89">
        <v>215800</v>
      </c>
      <c r="N57" s="89">
        <v>180000</v>
      </c>
      <c r="O57" s="89">
        <v>112500</v>
      </c>
      <c r="P57" s="314">
        <f t="shared" ref="P57:P58" si="81">SUM(D57:O57)</f>
        <v>1879440</v>
      </c>
      <c r="Q57" s="90"/>
      <c r="R57" s="313">
        <v>158400</v>
      </c>
      <c r="S57" s="91">
        <v>161000</v>
      </c>
      <c r="T57" s="91">
        <v>117800</v>
      </c>
      <c r="U57" s="91">
        <v>2000</v>
      </c>
      <c r="V57" s="91">
        <v>53800</v>
      </c>
      <c r="W57" s="91">
        <v>190600</v>
      </c>
      <c r="X57" s="91">
        <v>187900</v>
      </c>
      <c r="Y57" s="91">
        <v>196800</v>
      </c>
      <c r="Z57" s="91">
        <v>192300</v>
      </c>
      <c r="AA57" s="91">
        <v>182300</v>
      </c>
      <c r="AB57" s="91">
        <v>175000</v>
      </c>
      <c r="AC57" s="91">
        <v>134100</v>
      </c>
      <c r="AD57" s="315">
        <f>SUM(R57:AC57)</f>
        <v>1752000</v>
      </c>
      <c r="AE57" s="23"/>
      <c r="AF57" s="316">
        <f t="shared" ref="AF57:AL57" si="82">SUM(AF58,AF60)</f>
        <v>161400</v>
      </c>
      <c r="AG57" s="316">
        <f t="shared" si="82"/>
        <v>166000</v>
      </c>
      <c r="AH57" s="316">
        <f t="shared" si="82"/>
        <v>150471</v>
      </c>
      <c r="AI57" s="316">
        <f t="shared" si="82"/>
        <v>149040</v>
      </c>
      <c r="AJ57" s="316">
        <f t="shared" si="82"/>
        <v>196360</v>
      </c>
      <c r="AK57" s="316">
        <f t="shared" si="82"/>
        <v>163300</v>
      </c>
      <c r="AL57" s="316">
        <f t="shared" si="82"/>
        <v>190000</v>
      </c>
      <c r="AM57" s="316">
        <f t="shared" ref="AM57:AQ57" si="83">SUM(AM58,AM60,AM61)</f>
        <v>167000</v>
      </c>
      <c r="AN57" s="316">
        <f t="shared" si="83"/>
        <v>170500</v>
      </c>
      <c r="AO57" s="316">
        <f t="shared" si="83"/>
        <v>140000</v>
      </c>
      <c r="AP57" s="316">
        <f t="shared" si="83"/>
        <v>130000</v>
      </c>
      <c r="AQ57" s="316">
        <f t="shared" si="83"/>
        <v>100000</v>
      </c>
      <c r="AR57" s="92">
        <f t="shared" ref="AR57:AR58" si="84">SUM(AF57:AQ57)</f>
        <v>1884071</v>
      </c>
      <c r="AS57" s="23"/>
      <c r="AT57" s="316">
        <f t="shared" ref="AT57:BC57" si="85">SUM(AT58,AT60,AT61)</f>
        <v>133000</v>
      </c>
      <c r="AU57" s="316">
        <f t="shared" si="85"/>
        <v>125180</v>
      </c>
      <c r="AV57" s="316">
        <f t="shared" si="85"/>
        <v>117228</v>
      </c>
      <c r="AW57" s="316">
        <f t="shared" si="85"/>
        <v>127500</v>
      </c>
      <c r="AX57" s="316">
        <f t="shared" si="85"/>
        <v>140000</v>
      </c>
      <c r="AY57" s="316">
        <f t="shared" si="85"/>
        <v>158342.99999899999</v>
      </c>
      <c r="AZ57" s="316">
        <f t="shared" si="85"/>
        <v>152409</v>
      </c>
      <c r="BA57" s="316">
        <f t="shared" si="85"/>
        <v>173520</v>
      </c>
      <c r="BB57" s="316">
        <f t="shared" si="85"/>
        <v>165000</v>
      </c>
      <c r="BC57" s="316">
        <f t="shared" si="85"/>
        <v>157500</v>
      </c>
      <c r="BD57" s="316">
        <v>129431</v>
      </c>
      <c r="BE57" s="316">
        <v>61700</v>
      </c>
      <c r="BF57" s="91">
        <f t="shared" ref="BF57:BF58" si="86">SUM(AT57:BE57)</f>
        <v>1640810.999999</v>
      </c>
      <c r="BG57" s="27">
        <f>BF57-AR57</f>
        <v>-243260.00000100001</v>
      </c>
      <c r="BH57" s="339">
        <f t="shared" ref="BH57:BS57" si="87">SUM(BH58,BH60,BH61)</f>
        <v>139760</v>
      </c>
      <c r="BI57" s="339">
        <f t="shared" si="87"/>
        <v>142960</v>
      </c>
      <c r="BJ57" s="339">
        <f t="shared" si="87"/>
        <v>129620</v>
      </c>
      <c r="BK57" s="339">
        <f t="shared" si="87"/>
        <v>122620</v>
      </c>
      <c r="BL57" s="339">
        <f t="shared" si="87"/>
        <v>149560</v>
      </c>
      <c r="BM57" s="339">
        <f t="shared" si="87"/>
        <v>141440</v>
      </c>
      <c r="BN57" s="339">
        <f t="shared" si="87"/>
        <v>162440</v>
      </c>
      <c r="BO57" s="339">
        <f t="shared" si="87"/>
        <v>177910.47619047618</v>
      </c>
      <c r="BP57" s="339">
        <f t="shared" si="87"/>
        <v>154704.76190476189</v>
      </c>
      <c r="BQ57" s="339">
        <f t="shared" si="87"/>
        <v>162440</v>
      </c>
      <c r="BR57" s="339">
        <f t="shared" si="87"/>
        <v>135963.63636363635</v>
      </c>
      <c r="BS57" s="339">
        <f t="shared" si="87"/>
        <v>81578.181818181823</v>
      </c>
      <c r="BT57" s="339">
        <f t="shared" ref="BT57:BT58" si="88">SUM(BH57:BS57)</f>
        <v>1700997.0562770565</v>
      </c>
      <c r="BU57" s="23"/>
    </row>
    <row r="58" spans="1:73" ht="15.75" customHeight="1">
      <c r="A58" s="94"/>
      <c r="B58" s="210" t="s">
        <v>91</v>
      </c>
      <c r="C58" s="335"/>
      <c r="D58" s="89">
        <v>98048</v>
      </c>
      <c r="E58" s="89">
        <v>128688</v>
      </c>
      <c r="F58" s="89">
        <v>124704</v>
      </c>
      <c r="G58" s="89">
        <v>157500</v>
      </c>
      <c r="H58" s="89">
        <v>182600</v>
      </c>
      <c r="I58" s="89">
        <v>157700</v>
      </c>
      <c r="J58" s="89">
        <v>181700</v>
      </c>
      <c r="K58" s="89">
        <v>165900</v>
      </c>
      <c r="L58" s="89">
        <v>174300</v>
      </c>
      <c r="M58" s="89">
        <v>215800</v>
      </c>
      <c r="N58" s="89">
        <v>180000</v>
      </c>
      <c r="O58" s="89">
        <v>112500</v>
      </c>
      <c r="P58" s="314">
        <f t="shared" si="81"/>
        <v>1879440</v>
      </c>
      <c r="Q58" s="90"/>
      <c r="R58" s="313">
        <v>158400</v>
      </c>
      <c r="S58" s="91">
        <v>146000</v>
      </c>
      <c r="T58" s="91">
        <v>102200</v>
      </c>
      <c r="U58" s="91">
        <v>0</v>
      </c>
      <c r="V58" s="91">
        <v>43800</v>
      </c>
      <c r="W58" s="91">
        <v>160600</v>
      </c>
      <c r="X58" s="91">
        <v>167900</v>
      </c>
      <c r="Y58" s="91">
        <v>153300</v>
      </c>
      <c r="Z58" s="91">
        <v>153300</v>
      </c>
      <c r="AA58" s="91">
        <v>153300</v>
      </c>
      <c r="AB58" s="91">
        <v>146000</v>
      </c>
      <c r="AC58" s="91">
        <v>124100</v>
      </c>
      <c r="AD58" s="315"/>
      <c r="AE58" s="23"/>
      <c r="AF58" s="316">
        <v>131400</v>
      </c>
      <c r="AG58" s="91">
        <v>146000</v>
      </c>
      <c r="AH58" s="91">
        <v>125511</v>
      </c>
      <c r="AI58" s="91">
        <v>135000</v>
      </c>
      <c r="AJ58" s="91">
        <v>177320</v>
      </c>
      <c r="AK58" s="91">
        <v>151300</v>
      </c>
      <c r="AL58" s="91">
        <v>176000</v>
      </c>
      <c r="AM58" s="91">
        <f t="shared" ref="AM58:AP58" si="89">AM59*AM3</f>
        <v>154000</v>
      </c>
      <c r="AN58" s="91">
        <f t="shared" si="89"/>
        <v>157500</v>
      </c>
      <c r="AO58" s="91">
        <f t="shared" si="89"/>
        <v>140000</v>
      </c>
      <c r="AP58" s="91">
        <f t="shared" si="89"/>
        <v>130000</v>
      </c>
      <c r="AQ58" s="91">
        <f>AQ59*AQ3+16000</f>
        <v>100000</v>
      </c>
      <c r="AR58" s="92">
        <f t="shared" si="84"/>
        <v>1724031</v>
      </c>
      <c r="AS58" s="23"/>
      <c r="AT58" s="91">
        <f>AT59*AT3</f>
        <v>133000</v>
      </c>
      <c r="AU58" s="91">
        <f>125180</f>
        <v>125180</v>
      </c>
      <c r="AV58" s="91">
        <f>AV59*AV3+7428</f>
        <v>117228</v>
      </c>
      <c r="AW58" s="91">
        <f t="shared" ref="AW58:AY58" si="90">AW59*AW3</f>
        <v>123500</v>
      </c>
      <c r="AX58" s="91">
        <f t="shared" si="90"/>
        <v>132000</v>
      </c>
      <c r="AY58" s="91">
        <f t="shared" si="90"/>
        <v>153342.99999899999</v>
      </c>
      <c r="AZ58" s="91">
        <v>142409</v>
      </c>
      <c r="BA58" s="91">
        <v>163520</v>
      </c>
      <c r="BB58" s="91">
        <f t="shared" ref="BB58:BC58" si="91">BB59*BB3</f>
        <v>165000</v>
      </c>
      <c r="BC58" s="91">
        <f t="shared" si="91"/>
        <v>157500</v>
      </c>
      <c r="BD58" s="316">
        <v>129431</v>
      </c>
      <c r="BE58" s="316">
        <v>61700</v>
      </c>
      <c r="BF58" s="91">
        <f t="shared" si="86"/>
        <v>1603810.999999</v>
      </c>
      <c r="BG58" s="27">
        <f>BF58+BF61-AR58-AR61</f>
        <v>-113040.00000100001</v>
      </c>
      <c r="BH58" s="91">
        <v>136760</v>
      </c>
      <c r="BI58" s="91">
        <v>142960</v>
      </c>
      <c r="BJ58" s="91">
        <v>129620</v>
      </c>
      <c r="BK58" s="91">
        <v>122620</v>
      </c>
      <c r="BL58" s="91">
        <v>149560</v>
      </c>
      <c r="BM58" s="91">
        <v>141440</v>
      </c>
      <c r="BN58" s="91">
        <f t="shared" ref="BN58:BS58" si="92">BN59*BN3</f>
        <v>162440</v>
      </c>
      <c r="BO58" s="91">
        <f t="shared" si="92"/>
        <v>177910.47619047618</v>
      </c>
      <c r="BP58" s="91">
        <f t="shared" si="92"/>
        <v>154704.76190476189</v>
      </c>
      <c r="BQ58" s="91">
        <f t="shared" si="92"/>
        <v>162440</v>
      </c>
      <c r="BR58" s="91">
        <f t="shared" si="92"/>
        <v>135963.63636363635</v>
      </c>
      <c r="BS58" s="91">
        <f t="shared" si="92"/>
        <v>81578.181818181823</v>
      </c>
      <c r="BT58" s="91">
        <f t="shared" si="88"/>
        <v>1697997.0562770565</v>
      </c>
      <c r="BU58" s="23"/>
    </row>
    <row r="59" spans="1:73" ht="15.75" customHeight="1">
      <c r="A59" s="94"/>
      <c r="B59" s="210" t="s">
        <v>92</v>
      </c>
      <c r="C59" s="335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314"/>
      <c r="Q59" s="90"/>
      <c r="R59" s="316">
        <f t="shared" ref="R59:AC59" si="93">R58/R3</f>
        <v>7200</v>
      </c>
      <c r="S59" s="316">
        <f t="shared" si="93"/>
        <v>7300</v>
      </c>
      <c r="T59" s="316">
        <f t="shared" si="93"/>
        <v>7300</v>
      </c>
      <c r="U59" s="316">
        <f t="shared" si="93"/>
        <v>0</v>
      </c>
      <c r="V59" s="316">
        <f t="shared" si="93"/>
        <v>3650</v>
      </c>
      <c r="W59" s="316">
        <f t="shared" si="93"/>
        <v>7300</v>
      </c>
      <c r="X59" s="316">
        <f t="shared" si="93"/>
        <v>7300</v>
      </c>
      <c r="Y59" s="316">
        <f t="shared" si="93"/>
        <v>7300</v>
      </c>
      <c r="Z59" s="316">
        <f t="shared" si="93"/>
        <v>7300</v>
      </c>
      <c r="AA59" s="316">
        <f t="shared" si="93"/>
        <v>7300</v>
      </c>
      <c r="AB59" s="316">
        <f t="shared" si="93"/>
        <v>7300</v>
      </c>
      <c r="AC59" s="316">
        <f t="shared" si="93"/>
        <v>7300</v>
      </c>
      <c r="AD59" s="315"/>
      <c r="AE59" s="23"/>
      <c r="AF59" s="316">
        <f t="shared" ref="AF59:AL59" si="94">AF58/AF3</f>
        <v>7300</v>
      </c>
      <c r="AG59" s="316">
        <f t="shared" si="94"/>
        <v>7300</v>
      </c>
      <c r="AH59" s="316">
        <f t="shared" si="94"/>
        <v>6275.55</v>
      </c>
      <c r="AI59" s="316">
        <f t="shared" si="94"/>
        <v>6750</v>
      </c>
      <c r="AJ59" s="316">
        <f t="shared" si="94"/>
        <v>8060</v>
      </c>
      <c r="AK59" s="316">
        <f t="shared" si="94"/>
        <v>7565</v>
      </c>
      <c r="AL59" s="316">
        <f t="shared" si="94"/>
        <v>8000</v>
      </c>
      <c r="AM59" s="91">
        <v>7000</v>
      </c>
      <c r="AN59" s="91">
        <v>7500</v>
      </c>
      <c r="AO59" s="91">
        <v>7000</v>
      </c>
      <c r="AP59" s="91">
        <v>6500</v>
      </c>
      <c r="AQ59" s="91">
        <v>7000</v>
      </c>
      <c r="AR59" s="92">
        <f>AVERAGE(AF59:AQ59)</f>
        <v>7187.5458333333336</v>
      </c>
      <c r="AS59" s="23"/>
      <c r="AT59" s="91">
        <v>7000</v>
      </c>
      <c r="AU59" s="91">
        <f>AU58/AU3</f>
        <v>6588.4210526315792</v>
      </c>
      <c r="AV59" s="91">
        <v>6100</v>
      </c>
      <c r="AW59" s="91">
        <v>6500</v>
      </c>
      <c r="AX59" s="91">
        <v>6000</v>
      </c>
      <c r="AY59" s="91">
        <v>7302.0476189999999</v>
      </c>
      <c r="AZ59" s="91">
        <v>7000</v>
      </c>
      <c r="BA59" s="91">
        <f>BA58/BA3</f>
        <v>7432.727272727273</v>
      </c>
      <c r="BB59" s="91">
        <v>7500</v>
      </c>
      <c r="BC59" s="91">
        <v>7500</v>
      </c>
      <c r="BD59" s="91">
        <f t="shared" ref="BD59:BE59" si="95">BD58/BD3</f>
        <v>6471.55</v>
      </c>
      <c r="BE59" s="91">
        <f t="shared" si="95"/>
        <v>6170</v>
      </c>
      <c r="BF59" s="91">
        <f>AVERAGE(AT59:BE59)</f>
        <v>6797.0621620299053</v>
      </c>
      <c r="BG59" s="27"/>
      <c r="BH59" s="91">
        <f t="shared" ref="BH59:BM59" si="96">BH58/BH3</f>
        <v>6838</v>
      </c>
      <c r="BI59" s="91">
        <f t="shared" si="96"/>
        <v>7148</v>
      </c>
      <c r="BJ59" s="91">
        <f t="shared" si="96"/>
        <v>5635.652173913043</v>
      </c>
      <c r="BK59" s="91">
        <f t="shared" si="96"/>
        <v>6812.2222222222226</v>
      </c>
      <c r="BL59" s="91">
        <f t="shared" si="96"/>
        <v>6798.181818181818</v>
      </c>
      <c r="BM59" s="91">
        <f t="shared" si="96"/>
        <v>6735.2380952380954</v>
      </c>
      <c r="BN59" s="91">
        <f>BM59+1000</f>
        <v>7735.2380952380954</v>
      </c>
      <c r="BO59" s="91">
        <f t="shared" ref="BO59:BQ59" si="97">BN59</f>
        <v>7735.2380952380954</v>
      </c>
      <c r="BP59" s="91">
        <f t="shared" si="97"/>
        <v>7735.2380952380954</v>
      </c>
      <c r="BQ59" s="91">
        <f t="shared" si="97"/>
        <v>7735.2380952380954</v>
      </c>
      <c r="BR59" s="91">
        <f>BL59</f>
        <v>6798.181818181818</v>
      </c>
      <c r="BS59" s="91">
        <f>BR59</f>
        <v>6798.181818181818</v>
      </c>
      <c r="BT59" s="91"/>
      <c r="BU59" s="23"/>
    </row>
    <row r="60" spans="1:73" ht="15.75" customHeight="1">
      <c r="A60" s="94"/>
      <c r="B60" s="210" t="s">
        <v>281</v>
      </c>
      <c r="C60" s="335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314"/>
      <c r="Q60" s="90"/>
      <c r="R60" s="313"/>
      <c r="S60" s="91">
        <v>15000</v>
      </c>
      <c r="T60" s="91">
        <v>15600</v>
      </c>
      <c r="U60" s="91">
        <v>2000</v>
      </c>
      <c r="V60" s="91">
        <v>10000</v>
      </c>
      <c r="W60" s="91">
        <v>30000</v>
      </c>
      <c r="X60" s="91">
        <v>20000</v>
      </c>
      <c r="Y60" s="91">
        <v>30000</v>
      </c>
      <c r="Z60" s="91">
        <v>30000</v>
      </c>
      <c r="AA60" s="91">
        <v>20000</v>
      </c>
      <c r="AB60" s="91">
        <v>20000</v>
      </c>
      <c r="AC60" s="91">
        <v>10000</v>
      </c>
      <c r="AD60" s="315"/>
      <c r="AE60" s="23"/>
      <c r="AF60" s="316">
        <v>30000</v>
      </c>
      <c r="AG60" s="91">
        <v>20000</v>
      </c>
      <c r="AH60" s="91">
        <v>24960</v>
      </c>
      <c r="AI60" s="91">
        <v>14040</v>
      </c>
      <c r="AJ60" s="91">
        <v>19040</v>
      </c>
      <c r="AK60" s="91">
        <v>12000</v>
      </c>
      <c r="AL60" s="91">
        <v>14000</v>
      </c>
      <c r="AM60" s="91">
        <v>13000</v>
      </c>
      <c r="AN60" s="91">
        <v>13000</v>
      </c>
      <c r="AO60" s="91">
        <v>0</v>
      </c>
      <c r="AP60" s="91">
        <v>0</v>
      </c>
      <c r="AQ60" s="91">
        <v>0</v>
      </c>
      <c r="AR60" s="92">
        <f t="shared" ref="AR60:AR61" si="98">SUM(AF60:AQ60)</f>
        <v>160040</v>
      </c>
      <c r="AS60" s="23"/>
      <c r="AT60" s="91">
        <v>0</v>
      </c>
      <c r="AU60" s="91">
        <v>0</v>
      </c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>
        <f t="shared" ref="BF60:BF61" si="99">SUM(AT60:BE60)</f>
        <v>0</v>
      </c>
      <c r="BG60" s="27">
        <f>BF60-AR60</f>
        <v>-160040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>
        <f t="shared" ref="BT60:BT61" si="100">SUM(BH60:BS60)</f>
        <v>0</v>
      </c>
      <c r="BU60" s="23"/>
    </row>
    <row r="61" spans="1:73" ht="15.75" customHeight="1">
      <c r="A61" s="94"/>
      <c r="B61" s="210" t="s">
        <v>637</v>
      </c>
      <c r="C61" s="335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/>
      <c r="Q61" s="90"/>
      <c r="R61" s="313"/>
      <c r="S61" s="91"/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13500</v>
      </c>
      <c r="Z61" s="91">
        <v>9000</v>
      </c>
      <c r="AA61" s="91">
        <v>9000</v>
      </c>
      <c r="AB61" s="91">
        <v>9000</v>
      </c>
      <c r="AC61" s="91">
        <v>0</v>
      </c>
      <c r="AD61" s="315"/>
      <c r="AE61" s="23"/>
      <c r="AF61" s="91">
        <v>13500</v>
      </c>
      <c r="AG61" s="91">
        <v>13500</v>
      </c>
      <c r="AH61" s="91">
        <v>2820</v>
      </c>
      <c r="AI61" s="91">
        <v>0</v>
      </c>
      <c r="AJ61" s="91">
        <v>0</v>
      </c>
      <c r="AK61" s="91">
        <v>0</v>
      </c>
      <c r="AL61" s="91">
        <v>0</v>
      </c>
      <c r="AM61" s="91"/>
      <c r="AN61" s="91"/>
      <c r="AO61" s="91"/>
      <c r="AP61" s="91"/>
      <c r="AQ61" s="91"/>
      <c r="AR61" s="92">
        <f t="shared" si="98"/>
        <v>29820</v>
      </c>
      <c r="AS61" s="23"/>
      <c r="AT61" s="91"/>
      <c r="AU61" s="91"/>
      <c r="AV61" s="91"/>
      <c r="AW61" s="91">
        <v>4000</v>
      </c>
      <c r="AX61" s="91">
        <v>8000</v>
      </c>
      <c r="AY61" s="91">
        <v>5000</v>
      </c>
      <c r="AZ61" s="91">
        <v>10000</v>
      </c>
      <c r="BA61" s="91">
        <v>10000</v>
      </c>
      <c r="BB61" s="91">
        <v>0</v>
      </c>
      <c r="BC61" s="91">
        <v>0</v>
      </c>
      <c r="BD61" s="91">
        <v>0</v>
      </c>
      <c r="BE61" s="91"/>
      <c r="BF61" s="91">
        <f t="shared" si="99"/>
        <v>37000</v>
      </c>
      <c r="BG61" s="27"/>
      <c r="BH61" s="91">
        <v>3000</v>
      </c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>
        <f t="shared" si="100"/>
        <v>3000</v>
      </c>
      <c r="BU61" s="23"/>
    </row>
    <row r="62" spans="1:73" ht="15.75" customHeight="1">
      <c r="A62" s="94"/>
      <c r="B62" s="210" t="s">
        <v>283</v>
      </c>
      <c r="C62" s="335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315"/>
      <c r="AE62" s="23"/>
      <c r="AF62" s="91"/>
      <c r="AG62" s="91"/>
      <c r="AH62" s="91"/>
      <c r="AI62" s="91"/>
      <c r="AJ62" s="91"/>
      <c r="AK62" s="91"/>
      <c r="AL62" s="91"/>
      <c r="AM62" s="91"/>
      <c r="AN62" s="91"/>
      <c r="AO62" s="91">
        <f t="shared" ref="AO62:AQ62" si="101">AO57*9.68</f>
        <v>1355200</v>
      </c>
      <c r="AP62" s="91">
        <f t="shared" si="101"/>
        <v>1258400</v>
      </c>
      <c r="AQ62" s="91">
        <f t="shared" si="101"/>
        <v>968000</v>
      </c>
      <c r="AR62" s="92"/>
      <c r="AS62" s="23"/>
      <c r="AT62" s="91">
        <f t="shared" ref="AT62:BF62" si="102">AT57*9.68</f>
        <v>1287440</v>
      </c>
      <c r="AU62" s="91">
        <f t="shared" si="102"/>
        <v>1211742.3999999999</v>
      </c>
      <c r="AV62" s="91">
        <f t="shared" si="102"/>
        <v>1134767.04</v>
      </c>
      <c r="AW62" s="91">
        <f t="shared" si="102"/>
        <v>1234200</v>
      </c>
      <c r="AX62" s="91">
        <f t="shared" si="102"/>
        <v>1355200</v>
      </c>
      <c r="AY62" s="91">
        <f t="shared" si="102"/>
        <v>1532760.2399903198</v>
      </c>
      <c r="AZ62" s="91">
        <f t="shared" si="102"/>
        <v>1475319.1199999999</v>
      </c>
      <c r="BA62" s="91">
        <f t="shared" si="102"/>
        <v>1679673.5999999999</v>
      </c>
      <c r="BB62" s="91">
        <f t="shared" si="102"/>
        <v>1597200</v>
      </c>
      <c r="BC62" s="91">
        <f t="shared" si="102"/>
        <v>1524600</v>
      </c>
      <c r="BD62" s="91">
        <f t="shared" si="102"/>
        <v>1252892.08</v>
      </c>
      <c r="BE62" s="91">
        <f t="shared" si="102"/>
        <v>597256</v>
      </c>
      <c r="BF62" s="91">
        <f t="shared" si="102"/>
        <v>15883050.47999032</v>
      </c>
      <c r="BG62" s="27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23"/>
    </row>
    <row r="63" spans="1:73">
      <c r="A63" s="110" t="s">
        <v>99</v>
      </c>
      <c r="B63" s="110" t="s">
        <v>100</v>
      </c>
      <c r="C63" s="147"/>
      <c r="D63" s="111">
        <v>95972</v>
      </c>
      <c r="E63" s="111">
        <v>130805</v>
      </c>
      <c r="F63" s="111">
        <v>121914</v>
      </c>
      <c r="G63" s="111">
        <v>165455</v>
      </c>
      <c r="H63" s="111">
        <v>192013</v>
      </c>
      <c r="I63" s="111">
        <v>167281</v>
      </c>
      <c r="J63" s="111">
        <v>181409</v>
      </c>
      <c r="K63" s="111">
        <v>163138</v>
      </c>
      <c r="L63" s="111">
        <v>169051</v>
      </c>
      <c r="M63" s="111">
        <v>183254</v>
      </c>
      <c r="N63" s="111"/>
      <c r="O63" s="111"/>
      <c r="P63" s="343">
        <f>SUM(D63:O63)</f>
        <v>1570292</v>
      </c>
      <c r="Q63" s="84"/>
      <c r="R63" s="342">
        <v>149582</v>
      </c>
      <c r="S63" s="112">
        <v>152735</v>
      </c>
      <c r="T63" s="112">
        <v>107681</v>
      </c>
      <c r="U63" s="112">
        <v>2974</v>
      </c>
      <c r="V63" s="112">
        <v>32639</v>
      </c>
      <c r="W63" s="112">
        <v>153121</v>
      </c>
      <c r="X63" s="112">
        <v>198635</v>
      </c>
      <c r="Y63" s="112">
        <v>160489</v>
      </c>
      <c r="Z63" s="112">
        <v>160893</v>
      </c>
      <c r="AA63" s="112">
        <v>180999</v>
      </c>
      <c r="AB63" s="112">
        <v>167265</v>
      </c>
      <c r="AC63" s="112">
        <v>135424</v>
      </c>
      <c r="AD63" s="344">
        <f>SUM(R63:AC63)</f>
        <v>1602437</v>
      </c>
      <c r="AE63" s="113"/>
      <c r="AF63" s="345">
        <v>145616</v>
      </c>
      <c r="AG63" s="112">
        <v>168450</v>
      </c>
      <c r="AH63" s="112">
        <v>153291</v>
      </c>
      <c r="AI63" s="112">
        <v>149378</v>
      </c>
      <c r="AJ63" s="112">
        <v>196360</v>
      </c>
      <c r="AK63" s="112">
        <v>170558</v>
      </c>
      <c r="AL63" s="112">
        <v>171758</v>
      </c>
      <c r="AM63" s="112">
        <f t="shared" ref="AM63:AQ63" si="103">SUM(AM64:AM65)</f>
        <v>168974</v>
      </c>
      <c r="AN63" s="112">
        <f t="shared" si="103"/>
        <v>144792</v>
      </c>
      <c r="AO63" s="112">
        <f t="shared" si="103"/>
        <v>141375</v>
      </c>
      <c r="AP63" s="112">
        <f t="shared" si="103"/>
        <v>143221</v>
      </c>
      <c r="AQ63" s="112">
        <f t="shared" si="103"/>
        <v>85543</v>
      </c>
      <c r="AR63" s="112">
        <f t="shared" ref="AR63:AR67" si="104">SUM(AF63:AQ63)</f>
        <v>1839316</v>
      </c>
      <c r="AS63" s="23"/>
      <c r="AT63" s="112">
        <f t="shared" ref="AT63:BE63" si="105">SUM(AT64:AT65)</f>
        <v>120211</v>
      </c>
      <c r="AU63" s="112">
        <f t="shared" si="105"/>
        <v>120216</v>
      </c>
      <c r="AV63" s="112">
        <f t="shared" si="105"/>
        <v>101053</v>
      </c>
      <c r="AW63" s="112">
        <f t="shared" si="105"/>
        <v>137388</v>
      </c>
      <c r="AX63" s="112">
        <f t="shared" si="105"/>
        <v>137400</v>
      </c>
      <c r="AY63" s="112">
        <f t="shared" si="105"/>
        <v>135412</v>
      </c>
      <c r="AZ63" s="112">
        <f t="shared" si="105"/>
        <v>157032</v>
      </c>
      <c r="BA63" s="112">
        <f t="shared" si="105"/>
        <v>173287</v>
      </c>
      <c r="BB63" s="114">
        <f t="shared" si="105"/>
        <v>166815</v>
      </c>
      <c r="BC63" s="114">
        <f t="shared" si="105"/>
        <v>153816</v>
      </c>
      <c r="BD63" s="114">
        <f t="shared" si="105"/>
        <v>138051</v>
      </c>
      <c r="BE63" s="114">
        <f t="shared" si="105"/>
        <v>55950</v>
      </c>
      <c r="BF63" s="114">
        <f t="shared" ref="BF63:BF67" si="106">SUM(AT63:BE63)</f>
        <v>1596631</v>
      </c>
      <c r="BG63" s="93">
        <f>BF63/AR63-1</f>
        <v>-0.1319430701412917</v>
      </c>
      <c r="BH63" s="112"/>
      <c r="BI63" s="112"/>
      <c r="BJ63" s="112"/>
      <c r="BK63" s="112"/>
      <c r="BL63" s="112"/>
      <c r="BM63" s="112"/>
      <c r="BN63" s="112"/>
      <c r="BO63" s="112"/>
      <c r="BP63" s="112"/>
      <c r="BQ63" s="112"/>
      <c r="BR63" s="112"/>
      <c r="BS63" s="112"/>
      <c r="BT63" s="112"/>
      <c r="BU63" s="113"/>
    </row>
    <row r="64" spans="1:73" ht="15.75" customHeight="1">
      <c r="A64" s="115"/>
      <c r="B64" s="115" t="s">
        <v>101</v>
      </c>
      <c r="C64" s="24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66"/>
      <c r="Q64" s="116"/>
      <c r="R64" s="265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67"/>
      <c r="AE64" s="23"/>
      <c r="AF64" s="348">
        <v>126362</v>
      </c>
      <c r="AG64" s="22">
        <v>153970</v>
      </c>
      <c r="AH64" s="22">
        <v>128331</v>
      </c>
      <c r="AI64" s="22">
        <v>135338</v>
      </c>
      <c r="AJ64" s="22">
        <v>177312</v>
      </c>
      <c r="AK64" s="22">
        <v>150818</v>
      </c>
      <c r="AL64" s="22">
        <v>158858</v>
      </c>
      <c r="AM64" s="22">
        <v>153933</v>
      </c>
      <c r="AN64" s="22">
        <v>134244</v>
      </c>
      <c r="AO64" s="22">
        <v>137435</v>
      </c>
      <c r="AP64" s="22">
        <v>143221</v>
      </c>
      <c r="AQ64" s="22">
        <v>85543</v>
      </c>
      <c r="AR64" s="117">
        <f t="shared" si="104"/>
        <v>1685365</v>
      </c>
      <c r="AS64" s="23"/>
      <c r="AT64" s="22">
        <v>120211</v>
      </c>
      <c r="AU64" s="22">
        <v>120216</v>
      </c>
      <c r="AV64" s="22">
        <v>101053</v>
      </c>
      <c r="AW64" s="22">
        <v>137388</v>
      </c>
      <c r="AX64" s="22">
        <v>137400</v>
      </c>
      <c r="AY64" s="22">
        <v>135412</v>
      </c>
      <c r="AZ64" s="22">
        <v>157032</v>
      </c>
      <c r="BA64" s="22">
        <v>172227</v>
      </c>
      <c r="BB64" s="22">
        <f>157995+8500</f>
        <v>166495</v>
      </c>
      <c r="BC64" s="22">
        <v>153816</v>
      </c>
      <c r="BD64" s="22">
        <v>138051</v>
      </c>
      <c r="BE64" s="22">
        <v>55950</v>
      </c>
      <c r="BF64" s="22">
        <f t="shared" si="106"/>
        <v>1595251</v>
      </c>
      <c r="BG64" s="27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3"/>
    </row>
    <row r="65" spans="1:72" ht="15.75" customHeight="1">
      <c r="A65" s="115"/>
      <c r="B65" s="115" t="s">
        <v>102</v>
      </c>
      <c r="C65" s="24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66"/>
      <c r="Q65" s="116"/>
      <c r="R65" s="265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67"/>
      <c r="AE65" s="23"/>
      <c r="AF65" s="22">
        <f t="shared" ref="AF65:AL65" si="107">AF63-AF64</f>
        <v>19254</v>
      </c>
      <c r="AG65" s="22">
        <f t="shared" si="107"/>
        <v>14480</v>
      </c>
      <c r="AH65" s="22">
        <f t="shared" si="107"/>
        <v>24960</v>
      </c>
      <c r="AI65" s="22">
        <f t="shared" si="107"/>
        <v>14040</v>
      </c>
      <c r="AJ65" s="22">
        <f t="shared" si="107"/>
        <v>19048</v>
      </c>
      <c r="AK65" s="22">
        <f t="shared" si="107"/>
        <v>19740</v>
      </c>
      <c r="AL65" s="22">
        <f t="shared" si="107"/>
        <v>12900</v>
      </c>
      <c r="AM65" s="22">
        <v>15041</v>
      </c>
      <c r="AN65" s="22">
        <v>10548</v>
      </c>
      <c r="AO65" s="22">
        <v>3940</v>
      </c>
      <c r="AP65" s="22">
        <v>0</v>
      </c>
      <c r="AQ65" s="22">
        <v>0</v>
      </c>
      <c r="AR65" s="117">
        <f t="shared" si="104"/>
        <v>153951</v>
      </c>
      <c r="AS65" s="23"/>
      <c r="AT65" s="22">
        <v>0</v>
      </c>
      <c r="AU65" s="22">
        <v>0</v>
      </c>
      <c r="AV65" s="22">
        <v>0</v>
      </c>
      <c r="AW65" s="22">
        <v>0</v>
      </c>
      <c r="AX65" s="22">
        <v>0</v>
      </c>
      <c r="AY65" s="22">
        <v>0</v>
      </c>
      <c r="AZ65" s="22">
        <v>0</v>
      </c>
      <c r="BA65" s="22">
        <v>1060</v>
      </c>
      <c r="BB65" s="22">
        <v>320</v>
      </c>
      <c r="BC65" s="22">
        <v>0</v>
      </c>
      <c r="BD65" s="22">
        <v>0</v>
      </c>
      <c r="BE65" s="22"/>
      <c r="BF65" s="22">
        <f t="shared" si="106"/>
        <v>1380</v>
      </c>
      <c r="BG65" s="27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</row>
    <row r="66" spans="1:72" ht="15.75" customHeight="1">
      <c r="A66" s="232" t="s">
        <v>103</v>
      </c>
      <c r="B66" s="238"/>
      <c r="C66" s="387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388"/>
      <c r="Q66" s="235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90"/>
      <c r="AE66" s="23"/>
      <c r="AF66" s="389">
        <f t="shared" ref="AF66:AQ66" si="108">AF63-AF57</f>
        <v>-15784</v>
      </c>
      <c r="AG66" s="389">
        <f t="shared" si="108"/>
        <v>2450</v>
      </c>
      <c r="AH66" s="389">
        <f t="shared" si="108"/>
        <v>2820</v>
      </c>
      <c r="AI66" s="389">
        <f t="shared" si="108"/>
        <v>338</v>
      </c>
      <c r="AJ66" s="389">
        <f t="shared" si="108"/>
        <v>0</v>
      </c>
      <c r="AK66" s="389">
        <f t="shared" si="108"/>
        <v>7258</v>
      </c>
      <c r="AL66" s="389">
        <f t="shared" si="108"/>
        <v>-18242</v>
      </c>
      <c r="AM66" s="389">
        <f t="shared" si="108"/>
        <v>1974</v>
      </c>
      <c r="AN66" s="389">
        <f t="shared" si="108"/>
        <v>-25708</v>
      </c>
      <c r="AO66" s="389">
        <f t="shared" si="108"/>
        <v>1375</v>
      </c>
      <c r="AP66" s="389">
        <f t="shared" si="108"/>
        <v>13221</v>
      </c>
      <c r="AQ66" s="389">
        <f t="shared" si="108"/>
        <v>-14457</v>
      </c>
      <c r="AR66" s="236">
        <f t="shared" si="104"/>
        <v>-44755</v>
      </c>
      <c r="AS66" s="23"/>
      <c r="AT66" s="389">
        <f t="shared" ref="AT66:BE66" si="109">AT63-AT57</f>
        <v>-12789</v>
      </c>
      <c r="AU66" s="389">
        <f t="shared" si="109"/>
        <v>-4964</v>
      </c>
      <c r="AV66" s="389">
        <f t="shared" si="109"/>
        <v>-16175</v>
      </c>
      <c r="AW66" s="389">
        <f t="shared" si="109"/>
        <v>9888</v>
      </c>
      <c r="AX66" s="389">
        <f t="shared" si="109"/>
        <v>-2600</v>
      </c>
      <c r="AY66" s="389">
        <f t="shared" si="109"/>
        <v>-22930.999998999992</v>
      </c>
      <c r="AZ66" s="389">
        <f t="shared" si="109"/>
        <v>4623</v>
      </c>
      <c r="BA66" s="389">
        <f t="shared" si="109"/>
        <v>-233</v>
      </c>
      <c r="BB66" s="389">
        <f t="shared" si="109"/>
        <v>1815</v>
      </c>
      <c r="BC66" s="389">
        <f t="shared" si="109"/>
        <v>-3684</v>
      </c>
      <c r="BD66" s="389">
        <f t="shared" si="109"/>
        <v>8620</v>
      </c>
      <c r="BE66" s="389">
        <f t="shared" si="109"/>
        <v>-5750</v>
      </c>
      <c r="BF66" s="237">
        <f t="shared" si="106"/>
        <v>-44179.999998999992</v>
      </c>
      <c r="BG66" s="27"/>
      <c r="BH66" s="389">
        <f t="shared" ref="BH66:BK66" si="110">BH63-BH57</f>
        <v>-139760</v>
      </c>
      <c r="BI66" s="389">
        <f t="shared" si="110"/>
        <v>-142960</v>
      </c>
      <c r="BJ66" s="389">
        <f t="shared" si="110"/>
        <v>-129620</v>
      </c>
      <c r="BK66" s="389">
        <f t="shared" si="110"/>
        <v>-122620</v>
      </c>
      <c r="BL66" s="237"/>
      <c r="BM66" s="237"/>
      <c r="BN66" s="237"/>
      <c r="BO66" s="237"/>
      <c r="BP66" s="237"/>
      <c r="BQ66" s="237"/>
      <c r="BR66" s="237"/>
      <c r="BS66" s="237"/>
      <c r="BT66" s="237"/>
    </row>
    <row r="67" spans="1:72" ht="15.75" customHeight="1">
      <c r="A67" s="218" t="s">
        <v>638</v>
      </c>
      <c r="B67" s="393"/>
      <c r="C67" s="240"/>
      <c r="D67" s="220" t="e">
        <f t="shared" ref="D67:F67" si="111">#REF!-#REF!</f>
        <v>#REF!</v>
      </c>
      <c r="E67" s="220" t="e">
        <f t="shared" si="111"/>
        <v>#REF!</v>
      </c>
      <c r="F67" s="220" t="e">
        <f t="shared" si="111"/>
        <v>#REF!</v>
      </c>
      <c r="G67" s="220" t="e">
        <f t="shared" ref="G67:I67" si="112">G57-#REF!</f>
        <v>#REF!</v>
      </c>
      <c r="H67" s="220" t="e">
        <f t="shared" si="112"/>
        <v>#REF!</v>
      </c>
      <c r="I67" s="220" t="e">
        <f t="shared" si="112"/>
        <v>#REF!</v>
      </c>
      <c r="J67" s="220" t="e">
        <f t="shared" ref="J67:K67" si="113">#REF!-#REF!</f>
        <v>#REF!</v>
      </c>
      <c r="K67" s="220" t="e">
        <f t="shared" si="113"/>
        <v>#REF!</v>
      </c>
      <c r="L67" s="220">
        <f t="shared" ref="L67:O67" si="114">L57-L16</f>
        <v>-24911</v>
      </c>
      <c r="M67" s="220">
        <f t="shared" si="114"/>
        <v>-13674</v>
      </c>
      <c r="N67" s="220">
        <f t="shared" si="114"/>
        <v>57632</v>
      </c>
      <c r="O67" s="220">
        <f t="shared" si="114"/>
        <v>74079</v>
      </c>
      <c r="P67" s="384" t="e">
        <f>SUM(D67:O67)</f>
        <v>#REF!</v>
      </c>
      <c r="Q67" s="221"/>
      <c r="R67" s="385">
        <f t="shared" ref="R67:AD67" si="115">R57-R16</f>
        <v>22222.660017050745</v>
      </c>
      <c r="S67" s="222">
        <f t="shared" si="115"/>
        <v>17159.673608830723</v>
      </c>
      <c r="T67" s="222">
        <f t="shared" si="115"/>
        <v>-24753.77192982455</v>
      </c>
      <c r="U67" s="222">
        <f t="shared" si="115"/>
        <v>-17814.899999999998</v>
      </c>
      <c r="V67" s="222">
        <f t="shared" si="115"/>
        <v>1715</v>
      </c>
      <c r="W67" s="222">
        <f t="shared" si="115"/>
        <v>120430.6180497602</v>
      </c>
      <c r="X67" s="222">
        <f t="shared" si="115"/>
        <v>43436.666666667006</v>
      </c>
      <c r="Y67" s="222">
        <f t="shared" si="115"/>
        <v>-29747.083333333314</v>
      </c>
      <c r="Z67" s="222">
        <f t="shared" si="115"/>
        <v>-80887.5</v>
      </c>
      <c r="AA67" s="222">
        <f t="shared" si="115"/>
        <v>10200</v>
      </c>
      <c r="AB67" s="222">
        <f t="shared" si="115"/>
        <v>137500</v>
      </c>
      <c r="AC67" s="222">
        <f t="shared" si="115"/>
        <v>134100</v>
      </c>
      <c r="AD67" s="394">
        <f t="shared" si="115"/>
        <v>333561.36307915067</v>
      </c>
      <c r="AE67" s="113"/>
      <c r="AF67" s="392">
        <f t="shared" ref="AF67:AQ67" si="116">AF57-AF16</f>
        <v>32754</v>
      </c>
      <c r="AG67" s="222">
        <f t="shared" si="116"/>
        <v>-11977</v>
      </c>
      <c r="AH67" s="222">
        <f t="shared" si="116"/>
        <v>76847</v>
      </c>
      <c r="AI67" s="222">
        <f t="shared" si="116"/>
        <v>59682</v>
      </c>
      <c r="AJ67" s="222">
        <f t="shared" si="116"/>
        <v>74226</v>
      </c>
      <c r="AK67" s="222">
        <f t="shared" si="116"/>
        <v>14740</v>
      </c>
      <c r="AL67" s="222">
        <f t="shared" si="116"/>
        <v>38005</v>
      </c>
      <c r="AM67" s="222">
        <f t="shared" si="116"/>
        <v>-71903</v>
      </c>
      <c r="AN67" s="222">
        <f t="shared" si="116"/>
        <v>-90633.333333333343</v>
      </c>
      <c r="AO67" s="222">
        <f t="shared" si="116"/>
        <v>-115900</v>
      </c>
      <c r="AP67" s="222">
        <f t="shared" si="116"/>
        <v>1360</v>
      </c>
      <c r="AQ67" s="222">
        <f t="shared" si="116"/>
        <v>2160</v>
      </c>
      <c r="AR67" s="242">
        <f t="shared" si="104"/>
        <v>9360.666666666657</v>
      </c>
      <c r="AS67" s="23"/>
      <c r="AT67" s="222">
        <f t="shared" ref="AT67:BE67" si="117">AT57-AT16</f>
        <v>-19749.25</v>
      </c>
      <c r="AU67" s="222">
        <f t="shared" si="117"/>
        <v>-43342.103448275855</v>
      </c>
      <c r="AV67" s="222">
        <f t="shared" si="117"/>
        <v>-36893.137931034493</v>
      </c>
      <c r="AW67" s="222">
        <f t="shared" si="117"/>
        <v>-32095.137931034493</v>
      </c>
      <c r="AX67" s="222">
        <f t="shared" si="117"/>
        <v>19900.034482758623</v>
      </c>
      <c r="AY67" s="222">
        <f t="shared" si="117"/>
        <v>19999.222221222211</v>
      </c>
      <c r="AZ67" s="222">
        <f t="shared" si="117"/>
        <v>-14264.777777777781</v>
      </c>
      <c r="BA67" s="222">
        <f t="shared" si="117"/>
        <v>-68922.296296296292</v>
      </c>
      <c r="BB67" s="222">
        <f t="shared" si="117"/>
        <v>-78407.777777777781</v>
      </c>
      <c r="BC67" s="222">
        <f t="shared" si="117"/>
        <v>-95868.290755657828</v>
      </c>
      <c r="BD67" s="222">
        <f t="shared" si="117"/>
        <v>-5124.586881472962</v>
      </c>
      <c r="BE67" s="222">
        <f t="shared" si="117"/>
        <v>-10986.612965093984</v>
      </c>
      <c r="BF67" s="222">
        <f t="shared" si="106"/>
        <v>-365754.71506044065</v>
      </c>
      <c r="BG67" s="27"/>
      <c r="BH67" s="222">
        <f t="shared" ref="BH67:BK67" si="118">BH57-BH16</f>
        <v>-10155</v>
      </c>
      <c r="BI67" s="222">
        <f t="shared" si="118"/>
        <v>2158.6666666666861</v>
      </c>
      <c r="BJ67" s="222">
        <f t="shared" si="118"/>
        <v>-28843.333333333314</v>
      </c>
      <c r="BK67" s="222">
        <f t="shared" si="118"/>
        <v>-22968.333333333314</v>
      </c>
      <c r="BL67" s="222"/>
      <c r="BM67" s="222"/>
      <c r="BN67" s="222"/>
      <c r="BO67" s="222"/>
      <c r="BP67" s="222"/>
      <c r="BQ67" s="222"/>
      <c r="BR67" s="222"/>
      <c r="BS67" s="222"/>
      <c r="BT67" s="222"/>
    </row>
  </sheetData>
  <mergeCells count="21">
    <mergeCell ref="A45:B45"/>
    <mergeCell ref="A56:B56"/>
    <mergeCell ref="D2:P2"/>
    <mergeCell ref="A14:B14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R1:AD1"/>
    <mergeCell ref="AF1:AR1"/>
    <mergeCell ref="AT1:BF1"/>
    <mergeCell ref="BH1:BS1"/>
    <mergeCell ref="R2:AD2"/>
    <mergeCell ref="AT2:BF2"/>
    <mergeCell ref="BH2:BS2"/>
  </mergeCells>
  <pageMargins left="0.25" right="0.25" top="0.75" bottom="0.75" header="0" footer="0"/>
  <pageSetup paperSize="9" scale="55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U67"/>
  <sheetViews>
    <sheetView showGridLines="0" workbookViewId="0">
      <pane xSplit="3" ySplit="5" topLeftCell="D6" activePane="bottomRight" state="frozen"/>
      <selection pane="bottomRight" activeCell="D6" sqref="D6"/>
      <selection pane="bottomLeft" activeCell="A6" sqref="A6"/>
      <selection pane="topRight" activeCell="D1" sqref="D1"/>
    </sheetView>
  </sheetViews>
  <sheetFormatPr defaultColWidth="14.42578125" defaultRowHeight="15" customHeight="1" outlineLevelCol="2"/>
  <cols>
    <col min="1" max="1" width="16.85546875" customWidth="1"/>
    <col min="2" max="2" width="28.7109375" customWidth="1"/>
    <col min="3" max="3" width="10.140625" customWidth="1"/>
    <col min="4" max="4" width="9.140625" hidden="1" customWidth="1" outlineLevel="1"/>
    <col min="5" max="6" width="8.140625" hidden="1" customWidth="1" outlineLevel="1"/>
    <col min="7" max="7" width="9.7109375" hidden="1" customWidth="1" outlineLevel="1"/>
    <col min="8" max="9" width="8.140625" hidden="1" customWidth="1" outlineLevel="1"/>
    <col min="10" max="10" width="8.7109375" hidden="1" customWidth="1" outlineLevel="1"/>
    <col min="11" max="11" width="9" hidden="1" customWidth="1" outlineLevel="1"/>
    <col min="12" max="12" width="9.28515625" hidden="1" customWidth="1" outlineLevel="1"/>
    <col min="13" max="13" width="8.85546875" hidden="1" customWidth="1" outlineLevel="1"/>
    <col min="14" max="14" width="7.7109375" hidden="1" customWidth="1" outlineLevel="1"/>
    <col min="15" max="15" width="8.7109375" hidden="1" customWidth="1" outlineLevel="1"/>
    <col min="16" max="16" width="10.5703125" hidden="1" customWidth="1" outlineLevel="1"/>
    <col min="17" max="17" width="5.42578125" customWidth="1" collapsed="1"/>
    <col min="18" max="18" width="12" customWidth="1"/>
    <col min="19" max="19" width="13.140625" customWidth="1"/>
    <col min="20" max="20" width="13.140625" hidden="1" customWidth="1" outlineLevel="2"/>
    <col min="21" max="21" width="11.7109375" hidden="1" customWidth="1" outlineLevel="2"/>
    <col min="22" max="22" width="13" hidden="1" customWidth="1" outlineLevel="2"/>
    <col min="23" max="23" width="8.85546875" hidden="1" customWidth="1" outlineLevel="2"/>
    <col min="24" max="24" width="13.140625" hidden="1" customWidth="1" outlineLevel="2"/>
    <col min="25" max="25" width="10.7109375" hidden="1" customWidth="1" outlineLevel="2"/>
    <col min="26" max="26" width="11.140625" hidden="1" customWidth="1" outlineLevel="2"/>
    <col min="27" max="27" width="10.7109375" hidden="1" customWidth="1" outlineLevel="2"/>
    <col min="28" max="28" width="10.5703125" hidden="1" customWidth="1" outlineLevel="2"/>
    <col min="29" max="29" width="9.5703125" hidden="1" customWidth="1" outlineLevel="2"/>
    <col min="30" max="30" width="11.5703125" customWidth="1" collapsed="1"/>
    <col min="31" max="31" width="6.42578125" customWidth="1"/>
    <col min="32" max="33" width="12" customWidth="1"/>
    <col min="34" max="34" width="14.7109375" customWidth="1"/>
    <col min="35" max="35" width="10.7109375" customWidth="1"/>
    <col min="36" max="42" width="9.140625" customWidth="1"/>
    <col min="43" max="43" width="10.28515625" customWidth="1"/>
    <col min="44" max="44" width="11" customWidth="1"/>
    <col min="45" max="45" width="2.7109375" customWidth="1"/>
    <col min="46" max="46" width="15.140625" customWidth="1"/>
    <col min="47" max="48" width="15" customWidth="1"/>
    <col min="49" max="49" width="13.140625" customWidth="1"/>
    <col min="50" max="50" width="13.42578125" customWidth="1"/>
    <col min="51" max="51" width="12.7109375" customWidth="1"/>
    <col min="52" max="52" width="12.85546875" customWidth="1"/>
    <col min="53" max="53" width="12.42578125" customWidth="1"/>
    <col min="54" max="54" width="12.85546875" customWidth="1"/>
    <col min="55" max="55" width="14" customWidth="1"/>
    <col min="56" max="57" width="11.7109375" customWidth="1"/>
    <col min="58" max="58" width="17.140625" customWidth="1"/>
    <col min="59" max="59" width="9.140625" customWidth="1"/>
    <col min="60" max="60" width="15.140625" customWidth="1"/>
    <col min="61" max="62" width="15" customWidth="1"/>
    <col min="63" max="73" width="13.140625" customWidth="1"/>
  </cols>
  <sheetData>
    <row r="1" spans="1:73" ht="16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7"/>
      <c r="R1" s="1082" t="s">
        <v>0</v>
      </c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4"/>
      <c r="AE1" s="248"/>
      <c r="AF1" s="1082" t="s">
        <v>0</v>
      </c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4"/>
      <c r="AS1" s="248"/>
      <c r="AT1" s="1081" t="s">
        <v>0</v>
      </c>
      <c r="AU1" s="1113"/>
      <c r="AV1" s="1113"/>
      <c r="AW1" s="1113"/>
      <c r="AX1" s="1113"/>
      <c r="AY1" s="1113"/>
      <c r="AZ1" s="1113"/>
      <c r="BA1" s="1113"/>
      <c r="BB1" s="1113"/>
      <c r="BC1" s="1113"/>
      <c r="BD1" s="1113"/>
      <c r="BE1" s="1113"/>
      <c r="BF1" s="1114"/>
      <c r="BG1" s="5"/>
      <c r="BH1" s="1081" t="s">
        <v>0</v>
      </c>
      <c r="BI1" s="1113"/>
      <c r="BJ1" s="1113"/>
      <c r="BK1" s="1113"/>
      <c r="BL1" s="1113"/>
      <c r="BM1" s="1113"/>
      <c r="BN1" s="1113"/>
      <c r="BO1" s="1113"/>
      <c r="BP1" s="1113"/>
      <c r="BQ1" s="1113"/>
      <c r="BR1" s="1113"/>
      <c r="BS1" s="1114"/>
      <c r="BU1" s="145"/>
    </row>
    <row r="2" spans="1:73" ht="15.75">
      <c r="A2" s="4"/>
      <c r="B2" s="4"/>
      <c r="C2" s="2"/>
      <c r="D2" s="1099">
        <v>2019</v>
      </c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4"/>
      <c r="Q2" s="247"/>
      <c r="R2" s="1083">
        <v>2020</v>
      </c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6"/>
      <c r="AE2" s="248"/>
      <c r="AF2" s="249">
        <v>2021</v>
      </c>
      <c r="AG2" s="249"/>
      <c r="AH2" s="249"/>
      <c r="AI2" s="249"/>
      <c r="AJ2" s="249"/>
      <c r="AK2" s="249"/>
      <c r="AL2" s="249"/>
      <c r="AM2" s="249"/>
      <c r="AN2" s="249"/>
      <c r="AO2" s="249"/>
      <c r="AP2" s="249"/>
      <c r="AQ2" s="250"/>
      <c r="AR2" s="251"/>
      <c r="AS2" s="124"/>
      <c r="AT2" s="1077">
        <v>2022</v>
      </c>
      <c r="AU2" s="1115"/>
      <c r="AV2" s="1115"/>
      <c r="AW2" s="1115"/>
      <c r="AX2" s="1115"/>
      <c r="AY2" s="1115"/>
      <c r="AZ2" s="1115"/>
      <c r="BA2" s="1115"/>
      <c r="BB2" s="1115"/>
      <c r="BC2" s="1115"/>
      <c r="BD2" s="1115"/>
      <c r="BE2" s="1115"/>
      <c r="BF2" s="1116"/>
      <c r="BG2" s="7"/>
      <c r="BH2" s="1077">
        <v>2023</v>
      </c>
      <c r="BI2" s="1115"/>
      <c r="BJ2" s="1115"/>
      <c r="BK2" s="1115"/>
      <c r="BL2" s="1115"/>
      <c r="BM2" s="1115"/>
      <c r="BN2" s="1115"/>
      <c r="BO2" s="1115"/>
      <c r="BP2" s="1115"/>
      <c r="BQ2" s="1115"/>
      <c r="BR2" s="1115"/>
      <c r="BS2" s="1116"/>
      <c r="BU2" s="145"/>
    </row>
    <row r="3" spans="1:73">
      <c r="A3" s="3" t="s">
        <v>5</v>
      </c>
      <c r="B3" s="3"/>
      <c r="C3" s="252">
        <f>150/210</f>
        <v>0.7142857142857143</v>
      </c>
      <c r="D3" s="252">
        <v>16</v>
      </c>
      <c r="E3" s="252">
        <v>21</v>
      </c>
      <c r="F3" s="252">
        <v>18</v>
      </c>
      <c r="G3" s="252">
        <v>21</v>
      </c>
      <c r="H3" s="252">
        <v>22</v>
      </c>
      <c r="I3" s="252">
        <v>19</v>
      </c>
      <c r="J3" s="252">
        <v>23</v>
      </c>
      <c r="K3" s="252">
        <v>21</v>
      </c>
      <c r="L3" s="252">
        <v>21</v>
      </c>
      <c r="M3" s="252">
        <v>26</v>
      </c>
      <c r="N3" s="252">
        <v>24</v>
      </c>
      <c r="O3" s="252">
        <v>15</v>
      </c>
      <c r="P3" s="4"/>
      <c r="Q3" s="247"/>
      <c r="R3" s="252">
        <v>22</v>
      </c>
      <c r="S3" s="252">
        <v>20</v>
      </c>
      <c r="T3" s="252">
        <v>14</v>
      </c>
      <c r="U3" s="252">
        <v>1</v>
      </c>
      <c r="V3" s="252">
        <v>12</v>
      </c>
      <c r="W3" s="252">
        <v>22</v>
      </c>
      <c r="X3" s="252">
        <v>23</v>
      </c>
      <c r="Y3" s="252">
        <v>21</v>
      </c>
      <c r="Z3" s="252">
        <v>21</v>
      </c>
      <c r="AA3" s="252">
        <v>21</v>
      </c>
      <c r="AB3" s="252">
        <v>20</v>
      </c>
      <c r="AC3" s="252">
        <v>17</v>
      </c>
      <c r="AD3" s="2"/>
      <c r="AE3" s="253"/>
      <c r="AF3" s="254">
        <v>18</v>
      </c>
      <c r="AG3" s="252">
        <v>20</v>
      </c>
      <c r="AH3" s="248">
        <v>20</v>
      </c>
      <c r="AI3" s="248">
        <v>20</v>
      </c>
      <c r="AJ3" s="252">
        <v>22</v>
      </c>
      <c r="AK3" s="252">
        <v>20</v>
      </c>
      <c r="AL3" s="252">
        <v>22</v>
      </c>
      <c r="AM3" s="252">
        <v>22</v>
      </c>
      <c r="AN3" s="252">
        <v>21</v>
      </c>
      <c r="AO3" s="252">
        <v>20</v>
      </c>
      <c r="AP3" s="252">
        <v>20</v>
      </c>
      <c r="AQ3" s="248">
        <v>12</v>
      </c>
      <c r="AR3" s="2"/>
      <c r="AS3" s="124"/>
      <c r="AT3" s="253">
        <v>19</v>
      </c>
      <c r="AU3" s="248">
        <v>19</v>
      </c>
      <c r="AV3" s="248">
        <v>18</v>
      </c>
      <c r="AW3" s="248">
        <v>19</v>
      </c>
      <c r="AX3" s="248">
        <v>22</v>
      </c>
      <c r="AY3" s="248">
        <v>21</v>
      </c>
      <c r="AZ3" s="248">
        <v>21</v>
      </c>
      <c r="BA3" s="248">
        <v>22</v>
      </c>
      <c r="BB3" s="248">
        <v>22</v>
      </c>
      <c r="BC3" s="248">
        <v>21</v>
      </c>
      <c r="BD3" s="248">
        <v>20</v>
      </c>
      <c r="BE3" s="248">
        <v>10</v>
      </c>
      <c r="BF3" s="2"/>
      <c r="BG3" s="125"/>
      <c r="BH3" s="253">
        <v>20</v>
      </c>
      <c r="BI3" s="248">
        <v>15</v>
      </c>
      <c r="BJ3" s="248">
        <v>23</v>
      </c>
      <c r="BK3" s="248">
        <v>18</v>
      </c>
      <c r="BL3" s="248">
        <v>22</v>
      </c>
      <c r="BM3" s="248">
        <v>21</v>
      </c>
      <c r="BN3" s="248">
        <v>21</v>
      </c>
      <c r="BO3" s="248">
        <v>23</v>
      </c>
      <c r="BP3" s="248">
        <v>20</v>
      </c>
      <c r="BQ3" s="248">
        <v>21</v>
      </c>
      <c r="BR3" s="248">
        <v>20</v>
      </c>
      <c r="BS3" s="248">
        <v>12</v>
      </c>
      <c r="BT3" s="248"/>
      <c r="BU3" s="248"/>
    </row>
    <row r="4" spans="1:73">
      <c r="A4" s="8"/>
      <c r="B4" s="8"/>
      <c r="C4" s="146"/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258" t="s">
        <v>26</v>
      </c>
      <c r="Q4" s="10"/>
      <c r="R4" s="257" t="s">
        <v>14</v>
      </c>
      <c r="S4" s="9" t="s">
        <v>15</v>
      </c>
      <c r="T4" s="9" t="s">
        <v>16</v>
      </c>
      <c r="U4" s="9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  <c r="AA4" s="9" t="s">
        <v>23</v>
      </c>
      <c r="AB4" s="9" t="s">
        <v>24</v>
      </c>
      <c r="AC4" s="9" t="s">
        <v>25</v>
      </c>
      <c r="AD4" s="258" t="s">
        <v>26</v>
      </c>
      <c r="AE4" s="11"/>
      <c r="AF4" s="257" t="s">
        <v>14</v>
      </c>
      <c r="AG4" s="9" t="s">
        <v>15</v>
      </c>
      <c r="AH4" s="9" t="s">
        <v>16</v>
      </c>
      <c r="AI4" s="9" t="s">
        <v>17</v>
      </c>
      <c r="AJ4" s="9" t="s">
        <v>18</v>
      </c>
      <c r="AK4" s="9" t="s">
        <v>19</v>
      </c>
      <c r="AL4" s="9" t="s">
        <v>20</v>
      </c>
      <c r="AM4" s="9" t="s">
        <v>21</v>
      </c>
      <c r="AN4" s="9" t="s">
        <v>22</v>
      </c>
      <c r="AO4" s="9" t="s">
        <v>23</v>
      </c>
      <c r="AP4" s="9" t="s">
        <v>24</v>
      </c>
      <c r="AQ4" s="9" t="s">
        <v>25</v>
      </c>
      <c r="AR4" s="9" t="s">
        <v>26</v>
      </c>
      <c r="AS4" s="11"/>
      <c r="AT4" s="9" t="s">
        <v>14</v>
      </c>
      <c r="AU4" s="9" t="s">
        <v>15</v>
      </c>
      <c r="AV4" s="9" t="s">
        <v>16</v>
      </c>
      <c r="AW4" s="9" t="s">
        <v>17</v>
      </c>
      <c r="AX4" s="9" t="s">
        <v>18</v>
      </c>
      <c r="AY4" s="9" t="s">
        <v>19</v>
      </c>
      <c r="AZ4" s="9" t="s">
        <v>20</v>
      </c>
      <c r="BA4" s="9" t="s">
        <v>21</v>
      </c>
      <c r="BB4" s="9" t="s">
        <v>22</v>
      </c>
      <c r="BC4" s="9" t="s">
        <v>23</v>
      </c>
      <c r="BD4" s="9" t="s">
        <v>24</v>
      </c>
      <c r="BE4" s="9" t="s">
        <v>25</v>
      </c>
      <c r="BF4" s="9" t="s">
        <v>26</v>
      </c>
      <c r="BG4" s="10"/>
      <c r="BH4" s="9" t="s">
        <v>14</v>
      </c>
      <c r="BI4" s="9" t="s">
        <v>15</v>
      </c>
      <c r="BJ4" s="9" t="s">
        <v>16</v>
      </c>
      <c r="BK4" s="9" t="s">
        <v>17</v>
      </c>
      <c r="BL4" s="9" t="s">
        <v>18</v>
      </c>
      <c r="BM4" s="9" t="s">
        <v>19</v>
      </c>
      <c r="BN4" s="9" t="s">
        <v>20</v>
      </c>
      <c r="BO4" s="9" t="s">
        <v>21</v>
      </c>
      <c r="BP4" s="9" t="s">
        <v>22</v>
      </c>
      <c r="BQ4" s="9" t="s">
        <v>23</v>
      </c>
      <c r="BR4" s="9" t="s">
        <v>24</v>
      </c>
      <c r="BS4" s="9" t="s">
        <v>25</v>
      </c>
      <c r="BT4" s="9" t="s">
        <v>26</v>
      </c>
      <c r="BU4" s="11"/>
    </row>
    <row r="5" spans="1:73">
      <c r="A5" s="110"/>
      <c r="B5" s="110"/>
      <c r="C5" s="147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343"/>
      <c r="Q5" s="84"/>
      <c r="R5" s="345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344"/>
      <c r="AE5" s="113"/>
      <c r="AF5" s="345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23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27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3"/>
    </row>
    <row r="6" spans="1:73">
      <c r="A6" s="148" t="s">
        <v>28</v>
      </c>
      <c r="B6" s="149" t="s">
        <v>263</v>
      </c>
      <c r="C6" s="150"/>
      <c r="D6" s="151">
        <f t="shared" ref="D6:O6" si="0">SUM(D7:D9)</f>
        <v>304786</v>
      </c>
      <c r="E6" s="151">
        <f t="shared" si="0"/>
        <v>311986</v>
      </c>
      <c r="F6" s="151">
        <f t="shared" si="0"/>
        <v>328231</v>
      </c>
      <c r="G6" s="151">
        <f t="shared" si="0"/>
        <v>317873</v>
      </c>
      <c r="H6" s="151">
        <f t="shared" si="0"/>
        <v>347196</v>
      </c>
      <c r="I6" s="151">
        <f t="shared" si="0"/>
        <v>402253</v>
      </c>
      <c r="J6" s="151">
        <f t="shared" si="0"/>
        <v>454488</v>
      </c>
      <c r="K6" s="151">
        <f t="shared" si="0"/>
        <v>447182</v>
      </c>
      <c r="L6" s="151">
        <f t="shared" si="0"/>
        <v>416931</v>
      </c>
      <c r="M6" s="151">
        <f t="shared" si="0"/>
        <v>304402</v>
      </c>
      <c r="N6" s="151">
        <f t="shared" si="0"/>
        <v>0</v>
      </c>
      <c r="O6" s="151">
        <f t="shared" si="0"/>
        <v>188264</v>
      </c>
      <c r="P6" s="350"/>
      <c r="Q6" s="152"/>
      <c r="R6" s="151">
        <f t="shared" ref="R6:AC6" si="1">SUM(R7:R9)</f>
        <v>283359</v>
      </c>
      <c r="S6" s="151">
        <f t="shared" si="1"/>
        <v>342718</v>
      </c>
      <c r="T6" s="151">
        <f t="shared" si="1"/>
        <v>313212</v>
      </c>
      <c r="U6" s="151">
        <f t="shared" si="1"/>
        <v>298093</v>
      </c>
      <c r="V6" s="151">
        <f t="shared" si="1"/>
        <v>206617</v>
      </c>
      <c r="W6" s="151">
        <f t="shared" si="1"/>
        <v>235875</v>
      </c>
      <c r="X6" s="151">
        <f t="shared" si="1"/>
        <v>360135</v>
      </c>
      <c r="Y6" s="151">
        <f t="shared" si="1"/>
        <v>361665</v>
      </c>
      <c r="Z6" s="151">
        <f t="shared" si="1"/>
        <v>353400</v>
      </c>
      <c r="AA6" s="151">
        <f t="shared" si="1"/>
        <v>272097</v>
      </c>
      <c r="AB6" s="151">
        <f t="shared" si="1"/>
        <v>170626</v>
      </c>
      <c r="AC6" s="151">
        <f t="shared" si="1"/>
        <v>197551</v>
      </c>
      <c r="AD6" s="351"/>
      <c r="AE6" s="153"/>
      <c r="AF6" s="151">
        <f t="shared" ref="AF6:AQ6" si="2">SUM(AF7:AF10)</f>
        <v>246973</v>
      </c>
      <c r="AG6" s="151">
        <f t="shared" si="2"/>
        <v>281087</v>
      </c>
      <c r="AH6" s="151">
        <f t="shared" si="2"/>
        <v>386469</v>
      </c>
      <c r="AI6" s="151">
        <f t="shared" si="2"/>
        <v>379017</v>
      </c>
      <c r="AJ6" s="151">
        <f t="shared" si="2"/>
        <v>400777</v>
      </c>
      <c r="AK6" s="151">
        <f t="shared" si="2"/>
        <v>465623</v>
      </c>
      <c r="AL6" s="151">
        <f t="shared" si="2"/>
        <v>472149</v>
      </c>
      <c r="AM6" s="151">
        <f t="shared" si="2"/>
        <v>492339</v>
      </c>
      <c r="AN6" s="151">
        <f t="shared" si="2"/>
        <v>450428</v>
      </c>
      <c r="AO6" s="151">
        <f t="shared" si="2"/>
        <v>391441</v>
      </c>
      <c r="AP6" s="151">
        <f t="shared" si="2"/>
        <v>325482</v>
      </c>
      <c r="AQ6" s="151">
        <f t="shared" si="2"/>
        <v>321014</v>
      </c>
      <c r="AR6" s="151">
        <f t="shared" ref="AR6:AR15" si="3">AQ6</f>
        <v>321014</v>
      </c>
      <c r="AS6" s="154"/>
      <c r="AT6" s="151">
        <f t="shared" ref="AT6:BE6" si="4">SUM(AT7:AT10)</f>
        <v>350303</v>
      </c>
      <c r="AU6" s="151">
        <f t="shared" si="4"/>
        <v>323931</v>
      </c>
      <c r="AV6" s="151">
        <f t="shared" si="4"/>
        <v>307980</v>
      </c>
      <c r="AW6" s="151">
        <f t="shared" si="4"/>
        <v>292777</v>
      </c>
      <c r="AX6" s="155">
        <f t="shared" si="4"/>
        <v>296754</v>
      </c>
      <c r="AY6" s="155">
        <f t="shared" si="4"/>
        <v>344037</v>
      </c>
      <c r="AZ6" s="155">
        <f t="shared" si="4"/>
        <v>367566</v>
      </c>
      <c r="BA6" s="155">
        <f t="shared" si="4"/>
        <v>372442</v>
      </c>
      <c r="BB6" s="155">
        <f t="shared" si="4"/>
        <v>375154</v>
      </c>
      <c r="BC6" s="155">
        <f t="shared" si="4"/>
        <v>340466</v>
      </c>
      <c r="BD6" s="155">
        <f t="shared" si="4"/>
        <v>314581</v>
      </c>
      <c r="BE6" s="151">
        <f t="shared" si="4"/>
        <v>253219</v>
      </c>
      <c r="BF6" s="151">
        <f t="shared" ref="BF6:BF11" si="5">BE6</f>
        <v>253219</v>
      </c>
      <c r="BG6" s="156"/>
      <c r="BH6" s="151">
        <f>BF6+BH57-BH16</f>
        <v>243064</v>
      </c>
      <c r="BI6" s="151">
        <f t="shared" ref="BI6:BS6" si="6">BH6+BI57-BI16</f>
        <v>207842.66666666669</v>
      </c>
      <c r="BJ6" s="151">
        <f t="shared" si="6"/>
        <v>202739.33333333337</v>
      </c>
      <c r="BK6" s="151">
        <f t="shared" si="6"/>
        <v>183791.00000000006</v>
      </c>
      <c r="BL6" s="151">
        <f t="shared" si="6"/>
        <v>217017.66666666674</v>
      </c>
      <c r="BM6" s="157">
        <f t="shared" si="6"/>
        <v>233379.00000000006</v>
      </c>
      <c r="BN6" s="157">
        <f t="shared" si="6"/>
        <v>226607.00000000006</v>
      </c>
      <c r="BO6" s="151">
        <f t="shared" si="6"/>
        <v>212653.14285714287</v>
      </c>
      <c r="BP6" s="151">
        <f t="shared" si="6"/>
        <v>164394.57142857142</v>
      </c>
      <c r="BQ6" s="151">
        <f t="shared" si="6"/>
        <v>135453.90476190476</v>
      </c>
      <c r="BR6" s="151">
        <f t="shared" si="6"/>
        <v>161251.32900432899</v>
      </c>
      <c r="BS6" s="151">
        <f t="shared" si="6"/>
        <v>160115.45021645018</v>
      </c>
      <c r="BT6" s="151">
        <f t="shared" ref="BT6:BT14" si="7">BS6</f>
        <v>160115.45021645018</v>
      </c>
      <c r="BU6" s="113"/>
    </row>
    <row r="7" spans="1:73">
      <c r="A7" s="19">
        <v>1</v>
      </c>
      <c r="B7" s="158" t="s">
        <v>264</v>
      </c>
      <c r="C7" s="264"/>
      <c r="D7" s="20">
        <v>197000</v>
      </c>
      <c r="E7" s="20">
        <v>223027</v>
      </c>
      <c r="F7" s="20">
        <v>230513</v>
      </c>
      <c r="G7" s="20">
        <v>231174</v>
      </c>
      <c r="H7" s="20">
        <v>255028</v>
      </c>
      <c r="I7" s="20">
        <f>316386+3241</f>
        <v>319627</v>
      </c>
      <c r="J7" s="20">
        <v>377712</v>
      </c>
      <c r="K7" s="20">
        <v>382411</v>
      </c>
      <c r="L7" s="20">
        <v>394107</v>
      </c>
      <c r="M7" s="20">
        <v>267954</v>
      </c>
      <c r="N7" s="20"/>
      <c r="O7" s="20">
        <v>143875</v>
      </c>
      <c r="P7" s="266"/>
      <c r="Q7" s="21"/>
      <c r="R7" s="265">
        <v>208084</v>
      </c>
      <c r="S7" s="22">
        <v>268431</v>
      </c>
      <c r="T7" s="22">
        <v>250616</v>
      </c>
      <c r="U7" s="22">
        <v>237088</v>
      </c>
      <c r="V7" s="22">
        <v>147777</v>
      </c>
      <c r="W7" s="22">
        <v>215818</v>
      </c>
      <c r="X7" s="22">
        <v>273510</v>
      </c>
      <c r="Y7" s="22">
        <v>299059</v>
      </c>
      <c r="Z7" s="22">
        <v>304980</v>
      </c>
      <c r="AA7" s="22">
        <v>231197</v>
      </c>
      <c r="AB7" s="22">
        <v>143086</v>
      </c>
      <c r="AC7" s="22">
        <v>172491</v>
      </c>
      <c r="AD7" s="267"/>
      <c r="AE7" s="23"/>
      <c r="AF7" s="22">
        <v>198695</v>
      </c>
      <c r="AG7" s="22">
        <v>234210</v>
      </c>
      <c r="AH7" s="22">
        <v>327560</v>
      </c>
      <c r="AI7" s="22">
        <v>332523</v>
      </c>
      <c r="AJ7" s="24">
        <v>356667</v>
      </c>
      <c r="AK7" s="22">
        <v>384165</v>
      </c>
      <c r="AL7" s="22">
        <v>317268</v>
      </c>
      <c r="AM7" s="22">
        <v>370708</v>
      </c>
      <c r="AN7" s="22">
        <v>354503</v>
      </c>
      <c r="AO7" s="22">
        <v>314605</v>
      </c>
      <c r="AP7" s="25">
        <v>90490</v>
      </c>
      <c r="AQ7" s="22">
        <v>58348</v>
      </c>
      <c r="AR7" s="22">
        <f t="shared" si="3"/>
        <v>58348</v>
      </c>
      <c r="AS7" s="23"/>
      <c r="AT7" s="22">
        <v>158701</v>
      </c>
      <c r="AU7" s="22">
        <v>115369</v>
      </c>
      <c r="AV7" s="22">
        <v>142379</v>
      </c>
      <c r="AW7" s="22">
        <v>118765</v>
      </c>
      <c r="AX7" s="22">
        <v>113246</v>
      </c>
      <c r="AY7" s="22">
        <v>106776</v>
      </c>
      <c r="AZ7" s="22">
        <v>175234</v>
      </c>
      <c r="BA7" s="22">
        <v>151553</v>
      </c>
      <c r="BB7" s="352">
        <v>167082</v>
      </c>
      <c r="BC7" s="22">
        <v>150959</v>
      </c>
      <c r="BD7" s="22">
        <v>119787</v>
      </c>
      <c r="BE7" s="22">
        <v>65426</v>
      </c>
      <c r="BF7" s="22">
        <f t="shared" si="5"/>
        <v>65426</v>
      </c>
      <c r="BG7" s="27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>
        <f t="shared" si="7"/>
        <v>0</v>
      </c>
      <c r="BU7" s="23"/>
    </row>
    <row r="8" spans="1:73">
      <c r="A8" s="19">
        <v>2</v>
      </c>
      <c r="B8" s="158" t="s">
        <v>265</v>
      </c>
      <c r="C8" s="264"/>
      <c r="D8" s="20">
        <v>73670</v>
      </c>
      <c r="E8" s="20">
        <v>59682</v>
      </c>
      <c r="F8" s="20">
        <v>54710</v>
      </c>
      <c r="G8" s="20">
        <v>56175</v>
      </c>
      <c r="H8" s="20">
        <v>58933</v>
      </c>
      <c r="I8" s="20">
        <v>42784</v>
      </c>
      <c r="J8" s="20">
        <v>35755</v>
      </c>
      <c r="K8" s="20">
        <v>33547</v>
      </c>
      <c r="L8" s="20">
        <v>22824</v>
      </c>
      <c r="M8" s="20">
        <v>26162</v>
      </c>
      <c r="N8" s="20"/>
      <c r="O8" s="20">
        <v>44389</v>
      </c>
      <c r="P8" s="266"/>
      <c r="Q8" s="21"/>
      <c r="R8" s="265">
        <v>39759</v>
      </c>
      <c r="S8" s="22">
        <v>38325</v>
      </c>
      <c r="T8" s="22">
        <v>26634</v>
      </c>
      <c r="U8" s="22">
        <f>14430+2754+7859</f>
        <v>25043</v>
      </c>
      <c r="V8" s="22">
        <v>23840</v>
      </c>
      <c r="W8" s="22">
        <v>20057</v>
      </c>
      <c r="X8" s="22">
        <v>80502</v>
      </c>
      <c r="Y8" s="22">
        <v>56483</v>
      </c>
      <c r="Z8" s="22">
        <v>44233</v>
      </c>
      <c r="AA8" s="22">
        <v>38155</v>
      </c>
      <c r="AB8" s="22">
        <v>27540</v>
      </c>
      <c r="AC8" s="22">
        <v>25060</v>
      </c>
      <c r="AD8" s="267"/>
      <c r="AE8" s="23"/>
      <c r="AF8" s="22">
        <v>21326</v>
      </c>
      <c r="AG8" s="22">
        <v>17804</v>
      </c>
      <c r="AH8" s="22">
        <v>27157</v>
      </c>
      <c r="AI8" s="22">
        <v>19677</v>
      </c>
      <c r="AJ8" s="22">
        <v>18817</v>
      </c>
      <c r="AK8" s="22">
        <v>25034</v>
      </c>
      <c r="AL8" s="22">
        <v>28090</v>
      </c>
      <c r="AM8" s="22">
        <v>25660</v>
      </c>
      <c r="AN8" s="22">
        <v>33752</v>
      </c>
      <c r="AO8" s="22">
        <v>24699</v>
      </c>
      <c r="AP8" s="25">
        <v>19340</v>
      </c>
      <c r="AQ8" s="22">
        <v>29842</v>
      </c>
      <c r="AR8" s="22">
        <f t="shared" si="3"/>
        <v>29842</v>
      </c>
      <c r="AS8" s="23"/>
      <c r="AT8" s="22">
        <v>46493</v>
      </c>
      <c r="AU8" s="22">
        <v>37125</v>
      </c>
      <c r="AV8" s="22">
        <v>38574</v>
      </c>
      <c r="AW8" s="22">
        <v>43626</v>
      </c>
      <c r="AX8" s="22">
        <v>39641</v>
      </c>
      <c r="AY8" s="22">
        <v>55553</v>
      </c>
      <c r="AZ8" s="22">
        <v>48023</v>
      </c>
      <c r="BA8" s="22">
        <v>55043</v>
      </c>
      <c r="BB8" s="352">
        <v>50383</v>
      </c>
      <c r="BC8" s="22">
        <v>54355</v>
      </c>
      <c r="BD8" s="22">
        <v>82473</v>
      </c>
      <c r="BE8" s="22">
        <v>65398</v>
      </c>
      <c r="BF8" s="22">
        <f t="shared" si="5"/>
        <v>65398</v>
      </c>
      <c r="BG8" s="27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>
        <f t="shared" si="7"/>
        <v>0</v>
      </c>
      <c r="BU8" s="23"/>
    </row>
    <row r="9" spans="1:73">
      <c r="A9" s="19">
        <v>3</v>
      </c>
      <c r="B9" s="158" t="s">
        <v>636</v>
      </c>
      <c r="C9" s="264"/>
      <c r="D9" s="269">
        <v>34116</v>
      </c>
      <c r="E9" s="269">
        <v>29277</v>
      </c>
      <c r="F9" s="269">
        <v>43008</v>
      </c>
      <c r="G9" s="269">
        <v>30524</v>
      </c>
      <c r="H9" s="269">
        <v>33235</v>
      </c>
      <c r="I9" s="269">
        <v>39842</v>
      </c>
      <c r="J9" s="269">
        <v>41021</v>
      </c>
      <c r="K9" s="269">
        <v>31224</v>
      </c>
      <c r="L9" s="269"/>
      <c r="M9" s="269">
        <v>10286</v>
      </c>
      <c r="N9" s="269"/>
      <c r="O9" s="269"/>
      <c r="P9" s="266"/>
      <c r="Q9" s="21"/>
      <c r="R9" s="268">
        <v>35516</v>
      </c>
      <c r="S9" s="270">
        <v>35962</v>
      </c>
      <c r="T9" s="270">
        <v>35962</v>
      </c>
      <c r="U9" s="270">
        <v>35962</v>
      </c>
      <c r="V9" s="270">
        <v>35000</v>
      </c>
      <c r="W9" s="270"/>
      <c r="X9" s="270">
        <v>6123</v>
      </c>
      <c r="Y9" s="270">
        <v>6123</v>
      </c>
      <c r="Z9" s="270">
        <v>4187</v>
      </c>
      <c r="AA9" s="270">
        <v>2745</v>
      </c>
      <c r="AB9" s="270"/>
      <c r="AC9" s="270"/>
      <c r="AD9" s="267"/>
      <c r="AE9" s="23"/>
      <c r="AF9" s="270">
        <v>8366</v>
      </c>
      <c r="AG9" s="270">
        <v>11534</v>
      </c>
      <c r="AH9" s="270">
        <v>11507</v>
      </c>
      <c r="AI9" s="270">
        <v>9148</v>
      </c>
      <c r="AJ9" s="22">
        <v>8524</v>
      </c>
      <c r="AK9" s="270">
        <v>25290</v>
      </c>
      <c r="AL9" s="270">
        <v>91080</v>
      </c>
      <c r="AM9" s="270">
        <v>66830</v>
      </c>
      <c r="AN9" s="270">
        <v>36866</v>
      </c>
      <c r="AO9" s="270">
        <v>16173</v>
      </c>
      <c r="AP9" s="271">
        <v>178274</v>
      </c>
      <c r="AQ9" s="270">
        <v>210665</v>
      </c>
      <c r="AR9" s="22">
        <f t="shared" si="3"/>
        <v>210665</v>
      </c>
      <c r="AS9" s="23"/>
      <c r="AT9" s="270">
        <v>121075</v>
      </c>
      <c r="AU9" s="270">
        <v>149376</v>
      </c>
      <c r="AV9" s="270">
        <v>104538</v>
      </c>
      <c r="AW9" s="270">
        <v>105262</v>
      </c>
      <c r="AX9" s="270">
        <v>121073</v>
      </c>
      <c r="AY9" s="270">
        <v>163931</v>
      </c>
      <c r="AZ9" s="270">
        <v>109964</v>
      </c>
      <c r="BA9" s="270">
        <v>148266</v>
      </c>
      <c r="BB9" s="352">
        <v>130697</v>
      </c>
      <c r="BC9" s="270">
        <v>113779</v>
      </c>
      <c r="BD9" s="270">
        <v>91119</v>
      </c>
      <c r="BE9" s="270">
        <v>103286</v>
      </c>
      <c r="BF9" s="22">
        <f t="shared" si="5"/>
        <v>103286</v>
      </c>
      <c r="BG9" s="27"/>
      <c r="BH9" s="270"/>
      <c r="BI9" s="270"/>
      <c r="BJ9" s="270"/>
      <c r="BK9" s="270"/>
      <c r="BL9" s="22"/>
      <c r="BM9" s="22"/>
      <c r="BN9" s="22"/>
      <c r="BO9" s="22"/>
      <c r="BP9" s="22"/>
      <c r="BQ9" s="22"/>
      <c r="BR9" s="22"/>
      <c r="BS9" s="22"/>
      <c r="BT9" s="22">
        <f t="shared" si="7"/>
        <v>0</v>
      </c>
      <c r="BU9" s="23"/>
    </row>
    <row r="10" spans="1:73">
      <c r="A10" s="19">
        <v>1</v>
      </c>
      <c r="B10" s="158" t="s">
        <v>267</v>
      </c>
      <c r="C10" s="159"/>
      <c r="D10" s="20">
        <v>6409</v>
      </c>
      <c r="E10" s="20">
        <v>6860</v>
      </c>
      <c r="F10" s="20">
        <v>4970</v>
      </c>
      <c r="G10" s="20">
        <v>31203</v>
      </c>
      <c r="H10" s="20">
        <v>31499</v>
      </c>
      <c r="I10" s="20">
        <v>25903</v>
      </c>
      <c r="J10" s="20">
        <v>18606</v>
      </c>
      <c r="K10" s="20">
        <v>16014</v>
      </c>
      <c r="L10" s="20">
        <v>13416</v>
      </c>
      <c r="M10" s="20">
        <v>40079</v>
      </c>
      <c r="N10" s="20"/>
      <c r="O10" s="20">
        <v>0</v>
      </c>
      <c r="P10" s="266"/>
      <c r="Q10" s="21"/>
      <c r="R10" s="265">
        <v>3376</v>
      </c>
      <c r="S10" s="22">
        <v>11736</v>
      </c>
      <c r="T10" s="22">
        <v>22454</v>
      </c>
      <c r="U10" s="22">
        <v>21384</v>
      </c>
      <c r="V10" s="22">
        <v>66870</v>
      </c>
      <c r="W10" s="22">
        <v>73769</v>
      </c>
      <c r="X10" s="22">
        <v>13944</v>
      </c>
      <c r="Y10" s="22">
        <v>32750</v>
      </c>
      <c r="Z10" s="22">
        <v>18536</v>
      </c>
      <c r="AA10" s="22">
        <v>40211</v>
      </c>
      <c r="AB10" s="22">
        <v>44457</v>
      </c>
      <c r="AC10" s="22">
        <v>24504</v>
      </c>
      <c r="AD10" s="267"/>
      <c r="AE10" s="23"/>
      <c r="AF10" s="22">
        <v>18586</v>
      </c>
      <c r="AG10" s="22">
        <v>17539</v>
      </c>
      <c r="AH10" s="22">
        <v>20245</v>
      </c>
      <c r="AI10" s="22">
        <v>17669</v>
      </c>
      <c r="AJ10" s="22">
        <v>16769</v>
      </c>
      <c r="AK10" s="22">
        <v>31134</v>
      </c>
      <c r="AL10" s="22">
        <v>35711</v>
      </c>
      <c r="AM10" s="22">
        <v>29141</v>
      </c>
      <c r="AN10" s="22">
        <v>25307</v>
      </c>
      <c r="AO10" s="22">
        <v>35964</v>
      </c>
      <c r="AP10" s="25">
        <v>37378</v>
      </c>
      <c r="AQ10" s="22">
        <v>22159</v>
      </c>
      <c r="AR10" s="22">
        <f t="shared" si="3"/>
        <v>22159</v>
      </c>
      <c r="AS10" s="23"/>
      <c r="AT10" s="22">
        <v>24034</v>
      </c>
      <c r="AU10" s="270">
        <v>22061</v>
      </c>
      <c r="AV10" s="22">
        <v>22489</v>
      </c>
      <c r="AW10" s="22">
        <v>25124</v>
      </c>
      <c r="AX10" s="22">
        <v>22794</v>
      </c>
      <c r="AY10" s="22">
        <v>17777</v>
      </c>
      <c r="AZ10" s="22">
        <v>34345</v>
      </c>
      <c r="BA10" s="22">
        <v>17580</v>
      </c>
      <c r="BB10" s="352">
        <v>26992</v>
      </c>
      <c r="BC10" s="22">
        <v>21373</v>
      </c>
      <c r="BD10" s="22">
        <v>21202</v>
      </c>
      <c r="BE10" s="22">
        <v>19109</v>
      </c>
      <c r="BF10" s="22">
        <f t="shared" si="5"/>
        <v>19109</v>
      </c>
      <c r="BG10" s="27"/>
      <c r="BH10" s="22"/>
      <c r="BI10" s="270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>
        <f t="shared" si="7"/>
        <v>0</v>
      </c>
      <c r="BU10" s="23"/>
    </row>
    <row r="11" spans="1:73">
      <c r="A11" s="160"/>
      <c r="B11" s="160" t="s">
        <v>41</v>
      </c>
      <c r="C11" s="161"/>
      <c r="D11" s="162">
        <f t="shared" ref="D11:O11" si="8">D6-D9</f>
        <v>270670</v>
      </c>
      <c r="E11" s="162">
        <f t="shared" si="8"/>
        <v>282709</v>
      </c>
      <c r="F11" s="162">
        <f t="shared" si="8"/>
        <v>285223</v>
      </c>
      <c r="G11" s="162">
        <f t="shared" si="8"/>
        <v>287349</v>
      </c>
      <c r="H11" s="162">
        <f t="shared" si="8"/>
        <v>313961</v>
      </c>
      <c r="I11" s="162">
        <f t="shared" si="8"/>
        <v>362411</v>
      </c>
      <c r="J11" s="162">
        <f t="shared" si="8"/>
        <v>413467</v>
      </c>
      <c r="K11" s="162">
        <f t="shared" si="8"/>
        <v>415958</v>
      </c>
      <c r="L11" s="162">
        <f t="shared" si="8"/>
        <v>416931</v>
      </c>
      <c r="M11" s="162">
        <f t="shared" si="8"/>
        <v>294116</v>
      </c>
      <c r="N11" s="162">
        <f t="shared" si="8"/>
        <v>0</v>
      </c>
      <c r="O11" s="162">
        <f t="shared" si="8"/>
        <v>188264</v>
      </c>
      <c r="P11" s="353"/>
      <c r="Q11" s="163"/>
      <c r="R11" s="354">
        <f t="shared" ref="R11:AB11" si="9">R6-R9</f>
        <v>247843</v>
      </c>
      <c r="S11" s="164">
        <f t="shared" si="9"/>
        <v>306756</v>
      </c>
      <c r="T11" s="164">
        <f t="shared" si="9"/>
        <v>277250</v>
      </c>
      <c r="U11" s="164">
        <f t="shared" si="9"/>
        <v>262131</v>
      </c>
      <c r="V11" s="164">
        <f t="shared" si="9"/>
        <v>171617</v>
      </c>
      <c r="W11" s="164">
        <f t="shared" si="9"/>
        <v>235875</v>
      </c>
      <c r="X11" s="164">
        <f t="shared" si="9"/>
        <v>354012</v>
      </c>
      <c r="Y11" s="164">
        <f t="shared" si="9"/>
        <v>355542</v>
      </c>
      <c r="Z11" s="164">
        <f t="shared" si="9"/>
        <v>349213</v>
      </c>
      <c r="AA11" s="164">
        <f t="shared" si="9"/>
        <v>269352</v>
      </c>
      <c r="AB11" s="164">
        <f t="shared" si="9"/>
        <v>170626</v>
      </c>
      <c r="AC11" s="164"/>
      <c r="AD11" s="355"/>
      <c r="AE11" s="154"/>
      <c r="AF11" s="164">
        <f t="shared" ref="AF11:AQ11" si="10">AF6-AF9</f>
        <v>238607</v>
      </c>
      <c r="AG11" s="164">
        <f t="shared" si="10"/>
        <v>269553</v>
      </c>
      <c r="AH11" s="164">
        <f t="shared" si="10"/>
        <v>374962</v>
      </c>
      <c r="AI11" s="164">
        <f t="shared" si="10"/>
        <v>369869</v>
      </c>
      <c r="AJ11" s="164">
        <f t="shared" si="10"/>
        <v>392253</v>
      </c>
      <c r="AK11" s="164">
        <f t="shared" si="10"/>
        <v>440333</v>
      </c>
      <c r="AL11" s="164">
        <f t="shared" si="10"/>
        <v>381069</v>
      </c>
      <c r="AM11" s="164">
        <f t="shared" si="10"/>
        <v>425509</v>
      </c>
      <c r="AN11" s="164">
        <f t="shared" si="10"/>
        <v>413562</v>
      </c>
      <c r="AO11" s="164">
        <f t="shared" si="10"/>
        <v>375268</v>
      </c>
      <c r="AP11" s="164">
        <f t="shared" si="10"/>
        <v>147208</v>
      </c>
      <c r="AQ11" s="164">
        <f t="shared" si="10"/>
        <v>110349</v>
      </c>
      <c r="AR11" s="164">
        <f t="shared" si="3"/>
        <v>110349</v>
      </c>
      <c r="AS11" s="154"/>
      <c r="AT11" s="164">
        <f t="shared" ref="AT11:BE11" si="11">AT6-AT9</f>
        <v>229228</v>
      </c>
      <c r="AU11" s="164">
        <f t="shared" si="11"/>
        <v>174555</v>
      </c>
      <c r="AV11" s="164">
        <f t="shared" si="11"/>
        <v>203442</v>
      </c>
      <c r="AW11" s="164">
        <f t="shared" si="11"/>
        <v>187515</v>
      </c>
      <c r="AX11" s="164">
        <f t="shared" si="11"/>
        <v>175681</v>
      </c>
      <c r="AY11" s="164">
        <f t="shared" si="11"/>
        <v>180106</v>
      </c>
      <c r="AZ11" s="164">
        <f t="shared" si="11"/>
        <v>257602</v>
      </c>
      <c r="BA11" s="164">
        <f t="shared" si="11"/>
        <v>224176</v>
      </c>
      <c r="BB11" s="164">
        <f t="shared" si="11"/>
        <v>244457</v>
      </c>
      <c r="BC11" s="164">
        <f t="shared" si="11"/>
        <v>226687</v>
      </c>
      <c r="BD11" s="164">
        <f t="shared" si="11"/>
        <v>223462</v>
      </c>
      <c r="BE11" s="164">
        <f t="shared" si="11"/>
        <v>149933</v>
      </c>
      <c r="BF11" s="164">
        <f t="shared" si="5"/>
        <v>149933</v>
      </c>
      <c r="BG11" s="156"/>
      <c r="BH11" s="164">
        <f t="shared" ref="BH11:BS11" si="12">BH6-BH9</f>
        <v>243064</v>
      </c>
      <c r="BI11" s="164">
        <f t="shared" si="12"/>
        <v>207842.66666666669</v>
      </c>
      <c r="BJ11" s="164">
        <f t="shared" si="12"/>
        <v>202739.33333333337</v>
      </c>
      <c r="BK11" s="164">
        <f t="shared" si="12"/>
        <v>183791.00000000006</v>
      </c>
      <c r="BL11" s="164">
        <f t="shared" si="12"/>
        <v>217017.66666666674</v>
      </c>
      <c r="BM11" s="164">
        <f t="shared" si="12"/>
        <v>233379.00000000006</v>
      </c>
      <c r="BN11" s="164">
        <f t="shared" si="12"/>
        <v>226607.00000000006</v>
      </c>
      <c r="BO11" s="164">
        <f t="shared" si="12"/>
        <v>212653.14285714287</v>
      </c>
      <c r="BP11" s="164">
        <f t="shared" si="12"/>
        <v>164394.57142857142</v>
      </c>
      <c r="BQ11" s="164">
        <f t="shared" si="12"/>
        <v>135453.90476190476</v>
      </c>
      <c r="BR11" s="164">
        <f t="shared" si="12"/>
        <v>161251.32900432899</v>
      </c>
      <c r="BS11" s="164">
        <f t="shared" si="12"/>
        <v>160115.45021645018</v>
      </c>
      <c r="BT11" s="164">
        <f t="shared" si="7"/>
        <v>160115.45021645018</v>
      </c>
      <c r="BU11" s="154"/>
    </row>
    <row r="12" spans="1:73">
      <c r="A12" s="148" t="s">
        <v>42</v>
      </c>
      <c r="B12" s="148"/>
      <c r="C12" s="150" t="s">
        <v>43</v>
      </c>
      <c r="D12" s="165">
        <f>D7-D9</f>
        <v>162884</v>
      </c>
      <c r="E12" s="165">
        <f t="shared" ref="E12:O12" si="13">E7+E10-E9-E48</f>
        <v>200610</v>
      </c>
      <c r="F12" s="165">
        <f t="shared" si="13"/>
        <v>192475</v>
      </c>
      <c r="G12" s="165">
        <f t="shared" si="13"/>
        <v>231853</v>
      </c>
      <c r="H12" s="165">
        <f t="shared" si="13"/>
        <v>253292</v>
      </c>
      <c r="I12" s="165">
        <f t="shared" si="13"/>
        <v>305688</v>
      </c>
      <c r="J12" s="165">
        <f t="shared" si="13"/>
        <v>355297</v>
      </c>
      <c r="K12" s="165">
        <f t="shared" si="13"/>
        <v>367201</v>
      </c>
      <c r="L12" s="165">
        <f t="shared" si="13"/>
        <v>407523</v>
      </c>
      <c r="M12" s="165">
        <f t="shared" si="13"/>
        <v>297747</v>
      </c>
      <c r="N12" s="165">
        <f t="shared" si="13"/>
        <v>0</v>
      </c>
      <c r="O12" s="165">
        <f t="shared" si="13"/>
        <v>143875</v>
      </c>
      <c r="P12" s="350">
        <f>J12</f>
        <v>355297</v>
      </c>
      <c r="Q12" s="152"/>
      <c r="R12" s="356">
        <f>R7-R9</f>
        <v>172568</v>
      </c>
      <c r="S12" s="151">
        <f t="shared" ref="S12:AC12" si="14">S7+S10-S9-S48</f>
        <v>244205</v>
      </c>
      <c r="T12" s="151">
        <f t="shared" si="14"/>
        <v>237108</v>
      </c>
      <c r="U12" s="151">
        <f t="shared" si="14"/>
        <v>222510</v>
      </c>
      <c r="V12" s="151">
        <f t="shared" si="14"/>
        <v>179647</v>
      </c>
      <c r="W12" s="151">
        <f t="shared" si="14"/>
        <v>289587</v>
      </c>
      <c r="X12" s="151">
        <f t="shared" si="14"/>
        <v>281331</v>
      </c>
      <c r="Y12" s="151">
        <f t="shared" si="14"/>
        <v>325686</v>
      </c>
      <c r="Z12" s="151">
        <f t="shared" si="14"/>
        <v>319329</v>
      </c>
      <c r="AA12" s="151">
        <f t="shared" si="14"/>
        <v>268663</v>
      </c>
      <c r="AB12" s="151">
        <f t="shared" si="14"/>
        <v>187543</v>
      </c>
      <c r="AC12" s="151">
        <f t="shared" si="14"/>
        <v>196995</v>
      </c>
      <c r="AD12" s="351">
        <f>X12</f>
        <v>281331</v>
      </c>
      <c r="AE12" s="153"/>
      <c r="AF12" s="151">
        <f t="shared" ref="AF12:AQ12" si="15">AF7+AF9+AF8</f>
        <v>228387</v>
      </c>
      <c r="AG12" s="151">
        <f t="shared" si="15"/>
        <v>263548</v>
      </c>
      <c r="AH12" s="151">
        <f t="shared" si="15"/>
        <v>366224</v>
      </c>
      <c r="AI12" s="151">
        <f t="shared" si="15"/>
        <v>361348</v>
      </c>
      <c r="AJ12" s="151">
        <f t="shared" si="15"/>
        <v>384008</v>
      </c>
      <c r="AK12" s="151">
        <f t="shared" si="15"/>
        <v>434489</v>
      </c>
      <c r="AL12" s="151">
        <f t="shared" si="15"/>
        <v>436438</v>
      </c>
      <c r="AM12" s="151">
        <f t="shared" si="15"/>
        <v>463198</v>
      </c>
      <c r="AN12" s="151">
        <f t="shared" si="15"/>
        <v>425121</v>
      </c>
      <c r="AO12" s="151">
        <f t="shared" si="15"/>
        <v>355477</v>
      </c>
      <c r="AP12" s="151">
        <f t="shared" si="15"/>
        <v>288104</v>
      </c>
      <c r="AQ12" s="151">
        <f t="shared" si="15"/>
        <v>298855</v>
      </c>
      <c r="AR12" s="151">
        <f t="shared" si="3"/>
        <v>298855</v>
      </c>
      <c r="AS12" s="154"/>
      <c r="AT12" s="151">
        <f t="shared" ref="AT12:BE12" si="16">AT7+AT9+AT8</f>
        <v>326269</v>
      </c>
      <c r="AU12" s="151">
        <f t="shared" si="16"/>
        <v>301870</v>
      </c>
      <c r="AV12" s="151">
        <f t="shared" si="16"/>
        <v>285491</v>
      </c>
      <c r="AW12" s="151">
        <f t="shared" si="16"/>
        <v>267653</v>
      </c>
      <c r="AX12" s="151">
        <f t="shared" si="16"/>
        <v>273960</v>
      </c>
      <c r="AY12" s="151">
        <f t="shared" si="16"/>
        <v>326260</v>
      </c>
      <c r="AZ12" s="151">
        <f t="shared" si="16"/>
        <v>333221</v>
      </c>
      <c r="BA12" s="151">
        <f t="shared" si="16"/>
        <v>354862</v>
      </c>
      <c r="BB12" s="151">
        <f t="shared" si="16"/>
        <v>348162</v>
      </c>
      <c r="BC12" s="151">
        <f t="shared" si="16"/>
        <v>319093</v>
      </c>
      <c r="BD12" s="151">
        <f t="shared" si="16"/>
        <v>293379</v>
      </c>
      <c r="BE12" s="151">
        <f t="shared" si="16"/>
        <v>234110</v>
      </c>
      <c r="BF12" s="164">
        <f t="shared" ref="BF12:BF13" si="17">SUM(AT12:BE12)</f>
        <v>3664330</v>
      </c>
      <c r="BG12" s="156"/>
      <c r="BH12" s="151">
        <f t="shared" ref="BH12:BS12" si="18">BH7+BH9+BH8</f>
        <v>0</v>
      </c>
      <c r="BI12" s="151">
        <f t="shared" si="18"/>
        <v>0</v>
      </c>
      <c r="BJ12" s="151">
        <f t="shared" si="18"/>
        <v>0</v>
      </c>
      <c r="BK12" s="151">
        <f t="shared" si="18"/>
        <v>0</v>
      </c>
      <c r="BL12" s="151">
        <f t="shared" si="18"/>
        <v>0</v>
      </c>
      <c r="BM12" s="151">
        <f t="shared" si="18"/>
        <v>0</v>
      </c>
      <c r="BN12" s="151">
        <f t="shared" si="18"/>
        <v>0</v>
      </c>
      <c r="BO12" s="151">
        <f t="shared" si="18"/>
        <v>0</v>
      </c>
      <c r="BP12" s="151">
        <f t="shared" si="18"/>
        <v>0</v>
      </c>
      <c r="BQ12" s="151">
        <f t="shared" si="18"/>
        <v>0</v>
      </c>
      <c r="BR12" s="151">
        <f t="shared" si="18"/>
        <v>0</v>
      </c>
      <c r="BS12" s="151">
        <f t="shared" si="18"/>
        <v>0</v>
      </c>
      <c r="BT12" s="151">
        <f t="shared" si="7"/>
        <v>0</v>
      </c>
      <c r="BU12" s="153"/>
    </row>
    <row r="13" spans="1:73">
      <c r="A13" s="148" t="s">
        <v>44</v>
      </c>
      <c r="B13" s="148"/>
      <c r="C13" s="150" t="s">
        <v>45</v>
      </c>
      <c r="D13" s="165">
        <f t="shared" ref="D13:O13" si="19">D6-D10-D9</f>
        <v>264261</v>
      </c>
      <c r="E13" s="165">
        <f t="shared" si="19"/>
        <v>275849</v>
      </c>
      <c r="F13" s="165">
        <f t="shared" si="19"/>
        <v>280253</v>
      </c>
      <c r="G13" s="165">
        <f t="shared" si="19"/>
        <v>256146</v>
      </c>
      <c r="H13" s="165">
        <f t="shared" si="19"/>
        <v>282462</v>
      </c>
      <c r="I13" s="165">
        <f t="shared" si="19"/>
        <v>336508</v>
      </c>
      <c r="J13" s="165">
        <f t="shared" si="19"/>
        <v>394861</v>
      </c>
      <c r="K13" s="165">
        <f t="shared" si="19"/>
        <v>399944</v>
      </c>
      <c r="L13" s="165">
        <f t="shared" si="19"/>
        <v>403515</v>
      </c>
      <c r="M13" s="165">
        <f t="shared" si="19"/>
        <v>254037</v>
      </c>
      <c r="N13" s="165">
        <f t="shared" si="19"/>
        <v>0</v>
      </c>
      <c r="O13" s="165">
        <f t="shared" si="19"/>
        <v>188264</v>
      </c>
      <c r="P13" s="350">
        <f t="shared" ref="P13:P14" si="20">O13</f>
        <v>188264</v>
      </c>
      <c r="Q13" s="152"/>
      <c r="R13" s="356">
        <f t="shared" ref="R13:AC13" si="21">R6-R10-R9</f>
        <v>244467</v>
      </c>
      <c r="S13" s="151">
        <f t="shared" si="21"/>
        <v>295020</v>
      </c>
      <c r="T13" s="151">
        <f t="shared" si="21"/>
        <v>254796</v>
      </c>
      <c r="U13" s="151">
        <f t="shared" si="21"/>
        <v>240747</v>
      </c>
      <c r="V13" s="151">
        <f t="shared" si="21"/>
        <v>104747</v>
      </c>
      <c r="W13" s="151">
        <f t="shared" si="21"/>
        <v>162106</v>
      </c>
      <c r="X13" s="151">
        <f t="shared" si="21"/>
        <v>340068</v>
      </c>
      <c r="Y13" s="151">
        <f t="shared" si="21"/>
        <v>322792</v>
      </c>
      <c r="Z13" s="151">
        <f t="shared" si="21"/>
        <v>330677</v>
      </c>
      <c r="AA13" s="151">
        <f t="shared" si="21"/>
        <v>229141</v>
      </c>
      <c r="AB13" s="151">
        <f t="shared" si="21"/>
        <v>126169</v>
      </c>
      <c r="AC13" s="151">
        <f t="shared" si="21"/>
        <v>173047</v>
      </c>
      <c r="AD13" s="351">
        <f t="shared" ref="AD13:AD14" si="22">AC13</f>
        <v>173047</v>
      </c>
      <c r="AE13" s="153"/>
      <c r="AF13" s="357">
        <f t="shared" ref="AF13:AQ13" si="23">AF12-AF9</f>
        <v>220021</v>
      </c>
      <c r="AG13" s="357">
        <f t="shared" si="23"/>
        <v>252014</v>
      </c>
      <c r="AH13" s="357">
        <f t="shared" si="23"/>
        <v>354717</v>
      </c>
      <c r="AI13" s="357">
        <f t="shared" si="23"/>
        <v>352200</v>
      </c>
      <c r="AJ13" s="357">
        <f t="shared" si="23"/>
        <v>375484</v>
      </c>
      <c r="AK13" s="357">
        <f t="shared" si="23"/>
        <v>409199</v>
      </c>
      <c r="AL13" s="357">
        <f t="shared" si="23"/>
        <v>345358</v>
      </c>
      <c r="AM13" s="357">
        <f t="shared" si="23"/>
        <v>396368</v>
      </c>
      <c r="AN13" s="357">
        <f t="shared" si="23"/>
        <v>388255</v>
      </c>
      <c r="AO13" s="357">
        <f t="shared" si="23"/>
        <v>339304</v>
      </c>
      <c r="AP13" s="357">
        <f t="shared" si="23"/>
        <v>109830</v>
      </c>
      <c r="AQ13" s="357">
        <f t="shared" si="23"/>
        <v>88190</v>
      </c>
      <c r="AR13" s="151">
        <f t="shared" si="3"/>
        <v>88190</v>
      </c>
      <c r="AS13" s="154"/>
      <c r="AT13" s="357">
        <f t="shared" ref="AT13:BE13" si="24">AT12-AT9</f>
        <v>205194</v>
      </c>
      <c r="AU13" s="357">
        <f t="shared" si="24"/>
        <v>152494</v>
      </c>
      <c r="AV13" s="357">
        <f t="shared" si="24"/>
        <v>180953</v>
      </c>
      <c r="AW13" s="357">
        <f t="shared" si="24"/>
        <v>162391</v>
      </c>
      <c r="AX13" s="357">
        <f t="shared" si="24"/>
        <v>152887</v>
      </c>
      <c r="AY13" s="357">
        <f t="shared" si="24"/>
        <v>162329</v>
      </c>
      <c r="AZ13" s="357">
        <f t="shared" si="24"/>
        <v>223257</v>
      </c>
      <c r="BA13" s="357">
        <f t="shared" si="24"/>
        <v>206596</v>
      </c>
      <c r="BB13" s="357">
        <f t="shared" si="24"/>
        <v>217465</v>
      </c>
      <c r="BC13" s="357">
        <f t="shared" si="24"/>
        <v>205314</v>
      </c>
      <c r="BD13" s="357">
        <f t="shared" si="24"/>
        <v>202260</v>
      </c>
      <c r="BE13" s="357">
        <f t="shared" si="24"/>
        <v>130824</v>
      </c>
      <c r="BF13" s="164">
        <f t="shared" si="17"/>
        <v>2201964</v>
      </c>
      <c r="BG13" s="166">
        <f>SUM(AT16:AY16)/SUM(AF49:AK49)-1</f>
        <v>0.2283258050797119</v>
      </c>
      <c r="BH13" s="357">
        <f t="shared" ref="BH13:BS13" si="25">BH12-BH9</f>
        <v>0</v>
      </c>
      <c r="BI13" s="357">
        <f t="shared" si="25"/>
        <v>0</v>
      </c>
      <c r="BJ13" s="357">
        <f t="shared" si="25"/>
        <v>0</v>
      </c>
      <c r="BK13" s="357">
        <f t="shared" si="25"/>
        <v>0</v>
      </c>
      <c r="BL13" s="151">
        <f t="shared" si="25"/>
        <v>0</v>
      </c>
      <c r="BM13" s="151">
        <f t="shared" si="25"/>
        <v>0</v>
      </c>
      <c r="BN13" s="151">
        <f t="shared" si="25"/>
        <v>0</v>
      </c>
      <c r="BO13" s="151">
        <f t="shared" si="25"/>
        <v>0</v>
      </c>
      <c r="BP13" s="151">
        <f t="shared" si="25"/>
        <v>0</v>
      </c>
      <c r="BQ13" s="151">
        <f t="shared" si="25"/>
        <v>0</v>
      </c>
      <c r="BR13" s="151">
        <f t="shared" si="25"/>
        <v>0</v>
      </c>
      <c r="BS13" s="151">
        <f t="shared" si="25"/>
        <v>0</v>
      </c>
      <c r="BT13" s="151">
        <f t="shared" si="7"/>
        <v>0</v>
      </c>
      <c r="BU13" s="153"/>
    </row>
    <row r="14" spans="1:73">
      <c r="A14" s="1100" t="s">
        <v>46</v>
      </c>
      <c r="B14" s="1126"/>
      <c r="C14" s="167" t="s">
        <v>47</v>
      </c>
      <c r="D14" s="168">
        <f t="shared" ref="D14:O14" si="26">D6</f>
        <v>304786</v>
      </c>
      <c r="E14" s="168">
        <f t="shared" si="26"/>
        <v>311986</v>
      </c>
      <c r="F14" s="168">
        <f t="shared" si="26"/>
        <v>328231</v>
      </c>
      <c r="G14" s="168">
        <f t="shared" si="26"/>
        <v>317873</v>
      </c>
      <c r="H14" s="168">
        <f t="shared" si="26"/>
        <v>347196</v>
      </c>
      <c r="I14" s="168">
        <f t="shared" si="26"/>
        <v>402253</v>
      </c>
      <c r="J14" s="168">
        <f t="shared" si="26"/>
        <v>454488</v>
      </c>
      <c r="K14" s="168">
        <f t="shared" si="26"/>
        <v>447182</v>
      </c>
      <c r="L14" s="168">
        <f t="shared" si="26"/>
        <v>416931</v>
      </c>
      <c r="M14" s="168">
        <f t="shared" si="26"/>
        <v>304402</v>
      </c>
      <c r="N14" s="168">
        <f t="shared" si="26"/>
        <v>0</v>
      </c>
      <c r="O14" s="168">
        <f t="shared" si="26"/>
        <v>188264</v>
      </c>
      <c r="P14" s="169">
        <f t="shared" si="20"/>
        <v>188264</v>
      </c>
      <c r="Q14" s="170"/>
      <c r="R14" s="171">
        <f t="shared" ref="R14:AC14" si="27">R6</f>
        <v>283359</v>
      </c>
      <c r="S14" s="172">
        <f t="shared" si="27"/>
        <v>342718</v>
      </c>
      <c r="T14" s="172">
        <f t="shared" si="27"/>
        <v>313212</v>
      </c>
      <c r="U14" s="172">
        <f t="shared" si="27"/>
        <v>298093</v>
      </c>
      <c r="V14" s="172">
        <f t="shared" si="27"/>
        <v>206617</v>
      </c>
      <c r="W14" s="172">
        <f t="shared" si="27"/>
        <v>235875</v>
      </c>
      <c r="X14" s="172">
        <f t="shared" si="27"/>
        <v>360135</v>
      </c>
      <c r="Y14" s="172">
        <f t="shared" si="27"/>
        <v>361665</v>
      </c>
      <c r="Z14" s="172">
        <f t="shared" si="27"/>
        <v>353400</v>
      </c>
      <c r="AA14" s="172">
        <f t="shared" si="27"/>
        <v>272097</v>
      </c>
      <c r="AB14" s="172">
        <f t="shared" si="27"/>
        <v>170626</v>
      </c>
      <c r="AC14" s="172">
        <f t="shared" si="27"/>
        <v>197551</v>
      </c>
      <c r="AD14" s="358">
        <f t="shared" si="22"/>
        <v>197551</v>
      </c>
      <c r="AE14" s="173"/>
      <c r="AF14" s="172">
        <f t="shared" ref="AF14:AQ14" si="28">AF6-AF48</f>
        <v>246973</v>
      </c>
      <c r="AG14" s="172">
        <f t="shared" si="28"/>
        <v>281087</v>
      </c>
      <c r="AH14" s="172">
        <f t="shared" si="28"/>
        <v>386469</v>
      </c>
      <c r="AI14" s="172">
        <f t="shared" si="28"/>
        <v>379017</v>
      </c>
      <c r="AJ14" s="172">
        <f t="shared" si="28"/>
        <v>400777</v>
      </c>
      <c r="AK14" s="172">
        <f t="shared" si="28"/>
        <v>465623</v>
      </c>
      <c r="AL14" s="172">
        <f t="shared" si="28"/>
        <v>472149</v>
      </c>
      <c r="AM14" s="172">
        <f t="shared" si="28"/>
        <v>492339</v>
      </c>
      <c r="AN14" s="172">
        <f t="shared" si="28"/>
        <v>450428</v>
      </c>
      <c r="AO14" s="172">
        <f t="shared" si="28"/>
        <v>391441</v>
      </c>
      <c r="AP14" s="172">
        <f t="shared" si="28"/>
        <v>325482</v>
      </c>
      <c r="AQ14" s="172">
        <f t="shared" si="28"/>
        <v>312076</v>
      </c>
      <c r="AR14" s="172">
        <f t="shared" si="3"/>
        <v>312076</v>
      </c>
      <c r="AS14" s="173"/>
      <c r="AT14" s="172">
        <f t="shared" ref="AT14:BB14" si="29">AT6-AT48</f>
        <v>243661</v>
      </c>
      <c r="AU14" s="172">
        <f t="shared" si="29"/>
        <v>233232</v>
      </c>
      <c r="AV14" s="172">
        <f t="shared" si="29"/>
        <v>218299</v>
      </c>
      <c r="AW14" s="172">
        <f t="shared" si="29"/>
        <v>233987</v>
      </c>
      <c r="AX14" s="172">
        <f t="shared" si="29"/>
        <v>261234</v>
      </c>
      <c r="AY14" s="172">
        <f t="shared" si="29"/>
        <v>282486</v>
      </c>
      <c r="AZ14" s="172">
        <f t="shared" si="29"/>
        <v>296055</v>
      </c>
      <c r="BA14" s="172">
        <f t="shared" si="29"/>
        <v>308825</v>
      </c>
      <c r="BB14" s="172">
        <f t="shared" si="29"/>
        <v>308406</v>
      </c>
      <c r="BC14" s="172">
        <f t="shared" ref="BC14:BE14" si="30">BB14-BC16+BC57-BC48</f>
        <v>137005.70924434217</v>
      </c>
      <c r="BD14" s="172">
        <f t="shared" si="30"/>
        <v>94095.12236286921</v>
      </c>
      <c r="BE14" s="172">
        <f t="shared" si="30"/>
        <v>78605.509397775226</v>
      </c>
      <c r="BF14" s="172">
        <f>BE14</f>
        <v>78605.509397775226</v>
      </c>
      <c r="BG14" s="174">
        <f>BG16/AR16</f>
        <v>7.0333736034655189E-2</v>
      </c>
      <c r="BH14" s="172">
        <f t="shared" ref="BH14:BS14" si="31">BH6-BH48</f>
        <v>243064</v>
      </c>
      <c r="BI14" s="172">
        <f t="shared" si="31"/>
        <v>207842.66666666669</v>
      </c>
      <c r="BJ14" s="172">
        <f t="shared" si="31"/>
        <v>202739.33333333337</v>
      </c>
      <c r="BK14" s="172">
        <f t="shared" si="31"/>
        <v>183791.00000000006</v>
      </c>
      <c r="BL14" s="175">
        <f t="shared" si="31"/>
        <v>217017.66666666674</v>
      </c>
      <c r="BM14" s="175">
        <f t="shared" si="31"/>
        <v>233379.00000000006</v>
      </c>
      <c r="BN14" s="175">
        <f t="shared" si="31"/>
        <v>226607.00000000006</v>
      </c>
      <c r="BO14" s="175">
        <f t="shared" si="31"/>
        <v>212653.14285714287</v>
      </c>
      <c r="BP14" s="175">
        <f t="shared" si="31"/>
        <v>164394.57142857142</v>
      </c>
      <c r="BQ14" s="175">
        <f t="shared" si="31"/>
        <v>135453.90476190476</v>
      </c>
      <c r="BR14" s="175">
        <f t="shared" si="31"/>
        <v>161251.32900432899</v>
      </c>
      <c r="BS14" s="175">
        <f t="shared" si="31"/>
        <v>160115.45021645018</v>
      </c>
      <c r="BT14" s="175">
        <f t="shared" si="7"/>
        <v>160115.45021645018</v>
      </c>
      <c r="BU14" s="173"/>
    </row>
    <row r="15" spans="1:73">
      <c r="A15" s="176"/>
      <c r="B15" s="359" t="s">
        <v>48</v>
      </c>
      <c r="C15" s="282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284"/>
      <c r="Q15" s="49"/>
      <c r="R15" s="283"/>
      <c r="S15" s="50"/>
      <c r="T15" s="50"/>
      <c r="U15" s="50"/>
      <c r="V15" s="51"/>
      <c r="W15" s="51"/>
      <c r="X15" s="51"/>
      <c r="Y15" s="51"/>
      <c r="Z15" s="51"/>
      <c r="AA15" s="51"/>
      <c r="AB15" s="51"/>
      <c r="AC15" s="50"/>
      <c r="AD15" s="285"/>
      <c r="AE15" s="23"/>
      <c r="AF15" s="286">
        <f t="shared" ref="AF15:AP15" si="32">AF6/AG16</f>
        <v>1.3876680694696506</v>
      </c>
      <c r="AG15" s="286">
        <f t="shared" si="32"/>
        <v>3.8178718896012169</v>
      </c>
      <c r="AH15" s="286">
        <f t="shared" si="32"/>
        <v>4.3249513194118041</v>
      </c>
      <c r="AI15" s="286">
        <f t="shared" si="32"/>
        <v>3.1032881916583426</v>
      </c>
      <c r="AJ15" s="286">
        <f t="shared" si="32"/>
        <v>2.6977450188476038</v>
      </c>
      <c r="AK15" s="286">
        <f t="shared" si="32"/>
        <v>3.0634099805914667</v>
      </c>
      <c r="AL15" s="286">
        <f t="shared" si="32"/>
        <v>1.9763209336006664</v>
      </c>
      <c r="AM15" s="286">
        <f t="shared" si="32"/>
        <v>1.8853931580291039</v>
      </c>
      <c r="AN15" s="286">
        <f t="shared" si="32"/>
        <v>1.7601719421649082</v>
      </c>
      <c r="AO15" s="286">
        <f t="shared" si="32"/>
        <v>3.0429182213930348</v>
      </c>
      <c r="AP15" s="286">
        <f t="shared" si="32"/>
        <v>3.3266762060506951</v>
      </c>
      <c r="AQ15" s="286">
        <f>AQ6/AT16</f>
        <v>2.1015749668165311</v>
      </c>
      <c r="AR15" s="287">
        <f t="shared" si="3"/>
        <v>2.1015749668165311</v>
      </c>
      <c r="AS15" s="23"/>
      <c r="AT15" s="286">
        <f t="shared" ref="AT15:AX15" si="33">AT6/AU16</f>
        <v>2.078676878772272</v>
      </c>
      <c r="AU15" s="286">
        <f t="shared" si="33"/>
        <v>2.1017947592948043</v>
      </c>
      <c r="AV15" s="286">
        <f t="shared" si="33"/>
        <v>1.9297580364452378</v>
      </c>
      <c r="AW15" s="286">
        <f t="shared" si="33"/>
        <v>2.4377775525503322</v>
      </c>
      <c r="AX15" s="286">
        <f t="shared" si="33"/>
        <v>2.1450476831468146</v>
      </c>
      <c r="AY15" s="286">
        <f t="shared" ref="AY15:BD15" si="34">AY6/(AZ45+AZ44)</f>
        <v>2.0572684326974824</v>
      </c>
      <c r="AZ15" s="286">
        <f t="shared" si="34"/>
        <v>1.3749564207725904</v>
      </c>
      <c r="BA15" s="286">
        <f t="shared" si="34"/>
        <v>1.7107133445873244</v>
      </c>
      <c r="BB15" s="286">
        <f t="shared" si="34"/>
        <v>1.5052991529201962</v>
      </c>
      <c r="BC15" s="286">
        <f t="shared" si="34"/>
        <v>2.204984888462461</v>
      </c>
      <c r="BD15" s="286">
        <f t="shared" si="34"/>
        <v>4.1558308053625606</v>
      </c>
      <c r="BE15" s="286">
        <f>BE6/BH16</f>
        <v>1.689083814161358</v>
      </c>
      <c r="BF15" s="52"/>
      <c r="BG15" s="27"/>
      <c r="BH15" s="286">
        <f t="shared" ref="BH15:BM15" si="35">BH6/BI16</f>
        <v>1.7262904707341789</v>
      </c>
      <c r="BI15" s="286">
        <f t="shared" si="35"/>
        <v>1.3116136224994217</v>
      </c>
      <c r="BJ15" s="286">
        <f t="shared" si="35"/>
        <v>1.3925520588875029</v>
      </c>
      <c r="BK15" s="286">
        <f t="shared" si="35"/>
        <v>1.4591991742973593</v>
      </c>
      <c r="BL15" s="286">
        <f t="shared" si="35"/>
        <v>1.7350494089053294</v>
      </c>
      <c r="BM15" s="286">
        <f t="shared" si="35"/>
        <v>1.3792106942770019</v>
      </c>
      <c r="BN15" s="53"/>
      <c r="BO15" s="53"/>
      <c r="BP15" s="53"/>
      <c r="BQ15" s="53"/>
      <c r="BR15" s="53"/>
      <c r="BS15" s="53"/>
      <c r="BT15" s="53"/>
      <c r="BU15" s="177"/>
    </row>
    <row r="16" spans="1:73" ht="15.75">
      <c r="A16" s="178">
        <v>6</v>
      </c>
      <c r="B16" s="179" t="s">
        <v>49</v>
      </c>
      <c r="C16" s="180"/>
      <c r="D16" s="181">
        <f t="shared" ref="D16:P16" si="36">SUM(D20:D42)</f>
        <v>82250</v>
      </c>
      <c r="E16" s="181">
        <f t="shared" si="36"/>
        <v>117000</v>
      </c>
      <c r="F16" s="181">
        <f t="shared" si="36"/>
        <v>121750</v>
      </c>
      <c r="G16" s="181">
        <f t="shared" si="36"/>
        <v>150000</v>
      </c>
      <c r="H16" s="181">
        <f t="shared" si="36"/>
        <v>99500</v>
      </c>
      <c r="I16" s="181">
        <f t="shared" si="36"/>
        <v>102000</v>
      </c>
      <c r="J16" s="181">
        <f t="shared" si="36"/>
        <v>177632</v>
      </c>
      <c r="K16" s="181">
        <f t="shared" si="36"/>
        <v>178158</v>
      </c>
      <c r="L16" s="181">
        <f t="shared" si="36"/>
        <v>199211</v>
      </c>
      <c r="M16" s="181">
        <f t="shared" si="36"/>
        <v>229474</v>
      </c>
      <c r="N16" s="181">
        <f t="shared" si="36"/>
        <v>122368</v>
      </c>
      <c r="O16" s="181">
        <f t="shared" si="36"/>
        <v>38421</v>
      </c>
      <c r="P16" s="360">
        <f t="shared" si="36"/>
        <v>1617764</v>
      </c>
      <c r="Q16" s="170"/>
      <c r="R16" s="361">
        <f t="shared" ref="R16:AC16" si="37">R20+R43</f>
        <v>136177.33998294926</v>
      </c>
      <c r="S16" s="182">
        <f t="shared" si="37"/>
        <v>143840.32639116928</v>
      </c>
      <c r="T16" s="182">
        <f t="shared" si="37"/>
        <v>142553.77192982455</v>
      </c>
      <c r="U16" s="182">
        <f t="shared" si="37"/>
        <v>19814.899999999998</v>
      </c>
      <c r="V16" s="182">
        <f t="shared" si="37"/>
        <v>52085</v>
      </c>
      <c r="W16" s="362">
        <f t="shared" si="37"/>
        <v>70169.381950239796</v>
      </c>
      <c r="X16" s="362">
        <f t="shared" si="37"/>
        <v>144463.33333333299</v>
      </c>
      <c r="Y16" s="362">
        <f t="shared" si="37"/>
        <v>226547.08333333331</v>
      </c>
      <c r="Z16" s="362">
        <f t="shared" si="37"/>
        <v>273187.5</v>
      </c>
      <c r="AA16" s="362">
        <f t="shared" si="37"/>
        <v>172100</v>
      </c>
      <c r="AB16" s="362">
        <f t="shared" si="37"/>
        <v>37500</v>
      </c>
      <c r="AC16" s="362">
        <f t="shared" si="37"/>
        <v>0</v>
      </c>
      <c r="AD16" s="363">
        <f>SUM(R16:AC16)</f>
        <v>1418438.6369208493</v>
      </c>
      <c r="AE16" s="113"/>
      <c r="AF16" s="364">
        <f t="shared" ref="AF16:AQ16" si="38">AF20+AF43</f>
        <v>128646</v>
      </c>
      <c r="AG16" s="182">
        <f t="shared" si="38"/>
        <v>177977</v>
      </c>
      <c r="AH16" s="182">
        <f t="shared" si="38"/>
        <v>73624</v>
      </c>
      <c r="AI16" s="182">
        <f t="shared" si="38"/>
        <v>89358</v>
      </c>
      <c r="AJ16" s="182">
        <f t="shared" si="38"/>
        <v>122134</v>
      </c>
      <c r="AK16" s="182">
        <f t="shared" si="38"/>
        <v>148560</v>
      </c>
      <c r="AL16" s="182">
        <f t="shared" si="38"/>
        <v>151995</v>
      </c>
      <c r="AM16" s="182">
        <f t="shared" si="38"/>
        <v>238903</v>
      </c>
      <c r="AN16" s="182">
        <f t="shared" si="38"/>
        <v>261133.33333333334</v>
      </c>
      <c r="AO16" s="182">
        <f t="shared" si="38"/>
        <v>255900</v>
      </c>
      <c r="AP16" s="182">
        <f t="shared" si="38"/>
        <v>128640</v>
      </c>
      <c r="AQ16" s="182">
        <f t="shared" si="38"/>
        <v>97840</v>
      </c>
      <c r="AR16" s="182">
        <f>SUM(AF16:AQ16)</f>
        <v>1874710.3333333333</v>
      </c>
      <c r="AS16" s="113"/>
      <c r="AT16" s="182">
        <f t="shared" ref="AT16:BD16" si="39">AT20+AT43</f>
        <v>152749.25</v>
      </c>
      <c r="AU16" s="182">
        <f t="shared" si="39"/>
        <v>168522.10344827586</v>
      </c>
      <c r="AV16" s="182">
        <f t="shared" si="39"/>
        <v>154121.13793103449</v>
      </c>
      <c r="AW16" s="182">
        <f t="shared" si="39"/>
        <v>159595.13793103449</v>
      </c>
      <c r="AX16" s="182">
        <f t="shared" si="39"/>
        <v>120099.96551724138</v>
      </c>
      <c r="AY16" s="182">
        <f t="shared" si="39"/>
        <v>138343.77777777778</v>
      </c>
      <c r="AZ16" s="182">
        <f t="shared" si="39"/>
        <v>166673.77777777778</v>
      </c>
      <c r="BA16" s="182">
        <f t="shared" si="39"/>
        <v>242442.29629629629</v>
      </c>
      <c r="BB16" s="182">
        <f t="shared" si="39"/>
        <v>243407.77777777778</v>
      </c>
      <c r="BC16" s="182">
        <f t="shared" si="39"/>
        <v>253368.29075565783</v>
      </c>
      <c r="BD16" s="182">
        <f t="shared" si="39"/>
        <v>134555.58688147296</v>
      </c>
      <c r="BE16" s="182">
        <f>BE20+BE44</f>
        <v>72686.612965093984</v>
      </c>
      <c r="BF16" s="182">
        <f t="shared" ref="BF16:BF18" si="40">SUM(AT16:BE16)</f>
        <v>2006565.7150594404</v>
      </c>
      <c r="BG16" s="183">
        <f>BF16-AR16</f>
        <v>131855.38172610709</v>
      </c>
      <c r="BH16" s="182">
        <f t="shared" ref="BH16:BS16" si="41">BH17+BH43</f>
        <v>149915</v>
      </c>
      <c r="BI16" s="182">
        <f t="shared" si="41"/>
        <v>140801.33333333331</v>
      </c>
      <c r="BJ16" s="182">
        <f t="shared" si="41"/>
        <v>158463.33333333331</v>
      </c>
      <c r="BK16" s="182">
        <f t="shared" si="41"/>
        <v>145588.33333333331</v>
      </c>
      <c r="BL16" s="182">
        <f t="shared" si="41"/>
        <v>125953.33333333333</v>
      </c>
      <c r="BM16" s="182">
        <f t="shared" si="41"/>
        <v>125078.66666666667</v>
      </c>
      <c r="BN16" s="182">
        <f t="shared" si="41"/>
        <v>169212</v>
      </c>
      <c r="BO16" s="182">
        <f t="shared" si="41"/>
        <v>191864.33333333334</v>
      </c>
      <c r="BP16" s="182">
        <f t="shared" si="41"/>
        <v>202963.33333333331</v>
      </c>
      <c r="BQ16" s="182">
        <f t="shared" si="41"/>
        <v>191380.66666666666</v>
      </c>
      <c r="BR16" s="182">
        <f t="shared" si="41"/>
        <v>118911.66666666667</v>
      </c>
      <c r="BS16" s="182">
        <f t="shared" si="41"/>
        <v>87961.333333333343</v>
      </c>
      <c r="BT16" s="182">
        <f t="shared" ref="BT16:BT17" si="42">SUM(BH16:BS16)</f>
        <v>1808093.3333333333</v>
      </c>
      <c r="BU16" s="184">
        <f>BT16/BF49-1</f>
        <v>7.2575652326255735E-2</v>
      </c>
    </row>
    <row r="17" spans="1:73">
      <c r="A17" s="185"/>
      <c r="B17" s="186" t="s">
        <v>51</v>
      </c>
      <c r="C17" s="187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365"/>
      <c r="Q17" s="189"/>
      <c r="R17" s="366"/>
      <c r="S17" s="135"/>
      <c r="T17" s="135"/>
      <c r="U17" s="135"/>
      <c r="V17" s="367"/>
      <c r="W17" s="368"/>
      <c r="X17" s="368"/>
      <c r="Y17" s="368"/>
      <c r="Z17" s="368"/>
      <c r="AA17" s="368"/>
      <c r="AB17" s="368"/>
      <c r="AC17" s="190"/>
      <c r="AD17" s="191"/>
      <c r="AE17" s="192"/>
      <c r="AF17" s="369"/>
      <c r="AG17" s="135"/>
      <c r="AH17" s="135"/>
      <c r="AI17" s="135"/>
      <c r="AJ17" s="367"/>
      <c r="AK17" s="367"/>
      <c r="AL17" s="367"/>
      <c r="AM17" s="367"/>
      <c r="AN17" s="135"/>
      <c r="AO17" s="135"/>
      <c r="AP17" s="135"/>
      <c r="AQ17" s="135"/>
      <c r="AR17" s="370"/>
      <c r="AS17" s="192"/>
      <c r="AT17" s="135"/>
      <c r="AU17" s="135"/>
      <c r="AV17" s="135"/>
      <c r="AW17" s="135"/>
      <c r="AX17" s="135"/>
      <c r="AY17" s="193">
        <f t="shared" ref="AY17:BA17" si="43">AY20+AY44</f>
        <v>119777.77777777778</v>
      </c>
      <c r="AZ17" s="193">
        <f t="shared" si="43"/>
        <v>150777.77777777778</v>
      </c>
      <c r="BA17" s="193">
        <f t="shared" si="43"/>
        <v>233098.4962962963</v>
      </c>
      <c r="BB17" s="193">
        <f>BB18/BB19</f>
        <v>210777.77777777778</v>
      </c>
      <c r="BC17" s="193">
        <f>BC20+BC44</f>
        <v>249806.29075565783</v>
      </c>
      <c r="BD17" s="193">
        <f t="shared" ref="BD17:BE17" si="44">BD20+BD44*0.85</f>
        <v>122960.58688147296</v>
      </c>
      <c r="BE17" s="193">
        <f t="shared" si="44"/>
        <v>66386.612965093984</v>
      </c>
      <c r="BF17" s="193">
        <f t="shared" si="40"/>
        <v>1153585.3202318544</v>
      </c>
      <c r="BG17" s="194"/>
      <c r="BH17" s="193">
        <f t="shared" ref="BH17:BS17" si="45">BH18/BH19-0.1*BH18/BH19</f>
        <v>116600</v>
      </c>
      <c r="BI17" s="193">
        <f t="shared" si="45"/>
        <v>111533.33333333333</v>
      </c>
      <c r="BJ17" s="193">
        <f t="shared" si="45"/>
        <v>128533.33333333331</v>
      </c>
      <c r="BK17" s="193">
        <f t="shared" si="45"/>
        <v>115333.33333333333</v>
      </c>
      <c r="BL17" s="193">
        <f t="shared" si="45"/>
        <v>88983.333333333328</v>
      </c>
      <c r="BM17" s="193">
        <f t="shared" si="45"/>
        <v>85906.666666666672</v>
      </c>
      <c r="BN17" s="193">
        <f t="shared" si="45"/>
        <v>123400.00000000001</v>
      </c>
      <c r="BO17" s="193">
        <f t="shared" si="45"/>
        <v>154033.33333333334</v>
      </c>
      <c r="BP17" s="193">
        <f t="shared" si="45"/>
        <v>165433.33333333331</v>
      </c>
      <c r="BQ17" s="193">
        <f t="shared" si="45"/>
        <v>151266.66666666666</v>
      </c>
      <c r="BR17" s="193">
        <f t="shared" si="45"/>
        <v>74666.666666666672</v>
      </c>
      <c r="BS17" s="193">
        <f t="shared" si="45"/>
        <v>28933.333333333336</v>
      </c>
      <c r="BT17" s="193">
        <f t="shared" si="42"/>
        <v>1344623.3333333333</v>
      </c>
      <c r="BU17" s="177"/>
    </row>
    <row r="18" spans="1:73">
      <c r="A18" s="185"/>
      <c r="B18" s="195" t="s">
        <v>52</v>
      </c>
      <c r="C18" s="195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365"/>
      <c r="Q18" s="189"/>
      <c r="R18" s="366"/>
      <c r="S18" s="135"/>
      <c r="T18" s="135"/>
      <c r="U18" s="135"/>
      <c r="V18" s="367"/>
      <c r="W18" s="368"/>
      <c r="X18" s="368"/>
      <c r="Y18" s="368"/>
      <c r="Z18" s="368"/>
      <c r="AA18" s="368"/>
      <c r="AB18" s="368"/>
      <c r="AC18" s="190"/>
      <c r="AD18" s="191"/>
      <c r="AE18" s="192"/>
      <c r="AF18" s="369"/>
      <c r="AG18" s="135"/>
      <c r="AH18" s="135" t="s">
        <v>53</v>
      </c>
      <c r="AI18" s="135"/>
      <c r="AJ18" s="367"/>
      <c r="AK18" s="367"/>
      <c r="AL18" s="367"/>
      <c r="AM18" s="367"/>
      <c r="AN18" s="135">
        <v>6715000</v>
      </c>
      <c r="AO18" s="135">
        <v>6555000</v>
      </c>
      <c r="AP18" s="135">
        <v>2640000</v>
      </c>
      <c r="AQ18" s="135">
        <v>1302000</v>
      </c>
      <c r="AR18" s="370"/>
      <c r="AS18" s="192"/>
      <c r="AT18" s="135">
        <v>3264695</v>
      </c>
      <c r="AU18" s="135">
        <v>3863760</v>
      </c>
      <c r="AV18" s="135">
        <v>3429225</v>
      </c>
      <c r="AW18" s="135">
        <v>3525360</v>
      </c>
      <c r="AX18" s="135">
        <v>2509485</v>
      </c>
      <c r="AY18" s="135">
        <v>2829000</v>
      </c>
      <c r="AZ18" s="135">
        <v>3666000</v>
      </c>
      <c r="BA18" s="135">
        <v>5705000</v>
      </c>
      <c r="BB18" s="135">
        <v>5691000</v>
      </c>
      <c r="BC18" s="135">
        <v>5600000</v>
      </c>
      <c r="BD18" s="135">
        <v>2430000</v>
      </c>
      <c r="BE18" s="135">
        <v>800000</v>
      </c>
      <c r="BF18" s="193">
        <f t="shared" si="40"/>
        <v>43313525</v>
      </c>
      <c r="BG18" s="194"/>
      <c r="BH18" s="135">
        <v>3498000</v>
      </c>
      <c r="BI18" s="135">
        <v>3346000</v>
      </c>
      <c r="BJ18" s="135">
        <v>3856000</v>
      </c>
      <c r="BK18" s="135">
        <v>3460000</v>
      </c>
      <c r="BL18" s="135">
        <v>2669500</v>
      </c>
      <c r="BM18" s="135">
        <v>2577200</v>
      </c>
      <c r="BN18" s="135">
        <v>3702000</v>
      </c>
      <c r="BO18" s="135">
        <v>4621000</v>
      </c>
      <c r="BP18" s="135">
        <v>4963000</v>
      </c>
      <c r="BQ18" s="135">
        <v>4538000</v>
      </c>
      <c r="BR18" s="135">
        <v>2240000</v>
      </c>
      <c r="BS18" s="135">
        <v>868000</v>
      </c>
      <c r="BT18" s="135"/>
      <c r="BU18" s="177"/>
    </row>
    <row r="19" spans="1:73">
      <c r="A19" s="196"/>
      <c r="B19" s="197" t="s">
        <v>54</v>
      </c>
      <c r="C19" s="197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371"/>
      <c r="Q19" s="199"/>
      <c r="R19" s="372"/>
      <c r="S19" s="193"/>
      <c r="T19" s="193"/>
      <c r="U19" s="193"/>
      <c r="V19" s="373"/>
      <c r="W19" s="374"/>
      <c r="X19" s="374"/>
      <c r="Y19" s="374"/>
      <c r="Z19" s="374"/>
      <c r="AA19" s="374"/>
      <c r="AB19" s="374"/>
      <c r="AC19" s="200"/>
      <c r="AD19" s="201"/>
      <c r="AE19" s="23"/>
      <c r="AF19" s="375"/>
      <c r="AG19" s="193"/>
      <c r="AH19" s="193"/>
      <c r="AI19" s="193"/>
      <c r="AJ19" s="373"/>
      <c r="AK19" s="373"/>
      <c r="AL19" s="373"/>
      <c r="AM19" s="373"/>
      <c r="AN19" s="193">
        <f t="shared" ref="AN19:AQ19" si="46">30</f>
        <v>30</v>
      </c>
      <c r="AO19" s="193">
        <f t="shared" si="46"/>
        <v>30</v>
      </c>
      <c r="AP19" s="193">
        <f t="shared" si="46"/>
        <v>30</v>
      </c>
      <c r="AQ19" s="193">
        <f t="shared" si="46"/>
        <v>30</v>
      </c>
      <c r="AR19" s="292"/>
      <c r="AS19" s="23"/>
      <c r="AT19" s="193">
        <v>28</v>
      </c>
      <c r="AU19" s="193">
        <v>29</v>
      </c>
      <c r="AV19" s="193">
        <v>29</v>
      </c>
      <c r="AW19" s="193">
        <v>29</v>
      </c>
      <c r="AX19" s="193">
        <v>29</v>
      </c>
      <c r="AY19" s="193">
        <v>27</v>
      </c>
      <c r="AZ19" s="193">
        <v>27</v>
      </c>
      <c r="BA19" s="193">
        <v>27</v>
      </c>
      <c r="BB19" s="193">
        <v>27</v>
      </c>
      <c r="BC19" s="193">
        <v>26.07</v>
      </c>
      <c r="BD19" s="193">
        <v>26.07</v>
      </c>
      <c r="BE19" s="193">
        <v>26.07</v>
      </c>
      <c r="BF19" s="375"/>
      <c r="BG19" s="93"/>
      <c r="BH19" s="193">
        <v>27</v>
      </c>
      <c r="BI19" s="193">
        <v>27</v>
      </c>
      <c r="BJ19" s="193">
        <v>27</v>
      </c>
      <c r="BK19" s="193">
        <v>27</v>
      </c>
      <c r="BL19" s="193">
        <v>27</v>
      </c>
      <c r="BM19" s="193">
        <v>27</v>
      </c>
      <c r="BN19" s="193">
        <v>27</v>
      </c>
      <c r="BO19" s="193">
        <v>27</v>
      </c>
      <c r="BP19" s="193">
        <v>27</v>
      </c>
      <c r="BQ19" s="193">
        <v>27</v>
      </c>
      <c r="BR19" s="193">
        <v>27</v>
      </c>
      <c r="BS19" s="193">
        <v>27</v>
      </c>
      <c r="BT19" s="193"/>
      <c r="BU19" s="177"/>
    </row>
    <row r="20" spans="1:73">
      <c r="A20" s="202"/>
      <c r="B20" s="376" t="s">
        <v>268</v>
      </c>
      <c r="C20" s="377"/>
      <c r="D20" s="203">
        <v>82250</v>
      </c>
      <c r="E20" s="203">
        <v>117000</v>
      </c>
      <c r="F20" s="203">
        <v>121750</v>
      </c>
      <c r="G20" s="203">
        <v>150000</v>
      </c>
      <c r="H20" s="203">
        <v>99500</v>
      </c>
      <c r="I20" s="203">
        <v>102000</v>
      </c>
      <c r="J20" s="203">
        <v>177632</v>
      </c>
      <c r="K20" s="203">
        <v>178158</v>
      </c>
      <c r="L20" s="203">
        <v>199211</v>
      </c>
      <c r="M20" s="203">
        <v>229474</v>
      </c>
      <c r="N20" s="203">
        <v>122368</v>
      </c>
      <c r="O20" s="203">
        <v>38421</v>
      </c>
      <c r="P20" s="378">
        <f>SUM(D20:O20)</f>
        <v>1617764</v>
      </c>
      <c r="Q20" s="204"/>
      <c r="R20" s="379">
        <v>115619.79612330014</v>
      </c>
      <c r="S20" s="205">
        <v>123327.78253152016</v>
      </c>
      <c r="T20" s="205">
        <v>128854</v>
      </c>
      <c r="U20" s="205">
        <f>126016*0.15</f>
        <v>18902.399999999998</v>
      </c>
      <c r="V20" s="206">
        <v>35234</v>
      </c>
      <c r="W20" s="206">
        <v>56469.381950239796</v>
      </c>
      <c r="X20" s="206">
        <v>118413.33333333299</v>
      </c>
      <c r="Y20" s="206">
        <v>198797.08333333331</v>
      </c>
      <c r="Z20" s="206">
        <v>242087.5</v>
      </c>
      <c r="AA20" s="206">
        <v>140000</v>
      </c>
      <c r="AB20" s="206">
        <v>0</v>
      </c>
      <c r="AC20" s="205">
        <v>-45300</v>
      </c>
      <c r="AD20" s="380">
        <f>SUM(R20:AC20)</f>
        <v>1132405.2772717264</v>
      </c>
      <c r="AE20" s="23"/>
      <c r="AF20" s="381">
        <v>90146</v>
      </c>
      <c r="AG20" s="205">
        <v>155577</v>
      </c>
      <c r="AH20" s="205">
        <v>62953</v>
      </c>
      <c r="AI20" s="205">
        <v>73261</v>
      </c>
      <c r="AJ20" s="206">
        <v>91856</v>
      </c>
      <c r="AK20" s="206">
        <v>120000</v>
      </c>
      <c r="AL20" s="206">
        <v>110295</v>
      </c>
      <c r="AM20" s="206">
        <v>200203</v>
      </c>
      <c r="AN20" s="205">
        <f t="shared" ref="AN20:AQ20" si="47">AN18/AN19</f>
        <v>223833.33333333334</v>
      </c>
      <c r="AO20" s="205">
        <f t="shared" si="47"/>
        <v>218500</v>
      </c>
      <c r="AP20" s="205">
        <f t="shared" si="47"/>
        <v>88000</v>
      </c>
      <c r="AQ20" s="205">
        <f t="shared" si="47"/>
        <v>43400</v>
      </c>
      <c r="AR20" s="364">
        <f>SUM(AF20:AQ20)</f>
        <v>1478024.3333333333</v>
      </c>
      <c r="AS20" s="23"/>
      <c r="AT20" s="205">
        <f t="shared" ref="AT20:BE20" si="48">AT18/AT19</f>
        <v>116596.25</v>
      </c>
      <c r="AU20" s="205">
        <f t="shared" si="48"/>
        <v>133233.10344827586</v>
      </c>
      <c r="AV20" s="205">
        <f t="shared" si="48"/>
        <v>118249.13793103448</v>
      </c>
      <c r="AW20" s="205">
        <f t="shared" si="48"/>
        <v>121564.13793103448</v>
      </c>
      <c r="AX20" s="205">
        <f t="shared" si="48"/>
        <v>86533.965517241377</v>
      </c>
      <c r="AY20" s="205">
        <f t="shared" si="48"/>
        <v>104777.77777777778</v>
      </c>
      <c r="AZ20" s="205">
        <f t="shared" si="48"/>
        <v>135777.77777777778</v>
      </c>
      <c r="BA20" s="205">
        <f t="shared" si="48"/>
        <v>211296.29629629629</v>
      </c>
      <c r="BB20" s="205">
        <f t="shared" si="48"/>
        <v>210777.77777777778</v>
      </c>
      <c r="BC20" s="205">
        <f t="shared" si="48"/>
        <v>214806.29075565783</v>
      </c>
      <c r="BD20" s="205">
        <f t="shared" si="48"/>
        <v>93210.586881472962</v>
      </c>
      <c r="BE20" s="205">
        <f t="shared" si="48"/>
        <v>30686.612965093977</v>
      </c>
      <c r="BF20" s="205">
        <f>SUM(AT20:BE20)</f>
        <v>1577509.7150594404</v>
      </c>
      <c r="BG20" s="27">
        <f>BF20-AR20</f>
        <v>99485.381726107094</v>
      </c>
      <c r="BH20" s="205">
        <f t="shared" ref="BH20:BT20" si="49">BH17</f>
        <v>116600</v>
      </c>
      <c r="BI20" s="205">
        <f t="shared" si="49"/>
        <v>111533.33333333333</v>
      </c>
      <c r="BJ20" s="205">
        <f t="shared" si="49"/>
        <v>128533.33333333331</v>
      </c>
      <c r="BK20" s="205">
        <f t="shared" si="49"/>
        <v>115333.33333333333</v>
      </c>
      <c r="BL20" s="205">
        <f t="shared" si="49"/>
        <v>88983.333333333328</v>
      </c>
      <c r="BM20" s="205">
        <f t="shared" si="49"/>
        <v>85906.666666666672</v>
      </c>
      <c r="BN20" s="205">
        <f t="shared" si="49"/>
        <v>123400.00000000001</v>
      </c>
      <c r="BO20" s="205">
        <f t="shared" si="49"/>
        <v>154033.33333333334</v>
      </c>
      <c r="BP20" s="205">
        <f t="shared" si="49"/>
        <v>165433.33333333331</v>
      </c>
      <c r="BQ20" s="205">
        <f t="shared" si="49"/>
        <v>151266.66666666666</v>
      </c>
      <c r="BR20" s="205">
        <f t="shared" si="49"/>
        <v>74666.666666666672</v>
      </c>
      <c r="BS20" s="205">
        <f t="shared" si="49"/>
        <v>28933.333333333336</v>
      </c>
      <c r="BT20" s="205">
        <f t="shared" si="49"/>
        <v>1344623.3333333333</v>
      </c>
      <c r="BU20" s="184">
        <f>BT20/BF50-1</f>
        <v>4.5550835651166688E-2</v>
      </c>
    </row>
    <row r="21" spans="1:73">
      <c r="A21" s="207"/>
      <c r="B21" s="208"/>
      <c r="C21" s="209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310"/>
      <c r="Q21" s="84"/>
      <c r="R21" s="309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311"/>
      <c r="AE21" s="23"/>
      <c r="AF21" s="312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6"/>
      <c r="AS21" s="23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2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177"/>
    </row>
    <row r="22" spans="1:73" hidden="1">
      <c r="A22" s="94">
        <v>1</v>
      </c>
      <c r="B22" s="1092" t="s">
        <v>56</v>
      </c>
      <c r="C22" s="1127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314">
        <f t="shared" ref="P22:P34" si="50">SUM(D22:O22)</f>
        <v>0</v>
      </c>
      <c r="Q22" s="90"/>
      <c r="R22" s="313">
        <v>7017.5438596491231</v>
      </c>
      <c r="S22" s="91">
        <v>7017.5438596491231</v>
      </c>
      <c r="T22" s="91">
        <f>7017.54385964912/2</f>
        <v>3508.7719298245602</v>
      </c>
      <c r="U22" s="91">
        <f>96*U3</f>
        <v>96</v>
      </c>
      <c r="V22" s="91">
        <v>3000</v>
      </c>
      <c r="W22" s="91">
        <v>7200</v>
      </c>
      <c r="X22" s="91">
        <v>8500</v>
      </c>
      <c r="Y22" s="91">
        <v>8500</v>
      </c>
      <c r="Z22" s="91">
        <v>8500</v>
      </c>
      <c r="AA22" s="91">
        <v>9000</v>
      </c>
      <c r="AB22" s="91">
        <v>9500</v>
      </c>
      <c r="AC22" s="91">
        <v>8500</v>
      </c>
      <c r="AD22" s="315">
        <f t="shared" ref="AD22:AD36" si="51">SUM(R22:AC22)</f>
        <v>80339.859649122809</v>
      </c>
      <c r="AE22" s="23"/>
      <c r="AF22" s="316">
        <v>8000</v>
      </c>
      <c r="AG22" s="91">
        <v>4000</v>
      </c>
      <c r="AH22" s="91">
        <v>5673</v>
      </c>
      <c r="AI22" s="91">
        <v>4500</v>
      </c>
      <c r="AJ22" s="91">
        <v>7892</v>
      </c>
      <c r="AK22" s="91">
        <v>6400</v>
      </c>
      <c r="AL22" s="91">
        <v>8000</v>
      </c>
      <c r="AM22" s="91">
        <v>8000</v>
      </c>
      <c r="AN22" s="91">
        <v>8000</v>
      </c>
      <c r="AO22" s="91">
        <v>8000</v>
      </c>
      <c r="AP22" s="91">
        <v>8800</v>
      </c>
      <c r="AQ22" s="91">
        <v>6400</v>
      </c>
      <c r="AR22" s="92">
        <f t="shared" ref="AR22:AR40" si="52">SUM(AF22:AQ22)</f>
        <v>83665</v>
      </c>
      <c r="AS22" s="23"/>
      <c r="AT22" s="91">
        <v>4861</v>
      </c>
      <c r="AU22" s="91">
        <v>5809</v>
      </c>
      <c r="AV22" s="91">
        <v>5072</v>
      </c>
      <c r="AW22" s="91">
        <v>4725</v>
      </c>
      <c r="AX22" s="317">
        <v>5832</v>
      </c>
      <c r="AY22" s="317">
        <v>5832</v>
      </c>
      <c r="AZ22" s="317">
        <v>5567</v>
      </c>
      <c r="BA22" s="317">
        <v>5567</v>
      </c>
      <c r="BB22" s="317">
        <v>5832</v>
      </c>
      <c r="BC22" s="317">
        <v>6892</v>
      </c>
      <c r="BD22" s="317">
        <v>7422</v>
      </c>
      <c r="BE22" s="317">
        <v>4241</v>
      </c>
      <c r="BF22" s="91">
        <f t="shared" ref="BF22:BF54" si="53">SUM(AT22:BE22)</f>
        <v>67652</v>
      </c>
      <c r="BG22" s="93">
        <f t="shared" ref="BG22:BG40" si="54">BF22/AR22-1</f>
        <v>-0.19139425088149165</v>
      </c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177"/>
    </row>
    <row r="23" spans="1:73" hidden="1">
      <c r="A23" s="94">
        <v>2</v>
      </c>
      <c r="B23" s="1092" t="s">
        <v>57</v>
      </c>
      <c r="C23" s="1127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314">
        <f t="shared" si="50"/>
        <v>0</v>
      </c>
      <c r="Q23" s="90"/>
      <c r="R23" s="313">
        <v>2909</v>
      </c>
      <c r="S23" s="91">
        <v>2545</v>
      </c>
      <c r="T23" s="91">
        <f>2727/1.2</f>
        <v>2272.5</v>
      </c>
      <c r="U23" s="91">
        <f>2*U3</f>
        <v>2</v>
      </c>
      <c r="V23" s="91">
        <v>500</v>
      </c>
      <c r="W23" s="91">
        <v>1300</v>
      </c>
      <c r="X23" s="91">
        <v>3200</v>
      </c>
      <c r="Y23" s="91">
        <v>3200</v>
      </c>
      <c r="Z23" s="91">
        <v>3600</v>
      </c>
      <c r="AA23" s="91">
        <v>3600</v>
      </c>
      <c r="AB23" s="91">
        <v>3600</v>
      </c>
      <c r="AC23" s="91">
        <v>4500</v>
      </c>
      <c r="AD23" s="315">
        <f t="shared" si="51"/>
        <v>31228.5</v>
      </c>
      <c r="AE23" s="23"/>
      <c r="AF23" s="316">
        <v>4000</v>
      </c>
      <c r="AG23" s="91">
        <v>1500</v>
      </c>
      <c r="AH23" s="91">
        <v>189</v>
      </c>
      <c r="AI23" s="91">
        <v>1842</v>
      </c>
      <c r="AJ23" s="91">
        <v>3764</v>
      </c>
      <c r="AK23" s="91">
        <v>3200</v>
      </c>
      <c r="AL23" s="91">
        <v>6000</v>
      </c>
      <c r="AM23" s="91">
        <v>5000</v>
      </c>
      <c r="AN23" s="91">
        <v>5000</v>
      </c>
      <c r="AO23" s="91">
        <v>5000</v>
      </c>
      <c r="AP23" s="91">
        <v>5000</v>
      </c>
      <c r="AQ23" s="91">
        <v>9000</v>
      </c>
      <c r="AR23" s="92">
        <f t="shared" si="52"/>
        <v>49495</v>
      </c>
      <c r="AS23" s="23"/>
      <c r="AT23" s="91">
        <v>5468</v>
      </c>
      <c r="AU23" s="91">
        <v>5468</v>
      </c>
      <c r="AV23" s="91">
        <v>6249</v>
      </c>
      <c r="AW23" s="91">
        <v>6249</v>
      </c>
      <c r="AX23" s="317">
        <v>3923</v>
      </c>
      <c r="AY23" s="317">
        <v>3923</v>
      </c>
      <c r="AZ23" s="317">
        <v>3745</v>
      </c>
      <c r="BA23" s="317">
        <v>3745</v>
      </c>
      <c r="BB23" s="317">
        <v>3923</v>
      </c>
      <c r="BC23" s="317">
        <v>4636</v>
      </c>
      <c r="BD23" s="317">
        <v>4993</v>
      </c>
      <c r="BE23" s="317">
        <v>7133</v>
      </c>
      <c r="BF23" s="91">
        <f t="shared" si="53"/>
        <v>59455</v>
      </c>
      <c r="BG23" s="93">
        <f t="shared" si="54"/>
        <v>0.20123244772199222</v>
      </c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177"/>
    </row>
    <row r="24" spans="1:73" hidden="1">
      <c r="A24" s="94">
        <v>3</v>
      </c>
      <c r="B24" s="1092" t="s">
        <v>58</v>
      </c>
      <c r="C24" s="1127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314">
        <f t="shared" si="50"/>
        <v>0</v>
      </c>
      <c r="Q24" s="90"/>
      <c r="R24" s="313">
        <v>746</v>
      </c>
      <c r="S24" s="91">
        <v>653</v>
      </c>
      <c r="T24" s="91">
        <v>700</v>
      </c>
      <c r="U24" s="91">
        <v>0</v>
      </c>
      <c r="V24" s="91">
        <v>200</v>
      </c>
      <c r="W24" s="91">
        <v>400</v>
      </c>
      <c r="X24" s="91">
        <v>900</v>
      </c>
      <c r="Y24" s="91">
        <v>900</v>
      </c>
      <c r="Z24" s="91">
        <v>900</v>
      </c>
      <c r="AA24" s="91">
        <v>900</v>
      </c>
      <c r="AB24" s="91">
        <v>900</v>
      </c>
      <c r="AC24" s="91">
        <v>1200</v>
      </c>
      <c r="AD24" s="315">
        <f t="shared" si="51"/>
        <v>8399</v>
      </c>
      <c r="AE24" s="23"/>
      <c r="AF24" s="316">
        <v>1800</v>
      </c>
      <c r="AG24" s="91">
        <v>1200</v>
      </c>
      <c r="AH24" s="91">
        <v>230</v>
      </c>
      <c r="AI24" s="91">
        <v>472</v>
      </c>
      <c r="AJ24" s="91">
        <v>1495</v>
      </c>
      <c r="AK24" s="91">
        <v>1200</v>
      </c>
      <c r="AL24" s="91">
        <v>1500</v>
      </c>
      <c r="AM24" s="91">
        <v>1500</v>
      </c>
      <c r="AN24" s="91">
        <v>1500</v>
      </c>
      <c r="AO24" s="91">
        <v>1500</v>
      </c>
      <c r="AP24" s="91">
        <v>1650</v>
      </c>
      <c r="AQ24" s="91">
        <v>2400</v>
      </c>
      <c r="AR24" s="92">
        <f t="shared" si="52"/>
        <v>16447</v>
      </c>
      <c r="AS24" s="23"/>
      <c r="AT24" s="91">
        <v>2438</v>
      </c>
      <c r="AU24" s="91">
        <v>1501</v>
      </c>
      <c r="AV24" s="91">
        <v>1566</v>
      </c>
      <c r="AW24" s="91">
        <v>2127</v>
      </c>
      <c r="AX24" s="317">
        <v>1928</v>
      </c>
      <c r="AY24" s="317">
        <v>1928</v>
      </c>
      <c r="AZ24" s="317">
        <v>1840</v>
      </c>
      <c r="BA24" s="317">
        <v>1840</v>
      </c>
      <c r="BB24" s="317">
        <v>1928</v>
      </c>
      <c r="BC24" s="317">
        <v>2278</v>
      </c>
      <c r="BD24" s="317">
        <v>2454</v>
      </c>
      <c r="BE24" s="317">
        <v>3505</v>
      </c>
      <c r="BF24" s="91">
        <f t="shared" si="53"/>
        <v>25333</v>
      </c>
      <c r="BG24" s="93">
        <f t="shared" si="54"/>
        <v>0.54028090229221126</v>
      </c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177"/>
    </row>
    <row r="25" spans="1:73" hidden="1">
      <c r="A25" s="94">
        <v>4</v>
      </c>
      <c r="B25" s="1092" t="s">
        <v>59</v>
      </c>
      <c r="C25" s="1127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314">
        <f t="shared" si="50"/>
        <v>0</v>
      </c>
      <c r="Q25" s="90"/>
      <c r="R25" s="313">
        <v>1455</v>
      </c>
      <c r="S25" s="91">
        <f>2036</f>
        <v>2036</v>
      </c>
      <c r="T25" s="91">
        <f>2182/2</f>
        <v>1091</v>
      </c>
      <c r="U25" s="91">
        <v>0</v>
      </c>
      <c r="V25" s="91">
        <v>200</v>
      </c>
      <c r="W25" s="91">
        <v>900</v>
      </c>
      <c r="X25" s="91">
        <v>1600</v>
      </c>
      <c r="Y25" s="91">
        <v>1600</v>
      </c>
      <c r="Z25" s="91">
        <v>1600</v>
      </c>
      <c r="AA25" s="91">
        <v>1600</v>
      </c>
      <c r="AB25" s="91">
        <v>2200</v>
      </c>
      <c r="AC25" s="91">
        <v>2500</v>
      </c>
      <c r="AD25" s="315">
        <f t="shared" si="51"/>
        <v>16782</v>
      </c>
      <c r="AE25" s="23"/>
      <c r="AF25" s="316">
        <v>2200</v>
      </c>
      <c r="AG25" s="91">
        <v>1500</v>
      </c>
      <c r="AH25" s="91">
        <v>121</v>
      </c>
      <c r="AI25" s="91">
        <v>565</v>
      </c>
      <c r="AJ25" s="91">
        <v>1514</v>
      </c>
      <c r="AK25" s="91">
        <v>1760</v>
      </c>
      <c r="AL25" s="91">
        <v>1800</v>
      </c>
      <c r="AM25" s="91">
        <v>2200</v>
      </c>
      <c r="AN25" s="91">
        <v>2200</v>
      </c>
      <c r="AO25" s="91">
        <v>2200</v>
      </c>
      <c r="AP25" s="91">
        <v>2420</v>
      </c>
      <c r="AQ25" s="91">
        <v>3520</v>
      </c>
      <c r="AR25" s="92">
        <f t="shared" si="52"/>
        <v>22000</v>
      </c>
      <c r="AS25" s="23"/>
      <c r="AT25" s="91">
        <v>1529</v>
      </c>
      <c r="AU25" s="91">
        <v>1516</v>
      </c>
      <c r="AV25" s="91">
        <v>1586</v>
      </c>
      <c r="AW25" s="91">
        <v>1979</v>
      </c>
      <c r="AX25" s="317">
        <v>1283</v>
      </c>
      <c r="AY25" s="317">
        <v>1283</v>
      </c>
      <c r="AZ25" s="317">
        <v>1224</v>
      </c>
      <c r="BA25" s="317">
        <v>1224</v>
      </c>
      <c r="BB25" s="317">
        <v>1283</v>
      </c>
      <c r="BC25" s="317">
        <v>1516</v>
      </c>
      <c r="BD25" s="317">
        <v>1632</v>
      </c>
      <c r="BE25" s="317">
        <v>2332</v>
      </c>
      <c r="BF25" s="91">
        <f t="shared" si="53"/>
        <v>18387</v>
      </c>
      <c r="BG25" s="93">
        <f t="shared" si="54"/>
        <v>-0.16422727272727278</v>
      </c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177"/>
    </row>
    <row r="26" spans="1:73" hidden="1">
      <c r="A26" s="94">
        <v>5</v>
      </c>
      <c r="B26" s="1092" t="s">
        <v>60</v>
      </c>
      <c r="C26" s="1127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314">
        <f t="shared" si="50"/>
        <v>0</v>
      </c>
      <c r="Q26" s="90"/>
      <c r="R26" s="313">
        <v>1353</v>
      </c>
      <c r="S26" s="91">
        <v>1184</v>
      </c>
      <c r="T26" s="91">
        <v>1268</v>
      </c>
      <c r="U26" s="91">
        <f t="shared" ref="U26:V26" si="55">10*U3</f>
        <v>10</v>
      </c>
      <c r="V26" s="91">
        <f t="shared" si="55"/>
        <v>120</v>
      </c>
      <c r="W26" s="91">
        <v>600</v>
      </c>
      <c r="X26" s="91">
        <v>1600</v>
      </c>
      <c r="Y26" s="91">
        <v>1600</v>
      </c>
      <c r="Z26" s="91">
        <v>1600</v>
      </c>
      <c r="AA26" s="91">
        <v>1600</v>
      </c>
      <c r="AB26" s="91">
        <v>1600</v>
      </c>
      <c r="AC26" s="91">
        <v>2200</v>
      </c>
      <c r="AD26" s="315">
        <f t="shared" si="51"/>
        <v>14735</v>
      </c>
      <c r="AE26" s="23"/>
      <c r="AF26" s="316">
        <v>1800</v>
      </c>
      <c r="AG26" s="91">
        <v>1200</v>
      </c>
      <c r="AH26" s="91">
        <v>181</v>
      </c>
      <c r="AI26" s="91">
        <v>628</v>
      </c>
      <c r="AJ26" s="91">
        <v>1169</v>
      </c>
      <c r="AK26" s="91">
        <v>960</v>
      </c>
      <c r="AL26" s="91">
        <v>1500</v>
      </c>
      <c r="AM26" s="91">
        <v>1200</v>
      </c>
      <c r="AN26" s="91">
        <v>1200</v>
      </c>
      <c r="AO26" s="91">
        <v>1200</v>
      </c>
      <c r="AP26" s="91">
        <v>1320</v>
      </c>
      <c r="AQ26" s="91">
        <v>1920</v>
      </c>
      <c r="AR26" s="92">
        <f t="shared" si="52"/>
        <v>14278</v>
      </c>
      <c r="AS26" s="23"/>
      <c r="AT26" s="91">
        <v>1496</v>
      </c>
      <c r="AU26" s="91">
        <v>1200</v>
      </c>
      <c r="AV26" s="91">
        <v>1227</v>
      </c>
      <c r="AW26" s="91">
        <v>1655</v>
      </c>
      <c r="AX26" s="317">
        <v>1141</v>
      </c>
      <c r="AY26" s="317">
        <v>1141</v>
      </c>
      <c r="AZ26" s="317">
        <v>1089</v>
      </c>
      <c r="BA26" s="317">
        <v>1089</v>
      </c>
      <c r="BB26" s="317">
        <v>1141</v>
      </c>
      <c r="BC26" s="317">
        <v>1349</v>
      </c>
      <c r="BD26" s="317">
        <v>1453</v>
      </c>
      <c r="BE26" s="317">
        <v>2075</v>
      </c>
      <c r="BF26" s="91">
        <f t="shared" si="53"/>
        <v>16056</v>
      </c>
      <c r="BG26" s="93">
        <f t="shared" si="54"/>
        <v>0.1245272447121446</v>
      </c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177"/>
    </row>
    <row r="27" spans="1:73" hidden="1">
      <c r="A27" s="94">
        <v>6</v>
      </c>
      <c r="B27" s="1092" t="s">
        <v>61</v>
      </c>
      <c r="C27" s="1127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314">
        <f t="shared" si="50"/>
        <v>0</v>
      </c>
      <c r="Q27" s="90"/>
      <c r="R27" s="313">
        <v>1455</v>
      </c>
      <c r="S27" s="91">
        <v>1273</v>
      </c>
      <c r="T27" s="91">
        <v>1364</v>
      </c>
      <c r="U27" s="91">
        <v>0</v>
      </c>
      <c r="V27" s="91">
        <v>200</v>
      </c>
      <c r="W27" s="91">
        <v>800</v>
      </c>
      <c r="X27" s="91">
        <v>1600</v>
      </c>
      <c r="Y27" s="91">
        <v>1600</v>
      </c>
      <c r="Z27" s="91">
        <v>1600</v>
      </c>
      <c r="AA27" s="91">
        <v>1600</v>
      </c>
      <c r="AB27" s="91">
        <v>1800</v>
      </c>
      <c r="AC27" s="91">
        <v>2400</v>
      </c>
      <c r="AD27" s="315">
        <f t="shared" si="51"/>
        <v>15692</v>
      </c>
      <c r="AE27" s="23"/>
      <c r="AF27" s="316">
        <v>1500</v>
      </c>
      <c r="AG27" s="91">
        <v>1200</v>
      </c>
      <c r="AH27" s="91">
        <v>127</v>
      </c>
      <c r="AI27" s="91">
        <v>426</v>
      </c>
      <c r="AJ27" s="91">
        <v>1063</v>
      </c>
      <c r="AK27" s="91">
        <v>960</v>
      </c>
      <c r="AL27" s="91">
        <v>1500</v>
      </c>
      <c r="AM27" s="91">
        <v>1200</v>
      </c>
      <c r="AN27" s="91">
        <v>1200</v>
      </c>
      <c r="AO27" s="91">
        <v>1200</v>
      </c>
      <c r="AP27" s="91">
        <v>1320</v>
      </c>
      <c r="AQ27" s="91">
        <v>1920</v>
      </c>
      <c r="AR27" s="92">
        <f t="shared" si="52"/>
        <v>13616</v>
      </c>
      <c r="AS27" s="23"/>
      <c r="AT27" s="91">
        <v>1222</v>
      </c>
      <c r="AU27" s="91">
        <v>1200</v>
      </c>
      <c r="AV27" s="91">
        <v>1117</v>
      </c>
      <c r="AW27" s="91">
        <v>1463</v>
      </c>
      <c r="AX27" s="317">
        <v>1087</v>
      </c>
      <c r="AY27" s="317">
        <v>1087</v>
      </c>
      <c r="AZ27" s="317">
        <v>1038</v>
      </c>
      <c r="BA27" s="317">
        <v>1038</v>
      </c>
      <c r="BB27" s="317">
        <v>1087</v>
      </c>
      <c r="BC27" s="317">
        <v>1285</v>
      </c>
      <c r="BD27" s="317">
        <v>1384</v>
      </c>
      <c r="BE27" s="317">
        <v>1977</v>
      </c>
      <c r="BF27" s="91">
        <f t="shared" si="53"/>
        <v>14985</v>
      </c>
      <c r="BG27" s="93">
        <f t="shared" si="54"/>
        <v>0.10054347826086962</v>
      </c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177"/>
    </row>
    <row r="28" spans="1:73" hidden="1">
      <c r="A28" s="94">
        <v>7</v>
      </c>
      <c r="B28" s="1092" t="s">
        <v>62</v>
      </c>
      <c r="C28" s="1127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314">
        <f t="shared" si="50"/>
        <v>0</v>
      </c>
      <c r="Q28" s="90"/>
      <c r="R28" s="313">
        <v>2000</v>
      </c>
      <c r="S28" s="91">
        <f>2182</f>
        <v>2182</v>
      </c>
      <c r="T28" s="91">
        <f>2455/2</f>
        <v>1227.5</v>
      </c>
      <c r="U28" s="91">
        <f>4*U3</f>
        <v>4</v>
      </c>
      <c r="V28" s="91">
        <v>200</v>
      </c>
      <c r="W28" s="91">
        <v>700</v>
      </c>
      <c r="X28" s="91">
        <v>1600</v>
      </c>
      <c r="Y28" s="91">
        <v>1600</v>
      </c>
      <c r="Z28" s="91">
        <v>1600</v>
      </c>
      <c r="AA28" s="91">
        <v>1600</v>
      </c>
      <c r="AB28" s="91">
        <v>2500</v>
      </c>
      <c r="AC28" s="91">
        <v>3200</v>
      </c>
      <c r="AD28" s="315">
        <f t="shared" si="51"/>
        <v>18413.5</v>
      </c>
      <c r="AE28" s="23"/>
      <c r="AF28" s="316">
        <v>2600</v>
      </c>
      <c r="AG28" s="91">
        <v>1000</v>
      </c>
      <c r="AH28" s="91">
        <v>195</v>
      </c>
      <c r="AI28" s="91">
        <v>844</v>
      </c>
      <c r="AJ28" s="91">
        <v>1973</v>
      </c>
      <c r="AK28" s="91">
        <v>1840</v>
      </c>
      <c r="AL28" s="91">
        <v>2000</v>
      </c>
      <c r="AM28" s="91">
        <v>2300</v>
      </c>
      <c r="AN28" s="91">
        <v>2300</v>
      </c>
      <c r="AO28" s="91">
        <v>2300</v>
      </c>
      <c r="AP28" s="91">
        <v>2530</v>
      </c>
      <c r="AQ28" s="91">
        <v>3680</v>
      </c>
      <c r="AR28" s="92">
        <f t="shared" si="52"/>
        <v>23562</v>
      </c>
      <c r="AS28" s="23"/>
      <c r="AT28" s="91">
        <v>1888</v>
      </c>
      <c r="AU28" s="91">
        <v>1414</v>
      </c>
      <c r="AV28" s="91">
        <v>2073</v>
      </c>
      <c r="AW28" s="91">
        <v>2338</v>
      </c>
      <c r="AX28" s="317">
        <v>1857</v>
      </c>
      <c r="AY28" s="317">
        <v>1857</v>
      </c>
      <c r="AZ28" s="317">
        <v>1772</v>
      </c>
      <c r="BA28" s="317">
        <v>1772</v>
      </c>
      <c r="BB28" s="317">
        <v>1857</v>
      </c>
      <c r="BC28" s="317">
        <v>2194</v>
      </c>
      <c r="BD28" s="317">
        <v>2363</v>
      </c>
      <c r="BE28" s="317">
        <v>3376</v>
      </c>
      <c r="BF28" s="91">
        <f t="shared" si="53"/>
        <v>24761</v>
      </c>
      <c r="BG28" s="93">
        <f t="shared" si="54"/>
        <v>5.0887021475256811E-2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177"/>
    </row>
    <row r="29" spans="1:73" hidden="1">
      <c r="A29" s="94">
        <v>8</v>
      </c>
      <c r="B29" s="1092" t="s">
        <v>269</v>
      </c>
      <c r="C29" s="1127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314">
        <f t="shared" si="50"/>
        <v>0</v>
      </c>
      <c r="Q29" s="90"/>
      <c r="R29" s="313">
        <v>1636</v>
      </c>
      <c r="S29" s="91">
        <v>1636</v>
      </c>
      <c r="T29" s="91">
        <f t="shared" ref="T29:T30" si="56">1818/2</f>
        <v>909</v>
      </c>
      <c r="U29" s="91">
        <v>0</v>
      </c>
      <c r="V29" s="91">
        <v>200</v>
      </c>
      <c r="W29" s="91">
        <v>300</v>
      </c>
      <c r="X29" s="91">
        <v>1000</v>
      </c>
      <c r="Y29" s="91">
        <v>1200</v>
      </c>
      <c r="Z29" s="91">
        <v>1600</v>
      </c>
      <c r="AA29" s="91">
        <v>1600</v>
      </c>
      <c r="AB29" s="91">
        <v>1800</v>
      </c>
      <c r="AC29" s="91">
        <v>2300</v>
      </c>
      <c r="AD29" s="315">
        <f t="shared" si="51"/>
        <v>14181</v>
      </c>
      <c r="AE29" s="23"/>
      <c r="AF29" s="316">
        <v>1500</v>
      </c>
      <c r="AG29" s="91">
        <v>1000</v>
      </c>
      <c r="AH29" s="91">
        <v>126</v>
      </c>
      <c r="AI29" s="91">
        <v>387</v>
      </c>
      <c r="AJ29" s="91">
        <v>895</v>
      </c>
      <c r="AK29" s="91">
        <v>800</v>
      </c>
      <c r="AL29" s="91">
        <v>1500</v>
      </c>
      <c r="AM29" s="91">
        <v>1000</v>
      </c>
      <c r="AN29" s="91">
        <v>1000</v>
      </c>
      <c r="AO29" s="91">
        <v>1000</v>
      </c>
      <c r="AP29" s="91">
        <v>1100</v>
      </c>
      <c r="AQ29" s="91">
        <v>1600</v>
      </c>
      <c r="AR29" s="92">
        <f t="shared" si="52"/>
        <v>11908</v>
      </c>
      <c r="AS29" s="23"/>
      <c r="AT29" s="91">
        <v>1182</v>
      </c>
      <c r="AU29" s="91">
        <v>1200</v>
      </c>
      <c r="AV29" s="91">
        <v>932</v>
      </c>
      <c r="AW29" s="91">
        <v>1020</v>
      </c>
      <c r="AX29" s="317">
        <v>0</v>
      </c>
      <c r="AY29" s="317">
        <v>0</v>
      </c>
      <c r="AZ29" s="317">
        <v>0</v>
      </c>
      <c r="BA29" s="317">
        <v>0</v>
      </c>
      <c r="BB29" s="317">
        <v>0</v>
      </c>
      <c r="BC29" s="317">
        <v>0</v>
      </c>
      <c r="BD29" s="317">
        <v>0</v>
      </c>
      <c r="BE29" s="317">
        <v>0</v>
      </c>
      <c r="BF29" s="91">
        <f t="shared" si="53"/>
        <v>4334</v>
      </c>
      <c r="BG29" s="93">
        <f t="shared" si="54"/>
        <v>-0.63604299630500505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177"/>
    </row>
    <row r="30" spans="1:73" hidden="1">
      <c r="A30" s="94">
        <v>9</v>
      </c>
      <c r="B30" s="1092" t="s">
        <v>64</v>
      </c>
      <c r="C30" s="1127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314">
        <f t="shared" si="50"/>
        <v>0</v>
      </c>
      <c r="Q30" s="90"/>
      <c r="R30" s="313">
        <v>1636</v>
      </c>
      <c r="S30" s="91">
        <v>1636</v>
      </c>
      <c r="T30" s="91">
        <f t="shared" si="56"/>
        <v>909</v>
      </c>
      <c r="U30" s="91">
        <f>0.5*U3</f>
        <v>0.5</v>
      </c>
      <c r="V30" s="91">
        <v>200</v>
      </c>
      <c r="W30" s="91">
        <v>300</v>
      </c>
      <c r="X30" s="91">
        <v>1000</v>
      </c>
      <c r="Y30" s="91">
        <v>1200</v>
      </c>
      <c r="Z30" s="91">
        <v>1600</v>
      </c>
      <c r="AA30" s="91">
        <v>1600</v>
      </c>
      <c r="AB30" s="91">
        <v>1800</v>
      </c>
      <c r="AC30" s="91">
        <v>2300</v>
      </c>
      <c r="AD30" s="315">
        <f t="shared" si="51"/>
        <v>14181.5</v>
      </c>
      <c r="AE30" s="23"/>
      <c r="AF30" s="316">
        <v>1500</v>
      </c>
      <c r="AG30" s="91">
        <v>1000</v>
      </c>
      <c r="AH30" s="91">
        <v>764</v>
      </c>
      <c r="AI30" s="91">
        <v>561</v>
      </c>
      <c r="AJ30" s="91">
        <v>1353</v>
      </c>
      <c r="AK30" s="91">
        <v>960</v>
      </c>
      <c r="AL30" s="91">
        <v>1500</v>
      </c>
      <c r="AM30" s="91">
        <v>1200</v>
      </c>
      <c r="AN30" s="91">
        <v>1200</v>
      </c>
      <c r="AO30" s="91">
        <v>1200</v>
      </c>
      <c r="AP30" s="91">
        <v>1320</v>
      </c>
      <c r="AQ30" s="91">
        <v>1920</v>
      </c>
      <c r="AR30" s="92">
        <f t="shared" si="52"/>
        <v>14478</v>
      </c>
      <c r="AS30" s="23"/>
      <c r="AT30" s="91">
        <v>1285</v>
      </c>
      <c r="AU30" s="91">
        <v>957</v>
      </c>
      <c r="AV30" s="91">
        <v>1426</v>
      </c>
      <c r="AW30" s="91">
        <v>1595</v>
      </c>
      <c r="AX30" s="317">
        <v>1767</v>
      </c>
      <c r="AY30" s="317">
        <v>1767</v>
      </c>
      <c r="AZ30" s="317">
        <v>1686</v>
      </c>
      <c r="BA30" s="317">
        <v>1686</v>
      </c>
      <c r="BB30" s="317">
        <v>1767</v>
      </c>
      <c r="BC30" s="317">
        <v>2088</v>
      </c>
      <c r="BD30" s="317">
        <v>2248</v>
      </c>
      <c r="BE30" s="317">
        <v>3212</v>
      </c>
      <c r="BF30" s="91">
        <f t="shared" si="53"/>
        <v>21484</v>
      </c>
      <c r="BG30" s="93">
        <f t="shared" si="54"/>
        <v>0.48390661693604087</v>
      </c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177"/>
    </row>
    <row r="31" spans="1:73" hidden="1">
      <c r="A31" s="94">
        <v>10</v>
      </c>
      <c r="B31" s="1092" t="s">
        <v>270</v>
      </c>
      <c r="C31" s="1127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314">
        <f t="shared" si="50"/>
        <v>0</v>
      </c>
      <c r="Q31" s="90"/>
      <c r="R31" s="313">
        <v>0</v>
      </c>
      <c r="S31" s="91">
        <v>0</v>
      </c>
      <c r="T31" s="91">
        <v>0</v>
      </c>
      <c r="U31" s="91">
        <v>0</v>
      </c>
      <c r="V31" s="91">
        <v>3500</v>
      </c>
      <c r="W31" s="91">
        <v>350</v>
      </c>
      <c r="X31" s="91">
        <v>800</v>
      </c>
      <c r="Y31" s="91">
        <v>1000</v>
      </c>
      <c r="Z31" s="91">
        <v>1600</v>
      </c>
      <c r="AA31" s="91">
        <v>2000</v>
      </c>
      <c r="AB31" s="91">
        <v>2400</v>
      </c>
      <c r="AC31" s="91">
        <v>3000</v>
      </c>
      <c r="AD31" s="315">
        <f t="shared" si="51"/>
        <v>14650</v>
      </c>
      <c r="AE31" s="23"/>
      <c r="AF31" s="316">
        <v>2500</v>
      </c>
      <c r="AG31" s="91">
        <v>1000</v>
      </c>
      <c r="AH31" s="91">
        <f>2500*0.15</f>
        <v>375</v>
      </c>
      <c r="AI31" s="91">
        <v>787</v>
      </c>
      <c r="AJ31" s="91">
        <v>1569</v>
      </c>
      <c r="AK31" s="91">
        <v>2000</v>
      </c>
      <c r="AL31" s="91">
        <v>2500</v>
      </c>
      <c r="AM31" s="91">
        <v>2500</v>
      </c>
      <c r="AN31" s="91">
        <v>2500</v>
      </c>
      <c r="AO31" s="91">
        <v>2500</v>
      </c>
      <c r="AP31" s="91">
        <v>2750</v>
      </c>
      <c r="AQ31" s="91">
        <v>4000</v>
      </c>
      <c r="AR31" s="92">
        <f t="shared" si="52"/>
        <v>24981</v>
      </c>
      <c r="AS31" s="23"/>
      <c r="AT31" s="91">
        <v>1806</v>
      </c>
      <c r="AU31" s="91">
        <v>2046</v>
      </c>
      <c r="AV31" s="91">
        <v>1646</v>
      </c>
      <c r="AW31" s="91">
        <v>1902</v>
      </c>
      <c r="AX31" s="317">
        <v>1545</v>
      </c>
      <c r="AY31" s="317">
        <v>1545</v>
      </c>
      <c r="AZ31" s="317">
        <v>1475</v>
      </c>
      <c r="BA31" s="317">
        <v>1475</v>
      </c>
      <c r="BB31" s="317">
        <v>1545</v>
      </c>
      <c r="BC31" s="317">
        <v>1826</v>
      </c>
      <c r="BD31" s="317">
        <v>0</v>
      </c>
      <c r="BE31" s="317">
        <v>0</v>
      </c>
      <c r="BF31" s="91">
        <f t="shared" si="53"/>
        <v>16811</v>
      </c>
      <c r="BG31" s="93">
        <f t="shared" si="54"/>
        <v>-0.32704855690324641</v>
      </c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177"/>
    </row>
    <row r="32" spans="1:73" hidden="1">
      <c r="A32" s="94">
        <v>11</v>
      </c>
      <c r="B32" s="210" t="s">
        <v>271</v>
      </c>
      <c r="C32" s="211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314">
        <f t="shared" si="50"/>
        <v>0</v>
      </c>
      <c r="Q32" s="90"/>
      <c r="R32" s="313">
        <v>0</v>
      </c>
      <c r="S32" s="91">
        <v>0</v>
      </c>
      <c r="T32" s="91">
        <v>0</v>
      </c>
      <c r="U32" s="91">
        <v>0</v>
      </c>
      <c r="V32" s="91">
        <v>4000</v>
      </c>
      <c r="W32" s="91">
        <v>100</v>
      </c>
      <c r="X32" s="91">
        <v>800</v>
      </c>
      <c r="Y32" s="91">
        <v>800</v>
      </c>
      <c r="Z32" s="91">
        <v>1200</v>
      </c>
      <c r="AA32" s="91">
        <v>1200</v>
      </c>
      <c r="AB32" s="91">
        <v>1800</v>
      </c>
      <c r="AC32" s="91">
        <v>2300</v>
      </c>
      <c r="AD32" s="315">
        <f t="shared" si="51"/>
        <v>12200</v>
      </c>
      <c r="AE32" s="23"/>
      <c r="AF32" s="316">
        <v>1500</v>
      </c>
      <c r="AG32" s="91">
        <v>1000</v>
      </c>
      <c r="AH32" s="91">
        <f t="shared" ref="AH32:AH33" si="57">1500*0.15</f>
        <v>225</v>
      </c>
      <c r="AI32" s="91">
        <v>324</v>
      </c>
      <c r="AJ32" s="91">
        <v>869</v>
      </c>
      <c r="AK32" s="91">
        <v>800</v>
      </c>
      <c r="AL32" s="91">
        <v>1500</v>
      </c>
      <c r="AM32" s="91">
        <v>1000</v>
      </c>
      <c r="AN32" s="91">
        <v>1000</v>
      </c>
      <c r="AO32" s="91">
        <v>1000</v>
      </c>
      <c r="AP32" s="91">
        <v>1100</v>
      </c>
      <c r="AQ32" s="91">
        <v>1600</v>
      </c>
      <c r="AR32" s="92">
        <f t="shared" si="52"/>
        <v>11918</v>
      </c>
      <c r="AS32" s="23"/>
      <c r="AT32" s="91">
        <v>1191</v>
      </c>
      <c r="AU32" s="91">
        <v>1191</v>
      </c>
      <c r="AV32" s="91">
        <v>1191</v>
      </c>
      <c r="AW32" s="91">
        <v>1191</v>
      </c>
      <c r="AX32" s="317">
        <v>876</v>
      </c>
      <c r="AY32" s="317">
        <v>876</v>
      </c>
      <c r="AZ32" s="317">
        <v>836</v>
      </c>
      <c r="BA32" s="317">
        <v>836</v>
      </c>
      <c r="BB32" s="317">
        <v>876</v>
      </c>
      <c r="BC32" s="317">
        <v>1035</v>
      </c>
      <c r="BD32" s="317">
        <v>0</v>
      </c>
      <c r="BE32" s="317">
        <v>0</v>
      </c>
      <c r="BF32" s="91">
        <f t="shared" si="53"/>
        <v>10099</v>
      </c>
      <c r="BG32" s="93">
        <f t="shared" si="54"/>
        <v>-0.15262627957711028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177"/>
    </row>
    <row r="33" spans="1:73" hidden="1">
      <c r="A33" s="94">
        <v>12</v>
      </c>
      <c r="B33" s="210" t="s">
        <v>272</v>
      </c>
      <c r="C33" s="211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314">
        <f t="shared" si="50"/>
        <v>0</v>
      </c>
      <c r="Q33" s="90"/>
      <c r="R33" s="313">
        <v>0</v>
      </c>
      <c r="S33" s="91">
        <v>0</v>
      </c>
      <c r="T33" s="91">
        <v>0</v>
      </c>
      <c r="U33" s="91">
        <v>0</v>
      </c>
      <c r="V33" s="91">
        <v>4000</v>
      </c>
      <c r="W33" s="91">
        <v>0</v>
      </c>
      <c r="X33" s="91">
        <v>800</v>
      </c>
      <c r="Y33" s="91">
        <v>1000</v>
      </c>
      <c r="Z33" s="91">
        <v>1200</v>
      </c>
      <c r="AA33" s="91">
        <v>1200</v>
      </c>
      <c r="AB33" s="91">
        <v>1800</v>
      </c>
      <c r="AC33" s="91">
        <v>2300</v>
      </c>
      <c r="AD33" s="315">
        <f t="shared" si="51"/>
        <v>12300</v>
      </c>
      <c r="AE33" s="23"/>
      <c r="AF33" s="316">
        <v>1500</v>
      </c>
      <c r="AG33" s="91">
        <v>1200</v>
      </c>
      <c r="AH33" s="91">
        <f t="shared" si="57"/>
        <v>225</v>
      </c>
      <c r="AI33" s="91">
        <v>332</v>
      </c>
      <c r="AJ33" s="91">
        <v>945</v>
      </c>
      <c r="AK33" s="91">
        <v>960</v>
      </c>
      <c r="AL33" s="91">
        <v>1500</v>
      </c>
      <c r="AM33" s="91">
        <v>1200</v>
      </c>
      <c r="AN33" s="91">
        <v>1200</v>
      </c>
      <c r="AO33" s="91">
        <v>1200</v>
      </c>
      <c r="AP33" s="91">
        <v>1320</v>
      </c>
      <c r="AQ33" s="91">
        <v>1920</v>
      </c>
      <c r="AR33" s="92">
        <f t="shared" si="52"/>
        <v>13502</v>
      </c>
      <c r="AS33" s="23"/>
      <c r="AT33" s="91">
        <v>1254</v>
      </c>
      <c r="AU33" s="91">
        <v>1254</v>
      </c>
      <c r="AV33" s="91">
        <v>1254</v>
      </c>
      <c r="AW33" s="91">
        <v>1254</v>
      </c>
      <c r="AX33" s="317">
        <v>1236</v>
      </c>
      <c r="AY33" s="317">
        <v>1236</v>
      </c>
      <c r="AZ33" s="317">
        <v>0</v>
      </c>
      <c r="BA33" s="317">
        <v>0</v>
      </c>
      <c r="BB33" s="317">
        <v>0</v>
      </c>
      <c r="BC33" s="317">
        <v>0</v>
      </c>
      <c r="BD33" s="317">
        <v>0</v>
      </c>
      <c r="BE33" s="317">
        <v>0</v>
      </c>
      <c r="BF33" s="91">
        <f t="shared" si="53"/>
        <v>7488</v>
      </c>
      <c r="BG33" s="93">
        <f t="shared" si="54"/>
        <v>-0.44541549400088876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177"/>
    </row>
    <row r="34" spans="1:73" hidden="1">
      <c r="A34" s="94">
        <v>13</v>
      </c>
      <c r="B34" s="210" t="s">
        <v>67</v>
      </c>
      <c r="C34" s="212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4">
        <f t="shared" si="50"/>
        <v>0</v>
      </c>
      <c r="Q34" s="90"/>
      <c r="R34" s="313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2000</v>
      </c>
      <c r="Y34" s="91">
        <v>800</v>
      </c>
      <c r="Z34" s="91">
        <v>800</v>
      </c>
      <c r="AA34" s="91">
        <v>1200</v>
      </c>
      <c r="AB34" s="91">
        <v>1800</v>
      </c>
      <c r="AC34" s="91">
        <v>2300</v>
      </c>
      <c r="AD34" s="315">
        <f t="shared" si="51"/>
        <v>8900</v>
      </c>
      <c r="AE34" s="23"/>
      <c r="AF34" s="316">
        <v>1800</v>
      </c>
      <c r="AG34" s="91">
        <v>1200</v>
      </c>
      <c r="AH34" s="91">
        <f>1800*0.15</f>
        <v>270</v>
      </c>
      <c r="AI34" s="91">
        <v>896</v>
      </c>
      <c r="AJ34" s="91">
        <v>1339</v>
      </c>
      <c r="AK34" s="91">
        <v>1600</v>
      </c>
      <c r="AL34" s="91">
        <v>1800</v>
      </c>
      <c r="AM34" s="91">
        <v>2000</v>
      </c>
      <c r="AN34" s="91">
        <v>2000</v>
      </c>
      <c r="AO34" s="91">
        <v>2000</v>
      </c>
      <c r="AP34" s="91">
        <v>2200</v>
      </c>
      <c r="AQ34" s="91">
        <v>3200</v>
      </c>
      <c r="AR34" s="92">
        <f t="shared" si="52"/>
        <v>20305</v>
      </c>
      <c r="AS34" s="23"/>
      <c r="AT34" s="91">
        <v>1980</v>
      </c>
      <c r="AU34" s="91">
        <v>1980</v>
      </c>
      <c r="AV34" s="91">
        <v>1980</v>
      </c>
      <c r="AW34" s="91">
        <v>1980</v>
      </c>
      <c r="AX34" s="317">
        <v>1409</v>
      </c>
      <c r="AY34" s="317">
        <v>1409</v>
      </c>
      <c r="AZ34" s="317">
        <v>1345</v>
      </c>
      <c r="BA34" s="317">
        <v>1345</v>
      </c>
      <c r="BB34" s="317">
        <v>1409</v>
      </c>
      <c r="BC34" s="317">
        <v>1665</v>
      </c>
      <c r="BD34" s="317">
        <v>1793</v>
      </c>
      <c r="BE34" s="317">
        <v>2562</v>
      </c>
      <c r="BF34" s="91">
        <f t="shared" si="53"/>
        <v>20857</v>
      </c>
      <c r="BG34" s="93">
        <f t="shared" si="54"/>
        <v>2.7185422309775831E-2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177"/>
    </row>
    <row r="35" spans="1:73" hidden="1">
      <c r="A35" s="94">
        <v>14</v>
      </c>
      <c r="B35" s="210" t="s">
        <v>68</v>
      </c>
      <c r="C35" s="212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314"/>
      <c r="Q35" s="90"/>
      <c r="R35" s="313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2000</v>
      </c>
      <c r="Z35" s="91">
        <v>800</v>
      </c>
      <c r="AA35" s="91">
        <v>800</v>
      </c>
      <c r="AB35" s="91">
        <v>1200</v>
      </c>
      <c r="AC35" s="91">
        <v>1800</v>
      </c>
      <c r="AD35" s="315">
        <f t="shared" si="51"/>
        <v>6600</v>
      </c>
      <c r="AE35" s="23"/>
      <c r="AF35" s="316">
        <v>1500</v>
      </c>
      <c r="AG35" s="91">
        <v>1200</v>
      </c>
      <c r="AH35" s="91">
        <f>1500*0.15</f>
        <v>225</v>
      </c>
      <c r="AI35" s="91">
        <v>374</v>
      </c>
      <c r="AJ35" s="91">
        <v>990</v>
      </c>
      <c r="AK35" s="91">
        <v>960</v>
      </c>
      <c r="AL35" s="91">
        <v>1800</v>
      </c>
      <c r="AM35" s="91">
        <v>1200</v>
      </c>
      <c r="AN35" s="91">
        <v>1200</v>
      </c>
      <c r="AO35" s="91">
        <v>1200</v>
      </c>
      <c r="AP35" s="91">
        <v>1320</v>
      </c>
      <c r="AQ35" s="91">
        <v>1920</v>
      </c>
      <c r="AR35" s="92">
        <f t="shared" si="52"/>
        <v>13889</v>
      </c>
      <c r="AS35" s="23"/>
      <c r="AT35" s="91">
        <v>1518</v>
      </c>
      <c r="AU35" s="91">
        <v>1518</v>
      </c>
      <c r="AV35" s="91">
        <v>1518</v>
      </c>
      <c r="AW35" s="91">
        <v>1518</v>
      </c>
      <c r="AX35" s="317">
        <v>1276</v>
      </c>
      <c r="AY35" s="317">
        <v>1276</v>
      </c>
      <c r="AZ35" s="317">
        <v>1218</v>
      </c>
      <c r="BA35" s="317">
        <v>1218</v>
      </c>
      <c r="BB35" s="317">
        <v>1276</v>
      </c>
      <c r="BC35" s="317">
        <v>1508</v>
      </c>
      <c r="BD35" s="317">
        <v>1624</v>
      </c>
      <c r="BE35" s="317">
        <v>2320</v>
      </c>
      <c r="BF35" s="91">
        <f t="shared" si="53"/>
        <v>17788</v>
      </c>
      <c r="BG35" s="93">
        <f t="shared" si="54"/>
        <v>0.2807257541939665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177"/>
    </row>
    <row r="36" spans="1:73" hidden="1">
      <c r="A36" s="94">
        <v>15</v>
      </c>
      <c r="B36" s="210" t="s">
        <v>69</v>
      </c>
      <c r="C36" s="212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314"/>
      <c r="Q36" s="90"/>
      <c r="R36" s="313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2000</v>
      </c>
      <c r="AA36" s="91">
        <v>800</v>
      </c>
      <c r="AB36" s="91">
        <v>800</v>
      </c>
      <c r="AC36" s="91">
        <v>1500</v>
      </c>
      <c r="AD36" s="315">
        <f t="shared" si="51"/>
        <v>5100</v>
      </c>
      <c r="AE36" s="23"/>
      <c r="AF36" s="316">
        <v>1800</v>
      </c>
      <c r="AG36" s="91">
        <v>1200</v>
      </c>
      <c r="AH36" s="91">
        <f>1800*0.4</f>
        <v>720</v>
      </c>
      <c r="AI36" s="91">
        <v>1147</v>
      </c>
      <c r="AJ36" s="91">
        <v>1155</v>
      </c>
      <c r="AK36" s="91">
        <v>1600</v>
      </c>
      <c r="AL36" s="91">
        <v>1800</v>
      </c>
      <c r="AM36" s="91">
        <v>2000</v>
      </c>
      <c r="AN36" s="91">
        <v>2000</v>
      </c>
      <c r="AO36" s="91">
        <v>2000</v>
      </c>
      <c r="AP36" s="91">
        <v>2200</v>
      </c>
      <c r="AQ36" s="91">
        <v>3200</v>
      </c>
      <c r="AR36" s="92">
        <f t="shared" si="52"/>
        <v>20822</v>
      </c>
      <c r="AS36" s="23"/>
      <c r="AT36" s="91">
        <v>1544</v>
      </c>
      <c r="AU36" s="91">
        <v>1544</v>
      </c>
      <c r="AV36" s="91">
        <v>1544</v>
      </c>
      <c r="AW36" s="91">
        <v>1544</v>
      </c>
      <c r="AX36" s="317">
        <v>862</v>
      </c>
      <c r="AY36" s="317">
        <v>862</v>
      </c>
      <c r="AZ36" s="317">
        <v>823</v>
      </c>
      <c r="BA36" s="317">
        <v>823</v>
      </c>
      <c r="BB36" s="317">
        <v>862</v>
      </c>
      <c r="BC36" s="317">
        <v>1019</v>
      </c>
      <c r="BD36" s="317">
        <v>1098</v>
      </c>
      <c r="BE36" s="317">
        <v>1568</v>
      </c>
      <c r="BF36" s="91">
        <f t="shared" si="53"/>
        <v>14093</v>
      </c>
      <c r="BG36" s="93">
        <f t="shared" si="54"/>
        <v>-0.32316780328498707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177"/>
    </row>
    <row r="37" spans="1:73" hidden="1">
      <c r="A37" s="94">
        <v>16</v>
      </c>
      <c r="B37" s="210" t="s">
        <v>273</v>
      </c>
      <c r="C37" s="212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314"/>
      <c r="Q37" s="90"/>
      <c r="R37" s="313"/>
      <c r="S37" s="91"/>
      <c r="T37" s="91"/>
      <c r="U37" s="91"/>
      <c r="V37" s="91"/>
      <c r="W37" s="91"/>
      <c r="X37" s="91"/>
      <c r="Y37" s="91"/>
      <c r="Z37" s="91"/>
      <c r="AA37" s="91">
        <v>800</v>
      </c>
      <c r="AB37" s="91">
        <v>800</v>
      </c>
      <c r="AC37" s="91">
        <v>1500</v>
      </c>
      <c r="AD37" s="315"/>
      <c r="AE37" s="23"/>
      <c r="AF37" s="316">
        <v>1500</v>
      </c>
      <c r="AG37" s="91">
        <v>1200</v>
      </c>
      <c r="AH37" s="91">
        <f>1500*0.15</f>
        <v>225</v>
      </c>
      <c r="AI37" s="91">
        <v>192</v>
      </c>
      <c r="AJ37" s="91">
        <v>663</v>
      </c>
      <c r="AK37" s="91">
        <v>800</v>
      </c>
      <c r="AL37" s="91">
        <v>1500</v>
      </c>
      <c r="AM37" s="91">
        <v>1000</v>
      </c>
      <c r="AN37" s="91">
        <v>1000</v>
      </c>
      <c r="AO37" s="91">
        <v>1000</v>
      </c>
      <c r="AP37" s="91">
        <v>1100</v>
      </c>
      <c r="AQ37" s="91">
        <v>1600</v>
      </c>
      <c r="AR37" s="92">
        <f t="shared" si="52"/>
        <v>11780</v>
      </c>
      <c r="AS37" s="23"/>
      <c r="AT37" s="91">
        <v>960</v>
      </c>
      <c r="AU37" s="91">
        <v>960</v>
      </c>
      <c r="AV37" s="91">
        <v>960</v>
      </c>
      <c r="AW37" s="91">
        <v>960</v>
      </c>
      <c r="AX37" s="317">
        <v>1414</v>
      </c>
      <c r="AY37" s="317">
        <v>1414</v>
      </c>
      <c r="AZ37" s="317">
        <v>1350</v>
      </c>
      <c r="BA37" s="317">
        <v>1350</v>
      </c>
      <c r="BB37" s="317">
        <v>1414</v>
      </c>
      <c r="BC37" s="317">
        <v>1671</v>
      </c>
      <c r="BD37" s="317">
        <v>1800</v>
      </c>
      <c r="BE37" s="317">
        <v>2571</v>
      </c>
      <c r="BF37" s="91">
        <f t="shared" si="53"/>
        <v>16824</v>
      </c>
      <c r="BG37" s="93">
        <f t="shared" si="54"/>
        <v>0.42818336162988113</v>
      </c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177"/>
    </row>
    <row r="38" spans="1:73" hidden="1">
      <c r="A38" s="94" t="s">
        <v>274</v>
      </c>
      <c r="B38" s="210" t="s">
        <v>275</v>
      </c>
      <c r="C38" s="213">
        <v>44378</v>
      </c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314"/>
      <c r="Q38" s="90"/>
      <c r="R38" s="313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315"/>
      <c r="AE38" s="23"/>
      <c r="AF38" s="316">
        <v>0</v>
      </c>
      <c r="AG38" s="91">
        <v>0</v>
      </c>
      <c r="AH38" s="91">
        <v>0</v>
      </c>
      <c r="AI38" s="91">
        <v>0</v>
      </c>
      <c r="AJ38" s="91">
        <v>0</v>
      </c>
      <c r="AK38" s="91">
        <v>400</v>
      </c>
      <c r="AL38" s="91">
        <v>500</v>
      </c>
      <c r="AM38" s="91">
        <v>500</v>
      </c>
      <c r="AN38" s="91">
        <v>600</v>
      </c>
      <c r="AO38" s="91">
        <v>600</v>
      </c>
      <c r="AP38" s="91">
        <v>660</v>
      </c>
      <c r="AQ38" s="91">
        <v>960</v>
      </c>
      <c r="AR38" s="92">
        <f t="shared" si="52"/>
        <v>4220</v>
      </c>
      <c r="AS38" s="23"/>
      <c r="AT38" s="91">
        <v>960</v>
      </c>
      <c r="AU38" s="91">
        <v>960</v>
      </c>
      <c r="AV38" s="91">
        <v>960</v>
      </c>
      <c r="AW38" s="91">
        <v>960</v>
      </c>
      <c r="AX38" s="317">
        <v>580</v>
      </c>
      <c r="AY38" s="317">
        <v>580</v>
      </c>
      <c r="AZ38" s="317">
        <v>554</v>
      </c>
      <c r="BA38" s="317">
        <v>554</v>
      </c>
      <c r="BB38" s="317">
        <v>580</v>
      </c>
      <c r="BC38" s="317">
        <v>686</v>
      </c>
      <c r="BD38" s="317">
        <v>739</v>
      </c>
      <c r="BE38" s="317">
        <v>1055</v>
      </c>
      <c r="BF38" s="91">
        <f t="shared" si="53"/>
        <v>9168</v>
      </c>
      <c r="BG38" s="93">
        <f t="shared" si="54"/>
        <v>1.172511848341232</v>
      </c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177"/>
    </row>
    <row r="39" spans="1:73" hidden="1">
      <c r="A39" s="94" t="s">
        <v>274</v>
      </c>
      <c r="B39" s="210" t="s">
        <v>70</v>
      </c>
      <c r="C39" s="213">
        <v>44440</v>
      </c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314"/>
      <c r="Q39" s="90"/>
      <c r="R39" s="313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315"/>
      <c r="AE39" s="23"/>
      <c r="AF39" s="316">
        <v>0</v>
      </c>
      <c r="AG39" s="91">
        <v>0</v>
      </c>
      <c r="AH39" s="91">
        <v>0</v>
      </c>
      <c r="AI39" s="91">
        <v>0</v>
      </c>
      <c r="AJ39" s="91">
        <v>0</v>
      </c>
      <c r="AK39" s="91">
        <v>0</v>
      </c>
      <c r="AL39" s="91">
        <v>2500</v>
      </c>
      <c r="AM39" s="91">
        <v>2000</v>
      </c>
      <c r="AN39" s="91">
        <v>500</v>
      </c>
      <c r="AO39" s="91">
        <v>600</v>
      </c>
      <c r="AP39" s="91">
        <v>660</v>
      </c>
      <c r="AQ39" s="91">
        <v>960</v>
      </c>
      <c r="AR39" s="92">
        <f t="shared" si="52"/>
        <v>7220</v>
      </c>
      <c r="AS39" s="23"/>
      <c r="AT39" s="91">
        <v>1518</v>
      </c>
      <c r="AU39" s="91">
        <v>1518</v>
      </c>
      <c r="AV39" s="91">
        <v>1518</v>
      </c>
      <c r="AW39" s="91">
        <v>1518</v>
      </c>
      <c r="AX39" s="317">
        <v>1943</v>
      </c>
      <c r="AY39" s="317">
        <v>1943</v>
      </c>
      <c r="AZ39" s="317">
        <v>1854</v>
      </c>
      <c r="BA39" s="317">
        <v>1854</v>
      </c>
      <c r="BB39" s="317">
        <v>1943</v>
      </c>
      <c r="BC39" s="317">
        <v>2296</v>
      </c>
      <c r="BD39" s="317">
        <v>2472</v>
      </c>
      <c r="BE39" s="317">
        <v>3532</v>
      </c>
      <c r="BF39" s="91">
        <f t="shared" si="53"/>
        <v>23909</v>
      </c>
      <c r="BG39" s="93">
        <f t="shared" si="54"/>
        <v>2.3114958448753464</v>
      </c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177"/>
    </row>
    <row r="40" spans="1:73" hidden="1">
      <c r="A40" s="318">
        <v>18</v>
      </c>
      <c r="B40" s="382" t="s">
        <v>65</v>
      </c>
      <c r="C40" s="383">
        <v>44682</v>
      </c>
      <c r="D40" s="321"/>
      <c r="E40" s="321"/>
      <c r="F40" s="321"/>
      <c r="G40" s="321"/>
      <c r="H40" s="321"/>
      <c r="I40" s="321"/>
      <c r="J40" s="321"/>
      <c r="K40" s="321"/>
      <c r="L40" s="321"/>
      <c r="M40" s="321"/>
      <c r="N40" s="321"/>
      <c r="O40" s="321"/>
      <c r="P40" s="321"/>
      <c r="Q40" s="321"/>
      <c r="R40" s="321"/>
      <c r="S40" s="321"/>
      <c r="T40" s="321"/>
      <c r="U40" s="321"/>
      <c r="V40" s="321"/>
      <c r="W40" s="321"/>
      <c r="X40" s="321"/>
      <c r="Y40" s="321"/>
      <c r="Z40" s="321"/>
      <c r="AA40" s="321"/>
      <c r="AB40" s="321"/>
      <c r="AC40" s="321"/>
      <c r="AD40" s="321"/>
      <c r="AE40" s="322"/>
      <c r="AF40" s="323">
        <v>0</v>
      </c>
      <c r="AG40" s="323">
        <v>0</v>
      </c>
      <c r="AH40" s="323">
        <v>0</v>
      </c>
      <c r="AI40" s="323">
        <v>0</v>
      </c>
      <c r="AJ40" s="323">
        <v>0</v>
      </c>
      <c r="AK40" s="323">
        <v>0</v>
      </c>
      <c r="AL40" s="323">
        <v>0</v>
      </c>
      <c r="AM40" s="323">
        <v>0</v>
      </c>
      <c r="AN40" s="323">
        <v>0</v>
      </c>
      <c r="AO40" s="323">
        <v>0</v>
      </c>
      <c r="AP40" s="323">
        <v>0</v>
      </c>
      <c r="AQ40" s="323">
        <v>0</v>
      </c>
      <c r="AR40" s="324">
        <f t="shared" si="52"/>
        <v>0</v>
      </c>
      <c r="AS40" s="322"/>
      <c r="AT40" s="323">
        <v>0</v>
      </c>
      <c r="AU40" s="323">
        <v>0</v>
      </c>
      <c r="AV40" s="323">
        <v>0</v>
      </c>
      <c r="AW40" s="323">
        <v>0</v>
      </c>
      <c r="AX40" s="317">
        <v>800</v>
      </c>
      <c r="AY40" s="317">
        <v>800</v>
      </c>
      <c r="AZ40" s="317">
        <v>800</v>
      </c>
      <c r="BA40" s="317">
        <v>1050</v>
      </c>
      <c r="BB40" s="317">
        <v>1100</v>
      </c>
      <c r="BC40" s="317">
        <v>1300</v>
      </c>
      <c r="BD40" s="317">
        <v>1400</v>
      </c>
      <c r="BE40" s="317">
        <v>2000</v>
      </c>
      <c r="BF40" s="323">
        <f t="shared" si="53"/>
        <v>9250</v>
      </c>
      <c r="BG40" s="325" t="e">
        <f t="shared" si="54"/>
        <v>#DIV/0!</v>
      </c>
      <c r="BH40" s="323"/>
      <c r="BI40" s="323"/>
      <c r="BJ40" s="323"/>
      <c r="BK40" s="323"/>
      <c r="BL40" s="317"/>
      <c r="BM40" s="317"/>
      <c r="BN40" s="317"/>
      <c r="BO40" s="317"/>
      <c r="BP40" s="317"/>
      <c r="BQ40" s="317"/>
      <c r="BR40" s="317"/>
      <c r="BS40" s="317"/>
      <c r="BT40" s="317"/>
      <c r="BU40" s="325"/>
    </row>
    <row r="41" spans="1:73" hidden="1">
      <c r="A41" s="95"/>
      <c r="B41" s="214" t="s">
        <v>276</v>
      </c>
      <c r="C41" s="215">
        <v>44870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23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8"/>
      <c r="AS41" s="23"/>
      <c r="AT41" s="97"/>
      <c r="AU41" s="97"/>
      <c r="AV41" s="97"/>
      <c r="AW41" s="97"/>
      <c r="AX41" s="91"/>
      <c r="AY41" s="91"/>
      <c r="AZ41" s="91"/>
      <c r="BA41" s="91"/>
      <c r="BB41" s="91"/>
      <c r="BC41" s="91"/>
      <c r="BD41" s="91">
        <v>600</v>
      </c>
      <c r="BE41" s="91">
        <v>700</v>
      </c>
      <c r="BF41" s="323">
        <f t="shared" si="53"/>
        <v>1300</v>
      </c>
      <c r="BG41" s="93"/>
      <c r="BH41" s="97"/>
      <c r="BI41" s="97"/>
      <c r="BJ41" s="97"/>
      <c r="BK41" s="97"/>
      <c r="BL41" s="91"/>
      <c r="BM41" s="91"/>
      <c r="BN41" s="91"/>
      <c r="BO41" s="91"/>
      <c r="BP41" s="91"/>
      <c r="BQ41" s="91"/>
      <c r="BR41" s="91"/>
      <c r="BS41" s="91"/>
      <c r="BT41" s="91"/>
      <c r="BU41" s="177"/>
    </row>
    <row r="42" spans="1:73" hidden="1">
      <c r="A42" s="95"/>
      <c r="B42" s="216" t="s">
        <v>71</v>
      </c>
      <c r="C42" s="211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314">
        <f t="shared" ref="P42:P43" si="58">SUM(D42:O42)</f>
        <v>0</v>
      </c>
      <c r="Q42" s="90"/>
      <c r="R42" s="313">
        <v>350</v>
      </c>
      <c r="S42" s="91">
        <v>350</v>
      </c>
      <c r="T42" s="91">
        <v>450</v>
      </c>
      <c r="U42" s="91">
        <v>800</v>
      </c>
      <c r="V42" s="91">
        <v>531</v>
      </c>
      <c r="W42" s="91">
        <v>750</v>
      </c>
      <c r="X42" s="91">
        <v>650</v>
      </c>
      <c r="Y42" s="91">
        <v>750</v>
      </c>
      <c r="Z42" s="91">
        <v>900</v>
      </c>
      <c r="AA42" s="91">
        <v>1000</v>
      </c>
      <c r="AB42" s="91">
        <v>1200</v>
      </c>
      <c r="AC42" s="91">
        <v>1500</v>
      </c>
      <c r="AD42" s="315">
        <f t="shared" ref="AD42:AD43" si="59">SUM(R42:AC42)</f>
        <v>9231</v>
      </c>
      <c r="AE42" s="23"/>
      <c r="AF42" s="316">
        <v>1500</v>
      </c>
      <c r="AG42" s="91">
        <v>800</v>
      </c>
      <c r="AH42" s="91">
        <v>800</v>
      </c>
      <c r="AI42" s="91">
        <v>1820</v>
      </c>
      <c r="AJ42" s="91">
        <v>1630</v>
      </c>
      <c r="AK42" s="91">
        <v>1360</v>
      </c>
      <c r="AL42" s="91">
        <v>1000</v>
      </c>
      <c r="AM42" s="91">
        <v>1700</v>
      </c>
      <c r="AN42" s="91">
        <v>1700</v>
      </c>
      <c r="AO42" s="91">
        <v>1700</v>
      </c>
      <c r="AP42" s="91">
        <v>1870</v>
      </c>
      <c r="AQ42" s="91">
        <v>2720</v>
      </c>
      <c r="AR42" s="92">
        <f t="shared" ref="AR42:AR43" si="60">SUM(AF42:AQ42)</f>
        <v>18600</v>
      </c>
      <c r="AS42" s="23"/>
      <c r="AT42" s="91">
        <v>2053</v>
      </c>
      <c r="AU42" s="91">
        <v>2053</v>
      </c>
      <c r="AV42" s="91">
        <v>2053</v>
      </c>
      <c r="AW42" s="91">
        <v>2053</v>
      </c>
      <c r="AX42" s="91">
        <v>2807</v>
      </c>
      <c r="AY42" s="91">
        <v>2807</v>
      </c>
      <c r="AZ42" s="91">
        <v>2680</v>
      </c>
      <c r="BA42" s="91">
        <v>2680</v>
      </c>
      <c r="BB42" s="91">
        <v>2807</v>
      </c>
      <c r="BC42" s="91">
        <v>3318</v>
      </c>
      <c r="BD42" s="91">
        <v>5870</v>
      </c>
      <c r="BE42" s="91">
        <v>5104</v>
      </c>
      <c r="BF42" s="91">
        <f t="shared" si="53"/>
        <v>36285</v>
      </c>
      <c r="BG42" s="93">
        <f>BF42/AR42-1</f>
        <v>0.95080645161290334</v>
      </c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177"/>
    </row>
    <row r="43" spans="1:73">
      <c r="A43" s="217"/>
      <c r="B43" s="218" t="s">
        <v>277</v>
      </c>
      <c r="C43" s="219"/>
      <c r="D43" s="220">
        <f t="shared" ref="D43:O43" si="61">SUM(D22:D42)</f>
        <v>0</v>
      </c>
      <c r="E43" s="220">
        <f t="shared" si="61"/>
        <v>0</v>
      </c>
      <c r="F43" s="220">
        <f t="shared" si="61"/>
        <v>0</v>
      </c>
      <c r="G43" s="220">
        <f t="shared" si="61"/>
        <v>0</v>
      </c>
      <c r="H43" s="220">
        <f t="shared" si="61"/>
        <v>0</v>
      </c>
      <c r="I43" s="220">
        <f t="shared" si="61"/>
        <v>0</v>
      </c>
      <c r="J43" s="220">
        <f t="shared" si="61"/>
        <v>0</v>
      </c>
      <c r="K43" s="220">
        <f t="shared" si="61"/>
        <v>0</v>
      </c>
      <c r="L43" s="220">
        <f t="shared" si="61"/>
        <v>0</v>
      </c>
      <c r="M43" s="220">
        <f t="shared" si="61"/>
        <v>0</v>
      </c>
      <c r="N43" s="220">
        <f t="shared" si="61"/>
        <v>0</v>
      </c>
      <c r="O43" s="220">
        <f t="shared" si="61"/>
        <v>0</v>
      </c>
      <c r="P43" s="384">
        <f t="shared" si="58"/>
        <v>0</v>
      </c>
      <c r="Q43" s="221"/>
      <c r="R43" s="385">
        <f t="shared" ref="R43:AC43" si="62">SUM(R22:R42)</f>
        <v>20557.543859649122</v>
      </c>
      <c r="S43" s="222">
        <f t="shared" si="62"/>
        <v>20512.543859649122</v>
      </c>
      <c r="T43" s="222">
        <f t="shared" si="62"/>
        <v>13699.771929824561</v>
      </c>
      <c r="U43" s="222">
        <f t="shared" si="62"/>
        <v>912.5</v>
      </c>
      <c r="V43" s="222">
        <f t="shared" si="62"/>
        <v>16851</v>
      </c>
      <c r="W43" s="222">
        <f t="shared" si="62"/>
        <v>13700</v>
      </c>
      <c r="X43" s="222">
        <f t="shared" si="62"/>
        <v>26050</v>
      </c>
      <c r="Y43" s="222">
        <f t="shared" si="62"/>
        <v>27750</v>
      </c>
      <c r="Z43" s="222">
        <f t="shared" si="62"/>
        <v>31100</v>
      </c>
      <c r="AA43" s="222">
        <f t="shared" si="62"/>
        <v>32100</v>
      </c>
      <c r="AB43" s="222">
        <f t="shared" si="62"/>
        <v>37500</v>
      </c>
      <c r="AC43" s="222">
        <f t="shared" si="62"/>
        <v>45300</v>
      </c>
      <c r="AD43" s="386">
        <f t="shared" si="59"/>
        <v>286033.35964912281</v>
      </c>
      <c r="AE43" s="113"/>
      <c r="AF43" s="222">
        <f t="shared" ref="AF43:AQ43" si="63">SUM(AF22:AF42)</f>
        <v>38500</v>
      </c>
      <c r="AG43" s="222">
        <f t="shared" si="63"/>
        <v>22400</v>
      </c>
      <c r="AH43" s="222">
        <f t="shared" si="63"/>
        <v>10671</v>
      </c>
      <c r="AI43" s="222">
        <f t="shared" si="63"/>
        <v>16097</v>
      </c>
      <c r="AJ43" s="222">
        <f t="shared" si="63"/>
        <v>30278</v>
      </c>
      <c r="AK43" s="222">
        <f t="shared" si="63"/>
        <v>28560</v>
      </c>
      <c r="AL43" s="222">
        <f t="shared" si="63"/>
        <v>41700</v>
      </c>
      <c r="AM43" s="222">
        <f t="shared" si="63"/>
        <v>38700</v>
      </c>
      <c r="AN43" s="222">
        <f t="shared" si="63"/>
        <v>37300</v>
      </c>
      <c r="AO43" s="222">
        <f t="shared" si="63"/>
        <v>37400</v>
      </c>
      <c r="AP43" s="222">
        <f t="shared" si="63"/>
        <v>40640</v>
      </c>
      <c r="AQ43" s="222">
        <f t="shared" si="63"/>
        <v>54440</v>
      </c>
      <c r="AR43" s="222">
        <f t="shared" si="60"/>
        <v>396686</v>
      </c>
      <c r="AS43" s="113"/>
      <c r="AT43" s="222">
        <f t="shared" ref="AT43:BE43" si="64">SUM(AT22:AT42)</f>
        <v>36153</v>
      </c>
      <c r="AU43" s="222">
        <f t="shared" si="64"/>
        <v>35289</v>
      </c>
      <c r="AV43" s="222">
        <f t="shared" si="64"/>
        <v>35872</v>
      </c>
      <c r="AW43" s="222">
        <f t="shared" si="64"/>
        <v>38031</v>
      </c>
      <c r="AX43" s="222">
        <f t="shared" si="64"/>
        <v>33566</v>
      </c>
      <c r="AY43" s="222">
        <f t="shared" si="64"/>
        <v>33566</v>
      </c>
      <c r="AZ43" s="222">
        <f t="shared" si="64"/>
        <v>30896</v>
      </c>
      <c r="BA43" s="222">
        <f t="shared" si="64"/>
        <v>31146</v>
      </c>
      <c r="BB43" s="222">
        <f t="shared" si="64"/>
        <v>32630</v>
      </c>
      <c r="BC43" s="222">
        <f t="shared" si="64"/>
        <v>38562</v>
      </c>
      <c r="BD43" s="222">
        <f t="shared" si="64"/>
        <v>41345</v>
      </c>
      <c r="BE43" s="222">
        <f t="shared" si="64"/>
        <v>49263</v>
      </c>
      <c r="BF43" s="222">
        <f t="shared" si="53"/>
        <v>436319</v>
      </c>
      <c r="BG43" s="183">
        <f>BF43-AR43</f>
        <v>39633</v>
      </c>
      <c r="BH43" s="222">
        <v>33315</v>
      </c>
      <c r="BI43" s="222">
        <v>29268</v>
      </c>
      <c r="BJ43" s="222">
        <v>29930</v>
      </c>
      <c r="BK43" s="222">
        <v>30255</v>
      </c>
      <c r="BL43" s="222">
        <v>36970</v>
      </c>
      <c r="BM43" s="222">
        <v>39172</v>
      </c>
      <c r="BN43" s="222">
        <v>45812</v>
      </c>
      <c r="BO43" s="222">
        <v>37831</v>
      </c>
      <c r="BP43" s="222">
        <v>37530</v>
      </c>
      <c r="BQ43" s="222">
        <v>40114</v>
      </c>
      <c r="BR43" s="222">
        <v>44245</v>
      </c>
      <c r="BS43" s="222">
        <v>59028</v>
      </c>
      <c r="BT43" s="222">
        <f>SUM(BH43:BS43)</f>
        <v>463470</v>
      </c>
      <c r="BU43" s="184">
        <f>BT43/BF52-1</f>
        <v>0.15952725253060995</v>
      </c>
    </row>
    <row r="44" spans="1:73">
      <c r="A44" s="223"/>
      <c r="B44" s="224" t="s">
        <v>278</v>
      </c>
      <c r="C44" s="225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39"/>
      <c r="Q44" s="39"/>
      <c r="R44" s="227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9"/>
      <c r="AE44" s="173"/>
      <c r="AF44" s="228"/>
      <c r="AG44" s="228"/>
      <c r="AH44" s="228"/>
      <c r="AI44" s="228"/>
      <c r="AJ44" s="228"/>
      <c r="AK44" s="228"/>
      <c r="AL44" s="230"/>
      <c r="AM44" s="228"/>
      <c r="AN44" s="228"/>
      <c r="AO44" s="228"/>
      <c r="AP44" s="230"/>
      <c r="AQ44" s="230"/>
      <c r="AR44" s="228"/>
      <c r="AS44" s="173"/>
      <c r="AT44" s="228"/>
      <c r="AU44" s="228"/>
      <c r="AV44" s="228"/>
      <c r="AW44" s="228"/>
      <c r="AX44" s="228"/>
      <c r="AY44" s="228">
        <v>15000</v>
      </c>
      <c r="AZ44" s="228">
        <v>15000</v>
      </c>
      <c r="BA44" s="228">
        <f t="shared" ref="BA44:BB44" si="65">BA43*70%</f>
        <v>21802.199999999997</v>
      </c>
      <c r="BB44" s="228">
        <f t="shared" si="65"/>
        <v>22841</v>
      </c>
      <c r="BC44" s="228">
        <v>35000</v>
      </c>
      <c r="BD44" s="228">
        <v>35000</v>
      </c>
      <c r="BE44" s="228">
        <v>42000</v>
      </c>
      <c r="BF44" s="228">
        <f t="shared" si="53"/>
        <v>186643.20000000001</v>
      </c>
      <c r="BG44" s="174"/>
      <c r="BH44" s="228"/>
      <c r="BI44" s="228"/>
      <c r="BJ44" s="228"/>
      <c r="BK44" s="228"/>
      <c r="BL44" s="44"/>
      <c r="BM44" s="44"/>
      <c r="BN44" s="44"/>
      <c r="BO44" s="44"/>
      <c r="BP44" s="44"/>
      <c r="BQ44" s="44"/>
      <c r="BR44" s="44"/>
      <c r="BS44" s="44"/>
      <c r="BT44" s="44"/>
      <c r="BU44" s="173"/>
    </row>
    <row r="45" spans="1:73">
      <c r="A45" s="1100" t="s">
        <v>74</v>
      </c>
      <c r="B45" s="1126"/>
      <c r="C45" s="167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9"/>
      <c r="Q45" s="170"/>
      <c r="R45" s="171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358"/>
      <c r="AE45" s="173"/>
      <c r="AF45" s="172"/>
      <c r="AG45" s="172"/>
      <c r="AH45" s="172"/>
      <c r="AI45" s="172"/>
      <c r="AJ45" s="172"/>
      <c r="AK45" s="172"/>
      <c r="AL45" s="231">
        <f>AL43/AVERAGE($AF$43:$AQ$43)</f>
        <v>1.2614511225503295</v>
      </c>
      <c r="AM45" s="172"/>
      <c r="AN45" s="172"/>
      <c r="AO45" s="172"/>
      <c r="AP45" s="231">
        <f t="shared" ref="AP45:AQ45" si="66">AP43/AVERAGE($AF$43:$AQ$43)</f>
        <v>1.2293854585238704</v>
      </c>
      <c r="AQ45" s="231">
        <f t="shared" si="66"/>
        <v>1.6468441033966412</v>
      </c>
      <c r="AR45" s="172"/>
      <c r="AS45" s="173"/>
      <c r="AT45" s="172">
        <v>109190</v>
      </c>
      <c r="AU45" s="172">
        <v>153667</v>
      </c>
      <c r="AV45" s="172">
        <v>178778</v>
      </c>
      <c r="AW45" s="172">
        <v>151970</v>
      </c>
      <c r="AX45" s="172">
        <v>142416</v>
      </c>
      <c r="AY45" s="172">
        <v>177335</v>
      </c>
      <c r="AZ45" s="172">
        <v>152230</v>
      </c>
      <c r="BA45" s="172">
        <v>245527</v>
      </c>
      <c r="BB45" s="172">
        <f>5261504/27</f>
        <v>194870.51851851851</v>
      </c>
      <c r="BC45" s="172">
        <f>5784000/27</f>
        <v>214222.22222222222</v>
      </c>
      <c r="BD45" s="172">
        <f>3224000/27</f>
        <v>119407.4074074074</v>
      </c>
      <c r="BE45" s="172">
        <f>909800/27</f>
        <v>33696.296296296299</v>
      </c>
      <c r="BF45" s="172">
        <f t="shared" si="53"/>
        <v>1873309.4444444445</v>
      </c>
      <c r="BG45" s="174"/>
      <c r="BH45" s="172"/>
      <c r="BI45" s="172"/>
      <c r="BJ45" s="172"/>
      <c r="BK45" s="172"/>
      <c r="BL45" s="175"/>
      <c r="BM45" s="175"/>
      <c r="BN45" s="175"/>
      <c r="BO45" s="175"/>
      <c r="BP45" s="175"/>
      <c r="BQ45" s="175"/>
      <c r="BR45" s="175"/>
      <c r="BS45" s="175"/>
      <c r="BT45" s="175"/>
      <c r="BU45" s="173"/>
    </row>
    <row r="46" spans="1:73">
      <c r="A46" s="110" t="s">
        <v>75</v>
      </c>
      <c r="B46" s="110"/>
      <c r="C46" s="147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343"/>
      <c r="Q46" s="84"/>
      <c r="R46" s="34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344"/>
      <c r="AE46" s="113"/>
      <c r="AF46" s="345">
        <v>133791</v>
      </c>
      <c r="AG46" s="112">
        <v>166459</v>
      </c>
      <c r="AH46" s="112">
        <v>149450</v>
      </c>
      <c r="AI46" s="112">
        <v>151073</v>
      </c>
      <c r="AJ46" s="112">
        <v>192944</v>
      </c>
      <c r="AK46" s="112">
        <v>166139</v>
      </c>
      <c r="AL46" s="112">
        <v>151874</v>
      </c>
      <c r="AM46" s="112">
        <v>157771</v>
      </c>
      <c r="AN46" s="112">
        <v>200312</v>
      </c>
      <c r="AO46" s="112">
        <v>202691</v>
      </c>
      <c r="AP46" s="112">
        <v>207768</v>
      </c>
      <c r="AQ46" s="112">
        <v>113286</v>
      </c>
      <c r="AR46" s="112">
        <f>SUM(AF46:AK46)</f>
        <v>959856</v>
      </c>
      <c r="AS46" s="23"/>
      <c r="AT46" s="112">
        <v>89680</v>
      </c>
      <c r="AU46" s="112">
        <v>128308</v>
      </c>
      <c r="AV46" s="112">
        <v>144871</v>
      </c>
      <c r="AW46" s="114">
        <v>161772</v>
      </c>
      <c r="AX46" s="114">
        <v>144516</v>
      </c>
      <c r="AY46" s="114">
        <v>103667</v>
      </c>
      <c r="AZ46" s="114">
        <v>141023</v>
      </c>
      <c r="BA46" s="114">
        <v>172093</v>
      </c>
      <c r="BB46" s="114">
        <f>166606+10000</f>
        <v>176606</v>
      </c>
      <c r="BC46" s="114">
        <v>181091</v>
      </c>
      <c r="BD46" s="114">
        <v>169802</v>
      </c>
      <c r="BE46" s="114">
        <v>120406</v>
      </c>
      <c r="BF46" s="114">
        <f t="shared" si="53"/>
        <v>1733835</v>
      </c>
      <c r="BG46" s="27">
        <f>BG43/AR43</f>
        <v>9.9910256474894502E-2</v>
      </c>
      <c r="BH46" s="112"/>
      <c r="BI46" s="112"/>
      <c r="BJ46" s="112"/>
      <c r="BK46" s="114"/>
      <c r="BL46" s="114"/>
      <c r="BM46" s="114"/>
      <c r="BN46" s="114"/>
      <c r="BO46" s="114"/>
      <c r="BP46" s="114"/>
      <c r="BQ46" s="114"/>
      <c r="BR46" s="114"/>
      <c r="BS46" s="114"/>
      <c r="BT46" s="114"/>
      <c r="BU46" s="23"/>
    </row>
    <row r="47" spans="1:73" ht="15.75" customHeight="1">
      <c r="A47" s="232"/>
      <c r="B47" s="233" t="s">
        <v>76</v>
      </c>
      <c r="C47" s="387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388"/>
      <c r="Q47" s="235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90"/>
      <c r="AE47" s="23"/>
      <c r="AF47" s="389">
        <f t="shared" ref="AF47:AQ47" si="67">AF46-AF15</f>
        <v>133789.61233193052</v>
      </c>
      <c r="AG47" s="389">
        <f t="shared" si="67"/>
        <v>166455.18212811041</v>
      </c>
      <c r="AH47" s="389">
        <f t="shared" si="67"/>
        <v>149445.6750486806</v>
      </c>
      <c r="AI47" s="389">
        <f t="shared" si="67"/>
        <v>151069.89671180834</v>
      </c>
      <c r="AJ47" s="389">
        <f t="shared" si="67"/>
        <v>192941.30225498116</v>
      </c>
      <c r="AK47" s="389">
        <f t="shared" si="67"/>
        <v>166135.93659001941</v>
      </c>
      <c r="AL47" s="389">
        <f t="shared" si="67"/>
        <v>151872.02367906639</v>
      </c>
      <c r="AM47" s="389">
        <f t="shared" si="67"/>
        <v>157769.11460684196</v>
      </c>
      <c r="AN47" s="389">
        <f t="shared" si="67"/>
        <v>200310.23982805785</v>
      </c>
      <c r="AO47" s="389">
        <f t="shared" si="67"/>
        <v>202687.95708177862</v>
      </c>
      <c r="AP47" s="389">
        <f t="shared" si="67"/>
        <v>207764.67332379395</v>
      </c>
      <c r="AQ47" s="389">
        <f t="shared" si="67"/>
        <v>113283.89842503319</v>
      </c>
      <c r="AR47" s="236">
        <f t="shared" ref="AR47:AR55" si="68">SUM(AF47:AQ47)</f>
        <v>1993525.5120101024</v>
      </c>
      <c r="AS47" s="23"/>
      <c r="AT47" s="389">
        <f t="shared" ref="AT47:BE47" si="69">AT46-AT45</f>
        <v>-19510</v>
      </c>
      <c r="AU47" s="389">
        <f t="shared" si="69"/>
        <v>-25359</v>
      </c>
      <c r="AV47" s="389">
        <f t="shared" si="69"/>
        <v>-33907</v>
      </c>
      <c r="AW47" s="389">
        <f t="shared" si="69"/>
        <v>9802</v>
      </c>
      <c r="AX47" s="389">
        <f t="shared" si="69"/>
        <v>2100</v>
      </c>
      <c r="AY47" s="389">
        <f t="shared" si="69"/>
        <v>-73668</v>
      </c>
      <c r="AZ47" s="389">
        <f t="shared" si="69"/>
        <v>-11207</v>
      </c>
      <c r="BA47" s="389">
        <f t="shared" si="69"/>
        <v>-73434</v>
      </c>
      <c r="BB47" s="389">
        <f t="shared" si="69"/>
        <v>-18264.518518518511</v>
      </c>
      <c r="BC47" s="389">
        <f t="shared" si="69"/>
        <v>-33131.222222222219</v>
      </c>
      <c r="BD47" s="389">
        <f t="shared" si="69"/>
        <v>50394.592592592599</v>
      </c>
      <c r="BE47" s="389">
        <f t="shared" si="69"/>
        <v>86709.703703703708</v>
      </c>
      <c r="BF47" s="237">
        <f t="shared" si="53"/>
        <v>-139474.44444444444</v>
      </c>
      <c r="BG47" s="27"/>
      <c r="BH47" s="389"/>
      <c r="BI47" s="389"/>
      <c r="BJ47" s="389"/>
      <c r="BK47" s="389"/>
      <c r="BL47" s="237"/>
      <c r="BM47" s="237"/>
      <c r="BN47" s="237"/>
      <c r="BO47" s="237"/>
      <c r="BP47" s="237"/>
      <c r="BQ47" s="237"/>
      <c r="BR47" s="237"/>
      <c r="BS47" s="237"/>
      <c r="BT47" s="237"/>
      <c r="BU47" s="23"/>
    </row>
    <row r="48" spans="1:73" ht="15.75" customHeight="1">
      <c r="A48" s="94">
        <v>5</v>
      </c>
      <c r="B48" s="210" t="s">
        <v>77</v>
      </c>
      <c r="C48" s="335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>
        <v>0</v>
      </c>
      <c r="P48" s="314">
        <f>SUM(D48:O48)</f>
        <v>0</v>
      </c>
      <c r="Q48" s="90"/>
      <c r="R48" s="313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315">
        <f>SUM(R48:AC48)</f>
        <v>0</v>
      </c>
      <c r="AE48" s="23"/>
      <c r="AF48" s="316">
        <v>0</v>
      </c>
      <c r="AG48" s="91">
        <v>0</v>
      </c>
      <c r="AH48" s="91">
        <v>0</v>
      </c>
      <c r="AI48" s="91">
        <v>0</v>
      </c>
      <c r="AJ48" s="91">
        <v>0</v>
      </c>
      <c r="AK48" s="91">
        <v>0</v>
      </c>
      <c r="AL48" s="91">
        <v>0</v>
      </c>
      <c r="AM48" s="91">
        <v>0</v>
      </c>
      <c r="AN48" s="91">
        <v>0</v>
      </c>
      <c r="AO48" s="91">
        <v>0</v>
      </c>
      <c r="AP48" s="91"/>
      <c r="AQ48" s="91">
        <v>8938</v>
      </c>
      <c r="AR48" s="92">
        <f t="shared" si="68"/>
        <v>8938</v>
      </c>
      <c r="AS48" s="23"/>
      <c r="AT48" s="91">
        <v>106642</v>
      </c>
      <c r="AU48" s="91">
        <v>90699</v>
      </c>
      <c r="AV48" s="91">
        <v>89681</v>
      </c>
      <c r="AW48" s="91">
        <v>58790</v>
      </c>
      <c r="AX48" s="91">
        <v>35520</v>
      </c>
      <c r="AY48" s="91">
        <v>61551</v>
      </c>
      <c r="AZ48" s="91">
        <v>71511</v>
      </c>
      <c r="BA48" s="91">
        <v>63617</v>
      </c>
      <c r="BB48" s="91">
        <v>66748</v>
      </c>
      <c r="BC48" s="91">
        <v>75532</v>
      </c>
      <c r="BD48" s="91">
        <v>37786</v>
      </c>
      <c r="BE48" s="91">
        <v>4503</v>
      </c>
      <c r="BF48" s="91">
        <f t="shared" si="53"/>
        <v>762580</v>
      </c>
      <c r="BG48" s="27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23"/>
    </row>
    <row r="49" spans="1:73">
      <c r="A49" s="110" t="s">
        <v>78</v>
      </c>
      <c r="B49" s="110"/>
      <c r="C49" s="147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343"/>
      <c r="Q49" s="84"/>
      <c r="R49" s="34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344"/>
      <c r="AE49" s="113"/>
      <c r="AF49" s="345">
        <f t="shared" ref="AF49:AQ49" si="70">AF50+AF52</f>
        <v>118364</v>
      </c>
      <c r="AG49" s="345">
        <f t="shared" si="70"/>
        <v>173742</v>
      </c>
      <c r="AH49" s="345">
        <f t="shared" si="70"/>
        <v>73470</v>
      </c>
      <c r="AI49" s="345">
        <f t="shared" si="70"/>
        <v>87377</v>
      </c>
      <c r="AJ49" s="345">
        <f t="shared" si="70"/>
        <v>119657</v>
      </c>
      <c r="AK49" s="345">
        <f t="shared" si="70"/>
        <v>154747</v>
      </c>
      <c r="AL49" s="345">
        <f t="shared" si="70"/>
        <v>138073</v>
      </c>
      <c r="AM49" s="345">
        <f t="shared" si="70"/>
        <v>180773</v>
      </c>
      <c r="AN49" s="345">
        <f t="shared" si="70"/>
        <v>194598</v>
      </c>
      <c r="AO49" s="345">
        <f t="shared" si="70"/>
        <v>242931</v>
      </c>
      <c r="AP49" s="345">
        <f t="shared" si="70"/>
        <v>107346</v>
      </c>
      <c r="AQ49" s="345">
        <f t="shared" si="70"/>
        <v>87384</v>
      </c>
      <c r="AR49" s="112">
        <f t="shared" si="68"/>
        <v>1678462</v>
      </c>
      <c r="AS49" s="23"/>
      <c r="AT49" s="345">
        <f t="shared" ref="AT49:BE49" si="71">AT50+AT52</f>
        <v>155346</v>
      </c>
      <c r="AU49" s="345">
        <f t="shared" si="71"/>
        <v>123370</v>
      </c>
      <c r="AV49" s="345">
        <f t="shared" si="71"/>
        <v>144065</v>
      </c>
      <c r="AW49" s="345">
        <f t="shared" si="71"/>
        <v>127865</v>
      </c>
      <c r="AX49" s="345">
        <f t="shared" si="71"/>
        <v>123461</v>
      </c>
      <c r="AY49" s="345">
        <f t="shared" si="71"/>
        <v>121196</v>
      </c>
      <c r="AZ49" s="345">
        <f t="shared" si="71"/>
        <v>168029</v>
      </c>
      <c r="BA49" s="345">
        <f t="shared" si="71"/>
        <v>164268</v>
      </c>
      <c r="BB49" s="345">
        <f t="shared" si="71"/>
        <v>185112</v>
      </c>
      <c r="BC49" s="345">
        <f t="shared" si="71"/>
        <v>147235</v>
      </c>
      <c r="BD49" s="345">
        <f t="shared" si="71"/>
        <v>135608</v>
      </c>
      <c r="BE49" s="345">
        <f t="shared" si="71"/>
        <v>90194</v>
      </c>
      <c r="BF49" s="114">
        <f t="shared" si="53"/>
        <v>1685749</v>
      </c>
      <c r="BG49" s="93">
        <f t="shared" ref="BG49:BG50" si="72">BF49/AR49-1</f>
        <v>4.3414745165515356E-3</v>
      </c>
      <c r="BH49" s="345"/>
      <c r="BI49" s="345"/>
      <c r="BJ49" s="345"/>
      <c r="BK49" s="345"/>
      <c r="BL49" s="112"/>
      <c r="BM49" s="112"/>
      <c r="BN49" s="112"/>
      <c r="BO49" s="112"/>
      <c r="BP49" s="112"/>
      <c r="BQ49" s="112"/>
      <c r="BR49" s="112"/>
      <c r="BS49" s="112"/>
      <c r="BT49" s="112"/>
      <c r="BU49" s="113"/>
    </row>
    <row r="50" spans="1:73" ht="15.75" customHeight="1">
      <c r="A50" s="210"/>
      <c r="B50" s="210" t="s">
        <v>79</v>
      </c>
      <c r="C50" s="316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314"/>
      <c r="Q50" s="90"/>
      <c r="R50" s="313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315"/>
      <c r="AE50" s="23"/>
      <c r="AF50" s="316">
        <v>92193</v>
      </c>
      <c r="AG50" s="91">
        <v>152006</v>
      </c>
      <c r="AH50" s="91">
        <v>62734</v>
      </c>
      <c r="AI50" s="91">
        <v>71526</v>
      </c>
      <c r="AJ50" s="91">
        <v>89409</v>
      </c>
      <c r="AK50" s="91">
        <v>120675</v>
      </c>
      <c r="AL50" s="91">
        <v>100592</v>
      </c>
      <c r="AM50" s="91">
        <v>148128</v>
      </c>
      <c r="AN50" s="91">
        <v>164346</v>
      </c>
      <c r="AO50" s="91">
        <v>203437</v>
      </c>
      <c r="AP50" s="91">
        <v>64957</v>
      </c>
      <c r="AQ50" s="91">
        <v>31837</v>
      </c>
      <c r="AR50" s="92">
        <f t="shared" si="68"/>
        <v>1301840</v>
      </c>
      <c r="AS50" s="23"/>
      <c r="AT50" s="91">
        <v>125048</v>
      </c>
      <c r="AU50" s="91">
        <v>96006</v>
      </c>
      <c r="AV50" s="91">
        <v>111470</v>
      </c>
      <c r="AW50" s="91">
        <v>99222</v>
      </c>
      <c r="AX50" s="91">
        <v>91253</v>
      </c>
      <c r="AY50" s="91">
        <v>90595</v>
      </c>
      <c r="AZ50" s="91">
        <v>129147</v>
      </c>
      <c r="BA50" s="91">
        <v>133525</v>
      </c>
      <c r="BB50" s="91">
        <v>159291</v>
      </c>
      <c r="BC50" s="91">
        <v>115573</v>
      </c>
      <c r="BD50" s="91">
        <v>98386</v>
      </c>
      <c r="BE50" s="91">
        <v>36527</v>
      </c>
      <c r="BF50" s="91">
        <f t="shared" si="53"/>
        <v>1286043</v>
      </c>
      <c r="BG50" s="93">
        <f t="shared" si="72"/>
        <v>-1.2134363669882631E-2</v>
      </c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23"/>
    </row>
    <row r="51" spans="1:73" ht="15.75" customHeight="1">
      <c r="A51" s="232"/>
      <c r="B51" s="233" t="s">
        <v>279</v>
      </c>
      <c r="C51" s="387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388"/>
      <c r="Q51" s="235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90"/>
      <c r="AE51" s="23"/>
      <c r="AF51" s="389">
        <f t="shared" ref="AF51:AQ51" si="73">AF50-AF20</f>
        <v>2047</v>
      </c>
      <c r="AG51" s="389">
        <f t="shared" si="73"/>
        <v>-3571</v>
      </c>
      <c r="AH51" s="389">
        <f t="shared" si="73"/>
        <v>-219</v>
      </c>
      <c r="AI51" s="389">
        <f t="shared" si="73"/>
        <v>-1735</v>
      </c>
      <c r="AJ51" s="389">
        <f t="shared" si="73"/>
        <v>-2447</v>
      </c>
      <c r="AK51" s="389">
        <f t="shared" si="73"/>
        <v>675</v>
      </c>
      <c r="AL51" s="389">
        <f t="shared" si="73"/>
        <v>-9703</v>
      </c>
      <c r="AM51" s="389">
        <f t="shared" si="73"/>
        <v>-52075</v>
      </c>
      <c r="AN51" s="389">
        <f t="shared" si="73"/>
        <v>-59487.333333333343</v>
      </c>
      <c r="AO51" s="389">
        <f t="shared" si="73"/>
        <v>-15063</v>
      </c>
      <c r="AP51" s="389">
        <f t="shared" si="73"/>
        <v>-23043</v>
      </c>
      <c r="AQ51" s="389">
        <f t="shared" si="73"/>
        <v>-11563</v>
      </c>
      <c r="AR51" s="236">
        <f t="shared" si="68"/>
        <v>-176184.33333333334</v>
      </c>
      <c r="AS51" s="23"/>
      <c r="AT51" s="389">
        <f t="shared" ref="AT51:BE51" si="74">AT50-AT20</f>
        <v>8451.75</v>
      </c>
      <c r="AU51" s="389">
        <f t="shared" si="74"/>
        <v>-37227.103448275855</v>
      </c>
      <c r="AV51" s="389">
        <f t="shared" si="74"/>
        <v>-6779.1379310344782</v>
      </c>
      <c r="AW51" s="389">
        <f t="shared" si="74"/>
        <v>-22342.137931034478</v>
      </c>
      <c r="AX51" s="389">
        <f t="shared" si="74"/>
        <v>4719.0344827586232</v>
      </c>
      <c r="AY51" s="389">
        <f t="shared" si="74"/>
        <v>-14182.777777777781</v>
      </c>
      <c r="AZ51" s="389">
        <f t="shared" si="74"/>
        <v>-6630.777777777781</v>
      </c>
      <c r="BA51" s="389">
        <f t="shared" si="74"/>
        <v>-77771.296296296292</v>
      </c>
      <c r="BB51" s="389">
        <f t="shared" si="74"/>
        <v>-51486.777777777781</v>
      </c>
      <c r="BC51" s="389">
        <f t="shared" si="74"/>
        <v>-99233.290755657828</v>
      </c>
      <c r="BD51" s="389">
        <f t="shared" si="74"/>
        <v>5175.413118527038</v>
      </c>
      <c r="BE51" s="389">
        <f t="shared" si="74"/>
        <v>5840.3870349060235</v>
      </c>
      <c r="BF51" s="237">
        <f t="shared" si="53"/>
        <v>-291466.71505944064</v>
      </c>
      <c r="BG51" s="27"/>
      <c r="BH51" s="389"/>
      <c r="BI51" s="389"/>
      <c r="BJ51" s="389"/>
      <c r="BK51" s="389"/>
      <c r="BL51" s="237"/>
      <c r="BM51" s="237"/>
      <c r="BN51" s="237"/>
      <c r="BO51" s="237"/>
      <c r="BP51" s="237"/>
      <c r="BQ51" s="237"/>
      <c r="BR51" s="237"/>
      <c r="BS51" s="237"/>
      <c r="BT51" s="237"/>
      <c r="BU51" s="23"/>
    </row>
    <row r="52" spans="1:73" ht="15.75" customHeight="1">
      <c r="A52" s="94"/>
      <c r="B52" s="94" t="s">
        <v>81</v>
      </c>
      <c r="C52" s="335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314"/>
      <c r="Q52" s="90"/>
      <c r="R52" s="316"/>
      <c r="S52" s="316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5"/>
      <c r="AE52" s="23"/>
      <c r="AF52" s="316">
        <v>26171</v>
      </c>
      <c r="AG52" s="316">
        <v>21736</v>
      </c>
      <c r="AH52" s="316">
        <v>10736</v>
      </c>
      <c r="AI52" s="316">
        <v>15851</v>
      </c>
      <c r="AJ52" s="316">
        <v>30248</v>
      </c>
      <c r="AK52" s="316">
        <v>34072</v>
      </c>
      <c r="AL52" s="316">
        <v>37481</v>
      </c>
      <c r="AM52" s="91">
        <v>32645</v>
      </c>
      <c r="AN52" s="91">
        <v>30252</v>
      </c>
      <c r="AO52" s="91">
        <v>39494</v>
      </c>
      <c r="AP52" s="91">
        <v>42389</v>
      </c>
      <c r="AQ52" s="91">
        <v>55547</v>
      </c>
      <c r="AR52" s="92">
        <f t="shared" si="68"/>
        <v>376622</v>
      </c>
      <c r="AS52" s="23"/>
      <c r="AT52" s="91">
        <v>30298</v>
      </c>
      <c r="AU52" s="91">
        <v>27364</v>
      </c>
      <c r="AV52" s="91">
        <v>32595</v>
      </c>
      <c r="AW52" s="91">
        <v>28643</v>
      </c>
      <c r="AX52" s="91">
        <v>32208</v>
      </c>
      <c r="AY52" s="91">
        <v>30601</v>
      </c>
      <c r="AZ52" s="91">
        <v>38882</v>
      </c>
      <c r="BA52" s="91">
        <v>30743</v>
      </c>
      <c r="BB52" s="91">
        <f>24621+1200</f>
        <v>25821</v>
      </c>
      <c r="BC52" s="91">
        <v>31662</v>
      </c>
      <c r="BD52" s="91">
        <v>37222</v>
      </c>
      <c r="BE52" s="91">
        <v>53667</v>
      </c>
      <c r="BF52" s="91">
        <f t="shared" si="53"/>
        <v>399706</v>
      </c>
      <c r="BG52" s="93">
        <f>BF52/AR52-1</f>
        <v>6.1292224033646425E-2</v>
      </c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23"/>
    </row>
    <row r="53" spans="1:73" ht="15.75" customHeight="1">
      <c r="A53" s="232"/>
      <c r="B53" s="233" t="s">
        <v>280</v>
      </c>
      <c r="C53" s="387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388"/>
      <c r="Q53" s="235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90"/>
      <c r="AE53" s="23"/>
      <c r="AF53" s="389">
        <f t="shared" ref="AF53:AQ53" si="75">AF52-AF43</f>
        <v>-12329</v>
      </c>
      <c r="AG53" s="389">
        <f t="shared" si="75"/>
        <v>-664</v>
      </c>
      <c r="AH53" s="389">
        <f t="shared" si="75"/>
        <v>65</v>
      </c>
      <c r="AI53" s="389">
        <f t="shared" si="75"/>
        <v>-246</v>
      </c>
      <c r="AJ53" s="389">
        <f t="shared" si="75"/>
        <v>-30</v>
      </c>
      <c r="AK53" s="389">
        <f t="shared" si="75"/>
        <v>5512</v>
      </c>
      <c r="AL53" s="389">
        <f t="shared" si="75"/>
        <v>-4219</v>
      </c>
      <c r="AM53" s="389">
        <f t="shared" si="75"/>
        <v>-6055</v>
      </c>
      <c r="AN53" s="389">
        <f t="shared" si="75"/>
        <v>-7048</v>
      </c>
      <c r="AO53" s="389">
        <f t="shared" si="75"/>
        <v>2094</v>
      </c>
      <c r="AP53" s="389">
        <f t="shared" si="75"/>
        <v>1749</v>
      </c>
      <c r="AQ53" s="389">
        <f t="shared" si="75"/>
        <v>1107</v>
      </c>
      <c r="AR53" s="236">
        <f t="shared" si="68"/>
        <v>-20064</v>
      </c>
      <c r="AS53" s="23"/>
      <c r="AT53" s="389">
        <f t="shared" ref="AT53:BE53" si="76">AT52-AT43</f>
        <v>-5855</v>
      </c>
      <c r="AU53" s="389">
        <f t="shared" si="76"/>
        <v>-7925</v>
      </c>
      <c r="AV53" s="389">
        <f t="shared" si="76"/>
        <v>-3277</v>
      </c>
      <c r="AW53" s="389">
        <f t="shared" si="76"/>
        <v>-9388</v>
      </c>
      <c r="AX53" s="389">
        <f t="shared" si="76"/>
        <v>-1358</v>
      </c>
      <c r="AY53" s="389">
        <f t="shared" si="76"/>
        <v>-2965</v>
      </c>
      <c r="AZ53" s="389">
        <f t="shared" si="76"/>
        <v>7986</v>
      </c>
      <c r="BA53" s="389">
        <f t="shared" si="76"/>
        <v>-403</v>
      </c>
      <c r="BB53" s="389">
        <f t="shared" si="76"/>
        <v>-6809</v>
      </c>
      <c r="BC53" s="389">
        <f t="shared" si="76"/>
        <v>-6900</v>
      </c>
      <c r="BD53" s="389">
        <f t="shared" si="76"/>
        <v>-4123</v>
      </c>
      <c r="BE53" s="389">
        <f t="shared" si="76"/>
        <v>4404</v>
      </c>
      <c r="BF53" s="237">
        <f t="shared" si="53"/>
        <v>-36613</v>
      </c>
      <c r="BG53" s="27"/>
      <c r="BH53" s="389"/>
      <c r="BI53" s="389"/>
      <c r="BJ53" s="389"/>
      <c r="BK53" s="389"/>
      <c r="BL53" s="237"/>
      <c r="BM53" s="237"/>
      <c r="BN53" s="237"/>
      <c r="BO53" s="237"/>
      <c r="BP53" s="237"/>
      <c r="BQ53" s="237"/>
      <c r="BR53" s="237"/>
      <c r="BS53" s="237"/>
      <c r="BT53" s="237"/>
      <c r="BU53" s="23"/>
    </row>
    <row r="54" spans="1:73" ht="15.75" customHeight="1">
      <c r="A54" s="232" t="s">
        <v>83</v>
      </c>
      <c r="B54" s="238"/>
      <c r="C54" s="387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388"/>
      <c r="Q54" s="235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90"/>
      <c r="AE54" s="23"/>
      <c r="AF54" s="389">
        <f t="shared" ref="AF54:AQ54" si="77">AF49-AF16</f>
        <v>-10282</v>
      </c>
      <c r="AG54" s="389">
        <f t="shared" si="77"/>
        <v>-4235</v>
      </c>
      <c r="AH54" s="389">
        <f t="shared" si="77"/>
        <v>-154</v>
      </c>
      <c r="AI54" s="389">
        <f t="shared" si="77"/>
        <v>-1981</v>
      </c>
      <c r="AJ54" s="389">
        <f t="shared" si="77"/>
        <v>-2477</v>
      </c>
      <c r="AK54" s="389">
        <f t="shared" si="77"/>
        <v>6187</v>
      </c>
      <c r="AL54" s="389">
        <f t="shared" si="77"/>
        <v>-13922</v>
      </c>
      <c r="AM54" s="389">
        <f t="shared" si="77"/>
        <v>-58130</v>
      </c>
      <c r="AN54" s="389">
        <f t="shared" si="77"/>
        <v>-66535.333333333343</v>
      </c>
      <c r="AO54" s="389">
        <f t="shared" si="77"/>
        <v>-12969</v>
      </c>
      <c r="AP54" s="389">
        <f t="shared" si="77"/>
        <v>-21294</v>
      </c>
      <c r="AQ54" s="389">
        <f t="shared" si="77"/>
        <v>-10456</v>
      </c>
      <c r="AR54" s="236">
        <f t="shared" si="68"/>
        <v>-196248.33333333334</v>
      </c>
      <c r="AS54" s="23"/>
      <c r="AT54" s="389">
        <f t="shared" ref="AT54:BE54" si="78">AT49-AT16</f>
        <v>2596.75</v>
      </c>
      <c r="AU54" s="389">
        <f t="shared" si="78"/>
        <v>-45152.103448275855</v>
      </c>
      <c r="AV54" s="389">
        <f t="shared" si="78"/>
        <v>-10056.137931034493</v>
      </c>
      <c r="AW54" s="389">
        <f t="shared" si="78"/>
        <v>-31730.137931034493</v>
      </c>
      <c r="AX54" s="389">
        <f t="shared" si="78"/>
        <v>3361.0344827586232</v>
      </c>
      <c r="AY54" s="389">
        <f t="shared" si="78"/>
        <v>-17147.777777777781</v>
      </c>
      <c r="AZ54" s="389">
        <f t="shared" si="78"/>
        <v>1355.222222222219</v>
      </c>
      <c r="BA54" s="389">
        <f t="shared" si="78"/>
        <v>-78174.296296296292</v>
      </c>
      <c r="BB54" s="389">
        <f t="shared" si="78"/>
        <v>-58295.777777777781</v>
      </c>
      <c r="BC54" s="389">
        <f t="shared" si="78"/>
        <v>-106133.29075565783</v>
      </c>
      <c r="BD54" s="389">
        <f t="shared" si="78"/>
        <v>1052.413118527038</v>
      </c>
      <c r="BE54" s="389">
        <f t="shared" si="78"/>
        <v>17507.387034906016</v>
      </c>
      <c r="BF54" s="237">
        <f t="shared" si="53"/>
        <v>-320816.71505944064</v>
      </c>
      <c r="BG54" s="27"/>
      <c r="BH54" s="389"/>
      <c r="BI54" s="389"/>
      <c r="BJ54" s="389"/>
      <c r="BK54" s="389"/>
      <c r="BL54" s="237"/>
      <c r="BM54" s="237"/>
      <c r="BN54" s="237"/>
      <c r="BO54" s="237"/>
      <c r="BP54" s="237"/>
      <c r="BQ54" s="237"/>
      <c r="BR54" s="237"/>
      <c r="BS54" s="237"/>
      <c r="BT54" s="237"/>
      <c r="BU54" s="23"/>
    </row>
    <row r="55" spans="1:73" ht="15.75" customHeight="1">
      <c r="A55" s="232" t="s">
        <v>85</v>
      </c>
      <c r="B55" s="238"/>
      <c r="C55" s="387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388"/>
      <c r="Q55" s="235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90"/>
      <c r="AE55" s="23"/>
      <c r="AF55" s="389">
        <f t="shared" ref="AF55:AQ55" si="79">AF50-AF17</f>
        <v>92193</v>
      </c>
      <c r="AG55" s="389">
        <f t="shared" si="79"/>
        <v>152006</v>
      </c>
      <c r="AH55" s="389">
        <f t="shared" si="79"/>
        <v>62734</v>
      </c>
      <c r="AI55" s="389">
        <f t="shared" si="79"/>
        <v>71526</v>
      </c>
      <c r="AJ55" s="389">
        <f t="shared" si="79"/>
        <v>89409</v>
      </c>
      <c r="AK55" s="389">
        <f t="shared" si="79"/>
        <v>120675</v>
      </c>
      <c r="AL55" s="389">
        <f t="shared" si="79"/>
        <v>100592</v>
      </c>
      <c r="AM55" s="389">
        <f t="shared" si="79"/>
        <v>148128</v>
      </c>
      <c r="AN55" s="389">
        <f t="shared" si="79"/>
        <v>164346</v>
      </c>
      <c r="AO55" s="389">
        <f t="shared" si="79"/>
        <v>203437</v>
      </c>
      <c r="AP55" s="389">
        <f t="shared" si="79"/>
        <v>64957</v>
      </c>
      <c r="AQ55" s="389">
        <f t="shared" si="79"/>
        <v>31837</v>
      </c>
      <c r="AR55" s="236">
        <f t="shared" si="68"/>
        <v>1301840</v>
      </c>
      <c r="AS55" s="23"/>
      <c r="AT55" s="391">
        <f t="shared" ref="AT55:BE55" si="80">AT54/AT16</f>
        <v>1.7000083470131603E-2</v>
      </c>
      <c r="AU55" s="391">
        <f t="shared" si="80"/>
        <v>-0.26792985919579565</v>
      </c>
      <c r="AV55" s="391">
        <f t="shared" si="80"/>
        <v>-6.5248272015318062E-2</v>
      </c>
      <c r="AW55" s="391">
        <f t="shared" si="80"/>
        <v>-0.19881644480138216</v>
      </c>
      <c r="AX55" s="391">
        <f t="shared" si="80"/>
        <v>2.798530764170884E-2</v>
      </c>
      <c r="AY55" s="391">
        <f t="shared" si="80"/>
        <v>-0.12395048084722922</v>
      </c>
      <c r="AZ55" s="391">
        <f t="shared" si="80"/>
        <v>8.1309864112464342E-3</v>
      </c>
      <c r="BA55" s="391">
        <f t="shared" si="80"/>
        <v>-0.32244495902957893</v>
      </c>
      <c r="BB55" s="391">
        <f t="shared" si="80"/>
        <v>-0.23949841829212068</v>
      </c>
      <c r="BC55" s="391">
        <f t="shared" si="80"/>
        <v>-0.41888939787658819</v>
      </c>
      <c r="BD55" s="391">
        <f t="shared" si="80"/>
        <v>7.8214003811977375E-3</v>
      </c>
      <c r="BE55" s="391">
        <f t="shared" si="80"/>
        <v>0.24086123043473662</v>
      </c>
      <c r="BF55" s="239">
        <f>AVERAGE(AT55:BE55)</f>
        <v>-0.11124823530991597</v>
      </c>
      <c r="BG55" s="27"/>
      <c r="BH55" s="391"/>
      <c r="BI55" s="391"/>
      <c r="BJ55" s="391"/>
      <c r="BK55" s="391"/>
      <c r="BL55" s="239"/>
      <c r="BM55" s="239"/>
      <c r="BN55" s="239"/>
      <c r="BO55" s="239"/>
      <c r="BP55" s="239"/>
      <c r="BQ55" s="239"/>
      <c r="BR55" s="239"/>
      <c r="BS55" s="239"/>
      <c r="BT55" s="239"/>
      <c r="BU55" s="177"/>
    </row>
    <row r="56" spans="1:73" ht="15.75" customHeight="1">
      <c r="A56" s="1101" t="s">
        <v>86</v>
      </c>
      <c r="B56" s="1127"/>
      <c r="C56" s="24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384"/>
      <c r="Q56" s="221"/>
      <c r="R56" s="385"/>
      <c r="S56" s="222"/>
      <c r="T56" s="222"/>
      <c r="U56" s="222"/>
      <c r="V56" s="222"/>
      <c r="W56" s="222"/>
      <c r="X56" s="222"/>
      <c r="Y56" s="222"/>
      <c r="Z56" s="222"/>
      <c r="AA56" s="222"/>
      <c r="AB56" s="222"/>
      <c r="AC56" s="222"/>
      <c r="AD56" s="222"/>
      <c r="AE56" s="113"/>
      <c r="AF56" s="392"/>
      <c r="AG56" s="222"/>
      <c r="AH56" s="222"/>
      <c r="AI56" s="222"/>
      <c r="AJ56" s="222"/>
      <c r="AK56" s="222"/>
      <c r="AL56" s="222"/>
      <c r="AM56" s="222"/>
      <c r="AN56" s="222"/>
      <c r="AO56" s="222"/>
      <c r="AP56" s="222"/>
      <c r="AQ56" s="222"/>
      <c r="AR56" s="222"/>
      <c r="AS56" s="23"/>
      <c r="AT56" s="222"/>
      <c r="AU56" s="222"/>
      <c r="AV56" s="222"/>
      <c r="AW56" s="222"/>
      <c r="AX56" s="222"/>
      <c r="AY56" s="222"/>
      <c r="AZ56" s="222"/>
      <c r="BA56" s="222"/>
      <c r="BB56" s="222"/>
      <c r="BC56" s="222"/>
      <c r="BD56" s="222"/>
      <c r="BE56" s="222"/>
      <c r="BF56" s="222"/>
      <c r="BG56" s="27"/>
      <c r="BH56" s="222"/>
      <c r="BI56" s="222"/>
      <c r="BJ56" s="222"/>
      <c r="BK56" s="222"/>
      <c r="BL56" s="222"/>
      <c r="BM56" s="222"/>
      <c r="BN56" s="222"/>
      <c r="BO56" s="222"/>
      <c r="BP56" s="222"/>
      <c r="BQ56" s="222"/>
      <c r="BR56" s="222"/>
      <c r="BS56" s="222"/>
      <c r="BT56" s="222"/>
      <c r="BU56" s="113"/>
    </row>
    <row r="57" spans="1:73" ht="15.75" customHeight="1">
      <c r="A57" s="94">
        <v>7</v>
      </c>
      <c r="B57" s="210" t="s">
        <v>90</v>
      </c>
      <c r="C57" s="335"/>
      <c r="D57" s="89">
        <v>98048</v>
      </c>
      <c r="E57" s="89">
        <v>128688</v>
      </c>
      <c r="F57" s="89">
        <v>124704</v>
      </c>
      <c r="G57" s="89">
        <v>157500</v>
      </c>
      <c r="H57" s="89">
        <v>182600</v>
      </c>
      <c r="I57" s="89">
        <v>157700</v>
      </c>
      <c r="J57" s="89">
        <v>181700</v>
      </c>
      <c r="K57" s="89">
        <v>165900</v>
      </c>
      <c r="L57" s="89">
        <v>174300</v>
      </c>
      <c r="M57" s="89">
        <v>215800</v>
      </c>
      <c r="N57" s="89">
        <v>180000</v>
      </c>
      <c r="O57" s="89">
        <v>112500</v>
      </c>
      <c r="P57" s="314">
        <f t="shared" ref="P57:P58" si="81">SUM(D57:O57)</f>
        <v>1879440</v>
      </c>
      <c r="Q57" s="90"/>
      <c r="R57" s="313">
        <v>158400</v>
      </c>
      <c r="S57" s="91">
        <v>161000</v>
      </c>
      <c r="T57" s="91">
        <v>117800</v>
      </c>
      <c r="U57" s="91">
        <v>2000</v>
      </c>
      <c r="V57" s="91">
        <v>53800</v>
      </c>
      <c r="W57" s="91">
        <v>190600</v>
      </c>
      <c r="X57" s="91">
        <v>187900</v>
      </c>
      <c r="Y57" s="91">
        <v>196800</v>
      </c>
      <c r="Z57" s="91">
        <v>192300</v>
      </c>
      <c r="AA57" s="91">
        <v>182300</v>
      </c>
      <c r="AB57" s="91">
        <v>175000</v>
      </c>
      <c r="AC57" s="91">
        <v>134100</v>
      </c>
      <c r="AD57" s="315">
        <f>SUM(R57:AC57)</f>
        <v>1752000</v>
      </c>
      <c r="AE57" s="23"/>
      <c r="AF57" s="316">
        <f t="shared" ref="AF57:AL57" si="82">SUM(AF58,AF60)</f>
        <v>161400</v>
      </c>
      <c r="AG57" s="316">
        <f t="shared" si="82"/>
        <v>166000</v>
      </c>
      <c r="AH57" s="316">
        <f t="shared" si="82"/>
        <v>150471</v>
      </c>
      <c r="AI57" s="316">
        <f t="shared" si="82"/>
        <v>149040</v>
      </c>
      <c r="AJ57" s="316">
        <f t="shared" si="82"/>
        <v>196360</v>
      </c>
      <c r="AK57" s="316">
        <f t="shared" si="82"/>
        <v>163300</v>
      </c>
      <c r="AL57" s="316">
        <f t="shared" si="82"/>
        <v>190000</v>
      </c>
      <c r="AM57" s="316">
        <f t="shared" ref="AM57:AQ57" si="83">SUM(AM58,AM60,AM61)</f>
        <v>167000</v>
      </c>
      <c r="AN57" s="316">
        <f t="shared" si="83"/>
        <v>170500</v>
      </c>
      <c r="AO57" s="316">
        <f t="shared" si="83"/>
        <v>140000</v>
      </c>
      <c r="AP57" s="316">
        <f t="shared" si="83"/>
        <v>130000</v>
      </c>
      <c r="AQ57" s="316">
        <f t="shared" si="83"/>
        <v>100000</v>
      </c>
      <c r="AR57" s="92">
        <f t="shared" ref="AR57:AR58" si="84">SUM(AF57:AQ57)</f>
        <v>1884071</v>
      </c>
      <c r="AS57" s="23"/>
      <c r="AT57" s="316">
        <f t="shared" ref="AT57:BC57" si="85">SUM(AT58,AT60,AT61)</f>
        <v>133000</v>
      </c>
      <c r="AU57" s="316">
        <f t="shared" si="85"/>
        <v>125180</v>
      </c>
      <c r="AV57" s="316">
        <f t="shared" si="85"/>
        <v>117228</v>
      </c>
      <c r="AW57" s="316">
        <f t="shared" si="85"/>
        <v>127500</v>
      </c>
      <c r="AX57" s="316">
        <f t="shared" si="85"/>
        <v>140000</v>
      </c>
      <c r="AY57" s="316">
        <f t="shared" si="85"/>
        <v>158342.99999899999</v>
      </c>
      <c r="AZ57" s="316">
        <f t="shared" si="85"/>
        <v>152409</v>
      </c>
      <c r="BA57" s="316">
        <f t="shared" si="85"/>
        <v>173520</v>
      </c>
      <c r="BB57" s="316">
        <f t="shared" si="85"/>
        <v>165000</v>
      </c>
      <c r="BC57" s="316">
        <f t="shared" si="85"/>
        <v>157500</v>
      </c>
      <c r="BD57" s="316">
        <v>129431</v>
      </c>
      <c r="BE57" s="316">
        <v>61700</v>
      </c>
      <c r="BF57" s="91">
        <f t="shared" ref="BF57:BF58" si="86">SUM(AT57:BE57)</f>
        <v>1640810.999999</v>
      </c>
      <c r="BG57" s="27">
        <f>BF57-AR57</f>
        <v>-243260.00000100001</v>
      </c>
      <c r="BH57" s="339">
        <f t="shared" ref="BH57:BS57" si="87">SUM(BH58,BH60,BH61)</f>
        <v>139760</v>
      </c>
      <c r="BI57" s="339">
        <f t="shared" si="87"/>
        <v>105580</v>
      </c>
      <c r="BJ57" s="339">
        <f t="shared" si="87"/>
        <v>153360</v>
      </c>
      <c r="BK57" s="339">
        <f t="shared" si="87"/>
        <v>126640</v>
      </c>
      <c r="BL57" s="339">
        <f t="shared" si="87"/>
        <v>159180</v>
      </c>
      <c r="BM57" s="339">
        <f t="shared" si="87"/>
        <v>141440</v>
      </c>
      <c r="BN57" s="339">
        <f t="shared" si="87"/>
        <v>162440</v>
      </c>
      <c r="BO57" s="339">
        <f t="shared" si="87"/>
        <v>177910.47619047618</v>
      </c>
      <c r="BP57" s="339">
        <f t="shared" si="87"/>
        <v>154704.76190476189</v>
      </c>
      <c r="BQ57" s="339">
        <f t="shared" si="87"/>
        <v>162440</v>
      </c>
      <c r="BR57" s="339">
        <f t="shared" si="87"/>
        <v>144709.09090909091</v>
      </c>
      <c r="BS57" s="339">
        <f t="shared" si="87"/>
        <v>86825.454545454544</v>
      </c>
      <c r="BT57" s="339">
        <f t="shared" ref="BT57:BT58" si="88">SUM(BH57:BS57)</f>
        <v>1714989.7835497835</v>
      </c>
      <c r="BU57" s="23"/>
    </row>
    <row r="58" spans="1:73" ht="15.75" customHeight="1">
      <c r="A58" s="94"/>
      <c r="B58" s="210" t="s">
        <v>91</v>
      </c>
      <c r="C58" s="335"/>
      <c r="D58" s="89">
        <v>98048</v>
      </c>
      <c r="E58" s="89">
        <v>128688</v>
      </c>
      <c r="F58" s="89">
        <v>124704</v>
      </c>
      <c r="G58" s="89">
        <v>157500</v>
      </c>
      <c r="H58" s="89">
        <v>182600</v>
      </c>
      <c r="I58" s="89">
        <v>157700</v>
      </c>
      <c r="J58" s="89">
        <v>181700</v>
      </c>
      <c r="K58" s="89">
        <v>165900</v>
      </c>
      <c r="L58" s="89">
        <v>174300</v>
      </c>
      <c r="M58" s="89">
        <v>215800</v>
      </c>
      <c r="N58" s="89">
        <v>180000</v>
      </c>
      <c r="O58" s="89">
        <v>112500</v>
      </c>
      <c r="P58" s="314">
        <f t="shared" si="81"/>
        <v>1879440</v>
      </c>
      <c r="Q58" s="90"/>
      <c r="R58" s="313">
        <v>158400</v>
      </c>
      <c r="S58" s="91">
        <v>146000</v>
      </c>
      <c r="T58" s="91">
        <v>102200</v>
      </c>
      <c r="U58" s="91">
        <v>0</v>
      </c>
      <c r="V58" s="91">
        <v>43800</v>
      </c>
      <c r="W58" s="91">
        <v>160600</v>
      </c>
      <c r="X58" s="91">
        <v>167900</v>
      </c>
      <c r="Y58" s="91">
        <v>153300</v>
      </c>
      <c r="Z58" s="91">
        <v>153300</v>
      </c>
      <c r="AA58" s="91">
        <v>153300</v>
      </c>
      <c r="AB58" s="91">
        <v>146000</v>
      </c>
      <c r="AC58" s="91">
        <v>124100</v>
      </c>
      <c r="AD58" s="315"/>
      <c r="AE58" s="23"/>
      <c r="AF58" s="316">
        <v>131400</v>
      </c>
      <c r="AG58" s="91">
        <v>146000</v>
      </c>
      <c r="AH58" s="91">
        <v>125511</v>
      </c>
      <c r="AI58" s="91">
        <v>135000</v>
      </c>
      <c r="AJ58" s="91">
        <v>177320</v>
      </c>
      <c r="AK58" s="91">
        <v>151300</v>
      </c>
      <c r="AL58" s="91">
        <v>176000</v>
      </c>
      <c r="AM58" s="91">
        <f t="shared" ref="AM58:AP58" si="89">AM59*AM3</f>
        <v>154000</v>
      </c>
      <c r="AN58" s="91">
        <f t="shared" si="89"/>
        <v>157500</v>
      </c>
      <c r="AO58" s="91">
        <f t="shared" si="89"/>
        <v>140000</v>
      </c>
      <c r="AP58" s="91">
        <f t="shared" si="89"/>
        <v>130000</v>
      </c>
      <c r="AQ58" s="91">
        <f>AQ59*AQ3+16000</f>
        <v>100000</v>
      </c>
      <c r="AR58" s="92">
        <f t="shared" si="84"/>
        <v>1724031</v>
      </c>
      <c r="AS58" s="23"/>
      <c r="AT58" s="91">
        <f>AT59*AT3</f>
        <v>133000</v>
      </c>
      <c r="AU58" s="91">
        <f>125180</f>
        <v>125180</v>
      </c>
      <c r="AV58" s="91">
        <f>AV59*AV3+7428</f>
        <v>117228</v>
      </c>
      <c r="AW58" s="91">
        <f t="shared" ref="AW58:AY58" si="90">AW59*AW3</f>
        <v>123500</v>
      </c>
      <c r="AX58" s="91">
        <f t="shared" si="90"/>
        <v>132000</v>
      </c>
      <c r="AY58" s="91">
        <f t="shared" si="90"/>
        <v>153342.99999899999</v>
      </c>
      <c r="AZ58" s="91">
        <v>142409</v>
      </c>
      <c r="BA58" s="91">
        <v>163520</v>
      </c>
      <c r="BB58" s="91">
        <f t="shared" ref="BB58:BC58" si="91">BB59*BB3</f>
        <v>165000</v>
      </c>
      <c r="BC58" s="91">
        <f t="shared" si="91"/>
        <v>157500</v>
      </c>
      <c r="BD58" s="316">
        <v>129431</v>
      </c>
      <c r="BE58" s="316">
        <v>61700</v>
      </c>
      <c r="BF58" s="91">
        <f t="shared" si="86"/>
        <v>1603810.999999</v>
      </c>
      <c r="BG58" s="27">
        <f>BF58+BF61-AR58-AR61</f>
        <v>-113040.00000100001</v>
      </c>
      <c r="BH58" s="91">
        <v>136760</v>
      </c>
      <c r="BI58" s="91">
        <v>105580</v>
      </c>
      <c r="BJ58" s="91">
        <v>153360</v>
      </c>
      <c r="BK58" s="91">
        <v>126640</v>
      </c>
      <c r="BL58" s="91">
        <v>159180</v>
      </c>
      <c r="BM58" s="91">
        <v>141440</v>
      </c>
      <c r="BN58" s="91">
        <f t="shared" ref="BN58:BS58" si="92">BN59*BN3</f>
        <v>162440</v>
      </c>
      <c r="BO58" s="91">
        <f t="shared" si="92"/>
        <v>177910.47619047618</v>
      </c>
      <c r="BP58" s="91">
        <f t="shared" si="92"/>
        <v>154704.76190476189</v>
      </c>
      <c r="BQ58" s="91">
        <f t="shared" si="92"/>
        <v>162440</v>
      </c>
      <c r="BR58" s="91">
        <f t="shared" si="92"/>
        <v>144709.09090909091</v>
      </c>
      <c r="BS58" s="91">
        <f t="shared" si="92"/>
        <v>86825.454545454544</v>
      </c>
      <c r="BT58" s="91">
        <f t="shared" si="88"/>
        <v>1711989.7835497835</v>
      </c>
      <c r="BU58" s="23"/>
    </row>
    <row r="59" spans="1:73" ht="15.75" customHeight="1">
      <c r="A59" s="94"/>
      <c r="B59" s="210" t="s">
        <v>92</v>
      </c>
      <c r="C59" s="335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314"/>
      <c r="Q59" s="90"/>
      <c r="R59" s="316">
        <f t="shared" ref="R59:AC59" si="93">R58/R3</f>
        <v>7200</v>
      </c>
      <c r="S59" s="316">
        <f t="shared" si="93"/>
        <v>7300</v>
      </c>
      <c r="T59" s="316">
        <f t="shared" si="93"/>
        <v>7300</v>
      </c>
      <c r="U59" s="316">
        <f t="shared" si="93"/>
        <v>0</v>
      </c>
      <c r="V59" s="316">
        <f t="shared" si="93"/>
        <v>3650</v>
      </c>
      <c r="W59" s="316">
        <f t="shared" si="93"/>
        <v>7300</v>
      </c>
      <c r="X59" s="316">
        <f t="shared" si="93"/>
        <v>7300</v>
      </c>
      <c r="Y59" s="316">
        <f t="shared" si="93"/>
        <v>7300</v>
      </c>
      <c r="Z59" s="316">
        <f t="shared" si="93"/>
        <v>7300</v>
      </c>
      <c r="AA59" s="316">
        <f t="shared" si="93"/>
        <v>7300</v>
      </c>
      <c r="AB59" s="316">
        <f t="shared" si="93"/>
        <v>7300</v>
      </c>
      <c r="AC59" s="316">
        <f t="shared" si="93"/>
        <v>7300</v>
      </c>
      <c r="AD59" s="315"/>
      <c r="AE59" s="23"/>
      <c r="AF59" s="316">
        <f t="shared" ref="AF59:AL59" si="94">AF58/AF3</f>
        <v>7300</v>
      </c>
      <c r="AG59" s="316">
        <f t="shared" si="94"/>
        <v>7300</v>
      </c>
      <c r="AH59" s="316">
        <f t="shared" si="94"/>
        <v>6275.55</v>
      </c>
      <c r="AI59" s="316">
        <f t="shared" si="94"/>
        <v>6750</v>
      </c>
      <c r="AJ59" s="316">
        <f t="shared" si="94"/>
        <v>8060</v>
      </c>
      <c r="AK59" s="316">
        <f t="shared" si="94"/>
        <v>7565</v>
      </c>
      <c r="AL59" s="316">
        <f t="shared" si="94"/>
        <v>8000</v>
      </c>
      <c r="AM59" s="91">
        <v>7000</v>
      </c>
      <c r="AN59" s="91">
        <v>7500</v>
      </c>
      <c r="AO59" s="91">
        <v>7000</v>
      </c>
      <c r="AP59" s="91">
        <v>6500</v>
      </c>
      <c r="AQ59" s="91">
        <v>7000</v>
      </c>
      <c r="AR59" s="92">
        <f>AVERAGE(AF59:AQ59)</f>
        <v>7187.5458333333336</v>
      </c>
      <c r="AS59" s="23"/>
      <c r="AT59" s="91">
        <v>7000</v>
      </c>
      <c r="AU59" s="91">
        <f>AU58/AU3</f>
        <v>6588.4210526315792</v>
      </c>
      <c r="AV59" s="91">
        <v>6100</v>
      </c>
      <c r="AW59" s="91">
        <v>6500</v>
      </c>
      <c r="AX59" s="91">
        <v>6000</v>
      </c>
      <c r="AY59" s="91">
        <v>7302.0476189999999</v>
      </c>
      <c r="AZ59" s="91">
        <v>7000</v>
      </c>
      <c r="BA59" s="91">
        <f>BA58/BA3</f>
        <v>7432.727272727273</v>
      </c>
      <c r="BB59" s="91">
        <v>7500</v>
      </c>
      <c r="BC59" s="91">
        <v>7500</v>
      </c>
      <c r="BD59" s="91">
        <f t="shared" ref="BD59:BE59" si="95">BD58/BD3</f>
        <v>6471.55</v>
      </c>
      <c r="BE59" s="91">
        <f t="shared" si="95"/>
        <v>6170</v>
      </c>
      <c r="BF59" s="91">
        <f>AVERAGE(AT59:BE59)</f>
        <v>6797.0621620299053</v>
      </c>
      <c r="BG59" s="27"/>
      <c r="BH59" s="91">
        <f t="shared" ref="BH59:BM59" si="96">BH58/BH3</f>
        <v>6838</v>
      </c>
      <c r="BI59" s="91">
        <f t="shared" si="96"/>
        <v>7038.666666666667</v>
      </c>
      <c r="BJ59" s="91">
        <f t="shared" si="96"/>
        <v>6667.826086956522</v>
      </c>
      <c r="BK59" s="91">
        <f t="shared" si="96"/>
        <v>7035.5555555555557</v>
      </c>
      <c r="BL59" s="91">
        <f t="shared" si="96"/>
        <v>7235.454545454545</v>
      </c>
      <c r="BM59" s="91">
        <f t="shared" si="96"/>
        <v>6735.2380952380954</v>
      </c>
      <c r="BN59" s="91">
        <f>BM59+1000</f>
        <v>7735.2380952380954</v>
      </c>
      <c r="BO59" s="91">
        <f t="shared" ref="BO59:BQ59" si="97">BN59</f>
        <v>7735.2380952380954</v>
      </c>
      <c r="BP59" s="91">
        <f t="shared" si="97"/>
        <v>7735.2380952380954</v>
      </c>
      <c r="BQ59" s="91">
        <f t="shared" si="97"/>
        <v>7735.2380952380954</v>
      </c>
      <c r="BR59" s="91">
        <f>BL59</f>
        <v>7235.454545454545</v>
      </c>
      <c r="BS59" s="91">
        <f>BR59</f>
        <v>7235.454545454545</v>
      </c>
      <c r="BT59" s="91"/>
      <c r="BU59" s="23"/>
    </row>
    <row r="60" spans="1:73" ht="15.75" customHeight="1">
      <c r="A60" s="94"/>
      <c r="B60" s="210" t="s">
        <v>281</v>
      </c>
      <c r="C60" s="335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314"/>
      <c r="Q60" s="90"/>
      <c r="R60" s="313"/>
      <c r="S60" s="91">
        <v>15000</v>
      </c>
      <c r="T60" s="91">
        <v>15600</v>
      </c>
      <c r="U60" s="91">
        <v>2000</v>
      </c>
      <c r="V60" s="91">
        <v>10000</v>
      </c>
      <c r="W60" s="91">
        <v>30000</v>
      </c>
      <c r="X60" s="91">
        <v>20000</v>
      </c>
      <c r="Y60" s="91">
        <v>30000</v>
      </c>
      <c r="Z60" s="91">
        <v>30000</v>
      </c>
      <c r="AA60" s="91">
        <v>20000</v>
      </c>
      <c r="AB60" s="91">
        <v>20000</v>
      </c>
      <c r="AC60" s="91">
        <v>10000</v>
      </c>
      <c r="AD60" s="315"/>
      <c r="AE60" s="23"/>
      <c r="AF60" s="316">
        <v>30000</v>
      </c>
      <c r="AG60" s="91">
        <v>20000</v>
      </c>
      <c r="AH60" s="91">
        <v>24960</v>
      </c>
      <c r="AI60" s="91">
        <v>14040</v>
      </c>
      <c r="AJ60" s="91">
        <v>19040</v>
      </c>
      <c r="AK60" s="91">
        <v>12000</v>
      </c>
      <c r="AL60" s="91">
        <v>14000</v>
      </c>
      <c r="AM60" s="91">
        <v>13000</v>
      </c>
      <c r="AN60" s="91">
        <v>13000</v>
      </c>
      <c r="AO60" s="91">
        <v>0</v>
      </c>
      <c r="AP60" s="91">
        <v>0</v>
      </c>
      <c r="AQ60" s="91">
        <v>0</v>
      </c>
      <c r="AR60" s="92">
        <f t="shared" ref="AR60:AR61" si="98">SUM(AF60:AQ60)</f>
        <v>160040</v>
      </c>
      <c r="AS60" s="23"/>
      <c r="AT60" s="91">
        <v>0</v>
      </c>
      <c r="AU60" s="91">
        <v>0</v>
      </c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>
        <f t="shared" ref="BF60:BF61" si="99">SUM(AT60:BE60)</f>
        <v>0</v>
      </c>
      <c r="BG60" s="27">
        <f>BF60-AR60</f>
        <v>-160040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>
        <f t="shared" ref="BT60:BT61" si="100">SUM(BH60:BS60)</f>
        <v>0</v>
      </c>
      <c r="BU60" s="23"/>
    </row>
    <row r="61" spans="1:73" ht="15.75" customHeight="1">
      <c r="A61" s="94"/>
      <c r="B61" s="210" t="s">
        <v>637</v>
      </c>
      <c r="C61" s="335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314"/>
      <c r="Q61" s="90"/>
      <c r="R61" s="313"/>
      <c r="S61" s="91"/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13500</v>
      </c>
      <c r="Z61" s="91">
        <v>9000</v>
      </c>
      <c r="AA61" s="91">
        <v>9000</v>
      </c>
      <c r="AB61" s="91">
        <v>9000</v>
      </c>
      <c r="AC61" s="91">
        <v>0</v>
      </c>
      <c r="AD61" s="315"/>
      <c r="AE61" s="23"/>
      <c r="AF61" s="91">
        <v>13500</v>
      </c>
      <c r="AG61" s="91">
        <v>13500</v>
      </c>
      <c r="AH61" s="91">
        <v>2820</v>
      </c>
      <c r="AI61" s="91">
        <v>0</v>
      </c>
      <c r="AJ61" s="91">
        <v>0</v>
      </c>
      <c r="AK61" s="91">
        <v>0</v>
      </c>
      <c r="AL61" s="91">
        <v>0</v>
      </c>
      <c r="AM61" s="91"/>
      <c r="AN61" s="91"/>
      <c r="AO61" s="91"/>
      <c r="AP61" s="91"/>
      <c r="AQ61" s="91"/>
      <c r="AR61" s="92">
        <f t="shared" si="98"/>
        <v>29820</v>
      </c>
      <c r="AS61" s="23"/>
      <c r="AT61" s="91"/>
      <c r="AU61" s="91"/>
      <c r="AV61" s="91"/>
      <c r="AW61" s="91">
        <v>4000</v>
      </c>
      <c r="AX61" s="91">
        <v>8000</v>
      </c>
      <c r="AY61" s="91">
        <v>5000</v>
      </c>
      <c r="AZ61" s="91">
        <v>10000</v>
      </c>
      <c r="BA61" s="91">
        <v>10000</v>
      </c>
      <c r="BB61" s="91">
        <v>0</v>
      </c>
      <c r="BC61" s="91">
        <v>0</v>
      </c>
      <c r="BD61" s="91">
        <v>0</v>
      </c>
      <c r="BE61" s="91"/>
      <c r="BF61" s="91">
        <f t="shared" si="99"/>
        <v>37000</v>
      </c>
      <c r="BG61" s="27"/>
      <c r="BH61" s="91">
        <v>3000</v>
      </c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>
        <f t="shared" si="100"/>
        <v>3000</v>
      </c>
      <c r="BU61" s="23"/>
    </row>
    <row r="62" spans="1:73" ht="15.75" customHeight="1">
      <c r="A62" s="94"/>
      <c r="B62" s="210" t="s">
        <v>283</v>
      </c>
      <c r="C62" s="335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314"/>
      <c r="Q62" s="90"/>
      <c r="R62" s="313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315"/>
      <c r="AE62" s="23"/>
      <c r="AF62" s="91"/>
      <c r="AG62" s="91"/>
      <c r="AH62" s="91"/>
      <c r="AI62" s="91"/>
      <c r="AJ62" s="91"/>
      <c r="AK62" s="91"/>
      <c r="AL62" s="91"/>
      <c r="AM62" s="91"/>
      <c r="AN62" s="91"/>
      <c r="AO62" s="91">
        <f t="shared" ref="AO62:AQ62" si="101">AO57*9.68</f>
        <v>1355200</v>
      </c>
      <c r="AP62" s="91">
        <f t="shared" si="101"/>
        <v>1258400</v>
      </c>
      <c r="AQ62" s="91">
        <f t="shared" si="101"/>
        <v>968000</v>
      </c>
      <c r="AR62" s="92"/>
      <c r="AS62" s="23"/>
      <c r="AT62" s="91">
        <f t="shared" ref="AT62:BF62" si="102">AT57*9.68</f>
        <v>1287440</v>
      </c>
      <c r="AU62" s="91">
        <f t="shared" si="102"/>
        <v>1211742.3999999999</v>
      </c>
      <c r="AV62" s="91">
        <f t="shared" si="102"/>
        <v>1134767.04</v>
      </c>
      <c r="AW62" s="91">
        <f t="shared" si="102"/>
        <v>1234200</v>
      </c>
      <c r="AX62" s="91">
        <f t="shared" si="102"/>
        <v>1355200</v>
      </c>
      <c r="AY62" s="91">
        <f t="shared" si="102"/>
        <v>1532760.2399903198</v>
      </c>
      <c r="AZ62" s="91">
        <f t="shared" si="102"/>
        <v>1475319.1199999999</v>
      </c>
      <c r="BA62" s="91">
        <f t="shared" si="102"/>
        <v>1679673.5999999999</v>
      </c>
      <c r="BB62" s="91">
        <f t="shared" si="102"/>
        <v>1597200</v>
      </c>
      <c r="BC62" s="91">
        <f t="shared" si="102"/>
        <v>1524600</v>
      </c>
      <c r="BD62" s="91">
        <f t="shared" si="102"/>
        <v>1252892.08</v>
      </c>
      <c r="BE62" s="91">
        <f t="shared" si="102"/>
        <v>597256</v>
      </c>
      <c r="BF62" s="91">
        <f t="shared" si="102"/>
        <v>15883050.47999032</v>
      </c>
      <c r="BG62" s="27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23"/>
    </row>
    <row r="63" spans="1:73">
      <c r="A63" s="110" t="s">
        <v>99</v>
      </c>
      <c r="B63" s="110" t="s">
        <v>100</v>
      </c>
      <c r="C63" s="147"/>
      <c r="D63" s="111">
        <v>95972</v>
      </c>
      <c r="E63" s="111">
        <v>130805</v>
      </c>
      <c r="F63" s="111">
        <v>121914</v>
      </c>
      <c r="G63" s="111">
        <v>165455</v>
      </c>
      <c r="H63" s="111">
        <v>192013</v>
      </c>
      <c r="I63" s="111">
        <v>167281</v>
      </c>
      <c r="J63" s="111">
        <v>181409</v>
      </c>
      <c r="K63" s="111">
        <v>163138</v>
      </c>
      <c r="L63" s="111">
        <v>169051</v>
      </c>
      <c r="M63" s="111">
        <v>183254</v>
      </c>
      <c r="N63" s="111"/>
      <c r="O63" s="111"/>
      <c r="P63" s="343">
        <f>SUM(D63:O63)</f>
        <v>1570292</v>
      </c>
      <c r="Q63" s="84"/>
      <c r="R63" s="342">
        <v>149582</v>
      </c>
      <c r="S63" s="112">
        <v>152735</v>
      </c>
      <c r="T63" s="112">
        <v>107681</v>
      </c>
      <c r="U63" s="112">
        <v>2974</v>
      </c>
      <c r="V63" s="112">
        <v>32639</v>
      </c>
      <c r="W63" s="112">
        <v>153121</v>
      </c>
      <c r="X63" s="112">
        <v>198635</v>
      </c>
      <c r="Y63" s="112">
        <v>160489</v>
      </c>
      <c r="Z63" s="112">
        <v>160893</v>
      </c>
      <c r="AA63" s="112">
        <v>180999</v>
      </c>
      <c r="AB63" s="112">
        <v>167265</v>
      </c>
      <c r="AC63" s="112">
        <v>135424</v>
      </c>
      <c r="AD63" s="344">
        <f>SUM(R63:AC63)</f>
        <v>1602437</v>
      </c>
      <c r="AE63" s="113"/>
      <c r="AF63" s="345">
        <v>145616</v>
      </c>
      <c r="AG63" s="112">
        <v>168450</v>
      </c>
      <c r="AH63" s="112">
        <v>153291</v>
      </c>
      <c r="AI63" s="112">
        <v>149378</v>
      </c>
      <c r="AJ63" s="112">
        <v>196360</v>
      </c>
      <c r="AK63" s="112">
        <v>170558</v>
      </c>
      <c r="AL63" s="112">
        <v>171758</v>
      </c>
      <c r="AM63" s="112">
        <f t="shared" ref="AM63:AQ63" si="103">SUM(AM64:AM65)</f>
        <v>168974</v>
      </c>
      <c r="AN63" s="112">
        <f t="shared" si="103"/>
        <v>144792</v>
      </c>
      <c r="AO63" s="112">
        <f t="shared" si="103"/>
        <v>141375</v>
      </c>
      <c r="AP63" s="112">
        <f t="shared" si="103"/>
        <v>143221</v>
      </c>
      <c r="AQ63" s="112">
        <f t="shared" si="103"/>
        <v>85543</v>
      </c>
      <c r="AR63" s="112">
        <f t="shared" ref="AR63:AR67" si="104">SUM(AF63:AQ63)</f>
        <v>1839316</v>
      </c>
      <c r="AS63" s="23"/>
      <c r="AT63" s="112">
        <f t="shared" ref="AT63:BE63" si="105">SUM(AT64:AT65)</f>
        <v>120211</v>
      </c>
      <c r="AU63" s="112">
        <f t="shared" si="105"/>
        <v>120216</v>
      </c>
      <c r="AV63" s="112">
        <f t="shared" si="105"/>
        <v>101053</v>
      </c>
      <c r="AW63" s="112">
        <f t="shared" si="105"/>
        <v>137388</v>
      </c>
      <c r="AX63" s="112">
        <f t="shared" si="105"/>
        <v>137400</v>
      </c>
      <c r="AY63" s="112">
        <f t="shared" si="105"/>
        <v>135412</v>
      </c>
      <c r="AZ63" s="112">
        <f t="shared" si="105"/>
        <v>157032</v>
      </c>
      <c r="BA63" s="112">
        <f t="shared" si="105"/>
        <v>173287</v>
      </c>
      <c r="BB63" s="114">
        <f t="shared" si="105"/>
        <v>166815</v>
      </c>
      <c r="BC63" s="114">
        <f t="shared" si="105"/>
        <v>153816</v>
      </c>
      <c r="BD63" s="114">
        <f t="shared" si="105"/>
        <v>138051</v>
      </c>
      <c r="BE63" s="114">
        <f t="shared" si="105"/>
        <v>55950</v>
      </c>
      <c r="BF63" s="114">
        <f t="shared" ref="BF63:BF67" si="106">SUM(AT63:BE63)</f>
        <v>1596631</v>
      </c>
      <c r="BG63" s="93">
        <f>BF63/AR63-1</f>
        <v>-0.1319430701412917</v>
      </c>
      <c r="BH63" s="112"/>
      <c r="BI63" s="112"/>
      <c r="BJ63" s="112"/>
      <c r="BK63" s="112"/>
      <c r="BL63" s="112"/>
      <c r="BM63" s="112"/>
      <c r="BN63" s="112"/>
      <c r="BO63" s="112"/>
      <c r="BP63" s="112"/>
      <c r="BQ63" s="112"/>
      <c r="BR63" s="112"/>
      <c r="BS63" s="112"/>
      <c r="BT63" s="112"/>
      <c r="BU63" s="113"/>
    </row>
    <row r="64" spans="1:73" ht="15.75" customHeight="1">
      <c r="A64" s="115"/>
      <c r="B64" s="115" t="s">
        <v>101</v>
      </c>
      <c r="C64" s="24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66"/>
      <c r="Q64" s="116"/>
      <c r="R64" s="265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67"/>
      <c r="AE64" s="23"/>
      <c r="AF64" s="348">
        <v>126362</v>
      </c>
      <c r="AG64" s="22">
        <v>153970</v>
      </c>
      <c r="AH64" s="22">
        <v>128331</v>
      </c>
      <c r="AI64" s="22">
        <v>135338</v>
      </c>
      <c r="AJ64" s="22">
        <v>177312</v>
      </c>
      <c r="AK64" s="22">
        <v>150818</v>
      </c>
      <c r="AL64" s="22">
        <v>158858</v>
      </c>
      <c r="AM64" s="22">
        <v>153933</v>
      </c>
      <c r="AN64" s="22">
        <v>134244</v>
      </c>
      <c r="AO64" s="22">
        <v>137435</v>
      </c>
      <c r="AP64" s="22">
        <v>143221</v>
      </c>
      <c r="AQ64" s="22">
        <v>85543</v>
      </c>
      <c r="AR64" s="117">
        <f t="shared" si="104"/>
        <v>1685365</v>
      </c>
      <c r="AS64" s="23"/>
      <c r="AT64" s="22">
        <v>120211</v>
      </c>
      <c r="AU64" s="22">
        <v>120216</v>
      </c>
      <c r="AV64" s="22">
        <v>101053</v>
      </c>
      <c r="AW64" s="22">
        <v>137388</v>
      </c>
      <c r="AX64" s="22">
        <v>137400</v>
      </c>
      <c r="AY64" s="22">
        <v>135412</v>
      </c>
      <c r="AZ64" s="22">
        <v>157032</v>
      </c>
      <c r="BA64" s="22">
        <v>172227</v>
      </c>
      <c r="BB64" s="22">
        <f>157995+8500</f>
        <v>166495</v>
      </c>
      <c r="BC64" s="22">
        <v>153816</v>
      </c>
      <c r="BD64" s="22">
        <v>138051</v>
      </c>
      <c r="BE64" s="22">
        <v>55950</v>
      </c>
      <c r="BF64" s="22">
        <f t="shared" si="106"/>
        <v>1595251</v>
      </c>
      <c r="BG64" s="27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3"/>
    </row>
    <row r="65" spans="1:72" ht="15.75" customHeight="1">
      <c r="A65" s="115"/>
      <c r="B65" s="115" t="s">
        <v>102</v>
      </c>
      <c r="C65" s="24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66"/>
      <c r="Q65" s="116"/>
      <c r="R65" s="265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67"/>
      <c r="AE65" s="23"/>
      <c r="AF65" s="22">
        <f t="shared" ref="AF65:AL65" si="107">AF63-AF64</f>
        <v>19254</v>
      </c>
      <c r="AG65" s="22">
        <f t="shared" si="107"/>
        <v>14480</v>
      </c>
      <c r="AH65" s="22">
        <f t="shared" si="107"/>
        <v>24960</v>
      </c>
      <c r="AI65" s="22">
        <f t="shared" si="107"/>
        <v>14040</v>
      </c>
      <c r="AJ65" s="22">
        <f t="shared" si="107"/>
        <v>19048</v>
      </c>
      <c r="AK65" s="22">
        <f t="shared" si="107"/>
        <v>19740</v>
      </c>
      <c r="AL65" s="22">
        <f t="shared" si="107"/>
        <v>12900</v>
      </c>
      <c r="AM65" s="22">
        <v>15041</v>
      </c>
      <c r="AN65" s="22">
        <v>10548</v>
      </c>
      <c r="AO65" s="22">
        <v>3940</v>
      </c>
      <c r="AP65" s="22">
        <v>0</v>
      </c>
      <c r="AQ65" s="22">
        <v>0</v>
      </c>
      <c r="AR65" s="117">
        <f t="shared" si="104"/>
        <v>153951</v>
      </c>
      <c r="AS65" s="23"/>
      <c r="AT65" s="22">
        <v>0</v>
      </c>
      <c r="AU65" s="22">
        <v>0</v>
      </c>
      <c r="AV65" s="22">
        <v>0</v>
      </c>
      <c r="AW65" s="22">
        <v>0</v>
      </c>
      <c r="AX65" s="22">
        <v>0</v>
      </c>
      <c r="AY65" s="22">
        <v>0</v>
      </c>
      <c r="AZ65" s="22">
        <v>0</v>
      </c>
      <c r="BA65" s="22">
        <v>1060</v>
      </c>
      <c r="BB65" s="22">
        <v>320</v>
      </c>
      <c r="BC65" s="22">
        <v>0</v>
      </c>
      <c r="BD65" s="22">
        <v>0</v>
      </c>
      <c r="BE65" s="22"/>
      <c r="BF65" s="22">
        <f t="shared" si="106"/>
        <v>1380</v>
      </c>
      <c r="BG65" s="27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</row>
    <row r="66" spans="1:72" ht="15.75" customHeight="1">
      <c r="A66" s="232" t="s">
        <v>103</v>
      </c>
      <c r="B66" s="238"/>
      <c r="C66" s="387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388"/>
      <c r="Q66" s="235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90"/>
      <c r="AE66" s="23"/>
      <c r="AF66" s="389">
        <f t="shared" ref="AF66:AQ66" si="108">AF63-AF57</f>
        <v>-15784</v>
      </c>
      <c r="AG66" s="389">
        <f t="shared" si="108"/>
        <v>2450</v>
      </c>
      <c r="AH66" s="389">
        <f t="shared" si="108"/>
        <v>2820</v>
      </c>
      <c r="AI66" s="389">
        <f t="shared" si="108"/>
        <v>338</v>
      </c>
      <c r="AJ66" s="389">
        <f t="shared" si="108"/>
        <v>0</v>
      </c>
      <c r="AK66" s="389">
        <f t="shared" si="108"/>
        <v>7258</v>
      </c>
      <c r="AL66" s="389">
        <f t="shared" si="108"/>
        <v>-18242</v>
      </c>
      <c r="AM66" s="389">
        <f t="shared" si="108"/>
        <v>1974</v>
      </c>
      <c r="AN66" s="389">
        <f t="shared" si="108"/>
        <v>-25708</v>
      </c>
      <c r="AO66" s="389">
        <f t="shared" si="108"/>
        <v>1375</v>
      </c>
      <c r="AP66" s="389">
        <f t="shared" si="108"/>
        <v>13221</v>
      </c>
      <c r="AQ66" s="389">
        <f t="shared" si="108"/>
        <v>-14457</v>
      </c>
      <c r="AR66" s="236">
        <f t="shared" si="104"/>
        <v>-44755</v>
      </c>
      <c r="AS66" s="23"/>
      <c r="AT66" s="389">
        <f t="shared" ref="AT66:BE66" si="109">AT63-AT57</f>
        <v>-12789</v>
      </c>
      <c r="AU66" s="389">
        <f t="shared" si="109"/>
        <v>-4964</v>
      </c>
      <c r="AV66" s="389">
        <f t="shared" si="109"/>
        <v>-16175</v>
      </c>
      <c r="AW66" s="389">
        <f t="shared" si="109"/>
        <v>9888</v>
      </c>
      <c r="AX66" s="389">
        <f t="shared" si="109"/>
        <v>-2600</v>
      </c>
      <c r="AY66" s="389">
        <f t="shared" si="109"/>
        <v>-22930.999998999992</v>
      </c>
      <c r="AZ66" s="389">
        <f t="shared" si="109"/>
        <v>4623</v>
      </c>
      <c r="BA66" s="389">
        <f t="shared" si="109"/>
        <v>-233</v>
      </c>
      <c r="BB66" s="389">
        <f t="shared" si="109"/>
        <v>1815</v>
      </c>
      <c r="BC66" s="389">
        <f t="shared" si="109"/>
        <v>-3684</v>
      </c>
      <c r="BD66" s="389">
        <f t="shared" si="109"/>
        <v>8620</v>
      </c>
      <c r="BE66" s="389">
        <f t="shared" si="109"/>
        <v>-5750</v>
      </c>
      <c r="BF66" s="237">
        <f t="shared" si="106"/>
        <v>-44179.999998999992</v>
      </c>
      <c r="BG66" s="27"/>
      <c r="BH66" s="389">
        <f t="shared" ref="BH66:BK66" si="110">BH63-BH57</f>
        <v>-139760</v>
      </c>
      <c r="BI66" s="389">
        <f t="shared" si="110"/>
        <v>-105580</v>
      </c>
      <c r="BJ66" s="389">
        <f t="shared" si="110"/>
        <v>-153360</v>
      </c>
      <c r="BK66" s="389">
        <f t="shared" si="110"/>
        <v>-126640</v>
      </c>
      <c r="BL66" s="237"/>
      <c r="BM66" s="237"/>
      <c r="BN66" s="237"/>
      <c r="BO66" s="237"/>
      <c r="BP66" s="237"/>
      <c r="BQ66" s="237"/>
      <c r="BR66" s="237"/>
      <c r="BS66" s="237"/>
      <c r="BT66" s="237"/>
    </row>
    <row r="67" spans="1:72" ht="15.75" customHeight="1">
      <c r="A67" s="218" t="s">
        <v>638</v>
      </c>
      <c r="B67" s="393"/>
      <c r="C67" s="240"/>
      <c r="D67" s="220" t="e">
        <f t="shared" ref="D67:F67" si="111">#REF!-#REF!</f>
        <v>#REF!</v>
      </c>
      <c r="E67" s="220" t="e">
        <f t="shared" si="111"/>
        <v>#REF!</v>
      </c>
      <c r="F67" s="220" t="e">
        <f t="shared" si="111"/>
        <v>#REF!</v>
      </c>
      <c r="G67" s="220" t="e">
        <f t="shared" ref="G67:I67" si="112">G57-#REF!</f>
        <v>#REF!</v>
      </c>
      <c r="H67" s="220" t="e">
        <f t="shared" si="112"/>
        <v>#REF!</v>
      </c>
      <c r="I67" s="220" t="e">
        <f t="shared" si="112"/>
        <v>#REF!</v>
      </c>
      <c r="J67" s="220" t="e">
        <f t="shared" ref="J67:K67" si="113">#REF!-#REF!</f>
        <v>#REF!</v>
      </c>
      <c r="K67" s="220" t="e">
        <f t="shared" si="113"/>
        <v>#REF!</v>
      </c>
      <c r="L67" s="220">
        <f t="shared" ref="L67:O67" si="114">L57-L16</f>
        <v>-24911</v>
      </c>
      <c r="M67" s="220">
        <f t="shared" si="114"/>
        <v>-13674</v>
      </c>
      <c r="N67" s="220">
        <f t="shared" si="114"/>
        <v>57632</v>
      </c>
      <c r="O67" s="220">
        <f t="shared" si="114"/>
        <v>74079</v>
      </c>
      <c r="P67" s="384" t="e">
        <f>SUM(D67:O67)</f>
        <v>#REF!</v>
      </c>
      <c r="Q67" s="221"/>
      <c r="R67" s="385">
        <f t="shared" ref="R67:AD67" si="115">R57-R16</f>
        <v>22222.660017050745</v>
      </c>
      <c r="S67" s="222">
        <f t="shared" si="115"/>
        <v>17159.673608830723</v>
      </c>
      <c r="T67" s="222">
        <f t="shared" si="115"/>
        <v>-24753.77192982455</v>
      </c>
      <c r="U67" s="222">
        <f t="shared" si="115"/>
        <v>-17814.899999999998</v>
      </c>
      <c r="V67" s="222">
        <f t="shared" si="115"/>
        <v>1715</v>
      </c>
      <c r="W67" s="222">
        <f t="shared" si="115"/>
        <v>120430.6180497602</v>
      </c>
      <c r="X67" s="222">
        <f t="shared" si="115"/>
        <v>43436.666666667006</v>
      </c>
      <c r="Y67" s="222">
        <f t="shared" si="115"/>
        <v>-29747.083333333314</v>
      </c>
      <c r="Z67" s="222">
        <f t="shared" si="115"/>
        <v>-80887.5</v>
      </c>
      <c r="AA67" s="222">
        <f t="shared" si="115"/>
        <v>10200</v>
      </c>
      <c r="AB67" s="222">
        <f t="shared" si="115"/>
        <v>137500</v>
      </c>
      <c r="AC67" s="222">
        <f t="shared" si="115"/>
        <v>134100</v>
      </c>
      <c r="AD67" s="394">
        <f t="shared" si="115"/>
        <v>333561.36307915067</v>
      </c>
      <c r="AE67" s="113"/>
      <c r="AF67" s="392">
        <f t="shared" ref="AF67:AQ67" si="116">AF57-AF16</f>
        <v>32754</v>
      </c>
      <c r="AG67" s="222">
        <f t="shared" si="116"/>
        <v>-11977</v>
      </c>
      <c r="AH67" s="222">
        <f t="shared" si="116"/>
        <v>76847</v>
      </c>
      <c r="AI67" s="222">
        <f t="shared" si="116"/>
        <v>59682</v>
      </c>
      <c r="AJ67" s="222">
        <f t="shared" si="116"/>
        <v>74226</v>
      </c>
      <c r="AK67" s="222">
        <f t="shared" si="116"/>
        <v>14740</v>
      </c>
      <c r="AL67" s="222">
        <f t="shared" si="116"/>
        <v>38005</v>
      </c>
      <c r="AM67" s="222">
        <f t="shared" si="116"/>
        <v>-71903</v>
      </c>
      <c r="AN67" s="222">
        <f t="shared" si="116"/>
        <v>-90633.333333333343</v>
      </c>
      <c r="AO67" s="222">
        <f t="shared" si="116"/>
        <v>-115900</v>
      </c>
      <c r="AP67" s="222">
        <f t="shared" si="116"/>
        <v>1360</v>
      </c>
      <c r="AQ67" s="222">
        <f t="shared" si="116"/>
        <v>2160</v>
      </c>
      <c r="AR67" s="242">
        <f t="shared" si="104"/>
        <v>9360.666666666657</v>
      </c>
      <c r="AS67" s="23"/>
      <c r="AT67" s="222">
        <f t="shared" ref="AT67:BE67" si="117">AT57-AT16</f>
        <v>-19749.25</v>
      </c>
      <c r="AU67" s="222">
        <f t="shared" si="117"/>
        <v>-43342.103448275855</v>
      </c>
      <c r="AV67" s="222">
        <f t="shared" si="117"/>
        <v>-36893.137931034493</v>
      </c>
      <c r="AW67" s="222">
        <f t="shared" si="117"/>
        <v>-32095.137931034493</v>
      </c>
      <c r="AX67" s="222">
        <f t="shared" si="117"/>
        <v>19900.034482758623</v>
      </c>
      <c r="AY67" s="222">
        <f t="shared" si="117"/>
        <v>19999.222221222211</v>
      </c>
      <c r="AZ67" s="222">
        <f t="shared" si="117"/>
        <v>-14264.777777777781</v>
      </c>
      <c r="BA67" s="222">
        <f t="shared" si="117"/>
        <v>-68922.296296296292</v>
      </c>
      <c r="BB67" s="222">
        <f t="shared" si="117"/>
        <v>-78407.777777777781</v>
      </c>
      <c r="BC67" s="222">
        <f t="shared" si="117"/>
        <v>-95868.290755657828</v>
      </c>
      <c r="BD67" s="222">
        <f t="shared" si="117"/>
        <v>-5124.586881472962</v>
      </c>
      <c r="BE67" s="222">
        <f t="shared" si="117"/>
        <v>-10986.612965093984</v>
      </c>
      <c r="BF67" s="222">
        <f t="shared" si="106"/>
        <v>-365754.71506044065</v>
      </c>
      <c r="BG67" s="27"/>
      <c r="BH67" s="222">
        <f t="shared" ref="BH67:BK67" si="118">BH57-BH16</f>
        <v>-10155</v>
      </c>
      <c r="BI67" s="222">
        <f t="shared" si="118"/>
        <v>-35221.333333333314</v>
      </c>
      <c r="BJ67" s="222">
        <f t="shared" si="118"/>
        <v>-5103.3333333333139</v>
      </c>
      <c r="BK67" s="222">
        <f t="shared" si="118"/>
        <v>-18948.333333333314</v>
      </c>
      <c r="BL67" s="222"/>
      <c r="BM67" s="222"/>
      <c r="BN67" s="222"/>
      <c r="BO67" s="222"/>
      <c r="BP67" s="222"/>
      <c r="BQ67" s="222"/>
      <c r="BR67" s="222"/>
      <c r="BS67" s="222"/>
      <c r="BT67" s="222"/>
    </row>
  </sheetData>
  <mergeCells count="21">
    <mergeCell ref="A45:B45"/>
    <mergeCell ref="A56:B56"/>
    <mergeCell ref="D2:P2"/>
    <mergeCell ref="A14:B14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R1:AD1"/>
    <mergeCell ref="AF1:AR1"/>
    <mergeCell ref="AT1:BF1"/>
    <mergeCell ref="BH1:BS1"/>
    <mergeCell ref="R2:AD2"/>
    <mergeCell ref="AT2:BF2"/>
    <mergeCell ref="BH2:BS2"/>
  </mergeCells>
  <pageMargins left="0.25" right="0.25" top="0.75" bottom="0.75" header="0" footer="0"/>
  <pageSetup paperSize="9" scale="55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46BD-AFA4-4A5C-AF06-EC6E3D482F8F}">
  <sheetPr>
    <tabColor theme="8" tint="-0.499984740745262"/>
  </sheetPr>
  <dimension ref="A1:AE83"/>
  <sheetViews>
    <sheetView showGridLines="0" topLeftCell="A41" zoomScale="85" zoomScaleNormal="85" workbookViewId="0">
      <selection activeCell="T50" sqref="T50"/>
    </sheetView>
  </sheetViews>
  <sheetFormatPr defaultRowHeight="15"/>
  <cols>
    <col min="1" max="1" width="5" style="452" customWidth="1"/>
    <col min="2" max="2" width="18.85546875" style="452" bestFit="1" customWidth="1"/>
    <col min="3" max="4" width="19" style="452" hidden="1" customWidth="1"/>
    <col min="5" max="5" width="15.140625" style="452" hidden="1" customWidth="1"/>
    <col min="6" max="6" width="20.85546875" style="452" customWidth="1"/>
    <col min="7" max="7" width="20" style="452" hidden="1" customWidth="1"/>
    <col min="8" max="18" width="15.5703125" style="452" hidden="1" customWidth="1"/>
    <col min="19" max="19" width="18.42578125" style="452" customWidth="1"/>
    <col min="20" max="22" width="16" style="452" bestFit="1" customWidth="1"/>
    <col min="23" max="23" width="17.140625" style="452" bestFit="1" customWidth="1"/>
    <col min="24" max="24" width="16.140625" style="452" bestFit="1" customWidth="1"/>
    <col min="25" max="29" width="16" style="452" bestFit="1" customWidth="1"/>
    <col min="30" max="30" width="14.85546875" style="452" bestFit="1" customWidth="1"/>
    <col min="31" max="31" width="14.42578125" style="452" bestFit="1" customWidth="1"/>
    <col min="32" max="16384" width="9.140625" style="452"/>
  </cols>
  <sheetData>
    <row r="1" spans="1:30" ht="18.75" customHeight="1" thickBot="1">
      <c r="B1" s="1102">
        <v>2024</v>
      </c>
      <c r="C1" s="525" t="s">
        <v>639</v>
      </c>
      <c r="D1" s="524"/>
      <c r="E1" s="524"/>
    </row>
    <row r="2" spans="1:30" ht="18.75" customHeight="1" thickBot="1">
      <c r="B2" s="1103"/>
      <c r="C2" s="1105" t="s">
        <v>640</v>
      </c>
      <c r="D2" s="1106"/>
      <c r="E2" s="1107"/>
    </row>
    <row r="3" spans="1:30" ht="18.75" customHeight="1" thickBot="1">
      <c r="B3" s="1104"/>
      <c r="C3" s="1105" t="s">
        <v>641</v>
      </c>
      <c r="D3" s="1106"/>
      <c r="E3" s="1106"/>
      <c r="S3" s="523" t="s">
        <v>642</v>
      </c>
      <c r="T3" s="522"/>
      <c r="U3" s="522"/>
      <c r="V3" s="522"/>
      <c r="W3" s="522"/>
      <c r="X3" s="522"/>
      <c r="Y3" s="522"/>
      <c r="Z3" s="522"/>
      <c r="AA3" s="522"/>
      <c r="AB3" s="522"/>
      <c r="AC3" s="522"/>
      <c r="AD3" s="522"/>
    </row>
    <row r="4" spans="1:30" ht="18.75" customHeight="1" thickBot="1">
      <c r="B4" s="501" t="s">
        <v>643</v>
      </c>
      <c r="C4" s="500">
        <v>31320972</v>
      </c>
      <c r="D4" s="500">
        <v>25788723.789999995</v>
      </c>
      <c r="E4" s="499">
        <v>0.21452198468794426</v>
      </c>
      <c r="F4" s="498"/>
      <c r="G4" s="497">
        <v>2383146.6084000003</v>
      </c>
      <c r="H4" s="497">
        <v>1814606.7120000001</v>
      </c>
      <c r="I4" s="497">
        <v>2292395.1408000002</v>
      </c>
      <c r="J4" s="497">
        <v>2039721.5951999999</v>
      </c>
      <c r="K4" s="497">
        <v>2325783.3119999999</v>
      </c>
      <c r="L4" s="497">
        <v>2757028.284</v>
      </c>
      <c r="M4" s="497">
        <v>3246096.3695999999</v>
      </c>
      <c r="N4" s="497">
        <v>2222844.2460000003</v>
      </c>
      <c r="O4" s="497">
        <v>2302874.19</v>
      </c>
      <c r="P4" s="497">
        <v>2468036.1636000001</v>
      </c>
      <c r="Q4" s="497">
        <v>3183728.1984000001</v>
      </c>
      <c r="R4" s="497">
        <v>4283774.7911999999</v>
      </c>
      <c r="S4" s="496">
        <f t="shared" ref="S4:AD4" si="0">SUM(S5:S20)</f>
        <v>38381</v>
      </c>
      <c r="T4" s="496">
        <f t="shared" si="0"/>
        <v>28860</v>
      </c>
      <c r="U4" s="496">
        <f t="shared" si="0"/>
        <v>38417</v>
      </c>
      <c r="V4" s="496">
        <f t="shared" si="0"/>
        <v>33109</v>
      </c>
      <c r="W4" s="496">
        <f t="shared" si="0"/>
        <v>38234</v>
      </c>
      <c r="X4" s="496">
        <f t="shared" si="0"/>
        <v>44760</v>
      </c>
      <c r="Y4" s="496">
        <f t="shared" si="0"/>
        <v>51777</v>
      </c>
      <c r="Z4" s="496">
        <f t="shared" si="0"/>
        <v>36164</v>
      </c>
      <c r="AA4" s="496">
        <f t="shared" si="0"/>
        <v>37437</v>
      </c>
      <c r="AB4" s="496">
        <f t="shared" si="0"/>
        <v>39712</v>
      </c>
      <c r="AC4" s="496">
        <f t="shared" si="0"/>
        <v>51527</v>
      </c>
      <c r="AD4" s="496">
        <f t="shared" si="0"/>
        <v>66653</v>
      </c>
    </row>
    <row r="5" spans="1:30" ht="19.5" thickBot="1">
      <c r="B5" s="495" t="s">
        <v>644</v>
      </c>
      <c r="C5" s="493" t="s">
        <v>645</v>
      </c>
      <c r="D5" s="492" t="s">
        <v>646</v>
      </c>
      <c r="E5" s="494" t="s">
        <v>647</v>
      </c>
      <c r="F5" s="494" t="s">
        <v>648</v>
      </c>
      <c r="G5" s="493" t="s">
        <v>649</v>
      </c>
      <c r="H5" s="493" t="s">
        <v>650</v>
      </c>
      <c r="I5" s="493" t="s">
        <v>651</v>
      </c>
      <c r="J5" s="493" t="s">
        <v>652</v>
      </c>
      <c r="K5" s="493" t="s">
        <v>653</v>
      </c>
      <c r="L5" s="493" t="s">
        <v>654</v>
      </c>
      <c r="M5" s="493" t="s">
        <v>655</v>
      </c>
      <c r="N5" s="493" t="s">
        <v>656</v>
      </c>
      <c r="O5" s="493" t="s">
        <v>657</v>
      </c>
      <c r="P5" s="493" t="s">
        <v>658</v>
      </c>
      <c r="Q5" s="492" t="s">
        <v>659</v>
      </c>
      <c r="R5" s="491" t="s">
        <v>660</v>
      </c>
      <c r="S5" s="490" t="s">
        <v>649</v>
      </c>
      <c r="T5" s="490" t="s">
        <v>650</v>
      </c>
      <c r="U5" s="490" t="s">
        <v>651</v>
      </c>
      <c r="V5" s="490" t="s">
        <v>652</v>
      </c>
      <c r="W5" s="490" t="s">
        <v>653</v>
      </c>
      <c r="X5" s="490" t="s">
        <v>654</v>
      </c>
      <c r="Y5" s="490" t="s">
        <v>655</v>
      </c>
      <c r="Z5" s="490" t="s">
        <v>656</v>
      </c>
      <c r="AA5" s="490" t="s">
        <v>657</v>
      </c>
      <c r="AB5" s="490" t="s">
        <v>658</v>
      </c>
      <c r="AC5" s="521" t="s">
        <v>659</v>
      </c>
      <c r="AD5" s="520" t="s">
        <v>660</v>
      </c>
    </row>
    <row r="6" spans="1:30" ht="15.75">
      <c r="A6" s="452">
        <v>2</v>
      </c>
      <c r="B6" s="519" t="s">
        <v>661</v>
      </c>
      <c r="C6" s="518">
        <v>2340972</v>
      </c>
      <c r="D6" s="518">
        <v>2340971.6800000002</v>
      </c>
      <c r="E6" s="517">
        <v>1.3669537413107946E-7</v>
      </c>
      <c r="F6" s="516">
        <v>34</v>
      </c>
      <c r="G6" s="514">
        <v>174870.6084</v>
      </c>
      <c r="H6" s="515">
        <v>107684.712</v>
      </c>
      <c r="I6" s="514">
        <v>272489.14079999999</v>
      </c>
      <c r="J6" s="514">
        <v>167613.59519999998</v>
      </c>
      <c r="K6" s="514">
        <v>224733.31200000001</v>
      </c>
      <c r="L6" s="514">
        <v>227074.28400000001</v>
      </c>
      <c r="M6" s="514">
        <v>203196.36960000001</v>
      </c>
      <c r="N6" s="514">
        <v>188448.24600000001</v>
      </c>
      <c r="O6" s="514">
        <v>193130.19</v>
      </c>
      <c r="P6" s="514">
        <v>178616.16360000003</v>
      </c>
      <c r="Q6" s="514">
        <v>250952.19840000002</v>
      </c>
      <c r="R6" s="514">
        <v>151226.79120000001</v>
      </c>
      <c r="S6" s="513">
        <f t="shared" ref="S6:S20" si="1">ROUND(G6/$F6,0)</f>
        <v>5143</v>
      </c>
      <c r="T6" s="513">
        <f t="shared" ref="T6:T20" si="2">ROUND(H6/$F6,0)</f>
        <v>3167</v>
      </c>
      <c r="U6" s="513">
        <f t="shared" ref="U6:U20" si="3">ROUND(I6/$F6,0)</f>
        <v>8014</v>
      </c>
      <c r="V6" s="513">
        <f t="shared" ref="V6:V20" si="4">ROUND(J6/$F6,0)</f>
        <v>4930</v>
      </c>
      <c r="W6" s="513">
        <f t="shared" ref="W6:W20" si="5">ROUND(K6/$F6,0)</f>
        <v>6610</v>
      </c>
      <c r="X6" s="513">
        <f t="shared" ref="X6:X20" si="6">ROUND(L6/$F6,0)</f>
        <v>6679</v>
      </c>
      <c r="Y6" s="513">
        <f t="shared" ref="Y6:Y20" si="7">ROUND(M6/$F6,0)</f>
        <v>5976</v>
      </c>
      <c r="Z6" s="513">
        <f t="shared" ref="Z6:Z20" si="8">ROUND(N6/$F6,0)</f>
        <v>5543</v>
      </c>
      <c r="AA6" s="513">
        <f t="shared" ref="AA6:AA20" si="9">ROUND(O6/$F6,0)</f>
        <v>5680</v>
      </c>
      <c r="AB6" s="513">
        <f t="shared" ref="AB6:AB20" si="10">ROUND(P6/$F6,0)</f>
        <v>5253</v>
      </c>
      <c r="AC6" s="513">
        <f t="shared" ref="AC6:AC20" si="11">ROUND(Q6/$F6,0)</f>
        <v>7381</v>
      </c>
      <c r="AD6" s="512">
        <f t="shared" ref="AD6:AD20" si="12">ROUND(R6/$F6,0)</f>
        <v>4448</v>
      </c>
    </row>
    <row r="7" spans="1:30" ht="15.75">
      <c r="A7" s="452">
        <v>3</v>
      </c>
      <c r="B7" s="511" t="s">
        <v>662</v>
      </c>
      <c r="C7" s="480">
        <v>4200000</v>
      </c>
      <c r="D7" s="480">
        <v>3919584.16</v>
      </c>
      <c r="E7" s="479">
        <v>7.1542242379099674E-2</v>
      </c>
      <c r="F7" s="478">
        <v>67</v>
      </c>
      <c r="G7" s="476">
        <v>320040</v>
      </c>
      <c r="H7" s="477">
        <v>247380</v>
      </c>
      <c r="I7" s="476">
        <v>292740</v>
      </c>
      <c r="J7" s="476">
        <v>271320</v>
      </c>
      <c r="K7" s="476">
        <v>304500</v>
      </c>
      <c r="L7" s="476">
        <v>366660</v>
      </c>
      <c r="M7" s="476">
        <v>441000</v>
      </c>
      <c r="N7" s="476">
        <v>294840</v>
      </c>
      <c r="O7" s="476">
        <v>305760</v>
      </c>
      <c r="P7" s="476">
        <v>331800</v>
      </c>
      <c r="Q7" s="476">
        <v>425040</v>
      </c>
      <c r="R7" s="476">
        <v>598920</v>
      </c>
      <c r="S7" s="475">
        <f t="shared" si="1"/>
        <v>4777</v>
      </c>
      <c r="T7" s="475">
        <f t="shared" si="2"/>
        <v>3692</v>
      </c>
      <c r="U7" s="475">
        <f t="shared" si="3"/>
        <v>4369</v>
      </c>
      <c r="V7" s="475">
        <f t="shared" si="4"/>
        <v>4050</v>
      </c>
      <c r="W7" s="475">
        <f t="shared" si="5"/>
        <v>4545</v>
      </c>
      <c r="X7" s="475">
        <f t="shared" si="6"/>
        <v>5473</v>
      </c>
      <c r="Y7" s="475">
        <f t="shared" si="7"/>
        <v>6582</v>
      </c>
      <c r="Z7" s="475">
        <f t="shared" si="8"/>
        <v>4401</v>
      </c>
      <c r="AA7" s="475">
        <f t="shared" si="9"/>
        <v>4564</v>
      </c>
      <c r="AB7" s="475">
        <f t="shared" si="10"/>
        <v>4952</v>
      </c>
      <c r="AC7" s="475">
        <f t="shared" si="11"/>
        <v>6344</v>
      </c>
      <c r="AD7" s="510">
        <f t="shared" si="12"/>
        <v>8939</v>
      </c>
    </row>
    <row r="8" spans="1:30" ht="15.75">
      <c r="A8" s="452">
        <v>4</v>
      </c>
      <c r="B8" s="511" t="s">
        <v>663</v>
      </c>
      <c r="C8" s="480">
        <v>1450000</v>
      </c>
      <c r="D8" s="480">
        <v>1309432.1000000001</v>
      </c>
      <c r="E8" s="479">
        <v>0.107350278032744</v>
      </c>
      <c r="F8" s="478">
        <v>49</v>
      </c>
      <c r="G8" s="476">
        <v>110490</v>
      </c>
      <c r="H8" s="477">
        <v>85405</v>
      </c>
      <c r="I8" s="476">
        <v>101065</v>
      </c>
      <c r="J8" s="476">
        <v>93670</v>
      </c>
      <c r="K8" s="476">
        <v>105125</v>
      </c>
      <c r="L8" s="476">
        <v>126585</v>
      </c>
      <c r="M8" s="476">
        <v>152250</v>
      </c>
      <c r="N8" s="476">
        <v>101790</v>
      </c>
      <c r="O8" s="476">
        <v>105560</v>
      </c>
      <c r="P8" s="476">
        <v>114550</v>
      </c>
      <c r="Q8" s="476">
        <v>146740</v>
      </c>
      <c r="R8" s="476">
        <v>206770</v>
      </c>
      <c r="S8" s="475">
        <f t="shared" si="1"/>
        <v>2255</v>
      </c>
      <c r="T8" s="475">
        <f t="shared" si="2"/>
        <v>1743</v>
      </c>
      <c r="U8" s="475">
        <f t="shared" si="3"/>
        <v>2063</v>
      </c>
      <c r="V8" s="475">
        <f t="shared" si="4"/>
        <v>1912</v>
      </c>
      <c r="W8" s="475">
        <f t="shared" si="5"/>
        <v>2145</v>
      </c>
      <c r="X8" s="475">
        <f t="shared" si="6"/>
        <v>2583</v>
      </c>
      <c r="Y8" s="475">
        <f t="shared" si="7"/>
        <v>3107</v>
      </c>
      <c r="Z8" s="475">
        <f t="shared" si="8"/>
        <v>2077</v>
      </c>
      <c r="AA8" s="475">
        <f t="shared" si="9"/>
        <v>2154</v>
      </c>
      <c r="AB8" s="475">
        <f t="shared" si="10"/>
        <v>2338</v>
      </c>
      <c r="AC8" s="475">
        <f t="shared" si="11"/>
        <v>2995</v>
      </c>
      <c r="AD8" s="510">
        <f t="shared" si="12"/>
        <v>4220</v>
      </c>
    </row>
    <row r="9" spans="1:30" ht="15.75">
      <c r="A9" s="452">
        <v>5</v>
      </c>
      <c r="B9" s="511" t="s">
        <v>664</v>
      </c>
      <c r="C9" s="480">
        <v>1130000</v>
      </c>
      <c r="D9" s="480">
        <v>1069006.3600000001</v>
      </c>
      <c r="E9" s="479">
        <v>5.7056386455923258E-2</v>
      </c>
      <c r="F9" s="478">
        <v>70</v>
      </c>
      <c r="G9" s="476">
        <v>86106</v>
      </c>
      <c r="H9" s="477">
        <v>66557</v>
      </c>
      <c r="I9" s="476">
        <v>78761</v>
      </c>
      <c r="J9" s="476">
        <v>72998</v>
      </c>
      <c r="K9" s="476">
        <v>81925</v>
      </c>
      <c r="L9" s="476">
        <v>98649</v>
      </c>
      <c r="M9" s="476">
        <v>118650</v>
      </c>
      <c r="N9" s="476">
        <v>79326</v>
      </c>
      <c r="O9" s="476">
        <v>82264</v>
      </c>
      <c r="P9" s="476">
        <v>89270</v>
      </c>
      <c r="Q9" s="476">
        <v>114356</v>
      </c>
      <c r="R9" s="476">
        <v>161138</v>
      </c>
      <c r="S9" s="475">
        <f t="shared" si="1"/>
        <v>1230</v>
      </c>
      <c r="T9" s="475">
        <f t="shared" si="2"/>
        <v>951</v>
      </c>
      <c r="U9" s="475">
        <f t="shared" si="3"/>
        <v>1125</v>
      </c>
      <c r="V9" s="475">
        <f t="shared" si="4"/>
        <v>1043</v>
      </c>
      <c r="W9" s="475">
        <f t="shared" si="5"/>
        <v>1170</v>
      </c>
      <c r="X9" s="475">
        <f t="shared" si="6"/>
        <v>1409</v>
      </c>
      <c r="Y9" s="475">
        <f t="shared" si="7"/>
        <v>1695</v>
      </c>
      <c r="Z9" s="475">
        <f t="shared" si="8"/>
        <v>1133</v>
      </c>
      <c r="AA9" s="475">
        <f t="shared" si="9"/>
        <v>1175</v>
      </c>
      <c r="AB9" s="475">
        <f t="shared" si="10"/>
        <v>1275</v>
      </c>
      <c r="AC9" s="475">
        <f t="shared" si="11"/>
        <v>1634</v>
      </c>
      <c r="AD9" s="510">
        <f t="shared" si="12"/>
        <v>2302</v>
      </c>
    </row>
    <row r="10" spans="1:30" ht="15.75">
      <c r="A10" s="452">
        <v>6</v>
      </c>
      <c r="B10" s="511" t="s">
        <v>665</v>
      </c>
      <c r="C10" s="480">
        <v>1270000</v>
      </c>
      <c r="D10" s="480">
        <v>1148473.24</v>
      </c>
      <c r="E10" s="479">
        <v>0.10581592654261573</v>
      </c>
      <c r="F10" s="478">
        <v>61</v>
      </c>
      <c r="G10" s="476">
        <v>96774</v>
      </c>
      <c r="H10" s="477">
        <v>74803</v>
      </c>
      <c r="I10" s="476">
        <v>88519</v>
      </c>
      <c r="J10" s="476">
        <v>82042</v>
      </c>
      <c r="K10" s="476">
        <v>92075</v>
      </c>
      <c r="L10" s="476">
        <v>110871</v>
      </c>
      <c r="M10" s="476">
        <v>133350</v>
      </c>
      <c r="N10" s="476">
        <v>89154</v>
      </c>
      <c r="O10" s="476">
        <v>92456</v>
      </c>
      <c r="P10" s="476">
        <v>100330</v>
      </c>
      <c r="Q10" s="476">
        <v>128524</v>
      </c>
      <c r="R10" s="476">
        <v>181102</v>
      </c>
      <c r="S10" s="475">
        <f t="shared" si="1"/>
        <v>1586</v>
      </c>
      <c r="T10" s="475">
        <f t="shared" si="2"/>
        <v>1226</v>
      </c>
      <c r="U10" s="475">
        <f t="shared" si="3"/>
        <v>1451</v>
      </c>
      <c r="V10" s="475">
        <f t="shared" si="4"/>
        <v>1345</v>
      </c>
      <c r="W10" s="475">
        <f t="shared" si="5"/>
        <v>1509</v>
      </c>
      <c r="X10" s="475">
        <f t="shared" si="6"/>
        <v>1818</v>
      </c>
      <c r="Y10" s="475">
        <f t="shared" si="7"/>
        <v>2186</v>
      </c>
      <c r="Z10" s="475">
        <f t="shared" si="8"/>
        <v>1462</v>
      </c>
      <c r="AA10" s="475">
        <f t="shared" si="9"/>
        <v>1516</v>
      </c>
      <c r="AB10" s="475">
        <f t="shared" si="10"/>
        <v>1645</v>
      </c>
      <c r="AC10" s="475">
        <f t="shared" si="11"/>
        <v>2107</v>
      </c>
      <c r="AD10" s="510">
        <f t="shared" si="12"/>
        <v>2969</v>
      </c>
    </row>
    <row r="11" spans="1:30" ht="15.75">
      <c r="A11" s="452">
        <v>7</v>
      </c>
      <c r="B11" s="511" t="s">
        <v>666</v>
      </c>
      <c r="C11" s="480">
        <v>1200000</v>
      </c>
      <c r="D11" s="480">
        <v>1153821.93</v>
      </c>
      <c r="E11" s="479">
        <v>4.0021834218387564E-2</v>
      </c>
      <c r="F11" s="478">
        <v>70</v>
      </c>
      <c r="G11" s="476">
        <v>91440</v>
      </c>
      <c r="H11" s="477">
        <v>70680</v>
      </c>
      <c r="I11" s="476">
        <v>83640</v>
      </c>
      <c r="J11" s="476">
        <v>77520</v>
      </c>
      <c r="K11" s="476">
        <v>87000</v>
      </c>
      <c r="L11" s="476">
        <v>104760</v>
      </c>
      <c r="M11" s="476">
        <v>126000</v>
      </c>
      <c r="N11" s="476">
        <v>84240</v>
      </c>
      <c r="O11" s="476">
        <v>87360</v>
      </c>
      <c r="P11" s="476">
        <v>94800</v>
      </c>
      <c r="Q11" s="476">
        <v>121440</v>
      </c>
      <c r="R11" s="476">
        <v>171120</v>
      </c>
      <c r="S11" s="475">
        <f t="shared" si="1"/>
        <v>1306</v>
      </c>
      <c r="T11" s="475">
        <f t="shared" si="2"/>
        <v>1010</v>
      </c>
      <c r="U11" s="475">
        <f t="shared" si="3"/>
        <v>1195</v>
      </c>
      <c r="V11" s="475">
        <f t="shared" si="4"/>
        <v>1107</v>
      </c>
      <c r="W11" s="475">
        <f t="shared" si="5"/>
        <v>1243</v>
      </c>
      <c r="X11" s="475">
        <f t="shared" si="6"/>
        <v>1497</v>
      </c>
      <c r="Y11" s="475">
        <f t="shared" si="7"/>
        <v>1800</v>
      </c>
      <c r="Z11" s="475">
        <f t="shared" si="8"/>
        <v>1203</v>
      </c>
      <c r="AA11" s="475">
        <f t="shared" si="9"/>
        <v>1248</v>
      </c>
      <c r="AB11" s="475">
        <f t="shared" si="10"/>
        <v>1354</v>
      </c>
      <c r="AC11" s="475">
        <f t="shared" si="11"/>
        <v>1735</v>
      </c>
      <c r="AD11" s="510">
        <f t="shared" si="12"/>
        <v>2445</v>
      </c>
    </row>
    <row r="12" spans="1:30" ht="15.75">
      <c r="A12" s="452">
        <v>8</v>
      </c>
      <c r="B12" s="511" t="s">
        <v>667</v>
      </c>
      <c r="C12" s="480">
        <v>2900000</v>
      </c>
      <c r="D12" s="480">
        <v>2161141.4500000002</v>
      </c>
      <c r="E12" s="479">
        <v>0.34188347551244269</v>
      </c>
      <c r="F12" s="478">
        <v>64</v>
      </c>
      <c r="G12" s="476">
        <v>220980</v>
      </c>
      <c r="H12" s="477">
        <v>170810</v>
      </c>
      <c r="I12" s="476">
        <v>202130</v>
      </c>
      <c r="J12" s="476">
        <v>187340</v>
      </c>
      <c r="K12" s="476">
        <v>210250</v>
      </c>
      <c r="L12" s="476">
        <v>253170</v>
      </c>
      <c r="M12" s="476">
        <v>304500</v>
      </c>
      <c r="N12" s="476">
        <v>203580</v>
      </c>
      <c r="O12" s="476">
        <v>211120</v>
      </c>
      <c r="P12" s="476">
        <v>229100</v>
      </c>
      <c r="Q12" s="476">
        <v>293480</v>
      </c>
      <c r="R12" s="476">
        <v>413540</v>
      </c>
      <c r="S12" s="475">
        <f t="shared" si="1"/>
        <v>3453</v>
      </c>
      <c r="T12" s="475">
        <f t="shared" si="2"/>
        <v>2669</v>
      </c>
      <c r="U12" s="475">
        <f t="shared" si="3"/>
        <v>3158</v>
      </c>
      <c r="V12" s="475">
        <f t="shared" si="4"/>
        <v>2927</v>
      </c>
      <c r="W12" s="475">
        <f t="shared" si="5"/>
        <v>3285</v>
      </c>
      <c r="X12" s="475">
        <f t="shared" si="6"/>
        <v>3956</v>
      </c>
      <c r="Y12" s="475">
        <f t="shared" si="7"/>
        <v>4758</v>
      </c>
      <c r="Z12" s="475">
        <f t="shared" si="8"/>
        <v>3181</v>
      </c>
      <c r="AA12" s="475">
        <f t="shared" si="9"/>
        <v>3299</v>
      </c>
      <c r="AB12" s="475">
        <f t="shared" si="10"/>
        <v>3580</v>
      </c>
      <c r="AC12" s="475">
        <f t="shared" si="11"/>
        <v>4586</v>
      </c>
      <c r="AD12" s="510">
        <f t="shared" si="12"/>
        <v>6462</v>
      </c>
    </row>
    <row r="13" spans="1:30" ht="15.75">
      <c r="A13" s="452">
        <v>10</v>
      </c>
      <c r="B13" s="511" t="s">
        <v>668</v>
      </c>
      <c r="C13" s="480">
        <v>2600000</v>
      </c>
      <c r="D13" s="480">
        <v>2065497.52</v>
      </c>
      <c r="E13" s="479">
        <v>0.25877662636941823</v>
      </c>
      <c r="F13" s="478">
        <v>70</v>
      </c>
      <c r="G13" s="476">
        <v>198120</v>
      </c>
      <c r="H13" s="477">
        <v>153140</v>
      </c>
      <c r="I13" s="476">
        <v>181220</v>
      </c>
      <c r="J13" s="476">
        <v>167960</v>
      </c>
      <c r="K13" s="476">
        <v>188500</v>
      </c>
      <c r="L13" s="476">
        <v>226980</v>
      </c>
      <c r="M13" s="476">
        <v>273000</v>
      </c>
      <c r="N13" s="476">
        <v>182520</v>
      </c>
      <c r="O13" s="476">
        <v>189280</v>
      </c>
      <c r="P13" s="476">
        <v>205400</v>
      </c>
      <c r="Q13" s="476">
        <v>263120</v>
      </c>
      <c r="R13" s="476">
        <v>370760</v>
      </c>
      <c r="S13" s="475">
        <f t="shared" si="1"/>
        <v>2830</v>
      </c>
      <c r="T13" s="475">
        <f t="shared" si="2"/>
        <v>2188</v>
      </c>
      <c r="U13" s="475">
        <f t="shared" si="3"/>
        <v>2589</v>
      </c>
      <c r="V13" s="475">
        <f t="shared" si="4"/>
        <v>2399</v>
      </c>
      <c r="W13" s="475">
        <f t="shared" si="5"/>
        <v>2693</v>
      </c>
      <c r="X13" s="475">
        <f t="shared" si="6"/>
        <v>3243</v>
      </c>
      <c r="Y13" s="475">
        <f t="shared" si="7"/>
        <v>3900</v>
      </c>
      <c r="Z13" s="475">
        <f t="shared" si="8"/>
        <v>2607</v>
      </c>
      <c r="AA13" s="475">
        <f t="shared" si="9"/>
        <v>2704</v>
      </c>
      <c r="AB13" s="475">
        <f t="shared" si="10"/>
        <v>2934</v>
      </c>
      <c r="AC13" s="475">
        <f t="shared" si="11"/>
        <v>3759</v>
      </c>
      <c r="AD13" s="510">
        <f t="shared" si="12"/>
        <v>5297</v>
      </c>
    </row>
    <row r="14" spans="1:30" ht="15.75">
      <c r="A14" s="452">
        <v>14</v>
      </c>
      <c r="B14" s="511" t="s">
        <v>669</v>
      </c>
      <c r="C14" s="480">
        <v>2450000</v>
      </c>
      <c r="D14" s="480">
        <v>1871221.5</v>
      </c>
      <c r="E14" s="479">
        <v>0.30930517846230399</v>
      </c>
      <c r="F14" s="478">
        <v>68</v>
      </c>
      <c r="G14" s="476">
        <v>186690</v>
      </c>
      <c r="H14" s="477">
        <v>144305</v>
      </c>
      <c r="I14" s="476">
        <v>170765</v>
      </c>
      <c r="J14" s="476">
        <v>158270</v>
      </c>
      <c r="K14" s="476">
        <v>177625</v>
      </c>
      <c r="L14" s="476">
        <v>213885</v>
      </c>
      <c r="M14" s="476">
        <v>257250</v>
      </c>
      <c r="N14" s="476">
        <v>171990</v>
      </c>
      <c r="O14" s="476">
        <v>178360</v>
      </c>
      <c r="P14" s="476">
        <v>193550</v>
      </c>
      <c r="Q14" s="476">
        <v>247940</v>
      </c>
      <c r="R14" s="476">
        <v>349370</v>
      </c>
      <c r="S14" s="475">
        <f t="shared" si="1"/>
        <v>2745</v>
      </c>
      <c r="T14" s="475">
        <f t="shared" si="2"/>
        <v>2122</v>
      </c>
      <c r="U14" s="475">
        <f t="shared" si="3"/>
        <v>2511</v>
      </c>
      <c r="V14" s="475">
        <f t="shared" si="4"/>
        <v>2328</v>
      </c>
      <c r="W14" s="475">
        <f t="shared" si="5"/>
        <v>2612</v>
      </c>
      <c r="X14" s="475">
        <f t="shared" si="6"/>
        <v>3145</v>
      </c>
      <c r="Y14" s="475">
        <f t="shared" si="7"/>
        <v>3783</v>
      </c>
      <c r="Z14" s="475">
        <f t="shared" si="8"/>
        <v>2529</v>
      </c>
      <c r="AA14" s="475">
        <f t="shared" si="9"/>
        <v>2623</v>
      </c>
      <c r="AB14" s="475">
        <f t="shared" si="10"/>
        <v>2846</v>
      </c>
      <c r="AC14" s="475">
        <f t="shared" si="11"/>
        <v>3646</v>
      </c>
      <c r="AD14" s="510">
        <f t="shared" si="12"/>
        <v>5138</v>
      </c>
    </row>
    <row r="15" spans="1:30" ht="15.75">
      <c r="A15" s="452">
        <v>15</v>
      </c>
      <c r="B15" s="511" t="s">
        <v>670</v>
      </c>
      <c r="C15" s="480">
        <v>1800000</v>
      </c>
      <c r="D15" s="480">
        <v>1384985.55</v>
      </c>
      <c r="E15" s="479">
        <v>0.29965254872153713</v>
      </c>
      <c r="F15" s="478">
        <v>67</v>
      </c>
      <c r="G15" s="476">
        <v>137160</v>
      </c>
      <c r="H15" s="477">
        <v>106020</v>
      </c>
      <c r="I15" s="476">
        <v>125460</v>
      </c>
      <c r="J15" s="476">
        <v>116280.00000000001</v>
      </c>
      <c r="K15" s="476">
        <v>130499.99999999999</v>
      </c>
      <c r="L15" s="476">
        <v>157140</v>
      </c>
      <c r="M15" s="476">
        <v>189000</v>
      </c>
      <c r="N15" s="476">
        <v>126360</v>
      </c>
      <c r="O15" s="476">
        <v>131040</v>
      </c>
      <c r="P15" s="476">
        <v>142200</v>
      </c>
      <c r="Q15" s="476">
        <v>182160</v>
      </c>
      <c r="R15" s="476">
        <v>256680</v>
      </c>
      <c r="S15" s="475">
        <f t="shared" si="1"/>
        <v>2047</v>
      </c>
      <c r="T15" s="475">
        <f t="shared" si="2"/>
        <v>1582</v>
      </c>
      <c r="U15" s="475">
        <f t="shared" si="3"/>
        <v>1873</v>
      </c>
      <c r="V15" s="475">
        <f t="shared" si="4"/>
        <v>1736</v>
      </c>
      <c r="W15" s="475">
        <f t="shared" si="5"/>
        <v>1948</v>
      </c>
      <c r="X15" s="475">
        <f t="shared" si="6"/>
        <v>2345</v>
      </c>
      <c r="Y15" s="475">
        <f t="shared" si="7"/>
        <v>2821</v>
      </c>
      <c r="Z15" s="475">
        <f t="shared" si="8"/>
        <v>1886</v>
      </c>
      <c r="AA15" s="475">
        <f t="shared" si="9"/>
        <v>1956</v>
      </c>
      <c r="AB15" s="475">
        <f t="shared" si="10"/>
        <v>2122</v>
      </c>
      <c r="AC15" s="475">
        <f t="shared" si="11"/>
        <v>2719</v>
      </c>
      <c r="AD15" s="510">
        <f t="shared" si="12"/>
        <v>3831</v>
      </c>
    </row>
    <row r="16" spans="1:30" ht="15.75">
      <c r="A16" s="452">
        <v>17</v>
      </c>
      <c r="B16" s="511" t="s">
        <v>671</v>
      </c>
      <c r="C16" s="480">
        <v>2550000</v>
      </c>
      <c r="D16" s="480">
        <v>1970797.42</v>
      </c>
      <c r="E16" s="479">
        <v>0.29389249961571395</v>
      </c>
      <c r="F16" s="478">
        <v>66</v>
      </c>
      <c r="G16" s="476">
        <v>194310</v>
      </c>
      <c r="H16" s="477">
        <v>150195</v>
      </c>
      <c r="I16" s="476">
        <v>177735</v>
      </c>
      <c r="J16" s="476">
        <v>164730</v>
      </c>
      <c r="K16" s="476">
        <v>184875</v>
      </c>
      <c r="L16" s="476">
        <v>222615</v>
      </c>
      <c r="M16" s="476">
        <v>267750</v>
      </c>
      <c r="N16" s="476">
        <v>179010</v>
      </c>
      <c r="O16" s="476">
        <v>185640</v>
      </c>
      <c r="P16" s="476">
        <v>201450</v>
      </c>
      <c r="Q16" s="476">
        <v>258060</v>
      </c>
      <c r="R16" s="476">
        <v>363630</v>
      </c>
      <c r="S16" s="475">
        <f t="shared" si="1"/>
        <v>2944</v>
      </c>
      <c r="T16" s="475">
        <f t="shared" si="2"/>
        <v>2276</v>
      </c>
      <c r="U16" s="475">
        <f t="shared" si="3"/>
        <v>2693</v>
      </c>
      <c r="V16" s="475">
        <f t="shared" si="4"/>
        <v>2496</v>
      </c>
      <c r="W16" s="475">
        <f t="shared" si="5"/>
        <v>2801</v>
      </c>
      <c r="X16" s="475">
        <f t="shared" si="6"/>
        <v>3373</v>
      </c>
      <c r="Y16" s="475">
        <f t="shared" si="7"/>
        <v>4057</v>
      </c>
      <c r="Z16" s="475">
        <f t="shared" si="8"/>
        <v>2712</v>
      </c>
      <c r="AA16" s="475">
        <f t="shared" si="9"/>
        <v>2813</v>
      </c>
      <c r="AB16" s="475">
        <f t="shared" si="10"/>
        <v>3052</v>
      </c>
      <c r="AC16" s="475">
        <f t="shared" si="11"/>
        <v>3910</v>
      </c>
      <c r="AD16" s="510">
        <f t="shared" si="12"/>
        <v>5510</v>
      </c>
    </row>
    <row r="17" spans="1:30" ht="15.75">
      <c r="A17" s="452">
        <v>19</v>
      </c>
      <c r="B17" s="511" t="s">
        <v>672</v>
      </c>
      <c r="C17" s="480">
        <v>930000</v>
      </c>
      <c r="D17" s="480">
        <v>797540.91</v>
      </c>
      <c r="E17" s="479">
        <v>0.16608438305691431</v>
      </c>
      <c r="F17" s="478">
        <v>71</v>
      </c>
      <c r="G17" s="476">
        <v>70866</v>
      </c>
      <c r="H17" s="477">
        <v>54777</v>
      </c>
      <c r="I17" s="476">
        <v>64821</v>
      </c>
      <c r="J17" s="476">
        <v>60078.000000000007</v>
      </c>
      <c r="K17" s="476">
        <v>67425</v>
      </c>
      <c r="L17" s="476">
        <v>81189</v>
      </c>
      <c r="M17" s="476">
        <v>97650</v>
      </c>
      <c r="N17" s="476">
        <v>65286</v>
      </c>
      <c r="O17" s="476">
        <v>67704</v>
      </c>
      <c r="P17" s="476">
        <v>73470</v>
      </c>
      <c r="Q17" s="476">
        <v>94116</v>
      </c>
      <c r="R17" s="476">
        <v>132618</v>
      </c>
      <c r="S17" s="475">
        <f t="shared" si="1"/>
        <v>998</v>
      </c>
      <c r="T17" s="475">
        <f t="shared" si="2"/>
        <v>772</v>
      </c>
      <c r="U17" s="475">
        <f t="shared" si="3"/>
        <v>913</v>
      </c>
      <c r="V17" s="475">
        <f t="shared" si="4"/>
        <v>846</v>
      </c>
      <c r="W17" s="475">
        <f t="shared" si="5"/>
        <v>950</v>
      </c>
      <c r="X17" s="475">
        <f t="shared" si="6"/>
        <v>1144</v>
      </c>
      <c r="Y17" s="475">
        <f t="shared" si="7"/>
        <v>1375</v>
      </c>
      <c r="Z17" s="475">
        <f t="shared" si="8"/>
        <v>920</v>
      </c>
      <c r="AA17" s="475">
        <f t="shared" si="9"/>
        <v>954</v>
      </c>
      <c r="AB17" s="475">
        <f t="shared" si="10"/>
        <v>1035</v>
      </c>
      <c r="AC17" s="475">
        <f t="shared" si="11"/>
        <v>1326</v>
      </c>
      <c r="AD17" s="510">
        <f t="shared" si="12"/>
        <v>1868</v>
      </c>
    </row>
    <row r="18" spans="1:30" ht="15.75">
      <c r="A18" s="452">
        <v>20</v>
      </c>
      <c r="B18" s="511" t="s">
        <v>673</v>
      </c>
      <c r="C18" s="480">
        <v>3600000</v>
      </c>
      <c r="D18" s="480">
        <v>2599224.17</v>
      </c>
      <c r="E18" s="479">
        <v>0.38502867184402967</v>
      </c>
      <c r="F18" s="478">
        <v>71</v>
      </c>
      <c r="G18" s="476">
        <v>274320</v>
      </c>
      <c r="H18" s="477">
        <v>212040</v>
      </c>
      <c r="I18" s="476">
        <v>250920</v>
      </c>
      <c r="J18" s="476">
        <v>232560.00000000003</v>
      </c>
      <c r="K18" s="476">
        <v>260999.99999999997</v>
      </c>
      <c r="L18" s="476">
        <v>314280</v>
      </c>
      <c r="M18" s="476">
        <v>378000</v>
      </c>
      <c r="N18" s="476">
        <v>252720</v>
      </c>
      <c r="O18" s="476">
        <v>262080</v>
      </c>
      <c r="P18" s="476">
        <v>284400</v>
      </c>
      <c r="Q18" s="476">
        <v>364320</v>
      </c>
      <c r="R18" s="476">
        <v>513360</v>
      </c>
      <c r="S18" s="475">
        <f t="shared" si="1"/>
        <v>3864</v>
      </c>
      <c r="T18" s="475">
        <f t="shared" si="2"/>
        <v>2986</v>
      </c>
      <c r="U18" s="475">
        <f t="shared" si="3"/>
        <v>3534</v>
      </c>
      <c r="V18" s="475">
        <f t="shared" si="4"/>
        <v>3275</v>
      </c>
      <c r="W18" s="475">
        <f t="shared" si="5"/>
        <v>3676</v>
      </c>
      <c r="X18" s="475">
        <f t="shared" si="6"/>
        <v>4426</v>
      </c>
      <c r="Y18" s="475">
        <f t="shared" si="7"/>
        <v>5324</v>
      </c>
      <c r="Z18" s="475">
        <f t="shared" si="8"/>
        <v>3559</v>
      </c>
      <c r="AA18" s="475">
        <f t="shared" si="9"/>
        <v>3691</v>
      </c>
      <c r="AB18" s="475">
        <f t="shared" si="10"/>
        <v>4006</v>
      </c>
      <c r="AC18" s="475">
        <f t="shared" si="11"/>
        <v>5131</v>
      </c>
      <c r="AD18" s="510">
        <f t="shared" si="12"/>
        <v>7230</v>
      </c>
    </row>
    <row r="19" spans="1:30" ht="15.75">
      <c r="A19" s="452">
        <v>21</v>
      </c>
      <c r="B19" s="511" t="s">
        <v>674</v>
      </c>
      <c r="C19" s="480">
        <v>1300000</v>
      </c>
      <c r="D19" s="480">
        <v>1173077.02</v>
      </c>
      <c r="E19" s="479">
        <v>0.1081966297489998</v>
      </c>
      <c r="F19" s="478">
        <v>69</v>
      </c>
      <c r="G19" s="476">
        <v>99060</v>
      </c>
      <c r="H19" s="477">
        <v>76570</v>
      </c>
      <c r="I19" s="476">
        <v>90610</v>
      </c>
      <c r="J19" s="476">
        <v>83980</v>
      </c>
      <c r="K19" s="476">
        <v>94250</v>
      </c>
      <c r="L19" s="476">
        <v>113490</v>
      </c>
      <c r="M19" s="476">
        <v>136500</v>
      </c>
      <c r="N19" s="476">
        <v>91260</v>
      </c>
      <c r="O19" s="476">
        <v>94640</v>
      </c>
      <c r="P19" s="476">
        <v>102700</v>
      </c>
      <c r="Q19" s="476">
        <v>131560</v>
      </c>
      <c r="R19" s="476">
        <v>185380</v>
      </c>
      <c r="S19" s="475">
        <f t="shared" si="1"/>
        <v>1436</v>
      </c>
      <c r="T19" s="475">
        <f t="shared" si="2"/>
        <v>1110</v>
      </c>
      <c r="U19" s="475">
        <f t="shared" si="3"/>
        <v>1313</v>
      </c>
      <c r="V19" s="475">
        <f t="shared" si="4"/>
        <v>1217</v>
      </c>
      <c r="W19" s="475">
        <f t="shared" si="5"/>
        <v>1366</v>
      </c>
      <c r="X19" s="475">
        <f t="shared" si="6"/>
        <v>1645</v>
      </c>
      <c r="Y19" s="475">
        <f t="shared" si="7"/>
        <v>1978</v>
      </c>
      <c r="Z19" s="475">
        <f t="shared" si="8"/>
        <v>1323</v>
      </c>
      <c r="AA19" s="475">
        <f t="shared" si="9"/>
        <v>1372</v>
      </c>
      <c r="AB19" s="475">
        <f t="shared" si="10"/>
        <v>1488</v>
      </c>
      <c r="AC19" s="475">
        <f t="shared" si="11"/>
        <v>1907</v>
      </c>
      <c r="AD19" s="510">
        <f t="shared" si="12"/>
        <v>2687</v>
      </c>
    </row>
    <row r="20" spans="1:30" ht="15.75">
      <c r="A20" s="452">
        <v>22</v>
      </c>
      <c r="B20" s="511" t="s">
        <v>675</v>
      </c>
      <c r="C20" s="480">
        <v>1600000</v>
      </c>
      <c r="D20" s="480">
        <v>823948.78</v>
      </c>
      <c r="E20" s="479">
        <v>0.94186827972486342</v>
      </c>
      <c r="F20" s="478">
        <v>69</v>
      </c>
      <c r="G20" s="476">
        <v>121920</v>
      </c>
      <c r="H20" s="477">
        <v>94240</v>
      </c>
      <c r="I20" s="476">
        <v>111520</v>
      </c>
      <c r="J20" s="476">
        <v>103360.00000000001</v>
      </c>
      <c r="K20" s="476">
        <v>115999.99999999999</v>
      </c>
      <c r="L20" s="476">
        <v>139680</v>
      </c>
      <c r="M20" s="476">
        <v>168000</v>
      </c>
      <c r="N20" s="476">
        <v>112320</v>
      </c>
      <c r="O20" s="476">
        <v>116480</v>
      </c>
      <c r="P20" s="476">
        <v>126400</v>
      </c>
      <c r="Q20" s="476">
        <v>161920</v>
      </c>
      <c r="R20" s="476">
        <v>228160</v>
      </c>
      <c r="S20" s="475">
        <f t="shared" si="1"/>
        <v>1767</v>
      </c>
      <c r="T20" s="475">
        <f t="shared" si="2"/>
        <v>1366</v>
      </c>
      <c r="U20" s="475">
        <f t="shared" si="3"/>
        <v>1616</v>
      </c>
      <c r="V20" s="475">
        <f t="shared" si="4"/>
        <v>1498</v>
      </c>
      <c r="W20" s="475">
        <f t="shared" si="5"/>
        <v>1681</v>
      </c>
      <c r="X20" s="475">
        <f t="shared" si="6"/>
        <v>2024</v>
      </c>
      <c r="Y20" s="475">
        <f t="shared" si="7"/>
        <v>2435</v>
      </c>
      <c r="Z20" s="475">
        <f t="shared" si="8"/>
        <v>1628</v>
      </c>
      <c r="AA20" s="475">
        <f t="shared" si="9"/>
        <v>1688</v>
      </c>
      <c r="AB20" s="475">
        <f t="shared" si="10"/>
        <v>1832</v>
      </c>
      <c r="AC20" s="475">
        <f t="shared" si="11"/>
        <v>2347</v>
      </c>
      <c r="AD20" s="510">
        <f t="shared" si="12"/>
        <v>3307</v>
      </c>
    </row>
    <row r="21" spans="1:30" ht="19.5" thickBot="1">
      <c r="B21" s="509"/>
      <c r="C21" s="508"/>
      <c r="D21" s="508"/>
      <c r="E21" s="507"/>
      <c r="F21" s="506"/>
      <c r="G21" s="505"/>
      <c r="H21" s="505"/>
      <c r="I21" s="505"/>
      <c r="J21" s="505"/>
      <c r="K21" s="505"/>
      <c r="L21" s="505"/>
      <c r="M21" s="505"/>
      <c r="N21" s="505"/>
      <c r="O21" s="505"/>
      <c r="P21" s="505"/>
      <c r="Q21" s="505"/>
      <c r="R21" s="505"/>
      <c r="S21" s="533">
        <f t="shared" ref="S21:AC21" si="13">SUM(S6:S20)</f>
        <v>38381</v>
      </c>
      <c r="T21" s="533">
        <f t="shared" si="13"/>
        <v>28860</v>
      </c>
      <c r="U21" s="533">
        <f t="shared" si="13"/>
        <v>38417</v>
      </c>
      <c r="V21" s="533">
        <f t="shared" si="13"/>
        <v>33109</v>
      </c>
      <c r="W21" s="533">
        <f t="shared" si="13"/>
        <v>38234</v>
      </c>
      <c r="X21" s="533">
        <f t="shared" si="13"/>
        <v>44760</v>
      </c>
      <c r="Y21" s="533">
        <f t="shared" si="13"/>
        <v>51777</v>
      </c>
      <c r="Z21" s="533">
        <f t="shared" si="13"/>
        <v>36164</v>
      </c>
      <c r="AA21" s="533">
        <f t="shared" si="13"/>
        <v>37437</v>
      </c>
      <c r="AB21" s="533">
        <f t="shared" si="13"/>
        <v>39712</v>
      </c>
      <c r="AC21" s="533">
        <f t="shared" si="13"/>
        <v>51527</v>
      </c>
      <c r="AD21" s="504"/>
    </row>
    <row r="22" spans="1:30">
      <c r="S22" s="535">
        <f>S6*0.93</f>
        <v>4782.9900000000007</v>
      </c>
    </row>
    <row r="23" spans="1:30" ht="21">
      <c r="S23" s="503" t="s">
        <v>676</v>
      </c>
      <c r="T23" s="502"/>
      <c r="U23" s="502"/>
      <c r="V23" s="502"/>
    </row>
    <row r="24" spans="1:30" ht="21.75" thickBot="1">
      <c r="B24" s="501"/>
      <c r="C24" s="500"/>
      <c r="D24" s="500"/>
      <c r="E24" s="499"/>
      <c r="F24" s="498"/>
      <c r="G24" s="497"/>
      <c r="H24" s="497"/>
      <c r="I24" s="497"/>
      <c r="J24" s="497"/>
      <c r="K24" s="497"/>
      <c r="L24" s="497"/>
      <c r="M24" s="497"/>
      <c r="N24" s="497"/>
      <c r="O24" s="497"/>
      <c r="P24" s="497"/>
      <c r="Q24" s="497"/>
      <c r="R24" s="497"/>
      <c r="S24" s="496"/>
      <c r="T24" s="496"/>
      <c r="U24" s="496"/>
      <c r="V24" s="496"/>
      <c r="W24" s="496"/>
      <c r="X24" s="496"/>
      <c r="Y24" s="496"/>
      <c r="Z24" s="496"/>
      <c r="AA24" s="496"/>
      <c r="AB24" s="496"/>
      <c r="AC24" s="496"/>
      <c r="AD24" s="496"/>
    </row>
    <row r="25" spans="1:30" ht="19.5" thickBot="1">
      <c r="B25" s="495" t="s">
        <v>644</v>
      </c>
      <c r="C25" s="493" t="s">
        <v>645</v>
      </c>
      <c r="D25" s="492" t="s">
        <v>646</v>
      </c>
      <c r="E25" s="494" t="s">
        <v>647</v>
      </c>
      <c r="F25" s="494" t="s">
        <v>648</v>
      </c>
      <c r="G25" s="493"/>
      <c r="H25" s="493"/>
      <c r="I25" s="493"/>
      <c r="J25" s="493"/>
      <c r="K25" s="493"/>
      <c r="L25" s="493"/>
      <c r="M25" s="493"/>
      <c r="N25" s="493"/>
      <c r="O25" s="493"/>
      <c r="P25" s="493"/>
      <c r="Q25" s="492"/>
      <c r="R25" s="491"/>
      <c r="S25" s="490" t="str">
        <f t="shared" ref="S25:AD25" si="14">S5</f>
        <v>JANEIRO</v>
      </c>
      <c r="T25" s="490" t="str">
        <f t="shared" si="14"/>
        <v>FEVEREIRO</v>
      </c>
      <c r="U25" s="490" t="str">
        <f t="shared" si="14"/>
        <v>MARÇO</v>
      </c>
      <c r="V25" s="490" t="str">
        <f t="shared" si="14"/>
        <v>ABRIL</v>
      </c>
      <c r="W25" s="490" t="str">
        <f t="shared" si="14"/>
        <v>MAIO</v>
      </c>
      <c r="X25" s="490" t="str">
        <f t="shared" si="14"/>
        <v>JUNHO</v>
      </c>
      <c r="Y25" s="490" t="str">
        <f t="shared" si="14"/>
        <v>JULHO</v>
      </c>
      <c r="Z25" s="490" t="str">
        <f t="shared" si="14"/>
        <v>AGOSTO</v>
      </c>
      <c r="AA25" s="490" t="str">
        <f t="shared" si="14"/>
        <v>SETEMBRO</v>
      </c>
      <c r="AB25" s="490" t="str">
        <f t="shared" si="14"/>
        <v>OUTUBRO</v>
      </c>
      <c r="AC25" s="490" t="str">
        <f t="shared" si="14"/>
        <v>NOVEMBRO</v>
      </c>
      <c r="AD25" s="490" t="str">
        <f t="shared" si="14"/>
        <v>DEZEMBRO</v>
      </c>
    </row>
    <row r="26" spans="1:30" ht="15.75">
      <c r="B26" s="489" t="s">
        <v>661</v>
      </c>
      <c r="C26" s="488">
        <v>2340972</v>
      </c>
      <c r="D26" s="488">
        <v>2340971.6800000002</v>
      </c>
      <c r="E26" s="487">
        <v>1.3669537413107946E-7</v>
      </c>
      <c r="F26" s="486">
        <f t="shared" ref="F26:F40" si="15">F6</f>
        <v>34</v>
      </c>
      <c r="G26" s="484"/>
      <c r="H26" s="485"/>
      <c r="I26" s="484"/>
      <c r="J26" s="484"/>
      <c r="K26" s="484"/>
      <c r="L26" s="484"/>
      <c r="M26" s="484"/>
      <c r="N26" s="484"/>
      <c r="O26" s="484"/>
      <c r="P26" s="484"/>
      <c r="Q26" s="484"/>
      <c r="R26" s="484"/>
      <c r="S26" s="483">
        <f>S6*(1-0.07)</f>
        <v>4782.99</v>
      </c>
      <c r="T26" s="483">
        <f t="shared" ref="T26:AD26" si="16">T6*(1-0.07)</f>
        <v>2945.31</v>
      </c>
      <c r="U26" s="483">
        <f t="shared" si="16"/>
        <v>7453.0199999999995</v>
      </c>
      <c r="V26" s="483">
        <f t="shared" si="16"/>
        <v>4584.8999999999996</v>
      </c>
      <c r="W26" s="483">
        <f t="shared" si="16"/>
        <v>6147.2999999999993</v>
      </c>
      <c r="X26" s="483">
        <f t="shared" si="16"/>
        <v>6211.4699999999993</v>
      </c>
      <c r="Y26" s="483">
        <f t="shared" si="16"/>
        <v>5557.6799999999994</v>
      </c>
      <c r="Z26" s="483">
        <f t="shared" si="16"/>
        <v>5154.99</v>
      </c>
      <c r="AA26" s="483">
        <f t="shared" si="16"/>
        <v>5282.4</v>
      </c>
      <c r="AB26" s="483">
        <f t="shared" si="16"/>
        <v>4885.29</v>
      </c>
      <c r="AC26" s="483">
        <f t="shared" si="16"/>
        <v>6864.33</v>
      </c>
      <c r="AD26" s="482">
        <f t="shared" si="16"/>
        <v>4136.6399999999994</v>
      </c>
    </row>
    <row r="27" spans="1:30" ht="15.75">
      <c r="B27" s="481" t="s">
        <v>662</v>
      </c>
      <c r="C27" s="480">
        <v>4200000</v>
      </c>
      <c r="D27" s="480">
        <v>3919584.16</v>
      </c>
      <c r="E27" s="479">
        <v>7.1542242379099674E-2</v>
      </c>
      <c r="F27" s="478">
        <f t="shared" si="15"/>
        <v>67</v>
      </c>
      <c r="G27" s="476"/>
      <c r="H27" s="477"/>
      <c r="I27" s="476"/>
      <c r="J27" s="476"/>
      <c r="K27" s="476"/>
      <c r="L27" s="476"/>
      <c r="M27" s="476"/>
      <c r="N27" s="476"/>
      <c r="O27" s="476"/>
      <c r="P27" s="476"/>
      <c r="Q27" s="476"/>
      <c r="R27" s="476"/>
      <c r="S27" s="475">
        <f t="shared" ref="S27:AD27" si="17">S7*(1-0.07)</f>
        <v>4442.6099999999997</v>
      </c>
      <c r="T27" s="475">
        <f t="shared" si="17"/>
        <v>3433.56</v>
      </c>
      <c r="U27" s="475">
        <f t="shared" si="17"/>
        <v>4063.1699999999996</v>
      </c>
      <c r="V27" s="475">
        <f t="shared" si="17"/>
        <v>3766.4999999999995</v>
      </c>
      <c r="W27" s="475">
        <f t="shared" si="17"/>
        <v>4226.8499999999995</v>
      </c>
      <c r="X27" s="475">
        <f t="shared" si="17"/>
        <v>5089.8899999999994</v>
      </c>
      <c r="Y27" s="475">
        <f t="shared" si="17"/>
        <v>6121.2599999999993</v>
      </c>
      <c r="Z27" s="475">
        <f t="shared" si="17"/>
        <v>4092.93</v>
      </c>
      <c r="AA27" s="475">
        <f t="shared" si="17"/>
        <v>4244.5199999999995</v>
      </c>
      <c r="AB27" s="475">
        <f t="shared" si="17"/>
        <v>4605.3599999999997</v>
      </c>
      <c r="AC27" s="475">
        <f t="shared" si="17"/>
        <v>5899.9199999999992</v>
      </c>
      <c r="AD27" s="474">
        <f t="shared" si="17"/>
        <v>8313.2699999999986</v>
      </c>
    </row>
    <row r="28" spans="1:30" ht="15.75">
      <c r="B28" s="481" t="s">
        <v>663</v>
      </c>
      <c r="C28" s="480">
        <v>1450000</v>
      </c>
      <c r="D28" s="480">
        <v>1309432.1000000001</v>
      </c>
      <c r="E28" s="479">
        <v>0.107350278032744</v>
      </c>
      <c r="F28" s="478">
        <f t="shared" si="15"/>
        <v>49</v>
      </c>
      <c r="G28" s="476"/>
      <c r="H28" s="477"/>
      <c r="I28" s="476"/>
      <c r="J28" s="476"/>
      <c r="K28" s="476"/>
      <c r="L28" s="476"/>
      <c r="M28" s="476"/>
      <c r="N28" s="476"/>
      <c r="O28" s="476"/>
      <c r="P28" s="476"/>
      <c r="Q28" s="476"/>
      <c r="R28" s="476"/>
      <c r="S28" s="475">
        <f>S8*(1-0.8)</f>
        <v>450.99999999999989</v>
      </c>
      <c r="T28" s="475">
        <f t="shared" ref="T28:AD28" si="18">T8*(1-0.8)</f>
        <v>348.59999999999991</v>
      </c>
      <c r="U28" s="475">
        <f t="shared" si="18"/>
        <v>412.59999999999991</v>
      </c>
      <c r="V28" s="475">
        <f t="shared" si="18"/>
        <v>382.39999999999992</v>
      </c>
      <c r="W28" s="475">
        <f t="shared" si="18"/>
        <v>428.99999999999989</v>
      </c>
      <c r="X28" s="475">
        <f t="shared" si="18"/>
        <v>516.59999999999991</v>
      </c>
      <c r="Y28" s="475">
        <f t="shared" si="18"/>
        <v>621.39999999999986</v>
      </c>
      <c r="Z28" s="475">
        <f t="shared" si="18"/>
        <v>415.39999999999992</v>
      </c>
      <c r="AA28" s="475">
        <f t="shared" si="18"/>
        <v>430.7999999999999</v>
      </c>
      <c r="AB28" s="475">
        <f t="shared" si="18"/>
        <v>467.59999999999991</v>
      </c>
      <c r="AC28" s="475">
        <f t="shared" si="18"/>
        <v>598.99999999999989</v>
      </c>
      <c r="AD28" s="475">
        <f t="shared" si="18"/>
        <v>843.99999999999977</v>
      </c>
    </row>
    <row r="29" spans="1:30" ht="15.75">
      <c r="B29" s="481" t="s">
        <v>664</v>
      </c>
      <c r="C29" s="480">
        <v>1130000</v>
      </c>
      <c r="D29" s="480">
        <v>1069006.3600000001</v>
      </c>
      <c r="E29" s="479">
        <v>5.7056386455923258E-2</v>
      </c>
      <c r="F29" s="478">
        <f t="shared" si="15"/>
        <v>70</v>
      </c>
      <c r="G29" s="476"/>
      <c r="H29" s="477"/>
      <c r="I29" s="476"/>
      <c r="J29" s="476"/>
      <c r="K29" s="476"/>
      <c r="L29" s="476"/>
      <c r="M29" s="476"/>
      <c r="N29" s="476"/>
      <c r="O29" s="476"/>
      <c r="P29" s="476"/>
      <c r="Q29" s="476"/>
      <c r="R29" s="476"/>
      <c r="S29" s="475">
        <f t="shared" ref="S29:AD29" si="19">S9*(1-0.07)</f>
        <v>1143.8999999999999</v>
      </c>
      <c r="T29" s="475">
        <f t="shared" si="19"/>
        <v>884.43</v>
      </c>
      <c r="U29" s="475">
        <f t="shared" si="19"/>
        <v>1046.25</v>
      </c>
      <c r="V29" s="475">
        <f t="shared" si="19"/>
        <v>969.9899999999999</v>
      </c>
      <c r="W29" s="475">
        <f t="shared" si="19"/>
        <v>1088.0999999999999</v>
      </c>
      <c r="X29" s="475">
        <f t="shared" si="19"/>
        <v>1310.3699999999999</v>
      </c>
      <c r="Y29" s="475">
        <f t="shared" si="19"/>
        <v>1576.35</v>
      </c>
      <c r="Z29" s="475">
        <f t="shared" si="19"/>
        <v>1053.6899999999998</v>
      </c>
      <c r="AA29" s="475">
        <f t="shared" si="19"/>
        <v>1092.75</v>
      </c>
      <c r="AB29" s="475">
        <f t="shared" si="19"/>
        <v>1185.75</v>
      </c>
      <c r="AC29" s="475">
        <f t="shared" si="19"/>
        <v>1519.62</v>
      </c>
      <c r="AD29" s="474">
        <f t="shared" si="19"/>
        <v>2140.8599999999997</v>
      </c>
    </row>
    <row r="30" spans="1:30" ht="15.75">
      <c r="B30" s="481" t="s">
        <v>665</v>
      </c>
      <c r="C30" s="480">
        <v>1270000</v>
      </c>
      <c r="D30" s="480">
        <v>1148473.24</v>
      </c>
      <c r="E30" s="479">
        <v>0.10581592654261573</v>
      </c>
      <c r="F30" s="478">
        <f t="shared" si="15"/>
        <v>61</v>
      </c>
      <c r="G30" s="476"/>
      <c r="H30" s="477"/>
      <c r="I30" s="476"/>
      <c r="J30" s="476"/>
      <c r="K30" s="476"/>
      <c r="L30" s="476"/>
      <c r="M30" s="476"/>
      <c r="N30" s="476"/>
      <c r="O30" s="476"/>
      <c r="P30" s="476"/>
      <c r="Q30" s="476"/>
      <c r="R30" s="476"/>
      <c r="S30" s="475">
        <f t="shared" ref="S30:AD30" si="20">S10*(1-0.07)</f>
        <v>1474.9799999999998</v>
      </c>
      <c r="T30" s="475">
        <f t="shared" si="20"/>
        <v>1140.1799999999998</v>
      </c>
      <c r="U30" s="475">
        <f t="shared" si="20"/>
        <v>1349.4299999999998</v>
      </c>
      <c r="V30" s="475">
        <f t="shared" si="20"/>
        <v>1250.8499999999999</v>
      </c>
      <c r="W30" s="475">
        <f t="shared" si="20"/>
        <v>1403.37</v>
      </c>
      <c r="X30" s="475">
        <f t="shared" si="20"/>
        <v>1690.7399999999998</v>
      </c>
      <c r="Y30" s="475">
        <f t="shared" si="20"/>
        <v>2032.9799999999998</v>
      </c>
      <c r="Z30" s="475">
        <f t="shared" si="20"/>
        <v>1359.6599999999999</v>
      </c>
      <c r="AA30" s="475">
        <f t="shared" si="20"/>
        <v>1409.8799999999999</v>
      </c>
      <c r="AB30" s="475">
        <f t="shared" si="20"/>
        <v>1529.85</v>
      </c>
      <c r="AC30" s="475">
        <f t="shared" si="20"/>
        <v>1959.5099999999998</v>
      </c>
      <c r="AD30" s="474">
        <f t="shared" si="20"/>
        <v>2761.1699999999996</v>
      </c>
    </row>
    <row r="31" spans="1:30" ht="15.75">
      <c r="B31" s="481" t="s">
        <v>666</v>
      </c>
      <c r="C31" s="480">
        <v>1200000</v>
      </c>
      <c r="D31" s="480">
        <v>1153821.93</v>
      </c>
      <c r="E31" s="479">
        <v>4.0021834218387564E-2</v>
      </c>
      <c r="F31" s="478">
        <f t="shared" si="15"/>
        <v>70</v>
      </c>
      <c r="G31" s="476"/>
      <c r="H31" s="477"/>
      <c r="I31" s="476"/>
      <c r="J31" s="476"/>
      <c r="K31" s="476"/>
      <c r="L31" s="476"/>
      <c r="M31" s="476"/>
      <c r="N31" s="476"/>
      <c r="O31" s="476"/>
      <c r="P31" s="476"/>
      <c r="Q31" s="476"/>
      <c r="R31" s="476"/>
      <c r="S31" s="475">
        <f t="shared" ref="S31:AD31" si="21">S11*(1-0.07)</f>
        <v>1214.58</v>
      </c>
      <c r="T31" s="475">
        <f t="shared" si="21"/>
        <v>939.3</v>
      </c>
      <c r="U31" s="475">
        <f t="shared" si="21"/>
        <v>1111.3499999999999</v>
      </c>
      <c r="V31" s="475">
        <f t="shared" si="21"/>
        <v>1029.51</v>
      </c>
      <c r="W31" s="475">
        <f t="shared" si="21"/>
        <v>1155.99</v>
      </c>
      <c r="X31" s="475">
        <f t="shared" si="21"/>
        <v>1392.2099999999998</v>
      </c>
      <c r="Y31" s="475">
        <f t="shared" si="21"/>
        <v>1674</v>
      </c>
      <c r="Z31" s="475">
        <f t="shared" si="21"/>
        <v>1118.79</v>
      </c>
      <c r="AA31" s="475">
        <f t="shared" si="21"/>
        <v>1160.6399999999999</v>
      </c>
      <c r="AB31" s="475">
        <f t="shared" si="21"/>
        <v>1259.22</v>
      </c>
      <c r="AC31" s="475">
        <f t="shared" si="21"/>
        <v>1613.55</v>
      </c>
      <c r="AD31" s="474">
        <f t="shared" si="21"/>
        <v>2273.85</v>
      </c>
    </row>
    <row r="32" spans="1:30" ht="15.75">
      <c r="B32" s="481" t="s">
        <v>667</v>
      </c>
      <c r="C32" s="480">
        <v>2900000</v>
      </c>
      <c r="D32" s="480">
        <v>2161141.4500000002</v>
      </c>
      <c r="E32" s="479">
        <v>0.34188347551244269</v>
      </c>
      <c r="F32" s="478">
        <f t="shared" si="15"/>
        <v>64</v>
      </c>
      <c r="G32" s="476"/>
      <c r="H32" s="477"/>
      <c r="I32" s="476"/>
      <c r="J32" s="476"/>
      <c r="K32" s="476"/>
      <c r="L32" s="476"/>
      <c r="M32" s="476"/>
      <c r="N32" s="476"/>
      <c r="O32" s="476"/>
      <c r="P32" s="476"/>
      <c r="Q32" s="476"/>
      <c r="R32" s="476"/>
      <c r="S32" s="475">
        <f t="shared" ref="S32:AD32" si="22">S12*(1-0.07)</f>
        <v>3211.29</v>
      </c>
      <c r="T32" s="475">
        <f t="shared" si="22"/>
        <v>2482.1699999999996</v>
      </c>
      <c r="U32" s="475">
        <f t="shared" si="22"/>
        <v>2936.9399999999996</v>
      </c>
      <c r="V32" s="475">
        <f t="shared" si="22"/>
        <v>2722.1099999999997</v>
      </c>
      <c r="W32" s="475">
        <f t="shared" si="22"/>
        <v>3055.0499999999997</v>
      </c>
      <c r="X32" s="475">
        <f t="shared" si="22"/>
        <v>3679.08</v>
      </c>
      <c r="Y32" s="475">
        <f t="shared" si="22"/>
        <v>4424.9399999999996</v>
      </c>
      <c r="Z32" s="475">
        <f t="shared" si="22"/>
        <v>2958.33</v>
      </c>
      <c r="AA32" s="475">
        <f t="shared" si="22"/>
        <v>3068.0699999999997</v>
      </c>
      <c r="AB32" s="475">
        <f t="shared" si="22"/>
        <v>3329.3999999999996</v>
      </c>
      <c r="AC32" s="475">
        <f t="shared" si="22"/>
        <v>4264.9799999999996</v>
      </c>
      <c r="AD32" s="474">
        <f t="shared" si="22"/>
        <v>6009.66</v>
      </c>
    </row>
    <row r="33" spans="2:30" ht="15.75">
      <c r="B33" s="481" t="s">
        <v>668</v>
      </c>
      <c r="C33" s="480">
        <v>2600000</v>
      </c>
      <c r="D33" s="480">
        <v>2065497.52</v>
      </c>
      <c r="E33" s="479">
        <v>0.25877662636941823</v>
      </c>
      <c r="F33" s="478">
        <f t="shared" si="15"/>
        <v>70</v>
      </c>
      <c r="G33" s="476"/>
      <c r="H33" s="477"/>
      <c r="I33" s="476"/>
      <c r="J33" s="476"/>
      <c r="K33" s="476"/>
      <c r="L33" s="476"/>
      <c r="M33" s="476"/>
      <c r="N33" s="476"/>
      <c r="O33" s="476"/>
      <c r="P33" s="476"/>
      <c r="Q33" s="476"/>
      <c r="R33" s="476"/>
      <c r="S33" s="475">
        <f t="shared" ref="S33:AD33" si="23">S13*(1-0.07)</f>
        <v>2631.8999999999996</v>
      </c>
      <c r="T33" s="475">
        <f t="shared" si="23"/>
        <v>2034.84</v>
      </c>
      <c r="U33" s="475">
        <f t="shared" si="23"/>
        <v>2407.77</v>
      </c>
      <c r="V33" s="475">
        <f t="shared" si="23"/>
        <v>2231.0699999999997</v>
      </c>
      <c r="W33" s="475">
        <f t="shared" si="23"/>
        <v>2504.4899999999998</v>
      </c>
      <c r="X33" s="475">
        <f t="shared" si="23"/>
        <v>3015.99</v>
      </c>
      <c r="Y33" s="475">
        <f t="shared" si="23"/>
        <v>3626.9999999999995</v>
      </c>
      <c r="Z33" s="475">
        <f t="shared" si="23"/>
        <v>2424.5099999999998</v>
      </c>
      <c r="AA33" s="475">
        <f t="shared" si="23"/>
        <v>2514.7199999999998</v>
      </c>
      <c r="AB33" s="475">
        <f t="shared" si="23"/>
        <v>2728.62</v>
      </c>
      <c r="AC33" s="475">
        <f t="shared" si="23"/>
        <v>3495.87</v>
      </c>
      <c r="AD33" s="474">
        <f t="shared" si="23"/>
        <v>4926.21</v>
      </c>
    </row>
    <row r="34" spans="2:30" ht="15.75">
      <c r="B34" s="481" t="s">
        <v>669</v>
      </c>
      <c r="C34" s="480">
        <v>2450000</v>
      </c>
      <c r="D34" s="480">
        <v>1871221.5</v>
      </c>
      <c r="E34" s="479">
        <v>0.30930517846230399</v>
      </c>
      <c r="F34" s="478">
        <f t="shared" si="15"/>
        <v>68</v>
      </c>
      <c r="G34" s="476"/>
      <c r="H34" s="477"/>
      <c r="I34" s="476"/>
      <c r="J34" s="476"/>
      <c r="K34" s="476"/>
      <c r="L34" s="476"/>
      <c r="M34" s="476"/>
      <c r="N34" s="476"/>
      <c r="O34" s="476"/>
      <c r="P34" s="476"/>
      <c r="Q34" s="476"/>
      <c r="R34" s="476"/>
      <c r="S34" s="475">
        <f t="shared" ref="S34:AD34" si="24">S14*(1-0.07)</f>
        <v>2552.85</v>
      </c>
      <c r="T34" s="475">
        <f t="shared" si="24"/>
        <v>1973.4599999999998</v>
      </c>
      <c r="U34" s="475">
        <f t="shared" si="24"/>
        <v>2335.23</v>
      </c>
      <c r="V34" s="475">
        <f t="shared" si="24"/>
        <v>2165.04</v>
      </c>
      <c r="W34" s="475">
        <f t="shared" si="24"/>
        <v>2429.16</v>
      </c>
      <c r="X34" s="475">
        <f t="shared" si="24"/>
        <v>2924.85</v>
      </c>
      <c r="Y34" s="475">
        <f t="shared" si="24"/>
        <v>3518.1899999999996</v>
      </c>
      <c r="Z34" s="475">
        <f t="shared" si="24"/>
        <v>2351.9699999999998</v>
      </c>
      <c r="AA34" s="475">
        <f t="shared" si="24"/>
        <v>2439.39</v>
      </c>
      <c r="AB34" s="475">
        <f t="shared" si="24"/>
        <v>2646.7799999999997</v>
      </c>
      <c r="AC34" s="475">
        <f t="shared" si="24"/>
        <v>3390.7799999999997</v>
      </c>
      <c r="AD34" s="474">
        <f t="shared" si="24"/>
        <v>4778.3399999999992</v>
      </c>
    </row>
    <row r="35" spans="2:30" ht="15.75">
      <c r="B35" s="481" t="s">
        <v>670</v>
      </c>
      <c r="C35" s="480">
        <v>1800000</v>
      </c>
      <c r="D35" s="480">
        <v>1384985.55</v>
      </c>
      <c r="E35" s="479">
        <v>0.29965254872153713</v>
      </c>
      <c r="F35" s="478">
        <f t="shared" si="15"/>
        <v>67</v>
      </c>
      <c r="G35" s="476"/>
      <c r="H35" s="477"/>
      <c r="I35" s="476"/>
      <c r="J35" s="476"/>
      <c r="K35" s="476"/>
      <c r="L35" s="476"/>
      <c r="M35" s="476"/>
      <c r="N35" s="476"/>
      <c r="O35" s="476"/>
      <c r="P35" s="476"/>
      <c r="Q35" s="476"/>
      <c r="R35" s="476"/>
      <c r="S35" s="475">
        <f t="shared" ref="S35:AD35" si="25">S15*(1-0.07)</f>
        <v>1903.7099999999998</v>
      </c>
      <c r="T35" s="475">
        <f t="shared" si="25"/>
        <v>1471.26</v>
      </c>
      <c r="U35" s="475">
        <f t="shared" si="25"/>
        <v>1741.8899999999999</v>
      </c>
      <c r="V35" s="475">
        <f t="shared" si="25"/>
        <v>1614.4799999999998</v>
      </c>
      <c r="W35" s="475">
        <f t="shared" si="25"/>
        <v>1811.6399999999999</v>
      </c>
      <c r="X35" s="475">
        <f t="shared" si="25"/>
        <v>2180.85</v>
      </c>
      <c r="Y35" s="475">
        <f t="shared" si="25"/>
        <v>2623.5299999999997</v>
      </c>
      <c r="Z35" s="475">
        <f t="shared" si="25"/>
        <v>1753.9799999999998</v>
      </c>
      <c r="AA35" s="475">
        <f t="shared" si="25"/>
        <v>1819.08</v>
      </c>
      <c r="AB35" s="475">
        <f t="shared" si="25"/>
        <v>1973.4599999999998</v>
      </c>
      <c r="AC35" s="475">
        <f t="shared" si="25"/>
        <v>2528.6699999999996</v>
      </c>
      <c r="AD35" s="474">
        <f t="shared" si="25"/>
        <v>3562.83</v>
      </c>
    </row>
    <row r="36" spans="2:30" ht="15.75">
      <c r="B36" s="481" t="s">
        <v>671</v>
      </c>
      <c r="C36" s="480">
        <v>2550000</v>
      </c>
      <c r="D36" s="480">
        <v>1970797.42</v>
      </c>
      <c r="E36" s="479">
        <v>0.29389249961571395</v>
      </c>
      <c r="F36" s="478">
        <f t="shared" si="15"/>
        <v>66</v>
      </c>
      <c r="G36" s="476"/>
      <c r="H36" s="477"/>
      <c r="I36" s="476"/>
      <c r="J36" s="476"/>
      <c r="K36" s="476"/>
      <c r="L36" s="476"/>
      <c r="M36" s="476"/>
      <c r="N36" s="476"/>
      <c r="O36" s="476"/>
      <c r="P36" s="476"/>
      <c r="Q36" s="476"/>
      <c r="R36" s="476"/>
      <c r="S36" s="475">
        <f t="shared" ref="S36:AD36" si="26">S16*(1-0.07)</f>
        <v>2737.9199999999996</v>
      </c>
      <c r="T36" s="475">
        <f t="shared" si="26"/>
        <v>2116.6799999999998</v>
      </c>
      <c r="U36" s="475">
        <f t="shared" si="26"/>
        <v>2504.4899999999998</v>
      </c>
      <c r="V36" s="475">
        <f t="shared" si="26"/>
        <v>2321.2799999999997</v>
      </c>
      <c r="W36" s="475">
        <f t="shared" si="26"/>
        <v>2604.9299999999998</v>
      </c>
      <c r="X36" s="475">
        <f t="shared" si="26"/>
        <v>3136.89</v>
      </c>
      <c r="Y36" s="475">
        <f t="shared" si="26"/>
        <v>3773.0099999999998</v>
      </c>
      <c r="Z36" s="475">
        <f t="shared" si="26"/>
        <v>2522.16</v>
      </c>
      <c r="AA36" s="475">
        <f t="shared" si="26"/>
        <v>2616.0899999999997</v>
      </c>
      <c r="AB36" s="475">
        <f t="shared" si="26"/>
        <v>2838.3599999999997</v>
      </c>
      <c r="AC36" s="475">
        <f t="shared" si="26"/>
        <v>3636.2999999999997</v>
      </c>
      <c r="AD36" s="474">
        <f t="shared" si="26"/>
        <v>5124.2999999999993</v>
      </c>
    </row>
    <row r="37" spans="2:30" ht="15.75">
      <c r="B37" s="481" t="s">
        <v>672</v>
      </c>
      <c r="C37" s="480">
        <v>930000</v>
      </c>
      <c r="D37" s="480">
        <v>797540.91</v>
      </c>
      <c r="E37" s="479">
        <v>0.16608438305691431</v>
      </c>
      <c r="F37" s="478">
        <f t="shared" si="15"/>
        <v>71</v>
      </c>
      <c r="G37" s="476"/>
      <c r="H37" s="477"/>
      <c r="I37" s="476"/>
      <c r="J37" s="476"/>
      <c r="K37" s="476"/>
      <c r="L37" s="476"/>
      <c r="M37" s="476"/>
      <c r="N37" s="476"/>
      <c r="O37" s="476"/>
      <c r="P37" s="476"/>
      <c r="Q37" s="476"/>
      <c r="R37" s="476"/>
      <c r="S37" s="475">
        <f t="shared" ref="S37:AD37" si="27">S17*(1-0.07)</f>
        <v>928.14</v>
      </c>
      <c r="T37" s="475">
        <f t="shared" si="27"/>
        <v>717.95999999999992</v>
      </c>
      <c r="U37" s="475">
        <f t="shared" si="27"/>
        <v>849.08999999999992</v>
      </c>
      <c r="V37" s="475">
        <f t="shared" si="27"/>
        <v>786.78</v>
      </c>
      <c r="W37" s="475">
        <f t="shared" si="27"/>
        <v>883.49999999999989</v>
      </c>
      <c r="X37" s="475">
        <f t="shared" si="27"/>
        <v>1063.9199999999998</v>
      </c>
      <c r="Y37" s="475">
        <f t="shared" si="27"/>
        <v>1278.75</v>
      </c>
      <c r="Z37" s="475">
        <f t="shared" si="27"/>
        <v>855.59999999999991</v>
      </c>
      <c r="AA37" s="475">
        <f t="shared" si="27"/>
        <v>887.21999999999991</v>
      </c>
      <c r="AB37" s="475">
        <f t="shared" si="27"/>
        <v>962.55</v>
      </c>
      <c r="AC37" s="475">
        <f t="shared" si="27"/>
        <v>1233.1799999999998</v>
      </c>
      <c r="AD37" s="474">
        <f t="shared" si="27"/>
        <v>1737.2399999999998</v>
      </c>
    </row>
    <row r="38" spans="2:30" ht="15.75">
      <c r="B38" s="481" t="s">
        <v>673</v>
      </c>
      <c r="C38" s="480">
        <v>3600000</v>
      </c>
      <c r="D38" s="480">
        <v>2599224.17</v>
      </c>
      <c r="E38" s="479">
        <v>0.38502867184402967</v>
      </c>
      <c r="F38" s="478">
        <f t="shared" si="15"/>
        <v>71</v>
      </c>
      <c r="G38" s="476"/>
      <c r="H38" s="477"/>
      <c r="I38" s="476"/>
      <c r="J38" s="476"/>
      <c r="K38" s="476"/>
      <c r="L38" s="476"/>
      <c r="M38" s="476"/>
      <c r="N38" s="476"/>
      <c r="O38" s="476"/>
      <c r="P38" s="476"/>
      <c r="Q38" s="476"/>
      <c r="R38" s="476"/>
      <c r="S38" s="475">
        <f t="shared" ref="S38:AD38" si="28">S18*(1-0.07)</f>
        <v>3593.52</v>
      </c>
      <c r="T38" s="475">
        <f t="shared" si="28"/>
        <v>2776.98</v>
      </c>
      <c r="U38" s="475">
        <f t="shared" si="28"/>
        <v>3286.62</v>
      </c>
      <c r="V38" s="475">
        <f t="shared" si="28"/>
        <v>3045.75</v>
      </c>
      <c r="W38" s="475">
        <f t="shared" si="28"/>
        <v>3418.68</v>
      </c>
      <c r="X38" s="475">
        <f t="shared" si="28"/>
        <v>4116.1799999999994</v>
      </c>
      <c r="Y38" s="475">
        <f t="shared" si="28"/>
        <v>4951.32</v>
      </c>
      <c r="Z38" s="475">
        <f t="shared" si="28"/>
        <v>3309.87</v>
      </c>
      <c r="AA38" s="475">
        <f t="shared" si="28"/>
        <v>3432.6299999999997</v>
      </c>
      <c r="AB38" s="475">
        <f t="shared" si="28"/>
        <v>3725.58</v>
      </c>
      <c r="AC38" s="475">
        <f t="shared" si="28"/>
        <v>4771.83</v>
      </c>
      <c r="AD38" s="474">
        <f t="shared" si="28"/>
        <v>6723.9</v>
      </c>
    </row>
    <row r="39" spans="2:30" ht="15.75">
      <c r="B39" s="481" t="s">
        <v>674</v>
      </c>
      <c r="C39" s="480">
        <v>1300000</v>
      </c>
      <c r="D39" s="480">
        <v>1173077.02</v>
      </c>
      <c r="E39" s="479">
        <v>0.1081966297489998</v>
      </c>
      <c r="F39" s="478">
        <f t="shared" si="15"/>
        <v>69</v>
      </c>
      <c r="G39" s="476"/>
      <c r="H39" s="477"/>
      <c r="I39" s="476"/>
      <c r="J39" s="476"/>
      <c r="K39" s="476"/>
      <c r="L39" s="476"/>
      <c r="M39" s="476"/>
      <c r="N39" s="476"/>
      <c r="O39" s="476"/>
      <c r="P39" s="476"/>
      <c r="Q39" s="476"/>
      <c r="R39" s="476"/>
      <c r="S39" s="475">
        <f t="shared" ref="S39:AD39" si="29">S19*(1-0.07)</f>
        <v>1335.48</v>
      </c>
      <c r="T39" s="475">
        <f t="shared" si="29"/>
        <v>1032.3</v>
      </c>
      <c r="U39" s="475">
        <f t="shared" si="29"/>
        <v>1221.0899999999999</v>
      </c>
      <c r="V39" s="475">
        <f t="shared" si="29"/>
        <v>1131.81</v>
      </c>
      <c r="W39" s="475">
        <f t="shared" si="29"/>
        <v>1270.3799999999999</v>
      </c>
      <c r="X39" s="475">
        <f t="shared" si="29"/>
        <v>1529.85</v>
      </c>
      <c r="Y39" s="475">
        <f t="shared" si="29"/>
        <v>1839.54</v>
      </c>
      <c r="Z39" s="475">
        <f t="shared" si="29"/>
        <v>1230.3899999999999</v>
      </c>
      <c r="AA39" s="475">
        <f t="shared" si="29"/>
        <v>1275.9599999999998</v>
      </c>
      <c r="AB39" s="475">
        <f t="shared" si="29"/>
        <v>1383.84</v>
      </c>
      <c r="AC39" s="475">
        <f t="shared" si="29"/>
        <v>1773.51</v>
      </c>
      <c r="AD39" s="474">
        <f t="shared" si="29"/>
        <v>2498.91</v>
      </c>
    </row>
    <row r="40" spans="2:30" ht="15.75">
      <c r="B40" s="481" t="s">
        <v>675</v>
      </c>
      <c r="C40" s="480">
        <v>1600000</v>
      </c>
      <c r="D40" s="480">
        <v>823948.78</v>
      </c>
      <c r="E40" s="479">
        <v>0.94186827972486342</v>
      </c>
      <c r="F40" s="478">
        <f t="shared" si="15"/>
        <v>69</v>
      </c>
      <c r="G40" s="476"/>
      <c r="H40" s="477"/>
      <c r="I40" s="476"/>
      <c r="J40" s="476"/>
      <c r="K40" s="476"/>
      <c r="L40" s="476"/>
      <c r="M40" s="476"/>
      <c r="N40" s="476"/>
      <c r="O40" s="476"/>
      <c r="P40" s="476"/>
      <c r="Q40" s="476"/>
      <c r="R40" s="476"/>
      <c r="S40" s="475">
        <f t="shared" ref="S40:AD40" si="30">S20*(1-0.07)</f>
        <v>1643.31</v>
      </c>
      <c r="T40" s="475">
        <f t="shared" si="30"/>
        <v>1270.3799999999999</v>
      </c>
      <c r="U40" s="475">
        <f t="shared" si="30"/>
        <v>1502.8799999999999</v>
      </c>
      <c r="V40" s="475">
        <f t="shared" si="30"/>
        <v>1393.1399999999999</v>
      </c>
      <c r="W40" s="475">
        <f t="shared" si="30"/>
        <v>1563.33</v>
      </c>
      <c r="X40" s="475">
        <f t="shared" si="30"/>
        <v>1882.32</v>
      </c>
      <c r="Y40" s="475">
        <f t="shared" si="30"/>
        <v>2264.5499999999997</v>
      </c>
      <c r="Z40" s="475">
        <f t="shared" si="30"/>
        <v>1514.04</v>
      </c>
      <c r="AA40" s="475">
        <f t="shared" si="30"/>
        <v>1569.84</v>
      </c>
      <c r="AB40" s="475">
        <f t="shared" si="30"/>
        <v>1703.76</v>
      </c>
      <c r="AC40" s="475">
        <f t="shared" si="30"/>
        <v>2182.71</v>
      </c>
      <c r="AD40" s="474">
        <f t="shared" si="30"/>
        <v>3075.5099999999998</v>
      </c>
    </row>
    <row r="41" spans="2:30" ht="19.5" thickBot="1">
      <c r="B41" s="473"/>
      <c r="C41" s="472"/>
      <c r="D41" s="472"/>
      <c r="E41" s="471"/>
      <c r="F41" s="470"/>
      <c r="G41" s="469"/>
      <c r="H41" s="469"/>
      <c r="I41" s="469"/>
      <c r="J41" s="469"/>
      <c r="K41" s="469"/>
      <c r="L41" s="469"/>
      <c r="M41" s="469"/>
      <c r="N41" s="469"/>
      <c r="O41" s="469"/>
      <c r="P41" s="469"/>
      <c r="Q41" s="469"/>
      <c r="R41" s="469"/>
      <c r="S41" s="532">
        <f>SUM(S26:S40)</f>
        <v>34048.179999999993</v>
      </c>
      <c r="T41" s="532">
        <f t="shared" ref="T41:AD41" si="31">SUM(T26:T40)</f>
        <v>25567.409999999996</v>
      </c>
      <c r="U41" s="532">
        <f t="shared" si="31"/>
        <v>34221.82</v>
      </c>
      <c r="V41" s="532">
        <f t="shared" si="31"/>
        <v>29395.609999999997</v>
      </c>
      <c r="W41" s="532">
        <f t="shared" si="31"/>
        <v>33991.770000000004</v>
      </c>
      <c r="X41" s="532">
        <f t="shared" si="31"/>
        <v>39741.209999999992</v>
      </c>
      <c r="Y41" s="532">
        <f t="shared" si="31"/>
        <v>45884.5</v>
      </c>
      <c r="Z41" s="532">
        <f t="shared" si="31"/>
        <v>32116.309999999998</v>
      </c>
      <c r="AA41" s="532">
        <f t="shared" si="31"/>
        <v>33243.99</v>
      </c>
      <c r="AB41" s="532">
        <f t="shared" si="31"/>
        <v>35225.42</v>
      </c>
      <c r="AC41" s="532">
        <f t="shared" si="31"/>
        <v>45733.759999999995</v>
      </c>
      <c r="AD41" s="532">
        <f t="shared" si="31"/>
        <v>58906.689999999995</v>
      </c>
    </row>
    <row r="42" spans="2:30" ht="18.75">
      <c r="B42" s="526"/>
      <c r="C42" s="527"/>
      <c r="D42" s="527"/>
      <c r="E42" s="528"/>
      <c r="F42" s="529"/>
      <c r="G42" s="530"/>
      <c r="H42" s="530"/>
      <c r="I42" s="530"/>
      <c r="J42" s="530"/>
      <c r="K42" s="530"/>
      <c r="L42" s="530"/>
      <c r="M42" s="530"/>
      <c r="N42" s="530"/>
      <c r="O42" s="530"/>
      <c r="P42" s="530"/>
      <c r="Q42" s="530"/>
      <c r="R42" s="530"/>
      <c r="S42" s="531"/>
      <c r="T42" s="531"/>
      <c r="U42" s="531"/>
      <c r="V42" s="531"/>
      <c r="W42" s="531"/>
      <c r="X42" s="531"/>
      <c r="Y42" s="531"/>
      <c r="Z42" s="531"/>
      <c r="AA42" s="531"/>
      <c r="AB42" s="531"/>
      <c r="AC42" s="531"/>
      <c r="AD42" s="531"/>
    </row>
    <row r="43" spans="2:30" ht="18.75">
      <c r="B43" s="526"/>
      <c r="C43" s="527"/>
      <c r="D43" s="527"/>
      <c r="E43" s="528"/>
      <c r="F43" s="529"/>
      <c r="G43" s="530"/>
      <c r="H43" s="530"/>
      <c r="I43" s="530"/>
      <c r="J43" s="530"/>
      <c r="K43" s="530"/>
      <c r="L43" s="530"/>
      <c r="M43" s="530"/>
      <c r="N43" s="530"/>
      <c r="O43" s="530"/>
      <c r="P43" s="530"/>
      <c r="Q43" s="530"/>
      <c r="R43" s="530"/>
      <c r="S43" s="531"/>
      <c r="T43" s="531"/>
      <c r="U43" s="531"/>
      <c r="V43" s="531"/>
      <c r="W43" s="531"/>
      <c r="X43" s="531"/>
      <c r="Y43" s="531"/>
      <c r="Z43" s="531"/>
      <c r="AA43" s="531"/>
      <c r="AB43" s="531"/>
      <c r="AC43" s="531"/>
      <c r="AD43" s="531"/>
    </row>
    <row r="44" spans="2:30" ht="19.5" thickBot="1">
      <c r="B44" s="526"/>
      <c r="C44" s="527"/>
      <c r="D44" s="527"/>
      <c r="E44" s="528"/>
      <c r="F44" s="529"/>
      <c r="G44" s="530"/>
      <c r="H44" s="530"/>
      <c r="I44" s="530"/>
      <c r="J44" s="530"/>
      <c r="K44" s="530"/>
      <c r="L44" s="530"/>
      <c r="M44" s="530"/>
      <c r="N44" s="530"/>
      <c r="O44" s="530"/>
      <c r="P44" s="530"/>
      <c r="Q44" s="530"/>
      <c r="R44" s="530"/>
      <c r="S44" s="531"/>
      <c r="T44" s="531"/>
      <c r="U44" s="531"/>
      <c r="V44" s="531"/>
      <c r="W44" s="531"/>
      <c r="X44" s="531"/>
      <c r="Y44" s="531"/>
      <c r="Z44" s="531"/>
      <c r="AA44" s="531"/>
      <c r="AB44" s="531"/>
      <c r="AC44" s="531"/>
      <c r="AD44" s="531"/>
    </row>
    <row r="45" spans="2:30" ht="15.75" thickBot="1">
      <c r="B45" s="1108" t="s">
        <v>677</v>
      </c>
      <c r="F45" s="1110">
        <v>2024</v>
      </c>
      <c r="G45" s="1111"/>
      <c r="H45" s="1111"/>
      <c r="I45" s="1111"/>
      <c r="J45" s="1111"/>
      <c r="K45" s="1111"/>
      <c r="L45" s="1111"/>
      <c r="M45" s="1111"/>
      <c r="N45" s="1111"/>
      <c r="O45" s="1111"/>
      <c r="P45" s="1111"/>
      <c r="Q45" s="1111"/>
      <c r="R45" s="1111"/>
      <c r="S45" s="1111"/>
      <c r="T45" s="1112"/>
      <c r="W45" s="534" t="s">
        <v>678</v>
      </c>
    </row>
    <row r="46" spans="2:30" ht="15.75" thickBot="1">
      <c r="B46" s="1109"/>
      <c r="F46" s="468" t="s">
        <v>679</v>
      </c>
      <c r="G46" s="457"/>
      <c r="H46" s="457"/>
      <c r="I46" s="457"/>
      <c r="J46" s="457"/>
      <c r="K46" s="457"/>
      <c r="L46" s="457"/>
      <c r="M46" s="457"/>
      <c r="N46" s="457"/>
      <c r="O46" s="457"/>
      <c r="P46" s="457"/>
      <c r="Q46" s="457"/>
      <c r="R46" s="457"/>
      <c r="S46" s="467" t="s">
        <v>680</v>
      </c>
      <c r="T46" s="467" t="s">
        <v>561</v>
      </c>
      <c r="W46" s="534" t="s">
        <v>681</v>
      </c>
      <c r="Y46" s="568"/>
    </row>
    <row r="47" spans="2:30">
      <c r="B47" s="466" t="s">
        <v>682</v>
      </c>
      <c r="C47" s="464"/>
      <c r="D47" s="464"/>
      <c r="E47" s="464"/>
      <c r="F47" s="465">
        <v>180000</v>
      </c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3">
        <f t="shared" ref="S47:S58" si="32">F47/59</f>
        <v>3050.8474576271187</v>
      </c>
      <c r="T47" s="463">
        <f>S47*$Y$47</f>
        <v>1749.7324726431702</v>
      </c>
      <c r="W47" s="534" t="s">
        <v>683</v>
      </c>
      <c r="Y47" s="568">
        <f>1408/2455</f>
        <v>0.57352342158859471</v>
      </c>
    </row>
    <row r="48" spans="2:30">
      <c r="B48" s="462" t="s">
        <v>684</v>
      </c>
      <c r="F48" s="461">
        <v>175000</v>
      </c>
      <c r="S48" s="460">
        <f t="shared" si="32"/>
        <v>2966.101694915254</v>
      </c>
      <c r="T48" s="460">
        <f t="shared" ref="T48:T58" si="33">S48*$Y$47</f>
        <v>1701.1287928475265</v>
      </c>
    </row>
    <row r="49" spans="2:30">
      <c r="B49" s="462" t="s">
        <v>605</v>
      </c>
      <c r="F49" s="461">
        <v>190000</v>
      </c>
      <c r="S49" s="460">
        <f t="shared" si="32"/>
        <v>3220.3389830508477</v>
      </c>
      <c r="T49" s="460">
        <f t="shared" si="33"/>
        <v>1846.9398322344578</v>
      </c>
    </row>
    <row r="50" spans="2:30">
      <c r="B50" s="462" t="s">
        <v>606</v>
      </c>
      <c r="F50" s="461">
        <v>175000</v>
      </c>
      <c r="S50" s="460">
        <f t="shared" si="32"/>
        <v>2966.101694915254</v>
      </c>
      <c r="T50" s="460">
        <f t="shared" si="33"/>
        <v>1701.1287928475265</v>
      </c>
    </row>
    <row r="51" spans="2:30">
      <c r="B51" s="462" t="s">
        <v>607</v>
      </c>
      <c r="F51" s="461">
        <v>190000</v>
      </c>
      <c r="S51" s="460">
        <f t="shared" si="32"/>
        <v>3220.3389830508477</v>
      </c>
      <c r="T51" s="460">
        <f t="shared" si="33"/>
        <v>1846.9398322344578</v>
      </c>
    </row>
    <row r="52" spans="2:30">
      <c r="B52" s="462" t="s">
        <v>608</v>
      </c>
      <c r="F52" s="461">
        <v>180000</v>
      </c>
      <c r="S52" s="460">
        <f t="shared" si="32"/>
        <v>3050.8474576271187</v>
      </c>
      <c r="T52" s="460">
        <f t="shared" si="33"/>
        <v>1749.7324726431702</v>
      </c>
    </row>
    <row r="53" spans="2:30">
      <c r="B53" s="462" t="s">
        <v>609</v>
      </c>
      <c r="F53" s="461">
        <v>220000</v>
      </c>
      <c r="S53" s="460">
        <f t="shared" si="32"/>
        <v>3728.8135593220341</v>
      </c>
      <c r="T53" s="460">
        <f t="shared" si="33"/>
        <v>2138.5619110083194</v>
      </c>
    </row>
    <row r="54" spans="2:30">
      <c r="B54" s="462" t="s">
        <v>534</v>
      </c>
      <c r="F54" s="461">
        <v>180000</v>
      </c>
      <c r="S54" s="460">
        <f t="shared" si="32"/>
        <v>3050.8474576271187</v>
      </c>
      <c r="T54" s="460">
        <f t="shared" si="33"/>
        <v>1749.7324726431702</v>
      </c>
    </row>
    <row r="55" spans="2:30">
      <c r="B55" s="462" t="s">
        <v>535</v>
      </c>
      <c r="F55" s="461">
        <v>180000</v>
      </c>
      <c r="S55" s="460">
        <f t="shared" si="32"/>
        <v>3050.8474576271187</v>
      </c>
      <c r="T55" s="460">
        <f t="shared" si="33"/>
        <v>1749.7324726431702</v>
      </c>
    </row>
    <row r="56" spans="2:30">
      <c r="B56" s="462" t="s">
        <v>536</v>
      </c>
      <c r="F56" s="461">
        <v>180000</v>
      </c>
      <c r="S56" s="460">
        <f t="shared" si="32"/>
        <v>3050.8474576271187</v>
      </c>
      <c r="T56" s="460">
        <f t="shared" si="33"/>
        <v>1749.7324726431702</v>
      </c>
    </row>
    <row r="57" spans="2:30">
      <c r="B57" s="462" t="s">
        <v>537</v>
      </c>
      <c r="F57" s="461">
        <v>280000</v>
      </c>
      <c r="S57" s="460">
        <f t="shared" si="32"/>
        <v>4745.7627118644068</v>
      </c>
      <c r="T57" s="460">
        <f t="shared" si="33"/>
        <v>2721.8060685560426</v>
      </c>
    </row>
    <row r="58" spans="2:30" ht="15.75" thickBot="1">
      <c r="B58" s="459" t="s">
        <v>538</v>
      </c>
      <c r="C58" s="457"/>
      <c r="D58" s="457"/>
      <c r="E58" s="457"/>
      <c r="F58" s="458">
        <v>200000</v>
      </c>
      <c r="G58" s="457"/>
      <c r="H58" s="457"/>
      <c r="I58" s="457"/>
      <c r="J58" s="457"/>
      <c r="K58" s="457"/>
      <c r="L58" s="457"/>
      <c r="M58" s="457"/>
      <c r="N58" s="457"/>
      <c r="O58" s="457"/>
      <c r="P58" s="457"/>
      <c r="Q58" s="457"/>
      <c r="R58" s="457"/>
      <c r="S58" s="456">
        <f t="shared" si="32"/>
        <v>3389.8305084745762</v>
      </c>
      <c r="T58" s="456">
        <f t="shared" si="33"/>
        <v>1944.1471918257448</v>
      </c>
    </row>
    <row r="59" spans="2:30" ht="15.75" thickBot="1">
      <c r="F59" s="455">
        <f>SUM(F47:F58)</f>
        <v>2330000</v>
      </c>
      <c r="G59" s="454">
        <v>2330000</v>
      </c>
      <c r="H59" s="454">
        <v>2330000</v>
      </c>
      <c r="I59" s="454">
        <v>2330000</v>
      </c>
      <c r="J59" s="454">
        <v>2330000</v>
      </c>
      <c r="K59" s="454">
        <v>2330000</v>
      </c>
      <c r="L59" s="454">
        <v>2330000</v>
      </c>
      <c r="M59" s="454">
        <v>2330000</v>
      </c>
      <c r="N59" s="454">
        <v>2330000</v>
      </c>
      <c r="O59" s="454">
        <v>2330000</v>
      </c>
      <c r="P59" s="454">
        <v>2330000</v>
      </c>
      <c r="Q59" s="454">
        <v>2330000</v>
      </c>
      <c r="R59" s="454">
        <v>2330000</v>
      </c>
      <c r="S59" s="453">
        <f>SUM(S47:S58)</f>
        <v>39491.52542372881</v>
      </c>
      <c r="T59" s="453">
        <f>SUM(T47:T58)</f>
        <v>22649.314784769926</v>
      </c>
    </row>
    <row r="60" spans="2:30">
      <c r="W60" s="569"/>
      <c r="X60" s="536"/>
    </row>
    <row r="61" spans="2:30">
      <c r="F61" s="562" t="s">
        <v>685</v>
      </c>
      <c r="W61" s="569"/>
    </row>
    <row r="62" spans="2:30">
      <c r="X62" s="569"/>
    </row>
    <row r="63" spans="2:30">
      <c r="F63" s="565">
        <f>SUM(S63:AD63)</f>
        <v>1286043</v>
      </c>
      <c r="S63" s="261">
        <v>125048</v>
      </c>
      <c r="T63" s="261">
        <v>96006</v>
      </c>
      <c r="U63" s="261">
        <v>111470</v>
      </c>
      <c r="V63" s="261">
        <v>99222</v>
      </c>
      <c r="W63" s="261">
        <v>91253</v>
      </c>
      <c r="X63" s="261">
        <v>90595</v>
      </c>
      <c r="Y63" s="261">
        <v>129147</v>
      </c>
      <c r="Z63" s="261">
        <v>133525</v>
      </c>
      <c r="AA63" s="261">
        <v>159291</v>
      </c>
      <c r="AB63" s="261">
        <v>115573</v>
      </c>
      <c r="AC63" s="261">
        <v>98386</v>
      </c>
      <c r="AD63" s="261">
        <v>36527</v>
      </c>
    </row>
    <row r="64" spans="2:30" ht="15.75" thickBot="1"/>
    <row r="65" spans="6:31" ht="15.75" thickBot="1">
      <c r="F65" s="548"/>
      <c r="G65" s="549"/>
      <c r="H65" s="550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1">
        <v>45292</v>
      </c>
      <c r="T65" s="551">
        <v>45323</v>
      </c>
      <c r="U65" s="551">
        <v>45352</v>
      </c>
      <c r="V65" s="551">
        <v>45383</v>
      </c>
      <c r="W65" s="551">
        <v>45413</v>
      </c>
      <c r="X65" s="551">
        <v>45444</v>
      </c>
      <c r="Y65" s="551">
        <v>45474</v>
      </c>
      <c r="Z65" s="551">
        <v>45505</v>
      </c>
      <c r="AA65" s="551">
        <v>45536</v>
      </c>
      <c r="AB65" s="551">
        <v>45566</v>
      </c>
      <c r="AC65" s="551">
        <v>45597</v>
      </c>
      <c r="AD65" s="552">
        <v>45627</v>
      </c>
      <c r="AE65" s="556" t="s">
        <v>26</v>
      </c>
    </row>
    <row r="66" spans="6:31">
      <c r="F66" s="545" t="s">
        <v>686</v>
      </c>
      <c r="G66" s="546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70">
        <v>2859120.15</v>
      </c>
      <c r="T66" s="570">
        <v>2745614.18</v>
      </c>
      <c r="U66" s="570">
        <v>4201632.22</v>
      </c>
      <c r="V66" s="570">
        <v>2035339.83</v>
      </c>
      <c r="W66" s="570">
        <v>2585241.14</v>
      </c>
      <c r="X66" s="570">
        <v>2365703.13</v>
      </c>
      <c r="Y66" s="570">
        <v>3142901.57</v>
      </c>
      <c r="Z66" s="570">
        <v>3731476.65</v>
      </c>
      <c r="AA66" s="570">
        <v>3961378.05</v>
      </c>
      <c r="AB66" s="570">
        <v>3989825.91</v>
      </c>
      <c r="AC66" s="570">
        <v>2910679.06</v>
      </c>
      <c r="AD66" s="571">
        <v>666551.81999999995</v>
      </c>
      <c r="AE66" s="555">
        <f>SUM(S66:AD66)</f>
        <v>35195463.710000001</v>
      </c>
    </row>
    <row r="67" spans="6:31">
      <c r="F67" s="543" t="s">
        <v>687</v>
      </c>
      <c r="G67" s="539"/>
      <c r="H67" s="537"/>
      <c r="I67" s="537"/>
      <c r="J67" s="537"/>
      <c r="K67" s="537"/>
      <c r="L67" s="537"/>
      <c r="M67" s="537"/>
      <c r="N67" s="537"/>
      <c r="O67" s="537"/>
      <c r="P67" s="537"/>
      <c r="Q67" s="537"/>
      <c r="R67" s="537"/>
      <c r="S67" s="572">
        <v>8.1235473229115174E-2</v>
      </c>
      <c r="T67" s="572">
        <v>7.8010456194668509E-2</v>
      </c>
      <c r="U67" s="572">
        <v>0.1</v>
      </c>
      <c r="V67" s="572">
        <v>0.08</v>
      </c>
      <c r="W67" s="572">
        <v>7.3453816699265762E-2</v>
      </c>
      <c r="X67" s="572">
        <v>6.7216137553767721E-2</v>
      </c>
      <c r="Y67" s="572">
        <v>8.92984844835846E-2</v>
      </c>
      <c r="Z67" s="572">
        <v>0.10602152256740362</v>
      </c>
      <c r="AA67" s="572">
        <v>0.11255365414817545</v>
      </c>
      <c r="AB67" s="572">
        <v>0.11336193615390215</v>
      </c>
      <c r="AC67" s="572">
        <v>8.270040377882551E-2</v>
      </c>
      <c r="AD67" s="573">
        <v>1.8938571899270479E-2</v>
      </c>
      <c r="AE67" s="554"/>
    </row>
    <row r="68" spans="6:31">
      <c r="F68" s="543" t="s">
        <v>688</v>
      </c>
      <c r="G68" s="539"/>
      <c r="H68" s="537"/>
      <c r="I68" s="537"/>
      <c r="J68" s="537"/>
      <c r="K68" s="537"/>
      <c r="L68" s="537"/>
      <c r="M68" s="537"/>
      <c r="N68" s="537"/>
      <c r="O68" s="537"/>
      <c r="P68" s="537"/>
      <c r="Q68" s="537"/>
      <c r="R68" s="537"/>
      <c r="S68" s="538">
        <f>S67*$AE$68</f>
        <v>3655596.295310183</v>
      </c>
      <c r="T68" s="538">
        <f t="shared" ref="T68:AD68" si="34">T67*$AE$68</f>
        <v>3510470.528760083</v>
      </c>
      <c r="U68" s="538">
        <f t="shared" si="34"/>
        <v>4500000</v>
      </c>
      <c r="V68" s="538">
        <f t="shared" si="34"/>
        <v>3600000</v>
      </c>
      <c r="W68" s="538">
        <f t="shared" si="34"/>
        <v>3305421.7514669592</v>
      </c>
      <c r="X68" s="538">
        <f t="shared" si="34"/>
        <v>3024726.1899195476</v>
      </c>
      <c r="Y68" s="538">
        <f t="shared" si="34"/>
        <v>4018431.8017613068</v>
      </c>
      <c r="Z68" s="538">
        <f t="shared" si="34"/>
        <v>4770968.5155331632</v>
      </c>
      <c r="AA68" s="538">
        <f t="shared" si="34"/>
        <v>5064914.4366678949</v>
      </c>
      <c r="AB68" s="538">
        <f t="shared" si="34"/>
        <v>5101287.126925597</v>
      </c>
      <c r="AC68" s="538">
        <f t="shared" si="34"/>
        <v>3721518.1700471481</v>
      </c>
      <c r="AD68" s="540">
        <f t="shared" si="34"/>
        <v>852235.73546717153</v>
      </c>
      <c r="AE68" s="553">
        <v>45000000</v>
      </c>
    </row>
    <row r="69" spans="6:31">
      <c r="F69" s="543" t="s">
        <v>689</v>
      </c>
      <c r="G69" s="539"/>
      <c r="H69" s="537"/>
      <c r="I69" s="537"/>
      <c r="J69" s="537"/>
      <c r="K69" s="537"/>
      <c r="L69" s="537"/>
      <c r="M69" s="537"/>
      <c r="N69" s="537"/>
      <c r="O69" s="537"/>
      <c r="P69" s="537"/>
      <c r="Q69" s="537"/>
      <c r="R69" s="537"/>
      <c r="S69" s="574">
        <f>S68/26</f>
        <v>140599.85751193011</v>
      </c>
      <c r="T69" s="574">
        <f t="shared" ref="T69:AD69" si="35">T68/26</f>
        <v>135018.09726000318</v>
      </c>
      <c r="U69" s="574">
        <f t="shared" si="35"/>
        <v>173076.92307692306</v>
      </c>
      <c r="V69" s="574">
        <f>V68/26</f>
        <v>138461.53846153847</v>
      </c>
      <c r="W69" s="574">
        <f t="shared" si="35"/>
        <v>127131.60582565228</v>
      </c>
      <c r="X69" s="574">
        <f t="shared" si="35"/>
        <v>116335.62268921337</v>
      </c>
      <c r="Y69" s="574">
        <f t="shared" si="35"/>
        <v>154555.06929851181</v>
      </c>
      <c r="Z69" s="574">
        <f t="shared" si="35"/>
        <v>183498.78905896781</v>
      </c>
      <c r="AA69" s="574">
        <f t="shared" si="35"/>
        <v>194804.40141030366</v>
      </c>
      <c r="AB69" s="574">
        <f t="shared" si="35"/>
        <v>196203.35103559989</v>
      </c>
      <c r="AC69" s="574">
        <f t="shared" si="35"/>
        <v>143135.31423258263</v>
      </c>
      <c r="AD69" s="574">
        <f t="shared" si="35"/>
        <v>32778.297517968138</v>
      </c>
      <c r="AE69" s="575">
        <f>SUM(S69:AD69)</f>
        <v>1735598.8673791941</v>
      </c>
    </row>
    <row r="70" spans="6:31">
      <c r="F70" s="543" t="s">
        <v>690</v>
      </c>
      <c r="G70" s="539"/>
      <c r="H70" s="537"/>
      <c r="I70" s="537"/>
      <c r="J70" s="537"/>
      <c r="K70" s="537"/>
      <c r="L70" s="537"/>
      <c r="M70" s="537"/>
      <c r="N70" s="537"/>
      <c r="O70" s="537"/>
      <c r="P70" s="537"/>
      <c r="Q70" s="537"/>
      <c r="R70" s="537"/>
      <c r="S70" s="538">
        <v>3438272.01</v>
      </c>
      <c r="T70" s="538"/>
      <c r="U70" s="538"/>
      <c r="V70" s="538"/>
      <c r="W70" s="538"/>
      <c r="X70" s="538"/>
      <c r="Y70" s="538"/>
      <c r="Z70" s="538"/>
      <c r="AA70" s="538"/>
      <c r="AB70" s="538"/>
      <c r="AC70" s="538"/>
      <c r="AD70" s="540"/>
      <c r="AE70" s="553"/>
    </row>
    <row r="71" spans="6:31" ht="15.75" thickBot="1">
      <c r="F71" s="544" t="s">
        <v>691</v>
      </c>
      <c r="G71" s="542"/>
      <c r="H71" s="541"/>
      <c r="I71" s="541"/>
      <c r="J71" s="541"/>
      <c r="K71" s="541"/>
      <c r="L71" s="541"/>
      <c r="M71" s="541"/>
      <c r="N71" s="541"/>
      <c r="O71" s="541"/>
      <c r="P71" s="541"/>
      <c r="Q71" s="541"/>
      <c r="R71" s="541"/>
      <c r="S71" s="557">
        <f>S70/S68</f>
        <v>0.94055025014961535</v>
      </c>
      <c r="T71" s="558"/>
      <c r="U71" s="558"/>
      <c r="V71" s="558"/>
      <c r="W71" s="558"/>
      <c r="X71" s="558"/>
      <c r="Y71" s="558"/>
      <c r="Z71" s="558"/>
      <c r="AA71" s="558"/>
      <c r="AB71" s="558"/>
      <c r="AC71" s="558"/>
      <c r="AD71" s="559"/>
      <c r="AE71" s="560"/>
    </row>
    <row r="73" spans="6:31">
      <c r="S73" s="563">
        <f>S69-(S69*0.07)</f>
        <v>130757.867486095</v>
      </c>
      <c r="T73" s="563">
        <f>T69-(T69*0.07)</f>
        <v>125566.83045180296</v>
      </c>
      <c r="U73" s="563">
        <f>U69-(U69*0.07)</f>
        <v>160961.53846153844</v>
      </c>
      <c r="V73" s="563">
        <f>V69-(V69*0.07)</f>
        <v>128769.23076923078</v>
      </c>
      <c r="W73" s="563">
        <f t="shared" ref="T73:AD73" si="36">W69-(W69*0.07)</f>
        <v>118232.39341785663</v>
      </c>
      <c r="X73" s="563">
        <f t="shared" si="36"/>
        <v>108192.12910096844</v>
      </c>
      <c r="Y73" s="563">
        <f t="shared" si="36"/>
        <v>143736.21444761599</v>
      </c>
      <c r="Z73" s="563">
        <f t="shared" si="36"/>
        <v>170653.87382484006</v>
      </c>
      <c r="AA73" s="563">
        <f t="shared" si="36"/>
        <v>181168.0933115824</v>
      </c>
      <c r="AB73" s="563">
        <f t="shared" si="36"/>
        <v>182469.1164631079</v>
      </c>
      <c r="AC73" s="563">
        <f t="shared" si="36"/>
        <v>133115.84223630186</v>
      </c>
      <c r="AD73" s="563">
        <f t="shared" si="36"/>
        <v>30483.816691710366</v>
      </c>
      <c r="AE73" s="564">
        <f>AE68*0.07</f>
        <v>3150000.0000000005</v>
      </c>
    </row>
    <row r="74" spans="6:31">
      <c r="S74" s="561"/>
      <c r="AE74" s="564">
        <f>AE68-AE73</f>
        <v>41850000</v>
      </c>
    </row>
    <row r="75" spans="6:31">
      <c r="AE75" s="564">
        <f>AE74/26</f>
        <v>1609615.3846153845</v>
      </c>
    </row>
    <row r="77" spans="6:31">
      <c r="F77" s="548"/>
      <c r="G77" s="549"/>
      <c r="H77" s="550"/>
      <c r="I77" s="550"/>
      <c r="J77" s="550"/>
      <c r="K77" s="550"/>
      <c r="L77" s="550"/>
      <c r="M77" s="550"/>
      <c r="N77" s="550"/>
      <c r="O77" s="550"/>
      <c r="P77" s="550"/>
      <c r="Q77" s="550"/>
      <c r="R77" s="550"/>
      <c r="S77" s="551">
        <v>45292</v>
      </c>
      <c r="T77" s="551">
        <v>45323</v>
      </c>
      <c r="U77" s="551">
        <v>45352</v>
      </c>
      <c r="V77" s="551">
        <v>45383</v>
      </c>
      <c r="W77" s="551">
        <v>45413</v>
      </c>
      <c r="X77" s="551">
        <v>45444</v>
      </c>
      <c r="Y77" s="551">
        <v>45474</v>
      </c>
      <c r="Z77" s="551">
        <v>45505</v>
      </c>
      <c r="AA77" s="551">
        <v>45536</v>
      </c>
      <c r="AB77" s="551">
        <v>45566</v>
      </c>
      <c r="AC77" s="551">
        <v>45597</v>
      </c>
      <c r="AD77" s="552">
        <v>45627</v>
      </c>
      <c r="AE77" s="556" t="s">
        <v>26</v>
      </c>
    </row>
    <row r="78" spans="6:31">
      <c r="F78" s="545" t="s">
        <v>686</v>
      </c>
      <c r="G78" s="546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70">
        <v>2859120.15</v>
      </c>
      <c r="T78" s="570">
        <v>2745614.18</v>
      </c>
      <c r="U78" s="570">
        <v>4201632.22</v>
      </c>
      <c r="V78" s="570">
        <v>2035339.83</v>
      </c>
      <c r="W78" s="570">
        <v>2585241.14</v>
      </c>
      <c r="X78" s="570">
        <v>2365703.13</v>
      </c>
      <c r="Y78" s="570">
        <v>3142901.57</v>
      </c>
      <c r="Z78" s="570">
        <v>3731476.65</v>
      </c>
      <c r="AA78" s="570">
        <v>3961378.05</v>
      </c>
      <c r="AB78" s="570">
        <v>3989825.91</v>
      </c>
      <c r="AC78" s="570">
        <v>2910679.06</v>
      </c>
      <c r="AD78" s="571">
        <v>666551.81999999995</v>
      </c>
      <c r="AE78" s="555">
        <v>35195463.710000001</v>
      </c>
    </row>
    <row r="79" spans="6:31">
      <c r="F79" s="543" t="s">
        <v>687</v>
      </c>
      <c r="G79" s="539"/>
      <c r="H79" s="537"/>
      <c r="I79" s="537"/>
      <c r="J79" s="537"/>
      <c r="K79" s="537"/>
      <c r="L79" s="537"/>
      <c r="M79" s="537"/>
      <c r="N79" s="537"/>
      <c r="O79" s="537"/>
      <c r="P79" s="537"/>
      <c r="Q79" s="537"/>
      <c r="R79" s="537"/>
      <c r="S79" s="572">
        <v>8.1235473229115174E-2</v>
      </c>
      <c r="T79" s="572">
        <v>7.8010456194668509E-2</v>
      </c>
      <c r="U79" s="572">
        <v>0.11937993642078937</v>
      </c>
      <c r="V79" s="572">
        <v>5.7829606871231648E-2</v>
      </c>
      <c r="W79" s="572">
        <v>7.3453816699265762E-2</v>
      </c>
      <c r="X79" s="572">
        <v>6.7216137553767721E-2</v>
      </c>
      <c r="Y79" s="572">
        <v>8.92984844835846E-2</v>
      </c>
      <c r="Z79" s="572">
        <v>0.10602152256740362</v>
      </c>
      <c r="AA79" s="572">
        <v>0.11255365414817545</v>
      </c>
      <c r="AB79" s="572">
        <v>0.11336193615390215</v>
      </c>
      <c r="AC79" s="572">
        <v>8.270040377882551E-2</v>
      </c>
      <c r="AD79" s="573">
        <v>1.8938571899270479E-2</v>
      </c>
      <c r="AE79" s="554"/>
    </row>
    <row r="80" spans="6:31">
      <c r="F80" s="543" t="s">
        <v>688</v>
      </c>
      <c r="G80" s="539"/>
      <c r="H80" s="537"/>
      <c r="I80" s="537"/>
      <c r="J80" s="537"/>
      <c r="K80" s="537"/>
      <c r="L80" s="537"/>
      <c r="M80" s="537"/>
      <c r="N80" s="537"/>
      <c r="O80" s="537"/>
      <c r="P80" s="537"/>
      <c r="Q80" s="537"/>
      <c r="R80" s="537"/>
      <c r="S80" s="538">
        <v>3655596.295310183</v>
      </c>
      <c r="T80" s="538">
        <v>3510470.528760083</v>
      </c>
      <c r="U80" s="538">
        <v>5372097.1389355212</v>
      </c>
      <c r="V80" s="538">
        <v>2602332.309205424</v>
      </c>
      <c r="W80" s="538">
        <v>3305421.7514669592</v>
      </c>
      <c r="X80" s="538">
        <v>3024726.1899195476</v>
      </c>
      <c r="Y80" s="538">
        <v>4018431.8017613068</v>
      </c>
      <c r="Z80" s="538">
        <v>4770968.5155331632</v>
      </c>
      <c r="AA80" s="538">
        <v>5064914.4366678949</v>
      </c>
      <c r="AB80" s="538">
        <v>5101287.126925597</v>
      </c>
      <c r="AC80" s="538">
        <v>3721518.1700471481</v>
      </c>
      <c r="AD80" s="540">
        <v>852235.73546717153</v>
      </c>
      <c r="AE80" s="553">
        <v>45000000</v>
      </c>
    </row>
    <row r="81" spans="6:31">
      <c r="F81" s="543" t="s">
        <v>689</v>
      </c>
      <c r="G81" s="539"/>
      <c r="H81" s="537"/>
      <c r="I81" s="537"/>
      <c r="J81" s="537"/>
      <c r="K81" s="537"/>
      <c r="L81" s="537"/>
      <c r="M81" s="537"/>
      <c r="N81" s="537"/>
      <c r="O81" s="537"/>
      <c r="P81" s="537"/>
      <c r="Q81" s="537"/>
      <c r="R81" s="537"/>
      <c r="S81" s="574">
        <v>140599.85751193011</v>
      </c>
      <c r="T81" s="574">
        <v>135018.09726000318</v>
      </c>
      <c r="U81" s="574">
        <v>206619.12072828927</v>
      </c>
      <c r="V81" s="574">
        <v>100089.70420020862</v>
      </c>
      <c r="W81" s="574">
        <v>127131.60582565228</v>
      </c>
      <c r="X81" s="574">
        <v>116335.62268921337</v>
      </c>
      <c r="Y81" s="574">
        <v>154555.06929851181</v>
      </c>
      <c r="Z81" s="574">
        <v>183498.78905896781</v>
      </c>
      <c r="AA81" s="574">
        <v>194804.40141030366</v>
      </c>
      <c r="AB81" s="574">
        <v>196203.35103559989</v>
      </c>
      <c r="AC81" s="574">
        <v>143135.31423258263</v>
      </c>
      <c r="AD81" s="574">
        <v>32778.297517968138</v>
      </c>
      <c r="AE81" s="575">
        <v>1730769.2307692305</v>
      </c>
    </row>
    <row r="82" spans="6:31">
      <c r="F82" s="543" t="s">
        <v>690</v>
      </c>
      <c r="G82" s="539"/>
      <c r="H82" s="537"/>
      <c r="I82" s="537"/>
      <c r="J82" s="537"/>
      <c r="K82" s="537"/>
      <c r="L82" s="537"/>
      <c r="M82" s="537"/>
      <c r="N82" s="537"/>
      <c r="O82" s="537"/>
      <c r="P82" s="537"/>
      <c r="Q82" s="537"/>
      <c r="R82" s="537"/>
      <c r="S82" s="538">
        <v>3438272.01</v>
      </c>
      <c r="T82" s="538"/>
      <c r="U82" s="538"/>
      <c r="V82" s="538"/>
      <c r="W82" s="538"/>
      <c r="X82" s="538"/>
      <c r="Y82" s="538"/>
      <c r="Z82" s="538"/>
      <c r="AA82" s="538"/>
      <c r="AB82" s="538"/>
      <c r="AC82" s="538"/>
      <c r="AD82" s="540"/>
      <c r="AE82" s="553"/>
    </row>
    <row r="83" spans="6:31">
      <c r="F83" s="544" t="s">
        <v>691</v>
      </c>
      <c r="G83" s="542"/>
      <c r="H83" s="541"/>
      <c r="I83" s="541"/>
      <c r="J83" s="541"/>
      <c r="K83" s="541"/>
      <c r="L83" s="541"/>
      <c r="M83" s="541"/>
      <c r="N83" s="541"/>
      <c r="O83" s="541"/>
      <c r="P83" s="541"/>
      <c r="Q83" s="541"/>
      <c r="R83" s="541"/>
      <c r="S83" s="557">
        <v>0.94055025014961535</v>
      </c>
      <c r="T83" s="558"/>
      <c r="U83" s="558"/>
      <c r="V83" s="558"/>
      <c r="W83" s="558"/>
      <c r="X83" s="558"/>
      <c r="Y83" s="558"/>
      <c r="Z83" s="558"/>
      <c r="AA83" s="558"/>
      <c r="AB83" s="558"/>
      <c r="AC83" s="558"/>
      <c r="AD83" s="559"/>
      <c r="AE83" s="560"/>
    </row>
  </sheetData>
  <mergeCells count="5">
    <mergeCell ref="B1:B3"/>
    <mergeCell ref="C2:E2"/>
    <mergeCell ref="C3:E3"/>
    <mergeCell ref="B45:B46"/>
    <mergeCell ref="F45:T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Fontana</dc:creator>
  <cp:keywords/>
  <dc:description/>
  <cp:lastModifiedBy/>
  <cp:revision/>
  <dcterms:created xsi:type="dcterms:W3CDTF">2019-02-11T17:33:39Z</dcterms:created>
  <dcterms:modified xsi:type="dcterms:W3CDTF">2026-08-26T18:56:42Z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e51699b2-3a23-4521-a75e-94d7cba9bad8</vt:lpwstr>
  </property>
</Properties>
</file>